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liente\Documents\Paulo\Projetos\PredicaoConsumoEnergia\Atualizado\NM\Dados\MA\"/>
    </mc:Choice>
  </mc:AlternateContent>
  <xr:revisionPtr revIDLastSave="0" documentId="13_ncr:1_{3FC0C027-DEB9-4060-9273-468EB317691E}" xr6:coauthVersionLast="46" xr6:coauthVersionMax="46" xr10:uidLastSave="{00000000-0000-0000-0000-000000000000}"/>
  <bookViews>
    <workbookView xWindow="-120" yWindow="-120" windowWidth="20730" windowHeight="11160" firstSheet="1" activeTab="5" xr2:uid="{00000000-000D-0000-FFFF-FFFF00000000}"/>
  </bookViews>
  <sheets>
    <sheet name="MAI (2)" sheetId="1" state="hidden" r:id="rId1"/>
    <sheet name="Jan" sheetId="2" r:id="rId2"/>
    <sheet name="Fev" sheetId="4" r:id="rId3"/>
    <sheet name="Mar" sheetId="6" r:id="rId4"/>
    <sheet name="Abr" sheetId="8" r:id="rId5"/>
    <sheet name="Mai" sheetId="11" r:id="rId6"/>
    <sheet name="Jun" sheetId="14" r:id="rId7"/>
    <sheet name="Jul" sheetId="17" r:id="rId8"/>
    <sheet name="Ago" sheetId="20" r:id="rId9"/>
    <sheet name="Set" sheetId="23" r:id="rId10"/>
    <sheet name="Out" sheetId="32" r:id="rId11"/>
    <sheet name="Nov" sheetId="36" r:id="rId12"/>
    <sheet name="Dez" sheetId="40" r:id="rId13"/>
    <sheet name="Gráfico" sheetId="28" state="hidden" r:id="rId14"/>
    <sheet name="Histórico ind." sheetId="29" state="hidden" r:id="rId15"/>
    <sheet name="Redução desde start up" sheetId="30" state="hidden" r:id="rId16"/>
    <sheet name="Presentes GMR" sheetId="31" state="hidden" r:id="rId17"/>
  </sheets>
  <externalReferences>
    <externalReference r:id="rId18"/>
  </externalReferences>
  <definedNames>
    <definedName name="_xlnm._FilterDatabase" localSheetId="4" hidden="1">Abr!$FE$1:$FM$39</definedName>
    <definedName name="_xlnm._FilterDatabase" localSheetId="8" hidden="1">Ago!$FE$1:$FM$39</definedName>
    <definedName name="_xlnm._FilterDatabase" localSheetId="12" hidden="1">Dez!$FE$1:$FM$39</definedName>
    <definedName name="_xlnm._FilterDatabase" localSheetId="2" hidden="1">Fev!$FE$1:$FM$36</definedName>
    <definedName name="_xlnm._FilterDatabase" localSheetId="1" hidden="1">Jan!$FE$1:$FM$39</definedName>
    <definedName name="_xlnm._FilterDatabase" localSheetId="7" hidden="1">Jul!$FE$1:$FM$39</definedName>
    <definedName name="_xlnm._FilterDatabase" localSheetId="6" hidden="1">Jun!$FE$1:$FM$39</definedName>
    <definedName name="_xlnm._FilterDatabase" localSheetId="5" hidden="1">Mai!$FE$1:$FM$39</definedName>
    <definedName name="_xlnm._FilterDatabase" localSheetId="0" hidden="1">'MAI (2)'!$FE$1:$FM$39</definedName>
    <definedName name="_xlnm._FilterDatabase" localSheetId="3" hidden="1">Mar!$FE$1:$FM$39</definedName>
    <definedName name="_xlnm._FilterDatabase" localSheetId="11" hidden="1">Nov!$FE$1:$FM$39</definedName>
    <definedName name="_xlnm._FilterDatabase" localSheetId="10" hidden="1">Out!$FE$1:$FM$39</definedName>
    <definedName name="_xlnm._FilterDatabase" localSheetId="9" hidden="1">Set!$FE$1:$FM$39</definedName>
    <definedName name="EssfHasNonUnique" localSheetId="14">FALSE</definedName>
    <definedName name="Z_00AC51BC_2BF2_4C5D_9238_A8C1EC6CFC57_.wvu.Cols" localSheetId="4" hidden="1">Abr!$BO:$DN,Abr!$DR:$DR,Abr!$DT:$DT,Abr!$DU:$FC,Abr!#REF!,Abr!$FR:$FW</definedName>
    <definedName name="Z_00AC51BC_2BF2_4C5D_9238_A8C1EC6CFC57_.wvu.Cols" localSheetId="8" hidden="1">Ago!$BO:$DN,Ago!$DR:$DR,Ago!$DT:$DT,Ago!$DU:$FC,Ago!#REF!,Ago!$FR:$FW</definedName>
    <definedName name="Z_00AC51BC_2BF2_4C5D_9238_A8C1EC6CFC57_.wvu.Cols" localSheetId="12" hidden="1">Dez!$BO:$DN,Dez!$DR:$DR,Dez!$DT:$DT,Dez!$DU:$FC,Dez!#REF!,Dez!$FR:$FW</definedName>
    <definedName name="Z_00AC51BC_2BF2_4C5D_9238_A8C1EC6CFC57_.wvu.Cols" localSheetId="2" hidden="1">Fev!$BO:$DN,Fev!$DR:$DR,Fev!$DT:$DT,Fev!$DU:$FC,Fev!#REF!,Fev!$FR:$FW</definedName>
    <definedName name="Z_00AC51BC_2BF2_4C5D_9238_A8C1EC6CFC57_.wvu.Cols" localSheetId="1" hidden="1">Jan!$BO:$DN,Jan!$DR:$DR,Jan!$DT:$DT,Jan!$DU:$FC,Jan!#REF!,Jan!$FR:$FW</definedName>
    <definedName name="Z_00AC51BC_2BF2_4C5D_9238_A8C1EC6CFC57_.wvu.Cols" localSheetId="7" hidden="1">Jul!$BO:$DN,Jul!$DR:$DR,Jul!$DT:$DT,Jul!$DU:$FC,Jul!#REF!,Jul!$FR:$FW</definedName>
    <definedName name="Z_00AC51BC_2BF2_4C5D_9238_A8C1EC6CFC57_.wvu.Cols" localSheetId="6" hidden="1">Jun!$BO:$DN,Jun!$DR:$DR,Jun!$DT:$DT,Jun!$DU:$FC,Jun!#REF!,Jun!$FR:$FW</definedName>
    <definedName name="Z_00AC51BC_2BF2_4C5D_9238_A8C1EC6CFC57_.wvu.Cols" localSheetId="5" hidden="1">Mai!$BO:$DN,Mai!$DR:$DR,Mai!$DT:$DT,Mai!$DU:$FC,Mai!#REF!,Mai!$FR:$FW</definedName>
    <definedName name="Z_00AC51BC_2BF2_4C5D_9238_A8C1EC6CFC57_.wvu.Cols" localSheetId="0" hidden="1">'MAI (2)'!$BO:$DN,'MAI (2)'!$DR:$DR,'MAI (2)'!$DT:$DT,'MAI (2)'!$DU:$FC,'MAI (2)'!#REF!,'MAI (2)'!$FR:$FW</definedName>
    <definedName name="Z_00AC51BC_2BF2_4C5D_9238_A8C1EC6CFC57_.wvu.Cols" localSheetId="3" hidden="1">Mar!$BO:$DN,Mar!$DR:$DR,Mar!$DT:$DT,Mar!$DU:$FC,Mar!#REF!,Mar!$FR:$FW</definedName>
    <definedName name="Z_00AC51BC_2BF2_4C5D_9238_A8C1EC6CFC57_.wvu.Cols" localSheetId="11" hidden="1">Nov!$BO:$DN,Nov!$DR:$DR,Nov!$DT:$DT,Nov!$DU:$FC,Nov!#REF!,Nov!$FR:$FW</definedName>
    <definedName name="Z_00AC51BC_2BF2_4C5D_9238_A8C1EC6CFC57_.wvu.Cols" localSheetId="10" hidden="1">Out!$BO:$DN,Out!$DR:$DR,Out!$DT:$DT,Out!$DU:$FC,Out!#REF!,Out!$FR:$FW</definedName>
    <definedName name="Z_00AC51BC_2BF2_4C5D_9238_A8C1EC6CFC57_.wvu.Cols" localSheetId="9" hidden="1">Set!$BO:$DN,Set!$DR:$DR,Set!$DT:$DT,Set!$DU:$FC,Set!#REF!,Set!$FR:$FW</definedName>
    <definedName name="Z_01DB05B6_4698_4428_95BB_FD3D5AAFF62E_.wvu.FilterData" localSheetId="4" hidden="1">Abr!$FE$1:$FM$39</definedName>
    <definedName name="Z_01DB05B6_4698_4428_95BB_FD3D5AAFF62E_.wvu.FilterData" localSheetId="8" hidden="1">Ago!$FE$1:$FM$39</definedName>
    <definedName name="Z_01DB05B6_4698_4428_95BB_FD3D5AAFF62E_.wvu.FilterData" localSheetId="12" hidden="1">Dez!$FE$1:$FM$39</definedName>
    <definedName name="Z_01DB05B6_4698_4428_95BB_FD3D5AAFF62E_.wvu.FilterData" localSheetId="2" hidden="1">Fev!$FE$1:$FM$36</definedName>
    <definedName name="Z_01DB05B6_4698_4428_95BB_FD3D5AAFF62E_.wvu.FilterData" localSheetId="1" hidden="1">Jan!$FE$1:$FM$39</definedName>
    <definedName name="Z_01DB05B6_4698_4428_95BB_FD3D5AAFF62E_.wvu.FilterData" localSheetId="7" hidden="1">Jul!$FE$1:$FM$39</definedName>
    <definedName name="Z_01DB05B6_4698_4428_95BB_FD3D5AAFF62E_.wvu.FilterData" localSheetId="6" hidden="1">Jun!$FE$1:$FM$39</definedName>
    <definedName name="Z_01DB05B6_4698_4428_95BB_FD3D5AAFF62E_.wvu.FilterData" localSheetId="5" hidden="1">Mai!$FE$1:$FM$39</definedName>
    <definedName name="Z_01DB05B6_4698_4428_95BB_FD3D5AAFF62E_.wvu.FilterData" localSheetId="0" hidden="1">'MAI (2)'!$FE$1:$FM$39</definedName>
    <definedName name="Z_01DB05B6_4698_4428_95BB_FD3D5AAFF62E_.wvu.FilterData" localSheetId="3" hidden="1">Mar!$FE$1:$FM$39</definedName>
    <definedName name="Z_01DB05B6_4698_4428_95BB_FD3D5AAFF62E_.wvu.FilterData" localSheetId="11" hidden="1">Nov!$FE$1:$FM$39</definedName>
    <definedName name="Z_01DB05B6_4698_4428_95BB_FD3D5AAFF62E_.wvu.FilterData" localSheetId="10" hidden="1">Out!$FE$1:$FM$39</definedName>
    <definedName name="Z_01DB05B6_4698_4428_95BB_FD3D5AAFF62E_.wvu.FilterData" localSheetId="9" hidden="1">Set!$FE$1:$FM$39</definedName>
    <definedName name="Z_027B693F_1EFB_44B4_979B_A97E80BEF047_.wvu.FilterData" localSheetId="8" hidden="1">Ago!$FE$1:$FM$39</definedName>
    <definedName name="Z_027B693F_1EFB_44B4_979B_A97E80BEF047_.wvu.FilterData" localSheetId="12" hidden="1">Dez!$FE$1:$FM$39</definedName>
    <definedName name="Z_027B693F_1EFB_44B4_979B_A97E80BEF047_.wvu.FilterData" localSheetId="11" hidden="1">Nov!$FE$1:$FM$39</definedName>
    <definedName name="Z_027B693F_1EFB_44B4_979B_A97E80BEF047_.wvu.FilterData" localSheetId="10" hidden="1">Out!$FE$1:$FM$39</definedName>
    <definedName name="Z_027B693F_1EFB_44B4_979B_A97E80BEF047_.wvu.FilterData" localSheetId="9" hidden="1">Set!$FE$1:$FM$39</definedName>
    <definedName name="Z_03C222E3_E7F1_46DF_9666_1140ABCF8473_.wvu.Cols" localSheetId="4" hidden="1">Abr!$FR:$FW</definedName>
    <definedName name="Z_03C222E3_E7F1_46DF_9666_1140ABCF8473_.wvu.Cols" localSheetId="8" hidden="1">Ago!$FR:$FW</definedName>
    <definedName name="Z_03C222E3_E7F1_46DF_9666_1140ABCF8473_.wvu.Cols" localSheetId="12" hidden="1">Dez!$FR:$FW</definedName>
    <definedName name="Z_03C222E3_E7F1_46DF_9666_1140ABCF8473_.wvu.Cols" localSheetId="2" hidden="1">Fev!$FR:$FW</definedName>
    <definedName name="Z_03C222E3_E7F1_46DF_9666_1140ABCF8473_.wvu.Cols" localSheetId="1" hidden="1">Jan!$FR:$FW</definedName>
    <definedName name="Z_03C222E3_E7F1_46DF_9666_1140ABCF8473_.wvu.Cols" localSheetId="7" hidden="1">Jul!$FR:$FW</definedName>
    <definedName name="Z_03C222E3_E7F1_46DF_9666_1140ABCF8473_.wvu.Cols" localSheetId="6" hidden="1">Jun!$FR:$FW</definedName>
    <definedName name="Z_03C222E3_E7F1_46DF_9666_1140ABCF8473_.wvu.Cols" localSheetId="5" hidden="1">Mai!$FR:$FW</definedName>
    <definedName name="Z_03C222E3_E7F1_46DF_9666_1140ABCF8473_.wvu.Cols" localSheetId="0" hidden="1">'MAI (2)'!$FR:$FW</definedName>
    <definedName name="Z_03C222E3_E7F1_46DF_9666_1140ABCF8473_.wvu.Cols" localSheetId="3" hidden="1">Mar!$FR:$FW</definedName>
    <definedName name="Z_03C222E3_E7F1_46DF_9666_1140ABCF8473_.wvu.Cols" localSheetId="11" hidden="1">Nov!$FR:$FW</definedName>
    <definedName name="Z_03C222E3_E7F1_46DF_9666_1140ABCF8473_.wvu.Cols" localSheetId="10" hidden="1">Out!$FR:$FW</definedName>
    <definedName name="Z_03C222E3_E7F1_46DF_9666_1140ABCF8473_.wvu.Cols" localSheetId="9" hidden="1">Set!$FR:$FW</definedName>
    <definedName name="Z_03C222E3_E7F1_46DF_9666_1140ABCF8473_.wvu.FilterData" localSheetId="4" hidden="1">Abr!$FE$1:$FM$39</definedName>
    <definedName name="Z_03C222E3_E7F1_46DF_9666_1140ABCF8473_.wvu.FilterData" localSheetId="8" hidden="1">Ago!$FE$1:$FM$39</definedName>
    <definedName name="Z_03C222E3_E7F1_46DF_9666_1140ABCF8473_.wvu.FilterData" localSheetId="12" hidden="1">Dez!$FE$1:$FM$39</definedName>
    <definedName name="Z_03C222E3_E7F1_46DF_9666_1140ABCF8473_.wvu.FilterData" localSheetId="2" hidden="1">Fev!$FE$1:$FM$36</definedName>
    <definedName name="Z_03C222E3_E7F1_46DF_9666_1140ABCF8473_.wvu.FilterData" localSheetId="1" hidden="1">Jan!$FE$1:$FM$39</definedName>
    <definedName name="Z_03C222E3_E7F1_46DF_9666_1140ABCF8473_.wvu.FilterData" localSheetId="7" hidden="1">Jul!$FE$1:$FM$39</definedName>
    <definedName name="Z_03C222E3_E7F1_46DF_9666_1140ABCF8473_.wvu.FilterData" localSheetId="6" hidden="1">Jun!$FE$1:$FM$39</definedName>
    <definedName name="Z_03C222E3_E7F1_46DF_9666_1140ABCF8473_.wvu.FilterData" localSheetId="5" hidden="1">Mai!$FE$1:$FM$39</definedName>
    <definedName name="Z_03C222E3_E7F1_46DF_9666_1140ABCF8473_.wvu.FilterData" localSheetId="0" hidden="1">'MAI (2)'!$FE$1:$FM$39</definedName>
    <definedName name="Z_03C222E3_E7F1_46DF_9666_1140ABCF8473_.wvu.FilterData" localSheetId="3" hidden="1">Mar!$FE$1:$FM$39</definedName>
    <definedName name="Z_03C222E3_E7F1_46DF_9666_1140ABCF8473_.wvu.FilterData" localSheetId="11" hidden="1">Nov!$FE$1:$FM$39</definedName>
    <definedName name="Z_03C222E3_E7F1_46DF_9666_1140ABCF8473_.wvu.FilterData" localSheetId="10" hidden="1">Out!$FE$1:$FM$39</definedName>
    <definedName name="Z_03C222E3_E7F1_46DF_9666_1140ABCF8473_.wvu.FilterData" localSheetId="9" hidden="1">Set!$FE$1:$FM$39</definedName>
    <definedName name="Z_03C222E3_E7F1_46DF_9666_1140ABCF8473_.wvu.Rows" localSheetId="14" hidden="1">'Histórico ind.'!$28:$28</definedName>
    <definedName name="Z_05A67D73_60F4_4D21_A884_E6445764F911_.wvu.FilterData" localSheetId="4" hidden="1">Abr!$FE$1:$FM$39</definedName>
    <definedName name="Z_05A67D73_60F4_4D21_A884_E6445764F911_.wvu.FilterData" localSheetId="8" hidden="1">Ago!$FE$1:$FM$39</definedName>
    <definedName name="Z_05A67D73_60F4_4D21_A884_E6445764F911_.wvu.FilterData" localSheetId="12" hidden="1">Dez!$FE$1:$FM$39</definedName>
    <definedName name="Z_05A67D73_60F4_4D21_A884_E6445764F911_.wvu.FilterData" localSheetId="2" hidden="1">Fev!$FE$1:$FM$36</definedName>
    <definedName name="Z_05A67D73_60F4_4D21_A884_E6445764F911_.wvu.FilterData" localSheetId="1" hidden="1">Jan!$FE$1:$FM$39</definedName>
    <definedName name="Z_05A67D73_60F4_4D21_A884_E6445764F911_.wvu.FilterData" localSheetId="7" hidden="1">Jul!$FE$1:$FM$39</definedName>
    <definedName name="Z_05A67D73_60F4_4D21_A884_E6445764F911_.wvu.FilterData" localSheetId="6" hidden="1">Jun!$FE$1:$FM$39</definedName>
    <definedName name="Z_05A67D73_60F4_4D21_A884_E6445764F911_.wvu.FilterData" localSheetId="5" hidden="1">Mai!$FE$1:$FM$39</definedName>
    <definedName name="Z_05A67D73_60F4_4D21_A884_E6445764F911_.wvu.FilterData" localSheetId="0" hidden="1">'MAI (2)'!$FE$1:$FM$39</definedName>
    <definedName name="Z_05A67D73_60F4_4D21_A884_E6445764F911_.wvu.FilterData" localSheetId="3" hidden="1">Mar!$FE$1:$FM$39</definedName>
    <definedName name="Z_05A67D73_60F4_4D21_A884_E6445764F911_.wvu.FilterData" localSheetId="11" hidden="1">Nov!$FE$1:$FM$39</definedName>
    <definedName name="Z_05A67D73_60F4_4D21_A884_E6445764F911_.wvu.FilterData" localSheetId="10" hidden="1">Out!$FE$1:$FM$39</definedName>
    <definedName name="Z_05A67D73_60F4_4D21_A884_E6445764F911_.wvu.FilterData" localSheetId="9" hidden="1">Set!$FE$1:$FM$39</definedName>
    <definedName name="Z_05A81539_16FE_4F24_83CA_109982946E43_.wvu.FilterData" localSheetId="4" hidden="1">Abr!$FE$1:$FM$39</definedName>
    <definedName name="Z_05A81539_16FE_4F24_83CA_109982946E43_.wvu.FilterData" localSheetId="8" hidden="1">Ago!$FE$1:$FM$39</definedName>
    <definedName name="Z_05A81539_16FE_4F24_83CA_109982946E43_.wvu.FilterData" localSheetId="12" hidden="1">Dez!$FE$1:$FM$39</definedName>
    <definedName name="Z_05A81539_16FE_4F24_83CA_109982946E43_.wvu.FilterData" localSheetId="2" hidden="1">Fev!$FE$1:$FM$36</definedName>
    <definedName name="Z_05A81539_16FE_4F24_83CA_109982946E43_.wvu.FilterData" localSheetId="1" hidden="1">Jan!$FE$1:$FM$39</definedName>
    <definedName name="Z_05A81539_16FE_4F24_83CA_109982946E43_.wvu.FilterData" localSheetId="7" hidden="1">Jul!$FE$1:$FM$39</definedName>
    <definedName name="Z_05A81539_16FE_4F24_83CA_109982946E43_.wvu.FilterData" localSheetId="6" hidden="1">Jun!$FE$1:$FM$39</definedName>
    <definedName name="Z_05A81539_16FE_4F24_83CA_109982946E43_.wvu.FilterData" localSheetId="5" hidden="1">Mai!$FE$1:$FM$39</definedName>
    <definedName name="Z_05A81539_16FE_4F24_83CA_109982946E43_.wvu.FilterData" localSheetId="0" hidden="1">'MAI (2)'!$FE$1:$FM$39</definedName>
    <definedName name="Z_05A81539_16FE_4F24_83CA_109982946E43_.wvu.FilterData" localSheetId="3" hidden="1">Mar!$FE$1:$FM$39</definedName>
    <definedName name="Z_05A81539_16FE_4F24_83CA_109982946E43_.wvu.FilterData" localSheetId="11" hidden="1">Nov!$FE$1:$FM$39</definedName>
    <definedName name="Z_05A81539_16FE_4F24_83CA_109982946E43_.wvu.FilterData" localSheetId="10" hidden="1">Out!$FE$1:$FM$39</definedName>
    <definedName name="Z_05A81539_16FE_4F24_83CA_109982946E43_.wvu.FilterData" localSheetId="9" hidden="1">Set!$FE$1:$FM$39</definedName>
    <definedName name="Z_0617E989_8061_45C3_8B38_FE1866D1755A_.wvu.FilterData" localSheetId="4" hidden="1">Abr!$FE$1:$FM$39</definedName>
    <definedName name="Z_0617E989_8061_45C3_8B38_FE1866D1755A_.wvu.FilterData" localSheetId="8" hidden="1">Ago!$FE$1:$FM$39</definedName>
    <definedName name="Z_0617E989_8061_45C3_8B38_FE1866D1755A_.wvu.FilterData" localSheetId="12" hidden="1">Dez!$FE$1:$FM$39</definedName>
    <definedName name="Z_0617E989_8061_45C3_8B38_FE1866D1755A_.wvu.FilterData" localSheetId="2" hidden="1">Fev!$FE$1:$FM$36</definedName>
    <definedName name="Z_0617E989_8061_45C3_8B38_FE1866D1755A_.wvu.FilterData" localSheetId="1" hidden="1">Jan!$FE$1:$FM$39</definedName>
    <definedName name="Z_0617E989_8061_45C3_8B38_FE1866D1755A_.wvu.FilterData" localSheetId="7" hidden="1">Jul!$FE$1:$FM$39</definedName>
    <definedName name="Z_0617E989_8061_45C3_8B38_FE1866D1755A_.wvu.FilterData" localSheetId="6" hidden="1">Jun!$FE$1:$FM$39</definedName>
    <definedName name="Z_0617E989_8061_45C3_8B38_FE1866D1755A_.wvu.FilterData" localSheetId="5" hidden="1">Mai!$FE$1:$FM$39</definedName>
    <definedName name="Z_0617E989_8061_45C3_8B38_FE1866D1755A_.wvu.FilterData" localSheetId="0" hidden="1">'MAI (2)'!$FE$1:$FM$39</definedName>
    <definedName name="Z_0617E989_8061_45C3_8B38_FE1866D1755A_.wvu.FilterData" localSheetId="3" hidden="1">Mar!$FE$1:$FM$39</definedName>
    <definedName name="Z_0617E989_8061_45C3_8B38_FE1866D1755A_.wvu.FilterData" localSheetId="11" hidden="1">Nov!$FE$1:$FM$39</definedName>
    <definedName name="Z_0617E989_8061_45C3_8B38_FE1866D1755A_.wvu.FilterData" localSheetId="10" hidden="1">Out!$FE$1:$FM$39</definedName>
    <definedName name="Z_0617E989_8061_45C3_8B38_FE1866D1755A_.wvu.FilterData" localSheetId="9" hidden="1">Set!$FE$1:$FM$39</definedName>
    <definedName name="Z_06A25044_D65E_488F_90F2_FE3047675F28_.wvu.FilterData" localSheetId="4" hidden="1">Abr!$FE$1:$FM$39</definedName>
    <definedName name="Z_06A25044_D65E_488F_90F2_FE3047675F28_.wvu.FilterData" localSheetId="8" hidden="1">Ago!$FE$1:$FM$39</definedName>
    <definedName name="Z_06A25044_D65E_488F_90F2_FE3047675F28_.wvu.FilterData" localSheetId="12" hidden="1">Dez!$FE$1:$FM$39</definedName>
    <definedName name="Z_06A25044_D65E_488F_90F2_FE3047675F28_.wvu.FilterData" localSheetId="2" hidden="1">Fev!$FE$1:$FM$36</definedName>
    <definedName name="Z_06A25044_D65E_488F_90F2_FE3047675F28_.wvu.FilterData" localSheetId="1" hidden="1">Jan!$FE$1:$FM$39</definedName>
    <definedName name="Z_06A25044_D65E_488F_90F2_FE3047675F28_.wvu.FilterData" localSheetId="7" hidden="1">Jul!$FE$1:$FM$39</definedName>
    <definedName name="Z_06A25044_D65E_488F_90F2_FE3047675F28_.wvu.FilterData" localSheetId="6" hidden="1">Jun!$FE$1:$FM$39</definedName>
    <definedName name="Z_06A25044_D65E_488F_90F2_FE3047675F28_.wvu.FilterData" localSheetId="5" hidden="1">Mai!$FE$1:$FM$39</definedName>
    <definedName name="Z_06A25044_D65E_488F_90F2_FE3047675F28_.wvu.FilterData" localSheetId="0" hidden="1">'MAI (2)'!$FE$1:$FM$39</definedName>
    <definedName name="Z_06A25044_D65E_488F_90F2_FE3047675F28_.wvu.FilterData" localSheetId="3" hidden="1">Mar!$FE$1:$FM$39</definedName>
    <definedName name="Z_06A25044_D65E_488F_90F2_FE3047675F28_.wvu.FilterData" localSheetId="11" hidden="1">Nov!$FE$1:$FM$39</definedName>
    <definedName name="Z_06A25044_D65E_488F_90F2_FE3047675F28_.wvu.FilterData" localSheetId="10" hidden="1">Out!$FE$1:$FM$39</definedName>
    <definedName name="Z_06A25044_D65E_488F_90F2_FE3047675F28_.wvu.FilterData" localSheetId="9" hidden="1">Set!$FE$1:$FM$39</definedName>
    <definedName name="Z_07011D36_3851_464B_A937_D0C6AF7CAB35_.wvu.FilterData" localSheetId="4" hidden="1">Abr!$FE$1:$FM$39</definedName>
    <definedName name="Z_07011D36_3851_464B_A937_D0C6AF7CAB35_.wvu.FilterData" localSheetId="8" hidden="1">Ago!$FE$1:$FM$39</definedName>
    <definedName name="Z_07011D36_3851_464B_A937_D0C6AF7CAB35_.wvu.FilterData" localSheetId="12" hidden="1">Dez!$FE$1:$FM$39</definedName>
    <definedName name="Z_07011D36_3851_464B_A937_D0C6AF7CAB35_.wvu.FilterData" localSheetId="2" hidden="1">Fev!$FE$1:$FM$36</definedName>
    <definedName name="Z_07011D36_3851_464B_A937_D0C6AF7CAB35_.wvu.FilterData" localSheetId="1" hidden="1">Jan!$FE$1:$FM$39</definedName>
    <definedName name="Z_07011D36_3851_464B_A937_D0C6AF7CAB35_.wvu.FilterData" localSheetId="7" hidden="1">Jul!$FE$1:$FM$39</definedName>
    <definedName name="Z_07011D36_3851_464B_A937_D0C6AF7CAB35_.wvu.FilterData" localSheetId="6" hidden="1">Jun!$FE$1:$FM$39</definedName>
    <definedName name="Z_07011D36_3851_464B_A937_D0C6AF7CAB35_.wvu.FilterData" localSheetId="5" hidden="1">Mai!$FE$1:$FM$39</definedName>
    <definedName name="Z_07011D36_3851_464B_A937_D0C6AF7CAB35_.wvu.FilterData" localSheetId="0" hidden="1">'MAI (2)'!$FE$1:$FM$39</definedName>
    <definedName name="Z_07011D36_3851_464B_A937_D0C6AF7CAB35_.wvu.FilterData" localSheetId="3" hidden="1">Mar!$FE$1:$FM$39</definedName>
    <definedName name="Z_07011D36_3851_464B_A937_D0C6AF7CAB35_.wvu.FilterData" localSheetId="11" hidden="1">Nov!$FE$1:$FM$39</definedName>
    <definedName name="Z_07011D36_3851_464B_A937_D0C6AF7CAB35_.wvu.FilterData" localSheetId="10" hidden="1">Out!$FE$1:$FM$39</definedName>
    <definedName name="Z_07011D36_3851_464B_A937_D0C6AF7CAB35_.wvu.FilterData" localSheetId="9" hidden="1">Set!$FE$1:$FM$39</definedName>
    <definedName name="Z_070ED74C_1272_4AE7_9B38_EEBFF90CBE9B_.wvu.FilterData" localSheetId="4" hidden="1">Abr!$FE$1:$FM$39</definedName>
    <definedName name="Z_070ED74C_1272_4AE7_9B38_EEBFF90CBE9B_.wvu.FilterData" localSheetId="8" hidden="1">Ago!$FE$1:$FM$39</definedName>
    <definedName name="Z_070ED74C_1272_4AE7_9B38_EEBFF90CBE9B_.wvu.FilterData" localSheetId="12" hidden="1">Dez!$FE$1:$FM$39</definedName>
    <definedName name="Z_070ED74C_1272_4AE7_9B38_EEBFF90CBE9B_.wvu.FilterData" localSheetId="2" hidden="1">Fev!$FE$1:$FM$36</definedName>
    <definedName name="Z_070ED74C_1272_4AE7_9B38_EEBFF90CBE9B_.wvu.FilterData" localSheetId="1" hidden="1">Jan!$FE$1:$FM$39</definedName>
    <definedName name="Z_070ED74C_1272_4AE7_9B38_EEBFF90CBE9B_.wvu.FilterData" localSheetId="7" hidden="1">Jul!$FE$1:$FM$39</definedName>
    <definedName name="Z_070ED74C_1272_4AE7_9B38_EEBFF90CBE9B_.wvu.FilterData" localSheetId="6" hidden="1">Jun!$FE$1:$FM$39</definedName>
    <definedName name="Z_070ED74C_1272_4AE7_9B38_EEBFF90CBE9B_.wvu.FilterData" localSheetId="5" hidden="1">Mai!$FE$1:$FM$39</definedName>
    <definedName name="Z_070ED74C_1272_4AE7_9B38_EEBFF90CBE9B_.wvu.FilterData" localSheetId="0" hidden="1">'MAI (2)'!$FE$1:$FM$39</definedName>
    <definedName name="Z_070ED74C_1272_4AE7_9B38_EEBFF90CBE9B_.wvu.FilterData" localSheetId="3" hidden="1">Mar!$FE$1:$FM$39</definedName>
    <definedName name="Z_070ED74C_1272_4AE7_9B38_EEBFF90CBE9B_.wvu.FilterData" localSheetId="11" hidden="1">Nov!$FE$1:$FM$39</definedName>
    <definedName name="Z_070ED74C_1272_4AE7_9B38_EEBFF90CBE9B_.wvu.FilterData" localSheetId="10" hidden="1">Out!$FE$1:$FM$39</definedName>
    <definedName name="Z_070ED74C_1272_4AE7_9B38_EEBFF90CBE9B_.wvu.FilterData" localSheetId="9" hidden="1">Set!$FE$1:$FM$39</definedName>
    <definedName name="Z_09250079_ECD9_4D73_A709_5B1EF87869F7_.wvu.Cols" localSheetId="4" hidden="1">Abr!$DR:$DR</definedName>
    <definedName name="Z_09250079_ECD9_4D73_A709_5B1EF87869F7_.wvu.Cols" localSheetId="8" hidden="1">Ago!$DR:$DR</definedName>
    <definedName name="Z_09250079_ECD9_4D73_A709_5B1EF87869F7_.wvu.Cols" localSheetId="12" hidden="1">Dez!$DR:$DR</definedName>
    <definedName name="Z_09250079_ECD9_4D73_A709_5B1EF87869F7_.wvu.Cols" localSheetId="2" hidden="1">Fev!$DR:$DR</definedName>
    <definedName name="Z_09250079_ECD9_4D73_A709_5B1EF87869F7_.wvu.Cols" localSheetId="1" hidden="1">Jan!$DR:$DR</definedName>
    <definedName name="Z_09250079_ECD9_4D73_A709_5B1EF87869F7_.wvu.Cols" localSheetId="7" hidden="1">Jul!$DR:$DR</definedName>
    <definedName name="Z_09250079_ECD9_4D73_A709_5B1EF87869F7_.wvu.Cols" localSheetId="6" hidden="1">Jun!$DR:$DR</definedName>
    <definedName name="Z_09250079_ECD9_4D73_A709_5B1EF87869F7_.wvu.Cols" localSheetId="5" hidden="1">Mai!$DR:$DR</definedName>
    <definedName name="Z_09250079_ECD9_4D73_A709_5B1EF87869F7_.wvu.Cols" localSheetId="0" hidden="1">'MAI (2)'!$DR:$DR</definedName>
    <definedName name="Z_09250079_ECD9_4D73_A709_5B1EF87869F7_.wvu.Cols" localSheetId="3" hidden="1">Mar!$DR:$DR</definedName>
    <definedName name="Z_09250079_ECD9_4D73_A709_5B1EF87869F7_.wvu.Cols" localSheetId="11" hidden="1">Nov!$DR:$DR</definedName>
    <definedName name="Z_09250079_ECD9_4D73_A709_5B1EF87869F7_.wvu.Cols" localSheetId="10" hidden="1">Out!$DR:$DR</definedName>
    <definedName name="Z_09250079_ECD9_4D73_A709_5B1EF87869F7_.wvu.Cols" localSheetId="9" hidden="1">Set!$DR:$DR</definedName>
    <definedName name="Z_0942800E_EAD0_4B42_BBC4_980F0F9A158D_.wvu.Cols" localSheetId="4" hidden="1">Abr!$FR:$FW</definedName>
    <definedName name="Z_0942800E_EAD0_4B42_BBC4_980F0F9A158D_.wvu.Cols" localSheetId="8" hidden="1">Ago!$FR:$FW</definedName>
    <definedName name="Z_0942800E_EAD0_4B42_BBC4_980F0F9A158D_.wvu.Cols" localSheetId="12" hidden="1">Dez!$FR:$FW</definedName>
    <definedName name="Z_0942800E_EAD0_4B42_BBC4_980F0F9A158D_.wvu.Cols" localSheetId="2" hidden="1">Fev!$FR:$FW</definedName>
    <definedName name="Z_0942800E_EAD0_4B42_BBC4_980F0F9A158D_.wvu.Cols" localSheetId="1" hidden="1">Jan!$FR:$FW</definedName>
    <definedName name="Z_0942800E_EAD0_4B42_BBC4_980F0F9A158D_.wvu.Cols" localSheetId="7" hidden="1">Jul!$FR:$FW</definedName>
    <definedName name="Z_0942800E_EAD0_4B42_BBC4_980F0F9A158D_.wvu.Cols" localSheetId="6" hidden="1">Jun!$FR:$FW</definedName>
    <definedName name="Z_0942800E_EAD0_4B42_BBC4_980F0F9A158D_.wvu.Cols" localSheetId="5" hidden="1">Mai!$FR:$FW</definedName>
    <definedName name="Z_0942800E_EAD0_4B42_BBC4_980F0F9A158D_.wvu.Cols" localSheetId="0" hidden="1">'MAI (2)'!$FR:$FW</definedName>
    <definedName name="Z_0942800E_EAD0_4B42_BBC4_980F0F9A158D_.wvu.Cols" localSheetId="3" hidden="1">Mar!$FR:$FW</definedName>
    <definedName name="Z_0942800E_EAD0_4B42_BBC4_980F0F9A158D_.wvu.Cols" localSheetId="11" hidden="1">Nov!$FR:$FW</definedName>
    <definedName name="Z_0942800E_EAD0_4B42_BBC4_980F0F9A158D_.wvu.Cols" localSheetId="10" hidden="1">Out!$FR:$FW</definedName>
    <definedName name="Z_0942800E_EAD0_4B42_BBC4_980F0F9A158D_.wvu.Cols" localSheetId="9" hidden="1">Set!$FR:$FW</definedName>
    <definedName name="Z_0942800E_EAD0_4B42_BBC4_980F0F9A158D_.wvu.FilterData" localSheetId="4" hidden="1">Abr!$FE$1:$FM$39</definedName>
    <definedName name="Z_0942800E_EAD0_4B42_BBC4_980F0F9A158D_.wvu.FilterData" localSheetId="8" hidden="1">Ago!$FE$1:$FM$39</definedName>
    <definedName name="Z_0942800E_EAD0_4B42_BBC4_980F0F9A158D_.wvu.FilterData" localSheetId="12" hidden="1">Dez!$FE$1:$FM$39</definedName>
    <definedName name="Z_0942800E_EAD0_4B42_BBC4_980F0F9A158D_.wvu.FilterData" localSheetId="2" hidden="1">Fev!$FE$1:$FM$36</definedName>
    <definedName name="Z_0942800E_EAD0_4B42_BBC4_980F0F9A158D_.wvu.FilterData" localSheetId="1" hidden="1">Jan!$FE$1:$FM$39</definedName>
    <definedName name="Z_0942800E_EAD0_4B42_BBC4_980F0F9A158D_.wvu.FilterData" localSheetId="7" hidden="1">Jul!$FE$1:$FM$39</definedName>
    <definedName name="Z_0942800E_EAD0_4B42_BBC4_980F0F9A158D_.wvu.FilterData" localSheetId="6" hidden="1">Jun!$FE$1:$FM$39</definedName>
    <definedName name="Z_0942800E_EAD0_4B42_BBC4_980F0F9A158D_.wvu.FilterData" localSheetId="5" hidden="1">Mai!$FE$1:$FM$39</definedName>
    <definedName name="Z_0942800E_EAD0_4B42_BBC4_980F0F9A158D_.wvu.FilterData" localSheetId="0" hidden="1">'MAI (2)'!$FE$1:$FM$39</definedName>
    <definedName name="Z_0942800E_EAD0_4B42_BBC4_980F0F9A158D_.wvu.FilterData" localSheetId="3" hidden="1">Mar!$FE$1:$FM$39</definedName>
    <definedName name="Z_0942800E_EAD0_4B42_BBC4_980F0F9A158D_.wvu.FilterData" localSheetId="11" hidden="1">Nov!$FE$1:$FM$39</definedName>
    <definedName name="Z_0942800E_EAD0_4B42_BBC4_980F0F9A158D_.wvu.FilterData" localSheetId="10" hidden="1">Out!$FE$1:$FM$39</definedName>
    <definedName name="Z_0942800E_EAD0_4B42_BBC4_980F0F9A158D_.wvu.FilterData" localSheetId="9" hidden="1">Set!$FE$1:$FM$39</definedName>
    <definedName name="Z_0942800E_EAD0_4B42_BBC4_980F0F9A158D_.wvu.Rows" localSheetId="14" hidden="1">'Histórico ind.'!$28:$28</definedName>
    <definedName name="Z_0B1B5BC3_9AFB_4EFE_8BD8_58E61762CA1A_.wvu.FilterData" localSheetId="4" hidden="1">Abr!$FE$1:$FM$39</definedName>
    <definedName name="Z_0B1B5BC3_9AFB_4EFE_8BD8_58E61762CA1A_.wvu.FilterData" localSheetId="8" hidden="1">Ago!$FE$1:$FM$39</definedName>
    <definedName name="Z_0B1B5BC3_9AFB_4EFE_8BD8_58E61762CA1A_.wvu.FilterData" localSheetId="12" hidden="1">Dez!$FE$1:$FM$39</definedName>
    <definedName name="Z_0B1B5BC3_9AFB_4EFE_8BD8_58E61762CA1A_.wvu.FilterData" localSheetId="2" hidden="1">Fev!$FE$1:$FM$36</definedName>
    <definedName name="Z_0B1B5BC3_9AFB_4EFE_8BD8_58E61762CA1A_.wvu.FilterData" localSheetId="1" hidden="1">Jan!$FE$1:$FM$39</definedName>
    <definedName name="Z_0B1B5BC3_9AFB_4EFE_8BD8_58E61762CA1A_.wvu.FilterData" localSheetId="7" hidden="1">Jul!$FE$1:$FM$39</definedName>
    <definedName name="Z_0B1B5BC3_9AFB_4EFE_8BD8_58E61762CA1A_.wvu.FilterData" localSheetId="6" hidden="1">Jun!$FE$1:$FM$39</definedName>
    <definedName name="Z_0B1B5BC3_9AFB_4EFE_8BD8_58E61762CA1A_.wvu.FilterData" localSheetId="5" hidden="1">Mai!$FE$1:$FM$39</definedName>
    <definedName name="Z_0B1B5BC3_9AFB_4EFE_8BD8_58E61762CA1A_.wvu.FilterData" localSheetId="0" hidden="1">'MAI (2)'!$FE$1:$FM$39</definedName>
    <definedName name="Z_0B1B5BC3_9AFB_4EFE_8BD8_58E61762CA1A_.wvu.FilterData" localSheetId="3" hidden="1">Mar!$FE$1:$FM$39</definedName>
    <definedName name="Z_0B1B5BC3_9AFB_4EFE_8BD8_58E61762CA1A_.wvu.FilterData" localSheetId="11" hidden="1">Nov!$FE$1:$FM$39</definedName>
    <definedName name="Z_0B1B5BC3_9AFB_4EFE_8BD8_58E61762CA1A_.wvu.FilterData" localSheetId="10" hidden="1">Out!$FE$1:$FM$39</definedName>
    <definedName name="Z_0B1B5BC3_9AFB_4EFE_8BD8_58E61762CA1A_.wvu.FilterData" localSheetId="9" hidden="1">Set!$FE$1:$FM$39</definedName>
    <definedName name="Z_0C95B87F_ECF3_4E9F_9017_C23F15368139_.wvu.FilterData" localSheetId="4" hidden="1">Abr!$FE$1:$FM$39</definedName>
    <definedName name="Z_0C95B87F_ECF3_4E9F_9017_C23F15368139_.wvu.FilterData" localSheetId="8" hidden="1">Ago!$FE$1:$FM$39</definedName>
    <definedName name="Z_0C95B87F_ECF3_4E9F_9017_C23F15368139_.wvu.FilterData" localSheetId="12" hidden="1">Dez!$FE$1:$FM$39</definedName>
    <definedName name="Z_0C95B87F_ECF3_4E9F_9017_C23F15368139_.wvu.FilterData" localSheetId="2" hidden="1">Fev!$FE$1:$FM$36</definedName>
    <definedName name="Z_0C95B87F_ECF3_4E9F_9017_C23F15368139_.wvu.FilterData" localSheetId="1" hidden="1">Jan!$FE$1:$FM$39</definedName>
    <definedName name="Z_0C95B87F_ECF3_4E9F_9017_C23F15368139_.wvu.FilterData" localSheetId="7" hidden="1">Jul!$FE$1:$FM$39</definedName>
    <definedName name="Z_0C95B87F_ECF3_4E9F_9017_C23F15368139_.wvu.FilterData" localSheetId="6" hidden="1">Jun!$FE$1:$FM$39</definedName>
    <definedName name="Z_0C95B87F_ECF3_4E9F_9017_C23F15368139_.wvu.FilterData" localSheetId="5" hidden="1">Mai!$FE$1:$FM$39</definedName>
    <definedName name="Z_0C95B87F_ECF3_4E9F_9017_C23F15368139_.wvu.FilterData" localSheetId="0" hidden="1">'MAI (2)'!$FE$1:$FM$39</definedName>
    <definedName name="Z_0C95B87F_ECF3_4E9F_9017_C23F15368139_.wvu.FilterData" localSheetId="3" hidden="1">Mar!$FE$1:$FM$39</definedName>
    <definedName name="Z_0C95B87F_ECF3_4E9F_9017_C23F15368139_.wvu.FilterData" localSheetId="11" hidden="1">Nov!$FE$1:$FM$39</definedName>
    <definedName name="Z_0C95B87F_ECF3_4E9F_9017_C23F15368139_.wvu.FilterData" localSheetId="10" hidden="1">Out!$FE$1:$FM$39</definedName>
    <definedName name="Z_0C95B87F_ECF3_4E9F_9017_C23F15368139_.wvu.FilterData" localSheetId="9" hidden="1">Set!$FE$1:$FM$39</definedName>
    <definedName name="Z_0D0248C1_22C0_4370_B045_1745D297C390_.wvu.Cols" localSheetId="4" hidden="1">Abr!$DR:$DR</definedName>
    <definedName name="Z_0D0248C1_22C0_4370_B045_1745D297C390_.wvu.Cols" localSheetId="8" hidden="1">Ago!$DR:$DR</definedName>
    <definedName name="Z_0D0248C1_22C0_4370_B045_1745D297C390_.wvu.Cols" localSheetId="12" hidden="1">Dez!$DR:$DR</definedName>
    <definedName name="Z_0D0248C1_22C0_4370_B045_1745D297C390_.wvu.Cols" localSheetId="2" hidden="1">Fev!$DR:$DR</definedName>
    <definedName name="Z_0D0248C1_22C0_4370_B045_1745D297C390_.wvu.Cols" localSheetId="1" hidden="1">Jan!$DR:$DR</definedName>
    <definedName name="Z_0D0248C1_22C0_4370_B045_1745D297C390_.wvu.Cols" localSheetId="7" hidden="1">Jul!$DR:$DR</definedName>
    <definedName name="Z_0D0248C1_22C0_4370_B045_1745D297C390_.wvu.Cols" localSheetId="6" hidden="1">Jun!$DR:$DR</definedName>
    <definedName name="Z_0D0248C1_22C0_4370_B045_1745D297C390_.wvu.Cols" localSheetId="5" hidden="1">Mai!$DR:$DR</definedName>
    <definedName name="Z_0D0248C1_22C0_4370_B045_1745D297C390_.wvu.Cols" localSheetId="0" hidden="1">'MAI (2)'!$DR:$DR</definedName>
    <definedName name="Z_0D0248C1_22C0_4370_B045_1745D297C390_.wvu.Cols" localSheetId="3" hidden="1">Mar!$DR:$DR</definedName>
    <definedName name="Z_0D0248C1_22C0_4370_B045_1745D297C390_.wvu.Cols" localSheetId="11" hidden="1">Nov!$DR:$DR</definedName>
    <definedName name="Z_0D0248C1_22C0_4370_B045_1745D297C390_.wvu.Cols" localSheetId="10" hidden="1">Out!$DR:$DR</definedName>
    <definedName name="Z_0D0248C1_22C0_4370_B045_1745D297C390_.wvu.Cols" localSheetId="9" hidden="1">Set!$DR:$DR</definedName>
    <definedName name="Z_0E61B936_35D1_4856_A926_1144FFAF77F3_.wvu.Cols" localSheetId="4" hidden="1">Abr!$FR:$FW</definedName>
    <definedName name="Z_0E61B936_35D1_4856_A926_1144FFAF77F3_.wvu.Cols" localSheetId="8" hidden="1">Ago!$FR:$FW</definedName>
    <definedName name="Z_0E61B936_35D1_4856_A926_1144FFAF77F3_.wvu.Cols" localSheetId="12" hidden="1">Dez!$FR:$FW</definedName>
    <definedName name="Z_0E61B936_35D1_4856_A926_1144FFAF77F3_.wvu.Cols" localSheetId="2" hidden="1">Fev!$FR:$FW</definedName>
    <definedName name="Z_0E61B936_35D1_4856_A926_1144FFAF77F3_.wvu.Cols" localSheetId="1" hidden="1">Jan!$FR:$FW</definedName>
    <definedName name="Z_0E61B936_35D1_4856_A926_1144FFAF77F3_.wvu.Cols" localSheetId="7" hidden="1">Jul!$FR:$FW</definedName>
    <definedName name="Z_0E61B936_35D1_4856_A926_1144FFAF77F3_.wvu.Cols" localSheetId="6" hidden="1">Jun!$FR:$FW</definedName>
    <definedName name="Z_0E61B936_35D1_4856_A926_1144FFAF77F3_.wvu.Cols" localSheetId="5" hidden="1">Mai!$FR:$FW</definedName>
    <definedName name="Z_0E61B936_35D1_4856_A926_1144FFAF77F3_.wvu.Cols" localSheetId="0" hidden="1">'MAI (2)'!$FR:$FW</definedName>
    <definedName name="Z_0E61B936_35D1_4856_A926_1144FFAF77F3_.wvu.Cols" localSheetId="3" hidden="1">Mar!$FR:$FW</definedName>
    <definedName name="Z_0E61B936_35D1_4856_A926_1144FFAF77F3_.wvu.Cols" localSheetId="11" hidden="1">Nov!$FR:$FW</definedName>
    <definedName name="Z_0E61B936_35D1_4856_A926_1144FFAF77F3_.wvu.Cols" localSheetId="10" hidden="1">Out!$FR:$FW</definedName>
    <definedName name="Z_0E61B936_35D1_4856_A926_1144FFAF77F3_.wvu.Cols" localSheetId="9" hidden="1">Set!$FR:$FW</definedName>
    <definedName name="Z_0E61B936_35D1_4856_A926_1144FFAF77F3_.wvu.FilterData" localSheetId="4" hidden="1">Abr!$FE$1:$FM$39</definedName>
    <definedName name="Z_0E61B936_35D1_4856_A926_1144FFAF77F3_.wvu.FilterData" localSheetId="8" hidden="1">Ago!$FE$1:$FM$39</definedName>
    <definedName name="Z_0E61B936_35D1_4856_A926_1144FFAF77F3_.wvu.FilterData" localSheetId="12" hidden="1">Dez!$FE$1:$FM$39</definedName>
    <definedName name="Z_0E61B936_35D1_4856_A926_1144FFAF77F3_.wvu.FilterData" localSheetId="2" hidden="1">Fev!$FE$1:$FM$36</definedName>
    <definedName name="Z_0E61B936_35D1_4856_A926_1144FFAF77F3_.wvu.FilterData" localSheetId="1" hidden="1">Jan!$FE$1:$FM$39</definedName>
    <definedName name="Z_0E61B936_35D1_4856_A926_1144FFAF77F3_.wvu.FilterData" localSheetId="7" hidden="1">Jul!$FE$1:$FM$39</definedName>
    <definedName name="Z_0E61B936_35D1_4856_A926_1144FFAF77F3_.wvu.FilterData" localSheetId="6" hidden="1">Jun!$FE$1:$FM$39</definedName>
    <definedName name="Z_0E61B936_35D1_4856_A926_1144FFAF77F3_.wvu.FilterData" localSheetId="5" hidden="1">Mai!$FE$1:$FM$39</definedName>
    <definedName name="Z_0E61B936_35D1_4856_A926_1144FFAF77F3_.wvu.FilterData" localSheetId="0" hidden="1">'MAI (2)'!$FE$1:$FM$39</definedName>
    <definedName name="Z_0E61B936_35D1_4856_A926_1144FFAF77F3_.wvu.FilterData" localSheetId="3" hidden="1">Mar!$FE$1:$FM$39</definedName>
    <definedName name="Z_0E61B936_35D1_4856_A926_1144FFAF77F3_.wvu.FilterData" localSheetId="11" hidden="1">Nov!$FE$1:$FM$39</definedName>
    <definedName name="Z_0E61B936_35D1_4856_A926_1144FFAF77F3_.wvu.FilterData" localSheetId="10" hidden="1">Out!$FE$1:$FM$39</definedName>
    <definedName name="Z_0E61B936_35D1_4856_A926_1144FFAF77F3_.wvu.FilterData" localSheetId="9" hidden="1">Set!$FE$1:$FM$39</definedName>
    <definedName name="Z_0E61B936_35D1_4856_A926_1144FFAF77F3_.wvu.Rows" localSheetId="14" hidden="1">'Histórico ind.'!$28:$28</definedName>
    <definedName name="Z_10E65EB3_C6D9_400D_B351_74F3DB698BFB_.wvu.Cols" localSheetId="4" hidden="1">Abr!$FR:$FW</definedName>
    <definedName name="Z_10E65EB3_C6D9_400D_B351_74F3DB698BFB_.wvu.Cols" localSheetId="8" hidden="1">Ago!$FR:$FW</definedName>
    <definedName name="Z_10E65EB3_C6D9_400D_B351_74F3DB698BFB_.wvu.Cols" localSheetId="12" hidden="1">Dez!$FR:$FW</definedName>
    <definedName name="Z_10E65EB3_C6D9_400D_B351_74F3DB698BFB_.wvu.Cols" localSheetId="2" hidden="1">Fev!$FR:$FW</definedName>
    <definedName name="Z_10E65EB3_C6D9_400D_B351_74F3DB698BFB_.wvu.Cols" localSheetId="1" hidden="1">Jan!$FR:$FW</definedName>
    <definedName name="Z_10E65EB3_C6D9_400D_B351_74F3DB698BFB_.wvu.Cols" localSheetId="7" hidden="1">Jul!$FR:$FW</definedName>
    <definedName name="Z_10E65EB3_C6D9_400D_B351_74F3DB698BFB_.wvu.Cols" localSheetId="6" hidden="1">Jun!$FR:$FW</definedName>
    <definedName name="Z_10E65EB3_C6D9_400D_B351_74F3DB698BFB_.wvu.Cols" localSheetId="5" hidden="1">Mai!$FR:$FW</definedName>
    <definedName name="Z_10E65EB3_C6D9_400D_B351_74F3DB698BFB_.wvu.Cols" localSheetId="0" hidden="1">'MAI (2)'!$FR:$FW</definedName>
    <definedName name="Z_10E65EB3_C6D9_400D_B351_74F3DB698BFB_.wvu.Cols" localSheetId="3" hidden="1">Mar!$FR:$FW</definedName>
    <definedName name="Z_10E65EB3_C6D9_400D_B351_74F3DB698BFB_.wvu.Cols" localSheetId="11" hidden="1">Nov!$FR:$FW</definedName>
    <definedName name="Z_10E65EB3_C6D9_400D_B351_74F3DB698BFB_.wvu.Cols" localSheetId="10" hidden="1">Out!$FR:$FW</definedName>
    <definedName name="Z_10E65EB3_C6D9_400D_B351_74F3DB698BFB_.wvu.Cols" localSheetId="9" hidden="1">Set!$FR:$FW</definedName>
    <definedName name="Z_10E65EB3_C6D9_400D_B351_74F3DB698BFB_.wvu.FilterData" localSheetId="4" hidden="1">Abr!$FE$1:$FM$39</definedName>
    <definedName name="Z_10E65EB3_C6D9_400D_B351_74F3DB698BFB_.wvu.FilterData" localSheetId="8" hidden="1">Ago!$FE$1:$FM$39</definedName>
    <definedName name="Z_10E65EB3_C6D9_400D_B351_74F3DB698BFB_.wvu.FilterData" localSheetId="12" hidden="1">Dez!$FE$1:$FM$39</definedName>
    <definedName name="Z_10E65EB3_C6D9_400D_B351_74F3DB698BFB_.wvu.FilterData" localSheetId="2" hidden="1">Fev!$FE$1:$FM$36</definedName>
    <definedName name="Z_10E65EB3_C6D9_400D_B351_74F3DB698BFB_.wvu.FilterData" localSheetId="1" hidden="1">Jan!$FE$1:$FM$39</definedName>
    <definedName name="Z_10E65EB3_C6D9_400D_B351_74F3DB698BFB_.wvu.FilterData" localSheetId="7" hidden="1">Jul!$FE$1:$FM$39</definedName>
    <definedName name="Z_10E65EB3_C6D9_400D_B351_74F3DB698BFB_.wvu.FilterData" localSheetId="6" hidden="1">Jun!$FE$1:$FM$39</definedName>
    <definedName name="Z_10E65EB3_C6D9_400D_B351_74F3DB698BFB_.wvu.FilterData" localSheetId="5" hidden="1">Mai!$FE$1:$FM$39</definedName>
    <definedName name="Z_10E65EB3_C6D9_400D_B351_74F3DB698BFB_.wvu.FilterData" localSheetId="0" hidden="1">'MAI (2)'!$FE$1:$FM$39</definedName>
    <definedName name="Z_10E65EB3_C6D9_400D_B351_74F3DB698BFB_.wvu.FilterData" localSheetId="3" hidden="1">Mar!$FE$1:$FM$39</definedName>
    <definedName name="Z_10E65EB3_C6D9_400D_B351_74F3DB698BFB_.wvu.FilterData" localSheetId="11" hidden="1">Nov!$FE$1:$FM$39</definedName>
    <definedName name="Z_10E65EB3_C6D9_400D_B351_74F3DB698BFB_.wvu.FilterData" localSheetId="10" hidden="1">Out!$FE$1:$FM$39</definedName>
    <definedName name="Z_10E65EB3_C6D9_400D_B351_74F3DB698BFB_.wvu.FilterData" localSheetId="9" hidden="1">Set!$FE$1:$FM$39</definedName>
    <definedName name="Z_10E65EB3_C6D9_400D_B351_74F3DB698BFB_.wvu.Rows" localSheetId="14" hidden="1">'Histórico ind.'!$28:$28</definedName>
    <definedName name="Z_1157F26C_779B_4BC9_BDC5_69CD0B745CBF_.wvu.FilterData" localSheetId="4" hidden="1">Abr!$FE$1:$FM$39</definedName>
    <definedName name="Z_1157F26C_779B_4BC9_BDC5_69CD0B745CBF_.wvu.FilterData" localSheetId="8" hidden="1">Ago!$FE$1:$FM$39</definedName>
    <definedName name="Z_1157F26C_779B_4BC9_BDC5_69CD0B745CBF_.wvu.FilterData" localSheetId="12" hidden="1">Dez!$FE$1:$FM$39</definedName>
    <definedName name="Z_1157F26C_779B_4BC9_BDC5_69CD0B745CBF_.wvu.FilterData" localSheetId="2" hidden="1">Fev!$FE$1:$FM$36</definedName>
    <definedName name="Z_1157F26C_779B_4BC9_BDC5_69CD0B745CBF_.wvu.FilterData" localSheetId="1" hidden="1">Jan!$FE$1:$FM$39</definedName>
    <definedName name="Z_1157F26C_779B_4BC9_BDC5_69CD0B745CBF_.wvu.FilterData" localSheetId="7" hidden="1">Jul!$FE$1:$FM$39</definedName>
    <definedName name="Z_1157F26C_779B_4BC9_BDC5_69CD0B745CBF_.wvu.FilterData" localSheetId="6" hidden="1">Jun!$FE$1:$FM$39</definedName>
    <definedName name="Z_1157F26C_779B_4BC9_BDC5_69CD0B745CBF_.wvu.FilterData" localSheetId="5" hidden="1">Mai!$FE$1:$FM$39</definedName>
    <definedName name="Z_1157F26C_779B_4BC9_BDC5_69CD0B745CBF_.wvu.FilterData" localSheetId="0" hidden="1">'MAI (2)'!$FE$1:$FM$39</definedName>
    <definedName name="Z_1157F26C_779B_4BC9_BDC5_69CD0B745CBF_.wvu.FilterData" localSheetId="3" hidden="1">Mar!$FE$1:$FM$39</definedName>
    <definedName name="Z_1157F26C_779B_4BC9_BDC5_69CD0B745CBF_.wvu.FilterData" localSheetId="11" hidden="1">Nov!$FE$1:$FM$39</definedName>
    <definedName name="Z_1157F26C_779B_4BC9_BDC5_69CD0B745CBF_.wvu.FilterData" localSheetId="10" hidden="1">Out!$FE$1:$FM$39</definedName>
    <definedName name="Z_1157F26C_779B_4BC9_BDC5_69CD0B745CBF_.wvu.FilterData" localSheetId="9" hidden="1">Set!$FE$1:$FM$39</definedName>
    <definedName name="Z_164F5824_175E_4CF9_856F_4450A063A5F5_.wvu.Cols" localSheetId="4" hidden="1">Abr!$DR:$DR</definedName>
    <definedName name="Z_164F5824_175E_4CF9_856F_4450A063A5F5_.wvu.Cols" localSheetId="8" hidden="1">Ago!$DR:$DR</definedName>
    <definedName name="Z_164F5824_175E_4CF9_856F_4450A063A5F5_.wvu.Cols" localSheetId="12" hidden="1">Dez!$DR:$DR</definedName>
    <definedName name="Z_164F5824_175E_4CF9_856F_4450A063A5F5_.wvu.Cols" localSheetId="2" hidden="1">Fev!$DR:$DR</definedName>
    <definedName name="Z_164F5824_175E_4CF9_856F_4450A063A5F5_.wvu.Cols" localSheetId="1" hidden="1">Jan!$DR:$DR</definedName>
    <definedName name="Z_164F5824_175E_4CF9_856F_4450A063A5F5_.wvu.Cols" localSheetId="7" hidden="1">Jul!$DR:$DR</definedName>
    <definedName name="Z_164F5824_175E_4CF9_856F_4450A063A5F5_.wvu.Cols" localSheetId="6" hidden="1">Jun!$DR:$DR</definedName>
    <definedName name="Z_164F5824_175E_4CF9_856F_4450A063A5F5_.wvu.Cols" localSheetId="5" hidden="1">Mai!$DR:$DR</definedName>
    <definedName name="Z_164F5824_175E_4CF9_856F_4450A063A5F5_.wvu.Cols" localSheetId="0" hidden="1">'MAI (2)'!$DR:$DR</definedName>
    <definedName name="Z_164F5824_175E_4CF9_856F_4450A063A5F5_.wvu.Cols" localSheetId="3" hidden="1">Mar!$DR:$DR</definedName>
    <definedName name="Z_164F5824_175E_4CF9_856F_4450A063A5F5_.wvu.Cols" localSheetId="11" hidden="1">Nov!$DR:$DR</definedName>
    <definedName name="Z_164F5824_175E_4CF9_856F_4450A063A5F5_.wvu.Cols" localSheetId="10" hidden="1">Out!$DR:$DR</definedName>
    <definedName name="Z_164F5824_175E_4CF9_856F_4450A063A5F5_.wvu.Cols" localSheetId="9" hidden="1">Set!$DR:$DR</definedName>
    <definedName name="Z_17874726_1BD1_4AC3_8B09_714E5A8B7705_.wvu.FilterData" localSheetId="4" hidden="1">Abr!$FE$1:$FM$39</definedName>
    <definedName name="Z_17874726_1BD1_4AC3_8B09_714E5A8B7705_.wvu.FilterData" localSheetId="8" hidden="1">Ago!$FE$1:$FM$39</definedName>
    <definedName name="Z_17874726_1BD1_4AC3_8B09_714E5A8B7705_.wvu.FilterData" localSheetId="12" hidden="1">Dez!$FE$1:$FM$39</definedName>
    <definedName name="Z_17874726_1BD1_4AC3_8B09_714E5A8B7705_.wvu.FilterData" localSheetId="2" hidden="1">Fev!$FE$1:$FM$36</definedName>
    <definedName name="Z_17874726_1BD1_4AC3_8B09_714E5A8B7705_.wvu.FilterData" localSheetId="1" hidden="1">Jan!$FE$1:$FM$39</definedName>
    <definedName name="Z_17874726_1BD1_4AC3_8B09_714E5A8B7705_.wvu.FilterData" localSheetId="7" hidden="1">Jul!$FE$1:$FM$39</definedName>
    <definedName name="Z_17874726_1BD1_4AC3_8B09_714E5A8B7705_.wvu.FilterData" localSheetId="6" hidden="1">Jun!$FE$1:$FM$39</definedName>
    <definedName name="Z_17874726_1BD1_4AC3_8B09_714E5A8B7705_.wvu.FilterData" localSheetId="5" hidden="1">Mai!$FE$1:$FM$39</definedName>
    <definedName name="Z_17874726_1BD1_4AC3_8B09_714E5A8B7705_.wvu.FilterData" localSheetId="0" hidden="1">'MAI (2)'!$FE$1:$FM$39</definedName>
    <definedName name="Z_17874726_1BD1_4AC3_8B09_714E5A8B7705_.wvu.FilterData" localSheetId="3" hidden="1">Mar!$FE$1:$FM$39</definedName>
    <definedName name="Z_17874726_1BD1_4AC3_8B09_714E5A8B7705_.wvu.FilterData" localSheetId="11" hidden="1">Nov!$FE$1:$FM$39</definedName>
    <definedName name="Z_17874726_1BD1_4AC3_8B09_714E5A8B7705_.wvu.FilterData" localSheetId="10" hidden="1">Out!$FE$1:$FM$39</definedName>
    <definedName name="Z_17874726_1BD1_4AC3_8B09_714E5A8B7705_.wvu.FilterData" localSheetId="9" hidden="1">Set!$FE$1:$FM$39</definedName>
    <definedName name="Z_17EC62E6_5A45_4526_9BC8_E765DBF38022_.wvu.Cols" localSheetId="4" hidden="1">Abr!$DR:$DR,Abr!$FR:$FW</definedName>
    <definedName name="Z_17EC62E6_5A45_4526_9BC8_E765DBF38022_.wvu.Cols" localSheetId="8" hidden="1">Ago!$DR:$DR,Ago!$FR:$FW</definedName>
    <definedName name="Z_17EC62E6_5A45_4526_9BC8_E765DBF38022_.wvu.Cols" localSheetId="12" hidden="1">Dez!$DR:$DR,Dez!$FR:$FW</definedName>
    <definedName name="Z_17EC62E6_5A45_4526_9BC8_E765DBF38022_.wvu.Cols" localSheetId="2" hidden="1">Fev!$DR:$DR,Fev!$FR:$FW</definedName>
    <definedName name="Z_17EC62E6_5A45_4526_9BC8_E765DBF38022_.wvu.Cols" localSheetId="1" hidden="1">Jan!$DR:$DR,Jan!$FR:$FW</definedName>
    <definedName name="Z_17EC62E6_5A45_4526_9BC8_E765DBF38022_.wvu.Cols" localSheetId="7" hidden="1">Jul!$DR:$DR,Jul!$FR:$FW</definedName>
    <definedName name="Z_17EC62E6_5A45_4526_9BC8_E765DBF38022_.wvu.Cols" localSheetId="6" hidden="1">Jun!$DR:$DR,Jun!$FR:$FW</definedName>
    <definedName name="Z_17EC62E6_5A45_4526_9BC8_E765DBF38022_.wvu.Cols" localSheetId="5" hidden="1">Mai!$DR:$DR,Mai!$FR:$FW</definedName>
    <definedName name="Z_17EC62E6_5A45_4526_9BC8_E765DBF38022_.wvu.Cols" localSheetId="0" hidden="1">'MAI (2)'!$DR:$DR,'MAI (2)'!$FR:$FW</definedName>
    <definedName name="Z_17EC62E6_5A45_4526_9BC8_E765DBF38022_.wvu.Cols" localSheetId="3" hidden="1">Mar!$DR:$DR,Mar!$FR:$FW</definedName>
    <definedName name="Z_17EC62E6_5A45_4526_9BC8_E765DBF38022_.wvu.Cols" localSheetId="11" hidden="1">Nov!$DR:$DR,Nov!$FR:$FW</definedName>
    <definedName name="Z_17EC62E6_5A45_4526_9BC8_E765DBF38022_.wvu.Cols" localSheetId="10" hidden="1">Out!$DR:$DR,Out!$FR:$FW</definedName>
    <definedName name="Z_17EC62E6_5A45_4526_9BC8_E765DBF38022_.wvu.Cols" localSheetId="9" hidden="1">Set!$DR:$DR,Set!$FR:$FW</definedName>
    <definedName name="Z_1800318A_23C0_4F74_8401_E3F3E4C6727A_.wvu.FilterData" localSheetId="4" hidden="1">Abr!$FE$1:$FM$39</definedName>
    <definedName name="Z_1800318A_23C0_4F74_8401_E3F3E4C6727A_.wvu.FilterData" localSheetId="8" hidden="1">Ago!$FE$1:$FM$39</definedName>
    <definedName name="Z_1800318A_23C0_4F74_8401_E3F3E4C6727A_.wvu.FilterData" localSheetId="12" hidden="1">Dez!$FE$1:$FM$39</definedName>
    <definedName name="Z_1800318A_23C0_4F74_8401_E3F3E4C6727A_.wvu.FilterData" localSheetId="2" hidden="1">Fev!$FE$1:$FM$36</definedName>
    <definedName name="Z_1800318A_23C0_4F74_8401_E3F3E4C6727A_.wvu.FilterData" localSheetId="1" hidden="1">Jan!$FE$1:$FM$39</definedName>
    <definedName name="Z_1800318A_23C0_4F74_8401_E3F3E4C6727A_.wvu.FilterData" localSheetId="7" hidden="1">Jul!$FE$1:$FM$39</definedName>
    <definedName name="Z_1800318A_23C0_4F74_8401_E3F3E4C6727A_.wvu.FilterData" localSheetId="6" hidden="1">Jun!$FE$1:$FM$39</definedName>
    <definedName name="Z_1800318A_23C0_4F74_8401_E3F3E4C6727A_.wvu.FilterData" localSheetId="5" hidden="1">Mai!$FE$1:$FM$39</definedName>
    <definedName name="Z_1800318A_23C0_4F74_8401_E3F3E4C6727A_.wvu.FilterData" localSheetId="0" hidden="1">'MAI (2)'!$FE$1:$FM$39</definedName>
    <definedName name="Z_1800318A_23C0_4F74_8401_E3F3E4C6727A_.wvu.FilterData" localSheetId="3" hidden="1">Mar!$FE$1:$FM$39</definedName>
    <definedName name="Z_1800318A_23C0_4F74_8401_E3F3E4C6727A_.wvu.FilterData" localSheetId="11" hidden="1">Nov!$FE$1:$FM$39</definedName>
    <definedName name="Z_1800318A_23C0_4F74_8401_E3F3E4C6727A_.wvu.FilterData" localSheetId="10" hidden="1">Out!$FE$1:$FM$39</definedName>
    <definedName name="Z_1800318A_23C0_4F74_8401_E3F3E4C6727A_.wvu.FilterData" localSheetId="9" hidden="1">Set!$FE$1:$FM$39</definedName>
    <definedName name="Z_1843EE3C_9A72_4C04_9F0E_9057F089FA11_.wvu.Cols" localSheetId="4" hidden="1">Abr!$FR:$FW</definedName>
    <definedName name="Z_1843EE3C_9A72_4C04_9F0E_9057F089FA11_.wvu.Cols" localSheetId="8" hidden="1">Ago!$FR:$FW</definedName>
    <definedName name="Z_1843EE3C_9A72_4C04_9F0E_9057F089FA11_.wvu.Cols" localSheetId="12" hidden="1">Dez!$FR:$FW</definedName>
    <definedName name="Z_1843EE3C_9A72_4C04_9F0E_9057F089FA11_.wvu.Cols" localSheetId="2" hidden="1">Fev!$FR:$FW</definedName>
    <definedName name="Z_1843EE3C_9A72_4C04_9F0E_9057F089FA11_.wvu.Cols" localSheetId="1" hidden="1">Jan!$FR:$FW</definedName>
    <definedName name="Z_1843EE3C_9A72_4C04_9F0E_9057F089FA11_.wvu.Cols" localSheetId="7" hidden="1">Jul!$FR:$FW</definedName>
    <definedName name="Z_1843EE3C_9A72_4C04_9F0E_9057F089FA11_.wvu.Cols" localSheetId="6" hidden="1">Jun!$FR:$FW</definedName>
    <definedName name="Z_1843EE3C_9A72_4C04_9F0E_9057F089FA11_.wvu.Cols" localSheetId="5" hidden="1">Mai!$FR:$FW</definedName>
    <definedName name="Z_1843EE3C_9A72_4C04_9F0E_9057F089FA11_.wvu.Cols" localSheetId="0" hidden="1">'MAI (2)'!$FR:$FW</definedName>
    <definedName name="Z_1843EE3C_9A72_4C04_9F0E_9057F089FA11_.wvu.Cols" localSheetId="3" hidden="1">Mar!$FR:$FW</definedName>
    <definedName name="Z_1843EE3C_9A72_4C04_9F0E_9057F089FA11_.wvu.Cols" localSheetId="11" hidden="1">Nov!$FR:$FW</definedName>
    <definedName name="Z_1843EE3C_9A72_4C04_9F0E_9057F089FA11_.wvu.Cols" localSheetId="10" hidden="1">Out!$FR:$FW</definedName>
    <definedName name="Z_1843EE3C_9A72_4C04_9F0E_9057F089FA11_.wvu.Cols" localSheetId="9" hidden="1">Set!$FR:$FW</definedName>
    <definedName name="Z_1843EE3C_9A72_4C04_9F0E_9057F089FA11_.wvu.FilterData" localSheetId="4" hidden="1">Abr!$FE$1:$FM$39</definedName>
    <definedName name="Z_1843EE3C_9A72_4C04_9F0E_9057F089FA11_.wvu.FilterData" localSheetId="8" hidden="1">Ago!$FE$1:$FM$39</definedName>
    <definedName name="Z_1843EE3C_9A72_4C04_9F0E_9057F089FA11_.wvu.FilterData" localSheetId="12" hidden="1">Dez!$FE$1:$FM$39</definedName>
    <definedName name="Z_1843EE3C_9A72_4C04_9F0E_9057F089FA11_.wvu.FilterData" localSheetId="2" hidden="1">Fev!$FE$1:$FM$36</definedName>
    <definedName name="Z_1843EE3C_9A72_4C04_9F0E_9057F089FA11_.wvu.FilterData" localSheetId="1" hidden="1">Jan!$FE$1:$FM$39</definedName>
    <definedName name="Z_1843EE3C_9A72_4C04_9F0E_9057F089FA11_.wvu.FilterData" localSheetId="7" hidden="1">Jul!$FE$1:$FM$39</definedName>
    <definedName name="Z_1843EE3C_9A72_4C04_9F0E_9057F089FA11_.wvu.FilterData" localSheetId="6" hidden="1">Jun!$FE$1:$FM$39</definedName>
    <definedName name="Z_1843EE3C_9A72_4C04_9F0E_9057F089FA11_.wvu.FilterData" localSheetId="5" hidden="1">Mai!$FE$1:$FM$39</definedName>
    <definedName name="Z_1843EE3C_9A72_4C04_9F0E_9057F089FA11_.wvu.FilterData" localSheetId="0" hidden="1">'MAI (2)'!$FE$1:$FM$39</definedName>
    <definedName name="Z_1843EE3C_9A72_4C04_9F0E_9057F089FA11_.wvu.FilterData" localSheetId="3" hidden="1">Mar!$FE$1:$FM$39</definedName>
    <definedName name="Z_1843EE3C_9A72_4C04_9F0E_9057F089FA11_.wvu.FilterData" localSheetId="11" hidden="1">Nov!$FE$1:$FM$39</definedName>
    <definedName name="Z_1843EE3C_9A72_4C04_9F0E_9057F089FA11_.wvu.FilterData" localSheetId="10" hidden="1">Out!$FE$1:$FM$39</definedName>
    <definedName name="Z_1843EE3C_9A72_4C04_9F0E_9057F089FA11_.wvu.FilterData" localSheetId="9" hidden="1">Set!$FE$1:$FM$39</definedName>
    <definedName name="Z_1843EE3C_9A72_4C04_9F0E_9057F089FA11_.wvu.Rows" localSheetId="14" hidden="1">'Histórico ind.'!$28:$28</definedName>
    <definedName name="Z_1875A680_DE6D_48CA_A282_27FE52F5BD00_.wvu.FilterData" localSheetId="4" hidden="1">Abr!$FE$1:$FM$39</definedName>
    <definedName name="Z_1875A680_DE6D_48CA_A282_27FE52F5BD00_.wvu.FilterData" localSheetId="8" hidden="1">Ago!$FE$1:$FM$39</definedName>
    <definedName name="Z_1875A680_DE6D_48CA_A282_27FE52F5BD00_.wvu.FilterData" localSheetId="12" hidden="1">Dez!$FE$1:$FM$39</definedName>
    <definedName name="Z_1875A680_DE6D_48CA_A282_27FE52F5BD00_.wvu.FilterData" localSheetId="2" hidden="1">Fev!$FE$1:$FM$36</definedName>
    <definedName name="Z_1875A680_DE6D_48CA_A282_27FE52F5BD00_.wvu.FilterData" localSheetId="1" hidden="1">Jan!$FE$1:$FM$39</definedName>
    <definedName name="Z_1875A680_DE6D_48CA_A282_27FE52F5BD00_.wvu.FilterData" localSheetId="7" hidden="1">Jul!$FE$1:$FM$39</definedName>
    <definedName name="Z_1875A680_DE6D_48CA_A282_27FE52F5BD00_.wvu.FilterData" localSheetId="6" hidden="1">Jun!$FE$1:$FM$39</definedName>
    <definedName name="Z_1875A680_DE6D_48CA_A282_27FE52F5BD00_.wvu.FilterData" localSheetId="5" hidden="1">Mai!$FE$1:$FM$39</definedName>
    <definedName name="Z_1875A680_DE6D_48CA_A282_27FE52F5BD00_.wvu.FilterData" localSheetId="0" hidden="1">'MAI (2)'!$FE$1:$FM$39</definedName>
    <definedName name="Z_1875A680_DE6D_48CA_A282_27FE52F5BD00_.wvu.FilterData" localSheetId="3" hidden="1">Mar!$FE$1:$FM$39</definedName>
    <definedName name="Z_1875A680_DE6D_48CA_A282_27FE52F5BD00_.wvu.FilterData" localSheetId="11" hidden="1">Nov!$FE$1:$FM$39</definedName>
    <definedName name="Z_1875A680_DE6D_48CA_A282_27FE52F5BD00_.wvu.FilterData" localSheetId="10" hidden="1">Out!$FE$1:$FM$39</definedName>
    <definedName name="Z_1875A680_DE6D_48CA_A282_27FE52F5BD00_.wvu.FilterData" localSheetId="9" hidden="1">Set!$FE$1:$FM$39</definedName>
    <definedName name="Z_1AAA3A22_D5AA_4DAD_8B7A_96611155845F_.wvu.FilterData" localSheetId="4" hidden="1">Abr!$FE$1:$FM$39</definedName>
    <definedName name="Z_1AAA3A22_D5AA_4DAD_8B7A_96611155845F_.wvu.FilterData" localSheetId="8" hidden="1">Ago!$FE$1:$FM$39</definedName>
    <definedName name="Z_1AAA3A22_D5AA_4DAD_8B7A_96611155845F_.wvu.FilterData" localSheetId="12" hidden="1">Dez!$FE$1:$FM$39</definedName>
    <definedName name="Z_1AAA3A22_D5AA_4DAD_8B7A_96611155845F_.wvu.FilterData" localSheetId="2" hidden="1">Fev!$FE$1:$FM$36</definedName>
    <definedName name="Z_1AAA3A22_D5AA_4DAD_8B7A_96611155845F_.wvu.FilterData" localSheetId="1" hidden="1">Jan!$FE$1:$FM$39</definedName>
    <definedName name="Z_1AAA3A22_D5AA_4DAD_8B7A_96611155845F_.wvu.FilterData" localSheetId="7" hidden="1">Jul!$FE$1:$FM$39</definedName>
    <definedName name="Z_1AAA3A22_D5AA_4DAD_8B7A_96611155845F_.wvu.FilterData" localSheetId="6" hidden="1">Jun!$FE$1:$FM$39</definedName>
    <definedName name="Z_1AAA3A22_D5AA_4DAD_8B7A_96611155845F_.wvu.FilterData" localSheetId="5" hidden="1">Mai!$FE$1:$FM$39</definedName>
    <definedName name="Z_1AAA3A22_D5AA_4DAD_8B7A_96611155845F_.wvu.FilterData" localSheetId="0" hidden="1">'MAI (2)'!$FE$1:$FM$39</definedName>
    <definedName name="Z_1AAA3A22_D5AA_4DAD_8B7A_96611155845F_.wvu.FilterData" localSheetId="3" hidden="1">Mar!$FE$1:$FM$39</definedName>
    <definedName name="Z_1AAA3A22_D5AA_4DAD_8B7A_96611155845F_.wvu.FilterData" localSheetId="11" hidden="1">Nov!$FE$1:$FM$39</definedName>
    <definedName name="Z_1AAA3A22_D5AA_4DAD_8B7A_96611155845F_.wvu.FilterData" localSheetId="10" hidden="1">Out!$FE$1:$FM$39</definedName>
    <definedName name="Z_1AAA3A22_D5AA_4DAD_8B7A_96611155845F_.wvu.FilterData" localSheetId="9" hidden="1">Set!$FE$1:$FM$39</definedName>
    <definedName name="Z_1AB7EFFE_B651_47B1_9AE3_6ECBD61B2C7D_.wvu.FilterData" localSheetId="4" hidden="1">Abr!$FE$1:$FM$39</definedName>
    <definedName name="Z_1AB7EFFE_B651_47B1_9AE3_6ECBD61B2C7D_.wvu.FilterData" localSheetId="8" hidden="1">Ago!$FE$1:$FM$39</definedName>
    <definedName name="Z_1AB7EFFE_B651_47B1_9AE3_6ECBD61B2C7D_.wvu.FilterData" localSheetId="12" hidden="1">Dez!$FE$1:$FM$39</definedName>
    <definedName name="Z_1AB7EFFE_B651_47B1_9AE3_6ECBD61B2C7D_.wvu.FilterData" localSheetId="2" hidden="1">Fev!$FE$1:$FM$36</definedName>
    <definedName name="Z_1AB7EFFE_B651_47B1_9AE3_6ECBD61B2C7D_.wvu.FilterData" localSheetId="1" hidden="1">Jan!$FE$1:$FM$39</definedName>
    <definedName name="Z_1AB7EFFE_B651_47B1_9AE3_6ECBD61B2C7D_.wvu.FilterData" localSheetId="7" hidden="1">Jul!$FE$1:$FM$39</definedName>
    <definedName name="Z_1AB7EFFE_B651_47B1_9AE3_6ECBD61B2C7D_.wvu.FilterData" localSheetId="6" hidden="1">Jun!$FE$1:$FM$39</definedName>
    <definedName name="Z_1AB7EFFE_B651_47B1_9AE3_6ECBD61B2C7D_.wvu.FilterData" localSheetId="5" hidden="1">Mai!$FE$1:$FM$39</definedName>
    <definedName name="Z_1AB7EFFE_B651_47B1_9AE3_6ECBD61B2C7D_.wvu.FilterData" localSheetId="0" hidden="1">'MAI (2)'!$FE$1:$FM$39</definedName>
    <definedName name="Z_1AB7EFFE_B651_47B1_9AE3_6ECBD61B2C7D_.wvu.FilterData" localSheetId="3" hidden="1">Mar!$FE$1:$FM$39</definedName>
    <definedName name="Z_1AB7EFFE_B651_47B1_9AE3_6ECBD61B2C7D_.wvu.FilterData" localSheetId="11" hidden="1">Nov!$FE$1:$FM$39</definedName>
    <definedName name="Z_1AB7EFFE_B651_47B1_9AE3_6ECBD61B2C7D_.wvu.FilterData" localSheetId="10" hidden="1">Out!$FE$1:$FM$39</definedName>
    <definedName name="Z_1AB7EFFE_B651_47B1_9AE3_6ECBD61B2C7D_.wvu.FilterData" localSheetId="9" hidden="1">Set!$FE$1:$FM$39</definedName>
    <definedName name="Z_1C855FF5_8384_43FA_824C_B518326F0E6B_.wvu.Cols" localSheetId="4" hidden="1">Abr!$FR:$FW</definedName>
    <definedName name="Z_1C855FF5_8384_43FA_824C_B518326F0E6B_.wvu.Cols" localSheetId="8" hidden="1">Ago!$FR:$FW</definedName>
    <definedName name="Z_1C855FF5_8384_43FA_824C_B518326F0E6B_.wvu.Cols" localSheetId="12" hidden="1">Dez!$FR:$FW</definedName>
    <definedName name="Z_1C855FF5_8384_43FA_824C_B518326F0E6B_.wvu.Cols" localSheetId="2" hidden="1">Fev!$FR:$FW</definedName>
    <definedName name="Z_1C855FF5_8384_43FA_824C_B518326F0E6B_.wvu.Cols" localSheetId="1" hidden="1">Jan!$FR:$FW</definedName>
    <definedName name="Z_1C855FF5_8384_43FA_824C_B518326F0E6B_.wvu.Cols" localSheetId="7" hidden="1">Jul!$FR:$FW</definedName>
    <definedName name="Z_1C855FF5_8384_43FA_824C_B518326F0E6B_.wvu.Cols" localSheetId="6" hidden="1">Jun!$FR:$FW</definedName>
    <definedName name="Z_1C855FF5_8384_43FA_824C_B518326F0E6B_.wvu.Cols" localSheetId="5" hidden="1">Mai!$FR:$FW</definedName>
    <definedName name="Z_1C855FF5_8384_43FA_824C_B518326F0E6B_.wvu.Cols" localSheetId="0" hidden="1">'MAI (2)'!$FR:$FW</definedName>
    <definedName name="Z_1C855FF5_8384_43FA_824C_B518326F0E6B_.wvu.Cols" localSheetId="3" hidden="1">Mar!$FR:$FW</definedName>
    <definedName name="Z_1C855FF5_8384_43FA_824C_B518326F0E6B_.wvu.Cols" localSheetId="11" hidden="1">Nov!$FR:$FW</definedName>
    <definedName name="Z_1C855FF5_8384_43FA_824C_B518326F0E6B_.wvu.Cols" localSheetId="10" hidden="1">Out!$FR:$FW</definedName>
    <definedName name="Z_1C855FF5_8384_43FA_824C_B518326F0E6B_.wvu.Cols" localSheetId="9" hidden="1">Set!$FR:$FW</definedName>
    <definedName name="Z_1C855FF5_8384_43FA_824C_B518326F0E6B_.wvu.FilterData" localSheetId="4" hidden="1">Abr!$FE$1:$FM$39</definedName>
    <definedName name="Z_1C855FF5_8384_43FA_824C_B518326F0E6B_.wvu.FilterData" localSheetId="8" hidden="1">Ago!$FE$1:$FM$39</definedName>
    <definedName name="Z_1C855FF5_8384_43FA_824C_B518326F0E6B_.wvu.FilterData" localSheetId="12" hidden="1">Dez!$FE$1:$FM$39</definedName>
    <definedName name="Z_1C855FF5_8384_43FA_824C_B518326F0E6B_.wvu.FilterData" localSheetId="2" hidden="1">Fev!$FE$1:$FM$36</definedName>
    <definedName name="Z_1C855FF5_8384_43FA_824C_B518326F0E6B_.wvu.FilterData" localSheetId="1" hidden="1">Jan!$FE$1:$FM$39</definedName>
    <definedName name="Z_1C855FF5_8384_43FA_824C_B518326F0E6B_.wvu.FilterData" localSheetId="7" hidden="1">Jul!$FE$1:$FM$39</definedName>
    <definedName name="Z_1C855FF5_8384_43FA_824C_B518326F0E6B_.wvu.FilterData" localSheetId="6" hidden="1">Jun!$FE$1:$FM$39</definedName>
    <definedName name="Z_1C855FF5_8384_43FA_824C_B518326F0E6B_.wvu.FilterData" localSheetId="5" hidden="1">Mai!$FE$1:$FM$39</definedName>
    <definedName name="Z_1C855FF5_8384_43FA_824C_B518326F0E6B_.wvu.FilterData" localSheetId="0" hidden="1">'MAI (2)'!$FE$1:$FM$39</definedName>
    <definedName name="Z_1C855FF5_8384_43FA_824C_B518326F0E6B_.wvu.FilterData" localSheetId="3" hidden="1">Mar!$FE$1:$FM$39</definedName>
    <definedName name="Z_1C855FF5_8384_43FA_824C_B518326F0E6B_.wvu.FilterData" localSheetId="11" hidden="1">Nov!$FE$1:$FM$39</definedName>
    <definedName name="Z_1C855FF5_8384_43FA_824C_B518326F0E6B_.wvu.FilterData" localSheetId="10" hidden="1">Out!$FE$1:$FM$39</definedName>
    <definedName name="Z_1C855FF5_8384_43FA_824C_B518326F0E6B_.wvu.FilterData" localSheetId="9" hidden="1">Set!$FE$1:$FM$39</definedName>
    <definedName name="Z_1C855FF5_8384_43FA_824C_B518326F0E6B_.wvu.Rows" localSheetId="14" hidden="1">'Histórico ind.'!$28:$28</definedName>
    <definedName name="Z_1E243D3B_C952_48C2_B935_D979ABE423B0_.wvu.Cols" localSheetId="4" hidden="1">Abr!$FR:$FW</definedName>
    <definedName name="Z_1E243D3B_C952_48C2_B935_D979ABE423B0_.wvu.Cols" localSheetId="8" hidden="1">Ago!$FR:$FW</definedName>
    <definedName name="Z_1E243D3B_C952_48C2_B935_D979ABE423B0_.wvu.Cols" localSheetId="12" hidden="1">Dez!$FR:$FW</definedName>
    <definedName name="Z_1E243D3B_C952_48C2_B935_D979ABE423B0_.wvu.Cols" localSheetId="2" hidden="1">Fev!$FR:$FW</definedName>
    <definedName name="Z_1E243D3B_C952_48C2_B935_D979ABE423B0_.wvu.Cols" localSheetId="1" hidden="1">Jan!$FR:$FW</definedName>
    <definedName name="Z_1E243D3B_C952_48C2_B935_D979ABE423B0_.wvu.Cols" localSheetId="7" hidden="1">Jul!$FR:$FW</definedName>
    <definedName name="Z_1E243D3B_C952_48C2_B935_D979ABE423B0_.wvu.Cols" localSheetId="6" hidden="1">Jun!$FR:$FW</definedName>
    <definedName name="Z_1E243D3B_C952_48C2_B935_D979ABE423B0_.wvu.Cols" localSheetId="5" hidden="1">Mai!$FR:$FW</definedName>
    <definedName name="Z_1E243D3B_C952_48C2_B935_D979ABE423B0_.wvu.Cols" localSheetId="0" hidden="1">'MAI (2)'!$FR:$FW</definedName>
    <definedName name="Z_1E243D3B_C952_48C2_B935_D979ABE423B0_.wvu.Cols" localSheetId="3" hidden="1">Mar!$FR:$FW</definedName>
    <definedName name="Z_1E243D3B_C952_48C2_B935_D979ABE423B0_.wvu.Cols" localSheetId="11" hidden="1">Nov!$FR:$FW</definedName>
    <definedName name="Z_1E243D3B_C952_48C2_B935_D979ABE423B0_.wvu.Cols" localSheetId="10" hidden="1">Out!$FR:$FW</definedName>
    <definedName name="Z_1E243D3B_C952_48C2_B935_D979ABE423B0_.wvu.Cols" localSheetId="9" hidden="1">Set!$FR:$FW</definedName>
    <definedName name="Z_1E243D3B_C952_48C2_B935_D979ABE423B0_.wvu.FilterData" localSheetId="4" hidden="1">Abr!$FE$1:$FM$39</definedName>
    <definedName name="Z_1E243D3B_C952_48C2_B935_D979ABE423B0_.wvu.FilterData" localSheetId="8" hidden="1">Ago!$FE$1:$FM$39</definedName>
    <definedName name="Z_1E243D3B_C952_48C2_B935_D979ABE423B0_.wvu.FilterData" localSheetId="12" hidden="1">Dez!$FE$1:$FM$39</definedName>
    <definedName name="Z_1E243D3B_C952_48C2_B935_D979ABE423B0_.wvu.FilterData" localSheetId="2" hidden="1">Fev!$FE$1:$FM$36</definedName>
    <definedName name="Z_1E243D3B_C952_48C2_B935_D979ABE423B0_.wvu.FilterData" localSheetId="1" hidden="1">Jan!$FE$1:$FM$39</definedName>
    <definedName name="Z_1E243D3B_C952_48C2_B935_D979ABE423B0_.wvu.FilterData" localSheetId="7" hidden="1">Jul!$FE$1:$FM$39</definedName>
    <definedName name="Z_1E243D3B_C952_48C2_B935_D979ABE423B0_.wvu.FilterData" localSheetId="6" hidden="1">Jun!$FE$1:$FM$39</definedName>
    <definedName name="Z_1E243D3B_C952_48C2_B935_D979ABE423B0_.wvu.FilterData" localSheetId="5" hidden="1">Mai!$FE$1:$FM$39</definedName>
    <definedName name="Z_1E243D3B_C952_48C2_B935_D979ABE423B0_.wvu.FilterData" localSheetId="0" hidden="1">'MAI (2)'!$FE$1:$FM$39</definedName>
    <definedName name="Z_1E243D3B_C952_48C2_B935_D979ABE423B0_.wvu.FilterData" localSheetId="3" hidden="1">Mar!$FE$1:$FM$39</definedName>
    <definedName name="Z_1E243D3B_C952_48C2_B935_D979ABE423B0_.wvu.FilterData" localSheetId="11" hidden="1">Nov!$FE$1:$FM$39</definedName>
    <definedName name="Z_1E243D3B_C952_48C2_B935_D979ABE423B0_.wvu.FilterData" localSheetId="10" hidden="1">Out!$FE$1:$FM$39</definedName>
    <definedName name="Z_1E243D3B_C952_48C2_B935_D979ABE423B0_.wvu.FilterData" localSheetId="9" hidden="1">Set!$FE$1:$FM$39</definedName>
    <definedName name="Z_1E5F1E56_0AC8_484D_AC0E_255E0A54C71B_.wvu.FilterData" localSheetId="4" hidden="1">Abr!$FE$1:$FM$39</definedName>
    <definedName name="Z_1E5F1E56_0AC8_484D_AC0E_255E0A54C71B_.wvu.FilterData" localSheetId="8" hidden="1">Ago!$FE$1:$FM$39</definedName>
    <definedName name="Z_1E5F1E56_0AC8_484D_AC0E_255E0A54C71B_.wvu.FilterData" localSheetId="12" hidden="1">Dez!$FE$1:$FM$39</definedName>
    <definedName name="Z_1E5F1E56_0AC8_484D_AC0E_255E0A54C71B_.wvu.FilterData" localSheetId="2" hidden="1">Fev!$FE$1:$FM$36</definedName>
    <definedName name="Z_1E5F1E56_0AC8_484D_AC0E_255E0A54C71B_.wvu.FilterData" localSheetId="1" hidden="1">Jan!$FE$1:$FM$39</definedName>
    <definedName name="Z_1E5F1E56_0AC8_484D_AC0E_255E0A54C71B_.wvu.FilterData" localSheetId="7" hidden="1">Jul!$FE$1:$FM$39</definedName>
    <definedName name="Z_1E5F1E56_0AC8_484D_AC0E_255E0A54C71B_.wvu.FilterData" localSheetId="6" hidden="1">Jun!$FE$1:$FM$39</definedName>
    <definedName name="Z_1E5F1E56_0AC8_484D_AC0E_255E0A54C71B_.wvu.FilterData" localSheetId="5" hidden="1">Mai!$FE$1:$FM$39</definedName>
    <definedName name="Z_1E5F1E56_0AC8_484D_AC0E_255E0A54C71B_.wvu.FilterData" localSheetId="0" hidden="1">'MAI (2)'!$FE$1:$FM$39</definedName>
    <definedName name="Z_1E5F1E56_0AC8_484D_AC0E_255E0A54C71B_.wvu.FilterData" localSheetId="3" hidden="1">Mar!$FE$1:$FM$39</definedName>
    <definedName name="Z_1E5F1E56_0AC8_484D_AC0E_255E0A54C71B_.wvu.FilterData" localSheetId="11" hidden="1">Nov!$FE$1:$FM$39</definedName>
    <definedName name="Z_1E5F1E56_0AC8_484D_AC0E_255E0A54C71B_.wvu.FilterData" localSheetId="10" hidden="1">Out!$FE$1:$FM$39</definedName>
    <definedName name="Z_1E5F1E56_0AC8_484D_AC0E_255E0A54C71B_.wvu.FilterData" localSheetId="9" hidden="1">Set!$FE$1:$FM$39</definedName>
    <definedName name="Z_1F0B9A01_812F_459B_8D79_549DB0FC1499_.wvu.FilterData" localSheetId="4" hidden="1">Abr!$FE$1:$FM$39</definedName>
    <definedName name="Z_1F0B9A01_812F_459B_8D79_549DB0FC1499_.wvu.FilterData" localSheetId="8" hidden="1">Ago!$FE$1:$FM$39</definedName>
    <definedName name="Z_1F0B9A01_812F_459B_8D79_549DB0FC1499_.wvu.FilterData" localSheetId="12" hidden="1">Dez!$FE$1:$FM$39</definedName>
    <definedName name="Z_1F0B9A01_812F_459B_8D79_549DB0FC1499_.wvu.FilterData" localSheetId="2" hidden="1">Fev!$FE$1:$FM$36</definedName>
    <definedName name="Z_1F0B9A01_812F_459B_8D79_549DB0FC1499_.wvu.FilterData" localSheetId="1" hidden="1">Jan!$FE$1:$FM$39</definedName>
    <definedName name="Z_1F0B9A01_812F_459B_8D79_549DB0FC1499_.wvu.FilterData" localSheetId="7" hidden="1">Jul!$FE$1:$FM$39</definedName>
    <definedName name="Z_1F0B9A01_812F_459B_8D79_549DB0FC1499_.wvu.FilterData" localSheetId="6" hidden="1">Jun!$FE$1:$FM$39</definedName>
    <definedName name="Z_1F0B9A01_812F_459B_8D79_549DB0FC1499_.wvu.FilterData" localSheetId="5" hidden="1">Mai!$FE$1:$FM$39</definedName>
    <definedName name="Z_1F0B9A01_812F_459B_8D79_549DB0FC1499_.wvu.FilterData" localSheetId="0" hidden="1">'MAI (2)'!$FE$1:$FM$39</definedName>
    <definedName name="Z_1F0B9A01_812F_459B_8D79_549DB0FC1499_.wvu.FilterData" localSheetId="3" hidden="1">Mar!$FE$1:$FM$39</definedName>
    <definedName name="Z_1F0B9A01_812F_459B_8D79_549DB0FC1499_.wvu.FilterData" localSheetId="11" hidden="1">Nov!$FE$1:$FM$39</definedName>
    <definedName name="Z_1F0B9A01_812F_459B_8D79_549DB0FC1499_.wvu.FilterData" localSheetId="10" hidden="1">Out!$FE$1:$FM$39</definedName>
    <definedName name="Z_1F0B9A01_812F_459B_8D79_549DB0FC1499_.wvu.FilterData" localSheetId="9" hidden="1">Set!$FE$1:$FM$39</definedName>
    <definedName name="Z_202B4664_1E41_42C8_8179_CADE12251AA9_.wvu.FilterData" localSheetId="4" hidden="1">Abr!$FE$1:$FM$39</definedName>
    <definedName name="Z_202B4664_1E41_42C8_8179_CADE12251AA9_.wvu.FilterData" localSheetId="8" hidden="1">Ago!$FE$1:$FM$39</definedName>
    <definedName name="Z_202B4664_1E41_42C8_8179_CADE12251AA9_.wvu.FilterData" localSheetId="12" hidden="1">Dez!$FE$1:$FM$39</definedName>
    <definedName name="Z_202B4664_1E41_42C8_8179_CADE12251AA9_.wvu.FilterData" localSheetId="2" hidden="1">Fev!$FE$1:$FM$36</definedName>
    <definedName name="Z_202B4664_1E41_42C8_8179_CADE12251AA9_.wvu.FilterData" localSheetId="1" hidden="1">Jan!$FE$1:$FM$39</definedName>
    <definedName name="Z_202B4664_1E41_42C8_8179_CADE12251AA9_.wvu.FilterData" localSheetId="7" hidden="1">Jul!$FE$1:$FM$39</definedName>
    <definedName name="Z_202B4664_1E41_42C8_8179_CADE12251AA9_.wvu.FilterData" localSheetId="6" hidden="1">Jun!$FE$1:$FM$39</definedName>
    <definedName name="Z_202B4664_1E41_42C8_8179_CADE12251AA9_.wvu.FilterData" localSheetId="5" hidden="1">Mai!$FE$1:$FM$39</definedName>
    <definedName name="Z_202B4664_1E41_42C8_8179_CADE12251AA9_.wvu.FilterData" localSheetId="0" hidden="1">'MAI (2)'!$FE$1:$FM$39</definedName>
    <definedName name="Z_202B4664_1E41_42C8_8179_CADE12251AA9_.wvu.FilterData" localSheetId="3" hidden="1">Mar!$FE$1:$FM$39</definedName>
    <definedName name="Z_202B4664_1E41_42C8_8179_CADE12251AA9_.wvu.FilterData" localSheetId="11" hidden="1">Nov!$FE$1:$FM$39</definedName>
    <definedName name="Z_202B4664_1E41_42C8_8179_CADE12251AA9_.wvu.FilterData" localSheetId="10" hidden="1">Out!$FE$1:$FM$39</definedName>
    <definedName name="Z_202B4664_1E41_42C8_8179_CADE12251AA9_.wvu.FilterData" localSheetId="9" hidden="1">Set!$FE$1:$FM$39</definedName>
    <definedName name="Z_21C0402C_B6BE_4A20_9352_D183DA49FBC9_.wvu.FilterData" localSheetId="4" hidden="1">Abr!$FE$1:$FM$39</definedName>
    <definedName name="Z_21C0402C_B6BE_4A20_9352_D183DA49FBC9_.wvu.FilterData" localSheetId="8" hidden="1">Ago!$FE$1:$FM$39</definedName>
    <definedName name="Z_21C0402C_B6BE_4A20_9352_D183DA49FBC9_.wvu.FilterData" localSheetId="12" hidden="1">Dez!$FE$1:$FM$39</definedName>
    <definedName name="Z_21C0402C_B6BE_4A20_9352_D183DA49FBC9_.wvu.FilterData" localSheetId="2" hidden="1">Fev!$FE$1:$FM$36</definedName>
    <definedName name="Z_21C0402C_B6BE_4A20_9352_D183DA49FBC9_.wvu.FilterData" localSheetId="1" hidden="1">Jan!$FE$1:$FM$39</definedName>
    <definedName name="Z_21C0402C_B6BE_4A20_9352_D183DA49FBC9_.wvu.FilterData" localSheetId="7" hidden="1">Jul!$FE$1:$FM$39</definedName>
    <definedName name="Z_21C0402C_B6BE_4A20_9352_D183DA49FBC9_.wvu.FilterData" localSheetId="6" hidden="1">Jun!$FE$1:$FM$39</definedName>
    <definedName name="Z_21C0402C_B6BE_4A20_9352_D183DA49FBC9_.wvu.FilterData" localSheetId="5" hidden="1">Mai!$FE$1:$FM$39</definedName>
    <definedName name="Z_21C0402C_B6BE_4A20_9352_D183DA49FBC9_.wvu.FilterData" localSheetId="0" hidden="1">'MAI (2)'!$FE$1:$FM$39</definedName>
    <definedName name="Z_21C0402C_B6BE_4A20_9352_D183DA49FBC9_.wvu.FilterData" localSheetId="3" hidden="1">Mar!$FE$1:$FM$39</definedName>
    <definedName name="Z_21C0402C_B6BE_4A20_9352_D183DA49FBC9_.wvu.FilterData" localSheetId="11" hidden="1">Nov!$FE$1:$FM$39</definedName>
    <definedName name="Z_21C0402C_B6BE_4A20_9352_D183DA49FBC9_.wvu.FilterData" localSheetId="10" hidden="1">Out!$FE$1:$FM$39</definedName>
    <definedName name="Z_21C0402C_B6BE_4A20_9352_D183DA49FBC9_.wvu.FilterData" localSheetId="9" hidden="1">Set!$FE$1:$FM$39</definedName>
    <definedName name="Z_224B0FC4_F22D_43AB_A162_F7392D68F60B_.wvu.FilterData" localSheetId="4" hidden="1">Abr!$FE$1:$FM$39</definedName>
    <definedName name="Z_224B0FC4_F22D_43AB_A162_F7392D68F60B_.wvu.FilterData" localSheetId="8" hidden="1">Ago!$FE$1:$FM$39</definedName>
    <definedName name="Z_224B0FC4_F22D_43AB_A162_F7392D68F60B_.wvu.FilterData" localSheetId="12" hidden="1">Dez!$FE$1:$FM$39</definedName>
    <definedName name="Z_224B0FC4_F22D_43AB_A162_F7392D68F60B_.wvu.FilterData" localSheetId="2" hidden="1">Fev!$FE$1:$FM$36</definedName>
    <definedName name="Z_224B0FC4_F22D_43AB_A162_F7392D68F60B_.wvu.FilterData" localSheetId="1" hidden="1">Jan!$FE$1:$FM$39</definedName>
    <definedName name="Z_224B0FC4_F22D_43AB_A162_F7392D68F60B_.wvu.FilterData" localSheetId="7" hidden="1">Jul!$FE$1:$FM$39</definedName>
    <definedName name="Z_224B0FC4_F22D_43AB_A162_F7392D68F60B_.wvu.FilterData" localSheetId="6" hidden="1">Jun!$FE$1:$FM$39</definedName>
    <definedName name="Z_224B0FC4_F22D_43AB_A162_F7392D68F60B_.wvu.FilterData" localSheetId="5" hidden="1">Mai!$FE$1:$FM$39</definedName>
    <definedName name="Z_224B0FC4_F22D_43AB_A162_F7392D68F60B_.wvu.FilterData" localSheetId="0" hidden="1">'MAI (2)'!$FE$1:$FM$39</definedName>
    <definedName name="Z_224B0FC4_F22D_43AB_A162_F7392D68F60B_.wvu.FilterData" localSheetId="3" hidden="1">Mar!$FE$1:$FM$39</definedName>
    <definedName name="Z_224B0FC4_F22D_43AB_A162_F7392D68F60B_.wvu.FilterData" localSheetId="11" hidden="1">Nov!$FE$1:$FM$39</definedName>
    <definedName name="Z_224B0FC4_F22D_43AB_A162_F7392D68F60B_.wvu.FilterData" localSheetId="10" hidden="1">Out!$FE$1:$FM$39</definedName>
    <definedName name="Z_224B0FC4_F22D_43AB_A162_F7392D68F60B_.wvu.FilterData" localSheetId="9" hidden="1">Set!$FE$1:$FM$39</definedName>
    <definedName name="Z_265B441A_2D53_4D4B_A09F_2A64EE92A59D_.wvu.Cols" localSheetId="4" hidden="1">Abr!$FR:$FW</definedName>
    <definedName name="Z_265B441A_2D53_4D4B_A09F_2A64EE92A59D_.wvu.Cols" localSheetId="8" hidden="1">Ago!$FR:$FW</definedName>
    <definedName name="Z_265B441A_2D53_4D4B_A09F_2A64EE92A59D_.wvu.Cols" localSheetId="12" hidden="1">Dez!$FR:$FW</definedName>
    <definedName name="Z_265B441A_2D53_4D4B_A09F_2A64EE92A59D_.wvu.Cols" localSheetId="2" hidden="1">Fev!$FR:$FW</definedName>
    <definedName name="Z_265B441A_2D53_4D4B_A09F_2A64EE92A59D_.wvu.Cols" localSheetId="1" hidden="1">Jan!$FR:$FW</definedName>
    <definedName name="Z_265B441A_2D53_4D4B_A09F_2A64EE92A59D_.wvu.Cols" localSheetId="7" hidden="1">Jul!$FR:$FW</definedName>
    <definedName name="Z_265B441A_2D53_4D4B_A09F_2A64EE92A59D_.wvu.Cols" localSheetId="6" hidden="1">Jun!$FR:$FW</definedName>
    <definedName name="Z_265B441A_2D53_4D4B_A09F_2A64EE92A59D_.wvu.Cols" localSheetId="5" hidden="1">Mai!$FR:$FW</definedName>
    <definedName name="Z_265B441A_2D53_4D4B_A09F_2A64EE92A59D_.wvu.Cols" localSheetId="0" hidden="1">'MAI (2)'!$FR:$FW</definedName>
    <definedName name="Z_265B441A_2D53_4D4B_A09F_2A64EE92A59D_.wvu.Cols" localSheetId="3" hidden="1">Mar!$FR:$FW</definedName>
    <definedName name="Z_265B441A_2D53_4D4B_A09F_2A64EE92A59D_.wvu.Cols" localSheetId="11" hidden="1">Nov!$FR:$FW</definedName>
    <definedName name="Z_265B441A_2D53_4D4B_A09F_2A64EE92A59D_.wvu.Cols" localSheetId="10" hidden="1">Out!$FR:$FW</definedName>
    <definedName name="Z_265B441A_2D53_4D4B_A09F_2A64EE92A59D_.wvu.Cols" localSheetId="9" hidden="1">Set!$FR:$FW</definedName>
    <definedName name="Z_265B441A_2D53_4D4B_A09F_2A64EE92A59D_.wvu.FilterData" localSheetId="4" hidden="1">Abr!$FE$1:$FM$39</definedName>
    <definedName name="Z_265B441A_2D53_4D4B_A09F_2A64EE92A59D_.wvu.FilterData" localSheetId="8" hidden="1">Ago!$FE$1:$FM$39</definedName>
    <definedName name="Z_265B441A_2D53_4D4B_A09F_2A64EE92A59D_.wvu.FilterData" localSheetId="12" hidden="1">Dez!$FE$1:$FM$39</definedName>
    <definedName name="Z_265B441A_2D53_4D4B_A09F_2A64EE92A59D_.wvu.FilterData" localSheetId="2" hidden="1">Fev!$FE$1:$FM$36</definedName>
    <definedName name="Z_265B441A_2D53_4D4B_A09F_2A64EE92A59D_.wvu.FilterData" localSheetId="1" hidden="1">Jan!$FE$1:$FM$39</definedName>
    <definedName name="Z_265B441A_2D53_4D4B_A09F_2A64EE92A59D_.wvu.FilterData" localSheetId="7" hidden="1">Jul!$FE$1:$FM$39</definedName>
    <definedName name="Z_265B441A_2D53_4D4B_A09F_2A64EE92A59D_.wvu.FilterData" localSheetId="6" hidden="1">Jun!$FE$1:$FM$39</definedName>
    <definedName name="Z_265B441A_2D53_4D4B_A09F_2A64EE92A59D_.wvu.FilterData" localSheetId="5" hidden="1">Mai!$FE$1:$FM$39</definedName>
    <definedName name="Z_265B441A_2D53_4D4B_A09F_2A64EE92A59D_.wvu.FilterData" localSheetId="0" hidden="1">'MAI (2)'!$FE$1:$FM$39</definedName>
    <definedName name="Z_265B441A_2D53_4D4B_A09F_2A64EE92A59D_.wvu.FilterData" localSheetId="3" hidden="1">Mar!$FE$1:$FM$39</definedName>
    <definedName name="Z_265B441A_2D53_4D4B_A09F_2A64EE92A59D_.wvu.FilterData" localSheetId="11" hidden="1">Nov!$FE$1:$FM$39</definedName>
    <definedName name="Z_265B441A_2D53_4D4B_A09F_2A64EE92A59D_.wvu.FilterData" localSheetId="10" hidden="1">Out!$FE$1:$FM$39</definedName>
    <definedName name="Z_265B441A_2D53_4D4B_A09F_2A64EE92A59D_.wvu.FilterData" localSheetId="9" hidden="1">Set!$FE$1:$FM$39</definedName>
    <definedName name="Z_265B441A_2D53_4D4B_A09F_2A64EE92A59D_.wvu.Rows" localSheetId="14" hidden="1">'Histórico ind.'!$28:$28</definedName>
    <definedName name="Z_26BE1AA6_714C_4FDC_A626_DCDBAFFFA5AD_.wvu.FilterData" localSheetId="4" hidden="1">Abr!$FE$1:$FM$39</definedName>
    <definedName name="Z_26BE1AA6_714C_4FDC_A626_DCDBAFFFA5AD_.wvu.FilterData" localSheetId="8" hidden="1">Ago!$FE$1:$FM$39</definedName>
    <definedName name="Z_26BE1AA6_714C_4FDC_A626_DCDBAFFFA5AD_.wvu.FilterData" localSheetId="12" hidden="1">Dez!$FE$1:$FM$39</definedName>
    <definedName name="Z_26BE1AA6_714C_4FDC_A626_DCDBAFFFA5AD_.wvu.FilterData" localSheetId="2" hidden="1">Fev!$FE$1:$FM$36</definedName>
    <definedName name="Z_26BE1AA6_714C_4FDC_A626_DCDBAFFFA5AD_.wvu.FilterData" localSheetId="1" hidden="1">Jan!$FE$1:$FM$39</definedName>
    <definedName name="Z_26BE1AA6_714C_4FDC_A626_DCDBAFFFA5AD_.wvu.FilterData" localSheetId="7" hidden="1">Jul!$FE$1:$FM$39</definedName>
    <definedName name="Z_26BE1AA6_714C_4FDC_A626_DCDBAFFFA5AD_.wvu.FilterData" localSheetId="6" hidden="1">Jun!$FE$1:$FM$39</definedName>
    <definedName name="Z_26BE1AA6_714C_4FDC_A626_DCDBAFFFA5AD_.wvu.FilterData" localSheetId="5" hidden="1">Mai!$FE$1:$FM$39</definedName>
    <definedName name="Z_26BE1AA6_714C_4FDC_A626_DCDBAFFFA5AD_.wvu.FilterData" localSheetId="0" hidden="1">'MAI (2)'!$FE$1:$FM$39</definedName>
    <definedName name="Z_26BE1AA6_714C_4FDC_A626_DCDBAFFFA5AD_.wvu.FilterData" localSheetId="3" hidden="1">Mar!$FE$1:$FM$39</definedName>
    <definedName name="Z_26BE1AA6_714C_4FDC_A626_DCDBAFFFA5AD_.wvu.FilterData" localSheetId="11" hidden="1">Nov!$FE$1:$FM$39</definedName>
    <definedName name="Z_26BE1AA6_714C_4FDC_A626_DCDBAFFFA5AD_.wvu.FilterData" localSheetId="10" hidden="1">Out!$FE$1:$FM$39</definedName>
    <definedName name="Z_26BE1AA6_714C_4FDC_A626_DCDBAFFFA5AD_.wvu.FilterData" localSheetId="9" hidden="1">Set!$FE$1:$FM$39</definedName>
    <definedName name="Z_278BB263_C9B7_4092_99BC_DAD93179A23C_.wvu.FilterData" localSheetId="4" hidden="1">Abr!$FE$1:$FM$39</definedName>
    <definedName name="Z_278BB263_C9B7_4092_99BC_DAD93179A23C_.wvu.FilterData" localSheetId="8" hidden="1">Ago!$FE$1:$FM$39</definedName>
    <definedName name="Z_278BB263_C9B7_4092_99BC_DAD93179A23C_.wvu.FilterData" localSheetId="12" hidden="1">Dez!$FE$1:$FM$39</definedName>
    <definedName name="Z_278BB263_C9B7_4092_99BC_DAD93179A23C_.wvu.FilterData" localSheetId="2" hidden="1">Fev!$FE$1:$FM$36</definedName>
    <definedName name="Z_278BB263_C9B7_4092_99BC_DAD93179A23C_.wvu.FilterData" localSheetId="1" hidden="1">Jan!$FE$1:$FM$39</definedName>
    <definedName name="Z_278BB263_C9B7_4092_99BC_DAD93179A23C_.wvu.FilterData" localSheetId="7" hidden="1">Jul!$FE$1:$FM$39</definedName>
    <definedName name="Z_278BB263_C9B7_4092_99BC_DAD93179A23C_.wvu.FilterData" localSheetId="6" hidden="1">Jun!$FE$1:$FM$39</definedName>
    <definedName name="Z_278BB263_C9B7_4092_99BC_DAD93179A23C_.wvu.FilterData" localSheetId="5" hidden="1">Mai!$FE$1:$FM$39</definedName>
    <definedName name="Z_278BB263_C9B7_4092_99BC_DAD93179A23C_.wvu.FilterData" localSheetId="0" hidden="1">'MAI (2)'!$FE$1:$FM$39</definedName>
    <definedName name="Z_278BB263_C9B7_4092_99BC_DAD93179A23C_.wvu.FilterData" localSheetId="3" hidden="1">Mar!$FE$1:$FM$39</definedName>
    <definedName name="Z_278BB263_C9B7_4092_99BC_DAD93179A23C_.wvu.FilterData" localSheetId="11" hidden="1">Nov!$FE$1:$FM$39</definedName>
    <definedName name="Z_278BB263_C9B7_4092_99BC_DAD93179A23C_.wvu.FilterData" localSheetId="10" hidden="1">Out!$FE$1:$FM$39</definedName>
    <definedName name="Z_278BB263_C9B7_4092_99BC_DAD93179A23C_.wvu.FilterData" localSheetId="9" hidden="1">Set!$FE$1:$FM$39</definedName>
    <definedName name="Z_296794E7_C7DF_4FC0_9C3D_88A4D67B4F0E_.wvu.FilterData" localSheetId="4" hidden="1">Abr!$FE$1:$FM$39</definedName>
    <definedName name="Z_296794E7_C7DF_4FC0_9C3D_88A4D67B4F0E_.wvu.FilterData" localSheetId="8" hidden="1">Ago!$FE$1:$FM$39</definedName>
    <definedName name="Z_296794E7_C7DF_4FC0_9C3D_88A4D67B4F0E_.wvu.FilterData" localSheetId="12" hidden="1">Dez!$FE$1:$FM$39</definedName>
    <definedName name="Z_296794E7_C7DF_4FC0_9C3D_88A4D67B4F0E_.wvu.FilterData" localSheetId="2" hidden="1">Fev!$FE$1:$FM$36</definedName>
    <definedName name="Z_296794E7_C7DF_4FC0_9C3D_88A4D67B4F0E_.wvu.FilterData" localSheetId="1" hidden="1">Jan!$FE$1:$FM$39</definedName>
    <definedName name="Z_296794E7_C7DF_4FC0_9C3D_88A4D67B4F0E_.wvu.FilterData" localSheetId="7" hidden="1">Jul!$FE$1:$FM$39</definedName>
    <definedName name="Z_296794E7_C7DF_4FC0_9C3D_88A4D67B4F0E_.wvu.FilterData" localSheetId="6" hidden="1">Jun!$FE$1:$FM$39</definedName>
    <definedName name="Z_296794E7_C7DF_4FC0_9C3D_88A4D67B4F0E_.wvu.FilterData" localSheetId="5" hidden="1">Mai!$FE$1:$FM$39</definedName>
    <definedName name="Z_296794E7_C7DF_4FC0_9C3D_88A4D67B4F0E_.wvu.FilterData" localSheetId="0" hidden="1">'MAI (2)'!$FE$1:$FM$39</definedName>
    <definedName name="Z_296794E7_C7DF_4FC0_9C3D_88A4D67B4F0E_.wvu.FilterData" localSheetId="3" hidden="1">Mar!$FE$1:$FM$39</definedName>
    <definedName name="Z_296794E7_C7DF_4FC0_9C3D_88A4D67B4F0E_.wvu.FilterData" localSheetId="11" hidden="1">Nov!$FE$1:$FM$39</definedName>
    <definedName name="Z_296794E7_C7DF_4FC0_9C3D_88A4D67B4F0E_.wvu.FilterData" localSheetId="10" hidden="1">Out!$FE$1:$FM$39</definedName>
    <definedName name="Z_296794E7_C7DF_4FC0_9C3D_88A4D67B4F0E_.wvu.FilterData" localSheetId="9" hidden="1">Set!$FE$1:$FM$39</definedName>
    <definedName name="Z_2AC5484B_B206_4B23_856F_76F52D86C61B_.wvu.Cols" localSheetId="4" hidden="1">Abr!$DR:$DR,Abr!$FR:$FW</definedName>
    <definedName name="Z_2AC5484B_B206_4B23_856F_76F52D86C61B_.wvu.Cols" localSheetId="8" hidden="1">Ago!$DR:$DR,Ago!$FR:$FW</definedName>
    <definedName name="Z_2AC5484B_B206_4B23_856F_76F52D86C61B_.wvu.Cols" localSheetId="12" hidden="1">Dez!$DR:$DR,Dez!$FR:$FW</definedName>
    <definedName name="Z_2AC5484B_B206_4B23_856F_76F52D86C61B_.wvu.Cols" localSheetId="2" hidden="1">Fev!$DR:$DR,Fev!$FR:$FW</definedName>
    <definedName name="Z_2AC5484B_B206_4B23_856F_76F52D86C61B_.wvu.Cols" localSheetId="1" hidden="1">Jan!$DR:$DR,Jan!$FR:$FW</definedName>
    <definedName name="Z_2AC5484B_B206_4B23_856F_76F52D86C61B_.wvu.Cols" localSheetId="7" hidden="1">Jul!$DR:$DR,Jul!$FR:$FW</definedName>
    <definedName name="Z_2AC5484B_B206_4B23_856F_76F52D86C61B_.wvu.Cols" localSheetId="6" hidden="1">Jun!$DR:$DR,Jun!$FR:$FW</definedName>
    <definedName name="Z_2AC5484B_B206_4B23_856F_76F52D86C61B_.wvu.Cols" localSheetId="5" hidden="1">Mai!$DR:$DR,Mai!$FR:$FW</definedName>
    <definedName name="Z_2AC5484B_B206_4B23_856F_76F52D86C61B_.wvu.Cols" localSheetId="0" hidden="1">'MAI (2)'!$DR:$DR,'MAI (2)'!$FR:$FW</definedName>
    <definedName name="Z_2AC5484B_B206_4B23_856F_76F52D86C61B_.wvu.Cols" localSheetId="3" hidden="1">Mar!$DR:$DR,Mar!$FR:$FW</definedName>
    <definedName name="Z_2AC5484B_B206_4B23_856F_76F52D86C61B_.wvu.Cols" localSheetId="11" hidden="1">Nov!$DR:$DR,Nov!$FR:$FW</definedName>
    <definedName name="Z_2AC5484B_B206_4B23_856F_76F52D86C61B_.wvu.Cols" localSheetId="10" hidden="1">Out!$DR:$DR,Out!$FR:$FW</definedName>
    <definedName name="Z_2AC5484B_B206_4B23_856F_76F52D86C61B_.wvu.Cols" localSheetId="9" hidden="1">Set!$DR:$DR,Set!$FR:$FW</definedName>
    <definedName name="Z_2BDE7EC1_2CC6_436C_801B_ACC8C70DCA88_.wvu.Cols" localSheetId="4" hidden="1">Abr!$DR:$DR</definedName>
    <definedName name="Z_2BDE7EC1_2CC6_436C_801B_ACC8C70DCA88_.wvu.Cols" localSheetId="8" hidden="1">Ago!$DR:$DR</definedName>
    <definedName name="Z_2BDE7EC1_2CC6_436C_801B_ACC8C70DCA88_.wvu.Cols" localSheetId="12" hidden="1">Dez!$DR:$DR</definedName>
    <definedName name="Z_2BDE7EC1_2CC6_436C_801B_ACC8C70DCA88_.wvu.Cols" localSheetId="2" hidden="1">Fev!$DR:$DR</definedName>
    <definedName name="Z_2BDE7EC1_2CC6_436C_801B_ACC8C70DCA88_.wvu.Cols" localSheetId="1" hidden="1">Jan!$DR:$DR</definedName>
    <definedName name="Z_2BDE7EC1_2CC6_436C_801B_ACC8C70DCA88_.wvu.Cols" localSheetId="7" hidden="1">Jul!$DR:$DR</definedName>
    <definedName name="Z_2BDE7EC1_2CC6_436C_801B_ACC8C70DCA88_.wvu.Cols" localSheetId="6" hidden="1">Jun!$DR:$DR</definedName>
    <definedName name="Z_2BDE7EC1_2CC6_436C_801B_ACC8C70DCA88_.wvu.Cols" localSheetId="5" hidden="1">Mai!$DR:$DR</definedName>
    <definedName name="Z_2BDE7EC1_2CC6_436C_801B_ACC8C70DCA88_.wvu.Cols" localSheetId="0" hidden="1">'MAI (2)'!$DR:$DR</definedName>
    <definedName name="Z_2BDE7EC1_2CC6_436C_801B_ACC8C70DCA88_.wvu.Cols" localSheetId="3" hidden="1">Mar!$DR:$DR</definedName>
    <definedName name="Z_2BDE7EC1_2CC6_436C_801B_ACC8C70DCA88_.wvu.Cols" localSheetId="11" hidden="1">Nov!$DR:$DR</definedName>
    <definedName name="Z_2BDE7EC1_2CC6_436C_801B_ACC8C70DCA88_.wvu.Cols" localSheetId="10" hidden="1">Out!$DR:$DR</definedName>
    <definedName name="Z_2BDE7EC1_2CC6_436C_801B_ACC8C70DCA88_.wvu.Cols" localSheetId="9" hidden="1">Set!$DR:$DR</definedName>
    <definedName name="Z_2FE27D8E_D746_45CF_9D64_276EA109E9EB_.wvu.FilterData" localSheetId="4" hidden="1">Abr!$FE$1:$FM$39</definedName>
    <definedName name="Z_2FE27D8E_D746_45CF_9D64_276EA109E9EB_.wvu.FilterData" localSheetId="8" hidden="1">Ago!$FE$1:$FM$39</definedName>
    <definedName name="Z_2FE27D8E_D746_45CF_9D64_276EA109E9EB_.wvu.FilterData" localSheetId="12" hidden="1">Dez!$FE$1:$FM$39</definedName>
    <definedName name="Z_2FE27D8E_D746_45CF_9D64_276EA109E9EB_.wvu.FilterData" localSheetId="2" hidden="1">Fev!$FE$1:$FM$36</definedName>
    <definedName name="Z_2FE27D8E_D746_45CF_9D64_276EA109E9EB_.wvu.FilterData" localSheetId="1" hidden="1">Jan!$FE$1:$FM$39</definedName>
    <definedName name="Z_2FE27D8E_D746_45CF_9D64_276EA109E9EB_.wvu.FilterData" localSheetId="7" hidden="1">Jul!$FE$1:$FM$39</definedName>
    <definedName name="Z_2FE27D8E_D746_45CF_9D64_276EA109E9EB_.wvu.FilterData" localSheetId="6" hidden="1">Jun!$FE$1:$FM$39</definedName>
    <definedName name="Z_2FE27D8E_D746_45CF_9D64_276EA109E9EB_.wvu.FilterData" localSheetId="5" hidden="1">Mai!$FE$1:$FM$39</definedName>
    <definedName name="Z_2FE27D8E_D746_45CF_9D64_276EA109E9EB_.wvu.FilterData" localSheetId="0" hidden="1">'MAI (2)'!$FE$1:$FM$39</definedName>
    <definedName name="Z_2FE27D8E_D746_45CF_9D64_276EA109E9EB_.wvu.FilterData" localSheetId="3" hidden="1">Mar!$FE$1:$FM$39</definedName>
    <definedName name="Z_2FE27D8E_D746_45CF_9D64_276EA109E9EB_.wvu.FilterData" localSheetId="11" hidden="1">Nov!$FE$1:$FM$39</definedName>
    <definedName name="Z_2FE27D8E_D746_45CF_9D64_276EA109E9EB_.wvu.FilterData" localSheetId="10" hidden="1">Out!$FE$1:$FM$39</definedName>
    <definedName name="Z_2FE27D8E_D746_45CF_9D64_276EA109E9EB_.wvu.FilterData" localSheetId="9" hidden="1">Set!$FE$1:$FM$39</definedName>
    <definedName name="Z_30216478_DDB8_4A74_BB91_0C26A6E27A44_.wvu.FilterData" localSheetId="4" hidden="1">Abr!$FE$1:$FM$39</definedName>
    <definedName name="Z_30216478_DDB8_4A74_BB91_0C26A6E27A44_.wvu.FilterData" localSheetId="8" hidden="1">Ago!$FE$1:$FM$39</definedName>
    <definedName name="Z_30216478_DDB8_4A74_BB91_0C26A6E27A44_.wvu.FilterData" localSheetId="12" hidden="1">Dez!$FE$1:$FM$39</definedName>
    <definedName name="Z_30216478_DDB8_4A74_BB91_0C26A6E27A44_.wvu.FilterData" localSheetId="2" hidden="1">Fev!$FE$1:$FM$36</definedName>
    <definedName name="Z_30216478_DDB8_4A74_BB91_0C26A6E27A44_.wvu.FilterData" localSheetId="1" hidden="1">Jan!$FE$1:$FM$39</definedName>
    <definedName name="Z_30216478_DDB8_4A74_BB91_0C26A6E27A44_.wvu.FilterData" localSheetId="7" hidden="1">Jul!$FE$1:$FM$39</definedName>
    <definedName name="Z_30216478_DDB8_4A74_BB91_0C26A6E27A44_.wvu.FilterData" localSheetId="6" hidden="1">Jun!$FE$1:$FM$39</definedName>
    <definedName name="Z_30216478_DDB8_4A74_BB91_0C26A6E27A44_.wvu.FilterData" localSheetId="5" hidden="1">Mai!$FE$1:$FM$39</definedName>
    <definedName name="Z_30216478_DDB8_4A74_BB91_0C26A6E27A44_.wvu.FilterData" localSheetId="0" hidden="1">'MAI (2)'!$FE$1:$FM$39</definedName>
    <definedName name="Z_30216478_DDB8_4A74_BB91_0C26A6E27A44_.wvu.FilterData" localSheetId="3" hidden="1">Mar!$FE$1:$FM$39</definedName>
    <definedName name="Z_30216478_DDB8_4A74_BB91_0C26A6E27A44_.wvu.FilterData" localSheetId="11" hidden="1">Nov!$FE$1:$FM$39</definedName>
    <definedName name="Z_30216478_DDB8_4A74_BB91_0C26A6E27A44_.wvu.FilterData" localSheetId="10" hidden="1">Out!$FE$1:$FM$39</definedName>
    <definedName name="Z_30216478_DDB8_4A74_BB91_0C26A6E27A44_.wvu.FilterData" localSheetId="9" hidden="1">Set!$FE$1:$FM$39</definedName>
    <definedName name="Z_30D8C052_7491_47AE_954A_F5B2863EB8AD_.wvu.FilterData" localSheetId="4" hidden="1">Abr!$FE$1:$FM$39</definedName>
    <definedName name="Z_30D8C052_7491_47AE_954A_F5B2863EB8AD_.wvu.FilterData" localSheetId="8" hidden="1">Ago!$FE$1:$FM$39</definedName>
    <definedName name="Z_30D8C052_7491_47AE_954A_F5B2863EB8AD_.wvu.FilterData" localSheetId="12" hidden="1">Dez!$FE$1:$FM$39</definedName>
    <definedName name="Z_30D8C052_7491_47AE_954A_F5B2863EB8AD_.wvu.FilterData" localSheetId="2" hidden="1">Fev!$FE$1:$FM$36</definedName>
    <definedName name="Z_30D8C052_7491_47AE_954A_F5B2863EB8AD_.wvu.FilterData" localSheetId="1" hidden="1">Jan!$FE$1:$FM$39</definedName>
    <definedName name="Z_30D8C052_7491_47AE_954A_F5B2863EB8AD_.wvu.FilterData" localSheetId="7" hidden="1">Jul!$FE$1:$FM$39</definedName>
    <definedName name="Z_30D8C052_7491_47AE_954A_F5B2863EB8AD_.wvu.FilterData" localSheetId="6" hidden="1">Jun!$FE$1:$FM$39</definedName>
    <definedName name="Z_30D8C052_7491_47AE_954A_F5B2863EB8AD_.wvu.FilterData" localSheetId="5" hidden="1">Mai!$FE$1:$FM$39</definedName>
    <definedName name="Z_30D8C052_7491_47AE_954A_F5B2863EB8AD_.wvu.FilterData" localSheetId="0" hidden="1">'MAI (2)'!$FE$1:$FM$39</definedName>
    <definedName name="Z_30D8C052_7491_47AE_954A_F5B2863EB8AD_.wvu.FilterData" localSheetId="3" hidden="1">Mar!$FE$1:$FM$39</definedName>
    <definedName name="Z_30D8C052_7491_47AE_954A_F5B2863EB8AD_.wvu.FilterData" localSheetId="11" hidden="1">Nov!$FE$1:$FM$39</definedName>
    <definedName name="Z_30D8C052_7491_47AE_954A_F5B2863EB8AD_.wvu.FilterData" localSheetId="10" hidden="1">Out!$FE$1:$FM$39</definedName>
    <definedName name="Z_30D8C052_7491_47AE_954A_F5B2863EB8AD_.wvu.FilterData" localSheetId="9" hidden="1">Set!$FE$1:$FM$39</definedName>
    <definedName name="Z_34EDC84D_4B3C_44BF_BB1A_7A0DFA8F65E7_.wvu.Cols" localSheetId="4" hidden="1">Abr!$FR:$FW</definedName>
    <definedName name="Z_34EDC84D_4B3C_44BF_BB1A_7A0DFA8F65E7_.wvu.Cols" localSheetId="8" hidden="1">Ago!$FR:$FV</definedName>
    <definedName name="Z_34EDC84D_4B3C_44BF_BB1A_7A0DFA8F65E7_.wvu.Cols" localSheetId="12" hidden="1">Dez!$FR:$FV</definedName>
    <definedName name="Z_34EDC84D_4B3C_44BF_BB1A_7A0DFA8F65E7_.wvu.Cols" localSheetId="2" hidden="1">Fev!$FP:$FP,Fev!$FR:$FW</definedName>
    <definedName name="Z_34EDC84D_4B3C_44BF_BB1A_7A0DFA8F65E7_.wvu.Cols" localSheetId="1" hidden="1">Jan!$FR:$FW</definedName>
    <definedName name="Z_34EDC84D_4B3C_44BF_BB1A_7A0DFA8F65E7_.wvu.Cols" localSheetId="7" hidden="1">Jul!$FR:$FW</definedName>
    <definedName name="Z_34EDC84D_4B3C_44BF_BB1A_7A0DFA8F65E7_.wvu.Cols" localSheetId="6" hidden="1">Jun!$FR:$FW</definedName>
    <definedName name="Z_34EDC84D_4B3C_44BF_BB1A_7A0DFA8F65E7_.wvu.Cols" localSheetId="5" hidden="1">Mai!$FR:$FW</definedName>
    <definedName name="Z_34EDC84D_4B3C_44BF_BB1A_7A0DFA8F65E7_.wvu.Cols" localSheetId="0" hidden="1">'MAI (2)'!$FR:$FW</definedName>
    <definedName name="Z_34EDC84D_4B3C_44BF_BB1A_7A0DFA8F65E7_.wvu.Cols" localSheetId="3" hidden="1">Mar!$FR:$FW</definedName>
    <definedName name="Z_34EDC84D_4B3C_44BF_BB1A_7A0DFA8F65E7_.wvu.Cols" localSheetId="11" hidden="1">Nov!$FR:$FV</definedName>
    <definedName name="Z_34EDC84D_4B3C_44BF_BB1A_7A0DFA8F65E7_.wvu.Cols" localSheetId="10" hidden="1">Out!$FR:$FV</definedName>
    <definedName name="Z_34EDC84D_4B3C_44BF_BB1A_7A0DFA8F65E7_.wvu.Cols" localSheetId="9" hidden="1">Set!$FR:$FV</definedName>
    <definedName name="Z_34EDC84D_4B3C_44BF_BB1A_7A0DFA8F65E7_.wvu.FilterData" localSheetId="4" hidden="1">Abr!$FE$1:$FM$39</definedName>
    <definedName name="Z_34EDC84D_4B3C_44BF_BB1A_7A0DFA8F65E7_.wvu.FilterData" localSheetId="8" hidden="1">Ago!$FE$1:$FM$39</definedName>
    <definedName name="Z_34EDC84D_4B3C_44BF_BB1A_7A0DFA8F65E7_.wvu.FilterData" localSheetId="12" hidden="1">Dez!$FE$1:$FM$39</definedName>
    <definedName name="Z_34EDC84D_4B3C_44BF_BB1A_7A0DFA8F65E7_.wvu.FilterData" localSheetId="2" hidden="1">Fev!$FE$1:$FM$36</definedName>
    <definedName name="Z_34EDC84D_4B3C_44BF_BB1A_7A0DFA8F65E7_.wvu.FilterData" localSheetId="1" hidden="1">Jan!$FE$1:$FM$39</definedName>
    <definedName name="Z_34EDC84D_4B3C_44BF_BB1A_7A0DFA8F65E7_.wvu.FilterData" localSheetId="7" hidden="1">Jul!$FE$1:$FM$39</definedName>
    <definedName name="Z_34EDC84D_4B3C_44BF_BB1A_7A0DFA8F65E7_.wvu.FilterData" localSheetId="6" hidden="1">Jun!$FE$1:$FM$39</definedName>
    <definedName name="Z_34EDC84D_4B3C_44BF_BB1A_7A0DFA8F65E7_.wvu.FilterData" localSheetId="5" hidden="1">Mai!$FE$1:$FM$39</definedName>
    <definedName name="Z_34EDC84D_4B3C_44BF_BB1A_7A0DFA8F65E7_.wvu.FilterData" localSheetId="0" hidden="1">'MAI (2)'!$FE$1:$FM$39</definedName>
    <definedName name="Z_34EDC84D_4B3C_44BF_BB1A_7A0DFA8F65E7_.wvu.FilterData" localSheetId="3" hidden="1">Mar!$FE$1:$FM$39</definedName>
    <definedName name="Z_34EDC84D_4B3C_44BF_BB1A_7A0DFA8F65E7_.wvu.FilterData" localSheetId="11" hidden="1">Nov!$FE$1:$FM$39</definedName>
    <definedName name="Z_34EDC84D_4B3C_44BF_BB1A_7A0DFA8F65E7_.wvu.FilterData" localSheetId="10" hidden="1">Out!$FE$1:$FM$39</definedName>
    <definedName name="Z_34EDC84D_4B3C_44BF_BB1A_7A0DFA8F65E7_.wvu.FilterData" localSheetId="9" hidden="1">Set!$FE$1:$FM$39</definedName>
    <definedName name="Z_34EDC84D_4B3C_44BF_BB1A_7A0DFA8F65E7_.wvu.Rows" localSheetId="2" hidden="1">Fev!$70:$71</definedName>
    <definedName name="Z_34EDC84D_4B3C_44BF_BB1A_7A0DFA8F65E7_.wvu.Rows" localSheetId="14" hidden="1">'Histórico ind.'!$28:$28</definedName>
    <definedName name="Z_37EE8F91_DFC1_4DCA_8A55_ECF1F9957F04_.wvu.Cols" localSheetId="4" hidden="1">Abr!$DR:$DR,Abr!$DT:$DT,Abr!#REF!,Abr!$FR:$FW</definedName>
    <definedName name="Z_37EE8F91_DFC1_4DCA_8A55_ECF1F9957F04_.wvu.Cols" localSheetId="8" hidden="1">Ago!$DR:$DR,Ago!$DT:$DT,Ago!#REF!,Ago!$FR:$FW</definedName>
    <definedName name="Z_37EE8F91_DFC1_4DCA_8A55_ECF1F9957F04_.wvu.Cols" localSheetId="12" hidden="1">Dez!$DR:$DR,Dez!$DT:$DT,Dez!#REF!,Dez!$FR:$FW</definedName>
    <definedName name="Z_37EE8F91_DFC1_4DCA_8A55_ECF1F9957F04_.wvu.Cols" localSheetId="2" hidden="1">Fev!$DR:$DR,Fev!$DT:$DT,Fev!#REF!,Fev!$FR:$FW</definedName>
    <definedName name="Z_37EE8F91_DFC1_4DCA_8A55_ECF1F9957F04_.wvu.Cols" localSheetId="1" hidden="1">Jan!$DR:$DR,Jan!$DT:$DT,Jan!#REF!,Jan!$FR:$FW</definedName>
    <definedName name="Z_37EE8F91_DFC1_4DCA_8A55_ECF1F9957F04_.wvu.Cols" localSheetId="7" hidden="1">Jul!$DR:$DR,Jul!$DT:$DT,Jul!#REF!,Jul!$FR:$FW</definedName>
    <definedName name="Z_37EE8F91_DFC1_4DCA_8A55_ECF1F9957F04_.wvu.Cols" localSheetId="6" hidden="1">Jun!$DR:$DR,Jun!$DT:$DT,Jun!#REF!,Jun!$FR:$FW</definedName>
    <definedName name="Z_37EE8F91_DFC1_4DCA_8A55_ECF1F9957F04_.wvu.Cols" localSheetId="5" hidden="1">Mai!$DR:$DR,Mai!$DT:$DT,Mai!#REF!,Mai!$FR:$FW</definedName>
    <definedName name="Z_37EE8F91_DFC1_4DCA_8A55_ECF1F9957F04_.wvu.Cols" localSheetId="0" hidden="1">'MAI (2)'!$DR:$DR,'MAI (2)'!$DT:$DT,'MAI (2)'!#REF!,'MAI (2)'!$FR:$FW</definedName>
    <definedName name="Z_37EE8F91_DFC1_4DCA_8A55_ECF1F9957F04_.wvu.Cols" localSheetId="3" hidden="1">Mar!$DR:$DR,Mar!$DT:$DT,Mar!#REF!,Mar!$FR:$FW</definedName>
    <definedName name="Z_37EE8F91_DFC1_4DCA_8A55_ECF1F9957F04_.wvu.Cols" localSheetId="11" hidden="1">Nov!$DR:$DR,Nov!$DT:$DT,Nov!#REF!,Nov!$FR:$FW</definedName>
    <definedName name="Z_37EE8F91_DFC1_4DCA_8A55_ECF1F9957F04_.wvu.Cols" localSheetId="10" hidden="1">Out!$DR:$DR,Out!$DT:$DT,Out!#REF!,Out!$FR:$FW</definedName>
    <definedName name="Z_37EE8F91_DFC1_4DCA_8A55_ECF1F9957F04_.wvu.Cols" localSheetId="9" hidden="1">Set!$DR:$DR,Set!$DT:$DT,Set!#REF!,Set!$FR:$FW</definedName>
    <definedName name="Z_3844ECE1_4014_48AC_ADBF_9FAB1C1E0D9E_.wvu.FilterData" localSheetId="4" hidden="1">Abr!$FE$1:$FM$39</definedName>
    <definedName name="Z_3844ECE1_4014_48AC_ADBF_9FAB1C1E0D9E_.wvu.FilterData" localSheetId="8" hidden="1">Ago!$FE$1:$FM$39</definedName>
    <definedName name="Z_3844ECE1_4014_48AC_ADBF_9FAB1C1E0D9E_.wvu.FilterData" localSheetId="12" hidden="1">Dez!$FE$1:$FM$39</definedName>
    <definedName name="Z_3844ECE1_4014_48AC_ADBF_9FAB1C1E0D9E_.wvu.FilterData" localSheetId="2" hidden="1">Fev!$FE$1:$FM$36</definedName>
    <definedName name="Z_3844ECE1_4014_48AC_ADBF_9FAB1C1E0D9E_.wvu.FilterData" localSheetId="1" hidden="1">Jan!$FE$1:$FM$39</definedName>
    <definedName name="Z_3844ECE1_4014_48AC_ADBF_9FAB1C1E0D9E_.wvu.FilterData" localSheetId="7" hidden="1">Jul!$FE$1:$FM$39</definedName>
    <definedName name="Z_3844ECE1_4014_48AC_ADBF_9FAB1C1E0D9E_.wvu.FilterData" localSheetId="6" hidden="1">Jun!$FE$1:$FM$39</definedName>
    <definedName name="Z_3844ECE1_4014_48AC_ADBF_9FAB1C1E0D9E_.wvu.FilterData" localSheetId="5" hidden="1">Mai!$FE$1:$FM$39</definedName>
    <definedName name="Z_3844ECE1_4014_48AC_ADBF_9FAB1C1E0D9E_.wvu.FilterData" localSheetId="0" hidden="1">'MAI (2)'!$FE$1:$FM$39</definedName>
    <definedName name="Z_3844ECE1_4014_48AC_ADBF_9FAB1C1E0D9E_.wvu.FilterData" localSheetId="3" hidden="1">Mar!$FE$1:$FM$39</definedName>
    <definedName name="Z_3844ECE1_4014_48AC_ADBF_9FAB1C1E0D9E_.wvu.FilterData" localSheetId="11" hidden="1">Nov!$FE$1:$FM$39</definedName>
    <definedName name="Z_3844ECE1_4014_48AC_ADBF_9FAB1C1E0D9E_.wvu.FilterData" localSheetId="10" hidden="1">Out!$FE$1:$FM$39</definedName>
    <definedName name="Z_3844ECE1_4014_48AC_ADBF_9FAB1C1E0D9E_.wvu.FilterData" localSheetId="9" hidden="1">Set!$FE$1:$FM$39</definedName>
    <definedName name="Z_38A8E589_C19E_4D7A_868D_FFB58093269E_.wvu.Cols" localSheetId="4" hidden="1">Abr!$FR:$FW</definedName>
    <definedName name="Z_38A8E589_C19E_4D7A_868D_FFB58093269E_.wvu.Cols" localSheetId="8" hidden="1">Ago!$FR:$FW</definedName>
    <definedName name="Z_38A8E589_C19E_4D7A_868D_FFB58093269E_.wvu.Cols" localSheetId="12" hidden="1">Dez!$FR:$FW</definedName>
    <definedName name="Z_38A8E589_C19E_4D7A_868D_FFB58093269E_.wvu.Cols" localSheetId="2" hidden="1">Fev!$FR:$FW</definedName>
    <definedName name="Z_38A8E589_C19E_4D7A_868D_FFB58093269E_.wvu.Cols" localSheetId="1" hidden="1">Jan!$FR:$FW</definedName>
    <definedName name="Z_38A8E589_C19E_4D7A_868D_FFB58093269E_.wvu.Cols" localSheetId="7" hidden="1">Jul!$FR:$FW</definedName>
    <definedName name="Z_38A8E589_C19E_4D7A_868D_FFB58093269E_.wvu.Cols" localSheetId="6" hidden="1">Jun!$FR:$FW</definedName>
    <definedName name="Z_38A8E589_C19E_4D7A_868D_FFB58093269E_.wvu.Cols" localSheetId="5" hidden="1">Mai!$FR:$FW</definedName>
    <definedName name="Z_38A8E589_C19E_4D7A_868D_FFB58093269E_.wvu.Cols" localSheetId="0" hidden="1">'MAI (2)'!$FR:$FW</definedName>
    <definedName name="Z_38A8E589_C19E_4D7A_868D_FFB58093269E_.wvu.Cols" localSheetId="3" hidden="1">Mar!$FR:$FW</definedName>
    <definedName name="Z_38A8E589_C19E_4D7A_868D_FFB58093269E_.wvu.Cols" localSheetId="11" hidden="1">Nov!$FR:$FW</definedName>
    <definedName name="Z_38A8E589_C19E_4D7A_868D_FFB58093269E_.wvu.Cols" localSheetId="10" hidden="1">Out!$FR:$FW</definedName>
    <definedName name="Z_38A8E589_C19E_4D7A_868D_FFB58093269E_.wvu.Cols" localSheetId="9" hidden="1">Set!$FR:$FW</definedName>
    <definedName name="Z_38A8E589_C19E_4D7A_868D_FFB58093269E_.wvu.FilterData" localSheetId="4" hidden="1">Abr!$FE$1:$FM$39</definedName>
    <definedName name="Z_38A8E589_C19E_4D7A_868D_FFB58093269E_.wvu.FilterData" localSheetId="8" hidden="1">Ago!$FE$1:$FM$39</definedName>
    <definedName name="Z_38A8E589_C19E_4D7A_868D_FFB58093269E_.wvu.FilterData" localSheetId="12" hidden="1">Dez!$FE$1:$FM$39</definedName>
    <definedName name="Z_38A8E589_C19E_4D7A_868D_FFB58093269E_.wvu.FilterData" localSheetId="2" hidden="1">Fev!$FE$1:$FM$36</definedName>
    <definedName name="Z_38A8E589_C19E_4D7A_868D_FFB58093269E_.wvu.FilterData" localSheetId="1" hidden="1">Jan!$FE$1:$FM$39</definedName>
    <definedName name="Z_38A8E589_C19E_4D7A_868D_FFB58093269E_.wvu.FilterData" localSheetId="7" hidden="1">Jul!$FE$1:$FM$39</definedName>
    <definedName name="Z_38A8E589_C19E_4D7A_868D_FFB58093269E_.wvu.FilterData" localSheetId="6" hidden="1">Jun!$FE$1:$FM$39</definedName>
    <definedName name="Z_38A8E589_C19E_4D7A_868D_FFB58093269E_.wvu.FilterData" localSheetId="5" hidden="1">Mai!$FE$1:$FM$39</definedName>
    <definedName name="Z_38A8E589_C19E_4D7A_868D_FFB58093269E_.wvu.FilterData" localSheetId="0" hidden="1">'MAI (2)'!$FE$1:$FM$39</definedName>
    <definedName name="Z_38A8E589_C19E_4D7A_868D_FFB58093269E_.wvu.FilterData" localSheetId="3" hidden="1">Mar!$FE$1:$FM$39</definedName>
    <definedName name="Z_38A8E589_C19E_4D7A_868D_FFB58093269E_.wvu.FilterData" localSheetId="11" hidden="1">Nov!$FE$1:$FM$39</definedName>
    <definedName name="Z_38A8E589_C19E_4D7A_868D_FFB58093269E_.wvu.FilterData" localSheetId="10" hidden="1">Out!$FE$1:$FM$39</definedName>
    <definedName name="Z_38A8E589_C19E_4D7A_868D_FFB58093269E_.wvu.FilterData" localSheetId="9" hidden="1">Set!$FE$1:$FM$39</definedName>
    <definedName name="Z_392DD462_6A72_4673_9C0F_719B87061C6B_.wvu.FilterData" localSheetId="4" hidden="1">Abr!$FE$1:$FM$39</definedName>
    <definedName name="Z_392DD462_6A72_4673_9C0F_719B87061C6B_.wvu.FilterData" localSheetId="8" hidden="1">Ago!$FE$1:$FM$39</definedName>
    <definedName name="Z_392DD462_6A72_4673_9C0F_719B87061C6B_.wvu.FilterData" localSheetId="12" hidden="1">Dez!$FE$1:$FM$39</definedName>
    <definedName name="Z_392DD462_6A72_4673_9C0F_719B87061C6B_.wvu.FilterData" localSheetId="2" hidden="1">Fev!$FE$1:$FM$36</definedName>
    <definedName name="Z_392DD462_6A72_4673_9C0F_719B87061C6B_.wvu.FilterData" localSheetId="1" hidden="1">Jan!$FE$1:$FM$39</definedName>
    <definedName name="Z_392DD462_6A72_4673_9C0F_719B87061C6B_.wvu.FilterData" localSheetId="7" hidden="1">Jul!$FE$1:$FM$39</definedName>
    <definedName name="Z_392DD462_6A72_4673_9C0F_719B87061C6B_.wvu.FilterData" localSheetId="6" hidden="1">Jun!$FE$1:$FM$39</definedName>
    <definedName name="Z_392DD462_6A72_4673_9C0F_719B87061C6B_.wvu.FilterData" localSheetId="5" hidden="1">Mai!$FE$1:$FM$39</definedName>
    <definedName name="Z_392DD462_6A72_4673_9C0F_719B87061C6B_.wvu.FilterData" localSheetId="0" hidden="1">'MAI (2)'!$FE$1:$FM$39</definedName>
    <definedName name="Z_392DD462_6A72_4673_9C0F_719B87061C6B_.wvu.FilterData" localSheetId="3" hidden="1">Mar!$FE$1:$FM$39</definedName>
    <definedName name="Z_392DD462_6A72_4673_9C0F_719B87061C6B_.wvu.FilterData" localSheetId="11" hidden="1">Nov!$FE$1:$FM$39</definedName>
    <definedName name="Z_392DD462_6A72_4673_9C0F_719B87061C6B_.wvu.FilterData" localSheetId="10" hidden="1">Out!$FE$1:$FM$39</definedName>
    <definedName name="Z_392DD462_6A72_4673_9C0F_719B87061C6B_.wvu.FilterData" localSheetId="9" hidden="1">Set!$FE$1:$FM$39</definedName>
    <definedName name="Z_399C5C86_95EE_4938_B840_F92823BDA6F3_.wvu.FilterData" localSheetId="4" hidden="1">Abr!$FE$1:$FM$39</definedName>
    <definedName name="Z_399C5C86_95EE_4938_B840_F92823BDA6F3_.wvu.FilterData" localSheetId="8" hidden="1">Ago!$FE$1:$FM$39</definedName>
    <definedName name="Z_399C5C86_95EE_4938_B840_F92823BDA6F3_.wvu.FilterData" localSheetId="12" hidden="1">Dez!$FE$1:$FM$39</definedName>
    <definedName name="Z_399C5C86_95EE_4938_B840_F92823BDA6F3_.wvu.FilterData" localSheetId="2" hidden="1">Fev!$FE$1:$FM$36</definedName>
    <definedName name="Z_399C5C86_95EE_4938_B840_F92823BDA6F3_.wvu.FilterData" localSheetId="1" hidden="1">Jan!$FE$1:$FM$39</definedName>
    <definedName name="Z_399C5C86_95EE_4938_B840_F92823BDA6F3_.wvu.FilterData" localSheetId="7" hidden="1">Jul!$FE$1:$FM$39</definedName>
    <definedName name="Z_399C5C86_95EE_4938_B840_F92823BDA6F3_.wvu.FilterData" localSheetId="6" hidden="1">Jun!$FE$1:$FM$39</definedName>
    <definedName name="Z_399C5C86_95EE_4938_B840_F92823BDA6F3_.wvu.FilterData" localSheetId="5" hidden="1">Mai!$FE$1:$FM$39</definedName>
    <definedName name="Z_399C5C86_95EE_4938_B840_F92823BDA6F3_.wvu.FilterData" localSheetId="0" hidden="1">'MAI (2)'!$FE$1:$FM$39</definedName>
    <definedName name="Z_399C5C86_95EE_4938_B840_F92823BDA6F3_.wvu.FilterData" localSheetId="3" hidden="1">Mar!$FE$1:$FM$39</definedName>
    <definedName name="Z_399C5C86_95EE_4938_B840_F92823BDA6F3_.wvu.FilterData" localSheetId="11" hidden="1">Nov!$FE$1:$FM$39</definedName>
    <definedName name="Z_399C5C86_95EE_4938_B840_F92823BDA6F3_.wvu.FilterData" localSheetId="10" hidden="1">Out!$FE$1:$FM$39</definedName>
    <definedName name="Z_399C5C86_95EE_4938_B840_F92823BDA6F3_.wvu.FilterData" localSheetId="9" hidden="1">Set!$FE$1:$FM$39</definedName>
    <definedName name="Z_3B38895A_2DB9_4C56_8BD6_F6288B46E5AB_.wvu.Cols" localSheetId="4" hidden="1">Abr!$FR:$FW</definedName>
    <definedName name="Z_3B38895A_2DB9_4C56_8BD6_F6288B46E5AB_.wvu.Cols" localSheetId="8" hidden="1">Ago!$FR:$FW</definedName>
    <definedName name="Z_3B38895A_2DB9_4C56_8BD6_F6288B46E5AB_.wvu.Cols" localSheetId="12" hidden="1">Dez!$FR:$FW</definedName>
    <definedName name="Z_3B38895A_2DB9_4C56_8BD6_F6288B46E5AB_.wvu.Cols" localSheetId="2" hidden="1">Fev!$FR:$FW</definedName>
    <definedName name="Z_3B38895A_2DB9_4C56_8BD6_F6288B46E5AB_.wvu.Cols" localSheetId="1" hidden="1">Jan!$FR:$FW</definedName>
    <definedName name="Z_3B38895A_2DB9_4C56_8BD6_F6288B46E5AB_.wvu.Cols" localSheetId="7" hidden="1">Jul!$FR:$FW</definedName>
    <definedName name="Z_3B38895A_2DB9_4C56_8BD6_F6288B46E5AB_.wvu.Cols" localSheetId="6" hidden="1">Jun!$FR:$FW</definedName>
    <definedName name="Z_3B38895A_2DB9_4C56_8BD6_F6288B46E5AB_.wvu.Cols" localSheetId="5" hidden="1">Mai!$FR:$FW</definedName>
    <definedName name="Z_3B38895A_2DB9_4C56_8BD6_F6288B46E5AB_.wvu.Cols" localSheetId="0" hidden="1">'MAI (2)'!$FR:$FW</definedName>
    <definedName name="Z_3B38895A_2DB9_4C56_8BD6_F6288B46E5AB_.wvu.Cols" localSheetId="3" hidden="1">Mar!$FR:$FW</definedName>
    <definedName name="Z_3B38895A_2DB9_4C56_8BD6_F6288B46E5AB_.wvu.Cols" localSheetId="11" hidden="1">Nov!$FR:$FW</definedName>
    <definedName name="Z_3B38895A_2DB9_4C56_8BD6_F6288B46E5AB_.wvu.Cols" localSheetId="10" hidden="1">Out!$FR:$FW</definedName>
    <definedName name="Z_3B38895A_2DB9_4C56_8BD6_F6288B46E5AB_.wvu.Cols" localSheetId="9" hidden="1">Set!$FR:$FW</definedName>
    <definedName name="Z_3B38895A_2DB9_4C56_8BD6_F6288B46E5AB_.wvu.FilterData" localSheetId="4" hidden="1">Abr!$FE$1:$FM$39</definedName>
    <definedName name="Z_3B38895A_2DB9_4C56_8BD6_F6288B46E5AB_.wvu.FilterData" localSheetId="8" hidden="1">Ago!$FE$1:$FM$39</definedName>
    <definedName name="Z_3B38895A_2DB9_4C56_8BD6_F6288B46E5AB_.wvu.FilterData" localSheetId="12" hidden="1">Dez!$FE$1:$FM$39</definedName>
    <definedName name="Z_3B38895A_2DB9_4C56_8BD6_F6288B46E5AB_.wvu.FilterData" localSheetId="2" hidden="1">Fev!$FE$1:$FM$36</definedName>
    <definedName name="Z_3B38895A_2DB9_4C56_8BD6_F6288B46E5AB_.wvu.FilterData" localSheetId="1" hidden="1">Jan!$FE$1:$FM$39</definedName>
    <definedName name="Z_3B38895A_2DB9_4C56_8BD6_F6288B46E5AB_.wvu.FilterData" localSheetId="7" hidden="1">Jul!$FE$1:$FM$39</definedName>
    <definedName name="Z_3B38895A_2DB9_4C56_8BD6_F6288B46E5AB_.wvu.FilterData" localSheetId="6" hidden="1">Jun!$FE$1:$FM$39</definedName>
    <definedName name="Z_3B38895A_2DB9_4C56_8BD6_F6288B46E5AB_.wvu.FilterData" localSheetId="5" hidden="1">Mai!$FE$1:$FM$39</definedName>
    <definedName name="Z_3B38895A_2DB9_4C56_8BD6_F6288B46E5AB_.wvu.FilterData" localSheetId="0" hidden="1">'MAI (2)'!$FE$1:$FM$39</definedName>
    <definedName name="Z_3B38895A_2DB9_4C56_8BD6_F6288B46E5AB_.wvu.FilterData" localSheetId="3" hidden="1">Mar!$FE$1:$FM$39</definedName>
    <definedName name="Z_3B38895A_2DB9_4C56_8BD6_F6288B46E5AB_.wvu.FilterData" localSheetId="11" hidden="1">Nov!$FE$1:$FM$39</definedName>
    <definedName name="Z_3B38895A_2DB9_4C56_8BD6_F6288B46E5AB_.wvu.FilterData" localSheetId="10" hidden="1">Out!$FE$1:$FM$39</definedName>
    <definedName name="Z_3B38895A_2DB9_4C56_8BD6_F6288B46E5AB_.wvu.FilterData" localSheetId="9" hidden="1">Set!$FE$1:$FM$39</definedName>
    <definedName name="Z_3B38895A_2DB9_4C56_8BD6_F6288B46E5AB_.wvu.Rows" localSheetId="14" hidden="1">'Histórico ind.'!$28:$28</definedName>
    <definedName name="Z_3C581192_9EED_47A5_9016_730325B3B6B0_.wvu.FilterData" localSheetId="4" hidden="1">Abr!$FE$1:$FM$39</definedName>
    <definedName name="Z_3C581192_9EED_47A5_9016_730325B3B6B0_.wvu.FilterData" localSheetId="8" hidden="1">Ago!$FE$1:$FM$39</definedName>
    <definedName name="Z_3C581192_9EED_47A5_9016_730325B3B6B0_.wvu.FilterData" localSheetId="12" hidden="1">Dez!$FE$1:$FM$39</definedName>
    <definedName name="Z_3C581192_9EED_47A5_9016_730325B3B6B0_.wvu.FilterData" localSheetId="2" hidden="1">Fev!$FE$1:$FM$36</definedName>
    <definedName name="Z_3C581192_9EED_47A5_9016_730325B3B6B0_.wvu.FilterData" localSheetId="1" hidden="1">Jan!$FE$1:$FM$39</definedName>
    <definedName name="Z_3C581192_9EED_47A5_9016_730325B3B6B0_.wvu.FilterData" localSheetId="7" hidden="1">Jul!$FE$1:$FM$39</definedName>
    <definedName name="Z_3C581192_9EED_47A5_9016_730325B3B6B0_.wvu.FilterData" localSheetId="6" hidden="1">Jun!$FE$1:$FM$39</definedName>
    <definedName name="Z_3C581192_9EED_47A5_9016_730325B3B6B0_.wvu.FilterData" localSheetId="5" hidden="1">Mai!$FE$1:$FM$39</definedName>
    <definedName name="Z_3C581192_9EED_47A5_9016_730325B3B6B0_.wvu.FilterData" localSheetId="0" hidden="1">'MAI (2)'!$FE$1:$FM$39</definedName>
    <definedName name="Z_3C581192_9EED_47A5_9016_730325B3B6B0_.wvu.FilterData" localSheetId="3" hidden="1">Mar!$FE$1:$FM$39</definedName>
    <definedName name="Z_3C581192_9EED_47A5_9016_730325B3B6B0_.wvu.FilterData" localSheetId="11" hidden="1">Nov!$FE$1:$FM$39</definedName>
    <definedName name="Z_3C581192_9EED_47A5_9016_730325B3B6B0_.wvu.FilterData" localSheetId="10" hidden="1">Out!$FE$1:$FM$39</definedName>
    <definedName name="Z_3C581192_9EED_47A5_9016_730325B3B6B0_.wvu.FilterData" localSheetId="9" hidden="1">Set!$FE$1:$FM$39</definedName>
    <definedName name="Z_3CB19E33_A339_4E6C_AC7A_42EB25E07DEA_.wvu.FilterData" localSheetId="4" hidden="1">Abr!$FE$1:$FM$39</definedName>
    <definedName name="Z_3CB19E33_A339_4E6C_AC7A_42EB25E07DEA_.wvu.FilterData" localSheetId="8" hidden="1">Ago!$FE$1:$FM$39</definedName>
    <definedName name="Z_3CB19E33_A339_4E6C_AC7A_42EB25E07DEA_.wvu.FilterData" localSheetId="12" hidden="1">Dez!$FE$1:$FM$39</definedName>
    <definedName name="Z_3CB19E33_A339_4E6C_AC7A_42EB25E07DEA_.wvu.FilterData" localSheetId="2" hidden="1">Fev!$FE$1:$FM$36</definedName>
    <definedName name="Z_3CB19E33_A339_4E6C_AC7A_42EB25E07DEA_.wvu.FilterData" localSheetId="1" hidden="1">Jan!$FE$1:$FM$39</definedName>
    <definedName name="Z_3CB19E33_A339_4E6C_AC7A_42EB25E07DEA_.wvu.FilterData" localSheetId="7" hidden="1">Jul!$FE$1:$FM$39</definedName>
    <definedName name="Z_3CB19E33_A339_4E6C_AC7A_42EB25E07DEA_.wvu.FilterData" localSheetId="6" hidden="1">Jun!$FE$1:$FM$39</definedName>
    <definedName name="Z_3CB19E33_A339_4E6C_AC7A_42EB25E07DEA_.wvu.FilterData" localSheetId="5" hidden="1">Mai!$FE$1:$FM$39</definedName>
    <definedName name="Z_3CB19E33_A339_4E6C_AC7A_42EB25E07DEA_.wvu.FilterData" localSheetId="0" hidden="1">'MAI (2)'!$FE$1:$FM$39</definedName>
    <definedName name="Z_3CB19E33_A339_4E6C_AC7A_42EB25E07DEA_.wvu.FilterData" localSheetId="3" hidden="1">Mar!$FE$1:$FM$39</definedName>
    <definedName name="Z_3CB19E33_A339_4E6C_AC7A_42EB25E07DEA_.wvu.FilterData" localSheetId="11" hidden="1">Nov!$FE$1:$FM$39</definedName>
    <definedName name="Z_3CB19E33_A339_4E6C_AC7A_42EB25E07DEA_.wvu.FilterData" localSheetId="10" hidden="1">Out!$FE$1:$FM$39</definedName>
    <definedName name="Z_3CB19E33_A339_4E6C_AC7A_42EB25E07DEA_.wvu.FilterData" localSheetId="9" hidden="1">Set!$FE$1:$FM$39</definedName>
    <definedName name="Z_3CEB65F4_FEDB_4443_9227_C1EE3E7EB91E_.wvu.Cols" localSheetId="4" hidden="1">Abr!$DR:$DR,Abr!$DT:$DT,Abr!#REF!,Abr!$FR:$FW</definedName>
    <definedName name="Z_3CEB65F4_FEDB_4443_9227_C1EE3E7EB91E_.wvu.Cols" localSheetId="8" hidden="1">Ago!$DR:$DR,Ago!$DT:$DT,Ago!#REF!,Ago!$FR:$FW</definedName>
    <definedName name="Z_3CEB65F4_FEDB_4443_9227_C1EE3E7EB91E_.wvu.Cols" localSheetId="12" hidden="1">Dez!$DR:$DR,Dez!$DT:$DT,Dez!#REF!,Dez!$FR:$FW</definedName>
    <definedName name="Z_3CEB65F4_FEDB_4443_9227_C1EE3E7EB91E_.wvu.Cols" localSheetId="2" hidden="1">Fev!$DR:$DR,Fev!$DT:$DT,Fev!#REF!,Fev!$FR:$FW</definedName>
    <definedName name="Z_3CEB65F4_FEDB_4443_9227_C1EE3E7EB91E_.wvu.Cols" localSheetId="1" hidden="1">Jan!$DR:$DR,Jan!$DT:$DT,Jan!#REF!,Jan!$FR:$FW</definedName>
    <definedName name="Z_3CEB65F4_FEDB_4443_9227_C1EE3E7EB91E_.wvu.Cols" localSheetId="7" hidden="1">Jul!$DR:$DR,Jul!$DT:$DT,Jul!#REF!,Jul!$FR:$FW</definedName>
    <definedName name="Z_3CEB65F4_FEDB_4443_9227_C1EE3E7EB91E_.wvu.Cols" localSheetId="6" hidden="1">Jun!$DR:$DR,Jun!$DT:$DT,Jun!#REF!,Jun!$FR:$FW</definedName>
    <definedName name="Z_3CEB65F4_FEDB_4443_9227_C1EE3E7EB91E_.wvu.Cols" localSheetId="5" hidden="1">Mai!$DR:$DR,Mai!$DT:$DT,Mai!#REF!,Mai!$FR:$FW</definedName>
    <definedName name="Z_3CEB65F4_FEDB_4443_9227_C1EE3E7EB91E_.wvu.Cols" localSheetId="0" hidden="1">'MAI (2)'!$DR:$DR,'MAI (2)'!$DT:$DT,'MAI (2)'!#REF!,'MAI (2)'!$FR:$FW</definedName>
    <definedName name="Z_3CEB65F4_FEDB_4443_9227_C1EE3E7EB91E_.wvu.Cols" localSheetId="3" hidden="1">Mar!$DR:$DR,Mar!$DT:$DT,Mar!#REF!,Mar!$FR:$FW</definedName>
    <definedName name="Z_3CEB65F4_FEDB_4443_9227_C1EE3E7EB91E_.wvu.Cols" localSheetId="11" hidden="1">Nov!$DR:$DR,Nov!$DT:$DT,Nov!#REF!,Nov!$FR:$FW</definedName>
    <definedName name="Z_3CEB65F4_FEDB_4443_9227_C1EE3E7EB91E_.wvu.Cols" localSheetId="10" hidden="1">Out!$DR:$DR,Out!$DT:$DT,Out!#REF!,Out!$FR:$FW</definedName>
    <definedName name="Z_3CEB65F4_FEDB_4443_9227_C1EE3E7EB91E_.wvu.Cols" localSheetId="9" hidden="1">Set!$DR:$DR,Set!$DT:$DT,Set!#REF!,Set!$FR:$FW</definedName>
    <definedName name="Z_3CFF4E74_89E9_4A2E_A9CC_7523A474B935_.wvu.FilterData" localSheetId="4" hidden="1">Abr!$FE$1:$FM$39</definedName>
    <definedName name="Z_3CFF4E74_89E9_4A2E_A9CC_7523A474B935_.wvu.FilterData" localSheetId="8" hidden="1">Ago!$FE$1:$FM$39</definedName>
    <definedName name="Z_3CFF4E74_89E9_4A2E_A9CC_7523A474B935_.wvu.FilterData" localSheetId="12" hidden="1">Dez!$FE$1:$FM$39</definedName>
    <definedName name="Z_3CFF4E74_89E9_4A2E_A9CC_7523A474B935_.wvu.FilterData" localSheetId="2" hidden="1">Fev!$FE$1:$FM$36</definedName>
    <definedName name="Z_3CFF4E74_89E9_4A2E_A9CC_7523A474B935_.wvu.FilterData" localSheetId="1" hidden="1">Jan!$FE$1:$FM$39</definedName>
    <definedName name="Z_3CFF4E74_89E9_4A2E_A9CC_7523A474B935_.wvu.FilterData" localSheetId="7" hidden="1">Jul!$FE$1:$FM$39</definedName>
    <definedName name="Z_3CFF4E74_89E9_4A2E_A9CC_7523A474B935_.wvu.FilterData" localSheetId="6" hidden="1">Jun!$FE$1:$FM$39</definedName>
    <definedName name="Z_3CFF4E74_89E9_4A2E_A9CC_7523A474B935_.wvu.FilterData" localSheetId="5" hidden="1">Mai!$FE$1:$FM$39</definedName>
    <definedName name="Z_3CFF4E74_89E9_4A2E_A9CC_7523A474B935_.wvu.FilterData" localSheetId="0" hidden="1">'MAI (2)'!$FE$1:$FM$39</definedName>
    <definedName name="Z_3CFF4E74_89E9_4A2E_A9CC_7523A474B935_.wvu.FilterData" localSheetId="3" hidden="1">Mar!$FE$1:$FM$39</definedName>
    <definedName name="Z_3CFF4E74_89E9_4A2E_A9CC_7523A474B935_.wvu.FilterData" localSheetId="11" hidden="1">Nov!$FE$1:$FM$39</definedName>
    <definedName name="Z_3CFF4E74_89E9_4A2E_A9CC_7523A474B935_.wvu.FilterData" localSheetId="10" hidden="1">Out!$FE$1:$FM$39</definedName>
    <definedName name="Z_3CFF4E74_89E9_4A2E_A9CC_7523A474B935_.wvu.FilterData" localSheetId="9" hidden="1">Set!$FE$1:$FM$39</definedName>
    <definedName name="Z_3DB5ECCF_529D_4D32_BFDF_1C58464A941E_.wvu.FilterData" localSheetId="4" hidden="1">Abr!$FE$1:$FM$39</definedName>
    <definedName name="Z_3DB5ECCF_529D_4D32_BFDF_1C58464A941E_.wvu.FilterData" localSheetId="8" hidden="1">Ago!$FE$1:$FM$39</definedName>
    <definedName name="Z_3DB5ECCF_529D_4D32_BFDF_1C58464A941E_.wvu.FilterData" localSheetId="12" hidden="1">Dez!$FE$1:$FM$39</definedName>
    <definedName name="Z_3DB5ECCF_529D_4D32_BFDF_1C58464A941E_.wvu.FilterData" localSheetId="2" hidden="1">Fev!$FE$1:$FM$36</definedName>
    <definedName name="Z_3DB5ECCF_529D_4D32_BFDF_1C58464A941E_.wvu.FilterData" localSheetId="1" hidden="1">Jan!$FE$1:$FM$39</definedName>
    <definedName name="Z_3DB5ECCF_529D_4D32_BFDF_1C58464A941E_.wvu.FilterData" localSheetId="7" hidden="1">Jul!$FE$1:$FM$39</definedName>
    <definedName name="Z_3DB5ECCF_529D_4D32_BFDF_1C58464A941E_.wvu.FilterData" localSheetId="6" hidden="1">Jun!$FE$1:$FM$39</definedName>
    <definedName name="Z_3DB5ECCF_529D_4D32_BFDF_1C58464A941E_.wvu.FilterData" localSheetId="5" hidden="1">Mai!$FE$1:$FM$39</definedName>
    <definedName name="Z_3DB5ECCF_529D_4D32_BFDF_1C58464A941E_.wvu.FilterData" localSheetId="0" hidden="1">'MAI (2)'!$FE$1:$FM$39</definedName>
    <definedName name="Z_3DB5ECCF_529D_4D32_BFDF_1C58464A941E_.wvu.FilterData" localSheetId="3" hidden="1">Mar!$FE$1:$FM$39</definedName>
    <definedName name="Z_3DB5ECCF_529D_4D32_BFDF_1C58464A941E_.wvu.FilterData" localSheetId="11" hidden="1">Nov!$FE$1:$FM$39</definedName>
    <definedName name="Z_3DB5ECCF_529D_4D32_BFDF_1C58464A941E_.wvu.FilterData" localSheetId="10" hidden="1">Out!$FE$1:$FM$39</definedName>
    <definedName name="Z_3DB5ECCF_529D_4D32_BFDF_1C58464A941E_.wvu.FilterData" localSheetId="9" hidden="1">Set!$FE$1:$FM$39</definedName>
    <definedName name="Z_3E8F269E_5321_49C3_8DA2_EB3993C35011_.wvu.Cols" localSheetId="4" hidden="1">Abr!$P:$P,Abr!$BO:$DN,Abr!$DR:$DR,Abr!$DU:$FC,Abr!#REF!,Abr!$FR:$FW</definedName>
    <definedName name="Z_3E8F269E_5321_49C3_8DA2_EB3993C35011_.wvu.Cols" localSheetId="8" hidden="1">Ago!$P:$P,Ago!$BO:$DN,Ago!$DR:$DR,Ago!$DU:$FC,Ago!#REF!,Ago!$FR:$FW</definedName>
    <definedName name="Z_3E8F269E_5321_49C3_8DA2_EB3993C35011_.wvu.Cols" localSheetId="12" hidden="1">Dez!$P:$P,Dez!$BO:$DN,Dez!$DR:$DR,Dez!$DU:$FC,Dez!#REF!,Dez!$FR:$FW</definedName>
    <definedName name="Z_3E8F269E_5321_49C3_8DA2_EB3993C35011_.wvu.Cols" localSheetId="2" hidden="1">Fev!$P:$P,Fev!$BO:$DN,Fev!$DR:$DR,Fev!$DU:$FC,Fev!#REF!,Fev!$FR:$FW</definedName>
    <definedName name="Z_3E8F269E_5321_49C3_8DA2_EB3993C35011_.wvu.Cols" localSheetId="1" hidden="1">Jan!$P:$P,Jan!$BO:$DN,Jan!$DR:$DR,Jan!$DU:$FC,Jan!#REF!,Jan!$FR:$FW</definedName>
    <definedName name="Z_3E8F269E_5321_49C3_8DA2_EB3993C35011_.wvu.Cols" localSheetId="7" hidden="1">Jul!$P:$P,Jul!$BO:$DN,Jul!$DR:$DR,Jul!$DU:$FC,Jul!#REF!,Jul!$FR:$FW</definedName>
    <definedName name="Z_3E8F269E_5321_49C3_8DA2_EB3993C35011_.wvu.Cols" localSheetId="6" hidden="1">Jun!$P:$P,Jun!$BO:$DN,Jun!$DR:$DR,Jun!$DU:$FC,Jun!#REF!,Jun!$FR:$FW</definedName>
    <definedName name="Z_3E8F269E_5321_49C3_8DA2_EB3993C35011_.wvu.Cols" localSheetId="5" hidden="1">Mai!$P:$P,Mai!$BO:$DN,Mai!$DR:$DR,Mai!$DU:$FC,Mai!#REF!,Mai!$FR:$FW</definedName>
    <definedName name="Z_3E8F269E_5321_49C3_8DA2_EB3993C35011_.wvu.Cols" localSheetId="0" hidden="1">'MAI (2)'!$P:$P,'MAI (2)'!$BO:$DN,'MAI (2)'!$DR:$DR,'MAI (2)'!$DU:$FC,'MAI (2)'!#REF!,'MAI (2)'!$FR:$FW</definedName>
    <definedName name="Z_3E8F269E_5321_49C3_8DA2_EB3993C35011_.wvu.Cols" localSheetId="3" hidden="1">Mar!$P:$P,Mar!$BO:$DN,Mar!$DR:$DR,Mar!$DU:$FC,Mar!#REF!,Mar!$FR:$FW</definedName>
    <definedName name="Z_3E8F269E_5321_49C3_8DA2_EB3993C35011_.wvu.Cols" localSheetId="11" hidden="1">Nov!$P:$P,Nov!$BO:$DN,Nov!$DR:$DR,Nov!$DU:$FC,Nov!#REF!,Nov!$FR:$FW</definedName>
    <definedName name="Z_3E8F269E_5321_49C3_8DA2_EB3993C35011_.wvu.Cols" localSheetId="10" hidden="1">Out!$P:$P,Out!$BO:$DN,Out!$DR:$DR,Out!$DU:$FC,Out!#REF!,Out!$FR:$FW</definedName>
    <definedName name="Z_3E8F269E_5321_49C3_8DA2_EB3993C35011_.wvu.Cols" localSheetId="9" hidden="1">Set!$P:$P,Set!$BO:$DN,Set!$DR:$DR,Set!$DU:$FC,Set!#REF!,Set!$FR:$FW</definedName>
    <definedName name="Z_3FD2627D_5AF6_43B3_8CFF_DA9D77FF8910_.wvu.FilterData" localSheetId="4" hidden="1">Abr!$FE$1:$FM$39</definedName>
    <definedName name="Z_3FD2627D_5AF6_43B3_8CFF_DA9D77FF8910_.wvu.FilterData" localSheetId="8" hidden="1">Ago!$FE$1:$FM$39</definedName>
    <definedName name="Z_3FD2627D_5AF6_43B3_8CFF_DA9D77FF8910_.wvu.FilterData" localSheetId="12" hidden="1">Dez!$FE$1:$FM$39</definedName>
    <definedName name="Z_3FD2627D_5AF6_43B3_8CFF_DA9D77FF8910_.wvu.FilterData" localSheetId="2" hidden="1">Fev!$FE$1:$FM$36</definedName>
    <definedName name="Z_3FD2627D_5AF6_43B3_8CFF_DA9D77FF8910_.wvu.FilterData" localSheetId="1" hidden="1">Jan!$FE$1:$FM$39</definedName>
    <definedName name="Z_3FD2627D_5AF6_43B3_8CFF_DA9D77FF8910_.wvu.FilterData" localSheetId="7" hidden="1">Jul!$FE$1:$FM$39</definedName>
    <definedName name="Z_3FD2627D_5AF6_43B3_8CFF_DA9D77FF8910_.wvu.FilterData" localSheetId="6" hidden="1">Jun!$FE$1:$FM$39</definedName>
    <definedName name="Z_3FD2627D_5AF6_43B3_8CFF_DA9D77FF8910_.wvu.FilterData" localSheetId="5" hidden="1">Mai!$FE$1:$FM$39</definedName>
    <definedName name="Z_3FD2627D_5AF6_43B3_8CFF_DA9D77FF8910_.wvu.FilterData" localSheetId="0" hidden="1">'MAI (2)'!$FE$1:$FM$39</definedName>
    <definedName name="Z_3FD2627D_5AF6_43B3_8CFF_DA9D77FF8910_.wvu.FilterData" localSheetId="3" hidden="1">Mar!$FE$1:$FM$39</definedName>
    <definedName name="Z_3FD2627D_5AF6_43B3_8CFF_DA9D77FF8910_.wvu.FilterData" localSheetId="11" hidden="1">Nov!$FE$1:$FM$39</definedName>
    <definedName name="Z_3FD2627D_5AF6_43B3_8CFF_DA9D77FF8910_.wvu.FilterData" localSheetId="10" hidden="1">Out!$FE$1:$FM$39</definedName>
    <definedName name="Z_3FD2627D_5AF6_43B3_8CFF_DA9D77FF8910_.wvu.FilterData" localSheetId="9" hidden="1">Set!$FE$1:$FM$39</definedName>
    <definedName name="Z_4322273F_F439_4B22_989F_5CE8C371568D_.wvu.Cols" localSheetId="4" hidden="1">Abr!$FR:$FW</definedName>
    <definedName name="Z_4322273F_F439_4B22_989F_5CE8C371568D_.wvu.Cols" localSheetId="8" hidden="1">Ago!$FR:$FW</definedName>
    <definedName name="Z_4322273F_F439_4B22_989F_5CE8C371568D_.wvu.Cols" localSheetId="12" hidden="1">Dez!$FR:$FW</definedName>
    <definedName name="Z_4322273F_F439_4B22_989F_5CE8C371568D_.wvu.Cols" localSheetId="2" hidden="1">Fev!$FR:$FW</definedName>
    <definedName name="Z_4322273F_F439_4B22_989F_5CE8C371568D_.wvu.Cols" localSheetId="1" hidden="1">Jan!$FR:$FW</definedName>
    <definedName name="Z_4322273F_F439_4B22_989F_5CE8C371568D_.wvu.Cols" localSheetId="7" hidden="1">Jul!$FR:$FW</definedName>
    <definedName name="Z_4322273F_F439_4B22_989F_5CE8C371568D_.wvu.Cols" localSheetId="6" hidden="1">Jun!$FR:$FW</definedName>
    <definedName name="Z_4322273F_F439_4B22_989F_5CE8C371568D_.wvu.Cols" localSheetId="5" hidden="1">Mai!$FR:$FW</definedName>
    <definedName name="Z_4322273F_F439_4B22_989F_5CE8C371568D_.wvu.Cols" localSheetId="0" hidden="1">'MAI (2)'!$FR:$FW</definedName>
    <definedName name="Z_4322273F_F439_4B22_989F_5CE8C371568D_.wvu.Cols" localSheetId="3" hidden="1">Mar!$FR:$FW</definedName>
    <definedName name="Z_4322273F_F439_4B22_989F_5CE8C371568D_.wvu.Cols" localSheetId="11" hidden="1">Nov!$FR:$FW</definedName>
    <definedName name="Z_4322273F_F439_4B22_989F_5CE8C371568D_.wvu.Cols" localSheetId="10" hidden="1">Out!$FR:$FW</definedName>
    <definedName name="Z_4322273F_F439_4B22_989F_5CE8C371568D_.wvu.Cols" localSheetId="9" hidden="1">Set!$FR:$FW</definedName>
    <definedName name="Z_4322273F_F439_4B22_989F_5CE8C371568D_.wvu.FilterData" localSheetId="4" hidden="1">Abr!$FE$1:$FM$39</definedName>
    <definedName name="Z_4322273F_F439_4B22_989F_5CE8C371568D_.wvu.FilterData" localSheetId="8" hidden="1">Ago!$FE$1:$FM$39</definedName>
    <definedName name="Z_4322273F_F439_4B22_989F_5CE8C371568D_.wvu.FilterData" localSheetId="12" hidden="1">Dez!$FE$1:$FM$39</definedName>
    <definedName name="Z_4322273F_F439_4B22_989F_5CE8C371568D_.wvu.FilterData" localSheetId="2" hidden="1">Fev!$FE$1:$FM$36</definedName>
    <definedName name="Z_4322273F_F439_4B22_989F_5CE8C371568D_.wvu.FilterData" localSheetId="1" hidden="1">Jan!$FE$1:$FM$39</definedName>
    <definedName name="Z_4322273F_F439_4B22_989F_5CE8C371568D_.wvu.FilterData" localSheetId="7" hidden="1">Jul!$FE$1:$FM$39</definedName>
    <definedName name="Z_4322273F_F439_4B22_989F_5CE8C371568D_.wvu.FilterData" localSheetId="6" hidden="1">Jun!$FE$1:$FM$39</definedName>
    <definedName name="Z_4322273F_F439_4B22_989F_5CE8C371568D_.wvu.FilterData" localSheetId="5" hidden="1">Mai!$FE$1:$FM$39</definedName>
    <definedName name="Z_4322273F_F439_4B22_989F_5CE8C371568D_.wvu.FilterData" localSheetId="0" hidden="1">'MAI (2)'!$FE$1:$FM$39</definedName>
    <definedName name="Z_4322273F_F439_4B22_989F_5CE8C371568D_.wvu.FilterData" localSheetId="3" hidden="1">Mar!$FE$1:$FM$39</definedName>
    <definedName name="Z_4322273F_F439_4B22_989F_5CE8C371568D_.wvu.FilterData" localSheetId="11" hidden="1">Nov!$FE$1:$FM$39</definedName>
    <definedName name="Z_4322273F_F439_4B22_989F_5CE8C371568D_.wvu.FilterData" localSheetId="10" hidden="1">Out!$FE$1:$FM$39</definedName>
    <definedName name="Z_4322273F_F439_4B22_989F_5CE8C371568D_.wvu.FilterData" localSheetId="9" hidden="1">Set!$FE$1:$FM$39</definedName>
    <definedName name="Z_4322273F_F439_4B22_989F_5CE8C371568D_.wvu.Rows" localSheetId="14" hidden="1">'Histórico ind.'!$28:$28</definedName>
    <definedName name="Z_43E3FE6D_09FF_4B2C_9D55_FBE1356E2333_.wvu.FilterData" localSheetId="4" hidden="1">Abr!$FE$1:$FM$39</definedName>
    <definedName name="Z_43E3FE6D_09FF_4B2C_9D55_FBE1356E2333_.wvu.FilterData" localSheetId="8" hidden="1">Ago!$FE$1:$FM$39</definedName>
    <definedName name="Z_43E3FE6D_09FF_4B2C_9D55_FBE1356E2333_.wvu.FilterData" localSheetId="12" hidden="1">Dez!$FE$1:$FM$39</definedName>
    <definedName name="Z_43E3FE6D_09FF_4B2C_9D55_FBE1356E2333_.wvu.FilterData" localSheetId="2" hidden="1">Fev!$FE$1:$FM$36</definedName>
    <definedName name="Z_43E3FE6D_09FF_4B2C_9D55_FBE1356E2333_.wvu.FilterData" localSheetId="1" hidden="1">Jan!$FE$1:$FM$39</definedName>
    <definedName name="Z_43E3FE6D_09FF_4B2C_9D55_FBE1356E2333_.wvu.FilterData" localSheetId="7" hidden="1">Jul!$FE$1:$FM$39</definedName>
    <definedName name="Z_43E3FE6D_09FF_4B2C_9D55_FBE1356E2333_.wvu.FilterData" localSheetId="6" hidden="1">Jun!$FE$1:$FM$39</definedName>
    <definedName name="Z_43E3FE6D_09FF_4B2C_9D55_FBE1356E2333_.wvu.FilterData" localSheetId="5" hidden="1">Mai!$FE$1:$FM$39</definedName>
    <definedName name="Z_43E3FE6D_09FF_4B2C_9D55_FBE1356E2333_.wvu.FilterData" localSheetId="0" hidden="1">'MAI (2)'!$FE$1:$FM$39</definedName>
    <definedName name="Z_43E3FE6D_09FF_4B2C_9D55_FBE1356E2333_.wvu.FilterData" localSheetId="3" hidden="1">Mar!$FE$1:$FM$39</definedName>
    <definedName name="Z_43E3FE6D_09FF_4B2C_9D55_FBE1356E2333_.wvu.FilterData" localSheetId="11" hidden="1">Nov!$FE$1:$FM$39</definedName>
    <definedName name="Z_43E3FE6D_09FF_4B2C_9D55_FBE1356E2333_.wvu.FilterData" localSheetId="10" hidden="1">Out!$FE$1:$FM$39</definedName>
    <definedName name="Z_43E3FE6D_09FF_4B2C_9D55_FBE1356E2333_.wvu.FilterData" localSheetId="9" hidden="1">Set!$FE$1:$FM$39</definedName>
    <definedName name="Z_44954579_79E0_4B1A_BC33_DD32683D7DF3_.wvu.FilterData" localSheetId="4" hidden="1">Abr!$FE$1:$FM$39</definedName>
    <definedName name="Z_44954579_79E0_4B1A_BC33_DD32683D7DF3_.wvu.FilterData" localSheetId="8" hidden="1">Ago!$FE$1:$FM$39</definedName>
    <definedName name="Z_44954579_79E0_4B1A_BC33_DD32683D7DF3_.wvu.FilterData" localSheetId="12" hidden="1">Dez!$FE$1:$FM$39</definedName>
    <definedName name="Z_44954579_79E0_4B1A_BC33_DD32683D7DF3_.wvu.FilterData" localSheetId="2" hidden="1">Fev!$FE$1:$FM$36</definedName>
    <definedName name="Z_44954579_79E0_4B1A_BC33_DD32683D7DF3_.wvu.FilterData" localSheetId="1" hidden="1">Jan!$FE$1:$FM$39</definedName>
    <definedName name="Z_44954579_79E0_4B1A_BC33_DD32683D7DF3_.wvu.FilterData" localSheetId="7" hidden="1">Jul!$FE$1:$FM$39</definedName>
    <definedName name="Z_44954579_79E0_4B1A_BC33_DD32683D7DF3_.wvu.FilterData" localSheetId="6" hidden="1">Jun!$FE$1:$FM$39</definedName>
    <definedName name="Z_44954579_79E0_4B1A_BC33_DD32683D7DF3_.wvu.FilterData" localSheetId="5" hidden="1">Mai!$FE$1:$FM$39</definedName>
    <definedName name="Z_44954579_79E0_4B1A_BC33_DD32683D7DF3_.wvu.FilterData" localSheetId="0" hidden="1">'MAI (2)'!$FE$1:$FM$39</definedName>
    <definedName name="Z_44954579_79E0_4B1A_BC33_DD32683D7DF3_.wvu.FilterData" localSheetId="3" hidden="1">Mar!$FE$1:$FM$39</definedName>
    <definedName name="Z_44954579_79E0_4B1A_BC33_DD32683D7DF3_.wvu.FilterData" localSheetId="11" hidden="1">Nov!$FE$1:$FM$39</definedName>
    <definedName name="Z_44954579_79E0_4B1A_BC33_DD32683D7DF3_.wvu.FilterData" localSheetId="10" hidden="1">Out!$FE$1:$FM$39</definedName>
    <definedName name="Z_44954579_79E0_4B1A_BC33_DD32683D7DF3_.wvu.FilterData" localSheetId="9" hidden="1">Set!$FE$1:$FM$39</definedName>
    <definedName name="Z_4548BB5C_8192_4BCC_9301_E13023583735_.wvu.FilterData" localSheetId="4" hidden="1">Abr!$FE$1:$FM$39</definedName>
    <definedName name="Z_4548BB5C_8192_4BCC_9301_E13023583735_.wvu.FilterData" localSheetId="8" hidden="1">Ago!$FE$1:$FM$39</definedName>
    <definedName name="Z_4548BB5C_8192_4BCC_9301_E13023583735_.wvu.FilterData" localSheetId="12" hidden="1">Dez!$FE$1:$FM$39</definedName>
    <definedName name="Z_4548BB5C_8192_4BCC_9301_E13023583735_.wvu.FilterData" localSheetId="2" hidden="1">Fev!$FE$1:$FM$36</definedName>
    <definedName name="Z_4548BB5C_8192_4BCC_9301_E13023583735_.wvu.FilterData" localSheetId="1" hidden="1">Jan!$FE$1:$FM$39</definedName>
    <definedName name="Z_4548BB5C_8192_4BCC_9301_E13023583735_.wvu.FilterData" localSheetId="7" hidden="1">Jul!$FE$1:$FM$39</definedName>
    <definedName name="Z_4548BB5C_8192_4BCC_9301_E13023583735_.wvu.FilterData" localSheetId="6" hidden="1">Jun!$FE$1:$FM$39</definedName>
    <definedName name="Z_4548BB5C_8192_4BCC_9301_E13023583735_.wvu.FilterData" localSheetId="5" hidden="1">Mai!$FE$1:$FM$39</definedName>
    <definedName name="Z_4548BB5C_8192_4BCC_9301_E13023583735_.wvu.FilterData" localSheetId="0" hidden="1">'MAI (2)'!$FE$1:$FM$39</definedName>
    <definedName name="Z_4548BB5C_8192_4BCC_9301_E13023583735_.wvu.FilterData" localSheetId="3" hidden="1">Mar!$FE$1:$FM$39</definedName>
    <definedName name="Z_4548BB5C_8192_4BCC_9301_E13023583735_.wvu.FilterData" localSheetId="11" hidden="1">Nov!$FE$1:$FM$39</definedName>
    <definedName name="Z_4548BB5C_8192_4BCC_9301_E13023583735_.wvu.FilterData" localSheetId="10" hidden="1">Out!$FE$1:$FM$39</definedName>
    <definedName name="Z_4548BB5C_8192_4BCC_9301_E13023583735_.wvu.FilterData" localSheetId="9" hidden="1">Set!$FE$1:$FM$39</definedName>
    <definedName name="Z_45924635_F422_4FCC_BC3D_D76205E502B9_.wvu.Cols" localSheetId="4" hidden="1">Abr!$FR:$FW</definedName>
    <definedName name="Z_45924635_F422_4FCC_BC3D_D76205E502B9_.wvu.Cols" localSheetId="8" hidden="1">Ago!$FR:$FW</definedName>
    <definedName name="Z_45924635_F422_4FCC_BC3D_D76205E502B9_.wvu.Cols" localSheetId="12" hidden="1">Dez!$FR:$FW</definedName>
    <definedName name="Z_45924635_F422_4FCC_BC3D_D76205E502B9_.wvu.Cols" localSheetId="2" hidden="1">Fev!$FR:$FW</definedName>
    <definedName name="Z_45924635_F422_4FCC_BC3D_D76205E502B9_.wvu.Cols" localSheetId="1" hidden="1">Jan!$FR:$FW</definedName>
    <definedName name="Z_45924635_F422_4FCC_BC3D_D76205E502B9_.wvu.Cols" localSheetId="7" hidden="1">Jul!$FR:$FW</definedName>
    <definedName name="Z_45924635_F422_4FCC_BC3D_D76205E502B9_.wvu.Cols" localSheetId="6" hidden="1">Jun!$FR:$FW</definedName>
    <definedName name="Z_45924635_F422_4FCC_BC3D_D76205E502B9_.wvu.Cols" localSheetId="5" hidden="1">Mai!$FR:$FW</definedName>
    <definedName name="Z_45924635_F422_4FCC_BC3D_D76205E502B9_.wvu.Cols" localSheetId="0" hidden="1">'MAI (2)'!$FR:$FW</definedName>
    <definedName name="Z_45924635_F422_4FCC_BC3D_D76205E502B9_.wvu.Cols" localSheetId="3" hidden="1">Mar!$FR:$FW</definedName>
    <definedName name="Z_45924635_F422_4FCC_BC3D_D76205E502B9_.wvu.Cols" localSheetId="11" hidden="1">Nov!$FR:$FW</definedName>
    <definedName name="Z_45924635_F422_4FCC_BC3D_D76205E502B9_.wvu.Cols" localSheetId="10" hidden="1">Out!$FR:$FW</definedName>
    <definedName name="Z_45924635_F422_4FCC_BC3D_D76205E502B9_.wvu.Cols" localSheetId="9" hidden="1">Set!$FR:$FW</definedName>
    <definedName name="Z_45924635_F422_4FCC_BC3D_D76205E502B9_.wvu.FilterData" localSheetId="4" hidden="1">Abr!$FE$1:$FM$39</definedName>
    <definedName name="Z_45924635_F422_4FCC_BC3D_D76205E502B9_.wvu.FilterData" localSheetId="8" hidden="1">Ago!$FE$1:$FM$39</definedName>
    <definedName name="Z_45924635_F422_4FCC_BC3D_D76205E502B9_.wvu.FilterData" localSheetId="12" hidden="1">Dez!$FE$1:$FM$39</definedName>
    <definedName name="Z_45924635_F422_4FCC_BC3D_D76205E502B9_.wvu.FilterData" localSheetId="2" hidden="1">Fev!$FE$1:$FM$36</definedName>
    <definedName name="Z_45924635_F422_4FCC_BC3D_D76205E502B9_.wvu.FilterData" localSheetId="1" hidden="1">Jan!$FE$1:$FM$39</definedName>
    <definedName name="Z_45924635_F422_4FCC_BC3D_D76205E502B9_.wvu.FilterData" localSheetId="7" hidden="1">Jul!$FE$1:$FM$39</definedName>
    <definedName name="Z_45924635_F422_4FCC_BC3D_D76205E502B9_.wvu.FilterData" localSheetId="6" hidden="1">Jun!$FE$1:$FM$39</definedName>
    <definedName name="Z_45924635_F422_4FCC_BC3D_D76205E502B9_.wvu.FilterData" localSheetId="5" hidden="1">Mai!$FE$1:$FM$39</definedName>
    <definedName name="Z_45924635_F422_4FCC_BC3D_D76205E502B9_.wvu.FilterData" localSheetId="0" hidden="1">'MAI (2)'!$FE$1:$FM$39</definedName>
    <definedName name="Z_45924635_F422_4FCC_BC3D_D76205E502B9_.wvu.FilterData" localSheetId="3" hidden="1">Mar!$FE$1:$FM$39</definedName>
    <definedName name="Z_45924635_F422_4FCC_BC3D_D76205E502B9_.wvu.FilterData" localSheetId="11" hidden="1">Nov!$FE$1:$FM$39</definedName>
    <definedName name="Z_45924635_F422_4FCC_BC3D_D76205E502B9_.wvu.FilterData" localSheetId="10" hidden="1">Out!$FE$1:$FM$39</definedName>
    <definedName name="Z_45924635_F422_4FCC_BC3D_D76205E502B9_.wvu.FilterData" localSheetId="9" hidden="1">Set!$FE$1:$FM$39</definedName>
    <definedName name="Z_45924635_F422_4FCC_BC3D_D76205E502B9_.wvu.Rows" localSheetId="14" hidden="1">'Histórico ind.'!$28:$28</definedName>
    <definedName name="Z_4621E3CB_F68E_44EF_8B3B_0C82A06CA72A_.wvu.Cols" localSheetId="4" hidden="1">Abr!$FR:$FW</definedName>
    <definedName name="Z_4621E3CB_F68E_44EF_8B3B_0C82A06CA72A_.wvu.Cols" localSheetId="8" hidden="1">Ago!$FR:$FW</definedName>
    <definedName name="Z_4621E3CB_F68E_44EF_8B3B_0C82A06CA72A_.wvu.Cols" localSheetId="12" hidden="1">Dez!$FR:$FW</definedName>
    <definedName name="Z_4621E3CB_F68E_44EF_8B3B_0C82A06CA72A_.wvu.Cols" localSheetId="2" hidden="1">Fev!$FR:$FW</definedName>
    <definedName name="Z_4621E3CB_F68E_44EF_8B3B_0C82A06CA72A_.wvu.Cols" localSheetId="1" hidden="1">Jan!$FR:$FW</definedName>
    <definedName name="Z_4621E3CB_F68E_44EF_8B3B_0C82A06CA72A_.wvu.Cols" localSheetId="7" hidden="1">Jul!$FR:$FW</definedName>
    <definedName name="Z_4621E3CB_F68E_44EF_8B3B_0C82A06CA72A_.wvu.Cols" localSheetId="6" hidden="1">Jun!$FR:$FW</definedName>
    <definedName name="Z_4621E3CB_F68E_44EF_8B3B_0C82A06CA72A_.wvu.Cols" localSheetId="5" hidden="1">Mai!$FR:$FW</definedName>
    <definedName name="Z_4621E3CB_F68E_44EF_8B3B_0C82A06CA72A_.wvu.Cols" localSheetId="0" hidden="1">'MAI (2)'!$FR:$FW</definedName>
    <definedName name="Z_4621E3CB_F68E_44EF_8B3B_0C82A06CA72A_.wvu.Cols" localSheetId="3" hidden="1">Mar!$FR:$FW</definedName>
    <definedName name="Z_4621E3CB_F68E_44EF_8B3B_0C82A06CA72A_.wvu.Cols" localSheetId="11" hidden="1">Nov!$FR:$FW</definedName>
    <definedName name="Z_4621E3CB_F68E_44EF_8B3B_0C82A06CA72A_.wvu.Cols" localSheetId="10" hidden="1">Out!$FR:$FW</definedName>
    <definedName name="Z_4621E3CB_F68E_44EF_8B3B_0C82A06CA72A_.wvu.Cols" localSheetId="9" hidden="1">Set!$FR:$FW</definedName>
    <definedName name="Z_4621E3CB_F68E_44EF_8B3B_0C82A06CA72A_.wvu.FilterData" localSheetId="4" hidden="1">Abr!$FE$1:$FM$39</definedName>
    <definedName name="Z_4621E3CB_F68E_44EF_8B3B_0C82A06CA72A_.wvu.FilterData" localSheetId="8" hidden="1">Ago!$FE$1:$FM$39</definedName>
    <definedName name="Z_4621E3CB_F68E_44EF_8B3B_0C82A06CA72A_.wvu.FilterData" localSheetId="12" hidden="1">Dez!$FE$1:$FM$39</definedName>
    <definedName name="Z_4621E3CB_F68E_44EF_8B3B_0C82A06CA72A_.wvu.FilterData" localSheetId="2" hidden="1">Fev!$FE$1:$FM$36</definedName>
    <definedName name="Z_4621E3CB_F68E_44EF_8B3B_0C82A06CA72A_.wvu.FilterData" localSheetId="1" hidden="1">Jan!$FE$1:$FM$39</definedName>
    <definedName name="Z_4621E3CB_F68E_44EF_8B3B_0C82A06CA72A_.wvu.FilterData" localSheetId="7" hidden="1">Jul!$FE$1:$FM$39</definedName>
    <definedName name="Z_4621E3CB_F68E_44EF_8B3B_0C82A06CA72A_.wvu.FilterData" localSheetId="6" hidden="1">Jun!$FE$1:$FM$39</definedName>
    <definedName name="Z_4621E3CB_F68E_44EF_8B3B_0C82A06CA72A_.wvu.FilterData" localSheetId="5" hidden="1">Mai!$FE$1:$FM$39</definedName>
    <definedName name="Z_4621E3CB_F68E_44EF_8B3B_0C82A06CA72A_.wvu.FilterData" localSheetId="0" hidden="1">'MAI (2)'!$FE$1:$FM$39</definedName>
    <definedName name="Z_4621E3CB_F68E_44EF_8B3B_0C82A06CA72A_.wvu.FilterData" localSheetId="3" hidden="1">Mar!$FE$1:$FM$39</definedName>
    <definedName name="Z_4621E3CB_F68E_44EF_8B3B_0C82A06CA72A_.wvu.FilterData" localSheetId="11" hidden="1">Nov!$FE$1:$FM$39</definedName>
    <definedName name="Z_4621E3CB_F68E_44EF_8B3B_0C82A06CA72A_.wvu.FilterData" localSheetId="10" hidden="1">Out!$FE$1:$FM$39</definedName>
    <definedName name="Z_4621E3CB_F68E_44EF_8B3B_0C82A06CA72A_.wvu.FilterData" localSheetId="9" hidden="1">Set!$FE$1:$FM$39</definedName>
    <definedName name="Z_4621E3CB_F68E_44EF_8B3B_0C82A06CA72A_.wvu.Rows" localSheetId="14" hidden="1">'Histórico ind.'!$28:$28</definedName>
    <definedName name="Z_471BD01D_53E3_4E91_B8FB_D83EDB0D1171_.wvu.FilterData" localSheetId="4" hidden="1">Abr!$FE$1:$FM$39</definedName>
    <definedName name="Z_471BD01D_53E3_4E91_B8FB_D83EDB0D1171_.wvu.FilterData" localSheetId="8" hidden="1">Ago!$FE$1:$FM$39</definedName>
    <definedName name="Z_471BD01D_53E3_4E91_B8FB_D83EDB0D1171_.wvu.FilterData" localSheetId="12" hidden="1">Dez!$FE$1:$FM$39</definedName>
    <definedName name="Z_471BD01D_53E3_4E91_B8FB_D83EDB0D1171_.wvu.FilterData" localSheetId="2" hidden="1">Fev!$FE$1:$FM$36</definedName>
    <definedName name="Z_471BD01D_53E3_4E91_B8FB_D83EDB0D1171_.wvu.FilterData" localSheetId="1" hidden="1">Jan!$FE$1:$FM$39</definedName>
    <definedName name="Z_471BD01D_53E3_4E91_B8FB_D83EDB0D1171_.wvu.FilterData" localSheetId="7" hidden="1">Jul!$FE$1:$FM$39</definedName>
    <definedName name="Z_471BD01D_53E3_4E91_B8FB_D83EDB0D1171_.wvu.FilterData" localSheetId="6" hidden="1">Jun!$FE$1:$FM$39</definedName>
    <definedName name="Z_471BD01D_53E3_4E91_B8FB_D83EDB0D1171_.wvu.FilterData" localSheetId="5" hidden="1">Mai!$FE$1:$FM$39</definedName>
    <definedName name="Z_471BD01D_53E3_4E91_B8FB_D83EDB0D1171_.wvu.FilterData" localSheetId="0" hidden="1">'MAI (2)'!$FE$1:$FM$39</definedName>
    <definedName name="Z_471BD01D_53E3_4E91_B8FB_D83EDB0D1171_.wvu.FilterData" localSheetId="3" hidden="1">Mar!$FE$1:$FM$39</definedName>
    <definedName name="Z_471BD01D_53E3_4E91_B8FB_D83EDB0D1171_.wvu.FilterData" localSheetId="11" hidden="1">Nov!$FE$1:$FM$39</definedName>
    <definedName name="Z_471BD01D_53E3_4E91_B8FB_D83EDB0D1171_.wvu.FilterData" localSheetId="10" hidden="1">Out!$FE$1:$FM$39</definedName>
    <definedName name="Z_471BD01D_53E3_4E91_B8FB_D83EDB0D1171_.wvu.FilterData" localSheetId="9" hidden="1">Set!$FE$1:$FM$39</definedName>
    <definedName name="Z_4939E981_40A3_4529_9A5B_46BD83B46C2F_.wvu.FilterData" localSheetId="4" hidden="1">Abr!$FE$1:$FM$39</definedName>
    <definedName name="Z_4939E981_40A3_4529_9A5B_46BD83B46C2F_.wvu.FilterData" localSheetId="8" hidden="1">Ago!$FE$1:$FM$39</definedName>
    <definedName name="Z_4939E981_40A3_4529_9A5B_46BD83B46C2F_.wvu.FilterData" localSheetId="12" hidden="1">Dez!$FE$1:$FM$39</definedName>
    <definedName name="Z_4939E981_40A3_4529_9A5B_46BD83B46C2F_.wvu.FilterData" localSheetId="2" hidden="1">Fev!$FE$1:$FM$36</definedName>
    <definedName name="Z_4939E981_40A3_4529_9A5B_46BD83B46C2F_.wvu.FilterData" localSheetId="1" hidden="1">Jan!$FE$1:$FM$39</definedName>
    <definedName name="Z_4939E981_40A3_4529_9A5B_46BD83B46C2F_.wvu.FilterData" localSheetId="7" hidden="1">Jul!$FE$1:$FM$39</definedName>
    <definedName name="Z_4939E981_40A3_4529_9A5B_46BD83B46C2F_.wvu.FilterData" localSheetId="6" hidden="1">Jun!$FE$1:$FM$39</definedName>
    <definedName name="Z_4939E981_40A3_4529_9A5B_46BD83B46C2F_.wvu.FilterData" localSheetId="5" hidden="1">Mai!$FE$1:$FM$39</definedName>
    <definedName name="Z_4939E981_40A3_4529_9A5B_46BD83B46C2F_.wvu.FilterData" localSheetId="0" hidden="1">'MAI (2)'!$FE$1:$FM$39</definedName>
    <definedName name="Z_4939E981_40A3_4529_9A5B_46BD83B46C2F_.wvu.FilterData" localSheetId="3" hidden="1">Mar!$FE$1:$FM$39</definedName>
    <definedName name="Z_4939E981_40A3_4529_9A5B_46BD83B46C2F_.wvu.FilterData" localSheetId="11" hidden="1">Nov!$FE$1:$FM$39</definedName>
    <definedName name="Z_4939E981_40A3_4529_9A5B_46BD83B46C2F_.wvu.FilterData" localSheetId="10" hidden="1">Out!$FE$1:$FM$39</definedName>
    <definedName name="Z_4939E981_40A3_4529_9A5B_46BD83B46C2F_.wvu.FilterData" localSheetId="9" hidden="1">Set!$FE$1:$FM$39</definedName>
    <definedName name="Z_49953F80_BD31_4694_863D_6297DFC410DE_.wvu.FilterData" localSheetId="4" hidden="1">Abr!$FE$1:$FM$39</definedName>
    <definedName name="Z_49953F80_BD31_4694_863D_6297DFC410DE_.wvu.FilterData" localSheetId="8" hidden="1">Ago!$FE$1:$FM$39</definedName>
    <definedName name="Z_49953F80_BD31_4694_863D_6297DFC410DE_.wvu.FilterData" localSheetId="12" hidden="1">Dez!$FE$1:$FM$39</definedName>
    <definedName name="Z_49953F80_BD31_4694_863D_6297DFC410DE_.wvu.FilterData" localSheetId="2" hidden="1">Fev!$FE$1:$FM$36</definedName>
    <definedName name="Z_49953F80_BD31_4694_863D_6297DFC410DE_.wvu.FilterData" localSheetId="1" hidden="1">Jan!$FE$1:$FM$39</definedName>
    <definedName name="Z_49953F80_BD31_4694_863D_6297DFC410DE_.wvu.FilterData" localSheetId="7" hidden="1">Jul!$FE$1:$FM$39</definedName>
    <definedName name="Z_49953F80_BD31_4694_863D_6297DFC410DE_.wvu.FilterData" localSheetId="6" hidden="1">Jun!$FE$1:$FM$39</definedName>
    <definedName name="Z_49953F80_BD31_4694_863D_6297DFC410DE_.wvu.FilterData" localSheetId="5" hidden="1">Mai!$FE$1:$FM$39</definedName>
    <definedName name="Z_49953F80_BD31_4694_863D_6297DFC410DE_.wvu.FilterData" localSheetId="0" hidden="1">'MAI (2)'!$FE$1:$FM$39</definedName>
    <definedName name="Z_49953F80_BD31_4694_863D_6297DFC410DE_.wvu.FilterData" localSheetId="3" hidden="1">Mar!$FE$1:$FM$39</definedName>
    <definedName name="Z_49953F80_BD31_4694_863D_6297DFC410DE_.wvu.FilterData" localSheetId="11" hidden="1">Nov!$FE$1:$FM$39</definedName>
    <definedName name="Z_49953F80_BD31_4694_863D_6297DFC410DE_.wvu.FilterData" localSheetId="10" hidden="1">Out!$FE$1:$FM$39</definedName>
    <definedName name="Z_49953F80_BD31_4694_863D_6297DFC410DE_.wvu.FilterData" localSheetId="9" hidden="1">Set!$FE$1:$FM$39</definedName>
    <definedName name="Z_49B8023D_19C4_4306_B191_F586DAECBE3A_.wvu.FilterData" localSheetId="4" hidden="1">Abr!$FE$1:$FM$39</definedName>
    <definedName name="Z_49B8023D_19C4_4306_B191_F586DAECBE3A_.wvu.FilterData" localSheetId="8" hidden="1">Ago!$FE$1:$FM$39</definedName>
    <definedName name="Z_49B8023D_19C4_4306_B191_F586DAECBE3A_.wvu.FilterData" localSheetId="12" hidden="1">Dez!$FE$1:$FM$39</definedName>
    <definedName name="Z_49B8023D_19C4_4306_B191_F586DAECBE3A_.wvu.FilterData" localSheetId="2" hidden="1">Fev!$FE$1:$FM$36</definedName>
    <definedName name="Z_49B8023D_19C4_4306_B191_F586DAECBE3A_.wvu.FilterData" localSheetId="1" hidden="1">Jan!$FE$1:$FM$39</definedName>
    <definedName name="Z_49B8023D_19C4_4306_B191_F586DAECBE3A_.wvu.FilterData" localSheetId="7" hidden="1">Jul!$FE$1:$FM$39</definedName>
    <definedName name="Z_49B8023D_19C4_4306_B191_F586DAECBE3A_.wvu.FilterData" localSheetId="6" hidden="1">Jun!$FE$1:$FM$39</definedName>
    <definedName name="Z_49B8023D_19C4_4306_B191_F586DAECBE3A_.wvu.FilterData" localSheetId="5" hidden="1">Mai!$FE$1:$FM$39</definedName>
    <definedName name="Z_49B8023D_19C4_4306_B191_F586DAECBE3A_.wvu.FilterData" localSheetId="0" hidden="1">'MAI (2)'!$FE$1:$FM$39</definedName>
    <definedName name="Z_49B8023D_19C4_4306_B191_F586DAECBE3A_.wvu.FilterData" localSheetId="3" hidden="1">Mar!$FE$1:$FM$39</definedName>
    <definedName name="Z_49B8023D_19C4_4306_B191_F586DAECBE3A_.wvu.FilterData" localSheetId="11" hidden="1">Nov!$FE$1:$FM$39</definedName>
    <definedName name="Z_49B8023D_19C4_4306_B191_F586DAECBE3A_.wvu.FilterData" localSheetId="10" hidden="1">Out!$FE$1:$FM$39</definedName>
    <definedName name="Z_49B8023D_19C4_4306_B191_F586DAECBE3A_.wvu.FilterData" localSheetId="9" hidden="1">Set!$FE$1:$FM$39</definedName>
    <definedName name="Z_4FDFFD69_98D2_49D4_945D_83C4E59FDF16_.wvu.FilterData" localSheetId="4" hidden="1">Abr!$FE$1:$FM$39</definedName>
    <definedName name="Z_4FDFFD69_98D2_49D4_945D_83C4E59FDF16_.wvu.FilterData" localSheetId="8" hidden="1">Ago!$FE$1:$FM$39</definedName>
    <definedName name="Z_4FDFFD69_98D2_49D4_945D_83C4E59FDF16_.wvu.FilterData" localSheetId="12" hidden="1">Dez!$FE$1:$FM$39</definedName>
    <definedName name="Z_4FDFFD69_98D2_49D4_945D_83C4E59FDF16_.wvu.FilterData" localSheetId="2" hidden="1">Fev!$FE$1:$FM$36</definedName>
    <definedName name="Z_4FDFFD69_98D2_49D4_945D_83C4E59FDF16_.wvu.FilterData" localSheetId="1" hidden="1">Jan!$FE$1:$FM$39</definedName>
    <definedName name="Z_4FDFFD69_98D2_49D4_945D_83C4E59FDF16_.wvu.FilterData" localSheetId="7" hidden="1">Jul!$FE$1:$FM$39</definedName>
    <definedName name="Z_4FDFFD69_98D2_49D4_945D_83C4E59FDF16_.wvu.FilterData" localSheetId="6" hidden="1">Jun!$FE$1:$FM$39</definedName>
    <definedName name="Z_4FDFFD69_98D2_49D4_945D_83C4E59FDF16_.wvu.FilterData" localSheetId="5" hidden="1">Mai!$FE$1:$FM$39</definedName>
    <definedName name="Z_4FDFFD69_98D2_49D4_945D_83C4E59FDF16_.wvu.FilterData" localSheetId="0" hidden="1">'MAI (2)'!$FE$1:$FM$39</definedName>
    <definedName name="Z_4FDFFD69_98D2_49D4_945D_83C4E59FDF16_.wvu.FilterData" localSheetId="3" hidden="1">Mar!$FE$1:$FM$39</definedName>
    <definedName name="Z_4FDFFD69_98D2_49D4_945D_83C4E59FDF16_.wvu.FilterData" localSheetId="11" hidden="1">Nov!$FE$1:$FM$39</definedName>
    <definedName name="Z_4FDFFD69_98D2_49D4_945D_83C4E59FDF16_.wvu.FilterData" localSheetId="10" hidden="1">Out!$FE$1:$FM$39</definedName>
    <definedName name="Z_4FDFFD69_98D2_49D4_945D_83C4E59FDF16_.wvu.FilterData" localSheetId="9" hidden="1">Set!$FE$1:$FM$39</definedName>
    <definedName name="Z_50AD33E8_0462_4530_9450_79FB96DC1546_.wvu.FilterData" localSheetId="4" hidden="1">Abr!$FE$1:$FM$39</definedName>
    <definedName name="Z_50AD33E8_0462_4530_9450_79FB96DC1546_.wvu.FilterData" localSheetId="8" hidden="1">Ago!$FE$1:$FM$39</definedName>
    <definedName name="Z_50AD33E8_0462_4530_9450_79FB96DC1546_.wvu.FilterData" localSheetId="12" hidden="1">Dez!$FE$1:$FM$39</definedName>
    <definedName name="Z_50AD33E8_0462_4530_9450_79FB96DC1546_.wvu.FilterData" localSheetId="2" hidden="1">Fev!$FE$1:$FM$36</definedName>
    <definedName name="Z_50AD33E8_0462_4530_9450_79FB96DC1546_.wvu.FilterData" localSheetId="1" hidden="1">Jan!$FE$1:$FM$39</definedName>
    <definedName name="Z_50AD33E8_0462_4530_9450_79FB96DC1546_.wvu.FilterData" localSheetId="7" hidden="1">Jul!$FE$1:$FM$39</definedName>
    <definedName name="Z_50AD33E8_0462_4530_9450_79FB96DC1546_.wvu.FilterData" localSheetId="6" hidden="1">Jun!$FE$1:$FM$39</definedName>
    <definedName name="Z_50AD33E8_0462_4530_9450_79FB96DC1546_.wvu.FilterData" localSheetId="5" hidden="1">Mai!$FE$1:$FM$39</definedName>
    <definedName name="Z_50AD33E8_0462_4530_9450_79FB96DC1546_.wvu.FilterData" localSheetId="0" hidden="1">'MAI (2)'!$FE$1:$FM$39</definedName>
    <definedName name="Z_50AD33E8_0462_4530_9450_79FB96DC1546_.wvu.FilterData" localSheetId="3" hidden="1">Mar!$FE$1:$FM$39</definedName>
    <definedName name="Z_50AD33E8_0462_4530_9450_79FB96DC1546_.wvu.FilterData" localSheetId="11" hidden="1">Nov!$FE$1:$FM$39</definedName>
    <definedName name="Z_50AD33E8_0462_4530_9450_79FB96DC1546_.wvu.FilterData" localSheetId="10" hidden="1">Out!$FE$1:$FM$39</definedName>
    <definedName name="Z_50AD33E8_0462_4530_9450_79FB96DC1546_.wvu.FilterData" localSheetId="9" hidden="1">Set!$FE$1:$FM$39</definedName>
    <definedName name="Z_50BAF29F_42C1_42D3_A062_86C33916354B_.wvu.Cols" localSheetId="4" hidden="1">Abr!$FR:$FW</definedName>
    <definedName name="Z_50BAF29F_42C1_42D3_A062_86C33916354B_.wvu.Cols" localSheetId="8" hidden="1">Ago!$FR:$FW</definedName>
    <definedName name="Z_50BAF29F_42C1_42D3_A062_86C33916354B_.wvu.Cols" localSheetId="12" hidden="1">Dez!$FR:$FW</definedName>
    <definedName name="Z_50BAF29F_42C1_42D3_A062_86C33916354B_.wvu.Cols" localSheetId="2" hidden="1">Fev!$FR:$FW</definedName>
    <definedName name="Z_50BAF29F_42C1_42D3_A062_86C33916354B_.wvu.Cols" localSheetId="1" hidden="1">Jan!$FR:$FW</definedName>
    <definedName name="Z_50BAF29F_42C1_42D3_A062_86C33916354B_.wvu.Cols" localSheetId="7" hidden="1">Jul!$FR:$FW</definedName>
    <definedName name="Z_50BAF29F_42C1_42D3_A062_86C33916354B_.wvu.Cols" localSheetId="6" hidden="1">Jun!$FR:$FW</definedName>
    <definedName name="Z_50BAF29F_42C1_42D3_A062_86C33916354B_.wvu.Cols" localSheetId="5" hidden="1">Mai!$FR:$FW</definedName>
    <definedName name="Z_50BAF29F_42C1_42D3_A062_86C33916354B_.wvu.Cols" localSheetId="0" hidden="1">'MAI (2)'!$FR:$FW</definedName>
    <definedName name="Z_50BAF29F_42C1_42D3_A062_86C33916354B_.wvu.Cols" localSheetId="3" hidden="1">Mar!$FR:$FW</definedName>
    <definedName name="Z_50BAF29F_42C1_42D3_A062_86C33916354B_.wvu.Cols" localSheetId="11" hidden="1">Nov!$FR:$FW</definedName>
    <definedName name="Z_50BAF29F_42C1_42D3_A062_86C33916354B_.wvu.Cols" localSheetId="10" hidden="1">Out!$FR:$FW</definedName>
    <definedName name="Z_50BAF29F_42C1_42D3_A062_86C33916354B_.wvu.Cols" localSheetId="9" hidden="1">Set!$FR:$FW</definedName>
    <definedName name="Z_50BAF29F_42C1_42D3_A062_86C33916354B_.wvu.FilterData" localSheetId="4" hidden="1">Abr!$FE$1:$FM$39</definedName>
    <definedName name="Z_50BAF29F_42C1_42D3_A062_86C33916354B_.wvu.FilterData" localSheetId="8" hidden="1">Ago!$FE$1:$FM$39</definedName>
    <definedName name="Z_50BAF29F_42C1_42D3_A062_86C33916354B_.wvu.FilterData" localSheetId="12" hidden="1">Dez!$FE$1:$FM$39</definedName>
    <definedName name="Z_50BAF29F_42C1_42D3_A062_86C33916354B_.wvu.FilterData" localSheetId="2" hidden="1">Fev!$FE$1:$FM$36</definedName>
    <definedName name="Z_50BAF29F_42C1_42D3_A062_86C33916354B_.wvu.FilterData" localSheetId="1" hidden="1">Jan!$FE$1:$FM$39</definedName>
    <definedName name="Z_50BAF29F_42C1_42D3_A062_86C33916354B_.wvu.FilterData" localSheetId="7" hidden="1">Jul!$FE$1:$FM$39</definedName>
    <definedName name="Z_50BAF29F_42C1_42D3_A062_86C33916354B_.wvu.FilterData" localSheetId="6" hidden="1">Jun!$FE$1:$FM$39</definedName>
    <definedName name="Z_50BAF29F_42C1_42D3_A062_86C33916354B_.wvu.FilterData" localSheetId="5" hidden="1">Mai!$FE$1:$FM$39</definedName>
    <definedName name="Z_50BAF29F_42C1_42D3_A062_86C33916354B_.wvu.FilterData" localSheetId="0" hidden="1">'MAI (2)'!$FE$1:$FM$39</definedName>
    <definedName name="Z_50BAF29F_42C1_42D3_A062_86C33916354B_.wvu.FilterData" localSheetId="3" hidden="1">Mar!$FE$1:$FM$39</definedName>
    <definedName name="Z_50BAF29F_42C1_42D3_A062_86C33916354B_.wvu.FilterData" localSheetId="11" hidden="1">Nov!$FE$1:$FM$39</definedName>
    <definedName name="Z_50BAF29F_42C1_42D3_A062_86C33916354B_.wvu.FilterData" localSheetId="10" hidden="1">Out!$FE$1:$FM$39</definedName>
    <definedName name="Z_50BAF29F_42C1_42D3_A062_86C33916354B_.wvu.FilterData" localSheetId="9" hidden="1">Set!$FE$1:$FM$39</definedName>
    <definedName name="Z_54EC6366_3724_4F9A_B6FB_D4BD44A12157_.wvu.Cols" localSheetId="4" hidden="1">Abr!$BO:$DN,Abr!$FR:$FW</definedName>
    <definedName name="Z_54EC6366_3724_4F9A_B6FB_D4BD44A12157_.wvu.Cols" localSheetId="8" hidden="1">Ago!$BO:$DN,Ago!$FR:$FW</definedName>
    <definedName name="Z_54EC6366_3724_4F9A_B6FB_D4BD44A12157_.wvu.Cols" localSheetId="12" hidden="1">Dez!$BO:$DN,Dez!$FR:$FW</definedName>
    <definedName name="Z_54EC6366_3724_4F9A_B6FB_D4BD44A12157_.wvu.Cols" localSheetId="2" hidden="1">Fev!$BO:$DN,Fev!$FR:$FW</definedName>
    <definedName name="Z_54EC6366_3724_4F9A_B6FB_D4BD44A12157_.wvu.Cols" localSheetId="1" hidden="1">Jan!$BO:$DN,Jan!$FR:$FW</definedName>
    <definedName name="Z_54EC6366_3724_4F9A_B6FB_D4BD44A12157_.wvu.Cols" localSheetId="7" hidden="1">Jul!$BO:$DN,Jul!$FR:$FW</definedName>
    <definedName name="Z_54EC6366_3724_4F9A_B6FB_D4BD44A12157_.wvu.Cols" localSheetId="6" hidden="1">Jun!$BO:$DN,Jun!$FR:$FW</definedName>
    <definedName name="Z_54EC6366_3724_4F9A_B6FB_D4BD44A12157_.wvu.Cols" localSheetId="5" hidden="1">Mai!$BO:$DN,Mai!$FR:$FW</definedName>
    <definedName name="Z_54EC6366_3724_4F9A_B6FB_D4BD44A12157_.wvu.Cols" localSheetId="0" hidden="1">'MAI (2)'!$BO:$DN,'MAI (2)'!$FR:$FW</definedName>
    <definedName name="Z_54EC6366_3724_4F9A_B6FB_D4BD44A12157_.wvu.Cols" localSheetId="3" hidden="1">Mar!$BO:$DN,Mar!$FR:$FW</definedName>
    <definedName name="Z_54EC6366_3724_4F9A_B6FB_D4BD44A12157_.wvu.Cols" localSheetId="11" hidden="1">Nov!$BO:$DN,Nov!$FR:$FW</definedName>
    <definedName name="Z_54EC6366_3724_4F9A_B6FB_D4BD44A12157_.wvu.Cols" localSheetId="10" hidden="1">Out!$BO:$DN,Out!$FR:$FW</definedName>
    <definedName name="Z_54EC6366_3724_4F9A_B6FB_D4BD44A12157_.wvu.Cols" localSheetId="9" hidden="1">Set!$BO:$DN,Set!$FR:$FW</definedName>
    <definedName name="Z_54EC6366_3724_4F9A_B6FB_D4BD44A12157_.wvu.FilterData" localSheetId="4" hidden="1">Abr!$FE$1:$FM$39</definedName>
    <definedName name="Z_54EC6366_3724_4F9A_B6FB_D4BD44A12157_.wvu.FilterData" localSheetId="8" hidden="1">Ago!$FE$1:$FM$39</definedName>
    <definedName name="Z_54EC6366_3724_4F9A_B6FB_D4BD44A12157_.wvu.FilterData" localSheetId="12" hidden="1">Dez!$FE$1:$FM$39</definedName>
    <definedName name="Z_54EC6366_3724_4F9A_B6FB_D4BD44A12157_.wvu.FilterData" localSheetId="2" hidden="1">Fev!$FE$1:$FM$36</definedName>
    <definedName name="Z_54EC6366_3724_4F9A_B6FB_D4BD44A12157_.wvu.FilterData" localSheetId="1" hidden="1">Jan!$FE$1:$FM$39</definedName>
    <definedName name="Z_54EC6366_3724_4F9A_B6FB_D4BD44A12157_.wvu.FilterData" localSheetId="7" hidden="1">Jul!$FE$1:$FM$39</definedName>
    <definedName name="Z_54EC6366_3724_4F9A_B6FB_D4BD44A12157_.wvu.FilterData" localSheetId="6" hidden="1">Jun!$FE$1:$FM$39</definedName>
    <definedName name="Z_54EC6366_3724_4F9A_B6FB_D4BD44A12157_.wvu.FilterData" localSheetId="5" hidden="1">Mai!$FE$1:$FM$39</definedName>
    <definedName name="Z_54EC6366_3724_4F9A_B6FB_D4BD44A12157_.wvu.FilterData" localSheetId="0" hidden="1">'MAI (2)'!$FE$1:$FM$39</definedName>
    <definedName name="Z_54EC6366_3724_4F9A_B6FB_D4BD44A12157_.wvu.FilterData" localSheetId="3" hidden="1">Mar!$FE$1:$FM$39</definedName>
    <definedName name="Z_54EC6366_3724_4F9A_B6FB_D4BD44A12157_.wvu.FilterData" localSheetId="11" hidden="1">Nov!$FE$1:$FM$39</definedName>
    <definedName name="Z_54EC6366_3724_4F9A_B6FB_D4BD44A12157_.wvu.FilterData" localSheetId="10" hidden="1">Out!$FE$1:$FM$39</definedName>
    <definedName name="Z_54EC6366_3724_4F9A_B6FB_D4BD44A12157_.wvu.FilterData" localSheetId="9" hidden="1">Set!$FE$1:$FM$39</definedName>
    <definedName name="Z_54EC6366_3724_4F9A_B6FB_D4BD44A12157_.wvu.Rows" localSheetId="14" hidden="1">'Histórico ind.'!$28:$28</definedName>
    <definedName name="Z_54FE18E3_7311_41D6_8D01_E82B6BD2952E_.wvu.Cols" localSheetId="4" hidden="1">Abr!$FR:$FW</definedName>
    <definedName name="Z_54FE18E3_7311_41D6_8D01_E82B6BD2952E_.wvu.Cols" localSheetId="8" hidden="1">Ago!$FR:$FW</definedName>
    <definedName name="Z_54FE18E3_7311_41D6_8D01_E82B6BD2952E_.wvu.Cols" localSheetId="12" hidden="1">Dez!$FR:$FW</definedName>
    <definedName name="Z_54FE18E3_7311_41D6_8D01_E82B6BD2952E_.wvu.Cols" localSheetId="2" hidden="1">Fev!$FR:$FW</definedName>
    <definedName name="Z_54FE18E3_7311_41D6_8D01_E82B6BD2952E_.wvu.Cols" localSheetId="1" hidden="1">Jan!$FR:$FW</definedName>
    <definedName name="Z_54FE18E3_7311_41D6_8D01_E82B6BD2952E_.wvu.Cols" localSheetId="7" hidden="1">Jul!$FR:$FW</definedName>
    <definedName name="Z_54FE18E3_7311_41D6_8D01_E82B6BD2952E_.wvu.Cols" localSheetId="6" hidden="1">Jun!$FR:$FW</definedName>
    <definedName name="Z_54FE18E3_7311_41D6_8D01_E82B6BD2952E_.wvu.Cols" localSheetId="5" hidden="1">Mai!$FR:$FW</definedName>
    <definedName name="Z_54FE18E3_7311_41D6_8D01_E82B6BD2952E_.wvu.Cols" localSheetId="0" hidden="1">'MAI (2)'!$FR:$FW</definedName>
    <definedName name="Z_54FE18E3_7311_41D6_8D01_E82B6BD2952E_.wvu.Cols" localSheetId="3" hidden="1">Mar!$FR:$FW</definedName>
    <definedName name="Z_54FE18E3_7311_41D6_8D01_E82B6BD2952E_.wvu.Cols" localSheetId="11" hidden="1">Nov!$FR:$FW</definedName>
    <definedName name="Z_54FE18E3_7311_41D6_8D01_E82B6BD2952E_.wvu.Cols" localSheetId="10" hidden="1">Out!$FR:$FW</definedName>
    <definedName name="Z_54FE18E3_7311_41D6_8D01_E82B6BD2952E_.wvu.Cols" localSheetId="9" hidden="1">Set!$FR:$FW</definedName>
    <definedName name="Z_54FE18E3_7311_41D6_8D01_E82B6BD2952E_.wvu.FilterData" localSheetId="4" hidden="1">Abr!$FE$1:$FM$39</definedName>
    <definedName name="Z_54FE18E3_7311_41D6_8D01_E82B6BD2952E_.wvu.FilterData" localSheetId="8" hidden="1">Ago!$FE$1:$FM$39</definedName>
    <definedName name="Z_54FE18E3_7311_41D6_8D01_E82B6BD2952E_.wvu.FilterData" localSheetId="12" hidden="1">Dez!$FE$1:$FM$39</definedName>
    <definedName name="Z_54FE18E3_7311_41D6_8D01_E82B6BD2952E_.wvu.FilterData" localSheetId="2" hidden="1">Fev!$FE$1:$FM$36</definedName>
    <definedName name="Z_54FE18E3_7311_41D6_8D01_E82B6BD2952E_.wvu.FilterData" localSheetId="1" hidden="1">Jan!$FE$1:$FM$39</definedName>
    <definedName name="Z_54FE18E3_7311_41D6_8D01_E82B6BD2952E_.wvu.FilterData" localSheetId="7" hidden="1">Jul!$FE$1:$FM$39</definedName>
    <definedName name="Z_54FE18E3_7311_41D6_8D01_E82B6BD2952E_.wvu.FilterData" localSheetId="6" hidden="1">Jun!$FE$1:$FM$39</definedName>
    <definedName name="Z_54FE18E3_7311_41D6_8D01_E82B6BD2952E_.wvu.FilterData" localSheetId="5" hidden="1">Mai!$FE$1:$FM$39</definedName>
    <definedName name="Z_54FE18E3_7311_41D6_8D01_E82B6BD2952E_.wvu.FilterData" localSheetId="0" hidden="1">'MAI (2)'!$FE$1:$FM$39</definedName>
    <definedName name="Z_54FE18E3_7311_41D6_8D01_E82B6BD2952E_.wvu.FilterData" localSheetId="3" hidden="1">Mar!$FE$1:$FM$39</definedName>
    <definedName name="Z_54FE18E3_7311_41D6_8D01_E82B6BD2952E_.wvu.FilterData" localSheetId="11" hidden="1">Nov!$FE$1:$FM$39</definedName>
    <definedName name="Z_54FE18E3_7311_41D6_8D01_E82B6BD2952E_.wvu.FilterData" localSheetId="10" hidden="1">Out!$FE$1:$FM$39</definedName>
    <definedName name="Z_54FE18E3_7311_41D6_8D01_E82B6BD2952E_.wvu.FilterData" localSheetId="9" hidden="1">Set!$FE$1:$FM$39</definedName>
    <definedName name="Z_54FE18E3_7311_41D6_8D01_E82B6BD2952E_.wvu.Rows" localSheetId="14" hidden="1">'Histórico ind.'!$28:$28</definedName>
    <definedName name="Z_56CB5110_36F8_44C6_8F24_44CBD1C07DFF_.wvu.FilterData" localSheetId="4" hidden="1">Abr!$FE$1:$FM$39</definedName>
    <definedName name="Z_56CB5110_36F8_44C6_8F24_44CBD1C07DFF_.wvu.FilterData" localSheetId="8" hidden="1">Ago!$FE$1:$FM$39</definedName>
    <definedName name="Z_56CB5110_36F8_44C6_8F24_44CBD1C07DFF_.wvu.FilterData" localSheetId="12" hidden="1">Dez!$FE$1:$FM$39</definedName>
    <definedName name="Z_56CB5110_36F8_44C6_8F24_44CBD1C07DFF_.wvu.FilterData" localSheetId="2" hidden="1">Fev!$FE$1:$FM$36</definedName>
    <definedName name="Z_56CB5110_36F8_44C6_8F24_44CBD1C07DFF_.wvu.FilterData" localSheetId="1" hidden="1">Jan!$FE$1:$FM$39</definedName>
    <definedName name="Z_56CB5110_36F8_44C6_8F24_44CBD1C07DFF_.wvu.FilterData" localSheetId="7" hidden="1">Jul!$FE$1:$FM$39</definedName>
    <definedName name="Z_56CB5110_36F8_44C6_8F24_44CBD1C07DFF_.wvu.FilterData" localSheetId="6" hidden="1">Jun!$FE$1:$FM$39</definedName>
    <definedName name="Z_56CB5110_36F8_44C6_8F24_44CBD1C07DFF_.wvu.FilterData" localSheetId="5" hidden="1">Mai!$FE$1:$FM$39</definedName>
    <definedName name="Z_56CB5110_36F8_44C6_8F24_44CBD1C07DFF_.wvu.FilterData" localSheetId="0" hidden="1">'MAI (2)'!$FE$1:$FM$39</definedName>
    <definedName name="Z_56CB5110_36F8_44C6_8F24_44CBD1C07DFF_.wvu.FilterData" localSheetId="3" hidden="1">Mar!$FE$1:$FM$39</definedName>
    <definedName name="Z_56CB5110_36F8_44C6_8F24_44CBD1C07DFF_.wvu.FilterData" localSheetId="11" hidden="1">Nov!$FE$1:$FM$39</definedName>
    <definedName name="Z_56CB5110_36F8_44C6_8F24_44CBD1C07DFF_.wvu.FilterData" localSheetId="10" hidden="1">Out!$FE$1:$FM$39</definedName>
    <definedName name="Z_56CB5110_36F8_44C6_8F24_44CBD1C07DFF_.wvu.FilterData" localSheetId="9" hidden="1">Set!$FE$1:$FM$39</definedName>
    <definedName name="Z_5B9196AF_8B75_467A_A01A_1582DA59B302_.wvu.FilterData" localSheetId="4" hidden="1">Abr!$FE$1:$FM$39</definedName>
    <definedName name="Z_5B9196AF_8B75_467A_A01A_1582DA59B302_.wvu.FilterData" localSheetId="8" hidden="1">Ago!$FE$1:$FM$39</definedName>
    <definedName name="Z_5B9196AF_8B75_467A_A01A_1582DA59B302_.wvu.FilterData" localSheetId="12" hidden="1">Dez!$FE$1:$FM$39</definedName>
    <definedName name="Z_5B9196AF_8B75_467A_A01A_1582DA59B302_.wvu.FilterData" localSheetId="2" hidden="1">Fev!$FE$1:$FM$36</definedName>
    <definedName name="Z_5B9196AF_8B75_467A_A01A_1582DA59B302_.wvu.FilterData" localSheetId="1" hidden="1">Jan!$FE$1:$FM$39</definedName>
    <definedName name="Z_5B9196AF_8B75_467A_A01A_1582DA59B302_.wvu.FilterData" localSheetId="7" hidden="1">Jul!$FE$1:$FM$39</definedName>
    <definedName name="Z_5B9196AF_8B75_467A_A01A_1582DA59B302_.wvu.FilterData" localSheetId="6" hidden="1">Jun!$FE$1:$FM$39</definedName>
    <definedName name="Z_5B9196AF_8B75_467A_A01A_1582DA59B302_.wvu.FilterData" localSheetId="5" hidden="1">Mai!$FE$1:$FM$39</definedName>
    <definedName name="Z_5B9196AF_8B75_467A_A01A_1582DA59B302_.wvu.FilterData" localSheetId="0" hidden="1">'MAI (2)'!$FE$1:$FM$39</definedName>
    <definedName name="Z_5B9196AF_8B75_467A_A01A_1582DA59B302_.wvu.FilterData" localSheetId="3" hidden="1">Mar!$FE$1:$FM$39</definedName>
    <definedName name="Z_5B9196AF_8B75_467A_A01A_1582DA59B302_.wvu.FilterData" localSheetId="11" hidden="1">Nov!$FE$1:$FM$39</definedName>
    <definedName name="Z_5B9196AF_8B75_467A_A01A_1582DA59B302_.wvu.FilterData" localSheetId="10" hidden="1">Out!$FE$1:$FM$39</definedName>
    <definedName name="Z_5B9196AF_8B75_467A_A01A_1582DA59B302_.wvu.FilterData" localSheetId="9" hidden="1">Set!$FE$1:$FM$39</definedName>
    <definedName name="Z_5C58415F_DACC_4215_93FE_FDA515D24645_.wvu.Cols" localSheetId="4" hidden="1">Abr!$DR:$DR</definedName>
    <definedName name="Z_5C58415F_DACC_4215_93FE_FDA515D24645_.wvu.Cols" localSheetId="8" hidden="1">Ago!$DR:$DR</definedName>
    <definedName name="Z_5C58415F_DACC_4215_93FE_FDA515D24645_.wvu.Cols" localSheetId="12" hidden="1">Dez!$DR:$DR</definedName>
    <definedName name="Z_5C58415F_DACC_4215_93FE_FDA515D24645_.wvu.Cols" localSheetId="2" hidden="1">Fev!$DR:$DR</definedName>
    <definedName name="Z_5C58415F_DACC_4215_93FE_FDA515D24645_.wvu.Cols" localSheetId="1" hidden="1">Jan!$DR:$DR</definedName>
    <definedName name="Z_5C58415F_DACC_4215_93FE_FDA515D24645_.wvu.Cols" localSheetId="7" hidden="1">Jul!$DR:$DR</definedName>
    <definedName name="Z_5C58415F_DACC_4215_93FE_FDA515D24645_.wvu.Cols" localSheetId="6" hidden="1">Jun!$DR:$DR</definedName>
    <definedName name="Z_5C58415F_DACC_4215_93FE_FDA515D24645_.wvu.Cols" localSheetId="5" hidden="1">Mai!$DR:$DR</definedName>
    <definedName name="Z_5C58415F_DACC_4215_93FE_FDA515D24645_.wvu.Cols" localSheetId="0" hidden="1">'MAI (2)'!$DR:$DR</definedName>
    <definedName name="Z_5C58415F_DACC_4215_93FE_FDA515D24645_.wvu.Cols" localSheetId="3" hidden="1">Mar!$DR:$DR</definedName>
    <definedName name="Z_5C58415F_DACC_4215_93FE_FDA515D24645_.wvu.Cols" localSheetId="11" hidden="1">Nov!$DR:$DR</definedName>
    <definedName name="Z_5C58415F_DACC_4215_93FE_FDA515D24645_.wvu.Cols" localSheetId="10" hidden="1">Out!$DR:$DR</definedName>
    <definedName name="Z_5C58415F_DACC_4215_93FE_FDA515D24645_.wvu.Cols" localSheetId="9" hidden="1">Set!$DR:$DR</definedName>
    <definedName name="Z_5CA2DE06_E5F7_4386_8924_80FE8484CC75_.wvu.FilterData" localSheetId="4" hidden="1">Abr!$FE$1:$FM$39</definedName>
    <definedName name="Z_5CA2DE06_E5F7_4386_8924_80FE8484CC75_.wvu.FilterData" localSheetId="8" hidden="1">Ago!$FE$1:$FM$39</definedName>
    <definedName name="Z_5CA2DE06_E5F7_4386_8924_80FE8484CC75_.wvu.FilterData" localSheetId="12" hidden="1">Dez!$FE$1:$FM$39</definedName>
    <definedName name="Z_5CA2DE06_E5F7_4386_8924_80FE8484CC75_.wvu.FilterData" localSheetId="2" hidden="1">Fev!$FE$1:$FM$36</definedName>
    <definedName name="Z_5CA2DE06_E5F7_4386_8924_80FE8484CC75_.wvu.FilterData" localSheetId="1" hidden="1">Jan!$FE$1:$FM$39</definedName>
    <definedName name="Z_5CA2DE06_E5F7_4386_8924_80FE8484CC75_.wvu.FilterData" localSheetId="7" hidden="1">Jul!$FE$1:$FM$39</definedName>
    <definedName name="Z_5CA2DE06_E5F7_4386_8924_80FE8484CC75_.wvu.FilterData" localSheetId="6" hidden="1">Jun!$FE$1:$FM$39</definedName>
    <definedName name="Z_5CA2DE06_E5F7_4386_8924_80FE8484CC75_.wvu.FilterData" localSheetId="5" hidden="1">Mai!$FE$1:$FM$39</definedName>
    <definedName name="Z_5CA2DE06_E5F7_4386_8924_80FE8484CC75_.wvu.FilterData" localSheetId="0" hidden="1">'MAI (2)'!$FE$1:$FM$39</definedName>
    <definedName name="Z_5CA2DE06_E5F7_4386_8924_80FE8484CC75_.wvu.FilterData" localSheetId="3" hidden="1">Mar!$FE$1:$FM$39</definedName>
    <definedName name="Z_5CA2DE06_E5F7_4386_8924_80FE8484CC75_.wvu.FilterData" localSheetId="11" hidden="1">Nov!$FE$1:$FM$39</definedName>
    <definedName name="Z_5CA2DE06_E5F7_4386_8924_80FE8484CC75_.wvu.FilterData" localSheetId="10" hidden="1">Out!$FE$1:$FM$39</definedName>
    <definedName name="Z_5CA2DE06_E5F7_4386_8924_80FE8484CC75_.wvu.FilterData" localSheetId="9" hidden="1">Set!$FE$1:$FM$39</definedName>
    <definedName name="Z_5CAA61C0_8A77_40A5_9E68_80F63EFE9C4C_.wvu.Cols" localSheetId="4" hidden="1">Abr!$BO:$DN,Abr!$FR:$FW</definedName>
    <definedName name="Z_5CAA61C0_8A77_40A5_9E68_80F63EFE9C4C_.wvu.Cols" localSheetId="8" hidden="1">Ago!$BO:$DN,Ago!$FR:$FW</definedName>
    <definedName name="Z_5CAA61C0_8A77_40A5_9E68_80F63EFE9C4C_.wvu.Cols" localSheetId="12" hidden="1">Dez!$BO:$DN,Dez!$FR:$FW</definedName>
    <definedName name="Z_5CAA61C0_8A77_40A5_9E68_80F63EFE9C4C_.wvu.Cols" localSheetId="2" hidden="1">Fev!$BO:$DN,Fev!$FR:$FW</definedName>
    <definedName name="Z_5CAA61C0_8A77_40A5_9E68_80F63EFE9C4C_.wvu.Cols" localSheetId="1" hidden="1">Jan!$BO:$DN,Jan!$FR:$FW</definedName>
    <definedName name="Z_5CAA61C0_8A77_40A5_9E68_80F63EFE9C4C_.wvu.Cols" localSheetId="7" hidden="1">Jul!$BO:$DN,Jul!$FR:$FW</definedName>
    <definedName name="Z_5CAA61C0_8A77_40A5_9E68_80F63EFE9C4C_.wvu.Cols" localSheetId="6" hidden="1">Jun!$BO:$DN,Jun!$FR:$FW</definedName>
    <definedName name="Z_5CAA61C0_8A77_40A5_9E68_80F63EFE9C4C_.wvu.Cols" localSheetId="5" hidden="1">Mai!$BO:$DN,Mai!$FR:$FW</definedName>
    <definedName name="Z_5CAA61C0_8A77_40A5_9E68_80F63EFE9C4C_.wvu.Cols" localSheetId="0" hidden="1">'MAI (2)'!$BO:$DN,'MAI (2)'!$FR:$FW</definedName>
    <definedName name="Z_5CAA61C0_8A77_40A5_9E68_80F63EFE9C4C_.wvu.Cols" localSheetId="3" hidden="1">Mar!$BO:$DN,Mar!$FR:$FW</definedName>
    <definedName name="Z_5CAA61C0_8A77_40A5_9E68_80F63EFE9C4C_.wvu.Cols" localSheetId="11" hidden="1">Nov!$BO:$DN,Nov!$FR:$FW</definedName>
    <definedName name="Z_5CAA61C0_8A77_40A5_9E68_80F63EFE9C4C_.wvu.Cols" localSheetId="10" hidden="1">Out!$BO:$DN,Out!$FR:$FW</definedName>
    <definedName name="Z_5CAA61C0_8A77_40A5_9E68_80F63EFE9C4C_.wvu.Cols" localSheetId="9" hidden="1">Set!$BO:$DN,Set!$FR:$FW</definedName>
    <definedName name="Z_5CAA61C0_8A77_40A5_9E68_80F63EFE9C4C_.wvu.FilterData" localSheetId="4" hidden="1">Abr!$FE$1:$FM$39</definedName>
    <definedName name="Z_5CAA61C0_8A77_40A5_9E68_80F63EFE9C4C_.wvu.FilterData" localSheetId="8" hidden="1">Ago!$FE$1:$FM$39</definedName>
    <definedName name="Z_5CAA61C0_8A77_40A5_9E68_80F63EFE9C4C_.wvu.FilterData" localSheetId="12" hidden="1">Dez!$FE$1:$FM$39</definedName>
    <definedName name="Z_5CAA61C0_8A77_40A5_9E68_80F63EFE9C4C_.wvu.FilterData" localSheetId="2" hidden="1">Fev!$FE$1:$FM$36</definedName>
    <definedName name="Z_5CAA61C0_8A77_40A5_9E68_80F63EFE9C4C_.wvu.FilterData" localSheetId="1" hidden="1">Jan!$FE$1:$FM$39</definedName>
    <definedName name="Z_5CAA61C0_8A77_40A5_9E68_80F63EFE9C4C_.wvu.FilterData" localSheetId="7" hidden="1">Jul!$FE$1:$FM$39</definedName>
    <definedName name="Z_5CAA61C0_8A77_40A5_9E68_80F63EFE9C4C_.wvu.FilterData" localSheetId="6" hidden="1">Jun!$FE$1:$FM$39</definedName>
    <definedName name="Z_5CAA61C0_8A77_40A5_9E68_80F63EFE9C4C_.wvu.FilterData" localSheetId="5" hidden="1">Mai!$FE$1:$FM$39</definedName>
    <definedName name="Z_5CAA61C0_8A77_40A5_9E68_80F63EFE9C4C_.wvu.FilterData" localSheetId="0" hidden="1">'MAI (2)'!$FE$1:$FM$39</definedName>
    <definedName name="Z_5CAA61C0_8A77_40A5_9E68_80F63EFE9C4C_.wvu.FilterData" localSheetId="3" hidden="1">Mar!$FE$1:$FM$39</definedName>
    <definedName name="Z_5CAA61C0_8A77_40A5_9E68_80F63EFE9C4C_.wvu.FilterData" localSheetId="11" hidden="1">Nov!$FE$1:$FM$39</definedName>
    <definedName name="Z_5CAA61C0_8A77_40A5_9E68_80F63EFE9C4C_.wvu.FilterData" localSheetId="10" hidden="1">Out!$FE$1:$FM$39</definedName>
    <definedName name="Z_5CAA61C0_8A77_40A5_9E68_80F63EFE9C4C_.wvu.FilterData" localSheetId="9" hidden="1">Set!$FE$1:$FM$39</definedName>
    <definedName name="Z_5CAA61C0_8A77_40A5_9E68_80F63EFE9C4C_.wvu.Rows" localSheetId="14" hidden="1">'Histórico ind.'!$28:$28</definedName>
    <definedName name="Z_63417F7E_62BF_4664_89A8_FB83C8F5B903_.wvu.FilterData" localSheetId="4" hidden="1">Abr!$FE$1:$FM$39</definedName>
    <definedName name="Z_63417F7E_62BF_4664_89A8_FB83C8F5B903_.wvu.FilterData" localSheetId="8" hidden="1">Ago!$FE$1:$FM$39</definedName>
    <definedName name="Z_63417F7E_62BF_4664_89A8_FB83C8F5B903_.wvu.FilterData" localSheetId="12" hidden="1">Dez!$FE$1:$FM$39</definedName>
    <definedName name="Z_63417F7E_62BF_4664_89A8_FB83C8F5B903_.wvu.FilterData" localSheetId="2" hidden="1">Fev!$FE$1:$FM$36</definedName>
    <definedName name="Z_63417F7E_62BF_4664_89A8_FB83C8F5B903_.wvu.FilterData" localSheetId="1" hidden="1">Jan!$FE$1:$FM$39</definedName>
    <definedName name="Z_63417F7E_62BF_4664_89A8_FB83C8F5B903_.wvu.FilterData" localSheetId="7" hidden="1">Jul!$FE$1:$FM$39</definedName>
    <definedName name="Z_63417F7E_62BF_4664_89A8_FB83C8F5B903_.wvu.FilterData" localSheetId="6" hidden="1">Jun!$FE$1:$FM$39</definedName>
    <definedName name="Z_63417F7E_62BF_4664_89A8_FB83C8F5B903_.wvu.FilterData" localSheetId="5" hidden="1">Mai!$FE$1:$FM$39</definedName>
    <definedName name="Z_63417F7E_62BF_4664_89A8_FB83C8F5B903_.wvu.FilterData" localSheetId="0" hidden="1">'MAI (2)'!$FE$1:$FM$39</definedName>
    <definedName name="Z_63417F7E_62BF_4664_89A8_FB83C8F5B903_.wvu.FilterData" localSheetId="3" hidden="1">Mar!$FE$1:$FM$39</definedName>
    <definedName name="Z_63417F7E_62BF_4664_89A8_FB83C8F5B903_.wvu.FilterData" localSheetId="11" hidden="1">Nov!$FE$1:$FM$39</definedName>
    <definedName name="Z_63417F7E_62BF_4664_89A8_FB83C8F5B903_.wvu.FilterData" localSheetId="10" hidden="1">Out!$FE$1:$FM$39</definedName>
    <definedName name="Z_63417F7E_62BF_4664_89A8_FB83C8F5B903_.wvu.FilterData" localSheetId="9" hidden="1">Set!$FE$1:$FM$39</definedName>
    <definedName name="Z_643FE804_C820_439A_9DD1_9BEDE0FD0A0C_.wvu.Cols" localSheetId="4" hidden="1">Abr!$FR:$FW</definedName>
    <definedName name="Z_643FE804_C820_439A_9DD1_9BEDE0FD0A0C_.wvu.Cols" localSheetId="8" hidden="1">Ago!$FR:$FW</definedName>
    <definedName name="Z_643FE804_C820_439A_9DD1_9BEDE0FD0A0C_.wvu.Cols" localSheetId="12" hidden="1">Dez!$FR:$FW</definedName>
    <definedName name="Z_643FE804_C820_439A_9DD1_9BEDE0FD0A0C_.wvu.Cols" localSheetId="2" hidden="1">Fev!$FR:$FW</definedName>
    <definedName name="Z_643FE804_C820_439A_9DD1_9BEDE0FD0A0C_.wvu.Cols" localSheetId="1" hidden="1">Jan!$FR:$FW</definedName>
    <definedName name="Z_643FE804_C820_439A_9DD1_9BEDE0FD0A0C_.wvu.Cols" localSheetId="7" hidden="1">Jul!$FR:$FW</definedName>
    <definedName name="Z_643FE804_C820_439A_9DD1_9BEDE0FD0A0C_.wvu.Cols" localSheetId="6" hidden="1">Jun!$FR:$FW</definedName>
    <definedName name="Z_643FE804_C820_439A_9DD1_9BEDE0FD0A0C_.wvu.Cols" localSheetId="5" hidden="1">Mai!$FR:$FW</definedName>
    <definedName name="Z_643FE804_C820_439A_9DD1_9BEDE0FD0A0C_.wvu.Cols" localSheetId="0" hidden="1">'MAI (2)'!$FR:$FW</definedName>
    <definedName name="Z_643FE804_C820_439A_9DD1_9BEDE0FD0A0C_.wvu.Cols" localSheetId="3" hidden="1">Mar!$FR:$FW</definedName>
    <definedName name="Z_643FE804_C820_439A_9DD1_9BEDE0FD0A0C_.wvu.Cols" localSheetId="11" hidden="1">Nov!$FR:$FW</definedName>
    <definedName name="Z_643FE804_C820_439A_9DD1_9BEDE0FD0A0C_.wvu.Cols" localSheetId="10" hidden="1">Out!$FR:$FW</definedName>
    <definedName name="Z_643FE804_C820_439A_9DD1_9BEDE0FD0A0C_.wvu.Cols" localSheetId="9" hidden="1">Set!$FR:$FW</definedName>
    <definedName name="Z_643FE804_C820_439A_9DD1_9BEDE0FD0A0C_.wvu.FilterData" localSheetId="4" hidden="1">Abr!$FE$1:$FM$39</definedName>
    <definedName name="Z_643FE804_C820_439A_9DD1_9BEDE0FD0A0C_.wvu.FilterData" localSheetId="8" hidden="1">Ago!$FE$1:$FM$39</definedName>
    <definedName name="Z_643FE804_C820_439A_9DD1_9BEDE0FD0A0C_.wvu.FilterData" localSheetId="12" hidden="1">Dez!$FE$1:$FM$39</definedName>
    <definedName name="Z_643FE804_C820_439A_9DD1_9BEDE0FD0A0C_.wvu.FilterData" localSheetId="2" hidden="1">Fev!$FE$1:$FM$36</definedName>
    <definedName name="Z_643FE804_C820_439A_9DD1_9BEDE0FD0A0C_.wvu.FilterData" localSheetId="1" hidden="1">Jan!$FE$1:$FM$39</definedName>
    <definedName name="Z_643FE804_C820_439A_9DD1_9BEDE0FD0A0C_.wvu.FilterData" localSheetId="7" hidden="1">Jul!$FE$1:$FM$39</definedName>
    <definedName name="Z_643FE804_C820_439A_9DD1_9BEDE0FD0A0C_.wvu.FilterData" localSheetId="6" hidden="1">Jun!$FE$1:$FM$39</definedName>
    <definedName name="Z_643FE804_C820_439A_9DD1_9BEDE0FD0A0C_.wvu.FilterData" localSheetId="5" hidden="1">Mai!$FE$1:$FM$39</definedName>
    <definedName name="Z_643FE804_C820_439A_9DD1_9BEDE0FD0A0C_.wvu.FilterData" localSheetId="0" hidden="1">'MAI (2)'!$FE$1:$FM$39</definedName>
    <definedName name="Z_643FE804_C820_439A_9DD1_9BEDE0FD0A0C_.wvu.FilterData" localSheetId="3" hidden="1">Mar!$FE$1:$FM$39</definedName>
    <definedName name="Z_643FE804_C820_439A_9DD1_9BEDE0FD0A0C_.wvu.FilterData" localSheetId="11" hidden="1">Nov!$FE$1:$FM$39</definedName>
    <definedName name="Z_643FE804_C820_439A_9DD1_9BEDE0FD0A0C_.wvu.FilterData" localSheetId="10" hidden="1">Out!$FE$1:$FM$39</definedName>
    <definedName name="Z_643FE804_C820_439A_9DD1_9BEDE0FD0A0C_.wvu.FilterData" localSheetId="9" hidden="1">Set!$FE$1:$FM$39</definedName>
    <definedName name="Z_643FE804_C820_439A_9DD1_9BEDE0FD0A0C_.wvu.Rows" localSheetId="14" hidden="1">'Histórico ind.'!$28:$28</definedName>
    <definedName name="Z_64A956C4_633F_40F6_9ACC_A5D1282A4E52_.wvu.Cols" localSheetId="4" hidden="1">Abr!$P:$P,Abr!$DR:$DR,Abr!$FR:$FW</definedName>
    <definedName name="Z_64A956C4_633F_40F6_9ACC_A5D1282A4E52_.wvu.Cols" localSheetId="8" hidden="1">Ago!$P:$P,Ago!$DR:$DR,Ago!$FR:$FW</definedName>
    <definedName name="Z_64A956C4_633F_40F6_9ACC_A5D1282A4E52_.wvu.Cols" localSheetId="12" hidden="1">Dez!$P:$P,Dez!$DR:$DR,Dez!$FR:$FW</definedName>
    <definedName name="Z_64A956C4_633F_40F6_9ACC_A5D1282A4E52_.wvu.Cols" localSheetId="2" hidden="1">Fev!$P:$P,Fev!$DR:$DR,Fev!$FR:$FW</definedName>
    <definedName name="Z_64A956C4_633F_40F6_9ACC_A5D1282A4E52_.wvu.Cols" localSheetId="1" hidden="1">Jan!$P:$P,Jan!$DR:$DR,Jan!$FR:$FW</definedName>
    <definedName name="Z_64A956C4_633F_40F6_9ACC_A5D1282A4E52_.wvu.Cols" localSheetId="7" hidden="1">Jul!$P:$P,Jul!$DR:$DR,Jul!$FR:$FW</definedName>
    <definedName name="Z_64A956C4_633F_40F6_9ACC_A5D1282A4E52_.wvu.Cols" localSheetId="6" hidden="1">Jun!$P:$P,Jun!$DR:$DR,Jun!$FR:$FW</definedName>
    <definedName name="Z_64A956C4_633F_40F6_9ACC_A5D1282A4E52_.wvu.Cols" localSheetId="5" hidden="1">Mai!$P:$P,Mai!$DR:$DR,Mai!$FR:$FW</definedName>
    <definedName name="Z_64A956C4_633F_40F6_9ACC_A5D1282A4E52_.wvu.Cols" localSheetId="0" hidden="1">'MAI (2)'!$P:$P,'MAI (2)'!$DR:$DR,'MAI (2)'!$FR:$FW</definedName>
    <definedName name="Z_64A956C4_633F_40F6_9ACC_A5D1282A4E52_.wvu.Cols" localSheetId="3" hidden="1">Mar!$P:$P,Mar!$DR:$DR,Mar!$FR:$FW</definedName>
    <definedName name="Z_64A956C4_633F_40F6_9ACC_A5D1282A4E52_.wvu.Cols" localSheetId="11" hidden="1">Nov!$P:$P,Nov!$DR:$DR,Nov!$FR:$FW</definedName>
    <definedName name="Z_64A956C4_633F_40F6_9ACC_A5D1282A4E52_.wvu.Cols" localSheetId="10" hidden="1">Out!$P:$P,Out!$DR:$DR,Out!$FR:$FW</definedName>
    <definedName name="Z_64A956C4_633F_40F6_9ACC_A5D1282A4E52_.wvu.Cols" localSheetId="9" hidden="1">Set!$P:$P,Set!$DR:$DR,Set!$FR:$FW</definedName>
    <definedName name="Z_6527763B_B087_416E_A827_18BC4B014A4E_.wvu.FilterData" localSheetId="4" hidden="1">Abr!$FE$1:$FM$39</definedName>
    <definedName name="Z_6527763B_B087_416E_A827_18BC4B014A4E_.wvu.FilterData" localSheetId="8" hidden="1">Ago!$FE$1:$FM$39</definedName>
    <definedName name="Z_6527763B_B087_416E_A827_18BC4B014A4E_.wvu.FilterData" localSheetId="12" hidden="1">Dez!$FE$1:$FM$39</definedName>
    <definedName name="Z_6527763B_B087_416E_A827_18BC4B014A4E_.wvu.FilterData" localSheetId="2" hidden="1">Fev!$FE$1:$FM$36</definedName>
    <definedName name="Z_6527763B_B087_416E_A827_18BC4B014A4E_.wvu.FilterData" localSheetId="1" hidden="1">Jan!$FE$1:$FM$39</definedName>
    <definedName name="Z_6527763B_B087_416E_A827_18BC4B014A4E_.wvu.FilterData" localSheetId="7" hidden="1">Jul!$FE$1:$FM$39</definedName>
    <definedName name="Z_6527763B_B087_416E_A827_18BC4B014A4E_.wvu.FilterData" localSheetId="6" hidden="1">Jun!$FE$1:$FM$39</definedName>
    <definedName name="Z_6527763B_B087_416E_A827_18BC4B014A4E_.wvu.FilterData" localSheetId="5" hidden="1">Mai!$FE$1:$FM$39</definedName>
    <definedName name="Z_6527763B_B087_416E_A827_18BC4B014A4E_.wvu.FilterData" localSheetId="0" hidden="1">'MAI (2)'!$FE$1:$FM$39</definedName>
    <definedName name="Z_6527763B_B087_416E_A827_18BC4B014A4E_.wvu.FilterData" localSheetId="3" hidden="1">Mar!$FE$1:$FM$39</definedName>
    <definedName name="Z_6527763B_B087_416E_A827_18BC4B014A4E_.wvu.FilterData" localSheetId="11" hidden="1">Nov!$FE$1:$FM$39</definedName>
    <definedName name="Z_6527763B_B087_416E_A827_18BC4B014A4E_.wvu.FilterData" localSheetId="10" hidden="1">Out!$FE$1:$FM$39</definedName>
    <definedName name="Z_6527763B_B087_416E_A827_18BC4B014A4E_.wvu.FilterData" localSheetId="9" hidden="1">Set!$FE$1:$FM$39</definedName>
    <definedName name="Z_67D7F834_8345_4AA5_8E19_429F64BE9D47_.wvu.FilterData" localSheetId="4" hidden="1">Abr!$FE$1:$FM$39</definedName>
    <definedName name="Z_67D7F834_8345_4AA5_8E19_429F64BE9D47_.wvu.FilterData" localSheetId="8" hidden="1">Ago!$FE$1:$FM$39</definedName>
    <definedName name="Z_67D7F834_8345_4AA5_8E19_429F64BE9D47_.wvu.FilterData" localSheetId="12" hidden="1">Dez!$FE$1:$FM$39</definedName>
    <definedName name="Z_67D7F834_8345_4AA5_8E19_429F64BE9D47_.wvu.FilterData" localSheetId="2" hidden="1">Fev!$FE$1:$FM$36</definedName>
    <definedName name="Z_67D7F834_8345_4AA5_8E19_429F64BE9D47_.wvu.FilterData" localSheetId="1" hidden="1">Jan!$FE$1:$FM$39</definedName>
    <definedName name="Z_67D7F834_8345_4AA5_8E19_429F64BE9D47_.wvu.FilterData" localSheetId="7" hidden="1">Jul!$FE$1:$FM$39</definedName>
    <definedName name="Z_67D7F834_8345_4AA5_8E19_429F64BE9D47_.wvu.FilterData" localSheetId="6" hidden="1">Jun!$FE$1:$FM$39</definedName>
    <definedName name="Z_67D7F834_8345_4AA5_8E19_429F64BE9D47_.wvu.FilterData" localSheetId="5" hidden="1">Mai!$FE$1:$FM$39</definedName>
    <definedName name="Z_67D7F834_8345_4AA5_8E19_429F64BE9D47_.wvu.FilterData" localSheetId="0" hidden="1">'MAI (2)'!$FE$1:$FM$39</definedName>
    <definedName name="Z_67D7F834_8345_4AA5_8E19_429F64BE9D47_.wvu.FilterData" localSheetId="3" hidden="1">Mar!$FE$1:$FM$39</definedName>
    <definedName name="Z_67D7F834_8345_4AA5_8E19_429F64BE9D47_.wvu.FilterData" localSheetId="11" hidden="1">Nov!$FE$1:$FM$39</definedName>
    <definedName name="Z_67D7F834_8345_4AA5_8E19_429F64BE9D47_.wvu.FilterData" localSheetId="10" hidden="1">Out!$FE$1:$FM$39</definedName>
    <definedName name="Z_67D7F834_8345_4AA5_8E19_429F64BE9D47_.wvu.FilterData" localSheetId="9" hidden="1">Set!$FE$1:$FM$39</definedName>
    <definedName name="Z_68DE9CCF_2DB6_4F36_A43B_7E2609165DC7_.wvu.Cols" localSheetId="4" hidden="1">Abr!$DR:$DR,Abr!$FR:$FW</definedName>
    <definedName name="Z_68DE9CCF_2DB6_4F36_A43B_7E2609165DC7_.wvu.Cols" localSheetId="8" hidden="1">Ago!$DR:$DR,Ago!$FR:$FW</definedName>
    <definedName name="Z_68DE9CCF_2DB6_4F36_A43B_7E2609165DC7_.wvu.Cols" localSheetId="12" hidden="1">Dez!$DR:$DR,Dez!$FR:$FW</definedName>
    <definedName name="Z_68DE9CCF_2DB6_4F36_A43B_7E2609165DC7_.wvu.Cols" localSheetId="2" hidden="1">Fev!$DR:$DR,Fev!$FR:$FW</definedName>
    <definedName name="Z_68DE9CCF_2DB6_4F36_A43B_7E2609165DC7_.wvu.Cols" localSheetId="1" hidden="1">Jan!$DR:$DR,Jan!$FR:$FW</definedName>
    <definedName name="Z_68DE9CCF_2DB6_4F36_A43B_7E2609165DC7_.wvu.Cols" localSheetId="7" hidden="1">Jul!$DR:$DR,Jul!$FR:$FW</definedName>
    <definedName name="Z_68DE9CCF_2DB6_4F36_A43B_7E2609165DC7_.wvu.Cols" localSheetId="6" hidden="1">Jun!$DR:$DR,Jun!$FR:$FW</definedName>
    <definedName name="Z_68DE9CCF_2DB6_4F36_A43B_7E2609165DC7_.wvu.Cols" localSheetId="5" hidden="1">Mai!$DR:$DR,Mai!$FR:$FW</definedName>
    <definedName name="Z_68DE9CCF_2DB6_4F36_A43B_7E2609165DC7_.wvu.Cols" localSheetId="0" hidden="1">'MAI (2)'!$DR:$DR,'MAI (2)'!$FR:$FW</definedName>
    <definedName name="Z_68DE9CCF_2DB6_4F36_A43B_7E2609165DC7_.wvu.Cols" localSheetId="3" hidden="1">Mar!$DR:$DR,Mar!$FR:$FW</definedName>
    <definedName name="Z_68DE9CCF_2DB6_4F36_A43B_7E2609165DC7_.wvu.Cols" localSheetId="11" hidden="1">Nov!$DR:$DR,Nov!$FR:$FW</definedName>
    <definedName name="Z_68DE9CCF_2DB6_4F36_A43B_7E2609165DC7_.wvu.Cols" localSheetId="10" hidden="1">Out!$DR:$DR,Out!$FR:$FW</definedName>
    <definedName name="Z_68DE9CCF_2DB6_4F36_A43B_7E2609165DC7_.wvu.Cols" localSheetId="9" hidden="1">Set!$DR:$DR,Set!$FR:$FW</definedName>
    <definedName name="Z_73C97753_3A99_4DCA_BA02_4305B712A5D3_.wvu.FilterData" localSheetId="4" hidden="1">Abr!$FE$1:$FM$39</definedName>
    <definedName name="Z_73C97753_3A99_4DCA_BA02_4305B712A5D3_.wvu.FilterData" localSheetId="8" hidden="1">Ago!$FE$1:$FM$39</definedName>
    <definedName name="Z_73C97753_3A99_4DCA_BA02_4305B712A5D3_.wvu.FilterData" localSheetId="12" hidden="1">Dez!$FE$1:$FM$39</definedName>
    <definedName name="Z_73C97753_3A99_4DCA_BA02_4305B712A5D3_.wvu.FilterData" localSheetId="2" hidden="1">Fev!$FE$1:$FM$36</definedName>
    <definedName name="Z_73C97753_3A99_4DCA_BA02_4305B712A5D3_.wvu.FilterData" localSheetId="1" hidden="1">Jan!$FE$1:$FM$39</definedName>
    <definedName name="Z_73C97753_3A99_4DCA_BA02_4305B712A5D3_.wvu.FilterData" localSheetId="7" hidden="1">Jul!$FE$1:$FM$39</definedName>
    <definedName name="Z_73C97753_3A99_4DCA_BA02_4305B712A5D3_.wvu.FilterData" localSheetId="6" hidden="1">Jun!$FE$1:$FM$39</definedName>
    <definedName name="Z_73C97753_3A99_4DCA_BA02_4305B712A5D3_.wvu.FilterData" localSheetId="5" hidden="1">Mai!$FE$1:$FM$39</definedName>
    <definedName name="Z_73C97753_3A99_4DCA_BA02_4305B712A5D3_.wvu.FilterData" localSheetId="0" hidden="1">'MAI (2)'!$FE$1:$FM$39</definedName>
    <definedName name="Z_73C97753_3A99_4DCA_BA02_4305B712A5D3_.wvu.FilterData" localSheetId="3" hidden="1">Mar!$FE$1:$FM$39</definedName>
    <definedName name="Z_73C97753_3A99_4DCA_BA02_4305B712A5D3_.wvu.FilterData" localSheetId="11" hidden="1">Nov!$FE$1:$FM$39</definedName>
    <definedName name="Z_73C97753_3A99_4DCA_BA02_4305B712A5D3_.wvu.FilterData" localSheetId="10" hidden="1">Out!$FE$1:$FM$39</definedName>
    <definedName name="Z_73C97753_3A99_4DCA_BA02_4305B712A5D3_.wvu.FilterData" localSheetId="9" hidden="1">Set!$FE$1:$FM$39</definedName>
    <definedName name="Z_7A9DD027_3EE3_4866_95BB_12E10E5BA0B7_.wvu.Cols" localSheetId="4" hidden="1">Abr!$DR:$DR</definedName>
    <definedName name="Z_7A9DD027_3EE3_4866_95BB_12E10E5BA0B7_.wvu.Cols" localSheetId="8" hidden="1">Ago!$DR:$DR</definedName>
    <definedName name="Z_7A9DD027_3EE3_4866_95BB_12E10E5BA0B7_.wvu.Cols" localSheetId="12" hidden="1">Dez!$DR:$DR</definedName>
    <definedName name="Z_7A9DD027_3EE3_4866_95BB_12E10E5BA0B7_.wvu.Cols" localSheetId="2" hidden="1">Fev!$DR:$DR</definedName>
    <definedName name="Z_7A9DD027_3EE3_4866_95BB_12E10E5BA0B7_.wvu.Cols" localSheetId="1" hidden="1">Jan!$DR:$DR</definedName>
    <definedName name="Z_7A9DD027_3EE3_4866_95BB_12E10E5BA0B7_.wvu.Cols" localSheetId="7" hidden="1">Jul!$DR:$DR</definedName>
    <definedName name="Z_7A9DD027_3EE3_4866_95BB_12E10E5BA0B7_.wvu.Cols" localSheetId="6" hidden="1">Jun!$DR:$DR</definedName>
    <definedName name="Z_7A9DD027_3EE3_4866_95BB_12E10E5BA0B7_.wvu.Cols" localSheetId="5" hidden="1">Mai!$DR:$DR</definedName>
    <definedName name="Z_7A9DD027_3EE3_4866_95BB_12E10E5BA0B7_.wvu.Cols" localSheetId="0" hidden="1">'MAI (2)'!$DR:$DR</definedName>
    <definedName name="Z_7A9DD027_3EE3_4866_95BB_12E10E5BA0B7_.wvu.Cols" localSheetId="3" hidden="1">Mar!$DR:$DR</definedName>
    <definedName name="Z_7A9DD027_3EE3_4866_95BB_12E10E5BA0B7_.wvu.Cols" localSheetId="11" hidden="1">Nov!$DR:$DR</definedName>
    <definedName name="Z_7A9DD027_3EE3_4866_95BB_12E10E5BA0B7_.wvu.Cols" localSheetId="10" hidden="1">Out!$DR:$DR</definedName>
    <definedName name="Z_7A9DD027_3EE3_4866_95BB_12E10E5BA0B7_.wvu.Cols" localSheetId="9" hidden="1">Set!$DR:$DR</definedName>
    <definedName name="Z_7B9C6306_CF8C_4124_83DD_BA3A3661FAFD_.wvu.FilterData" localSheetId="4" hidden="1">Abr!$FE$1:$FM$39</definedName>
    <definedName name="Z_7B9C6306_CF8C_4124_83DD_BA3A3661FAFD_.wvu.FilterData" localSheetId="8" hidden="1">Ago!$FE$1:$FM$39</definedName>
    <definedName name="Z_7B9C6306_CF8C_4124_83DD_BA3A3661FAFD_.wvu.FilterData" localSheetId="12" hidden="1">Dez!$FE$1:$FM$39</definedName>
    <definedName name="Z_7B9C6306_CF8C_4124_83DD_BA3A3661FAFD_.wvu.FilterData" localSheetId="2" hidden="1">Fev!$FE$1:$FM$36</definedName>
    <definedName name="Z_7B9C6306_CF8C_4124_83DD_BA3A3661FAFD_.wvu.FilterData" localSheetId="1" hidden="1">Jan!$FE$1:$FM$39</definedName>
    <definedName name="Z_7B9C6306_CF8C_4124_83DD_BA3A3661FAFD_.wvu.FilterData" localSheetId="7" hidden="1">Jul!$FE$1:$FM$39</definedName>
    <definedName name="Z_7B9C6306_CF8C_4124_83DD_BA3A3661FAFD_.wvu.FilterData" localSheetId="6" hidden="1">Jun!$FE$1:$FM$39</definedName>
    <definedName name="Z_7B9C6306_CF8C_4124_83DD_BA3A3661FAFD_.wvu.FilterData" localSheetId="5" hidden="1">Mai!$FE$1:$FM$39</definedName>
    <definedName name="Z_7B9C6306_CF8C_4124_83DD_BA3A3661FAFD_.wvu.FilterData" localSheetId="0" hidden="1">'MAI (2)'!$FE$1:$FM$39</definedName>
    <definedName name="Z_7B9C6306_CF8C_4124_83DD_BA3A3661FAFD_.wvu.FilterData" localSheetId="3" hidden="1">Mar!$FE$1:$FM$39</definedName>
    <definedName name="Z_7B9C6306_CF8C_4124_83DD_BA3A3661FAFD_.wvu.FilterData" localSheetId="11" hidden="1">Nov!$FE$1:$FM$39</definedName>
    <definedName name="Z_7B9C6306_CF8C_4124_83DD_BA3A3661FAFD_.wvu.FilterData" localSheetId="10" hidden="1">Out!$FE$1:$FM$39</definedName>
    <definedName name="Z_7B9C6306_CF8C_4124_83DD_BA3A3661FAFD_.wvu.FilterData" localSheetId="9" hidden="1">Set!$FE$1:$FM$39</definedName>
    <definedName name="Z_7D617770_CC00_40C1_8AAC_8ACB41586F5B_.wvu.FilterData" localSheetId="4" hidden="1">Abr!$FE$1:$FM$39</definedName>
    <definedName name="Z_7D617770_CC00_40C1_8AAC_8ACB41586F5B_.wvu.FilterData" localSheetId="8" hidden="1">Ago!$FE$1:$FM$39</definedName>
    <definedName name="Z_7D617770_CC00_40C1_8AAC_8ACB41586F5B_.wvu.FilterData" localSheetId="12" hidden="1">Dez!$FE$1:$FM$39</definedName>
    <definedName name="Z_7D617770_CC00_40C1_8AAC_8ACB41586F5B_.wvu.FilterData" localSheetId="2" hidden="1">Fev!$FE$1:$FM$36</definedName>
    <definedName name="Z_7D617770_CC00_40C1_8AAC_8ACB41586F5B_.wvu.FilterData" localSheetId="1" hidden="1">Jan!$FE$1:$FM$39</definedName>
    <definedName name="Z_7D617770_CC00_40C1_8AAC_8ACB41586F5B_.wvu.FilterData" localSheetId="7" hidden="1">Jul!$FE$1:$FM$39</definedName>
    <definedName name="Z_7D617770_CC00_40C1_8AAC_8ACB41586F5B_.wvu.FilterData" localSheetId="6" hidden="1">Jun!$FE$1:$FM$39</definedName>
    <definedName name="Z_7D617770_CC00_40C1_8AAC_8ACB41586F5B_.wvu.FilterData" localSheetId="5" hidden="1">Mai!$FE$1:$FM$39</definedName>
    <definedName name="Z_7D617770_CC00_40C1_8AAC_8ACB41586F5B_.wvu.FilterData" localSheetId="0" hidden="1">'MAI (2)'!$FE$1:$FM$39</definedName>
    <definedName name="Z_7D617770_CC00_40C1_8AAC_8ACB41586F5B_.wvu.FilterData" localSheetId="3" hidden="1">Mar!$FE$1:$FM$39</definedName>
    <definedName name="Z_7D617770_CC00_40C1_8AAC_8ACB41586F5B_.wvu.FilterData" localSheetId="11" hidden="1">Nov!$FE$1:$FM$39</definedName>
    <definedName name="Z_7D617770_CC00_40C1_8AAC_8ACB41586F5B_.wvu.FilterData" localSheetId="10" hidden="1">Out!$FE$1:$FM$39</definedName>
    <definedName name="Z_7D617770_CC00_40C1_8AAC_8ACB41586F5B_.wvu.FilterData" localSheetId="9" hidden="1">Set!$FE$1:$FM$39</definedName>
    <definedName name="Z_814C5F43_4205_4212_B627_8312AE943AC4_.wvu.FilterData" localSheetId="4" hidden="1">Abr!$FE$1:$FM$39</definedName>
    <definedName name="Z_814C5F43_4205_4212_B627_8312AE943AC4_.wvu.FilterData" localSheetId="8" hidden="1">Ago!$FE$1:$FM$39</definedName>
    <definedName name="Z_814C5F43_4205_4212_B627_8312AE943AC4_.wvu.FilterData" localSheetId="12" hidden="1">Dez!$FE$1:$FM$39</definedName>
    <definedName name="Z_814C5F43_4205_4212_B627_8312AE943AC4_.wvu.FilterData" localSheetId="2" hidden="1">Fev!$FE$1:$FM$36</definedName>
    <definedName name="Z_814C5F43_4205_4212_B627_8312AE943AC4_.wvu.FilterData" localSheetId="1" hidden="1">Jan!$FE$1:$FM$39</definedName>
    <definedName name="Z_814C5F43_4205_4212_B627_8312AE943AC4_.wvu.FilterData" localSheetId="7" hidden="1">Jul!$FE$1:$FM$39</definedName>
    <definedName name="Z_814C5F43_4205_4212_B627_8312AE943AC4_.wvu.FilterData" localSheetId="6" hidden="1">Jun!$FE$1:$FM$39</definedName>
    <definedName name="Z_814C5F43_4205_4212_B627_8312AE943AC4_.wvu.FilterData" localSheetId="5" hidden="1">Mai!$FE$1:$FM$39</definedName>
    <definedName name="Z_814C5F43_4205_4212_B627_8312AE943AC4_.wvu.FilterData" localSheetId="0" hidden="1">'MAI (2)'!$FE$1:$FM$39</definedName>
    <definedName name="Z_814C5F43_4205_4212_B627_8312AE943AC4_.wvu.FilterData" localSheetId="3" hidden="1">Mar!$FE$1:$FM$39</definedName>
    <definedName name="Z_814C5F43_4205_4212_B627_8312AE943AC4_.wvu.FilterData" localSheetId="11" hidden="1">Nov!$FE$1:$FM$39</definedName>
    <definedName name="Z_814C5F43_4205_4212_B627_8312AE943AC4_.wvu.FilterData" localSheetId="10" hidden="1">Out!$FE$1:$FM$39</definedName>
    <definedName name="Z_814C5F43_4205_4212_B627_8312AE943AC4_.wvu.FilterData" localSheetId="9" hidden="1">Set!$FE$1:$FM$39</definedName>
    <definedName name="Z_864F3166_492B_42C4_9E96_022015DAD11E_.wvu.FilterData" localSheetId="4" hidden="1">Abr!$FE$1:$FM$39</definedName>
    <definedName name="Z_864F3166_492B_42C4_9E96_022015DAD11E_.wvu.FilterData" localSheetId="8" hidden="1">Ago!$FE$1:$FM$39</definedName>
    <definedName name="Z_864F3166_492B_42C4_9E96_022015DAD11E_.wvu.FilterData" localSheetId="12" hidden="1">Dez!$FE$1:$FM$39</definedName>
    <definedName name="Z_864F3166_492B_42C4_9E96_022015DAD11E_.wvu.FilterData" localSheetId="2" hidden="1">Fev!$FE$1:$FM$36</definedName>
    <definedName name="Z_864F3166_492B_42C4_9E96_022015DAD11E_.wvu.FilterData" localSheetId="1" hidden="1">Jan!$FE$1:$FM$39</definedName>
    <definedName name="Z_864F3166_492B_42C4_9E96_022015DAD11E_.wvu.FilterData" localSheetId="7" hidden="1">Jul!$FE$1:$FM$39</definedName>
    <definedName name="Z_864F3166_492B_42C4_9E96_022015DAD11E_.wvu.FilterData" localSheetId="6" hidden="1">Jun!$FE$1:$FM$39</definedName>
    <definedName name="Z_864F3166_492B_42C4_9E96_022015DAD11E_.wvu.FilterData" localSheetId="5" hidden="1">Mai!$FE$1:$FM$39</definedName>
    <definedName name="Z_864F3166_492B_42C4_9E96_022015DAD11E_.wvu.FilterData" localSheetId="0" hidden="1">'MAI (2)'!$FE$1:$FM$39</definedName>
    <definedName name="Z_864F3166_492B_42C4_9E96_022015DAD11E_.wvu.FilterData" localSheetId="3" hidden="1">Mar!$FE$1:$FM$39</definedName>
    <definedName name="Z_864F3166_492B_42C4_9E96_022015DAD11E_.wvu.FilterData" localSheetId="11" hidden="1">Nov!$FE$1:$FM$39</definedName>
    <definedName name="Z_864F3166_492B_42C4_9E96_022015DAD11E_.wvu.FilterData" localSheetId="10" hidden="1">Out!$FE$1:$FM$39</definedName>
    <definedName name="Z_864F3166_492B_42C4_9E96_022015DAD11E_.wvu.FilterData" localSheetId="9" hidden="1">Set!$FE$1:$FM$39</definedName>
    <definedName name="Z_8654D950_A6D4_416D_8794_7B223BAB985E_.wvu.Cols" localSheetId="4" hidden="1">Abr!$DR:$DR</definedName>
    <definedName name="Z_8654D950_A6D4_416D_8794_7B223BAB985E_.wvu.Cols" localSheetId="8" hidden="1">Ago!$DR:$DR</definedName>
    <definedName name="Z_8654D950_A6D4_416D_8794_7B223BAB985E_.wvu.Cols" localSheetId="12" hidden="1">Dez!$DR:$DR</definedName>
    <definedName name="Z_8654D950_A6D4_416D_8794_7B223BAB985E_.wvu.Cols" localSheetId="2" hidden="1">Fev!$DR:$DR</definedName>
    <definedName name="Z_8654D950_A6D4_416D_8794_7B223BAB985E_.wvu.Cols" localSheetId="1" hidden="1">Jan!$DR:$DR</definedName>
    <definedName name="Z_8654D950_A6D4_416D_8794_7B223BAB985E_.wvu.Cols" localSheetId="7" hidden="1">Jul!$DR:$DR</definedName>
    <definedName name="Z_8654D950_A6D4_416D_8794_7B223BAB985E_.wvu.Cols" localSheetId="6" hidden="1">Jun!$DR:$DR</definedName>
    <definedName name="Z_8654D950_A6D4_416D_8794_7B223BAB985E_.wvu.Cols" localSheetId="5" hidden="1">Mai!$DR:$DR</definedName>
    <definedName name="Z_8654D950_A6D4_416D_8794_7B223BAB985E_.wvu.Cols" localSheetId="0" hidden="1">'MAI (2)'!$DR:$DR</definedName>
    <definedName name="Z_8654D950_A6D4_416D_8794_7B223BAB985E_.wvu.Cols" localSheetId="3" hidden="1">Mar!$DR:$DR</definedName>
    <definedName name="Z_8654D950_A6D4_416D_8794_7B223BAB985E_.wvu.Cols" localSheetId="11" hidden="1">Nov!$DR:$DR</definedName>
    <definedName name="Z_8654D950_A6D4_416D_8794_7B223BAB985E_.wvu.Cols" localSheetId="10" hidden="1">Out!$DR:$DR</definedName>
    <definedName name="Z_8654D950_A6D4_416D_8794_7B223BAB985E_.wvu.Cols" localSheetId="9" hidden="1">Set!$DR:$DR</definedName>
    <definedName name="Z_88D56320_AA2C_457E_B89C_68D49ABAD970_.wvu.FilterData" localSheetId="4" hidden="1">Abr!$FE$1:$FM$39</definedName>
    <definedName name="Z_88D56320_AA2C_457E_B89C_68D49ABAD970_.wvu.FilterData" localSheetId="8" hidden="1">Ago!$FE$1:$FM$39</definedName>
    <definedName name="Z_88D56320_AA2C_457E_B89C_68D49ABAD970_.wvu.FilterData" localSheetId="12" hidden="1">Dez!$FE$1:$FM$39</definedName>
    <definedName name="Z_88D56320_AA2C_457E_B89C_68D49ABAD970_.wvu.FilterData" localSheetId="2" hidden="1">Fev!$FE$1:$FM$36</definedName>
    <definedName name="Z_88D56320_AA2C_457E_B89C_68D49ABAD970_.wvu.FilterData" localSheetId="1" hidden="1">Jan!$FE$1:$FM$39</definedName>
    <definedName name="Z_88D56320_AA2C_457E_B89C_68D49ABAD970_.wvu.FilterData" localSheetId="7" hidden="1">Jul!$FE$1:$FM$39</definedName>
    <definedName name="Z_88D56320_AA2C_457E_B89C_68D49ABAD970_.wvu.FilterData" localSheetId="6" hidden="1">Jun!$FE$1:$FM$39</definedName>
    <definedName name="Z_88D56320_AA2C_457E_B89C_68D49ABAD970_.wvu.FilterData" localSheetId="5" hidden="1">Mai!$FE$1:$FM$39</definedName>
    <definedName name="Z_88D56320_AA2C_457E_B89C_68D49ABAD970_.wvu.FilterData" localSheetId="0" hidden="1">'MAI (2)'!$FE$1:$FM$39</definedName>
    <definedName name="Z_88D56320_AA2C_457E_B89C_68D49ABAD970_.wvu.FilterData" localSheetId="3" hidden="1">Mar!$FE$1:$FM$39</definedName>
    <definedName name="Z_88D56320_AA2C_457E_B89C_68D49ABAD970_.wvu.FilterData" localSheetId="11" hidden="1">Nov!$FE$1:$FM$39</definedName>
    <definedName name="Z_88D56320_AA2C_457E_B89C_68D49ABAD970_.wvu.FilterData" localSheetId="10" hidden="1">Out!$FE$1:$FM$39</definedName>
    <definedName name="Z_88D56320_AA2C_457E_B89C_68D49ABAD970_.wvu.FilterData" localSheetId="9" hidden="1">Set!$FE$1:$FM$39</definedName>
    <definedName name="Z_8CA3AB65_69AA_419D_B2BA_58A800AC3BB3_.wvu.FilterData" localSheetId="4" hidden="1">Abr!$FE$1:$FM$39</definedName>
    <definedName name="Z_8CA3AB65_69AA_419D_B2BA_58A800AC3BB3_.wvu.FilterData" localSheetId="8" hidden="1">Ago!$FE$1:$FM$39</definedName>
    <definedName name="Z_8CA3AB65_69AA_419D_B2BA_58A800AC3BB3_.wvu.FilterData" localSheetId="12" hidden="1">Dez!$FE$1:$FM$39</definedName>
    <definedName name="Z_8CA3AB65_69AA_419D_B2BA_58A800AC3BB3_.wvu.FilterData" localSheetId="2" hidden="1">Fev!$FE$1:$FM$36</definedName>
    <definedName name="Z_8CA3AB65_69AA_419D_B2BA_58A800AC3BB3_.wvu.FilterData" localSheetId="1" hidden="1">Jan!$FE$1:$FM$39</definedName>
    <definedName name="Z_8CA3AB65_69AA_419D_B2BA_58A800AC3BB3_.wvu.FilterData" localSheetId="7" hidden="1">Jul!$FE$1:$FM$39</definedName>
    <definedName name="Z_8CA3AB65_69AA_419D_B2BA_58A800AC3BB3_.wvu.FilterData" localSheetId="6" hidden="1">Jun!$FE$1:$FM$39</definedName>
    <definedName name="Z_8CA3AB65_69AA_419D_B2BA_58A800AC3BB3_.wvu.FilterData" localSheetId="5" hidden="1">Mai!$FE$1:$FM$39</definedName>
    <definedName name="Z_8CA3AB65_69AA_419D_B2BA_58A800AC3BB3_.wvu.FilterData" localSheetId="0" hidden="1">'MAI (2)'!$FE$1:$FM$39</definedName>
    <definedName name="Z_8CA3AB65_69AA_419D_B2BA_58A800AC3BB3_.wvu.FilterData" localSheetId="3" hidden="1">Mar!$FE$1:$FM$39</definedName>
    <definedName name="Z_8CA3AB65_69AA_419D_B2BA_58A800AC3BB3_.wvu.FilterData" localSheetId="11" hidden="1">Nov!$FE$1:$FM$39</definedName>
    <definedName name="Z_8CA3AB65_69AA_419D_B2BA_58A800AC3BB3_.wvu.FilterData" localSheetId="10" hidden="1">Out!$FE$1:$FM$39</definedName>
    <definedName name="Z_8CA3AB65_69AA_419D_B2BA_58A800AC3BB3_.wvu.FilterData" localSheetId="9" hidden="1">Set!$FE$1:$FM$39</definedName>
    <definedName name="Z_8F8D101A_46E3_4B9D_9B99_A55FEE983E18_.wvu.FilterData" localSheetId="4" hidden="1">Abr!$FE$1:$FM$39</definedName>
    <definedName name="Z_8F8D101A_46E3_4B9D_9B99_A55FEE983E18_.wvu.FilterData" localSheetId="8" hidden="1">Ago!$FE$1:$FM$39</definedName>
    <definedName name="Z_8F8D101A_46E3_4B9D_9B99_A55FEE983E18_.wvu.FilterData" localSheetId="12" hidden="1">Dez!$FE$1:$FM$39</definedName>
    <definedName name="Z_8F8D101A_46E3_4B9D_9B99_A55FEE983E18_.wvu.FilterData" localSheetId="2" hidden="1">Fev!$FE$1:$FM$36</definedName>
    <definedName name="Z_8F8D101A_46E3_4B9D_9B99_A55FEE983E18_.wvu.FilterData" localSheetId="1" hidden="1">Jan!$FE$1:$FM$39</definedName>
    <definedName name="Z_8F8D101A_46E3_4B9D_9B99_A55FEE983E18_.wvu.FilterData" localSheetId="7" hidden="1">Jul!$FE$1:$FM$39</definedName>
    <definedName name="Z_8F8D101A_46E3_4B9D_9B99_A55FEE983E18_.wvu.FilterData" localSheetId="6" hidden="1">Jun!$FE$1:$FM$39</definedName>
    <definedName name="Z_8F8D101A_46E3_4B9D_9B99_A55FEE983E18_.wvu.FilterData" localSheetId="5" hidden="1">Mai!$FE$1:$FM$39</definedName>
    <definedName name="Z_8F8D101A_46E3_4B9D_9B99_A55FEE983E18_.wvu.FilterData" localSheetId="0" hidden="1">'MAI (2)'!$FE$1:$FM$39</definedName>
    <definedName name="Z_8F8D101A_46E3_4B9D_9B99_A55FEE983E18_.wvu.FilterData" localSheetId="3" hidden="1">Mar!$FE$1:$FM$39</definedName>
    <definedName name="Z_8F8D101A_46E3_4B9D_9B99_A55FEE983E18_.wvu.FilterData" localSheetId="11" hidden="1">Nov!$FE$1:$FM$39</definedName>
    <definedName name="Z_8F8D101A_46E3_4B9D_9B99_A55FEE983E18_.wvu.FilterData" localSheetId="10" hidden="1">Out!$FE$1:$FM$39</definedName>
    <definedName name="Z_8F8D101A_46E3_4B9D_9B99_A55FEE983E18_.wvu.FilterData" localSheetId="9" hidden="1">Set!$FE$1:$FM$39</definedName>
    <definedName name="Z_90D5984D_FBA0_4E92_B48F_C4FED26975D0_.wvu.FilterData" localSheetId="4" hidden="1">Abr!$FE$1:$FM$39</definedName>
    <definedName name="Z_90D5984D_FBA0_4E92_B48F_C4FED26975D0_.wvu.FilterData" localSheetId="8" hidden="1">Ago!$FE$1:$FM$39</definedName>
    <definedName name="Z_90D5984D_FBA0_4E92_B48F_C4FED26975D0_.wvu.FilterData" localSheetId="12" hidden="1">Dez!$FE$1:$FM$39</definedName>
    <definedName name="Z_90D5984D_FBA0_4E92_B48F_C4FED26975D0_.wvu.FilterData" localSheetId="2" hidden="1">Fev!$FE$1:$FM$36</definedName>
    <definedName name="Z_90D5984D_FBA0_4E92_B48F_C4FED26975D0_.wvu.FilterData" localSheetId="1" hidden="1">Jan!$FE$1:$FM$39</definedName>
    <definedName name="Z_90D5984D_FBA0_4E92_B48F_C4FED26975D0_.wvu.FilterData" localSheetId="7" hidden="1">Jul!$FE$1:$FM$39</definedName>
    <definedName name="Z_90D5984D_FBA0_4E92_B48F_C4FED26975D0_.wvu.FilterData" localSheetId="6" hidden="1">Jun!$FE$1:$FM$39</definedName>
    <definedName name="Z_90D5984D_FBA0_4E92_B48F_C4FED26975D0_.wvu.FilterData" localSheetId="5" hidden="1">Mai!$FE$1:$FM$39</definedName>
    <definedName name="Z_90D5984D_FBA0_4E92_B48F_C4FED26975D0_.wvu.FilterData" localSheetId="0" hidden="1">'MAI (2)'!$FE$1:$FM$39</definedName>
    <definedName name="Z_90D5984D_FBA0_4E92_B48F_C4FED26975D0_.wvu.FilterData" localSheetId="3" hidden="1">Mar!$FE$1:$FM$39</definedName>
    <definedName name="Z_90D5984D_FBA0_4E92_B48F_C4FED26975D0_.wvu.FilterData" localSheetId="11" hidden="1">Nov!$FE$1:$FM$39</definedName>
    <definedName name="Z_90D5984D_FBA0_4E92_B48F_C4FED26975D0_.wvu.FilterData" localSheetId="10" hidden="1">Out!$FE$1:$FM$39</definedName>
    <definedName name="Z_90D5984D_FBA0_4E92_B48F_C4FED26975D0_.wvu.FilterData" localSheetId="9" hidden="1">Set!$FE$1:$FM$39</definedName>
    <definedName name="Z_9274C4D0_C6A6_4B8C_8DB5_83505EC38827_.wvu.FilterData" localSheetId="4" hidden="1">Abr!$FE$1:$FM$39</definedName>
    <definedName name="Z_9274C4D0_C6A6_4B8C_8DB5_83505EC38827_.wvu.FilterData" localSheetId="8" hidden="1">Ago!$FE$1:$FM$39</definedName>
    <definedName name="Z_9274C4D0_C6A6_4B8C_8DB5_83505EC38827_.wvu.FilterData" localSheetId="12" hidden="1">Dez!$FE$1:$FM$39</definedName>
    <definedName name="Z_9274C4D0_C6A6_4B8C_8DB5_83505EC38827_.wvu.FilterData" localSheetId="2" hidden="1">Fev!$FE$1:$FM$36</definedName>
    <definedName name="Z_9274C4D0_C6A6_4B8C_8DB5_83505EC38827_.wvu.FilterData" localSheetId="1" hidden="1">Jan!$FE$1:$FM$39</definedName>
    <definedName name="Z_9274C4D0_C6A6_4B8C_8DB5_83505EC38827_.wvu.FilterData" localSheetId="7" hidden="1">Jul!$FE$1:$FM$39</definedName>
    <definedName name="Z_9274C4D0_C6A6_4B8C_8DB5_83505EC38827_.wvu.FilterData" localSheetId="6" hidden="1">Jun!$FE$1:$FM$39</definedName>
    <definedName name="Z_9274C4D0_C6A6_4B8C_8DB5_83505EC38827_.wvu.FilterData" localSheetId="5" hidden="1">Mai!$FE$1:$FM$39</definedName>
    <definedName name="Z_9274C4D0_C6A6_4B8C_8DB5_83505EC38827_.wvu.FilterData" localSheetId="0" hidden="1">'MAI (2)'!$FE$1:$FM$39</definedName>
    <definedName name="Z_9274C4D0_C6A6_4B8C_8DB5_83505EC38827_.wvu.FilterData" localSheetId="3" hidden="1">Mar!$FE$1:$FM$39</definedName>
    <definedName name="Z_9274C4D0_C6A6_4B8C_8DB5_83505EC38827_.wvu.FilterData" localSheetId="11" hidden="1">Nov!$FE$1:$FM$39</definedName>
    <definedName name="Z_9274C4D0_C6A6_4B8C_8DB5_83505EC38827_.wvu.FilterData" localSheetId="10" hidden="1">Out!$FE$1:$FM$39</definedName>
    <definedName name="Z_9274C4D0_C6A6_4B8C_8DB5_83505EC38827_.wvu.FilterData" localSheetId="9" hidden="1">Set!$FE$1:$FM$39</definedName>
    <definedName name="Z_93C64C8C_FB0D_467A_93A2_20F4D33A49C3_.wvu.FilterData" localSheetId="4" hidden="1">Abr!$FE$1:$FM$39</definedName>
    <definedName name="Z_93C64C8C_FB0D_467A_93A2_20F4D33A49C3_.wvu.FilterData" localSheetId="8" hidden="1">Ago!$FE$1:$FM$39</definedName>
    <definedName name="Z_93C64C8C_FB0D_467A_93A2_20F4D33A49C3_.wvu.FilterData" localSheetId="12" hidden="1">Dez!$FE$1:$FM$39</definedName>
    <definedName name="Z_93C64C8C_FB0D_467A_93A2_20F4D33A49C3_.wvu.FilterData" localSheetId="2" hidden="1">Fev!$FE$1:$FM$36</definedName>
    <definedName name="Z_93C64C8C_FB0D_467A_93A2_20F4D33A49C3_.wvu.FilterData" localSheetId="1" hidden="1">Jan!$FE$1:$FM$39</definedName>
    <definedName name="Z_93C64C8C_FB0D_467A_93A2_20F4D33A49C3_.wvu.FilterData" localSheetId="7" hidden="1">Jul!$FE$1:$FM$39</definedName>
    <definedName name="Z_93C64C8C_FB0D_467A_93A2_20F4D33A49C3_.wvu.FilterData" localSheetId="6" hidden="1">Jun!$FE$1:$FM$39</definedName>
    <definedName name="Z_93C64C8C_FB0D_467A_93A2_20F4D33A49C3_.wvu.FilterData" localSheetId="5" hidden="1">Mai!$FE$1:$FM$39</definedName>
    <definedName name="Z_93C64C8C_FB0D_467A_93A2_20F4D33A49C3_.wvu.FilterData" localSheetId="0" hidden="1">'MAI (2)'!$FE$1:$FM$39</definedName>
    <definedName name="Z_93C64C8C_FB0D_467A_93A2_20F4D33A49C3_.wvu.FilterData" localSheetId="3" hidden="1">Mar!$FE$1:$FM$39</definedName>
    <definedName name="Z_93C64C8C_FB0D_467A_93A2_20F4D33A49C3_.wvu.FilterData" localSheetId="11" hidden="1">Nov!$FE$1:$FM$39</definedName>
    <definedName name="Z_93C64C8C_FB0D_467A_93A2_20F4D33A49C3_.wvu.FilterData" localSheetId="10" hidden="1">Out!$FE$1:$FM$39</definedName>
    <definedName name="Z_93C64C8C_FB0D_467A_93A2_20F4D33A49C3_.wvu.FilterData" localSheetId="9" hidden="1">Set!$FE$1:$FM$39</definedName>
    <definedName name="Z_95457AF7_9A94_46A8_A5D9_298F87A33E0A_.wvu.Cols" localSheetId="4" hidden="1">Abr!$DR:$DR</definedName>
    <definedName name="Z_95457AF7_9A94_46A8_A5D9_298F87A33E0A_.wvu.Cols" localSheetId="8" hidden="1">Ago!$DR:$DR</definedName>
    <definedName name="Z_95457AF7_9A94_46A8_A5D9_298F87A33E0A_.wvu.Cols" localSheetId="12" hidden="1">Dez!$DR:$DR</definedName>
    <definedName name="Z_95457AF7_9A94_46A8_A5D9_298F87A33E0A_.wvu.Cols" localSheetId="2" hidden="1">Fev!$DR:$DR</definedName>
    <definedName name="Z_95457AF7_9A94_46A8_A5D9_298F87A33E0A_.wvu.Cols" localSheetId="1" hidden="1">Jan!$DR:$DR</definedName>
    <definedName name="Z_95457AF7_9A94_46A8_A5D9_298F87A33E0A_.wvu.Cols" localSheetId="7" hidden="1">Jul!$DR:$DR</definedName>
    <definedName name="Z_95457AF7_9A94_46A8_A5D9_298F87A33E0A_.wvu.Cols" localSheetId="6" hidden="1">Jun!$DR:$DR</definedName>
    <definedName name="Z_95457AF7_9A94_46A8_A5D9_298F87A33E0A_.wvu.Cols" localSheetId="5" hidden="1">Mai!$DR:$DR</definedName>
    <definedName name="Z_95457AF7_9A94_46A8_A5D9_298F87A33E0A_.wvu.Cols" localSheetId="0" hidden="1">'MAI (2)'!$DR:$DR</definedName>
    <definedName name="Z_95457AF7_9A94_46A8_A5D9_298F87A33E0A_.wvu.Cols" localSheetId="3" hidden="1">Mar!$DR:$DR</definedName>
    <definedName name="Z_95457AF7_9A94_46A8_A5D9_298F87A33E0A_.wvu.Cols" localSheetId="11" hidden="1">Nov!$DR:$DR</definedName>
    <definedName name="Z_95457AF7_9A94_46A8_A5D9_298F87A33E0A_.wvu.Cols" localSheetId="10" hidden="1">Out!$DR:$DR</definedName>
    <definedName name="Z_95457AF7_9A94_46A8_A5D9_298F87A33E0A_.wvu.Cols" localSheetId="9" hidden="1">Set!$DR:$DR</definedName>
    <definedName name="Z_955DB618_5B0E_40D9_A18F_53F1646AB84A_.wvu.FilterData" localSheetId="4" hidden="1">Abr!$FE$1:$FM$39</definedName>
    <definedName name="Z_955DB618_5B0E_40D9_A18F_53F1646AB84A_.wvu.FilterData" localSheetId="8" hidden="1">Ago!$FE$1:$FM$39</definedName>
    <definedName name="Z_955DB618_5B0E_40D9_A18F_53F1646AB84A_.wvu.FilterData" localSheetId="12" hidden="1">Dez!$FE$1:$FM$39</definedName>
    <definedName name="Z_955DB618_5B0E_40D9_A18F_53F1646AB84A_.wvu.FilterData" localSheetId="2" hidden="1">Fev!$FE$1:$FM$36</definedName>
    <definedName name="Z_955DB618_5B0E_40D9_A18F_53F1646AB84A_.wvu.FilterData" localSheetId="1" hidden="1">Jan!$FE$1:$FM$39</definedName>
    <definedName name="Z_955DB618_5B0E_40D9_A18F_53F1646AB84A_.wvu.FilterData" localSheetId="7" hidden="1">Jul!$FE$1:$FM$39</definedName>
    <definedName name="Z_955DB618_5B0E_40D9_A18F_53F1646AB84A_.wvu.FilterData" localSheetId="6" hidden="1">Jun!$FE$1:$FM$39</definedName>
    <definedName name="Z_955DB618_5B0E_40D9_A18F_53F1646AB84A_.wvu.FilterData" localSheetId="5" hidden="1">Mai!$FE$1:$FM$39</definedName>
    <definedName name="Z_955DB618_5B0E_40D9_A18F_53F1646AB84A_.wvu.FilterData" localSheetId="0" hidden="1">'MAI (2)'!$FE$1:$FM$39</definedName>
    <definedName name="Z_955DB618_5B0E_40D9_A18F_53F1646AB84A_.wvu.FilterData" localSheetId="3" hidden="1">Mar!$FE$1:$FM$39</definedName>
    <definedName name="Z_955DB618_5B0E_40D9_A18F_53F1646AB84A_.wvu.FilterData" localSheetId="11" hidden="1">Nov!$FE$1:$FM$39</definedName>
    <definedName name="Z_955DB618_5B0E_40D9_A18F_53F1646AB84A_.wvu.FilterData" localSheetId="10" hidden="1">Out!$FE$1:$FM$39</definedName>
    <definedName name="Z_955DB618_5B0E_40D9_A18F_53F1646AB84A_.wvu.FilterData" localSheetId="9" hidden="1">Set!$FE$1:$FM$39</definedName>
    <definedName name="Z_97419643_10A3_4BB2_9BC7_6AC22800ADCD_.wvu.Cols" localSheetId="4" hidden="1">Abr!$P:$P,Abr!$DR:$DR,Abr!$DT:$DT,Abr!#REF!,Abr!$FR:$FW</definedName>
    <definedName name="Z_97419643_10A3_4BB2_9BC7_6AC22800ADCD_.wvu.Cols" localSheetId="8" hidden="1">Ago!$P:$P,Ago!$DR:$DR,Ago!$DT:$DT,Ago!#REF!,Ago!$FR:$FW</definedName>
    <definedName name="Z_97419643_10A3_4BB2_9BC7_6AC22800ADCD_.wvu.Cols" localSheetId="12" hidden="1">Dez!$P:$P,Dez!$DR:$DR,Dez!$DT:$DT,Dez!#REF!,Dez!$FR:$FW</definedName>
    <definedName name="Z_97419643_10A3_4BB2_9BC7_6AC22800ADCD_.wvu.Cols" localSheetId="2" hidden="1">Fev!$P:$P,Fev!$DR:$DR,Fev!$DT:$DT,Fev!#REF!,Fev!$FR:$FW</definedName>
    <definedName name="Z_97419643_10A3_4BB2_9BC7_6AC22800ADCD_.wvu.Cols" localSheetId="1" hidden="1">Jan!$P:$P,Jan!$DR:$DR,Jan!$DT:$DT,Jan!#REF!,Jan!$FR:$FW</definedName>
    <definedName name="Z_97419643_10A3_4BB2_9BC7_6AC22800ADCD_.wvu.Cols" localSheetId="7" hidden="1">Jul!$P:$P,Jul!$DR:$DR,Jul!$DT:$DT,Jul!#REF!,Jul!$FR:$FW</definedName>
    <definedName name="Z_97419643_10A3_4BB2_9BC7_6AC22800ADCD_.wvu.Cols" localSheetId="6" hidden="1">Jun!$P:$P,Jun!$DR:$DR,Jun!$DT:$DT,Jun!#REF!,Jun!$FR:$FW</definedName>
    <definedName name="Z_97419643_10A3_4BB2_9BC7_6AC22800ADCD_.wvu.Cols" localSheetId="5" hidden="1">Mai!$P:$P,Mai!$DR:$DR,Mai!$DT:$DT,Mai!#REF!,Mai!$FR:$FW</definedName>
    <definedName name="Z_97419643_10A3_4BB2_9BC7_6AC22800ADCD_.wvu.Cols" localSheetId="0" hidden="1">'MAI (2)'!$P:$P,'MAI (2)'!$DR:$DR,'MAI (2)'!$DT:$DT,'MAI (2)'!#REF!,'MAI (2)'!$FR:$FW</definedName>
    <definedName name="Z_97419643_10A3_4BB2_9BC7_6AC22800ADCD_.wvu.Cols" localSheetId="3" hidden="1">Mar!$P:$P,Mar!$DR:$DR,Mar!$DT:$DT,Mar!#REF!,Mar!$FR:$FW</definedName>
    <definedName name="Z_97419643_10A3_4BB2_9BC7_6AC22800ADCD_.wvu.Cols" localSheetId="11" hidden="1">Nov!$P:$P,Nov!$DR:$DR,Nov!$DT:$DT,Nov!#REF!,Nov!$FR:$FW</definedName>
    <definedName name="Z_97419643_10A3_4BB2_9BC7_6AC22800ADCD_.wvu.Cols" localSheetId="10" hidden="1">Out!$P:$P,Out!$DR:$DR,Out!$DT:$DT,Out!#REF!,Out!$FR:$FW</definedName>
    <definedName name="Z_97419643_10A3_4BB2_9BC7_6AC22800ADCD_.wvu.Cols" localSheetId="9" hidden="1">Set!$P:$P,Set!$DR:$DR,Set!$DT:$DT,Set!#REF!,Set!$FR:$FW</definedName>
    <definedName name="Z_97E91CB6_5168_4EED_991F_FDEC6879BC0A_.wvu.Cols" localSheetId="4" hidden="1">Abr!$FR:$FW</definedName>
    <definedName name="Z_97E91CB6_5168_4EED_991F_FDEC6879BC0A_.wvu.Cols" localSheetId="8" hidden="1">Ago!$FR:$FW</definedName>
    <definedName name="Z_97E91CB6_5168_4EED_991F_FDEC6879BC0A_.wvu.Cols" localSheetId="12" hidden="1">Dez!$FR:$FW</definedName>
    <definedName name="Z_97E91CB6_5168_4EED_991F_FDEC6879BC0A_.wvu.Cols" localSheetId="2" hidden="1">Fev!$FR:$FW</definedName>
    <definedName name="Z_97E91CB6_5168_4EED_991F_FDEC6879BC0A_.wvu.Cols" localSheetId="1" hidden="1">Jan!$FR:$FW</definedName>
    <definedName name="Z_97E91CB6_5168_4EED_991F_FDEC6879BC0A_.wvu.Cols" localSheetId="7" hidden="1">Jul!$FR:$FW</definedName>
    <definedName name="Z_97E91CB6_5168_4EED_991F_FDEC6879BC0A_.wvu.Cols" localSheetId="6" hidden="1">Jun!$FR:$FW</definedName>
    <definedName name="Z_97E91CB6_5168_4EED_991F_FDEC6879BC0A_.wvu.Cols" localSheetId="5" hidden="1">Mai!$FR:$FW</definedName>
    <definedName name="Z_97E91CB6_5168_4EED_991F_FDEC6879BC0A_.wvu.Cols" localSheetId="0" hidden="1">'MAI (2)'!$FR:$FW</definedName>
    <definedName name="Z_97E91CB6_5168_4EED_991F_FDEC6879BC0A_.wvu.Cols" localSheetId="3" hidden="1">Mar!$FR:$FW</definedName>
    <definedName name="Z_97E91CB6_5168_4EED_991F_FDEC6879BC0A_.wvu.Cols" localSheetId="11" hidden="1">Nov!$FR:$FW</definedName>
    <definedName name="Z_97E91CB6_5168_4EED_991F_FDEC6879BC0A_.wvu.Cols" localSheetId="10" hidden="1">Out!$FR:$FW</definedName>
    <definedName name="Z_97E91CB6_5168_4EED_991F_FDEC6879BC0A_.wvu.Cols" localSheetId="9" hidden="1">Set!$FR:$FW</definedName>
    <definedName name="Z_97E91CB6_5168_4EED_991F_FDEC6879BC0A_.wvu.FilterData" localSheetId="4" hidden="1">Abr!$FE$1:$FM$39</definedName>
    <definedName name="Z_97E91CB6_5168_4EED_991F_FDEC6879BC0A_.wvu.FilterData" localSheetId="8" hidden="1">Ago!$FE$1:$FM$39</definedName>
    <definedName name="Z_97E91CB6_5168_4EED_991F_FDEC6879BC0A_.wvu.FilterData" localSheetId="12" hidden="1">Dez!$FE$1:$FM$39</definedName>
    <definedName name="Z_97E91CB6_5168_4EED_991F_FDEC6879BC0A_.wvu.FilterData" localSheetId="2" hidden="1">Fev!$FE$1:$FM$36</definedName>
    <definedName name="Z_97E91CB6_5168_4EED_991F_FDEC6879BC0A_.wvu.FilterData" localSheetId="1" hidden="1">Jan!$FE$1:$FM$39</definedName>
    <definedName name="Z_97E91CB6_5168_4EED_991F_FDEC6879BC0A_.wvu.FilterData" localSheetId="7" hidden="1">Jul!$FE$1:$FM$39</definedName>
    <definedName name="Z_97E91CB6_5168_4EED_991F_FDEC6879BC0A_.wvu.FilterData" localSheetId="6" hidden="1">Jun!$FE$1:$FM$39</definedName>
    <definedName name="Z_97E91CB6_5168_4EED_991F_FDEC6879BC0A_.wvu.FilterData" localSheetId="5" hidden="1">Mai!$FE$1:$FM$39</definedName>
    <definedName name="Z_97E91CB6_5168_4EED_991F_FDEC6879BC0A_.wvu.FilterData" localSheetId="0" hidden="1">'MAI (2)'!$FE$1:$FM$39</definedName>
    <definedName name="Z_97E91CB6_5168_4EED_991F_FDEC6879BC0A_.wvu.FilterData" localSheetId="3" hidden="1">Mar!$FE$1:$FM$39</definedName>
    <definedName name="Z_97E91CB6_5168_4EED_991F_FDEC6879BC0A_.wvu.FilterData" localSheetId="11" hidden="1">Nov!$FE$1:$FM$39</definedName>
    <definedName name="Z_97E91CB6_5168_4EED_991F_FDEC6879BC0A_.wvu.FilterData" localSheetId="10" hidden="1">Out!$FE$1:$FM$39</definedName>
    <definedName name="Z_97E91CB6_5168_4EED_991F_FDEC6879BC0A_.wvu.FilterData" localSheetId="9" hidden="1">Set!$FE$1:$FM$39</definedName>
    <definedName name="Z_97E91CB6_5168_4EED_991F_FDEC6879BC0A_.wvu.Rows" localSheetId="14" hidden="1">'Histórico ind.'!$28:$28</definedName>
    <definedName name="Z_98170334_B234_4F4E_AC17_29A26B124E43_.wvu.FilterData" localSheetId="4" hidden="1">Abr!$FE$1:$FM$39</definedName>
    <definedName name="Z_98170334_B234_4F4E_AC17_29A26B124E43_.wvu.FilterData" localSheetId="8" hidden="1">Ago!$FE$1:$FM$39</definedName>
    <definedName name="Z_98170334_B234_4F4E_AC17_29A26B124E43_.wvu.FilterData" localSheetId="12" hidden="1">Dez!$FE$1:$FM$39</definedName>
    <definedName name="Z_98170334_B234_4F4E_AC17_29A26B124E43_.wvu.FilterData" localSheetId="2" hidden="1">Fev!$FE$1:$FM$36</definedName>
    <definedName name="Z_98170334_B234_4F4E_AC17_29A26B124E43_.wvu.FilterData" localSheetId="1" hidden="1">Jan!$FE$1:$FM$39</definedName>
    <definedName name="Z_98170334_B234_4F4E_AC17_29A26B124E43_.wvu.FilterData" localSheetId="7" hidden="1">Jul!$FE$1:$FM$39</definedName>
    <definedName name="Z_98170334_B234_4F4E_AC17_29A26B124E43_.wvu.FilterData" localSheetId="6" hidden="1">Jun!$FE$1:$FM$39</definedName>
    <definedName name="Z_98170334_B234_4F4E_AC17_29A26B124E43_.wvu.FilterData" localSheetId="5" hidden="1">Mai!$FE$1:$FM$39</definedName>
    <definedName name="Z_98170334_B234_4F4E_AC17_29A26B124E43_.wvu.FilterData" localSheetId="0" hidden="1">'MAI (2)'!$FE$1:$FM$39</definedName>
    <definedName name="Z_98170334_B234_4F4E_AC17_29A26B124E43_.wvu.FilterData" localSheetId="3" hidden="1">Mar!$FE$1:$FM$39</definedName>
    <definedName name="Z_98170334_B234_4F4E_AC17_29A26B124E43_.wvu.FilterData" localSheetId="11" hidden="1">Nov!$FE$1:$FM$39</definedName>
    <definedName name="Z_98170334_B234_4F4E_AC17_29A26B124E43_.wvu.FilterData" localSheetId="10" hidden="1">Out!$FE$1:$FM$39</definedName>
    <definedName name="Z_98170334_B234_4F4E_AC17_29A26B124E43_.wvu.FilterData" localSheetId="9" hidden="1">Set!$FE$1:$FM$39</definedName>
    <definedName name="Z_98EFE298_C6E9_47CE_B20E_DEB5B5C78A23_.wvu.FilterData" localSheetId="4" hidden="1">Abr!$FE$1:$FM$39</definedName>
    <definedName name="Z_98EFE298_C6E9_47CE_B20E_DEB5B5C78A23_.wvu.FilterData" localSheetId="8" hidden="1">Ago!$FE$1:$FM$39</definedName>
    <definedName name="Z_98EFE298_C6E9_47CE_B20E_DEB5B5C78A23_.wvu.FilterData" localSheetId="12" hidden="1">Dez!$FE$1:$FM$39</definedName>
    <definedName name="Z_98EFE298_C6E9_47CE_B20E_DEB5B5C78A23_.wvu.FilterData" localSheetId="2" hidden="1">Fev!$FE$1:$FM$36</definedName>
    <definedName name="Z_98EFE298_C6E9_47CE_B20E_DEB5B5C78A23_.wvu.FilterData" localSheetId="1" hidden="1">Jan!$FE$1:$FM$39</definedName>
    <definedName name="Z_98EFE298_C6E9_47CE_B20E_DEB5B5C78A23_.wvu.FilterData" localSheetId="7" hidden="1">Jul!$FE$1:$FM$39</definedName>
    <definedName name="Z_98EFE298_C6E9_47CE_B20E_DEB5B5C78A23_.wvu.FilterData" localSheetId="6" hidden="1">Jun!$FE$1:$FM$39</definedName>
    <definedName name="Z_98EFE298_C6E9_47CE_B20E_DEB5B5C78A23_.wvu.FilterData" localSheetId="5" hidden="1">Mai!$FE$1:$FM$39</definedName>
    <definedName name="Z_98EFE298_C6E9_47CE_B20E_DEB5B5C78A23_.wvu.FilterData" localSheetId="0" hidden="1">'MAI (2)'!$FE$1:$FM$39</definedName>
    <definedName name="Z_98EFE298_C6E9_47CE_B20E_DEB5B5C78A23_.wvu.FilterData" localSheetId="3" hidden="1">Mar!$FE$1:$FM$39</definedName>
    <definedName name="Z_98EFE298_C6E9_47CE_B20E_DEB5B5C78A23_.wvu.FilterData" localSheetId="11" hidden="1">Nov!$FE$1:$FM$39</definedName>
    <definedName name="Z_98EFE298_C6E9_47CE_B20E_DEB5B5C78A23_.wvu.FilterData" localSheetId="10" hidden="1">Out!$FE$1:$FM$39</definedName>
    <definedName name="Z_98EFE298_C6E9_47CE_B20E_DEB5B5C78A23_.wvu.FilterData" localSheetId="9" hidden="1">Set!$FE$1:$FM$39</definedName>
    <definedName name="Z_9AB35326_FABA_40F7_8834_AA332D31FFDD_.wvu.Cols" localSheetId="4" hidden="1">Abr!$FR:$FW</definedName>
    <definedName name="Z_9AB35326_FABA_40F7_8834_AA332D31FFDD_.wvu.Cols" localSheetId="8" hidden="1">Ago!$FR:$FW</definedName>
    <definedName name="Z_9AB35326_FABA_40F7_8834_AA332D31FFDD_.wvu.Cols" localSheetId="12" hidden="1">Dez!$FR:$FW</definedName>
    <definedName name="Z_9AB35326_FABA_40F7_8834_AA332D31FFDD_.wvu.Cols" localSheetId="2" hidden="1">Fev!$FR:$FW</definedName>
    <definedName name="Z_9AB35326_FABA_40F7_8834_AA332D31FFDD_.wvu.Cols" localSheetId="1" hidden="1">Jan!$FR:$FW</definedName>
    <definedName name="Z_9AB35326_FABA_40F7_8834_AA332D31FFDD_.wvu.Cols" localSheetId="7" hidden="1">Jul!$FR:$FW</definedName>
    <definedName name="Z_9AB35326_FABA_40F7_8834_AA332D31FFDD_.wvu.Cols" localSheetId="6" hidden="1">Jun!$FR:$FW</definedName>
    <definedName name="Z_9AB35326_FABA_40F7_8834_AA332D31FFDD_.wvu.Cols" localSheetId="5" hidden="1">Mai!$FR:$FW</definedName>
    <definedName name="Z_9AB35326_FABA_40F7_8834_AA332D31FFDD_.wvu.Cols" localSheetId="0" hidden="1">'MAI (2)'!$FR:$FW</definedName>
    <definedName name="Z_9AB35326_FABA_40F7_8834_AA332D31FFDD_.wvu.Cols" localSheetId="3" hidden="1">Mar!$FR:$FW</definedName>
    <definedName name="Z_9AB35326_FABA_40F7_8834_AA332D31FFDD_.wvu.Cols" localSheetId="11" hidden="1">Nov!$FR:$FW</definedName>
    <definedName name="Z_9AB35326_FABA_40F7_8834_AA332D31FFDD_.wvu.Cols" localSheetId="10" hidden="1">Out!$FR:$FW</definedName>
    <definedName name="Z_9AB35326_FABA_40F7_8834_AA332D31FFDD_.wvu.Cols" localSheetId="9" hidden="1">Set!$FR:$FW</definedName>
    <definedName name="Z_9AB35326_FABA_40F7_8834_AA332D31FFDD_.wvu.FilterData" localSheetId="4" hidden="1">Abr!$FE$1:$FM$39</definedName>
    <definedName name="Z_9AB35326_FABA_40F7_8834_AA332D31FFDD_.wvu.FilterData" localSheetId="8" hidden="1">Ago!$FE$1:$FM$39</definedName>
    <definedName name="Z_9AB35326_FABA_40F7_8834_AA332D31FFDD_.wvu.FilterData" localSheetId="12" hidden="1">Dez!$FE$1:$FM$39</definedName>
    <definedName name="Z_9AB35326_FABA_40F7_8834_AA332D31FFDD_.wvu.FilterData" localSheetId="2" hidden="1">Fev!$FE$1:$FM$36</definedName>
    <definedName name="Z_9AB35326_FABA_40F7_8834_AA332D31FFDD_.wvu.FilterData" localSheetId="1" hidden="1">Jan!$FE$1:$FM$39</definedName>
    <definedName name="Z_9AB35326_FABA_40F7_8834_AA332D31FFDD_.wvu.FilterData" localSheetId="7" hidden="1">Jul!$FE$1:$FM$39</definedName>
    <definedName name="Z_9AB35326_FABA_40F7_8834_AA332D31FFDD_.wvu.FilterData" localSheetId="6" hidden="1">Jun!$FE$1:$FM$39</definedName>
    <definedName name="Z_9AB35326_FABA_40F7_8834_AA332D31FFDD_.wvu.FilterData" localSheetId="5" hidden="1">Mai!$FE$1:$FM$39</definedName>
    <definedName name="Z_9AB35326_FABA_40F7_8834_AA332D31FFDD_.wvu.FilterData" localSheetId="0" hidden="1">'MAI (2)'!$FE$1:$FM$39</definedName>
    <definedName name="Z_9AB35326_FABA_40F7_8834_AA332D31FFDD_.wvu.FilterData" localSheetId="3" hidden="1">Mar!$FE$1:$FM$39</definedName>
    <definedName name="Z_9AB35326_FABA_40F7_8834_AA332D31FFDD_.wvu.FilterData" localSheetId="11" hidden="1">Nov!$FE$1:$FM$39</definedName>
    <definedName name="Z_9AB35326_FABA_40F7_8834_AA332D31FFDD_.wvu.FilterData" localSheetId="10" hidden="1">Out!$FE$1:$FM$39</definedName>
    <definedName name="Z_9AB35326_FABA_40F7_8834_AA332D31FFDD_.wvu.FilterData" localSheetId="9" hidden="1">Set!$FE$1:$FM$39</definedName>
    <definedName name="Z_9AB35326_FABA_40F7_8834_AA332D31FFDD_.wvu.Rows" localSheetId="14" hidden="1">'Histórico ind.'!$28:$28</definedName>
    <definedName name="Z_9BBFC9B4_FBC1_49B3_8A5F_F16EDD2AE109_.wvu.Cols" localSheetId="4" hidden="1">Abr!$DR:$DR,Abr!$DT:$DT,Abr!#REF!,Abr!$FR:$FW</definedName>
    <definedName name="Z_9BBFC9B4_FBC1_49B3_8A5F_F16EDD2AE109_.wvu.Cols" localSheetId="8" hidden="1">Ago!$DR:$DR,Ago!$DT:$DT,Ago!#REF!,Ago!$FR:$FW</definedName>
    <definedName name="Z_9BBFC9B4_FBC1_49B3_8A5F_F16EDD2AE109_.wvu.Cols" localSheetId="12" hidden="1">Dez!$DR:$DR,Dez!$DT:$DT,Dez!#REF!,Dez!$FR:$FW</definedName>
    <definedName name="Z_9BBFC9B4_FBC1_49B3_8A5F_F16EDD2AE109_.wvu.Cols" localSheetId="2" hidden="1">Fev!$DR:$DR,Fev!$DT:$DT,Fev!#REF!,Fev!$FR:$FW</definedName>
    <definedName name="Z_9BBFC9B4_FBC1_49B3_8A5F_F16EDD2AE109_.wvu.Cols" localSheetId="1" hidden="1">Jan!$DR:$DR,Jan!$DT:$DT,Jan!#REF!,Jan!$FR:$FW</definedName>
    <definedName name="Z_9BBFC9B4_FBC1_49B3_8A5F_F16EDD2AE109_.wvu.Cols" localSheetId="7" hidden="1">Jul!$DR:$DR,Jul!$DT:$DT,Jul!#REF!,Jul!$FR:$FW</definedName>
    <definedName name="Z_9BBFC9B4_FBC1_49B3_8A5F_F16EDD2AE109_.wvu.Cols" localSheetId="6" hidden="1">Jun!$DR:$DR,Jun!$DT:$DT,Jun!#REF!,Jun!$FR:$FW</definedName>
    <definedName name="Z_9BBFC9B4_FBC1_49B3_8A5F_F16EDD2AE109_.wvu.Cols" localSheetId="5" hidden="1">Mai!$DR:$DR,Mai!$DT:$DT,Mai!#REF!,Mai!$FR:$FW</definedName>
    <definedName name="Z_9BBFC9B4_FBC1_49B3_8A5F_F16EDD2AE109_.wvu.Cols" localSheetId="0" hidden="1">'MAI (2)'!$DR:$DR,'MAI (2)'!$DT:$DT,'MAI (2)'!#REF!,'MAI (2)'!$FR:$FW</definedName>
    <definedName name="Z_9BBFC9B4_FBC1_49B3_8A5F_F16EDD2AE109_.wvu.Cols" localSheetId="3" hidden="1">Mar!$DR:$DR,Mar!$DT:$DT,Mar!#REF!,Mar!$FR:$FW</definedName>
    <definedName name="Z_9BBFC9B4_FBC1_49B3_8A5F_F16EDD2AE109_.wvu.Cols" localSheetId="11" hidden="1">Nov!$DR:$DR,Nov!$DT:$DT,Nov!#REF!,Nov!$FR:$FW</definedName>
    <definedName name="Z_9BBFC9B4_FBC1_49B3_8A5F_F16EDD2AE109_.wvu.Cols" localSheetId="10" hidden="1">Out!$DR:$DR,Out!$DT:$DT,Out!#REF!,Out!$FR:$FW</definedName>
    <definedName name="Z_9BBFC9B4_FBC1_49B3_8A5F_F16EDD2AE109_.wvu.Cols" localSheetId="9" hidden="1">Set!$DR:$DR,Set!$DT:$DT,Set!#REF!,Set!$FR:$FW</definedName>
    <definedName name="Z_9CA7A071_89E8_430B_8CC5_DA29746DC7B5_.wvu.Cols" localSheetId="4" hidden="1">Abr!$FR:$FW</definedName>
    <definedName name="Z_9CA7A071_89E8_430B_8CC5_DA29746DC7B5_.wvu.Cols" localSheetId="8" hidden="1">Ago!$FR:$FW</definedName>
    <definedName name="Z_9CA7A071_89E8_430B_8CC5_DA29746DC7B5_.wvu.Cols" localSheetId="12" hidden="1">Dez!$FR:$FW</definedName>
    <definedName name="Z_9CA7A071_89E8_430B_8CC5_DA29746DC7B5_.wvu.Cols" localSheetId="2" hidden="1">Fev!$FR:$FW</definedName>
    <definedName name="Z_9CA7A071_89E8_430B_8CC5_DA29746DC7B5_.wvu.Cols" localSheetId="1" hidden="1">Jan!$FR:$FW</definedName>
    <definedName name="Z_9CA7A071_89E8_430B_8CC5_DA29746DC7B5_.wvu.Cols" localSheetId="7" hidden="1">Jul!$FR:$FW</definedName>
    <definedName name="Z_9CA7A071_89E8_430B_8CC5_DA29746DC7B5_.wvu.Cols" localSheetId="6" hidden="1">Jun!$FR:$FW</definedName>
    <definedName name="Z_9CA7A071_89E8_430B_8CC5_DA29746DC7B5_.wvu.Cols" localSheetId="5" hidden="1">Mai!$FR:$FW</definedName>
    <definedName name="Z_9CA7A071_89E8_430B_8CC5_DA29746DC7B5_.wvu.Cols" localSheetId="0" hidden="1">'MAI (2)'!$FR:$FW</definedName>
    <definedName name="Z_9CA7A071_89E8_430B_8CC5_DA29746DC7B5_.wvu.Cols" localSheetId="3" hidden="1">Mar!$FR:$FW</definedName>
    <definedName name="Z_9CA7A071_89E8_430B_8CC5_DA29746DC7B5_.wvu.Cols" localSheetId="11" hidden="1">Nov!$FR:$FW</definedName>
    <definedName name="Z_9CA7A071_89E8_430B_8CC5_DA29746DC7B5_.wvu.Cols" localSheetId="10" hidden="1">Out!$FR:$FW</definedName>
    <definedName name="Z_9CA7A071_89E8_430B_8CC5_DA29746DC7B5_.wvu.Cols" localSheetId="9" hidden="1">Set!$FR:$FW</definedName>
    <definedName name="Z_9CA7A071_89E8_430B_8CC5_DA29746DC7B5_.wvu.FilterData" localSheetId="4" hidden="1">Abr!$FE$1:$FM$39</definedName>
    <definedName name="Z_9CA7A071_89E8_430B_8CC5_DA29746DC7B5_.wvu.FilterData" localSheetId="8" hidden="1">Ago!$FE$1:$FM$39</definedName>
    <definedName name="Z_9CA7A071_89E8_430B_8CC5_DA29746DC7B5_.wvu.FilterData" localSheetId="12" hidden="1">Dez!$FE$1:$FM$39</definedName>
    <definedName name="Z_9CA7A071_89E8_430B_8CC5_DA29746DC7B5_.wvu.FilterData" localSheetId="2" hidden="1">Fev!$FE$1:$FM$36</definedName>
    <definedName name="Z_9CA7A071_89E8_430B_8CC5_DA29746DC7B5_.wvu.FilterData" localSheetId="1" hidden="1">Jan!$FE$1:$FM$39</definedName>
    <definedName name="Z_9CA7A071_89E8_430B_8CC5_DA29746DC7B5_.wvu.FilterData" localSheetId="7" hidden="1">Jul!$FE$1:$FM$39</definedName>
    <definedName name="Z_9CA7A071_89E8_430B_8CC5_DA29746DC7B5_.wvu.FilterData" localSheetId="6" hidden="1">Jun!$FE$1:$FM$39</definedName>
    <definedName name="Z_9CA7A071_89E8_430B_8CC5_DA29746DC7B5_.wvu.FilterData" localSheetId="5" hidden="1">Mai!$FE$1:$FM$39</definedName>
    <definedName name="Z_9CA7A071_89E8_430B_8CC5_DA29746DC7B5_.wvu.FilterData" localSheetId="0" hidden="1">'MAI (2)'!$FE$1:$FM$39</definedName>
    <definedName name="Z_9CA7A071_89E8_430B_8CC5_DA29746DC7B5_.wvu.FilterData" localSheetId="3" hidden="1">Mar!$FE$1:$FM$39</definedName>
    <definedName name="Z_9CA7A071_89E8_430B_8CC5_DA29746DC7B5_.wvu.FilterData" localSheetId="11" hidden="1">Nov!$FE$1:$FM$39</definedName>
    <definedName name="Z_9CA7A071_89E8_430B_8CC5_DA29746DC7B5_.wvu.FilterData" localSheetId="10" hidden="1">Out!$FE$1:$FM$39</definedName>
    <definedName name="Z_9CA7A071_89E8_430B_8CC5_DA29746DC7B5_.wvu.FilterData" localSheetId="9" hidden="1">Set!$FE$1:$FM$39</definedName>
    <definedName name="Z_9D2C8CA4_B232_4269_861F_62D3F1A8F483_.wvu.FilterData" localSheetId="4" hidden="1">Abr!$FE$1:$FM$39</definedName>
    <definedName name="Z_9D2C8CA4_B232_4269_861F_62D3F1A8F483_.wvu.FilterData" localSheetId="8" hidden="1">Ago!$FE$1:$FM$39</definedName>
    <definedName name="Z_9D2C8CA4_B232_4269_861F_62D3F1A8F483_.wvu.FilterData" localSheetId="12" hidden="1">Dez!$FE$1:$FM$39</definedName>
    <definedName name="Z_9D2C8CA4_B232_4269_861F_62D3F1A8F483_.wvu.FilterData" localSheetId="2" hidden="1">Fev!$FE$1:$FM$36</definedName>
    <definedName name="Z_9D2C8CA4_B232_4269_861F_62D3F1A8F483_.wvu.FilterData" localSheetId="1" hidden="1">Jan!$FE$1:$FM$39</definedName>
    <definedName name="Z_9D2C8CA4_B232_4269_861F_62D3F1A8F483_.wvu.FilterData" localSheetId="7" hidden="1">Jul!$FE$1:$FM$39</definedName>
    <definedName name="Z_9D2C8CA4_B232_4269_861F_62D3F1A8F483_.wvu.FilterData" localSheetId="6" hidden="1">Jun!$FE$1:$FM$39</definedName>
    <definedName name="Z_9D2C8CA4_B232_4269_861F_62D3F1A8F483_.wvu.FilterData" localSheetId="5" hidden="1">Mai!$FE$1:$FM$39</definedName>
    <definedName name="Z_9D2C8CA4_B232_4269_861F_62D3F1A8F483_.wvu.FilterData" localSheetId="0" hidden="1">'MAI (2)'!$FE$1:$FM$39</definedName>
    <definedName name="Z_9D2C8CA4_B232_4269_861F_62D3F1A8F483_.wvu.FilterData" localSheetId="3" hidden="1">Mar!$FE$1:$FM$39</definedName>
    <definedName name="Z_9D2C8CA4_B232_4269_861F_62D3F1A8F483_.wvu.FilterData" localSheetId="11" hidden="1">Nov!$FE$1:$FM$39</definedName>
    <definedName name="Z_9D2C8CA4_B232_4269_861F_62D3F1A8F483_.wvu.FilterData" localSheetId="10" hidden="1">Out!$FE$1:$FM$39</definedName>
    <definedName name="Z_9D2C8CA4_B232_4269_861F_62D3F1A8F483_.wvu.FilterData" localSheetId="9" hidden="1">Set!$FE$1:$FM$39</definedName>
    <definedName name="Z_9E62F071_8DB8_478E_8667_AFF6C8149EB8_.wvu.Cols" localSheetId="4" hidden="1">Abr!$DR:$DR</definedName>
    <definedName name="Z_9E62F071_8DB8_478E_8667_AFF6C8149EB8_.wvu.Cols" localSheetId="8" hidden="1">Ago!$DR:$DR</definedName>
    <definedName name="Z_9E62F071_8DB8_478E_8667_AFF6C8149EB8_.wvu.Cols" localSheetId="12" hidden="1">Dez!$DR:$DR</definedName>
    <definedName name="Z_9E62F071_8DB8_478E_8667_AFF6C8149EB8_.wvu.Cols" localSheetId="2" hidden="1">Fev!$DR:$DR</definedName>
    <definedName name="Z_9E62F071_8DB8_478E_8667_AFF6C8149EB8_.wvu.Cols" localSheetId="1" hidden="1">Jan!$DR:$DR</definedName>
    <definedName name="Z_9E62F071_8DB8_478E_8667_AFF6C8149EB8_.wvu.Cols" localSheetId="7" hidden="1">Jul!$DR:$DR</definedName>
    <definedName name="Z_9E62F071_8DB8_478E_8667_AFF6C8149EB8_.wvu.Cols" localSheetId="6" hidden="1">Jun!$DR:$DR</definedName>
    <definedName name="Z_9E62F071_8DB8_478E_8667_AFF6C8149EB8_.wvu.Cols" localSheetId="5" hidden="1">Mai!$DR:$DR</definedName>
    <definedName name="Z_9E62F071_8DB8_478E_8667_AFF6C8149EB8_.wvu.Cols" localSheetId="0" hidden="1">'MAI (2)'!$DR:$DR</definedName>
    <definedName name="Z_9E62F071_8DB8_478E_8667_AFF6C8149EB8_.wvu.Cols" localSheetId="3" hidden="1">Mar!$DR:$DR</definedName>
    <definedName name="Z_9E62F071_8DB8_478E_8667_AFF6C8149EB8_.wvu.Cols" localSheetId="11" hidden="1">Nov!$DR:$DR</definedName>
    <definedName name="Z_9E62F071_8DB8_478E_8667_AFF6C8149EB8_.wvu.Cols" localSheetId="10" hidden="1">Out!$DR:$DR</definedName>
    <definedName name="Z_9E62F071_8DB8_478E_8667_AFF6C8149EB8_.wvu.Cols" localSheetId="9" hidden="1">Set!$DR:$DR</definedName>
    <definedName name="Z_A09033BB_2285_4F44_967C_D11F301D3E3C_.wvu.FilterData" localSheetId="4" hidden="1">Abr!$FE$1:$FM$39</definedName>
    <definedName name="Z_A09033BB_2285_4F44_967C_D11F301D3E3C_.wvu.FilterData" localSheetId="8" hidden="1">Ago!$FE$1:$FM$39</definedName>
    <definedName name="Z_A09033BB_2285_4F44_967C_D11F301D3E3C_.wvu.FilterData" localSheetId="12" hidden="1">Dez!$FE$1:$FM$39</definedName>
    <definedName name="Z_A09033BB_2285_4F44_967C_D11F301D3E3C_.wvu.FilterData" localSheetId="2" hidden="1">Fev!$FE$1:$FM$36</definedName>
    <definedName name="Z_A09033BB_2285_4F44_967C_D11F301D3E3C_.wvu.FilterData" localSheetId="1" hidden="1">Jan!$FE$1:$FM$39</definedName>
    <definedName name="Z_A09033BB_2285_4F44_967C_D11F301D3E3C_.wvu.FilterData" localSheetId="7" hidden="1">Jul!$FE$1:$FM$39</definedName>
    <definedName name="Z_A09033BB_2285_4F44_967C_D11F301D3E3C_.wvu.FilterData" localSheetId="6" hidden="1">Jun!$FE$1:$FM$39</definedName>
    <definedName name="Z_A09033BB_2285_4F44_967C_D11F301D3E3C_.wvu.FilterData" localSheetId="5" hidden="1">Mai!$FE$1:$FM$39</definedName>
    <definedName name="Z_A09033BB_2285_4F44_967C_D11F301D3E3C_.wvu.FilterData" localSheetId="0" hidden="1">'MAI (2)'!$FE$1:$FM$39</definedName>
    <definedName name="Z_A09033BB_2285_4F44_967C_D11F301D3E3C_.wvu.FilterData" localSheetId="3" hidden="1">Mar!$FE$1:$FM$39</definedName>
    <definedName name="Z_A09033BB_2285_4F44_967C_D11F301D3E3C_.wvu.FilterData" localSheetId="11" hidden="1">Nov!$FE$1:$FM$39</definedName>
    <definedName name="Z_A09033BB_2285_4F44_967C_D11F301D3E3C_.wvu.FilterData" localSheetId="10" hidden="1">Out!$FE$1:$FM$39</definedName>
    <definedName name="Z_A09033BB_2285_4F44_967C_D11F301D3E3C_.wvu.FilterData" localSheetId="9" hidden="1">Set!$FE$1:$FM$39</definedName>
    <definedName name="Z_A0937B8F_00E0_433B_8586_18FCADC4B3D8_.wvu.Cols" localSheetId="4" hidden="1">Abr!$FR:$FW</definedName>
    <definedName name="Z_A0937B8F_00E0_433B_8586_18FCADC4B3D8_.wvu.Cols" localSheetId="8" hidden="1">Ago!$FR:$FW</definedName>
    <definedName name="Z_A0937B8F_00E0_433B_8586_18FCADC4B3D8_.wvu.Cols" localSheetId="12" hidden="1">Dez!$FR:$FW</definedName>
    <definedName name="Z_A0937B8F_00E0_433B_8586_18FCADC4B3D8_.wvu.Cols" localSheetId="2" hidden="1">Fev!$FR:$FW</definedName>
    <definedName name="Z_A0937B8F_00E0_433B_8586_18FCADC4B3D8_.wvu.Cols" localSheetId="1" hidden="1">Jan!$FR:$FW</definedName>
    <definedName name="Z_A0937B8F_00E0_433B_8586_18FCADC4B3D8_.wvu.Cols" localSheetId="7" hidden="1">Jul!$FR:$FW</definedName>
    <definedName name="Z_A0937B8F_00E0_433B_8586_18FCADC4B3D8_.wvu.Cols" localSheetId="6" hidden="1">Jun!$FR:$FW</definedName>
    <definedName name="Z_A0937B8F_00E0_433B_8586_18FCADC4B3D8_.wvu.Cols" localSheetId="5" hidden="1">Mai!$FR:$FW</definedName>
    <definedName name="Z_A0937B8F_00E0_433B_8586_18FCADC4B3D8_.wvu.Cols" localSheetId="0" hidden="1">'MAI (2)'!$FR:$FW</definedName>
    <definedName name="Z_A0937B8F_00E0_433B_8586_18FCADC4B3D8_.wvu.Cols" localSheetId="3" hidden="1">Mar!$FR:$FW</definedName>
    <definedName name="Z_A0937B8F_00E0_433B_8586_18FCADC4B3D8_.wvu.Cols" localSheetId="11" hidden="1">Nov!$FR:$FW</definedName>
    <definedName name="Z_A0937B8F_00E0_433B_8586_18FCADC4B3D8_.wvu.Cols" localSheetId="10" hidden="1">Out!$FR:$FW</definedName>
    <definedName name="Z_A0937B8F_00E0_433B_8586_18FCADC4B3D8_.wvu.Cols" localSheetId="9" hidden="1">Set!$FR:$FW</definedName>
    <definedName name="Z_A0937B8F_00E0_433B_8586_18FCADC4B3D8_.wvu.FilterData" localSheetId="4" hidden="1">Abr!$FE$1:$FM$39</definedName>
    <definedName name="Z_A0937B8F_00E0_433B_8586_18FCADC4B3D8_.wvu.FilterData" localSheetId="8" hidden="1">Ago!$FE$1:$FM$39</definedName>
    <definedName name="Z_A0937B8F_00E0_433B_8586_18FCADC4B3D8_.wvu.FilterData" localSheetId="12" hidden="1">Dez!$FE$1:$FM$39</definedName>
    <definedName name="Z_A0937B8F_00E0_433B_8586_18FCADC4B3D8_.wvu.FilterData" localSheetId="2" hidden="1">Fev!$FE$1:$FM$36</definedName>
    <definedName name="Z_A0937B8F_00E0_433B_8586_18FCADC4B3D8_.wvu.FilterData" localSheetId="1" hidden="1">Jan!$FE$1:$FM$39</definedName>
    <definedName name="Z_A0937B8F_00E0_433B_8586_18FCADC4B3D8_.wvu.FilterData" localSheetId="7" hidden="1">Jul!$FE$1:$FM$39</definedName>
    <definedName name="Z_A0937B8F_00E0_433B_8586_18FCADC4B3D8_.wvu.FilterData" localSheetId="6" hidden="1">Jun!$FE$1:$FM$39</definedName>
    <definedName name="Z_A0937B8F_00E0_433B_8586_18FCADC4B3D8_.wvu.FilterData" localSheetId="5" hidden="1">Mai!$FE$1:$FM$39</definedName>
    <definedName name="Z_A0937B8F_00E0_433B_8586_18FCADC4B3D8_.wvu.FilterData" localSheetId="0" hidden="1">'MAI (2)'!$FE$1:$FM$39</definedName>
    <definedName name="Z_A0937B8F_00E0_433B_8586_18FCADC4B3D8_.wvu.FilterData" localSheetId="3" hidden="1">Mar!$FE$1:$FM$39</definedName>
    <definedName name="Z_A0937B8F_00E0_433B_8586_18FCADC4B3D8_.wvu.FilterData" localSheetId="11" hidden="1">Nov!$FE$1:$FM$39</definedName>
    <definedName name="Z_A0937B8F_00E0_433B_8586_18FCADC4B3D8_.wvu.FilterData" localSheetId="10" hidden="1">Out!$FE$1:$FM$39</definedName>
    <definedName name="Z_A0937B8F_00E0_433B_8586_18FCADC4B3D8_.wvu.FilterData" localSheetId="9" hidden="1">Set!$FE$1:$FM$39</definedName>
    <definedName name="Z_A3192020_2CF2_4DA7_B765_EB2774A1E0B2_.wvu.Cols" localSheetId="4" hidden="1">Abr!$FR:$FW</definedName>
    <definedName name="Z_A3192020_2CF2_4DA7_B765_EB2774A1E0B2_.wvu.Cols" localSheetId="8" hidden="1">Ago!$FR:$FW</definedName>
    <definedName name="Z_A3192020_2CF2_4DA7_B765_EB2774A1E0B2_.wvu.Cols" localSheetId="12" hidden="1">Dez!$FR:$FW</definedName>
    <definedName name="Z_A3192020_2CF2_4DA7_B765_EB2774A1E0B2_.wvu.Cols" localSheetId="2" hidden="1">Fev!$FR:$FW</definedName>
    <definedName name="Z_A3192020_2CF2_4DA7_B765_EB2774A1E0B2_.wvu.Cols" localSheetId="1" hidden="1">Jan!$FR:$FW</definedName>
    <definedName name="Z_A3192020_2CF2_4DA7_B765_EB2774A1E0B2_.wvu.Cols" localSheetId="7" hidden="1">Jul!$FR:$FW</definedName>
    <definedName name="Z_A3192020_2CF2_4DA7_B765_EB2774A1E0B2_.wvu.Cols" localSheetId="6" hidden="1">Jun!$FR:$FW</definedName>
    <definedName name="Z_A3192020_2CF2_4DA7_B765_EB2774A1E0B2_.wvu.Cols" localSheetId="5" hidden="1">Mai!$FR:$FW</definedName>
    <definedName name="Z_A3192020_2CF2_4DA7_B765_EB2774A1E0B2_.wvu.Cols" localSheetId="0" hidden="1">'MAI (2)'!$FR:$FW</definedName>
    <definedName name="Z_A3192020_2CF2_4DA7_B765_EB2774A1E0B2_.wvu.Cols" localSheetId="3" hidden="1">Mar!$FR:$FW</definedName>
    <definedName name="Z_A3192020_2CF2_4DA7_B765_EB2774A1E0B2_.wvu.Cols" localSheetId="11" hidden="1">Nov!$FR:$FW</definedName>
    <definedName name="Z_A3192020_2CF2_4DA7_B765_EB2774A1E0B2_.wvu.Cols" localSheetId="10" hidden="1">Out!$FR:$FW</definedName>
    <definedName name="Z_A3192020_2CF2_4DA7_B765_EB2774A1E0B2_.wvu.Cols" localSheetId="9" hidden="1">Set!$FR:$FW</definedName>
    <definedName name="Z_A3192020_2CF2_4DA7_B765_EB2774A1E0B2_.wvu.FilterData" localSheetId="4" hidden="1">Abr!$FE$1:$FM$39</definedName>
    <definedName name="Z_A3192020_2CF2_4DA7_B765_EB2774A1E0B2_.wvu.FilterData" localSheetId="8" hidden="1">Ago!$FE$1:$FM$39</definedName>
    <definedName name="Z_A3192020_2CF2_4DA7_B765_EB2774A1E0B2_.wvu.FilterData" localSheetId="12" hidden="1">Dez!$FE$1:$FM$39</definedName>
    <definedName name="Z_A3192020_2CF2_4DA7_B765_EB2774A1E0B2_.wvu.FilterData" localSheetId="2" hidden="1">Fev!$FE$1:$FM$36</definedName>
    <definedName name="Z_A3192020_2CF2_4DA7_B765_EB2774A1E0B2_.wvu.FilterData" localSheetId="1" hidden="1">Jan!$FE$1:$FM$39</definedName>
    <definedName name="Z_A3192020_2CF2_4DA7_B765_EB2774A1E0B2_.wvu.FilterData" localSheetId="7" hidden="1">Jul!$FE$1:$FM$39</definedName>
    <definedName name="Z_A3192020_2CF2_4DA7_B765_EB2774A1E0B2_.wvu.FilterData" localSheetId="6" hidden="1">Jun!$FE$1:$FM$39</definedName>
    <definedName name="Z_A3192020_2CF2_4DA7_B765_EB2774A1E0B2_.wvu.FilterData" localSheetId="5" hidden="1">Mai!$FE$1:$FM$39</definedName>
    <definedName name="Z_A3192020_2CF2_4DA7_B765_EB2774A1E0B2_.wvu.FilterData" localSheetId="0" hidden="1">'MAI (2)'!$FE$1:$FM$39</definedName>
    <definedName name="Z_A3192020_2CF2_4DA7_B765_EB2774A1E0B2_.wvu.FilterData" localSheetId="3" hidden="1">Mar!$FE$1:$FM$39</definedName>
    <definedName name="Z_A3192020_2CF2_4DA7_B765_EB2774A1E0B2_.wvu.FilterData" localSheetId="11" hidden="1">Nov!$FE$1:$FM$39</definedName>
    <definedName name="Z_A3192020_2CF2_4DA7_B765_EB2774A1E0B2_.wvu.FilterData" localSheetId="10" hidden="1">Out!$FE$1:$FM$39</definedName>
    <definedName name="Z_A3192020_2CF2_4DA7_B765_EB2774A1E0B2_.wvu.FilterData" localSheetId="9" hidden="1">Set!$FE$1:$FM$39</definedName>
    <definedName name="Z_A3192020_2CF2_4DA7_B765_EB2774A1E0B2_.wvu.Rows" localSheetId="14" hidden="1">'Histórico ind.'!$28:$28</definedName>
    <definedName name="Z_A46E2200_24D5_4D34_9ABA_ED4CF647D198_.wvu.FilterData" localSheetId="4" hidden="1">Abr!$FE$1:$FM$39</definedName>
    <definedName name="Z_A46E2200_24D5_4D34_9ABA_ED4CF647D198_.wvu.FilterData" localSheetId="8" hidden="1">Ago!$FE$1:$FM$39</definedName>
    <definedName name="Z_A46E2200_24D5_4D34_9ABA_ED4CF647D198_.wvu.FilterData" localSheetId="12" hidden="1">Dez!$FE$1:$FM$39</definedName>
    <definedName name="Z_A46E2200_24D5_4D34_9ABA_ED4CF647D198_.wvu.FilterData" localSheetId="2" hidden="1">Fev!$FE$1:$FM$36</definedName>
    <definedName name="Z_A46E2200_24D5_4D34_9ABA_ED4CF647D198_.wvu.FilterData" localSheetId="1" hidden="1">Jan!$FE$1:$FM$39</definedName>
    <definedName name="Z_A46E2200_24D5_4D34_9ABA_ED4CF647D198_.wvu.FilterData" localSheetId="7" hidden="1">Jul!$FE$1:$FM$39</definedName>
    <definedName name="Z_A46E2200_24D5_4D34_9ABA_ED4CF647D198_.wvu.FilterData" localSheetId="6" hidden="1">Jun!$FE$1:$FM$39</definedName>
    <definedName name="Z_A46E2200_24D5_4D34_9ABA_ED4CF647D198_.wvu.FilterData" localSheetId="5" hidden="1">Mai!$FE$1:$FM$39</definedName>
    <definedName name="Z_A46E2200_24D5_4D34_9ABA_ED4CF647D198_.wvu.FilterData" localSheetId="0" hidden="1">'MAI (2)'!$FE$1:$FM$39</definedName>
    <definedName name="Z_A46E2200_24D5_4D34_9ABA_ED4CF647D198_.wvu.FilterData" localSheetId="3" hidden="1">Mar!$FE$1:$FM$39</definedName>
    <definedName name="Z_A46E2200_24D5_4D34_9ABA_ED4CF647D198_.wvu.FilterData" localSheetId="11" hidden="1">Nov!$FE$1:$FM$39</definedName>
    <definedName name="Z_A46E2200_24D5_4D34_9ABA_ED4CF647D198_.wvu.FilterData" localSheetId="10" hidden="1">Out!$FE$1:$FM$39</definedName>
    <definedName name="Z_A46E2200_24D5_4D34_9ABA_ED4CF647D198_.wvu.FilterData" localSheetId="9" hidden="1">Set!$FE$1:$FM$39</definedName>
    <definedName name="Z_A5AE69EF_B916_4D3E_B7D8_440523F430A2_.wvu.Cols" localSheetId="4" hidden="1">Abr!$D:$N,Abr!$P:$P,Abr!$R:$BJ,Abr!$BO:$DN,Abr!$DU:$FC,Abr!$FE:$FM,Abr!$FR:$FW</definedName>
    <definedName name="Z_A5AE69EF_B916_4D3E_B7D8_440523F430A2_.wvu.Cols" localSheetId="8" hidden="1">Ago!$D:$N,Ago!$P:$P,Ago!$R:$BJ,Ago!$BO:$DN,Ago!$DU:$FC,Ago!$FE:$FM,Ago!$FR:$FW</definedName>
    <definedName name="Z_A5AE69EF_B916_4D3E_B7D8_440523F430A2_.wvu.Cols" localSheetId="12" hidden="1">Dez!$D:$N,Dez!$P:$P,Dez!$R:$BJ,Dez!$BO:$DN,Dez!$DU:$FC,Dez!$FE:$FM,Dez!$FR:$FW</definedName>
    <definedName name="Z_A5AE69EF_B916_4D3E_B7D8_440523F430A2_.wvu.Cols" localSheetId="2" hidden="1">Fev!$D:$N,Fev!$P:$P,Fev!$R:$BJ,Fev!$BO:$DN,Fev!$DU:$FC,Fev!$FE:$FM,Fev!$FR:$FW</definedName>
    <definedName name="Z_A5AE69EF_B916_4D3E_B7D8_440523F430A2_.wvu.Cols" localSheetId="1" hidden="1">Jan!$D:$N,Jan!$P:$P,Jan!$R:$BJ,Jan!$BO:$DN,Jan!$DU:$FC,Jan!$FE:$FM,Jan!$FR:$FW</definedName>
    <definedName name="Z_A5AE69EF_B916_4D3E_B7D8_440523F430A2_.wvu.Cols" localSheetId="7" hidden="1">Jul!$D:$N,Jul!$P:$P,Jul!$R:$BJ,Jul!$BO:$DN,Jul!$DU:$FC,Jul!$FE:$FM,Jul!$FR:$FW</definedName>
    <definedName name="Z_A5AE69EF_B916_4D3E_B7D8_440523F430A2_.wvu.Cols" localSheetId="6" hidden="1">Jun!$D:$N,Jun!$P:$P,Jun!$R:$BJ,Jun!$BO:$DN,Jun!$DU:$FC,Jun!$FE:$FM,Jun!$FR:$FW</definedName>
    <definedName name="Z_A5AE69EF_B916_4D3E_B7D8_440523F430A2_.wvu.Cols" localSheetId="5" hidden="1">Mai!$D:$N,Mai!$P:$P,Mai!$R:$BJ,Mai!$BO:$DN,Mai!$DU:$FC,Mai!$FE:$FM,Mai!$FR:$FW</definedName>
    <definedName name="Z_A5AE69EF_B916_4D3E_B7D8_440523F430A2_.wvu.Cols" localSheetId="0" hidden="1">'MAI (2)'!$D:$N,'MAI (2)'!$P:$P,'MAI (2)'!$R:$BJ,'MAI (2)'!$BO:$DN,'MAI (2)'!$DU:$FC,'MAI (2)'!$FE:$FM,'MAI (2)'!$FR:$FW</definedName>
    <definedName name="Z_A5AE69EF_B916_4D3E_B7D8_440523F430A2_.wvu.Cols" localSheetId="3" hidden="1">Mar!$D:$N,Mar!$P:$P,Mar!$R:$BJ,Mar!$BO:$DN,Mar!$DU:$FC,Mar!$FE:$FM,Mar!$FR:$FW</definedName>
    <definedName name="Z_A5AE69EF_B916_4D3E_B7D8_440523F430A2_.wvu.Cols" localSheetId="11" hidden="1">Nov!$D:$N,Nov!$P:$P,Nov!$R:$BJ,Nov!$BO:$DN,Nov!$DU:$FC,Nov!$FE:$FM,Nov!$FR:$FW</definedName>
    <definedName name="Z_A5AE69EF_B916_4D3E_B7D8_440523F430A2_.wvu.Cols" localSheetId="10" hidden="1">Out!$D:$N,Out!$P:$P,Out!$R:$BJ,Out!$BO:$DN,Out!$DU:$FC,Out!$FE:$FM,Out!$FR:$FW</definedName>
    <definedName name="Z_A5AE69EF_B916_4D3E_B7D8_440523F430A2_.wvu.Cols" localSheetId="9" hidden="1">Set!$D:$N,Set!$P:$P,Set!$R:$BJ,Set!$BO:$DN,Set!$DU:$FC,Set!$FE:$FM,Set!$FR:$FW</definedName>
    <definedName name="Z_A5AE69EF_B916_4D3E_B7D8_440523F430A2_.wvu.FilterData" localSheetId="4" hidden="1">Abr!$FE$1:$FM$39</definedName>
    <definedName name="Z_A5AE69EF_B916_4D3E_B7D8_440523F430A2_.wvu.FilterData" localSheetId="8" hidden="1">Ago!$FE$1:$FM$39</definedName>
    <definedName name="Z_A5AE69EF_B916_4D3E_B7D8_440523F430A2_.wvu.FilterData" localSheetId="12" hidden="1">Dez!$FE$1:$FM$39</definedName>
    <definedName name="Z_A5AE69EF_B916_4D3E_B7D8_440523F430A2_.wvu.FilterData" localSheetId="2" hidden="1">Fev!$FE$1:$FM$36</definedName>
    <definedName name="Z_A5AE69EF_B916_4D3E_B7D8_440523F430A2_.wvu.FilterData" localSheetId="1" hidden="1">Jan!$FE$1:$FM$39</definedName>
    <definedName name="Z_A5AE69EF_B916_4D3E_B7D8_440523F430A2_.wvu.FilterData" localSheetId="7" hidden="1">Jul!$FE$1:$FM$39</definedName>
    <definedName name="Z_A5AE69EF_B916_4D3E_B7D8_440523F430A2_.wvu.FilterData" localSheetId="6" hidden="1">Jun!$FE$1:$FM$39</definedName>
    <definedName name="Z_A5AE69EF_B916_4D3E_B7D8_440523F430A2_.wvu.FilterData" localSheetId="5" hidden="1">Mai!$FE$1:$FM$39</definedName>
    <definedName name="Z_A5AE69EF_B916_4D3E_B7D8_440523F430A2_.wvu.FilterData" localSheetId="0" hidden="1">'MAI (2)'!$FE$1:$FM$39</definedName>
    <definedName name="Z_A5AE69EF_B916_4D3E_B7D8_440523F430A2_.wvu.FilterData" localSheetId="3" hidden="1">Mar!$FE$1:$FM$39</definedName>
    <definedName name="Z_A5AE69EF_B916_4D3E_B7D8_440523F430A2_.wvu.FilterData" localSheetId="11" hidden="1">Nov!$FE$1:$FM$39</definedName>
    <definedName name="Z_A5AE69EF_B916_4D3E_B7D8_440523F430A2_.wvu.FilterData" localSheetId="10" hidden="1">Out!$FE$1:$FM$39</definedName>
    <definedName name="Z_A5AE69EF_B916_4D3E_B7D8_440523F430A2_.wvu.FilterData" localSheetId="9" hidden="1">Set!$FE$1:$FM$39</definedName>
    <definedName name="Z_A81F7387_7D0D_45D1_8C26_9E13F9B15CA5_.wvu.Cols" localSheetId="4" hidden="1">Abr!$DR:$DR</definedName>
    <definedName name="Z_A81F7387_7D0D_45D1_8C26_9E13F9B15CA5_.wvu.Cols" localSheetId="8" hidden="1">Ago!$DR:$DR</definedName>
    <definedName name="Z_A81F7387_7D0D_45D1_8C26_9E13F9B15CA5_.wvu.Cols" localSheetId="12" hidden="1">Dez!$DR:$DR</definedName>
    <definedName name="Z_A81F7387_7D0D_45D1_8C26_9E13F9B15CA5_.wvu.Cols" localSheetId="2" hidden="1">Fev!$DR:$DR</definedName>
    <definedName name="Z_A81F7387_7D0D_45D1_8C26_9E13F9B15CA5_.wvu.Cols" localSheetId="1" hidden="1">Jan!$DR:$DR</definedName>
    <definedName name="Z_A81F7387_7D0D_45D1_8C26_9E13F9B15CA5_.wvu.Cols" localSheetId="7" hidden="1">Jul!$DR:$DR</definedName>
    <definedName name="Z_A81F7387_7D0D_45D1_8C26_9E13F9B15CA5_.wvu.Cols" localSheetId="6" hidden="1">Jun!$DR:$DR</definedName>
    <definedName name="Z_A81F7387_7D0D_45D1_8C26_9E13F9B15CA5_.wvu.Cols" localSheetId="5" hidden="1">Mai!$DR:$DR</definedName>
    <definedName name="Z_A81F7387_7D0D_45D1_8C26_9E13F9B15CA5_.wvu.Cols" localSheetId="0" hidden="1">'MAI (2)'!$DR:$DR</definedName>
    <definedName name="Z_A81F7387_7D0D_45D1_8C26_9E13F9B15CA5_.wvu.Cols" localSheetId="3" hidden="1">Mar!$DR:$DR</definedName>
    <definedName name="Z_A81F7387_7D0D_45D1_8C26_9E13F9B15CA5_.wvu.Cols" localSheetId="11" hidden="1">Nov!$DR:$DR</definedName>
    <definedName name="Z_A81F7387_7D0D_45D1_8C26_9E13F9B15CA5_.wvu.Cols" localSheetId="10" hidden="1">Out!$DR:$DR</definedName>
    <definedName name="Z_A81F7387_7D0D_45D1_8C26_9E13F9B15CA5_.wvu.Cols" localSheetId="9" hidden="1">Set!$DR:$DR</definedName>
    <definedName name="Z_AB3BC064_683A_4E3D_8BD9_97B59D064120_.wvu.Cols" localSheetId="4" hidden="1">Abr!$FR:$FW</definedName>
    <definedName name="Z_AB3BC064_683A_4E3D_8BD9_97B59D064120_.wvu.Cols" localSheetId="8" hidden="1">Ago!$FR:$FW</definedName>
    <definedName name="Z_AB3BC064_683A_4E3D_8BD9_97B59D064120_.wvu.Cols" localSheetId="12" hidden="1">Dez!$FR:$FW</definedName>
    <definedName name="Z_AB3BC064_683A_4E3D_8BD9_97B59D064120_.wvu.Cols" localSheetId="2" hidden="1">Fev!$FR:$FW</definedName>
    <definedName name="Z_AB3BC064_683A_4E3D_8BD9_97B59D064120_.wvu.Cols" localSheetId="1" hidden="1">Jan!$FR:$FW</definedName>
    <definedName name="Z_AB3BC064_683A_4E3D_8BD9_97B59D064120_.wvu.Cols" localSheetId="7" hidden="1">Jul!$FR:$FW</definedName>
    <definedName name="Z_AB3BC064_683A_4E3D_8BD9_97B59D064120_.wvu.Cols" localSheetId="6" hidden="1">Jun!$FR:$FW</definedName>
    <definedName name="Z_AB3BC064_683A_4E3D_8BD9_97B59D064120_.wvu.Cols" localSheetId="5" hidden="1">Mai!$FR:$FW</definedName>
    <definedName name="Z_AB3BC064_683A_4E3D_8BD9_97B59D064120_.wvu.Cols" localSheetId="0" hidden="1">'MAI (2)'!$FR:$FW</definedName>
    <definedName name="Z_AB3BC064_683A_4E3D_8BD9_97B59D064120_.wvu.Cols" localSheetId="3" hidden="1">Mar!$FR:$FW</definedName>
    <definedName name="Z_AB3BC064_683A_4E3D_8BD9_97B59D064120_.wvu.Cols" localSheetId="11" hidden="1">Nov!$FR:$FW</definedName>
    <definedName name="Z_AB3BC064_683A_4E3D_8BD9_97B59D064120_.wvu.Cols" localSheetId="10" hidden="1">Out!$FR:$FW</definedName>
    <definedName name="Z_AB3BC064_683A_4E3D_8BD9_97B59D064120_.wvu.Cols" localSheetId="9" hidden="1">Set!$FR:$FW</definedName>
    <definedName name="Z_AB3BC064_683A_4E3D_8BD9_97B59D064120_.wvu.FilterData" localSheetId="4" hidden="1">Abr!$FE$1:$FM$39</definedName>
    <definedName name="Z_AB3BC064_683A_4E3D_8BD9_97B59D064120_.wvu.FilterData" localSheetId="8" hidden="1">Ago!$FE$1:$FM$39</definedName>
    <definedName name="Z_AB3BC064_683A_4E3D_8BD9_97B59D064120_.wvu.FilterData" localSheetId="12" hidden="1">Dez!$FE$1:$FM$39</definedName>
    <definedName name="Z_AB3BC064_683A_4E3D_8BD9_97B59D064120_.wvu.FilterData" localSheetId="2" hidden="1">Fev!$FE$1:$FM$36</definedName>
    <definedName name="Z_AB3BC064_683A_4E3D_8BD9_97B59D064120_.wvu.FilterData" localSheetId="1" hidden="1">Jan!$FE$1:$FM$39</definedName>
    <definedName name="Z_AB3BC064_683A_4E3D_8BD9_97B59D064120_.wvu.FilterData" localSheetId="7" hidden="1">Jul!$FE$1:$FM$39</definedName>
    <definedName name="Z_AB3BC064_683A_4E3D_8BD9_97B59D064120_.wvu.FilterData" localSheetId="6" hidden="1">Jun!$FE$1:$FM$39</definedName>
    <definedName name="Z_AB3BC064_683A_4E3D_8BD9_97B59D064120_.wvu.FilterData" localSheetId="5" hidden="1">Mai!$FE$1:$FM$39</definedName>
    <definedName name="Z_AB3BC064_683A_4E3D_8BD9_97B59D064120_.wvu.FilterData" localSheetId="0" hidden="1">'MAI (2)'!$FE$1:$FM$39</definedName>
    <definedName name="Z_AB3BC064_683A_4E3D_8BD9_97B59D064120_.wvu.FilterData" localSheetId="3" hidden="1">Mar!$FE$1:$FM$39</definedName>
    <definedName name="Z_AB3BC064_683A_4E3D_8BD9_97B59D064120_.wvu.FilterData" localSheetId="11" hidden="1">Nov!$FE$1:$FM$39</definedName>
    <definedName name="Z_AB3BC064_683A_4E3D_8BD9_97B59D064120_.wvu.FilterData" localSheetId="10" hidden="1">Out!$FE$1:$FM$39</definedName>
    <definedName name="Z_AB3BC064_683A_4E3D_8BD9_97B59D064120_.wvu.FilterData" localSheetId="9" hidden="1">Set!$FE$1:$FM$39</definedName>
    <definedName name="Z_AB3BC064_683A_4E3D_8BD9_97B59D064120_.wvu.Rows" localSheetId="14" hidden="1">'Histórico ind.'!$28:$28</definedName>
    <definedName name="Z_ABC10E31_EE09_4C33_8B9F_3D24EA1D907E_.wvu.FilterData" localSheetId="4" hidden="1">Abr!$FE$1:$FM$39</definedName>
    <definedName name="Z_ABC10E31_EE09_4C33_8B9F_3D24EA1D907E_.wvu.FilterData" localSheetId="8" hidden="1">Ago!$FE$1:$FM$39</definedName>
    <definedName name="Z_ABC10E31_EE09_4C33_8B9F_3D24EA1D907E_.wvu.FilterData" localSheetId="12" hidden="1">Dez!$FE$1:$FM$39</definedName>
    <definedName name="Z_ABC10E31_EE09_4C33_8B9F_3D24EA1D907E_.wvu.FilterData" localSheetId="2" hidden="1">Fev!$FE$1:$FM$36</definedName>
    <definedName name="Z_ABC10E31_EE09_4C33_8B9F_3D24EA1D907E_.wvu.FilterData" localSheetId="1" hidden="1">Jan!$FE$1:$FM$39</definedName>
    <definedName name="Z_ABC10E31_EE09_4C33_8B9F_3D24EA1D907E_.wvu.FilterData" localSheetId="7" hidden="1">Jul!$FE$1:$FM$39</definedName>
    <definedName name="Z_ABC10E31_EE09_4C33_8B9F_3D24EA1D907E_.wvu.FilterData" localSheetId="6" hidden="1">Jun!$FE$1:$FM$39</definedName>
    <definedName name="Z_ABC10E31_EE09_4C33_8B9F_3D24EA1D907E_.wvu.FilterData" localSheetId="5" hidden="1">Mai!$FE$1:$FM$39</definedName>
    <definedName name="Z_ABC10E31_EE09_4C33_8B9F_3D24EA1D907E_.wvu.FilterData" localSheetId="0" hidden="1">'MAI (2)'!$FE$1:$FM$39</definedName>
    <definedName name="Z_ABC10E31_EE09_4C33_8B9F_3D24EA1D907E_.wvu.FilterData" localSheetId="3" hidden="1">Mar!$FE$1:$FM$39</definedName>
    <definedName name="Z_ABC10E31_EE09_4C33_8B9F_3D24EA1D907E_.wvu.FilterData" localSheetId="11" hidden="1">Nov!$FE$1:$FM$39</definedName>
    <definedName name="Z_ABC10E31_EE09_4C33_8B9F_3D24EA1D907E_.wvu.FilterData" localSheetId="10" hidden="1">Out!$FE$1:$FM$39</definedName>
    <definedName name="Z_ABC10E31_EE09_4C33_8B9F_3D24EA1D907E_.wvu.FilterData" localSheetId="9" hidden="1">Set!$FE$1:$FM$39</definedName>
    <definedName name="Z_ABFBF6F6_0F33_48D6_82E2_B0AA6609A574_.wvu.Cols" localSheetId="4" hidden="1">Abr!$FR:$FW</definedName>
    <definedName name="Z_ABFBF6F6_0F33_48D6_82E2_B0AA6609A574_.wvu.Cols" localSheetId="8" hidden="1">Ago!$FR:$FW</definedName>
    <definedName name="Z_ABFBF6F6_0F33_48D6_82E2_B0AA6609A574_.wvu.Cols" localSheetId="12" hidden="1">Dez!$FR:$FW</definedName>
    <definedName name="Z_ABFBF6F6_0F33_48D6_82E2_B0AA6609A574_.wvu.Cols" localSheetId="2" hidden="1">Fev!$FR:$FW</definedName>
    <definedName name="Z_ABFBF6F6_0F33_48D6_82E2_B0AA6609A574_.wvu.Cols" localSheetId="1" hidden="1">Jan!$FR:$FW</definedName>
    <definedName name="Z_ABFBF6F6_0F33_48D6_82E2_B0AA6609A574_.wvu.Cols" localSheetId="7" hidden="1">Jul!$FR:$FW</definedName>
    <definedName name="Z_ABFBF6F6_0F33_48D6_82E2_B0AA6609A574_.wvu.Cols" localSheetId="6" hidden="1">Jun!$FR:$FW</definedName>
    <definedName name="Z_ABFBF6F6_0F33_48D6_82E2_B0AA6609A574_.wvu.Cols" localSheetId="5" hidden="1">Mai!$FR:$FW</definedName>
    <definedName name="Z_ABFBF6F6_0F33_48D6_82E2_B0AA6609A574_.wvu.Cols" localSheetId="0" hidden="1">'MAI (2)'!$FR:$FW</definedName>
    <definedName name="Z_ABFBF6F6_0F33_48D6_82E2_B0AA6609A574_.wvu.Cols" localSheetId="3" hidden="1">Mar!$FR:$FW</definedName>
    <definedName name="Z_ABFBF6F6_0F33_48D6_82E2_B0AA6609A574_.wvu.Cols" localSheetId="11" hidden="1">Nov!$FR:$FW</definedName>
    <definedName name="Z_ABFBF6F6_0F33_48D6_82E2_B0AA6609A574_.wvu.Cols" localSheetId="10" hidden="1">Out!$FR:$FW</definedName>
    <definedName name="Z_ABFBF6F6_0F33_48D6_82E2_B0AA6609A574_.wvu.Cols" localSheetId="9" hidden="1">Set!$FR:$FW</definedName>
    <definedName name="Z_ABFBF6F6_0F33_48D6_82E2_B0AA6609A574_.wvu.FilterData" localSheetId="4" hidden="1">Abr!$FE$1:$FM$39</definedName>
    <definedName name="Z_ABFBF6F6_0F33_48D6_82E2_B0AA6609A574_.wvu.FilterData" localSheetId="8" hidden="1">Ago!$FE$1:$FM$39</definedName>
    <definedName name="Z_ABFBF6F6_0F33_48D6_82E2_B0AA6609A574_.wvu.FilterData" localSheetId="12" hidden="1">Dez!$FE$1:$FM$39</definedName>
    <definedName name="Z_ABFBF6F6_0F33_48D6_82E2_B0AA6609A574_.wvu.FilterData" localSheetId="2" hidden="1">Fev!$FE$1:$FM$36</definedName>
    <definedName name="Z_ABFBF6F6_0F33_48D6_82E2_B0AA6609A574_.wvu.FilterData" localSheetId="1" hidden="1">Jan!$FE$1:$FM$39</definedName>
    <definedName name="Z_ABFBF6F6_0F33_48D6_82E2_B0AA6609A574_.wvu.FilterData" localSheetId="7" hidden="1">Jul!$FE$1:$FM$39</definedName>
    <definedName name="Z_ABFBF6F6_0F33_48D6_82E2_B0AA6609A574_.wvu.FilterData" localSheetId="6" hidden="1">Jun!$FE$1:$FM$39</definedName>
    <definedName name="Z_ABFBF6F6_0F33_48D6_82E2_B0AA6609A574_.wvu.FilterData" localSheetId="5" hidden="1">Mai!$FE$1:$FM$39</definedName>
    <definedName name="Z_ABFBF6F6_0F33_48D6_82E2_B0AA6609A574_.wvu.FilterData" localSheetId="0" hidden="1">'MAI (2)'!$FE$1:$FM$39</definedName>
    <definedName name="Z_ABFBF6F6_0F33_48D6_82E2_B0AA6609A574_.wvu.FilterData" localSheetId="3" hidden="1">Mar!$FE$1:$FM$39</definedName>
    <definedName name="Z_ABFBF6F6_0F33_48D6_82E2_B0AA6609A574_.wvu.FilterData" localSheetId="11" hidden="1">Nov!$FE$1:$FM$39</definedName>
    <definedName name="Z_ABFBF6F6_0F33_48D6_82E2_B0AA6609A574_.wvu.FilterData" localSheetId="10" hidden="1">Out!$FE$1:$FM$39</definedName>
    <definedName name="Z_ABFBF6F6_0F33_48D6_82E2_B0AA6609A574_.wvu.FilterData" localSheetId="9" hidden="1">Set!$FE$1:$FM$39</definedName>
    <definedName name="Z_ABFBF6F6_0F33_48D6_82E2_B0AA6609A574_.wvu.Rows" localSheetId="14" hidden="1">'Histórico ind.'!$28:$28</definedName>
    <definedName name="Z_B1BF913F_5BB5_4D18_B9D9_742F230C61FA_.wvu.FilterData" localSheetId="4" hidden="1">Abr!$FE$1:$FM$39</definedName>
    <definedName name="Z_B1BF913F_5BB5_4D18_B9D9_742F230C61FA_.wvu.FilterData" localSheetId="8" hidden="1">Ago!$FE$1:$FM$39</definedName>
    <definedName name="Z_B1BF913F_5BB5_4D18_B9D9_742F230C61FA_.wvu.FilterData" localSheetId="12" hidden="1">Dez!$FE$1:$FM$39</definedName>
    <definedName name="Z_B1BF913F_5BB5_4D18_B9D9_742F230C61FA_.wvu.FilterData" localSheetId="2" hidden="1">Fev!$FE$1:$FM$36</definedName>
    <definedName name="Z_B1BF913F_5BB5_4D18_B9D9_742F230C61FA_.wvu.FilterData" localSheetId="1" hidden="1">Jan!$FE$1:$FM$39</definedName>
    <definedName name="Z_B1BF913F_5BB5_4D18_B9D9_742F230C61FA_.wvu.FilterData" localSheetId="7" hidden="1">Jul!$FE$1:$FM$39</definedName>
    <definedName name="Z_B1BF913F_5BB5_4D18_B9D9_742F230C61FA_.wvu.FilterData" localSheetId="6" hidden="1">Jun!$FE$1:$FM$39</definedName>
    <definedName name="Z_B1BF913F_5BB5_4D18_B9D9_742F230C61FA_.wvu.FilterData" localSheetId="5" hidden="1">Mai!$FE$1:$FM$39</definedName>
    <definedName name="Z_B1BF913F_5BB5_4D18_B9D9_742F230C61FA_.wvu.FilterData" localSheetId="0" hidden="1">'MAI (2)'!$FE$1:$FM$39</definedName>
    <definedName name="Z_B1BF913F_5BB5_4D18_B9D9_742F230C61FA_.wvu.FilterData" localSheetId="3" hidden="1">Mar!$FE$1:$FM$39</definedName>
    <definedName name="Z_B1BF913F_5BB5_4D18_B9D9_742F230C61FA_.wvu.FilterData" localSheetId="11" hidden="1">Nov!$FE$1:$FM$39</definedName>
    <definedName name="Z_B1BF913F_5BB5_4D18_B9D9_742F230C61FA_.wvu.FilterData" localSheetId="10" hidden="1">Out!$FE$1:$FM$39</definedName>
    <definedName name="Z_B1BF913F_5BB5_4D18_B9D9_742F230C61FA_.wvu.FilterData" localSheetId="9" hidden="1">Set!$FE$1:$FM$39</definedName>
    <definedName name="Z_B1DA9E7A_C4CD_4FFB_82CC_662DBAEBE2CC_.wvu.FilterData" localSheetId="4" hidden="1">Abr!$FE$1:$FM$39</definedName>
    <definedName name="Z_B1DA9E7A_C4CD_4FFB_82CC_662DBAEBE2CC_.wvu.FilterData" localSheetId="8" hidden="1">Ago!$FE$1:$FM$39</definedName>
    <definedName name="Z_B1DA9E7A_C4CD_4FFB_82CC_662DBAEBE2CC_.wvu.FilterData" localSheetId="12" hidden="1">Dez!$FE$1:$FM$39</definedName>
    <definedName name="Z_B1DA9E7A_C4CD_4FFB_82CC_662DBAEBE2CC_.wvu.FilterData" localSheetId="2" hidden="1">Fev!$FE$1:$FM$36</definedName>
    <definedName name="Z_B1DA9E7A_C4CD_4FFB_82CC_662DBAEBE2CC_.wvu.FilterData" localSheetId="1" hidden="1">Jan!$FE$1:$FM$39</definedName>
    <definedName name="Z_B1DA9E7A_C4CD_4FFB_82CC_662DBAEBE2CC_.wvu.FilterData" localSheetId="7" hidden="1">Jul!$FE$1:$FM$39</definedName>
    <definedName name="Z_B1DA9E7A_C4CD_4FFB_82CC_662DBAEBE2CC_.wvu.FilterData" localSheetId="6" hidden="1">Jun!$FE$1:$FM$39</definedName>
    <definedName name="Z_B1DA9E7A_C4CD_4FFB_82CC_662DBAEBE2CC_.wvu.FilterData" localSheetId="5" hidden="1">Mai!$FE$1:$FM$39</definedName>
    <definedName name="Z_B1DA9E7A_C4CD_4FFB_82CC_662DBAEBE2CC_.wvu.FilterData" localSheetId="0" hidden="1">'MAI (2)'!$FE$1:$FM$39</definedName>
    <definedName name="Z_B1DA9E7A_C4CD_4FFB_82CC_662DBAEBE2CC_.wvu.FilterData" localSheetId="3" hidden="1">Mar!$FE$1:$FM$39</definedName>
    <definedName name="Z_B1DA9E7A_C4CD_4FFB_82CC_662DBAEBE2CC_.wvu.FilterData" localSheetId="11" hidden="1">Nov!$FE$1:$FM$39</definedName>
    <definedName name="Z_B1DA9E7A_C4CD_4FFB_82CC_662DBAEBE2CC_.wvu.FilterData" localSheetId="10" hidden="1">Out!$FE$1:$FM$39</definedName>
    <definedName name="Z_B1DA9E7A_C4CD_4FFB_82CC_662DBAEBE2CC_.wvu.FilterData" localSheetId="9" hidden="1">Set!$FE$1:$FM$39</definedName>
    <definedName name="Z_B6940216_363B_4D95_B27C_2F7595686CD2_.wvu.FilterData" localSheetId="4" hidden="1">Abr!$FE$1:$FM$39</definedName>
    <definedName name="Z_B6940216_363B_4D95_B27C_2F7595686CD2_.wvu.FilterData" localSheetId="8" hidden="1">Ago!$FE$1:$FM$39</definedName>
    <definedName name="Z_B6940216_363B_4D95_B27C_2F7595686CD2_.wvu.FilterData" localSheetId="12" hidden="1">Dez!$FE$1:$FM$39</definedName>
    <definedName name="Z_B6940216_363B_4D95_B27C_2F7595686CD2_.wvu.FilterData" localSheetId="2" hidden="1">Fev!$FE$1:$FM$36</definedName>
    <definedName name="Z_B6940216_363B_4D95_B27C_2F7595686CD2_.wvu.FilterData" localSheetId="1" hidden="1">Jan!$FE$1:$FM$39</definedName>
    <definedName name="Z_B6940216_363B_4D95_B27C_2F7595686CD2_.wvu.FilterData" localSheetId="7" hidden="1">Jul!$FE$1:$FM$39</definedName>
    <definedName name="Z_B6940216_363B_4D95_B27C_2F7595686CD2_.wvu.FilterData" localSheetId="6" hidden="1">Jun!$FE$1:$FM$39</definedName>
    <definedName name="Z_B6940216_363B_4D95_B27C_2F7595686CD2_.wvu.FilterData" localSheetId="5" hidden="1">Mai!$FE$1:$FM$39</definedName>
    <definedName name="Z_B6940216_363B_4D95_B27C_2F7595686CD2_.wvu.FilterData" localSheetId="0" hidden="1">'MAI (2)'!$FE$1:$FM$39</definedName>
    <definedName name="Z_B6940216_363B_4D95_B27C_2F7595686CD2_.wvu.FilterData" localSheetId="3" hidden="1">Mar!$FE$1:$FM$39</definedName>
    <definedName name="Z_B6940216_363B_4D95_B27C_2F7595686CD2_.wvu.FilterData" localSheetId="11" hidden="1">Nov!$FE$1:$FM$39</definedName>
    <definedName name="Z_B6940216_363B_4D95_B27C_2F7595686CD2_.wvu.FilterData" localSheetId="10" hidden="1">Out!$FE$1:$FM$39</definedName>
    <definedName name="Z_B6940216_363B_4D95_B27C_2F7595686CD2_.wvu.FilterData" localSheetId="9" hidden="1">Set!$FE$1:$FM$39</definedName>
    <definedName name="Z_B7ED0FDB_00AC_44CE_92AE_5D0571AE81F7_.wvu.FilterData" localSheetId="4" hidden="1">Abr!$FE$1:$FM$39</definedName>
    <definedName name="Z_B7ED0FDB_00AC_44CE_92AE_5D0571AE81F7_.wvu.FilterData" localSheetId="8" hidden="1">Ago!$FE$1:$FM$39</definedName>
    <definedName name="Z_B7ED0FDB_00AC_44CE_92AE_5D0571AE81F7_.wvu.FilterData" localSheetId="12" hidden="1">Dez!$FE$1:$FM$39</definedName>
    <definedName name="Z_B7ED0FDB_00AC_44CE_92AE_5D0571AE81F7_.wvu.FilterData" localSheetId="2" hidden="1">Fev!$FE$1:$FM$36</definedName>
    <definedName name="Z_B7ED0FDB_00AC_44CE_92AE_5D0571AE81F7_.wvu.FilterData" localSheetId="1" hidden="1">Jan!$FE$1:$FM$39</definedName>
    <definedName name="Z_B7ED0FDB_00AC_44CE_92AE_5D0571AE81F7_.wvu.FilterData" localSheetId="7" hidden="1">Jul!$FE$1:$FM$39</definedName>
    <definedName name="Z_B7ED0FDB_00AC_44CE_92AE_5D0571AE81F7_.wvu.FilterData" localSheetId="6" hidden="1">Jun!$FE$1:$FM$39</definedName>
    <definedName name="Z_B7ED0FDB_00AC_44CE_92AE_5D0571AE81F7_.wvu.FilterData" localSheetId="5" hidden="1">Mai!$FE$1:$FM$39</definedName>
    <definedName name="Z_B7ED0FDB_00AC_44CE_92AE_5D0571AE81F7_.wvu.FilterData" localSheetId="0" hidden="1">'MAI (2)'!$FE$1:$FM$39</definedName>
    <definedName name="Z_B7ED0FDB_00AC_44CE_92AE_5D0571AE81F7_.wvu.FilterData" localSheetId="3" hidden="1">Mar!$FE$1:$FM$39</definedName>
    <definedName name="Z_B7ED0FDB_00AC_44CE_92AE_5D0571AE81F7_.wvu.FilterData" localSheetId="11" hidden="1">Nov!$FE$1:$FM$39</definedName>
    <definedName name="Z_B7ED0FDB_00AC_44CE_92AE_5D0571AE81F7_.wvu.FilterData" localSheetId="10" hidden="1">Out!$FE$1:$FM$39</definedName>
    <definedName name="Z_B7ED0FDB_00AC_44CE_92AE_5D0571AE81F7_.wvu.FilterData" localSheetId="9" hidden="1">Set!$FE$1:$FM$39</definedName>
    <definedName name="Z_B888BB62_FF26_4503_A9D6_B141A29905EA_.wvu.FilterData" localSheetId="4" hidden="1">Abr!$FE$1:$FM$39</definedName>
    <definedName name="Z_B888BB62_FF26_4503_A9D6_B141A29905EA_.wvu.FilterData" localSheetId="8" hidden="1">Ago!$FE$1:$FM$39</definedName>
    <definedName name="Z_B888BB62_FF26_4503_A9D6_B141A29905EA_.wvu.FilterData" localSheetId="12" hidden="1">Dez!$FE$1:$FM$39</definedName>
    <definedName name="Z_B888BB62_FF26_4503_A9D6_B141A29905EA_.wvu.FilterData" localSheetId="2" hidden="1">Fev!$FE$1:$FM$36</definedName>
    <definedName name="Z_B888BB62_FF26_4503_A9D6_B141A29905EA_.wvu.FilterData" localSheetId="1" hidden="1">Jan!$FE$1:$FM$39</definedName>
    <definedName name="Z_B888BB62_FF26_4503_A9D6_B141A29905EA_.wvu.FilterData" localSheetId="7" hidden="1">Jul!$FE$1:$FM$39</definedName>
    <definedName name="Z_B888BB62_FF26_4503_A9D6_B141A29905EA_.wvu.FilterData" localSheetId="6" hidden="1">Jun!$FE$1:$FM$39</definedName>
    <definedName name="Z_B888BB62_FF26_4503_A9D6_B141A29905EA_.wvu.FilterData" localSheetId="5" hidden="1">Mai!$FE$1:$FM$39</definedName>
    <definedName name="Z_B888BB62_FF26_4503_A9D6_B141A29905EA_.wvu.FilterData" localSheetId="0" hidden="1">'MAI (2)'!$FE$1:$FM$39</definedName>
    <definedName name="Z_B888BB62_FF26_4503_A9D6_B141A29905EA_.wvu.FilterData" localSheetId="3" hidden="1">Mar!$FE$1:$FM$39</definedName>
    <definedName name="Z_B888BB62_FF26_4503_A9D6_B141A29905EA_.wvu.FilterData" localSheetId="11" hidden="1">Nov!$FE$1:$FM$39</definedName>
    <definedName name="Z_B888BB62_FF26_4503_A9D6_B141A29905EA_.wvu.FilterData" localSheetId="10" hidden="1">Out!$FE$1:$FM$39</definedName>
    <definedName name="Z_B888BB62_FF26_4503_A9D6_B141A29905EA_.wvu.FilterData" localSheetId="9" hidden="1">Set!$FE$1:$FM$39</definedName>
    <definedName name="Z_B97F9C1D_5972_44C4_978D_C342AD6CEE6C_.wvu.FilterData" localSheetId="4" hidden="1">Abr!$FE$1:$FM$39</definedName>
    <definedName name="Z_B97F9C1D_5972_44C4_978D_C342AD6CEE6C_.wvu.FilterData" localSheetId="8" hidden="1">Ago!$FE$1:$FM$39</definedName>
    <definedName name="Z_B97F9C1D_5972_44C4_978D_C342AD6CEE6C_.wvu.FilterData" localSheetId="12" hidden="1">Dez!$FE$1:$FM$39</definedName>
    <definedName name="Z_B97F9C1D_5972_44C4_978D_C342AD6CEE6C_.wvu.FilterData" localSheetId="2" hidden="1">Fev!$FE$1:$FM$36</definedName>
    <definedName name="Z_B97F9C1D_5972_44C4_978D_C342AD6CEE6C_.wvu.FilterData" localSheetId="1" hidden="1">Jan!$FE$1:$FM$39</definedName>
    <definedName name="Z_B97F9C1D_5972_44C4_978D_C342AD6CEE6C_.wvu.FilterData" localSheetId="7" hidden="1">Jul!$FE$1:$FM$39</definedName>
    <definedName name="Z_B97F9C1D_5972_44C4_978D_C342AD6CEE6C_.wvu.FilterData" localSheetId="6" hidden="1">Jun!$FE$1:$FM$39</definedName>
    <definedName name="Z_B97F9C1D_5972_44C4_978D_C342AD6CEE6C_.wvu.FilterData" localSheetId="5" hidden="1">Mai!$FE$1:$FM$39</definedName>
    <definedName name="Z_B97F9C1D_5972_44C4_978D_C342AD6CEE6C_.wvu.FilterData" localSheetId="0" hidden="1">'MAI (2)'!$FE$1:$FM$39</definedName>
    <definedName name="Z_B97F9C1D_5972_44C4_978D_C342AD6CEE6C_.wvu.FilterData" localSheetId="3" hidden="1">Mar!$FE$1:$FM$39</definedName>
    <definedName name="Z_B97F9C1D_5972_44C4_978D_C342AD6CEE6C_.wvu.FilterData" localSheetId="11" hidden="1">Nov!$FE$1:$FM$39</definedName>
    <definedName name="Z_B97F9C1D_5972_44C4_978D_C342AD6CEE6C_.wvu.FilterData" localSheetId="10" hidden="1">Out!$FE$1:$FM$39</definedName>
    <definedName name="Z_B97F9C1D_5972_44C4_978D_C342AD6CEE6C_.wvu.FilterData" localSheetId="9" hidden="1">Set!$FE$1:$FM$39</definedName>
    <definedName name="Z_B9C27CFC_1066_45BF_A10A_5619BD3A972C_.wvu.FilterData" localSheetId="4" hidden="1">Abr!$FE$1:$FM$39</definedName>
    <definedName name="Z_B9C27CFC_1066_45BF_A10A_5619BD3A972C_.wvu.FilterData" localSheetId="8" hidden="1">Ago!$FE$1:$FM$39</definedName>
    <definedName name="Z_B9C27CFC_1066_45BF_A10A_5619BD3A972C_.wvu.FilterData" localSheetId="12" hidden="1">Dez!$FE$1:$FM$39</definedName>
    <definedName name="Z_B9C27CFC_1066_45BF_A10A_5619BD3A972C_.wvu.FilterData" localSheetId="2" hidden="1">Fev!$FE$1:$FM$36</definedName>
    <definedName name="Z_B9C27CFC_1066_45BF_A10A_5619BD3A972C_.wvu.FilterData" localSheetId="1" hidden="1">Jan!$FE$1:$FM$39</definedName>
    <definedName name="Z_B9C27CFC_1066_45BF_A10A_5619BD3A972C_.wvu.FilterData" localSheetId="7" hidden="1">Jul!$FE$1:$FM$39</definedName>
    <definedName name="Z_B9C27CFC_1066_45BF_A10A_5619BD3A972C_.wvu.FilterData" localSheetId="6" hidden="1">Jun!$FE$1:$FM$39</definedName>
    <definedName name="Z_B9C27CFC_1066_45BF_A10A_5619BD3A972C_.wvu.FilterData" localSheetId="5" hidden="1">Mai!$FE$1:$FM$39</definedName>
    <definedName name="Z_B9C27CFC_1066_45BF_A10A_5619BD3A972C_.wvu.FilterData" localSheetId="0" hidden="1">'MAI (2)'!$FE$1:$FM$39</definedName>
    <definedName name="Z_B9C27CFC_1066_45BF_A10A_5619BD3A972C_.wvu.FilterData" localSheetId="3" hidden="1">Mar!$FE$1:$FM$39</definedName>
    <definedName name="Z_B9C27CFC_1066_45BF_A10A_5619BD3A972C_.wvu.FilterData" localSheetId="11" hidden="1">Nov!$FE$1:$FM$39</definedName>
    <definedName name="Z_B9C27CFC_1066_45BF_A10A_5619BD3A972C_.wvu.FilterData" localSheetId="10" hidden="1">Out!$FE$1:$FM$39</definedName>
    <definedName name="Z_B9C27CFC_1066_45BF_A10A_5619BD3A972C_.wvu.FilterData" localSheetId="9" hidden="1">Set!$FE$1:$FM$39</definedName>
    <definedName name="Z_B9CD9194_287E_4A6C_A9F6_E43049E4E6C3_.wvu.Cols" localSheetId="4" hidden="1">Abr!$FR:$FW</definedName>
    <definedName name="Z_B9CD9194_287E_4A6C_A9F6_E43049E4E6C3_.wvu.Cols" localSheetId="8" hidden="1">Ago!$FR:$FW</definedName>
    <definedName name="Z_B9CD9194_287E_4A6C_A9F6_E43049E4E6C3_.wvu.Cols" localSheetId="12" hidden="1">Dez!$FR:$FW</definedName>
    <definedName name="Z_B9CD9194_287E_4A6C_A9F6_E43049E4E6C3_.wvu.Cols" localSheetId="2" hidden="1">Fev!$FR:$FW</definedName>
    <definedName name="Z_B9CD9194_287E_4A6C_A9F6_E43049E4E6C3_.wvu.Cols" localSheetId="1" hidden="1">Jan!$FR:$FW</definedName>
    <definedName name="Z_B9CD9194_287E_4A6C_A9F6_E43049E4E6C3_.wvu.Cols" localSheetId="7" hidden="1">Jul!$FR:$FW</definedName>
    <definedName name="Z_B9CD9194_287E_4A6C_A9F6_E43049E4E6C3_.wvu.Cols" localSheetId="6" hidden="1">Jun!$FR:$FW</definedName>
    <definedName name="Z_B9CD9194_287E_4A6C_A9F6_E43049E4E6C3_.wvu.Cols" localSheetId="5" hidden="1">Mai!$FR:$FW</definedName>
    <definedName name="Z_B9CD9194_287E_4A6C_A9F6_E43049E4E6C3_.wvu.Cols" localSheetId="0" hidden="1">'MAI (2)'!$FR:$FW</definedName>
    <definedName name="Z_B9CD9194_287E_4A6C_A9F6_E43049E4E6C3_.wvu.Cols" localSheetId="3" hidden="1">Mar!$FR:$FW</definedName>
    <definedName name="Z_B9CD9194_287E_4A6C_A9F6_E43049E4E6C3_.wvu.Cols" localSheetId="11" hidden="1">Nov!$FR:$FW</definedName>
    <definedName name="Z_B9CD9194_287E_4A6C_A9F6_E43049E4E6C3_.wvu.Cols" localSheetId="10" hidden="1">Out!$FR:$FW</definedName>
    <definedName name="Z_B9CD9194_287E_4A6C_A9F6_E43049E4E6C3_.wvu.Cols" localSheetId="9" hidden="1">Set!$FR:$FW</definedName>
    <definedName name="Z_B9CD9194_287E_4A6C_A9F6_E43049E4E6C3_.wvu.FilterData" localSheetId="4" hidden="1">Abr!$FE$1:$FM$39</definedName>
    <definedName name="Z_B9CD9194_287E_4A6C_A9F6_E43049E4E6C3_.wvu.FilterData" localSheetId="8" hidden="1">Ago!$FE$1:$FM$39</definedName>
    <definedName name="Z_B9CD9194_287E_4A6C_A9F6_E43049E4E6C3_.wvu.FilterData" localSheetId="12" hidden="1">Dez!$FE$1:$FM$39</definedName>
    <definedName name="Z_B9CD9194_287E_4A6C_A9F6_E43049E4E6C3_.wvu.FilterData" localSheetId="2" hidden="1">Fev!$FE$1:$FM$36</definedName>
    <definedName name="Z_B9CD9194_287E_4A6C_A9F6_E43049E4E6C3_.wvu.FilterData" localSheetId="1" hidden="1">Jan!$FE$1:$FM$39</definedName>
    <definedName name="Z_B9CD9194_287E_4A6C_A9F6_E43049E4E6C3_.wvu.FilterData" localSheetId="7" hidden="1">Jul!$FE$1:$FM$39</definedName>
    <definedName name="Z_B9CD9194_287E_4A6C_A9F6_E43049E4E6C3_.wvu.FilterData" localSheetId="6" hidden="1">Jun!$FE$1:$FM$39</definedName>
    <definedName name="Z_B9CD9194_287E_4A6C_A9F6_E43049E4E6C3_.wvu.FilterData" localSheetId="5" hidden="1">Mai!$FE$1:$FM$39</definedName>
    <definedName name="Z_B9CD9194_287E_4A6C_A9F6_E43049E4E6C3_.wvu.FilterData" localSheetId="0" hidden="1">'MAI (2)'!$FE$1:$FM$39</definedName>
    <definedName name="Z_B9CD9194_287E_4A6C_A9F6_E43049E4E6C3_.wvu.FilterData" localSheetId="3" hidden="1">Mar!$FE$1:$FM$39</definedName>
    <definedName name="Z_B9CD9194_287E_4A6C_A9F6_E43049E4E6C3_.wvu.FilterData" localSheetId="11" hidden="1">Nov!$FE$1:$FM$39</definedName>
    <definedName name="Z_B9CD9194_287E_4A6C_A9F6_E43049E4E6C3_.wvu.FilterData" localSheetId="10" hidden="1">Out!$FE$1:$FM$39</definedName>
    <definedName name="Z_B9CD9194_287E_4A6C_A9F6_E43049E4E6C3_.wvu.FilterData" localSheetId="9" hidden="1">Set!$FE$1:$FM$39</definedName>
    <definedName name="Z_B9CD9194_287E_4A6C_A9F6_E43049E4E6C3_.wvu.Rows" localSheetId="14" hidden="1">'Histórico ind.'!$28:$28</definedName>
    <definedName name="Z_BB34BC0C_8DDB_4F28_B909_859A3E168123_.wvu.FilterData" localSheetId="4" hidden="1">Abr!$FE$1:$FM$39</definedName>
    <definedName name="Z_BB34BC0C_8DDB_4F28_B909_859A3E168123_.wvu.FilterData" localSheetId="8" hidden="1">Ago!$FE$1:$FM$39</definedName>
    <definedName name="Z_BB34BC0C_8DDB_4F28_B909_859A3E168123_.wvu.FilterData" localSheetId="12" hidden="1">Dez!$FE$1:$FM$39</definedName>
    <definedName name="Z_BB34BC0C_8DDB_4F28_B909_859A3E168123_.wvu.FilterData" localSheetId="2" hidden="1">Fev!$FE$1:$FM$36</definedName>
    <definedName name="Z_BB34BC0C_8DDB_4F28_B909_859A3E168123_.wvu.FilterData" localSheetId="1" hidden="1">Jan!$FE$1:$FM$39</definedName>
    <definedName name="Z_BB34BC0C_8DDB_4F28_B909_859A3E168123_.wvu.FilterData" localSheetId="7" hidden="1">Jul!$FE$1:$FM$39</definedName>
    <definedName name="Z_BB34BC0C_8DDB_4F28_B909_859A3E168123_.wvu.FilterData" localSheetId="6" hidden="1">Jun!$FE$1:$FM$39</definedName>
    <definedName name="Z_BB34BC0C_8DDB_4F28_B909_859A3E168123_.wvu.FilterData" localSheetId="5" hidden="1">Mai!$FE$1:$FM$39</definedName>
    <definedName name="Z_BB34BC0C_8DDB_4F28_B909_859A3E168123_.wvu.FilterData" localSheetId="0" hidden="1">'MAI (2)'!$FE$1:$FM$39</definedName>
    <definedName name="Z_BB34BC0C_8DDB_4F28_B909_859A3E168123_.wvu.FilterData" localSheetId="3" hidden="1">Mar!$FE$1:$FM$39</definedName>
    <definedName name="Z_BB34BC0C_8DDB_4F28_B909_859A3E168123_.wvu.FilterData" localSheetId="11" hidden="1">Nov!$FE$1:$FM$39</definedName>
    <definedName name="Z_BB34BC0C_8DDB_4F28_B909_859A3E168123_.wvu.FilterData" localSheetId="10" hidden="1">Out!$FE$1:$FM$39</definedName>
    <definedName name="Z_BB34BC0C_8DDB_4F28_B909_859A3E168123_.wvu.FilterData" localSheetId="9" hidden="1">Set!$FE$1:$FM$39</definedName>
    <definedName name="Z_C1CD0821_9BFC_47CC_8A45_299D8F2D3EBF_.wvu.FilterData" localSheetId="4" hidden="1">Abr!$FE$1:$FM$39</definedName>
    <definedName name="Z_C1CD0821_9BFC_47CC_8A45_299D8F2D3EBF_.wvu.FilterData" localSheetId="8" hidden="1">Ago!$FE$1:$FM$39</definedName>
    <definedName name="Z_C1CD0821_9BFC_47CC_8A45_299D8F2D3EBF_.wvu.FilterData" localSheetId="12" hidden="1">Dez!$FE$1:$FM$39</definedName>
    <definedName name="Z_C1CD0821_9BFC_47CC_8A45_299D8F2D3EBF_.wvu.FilterData" localSheetId="2" hidden="1">Fev!$FE$1:$FM$36</definedName>
    <definedName name="Z_C1CD0821_9BFC_47CC_8A45_299D8F2D3EBF_.wvu.FilterData" localSheetId="1" hidden="1">Jan!$FE$1:$FM$39</definedName>
    <definedName name="Z_C1CD0821_9BFC_47CC_8A45_299D8F2D3EBF_.wvu.FilterData" localSheetId="7" hidden="1">Jul!$FE$1:$FM$39</definedName>
    <definedName name="Z_C1CD0821_9BFC_47CC_8A45_299D8F2D3EBF_.wvu.FilterData" localSheetId="6" hidden="1">Jun!$FE$1:$FM$39</definedName>
    <definedName name="Z_C1CD0821_9BFC_47CC_8A45_299D8F2D3EBF_.wvu.FilterData" localSheetId="5" hidden="1">Mai!$FE$1:$FM$39</definedName>
    <definedName name="Z_C1CD0821_9BFC_47CC_8A45_299D8F2D3EBF_.wvu.FilterData" localSheetId="0" hidden="1">'MAI (2)'!$FE$1:$FM$39</definedName>
    <definedName name="Z_C1CD0821_9BFC_47CC_8A45_299D8F2D3EBF_.wvu.FilterData" localSheetId="3" hidden="1">Mar!$FE$1:$FM$39</definedName>
    <definedName name="Z_C1CD0821_9BFC_47CC_8A45_299D8F2D3EBF_.wvu.FilterData" localSheetId="11" hidden="1">Nov!$FE$1:$FM$39</definedName>
    <definedName name="Z_C1CD0821_9BFC_47CC_8A45_299D8F2D3EBF_.wvu.FilterData" localSheetId="10" hidden="1">Out!$FE$1:$FM$39</definedName>
    <definedName name="Z_C1CD0821_9BFC_47CC_8A45_299D8F2D3EBF_.wvu.FilterData" localSheetId="9" hidden="1">Set!$FE$1:$FM$39</definedName>
    <definedName name="Z_C28AD441_DBDE_4D30_B71E_26394ADAA4BA_.wvu.Cols" localSheetId="4" hidden="1">Abr!$FR:$FW</definedName>
    <definedName name="Z_C28AD441_DBDE_4D30_B71E_26394ADAA4BA_.wvu.Cols" localSheetId="8" hidden="1">Ago!$FR:$FW</definedName>
    <definedName name="Z_C28AD441_DBDE_4D30_B71E_26394ADAA4BA_.wvu.Cols" localSheetId="12" hidden="1">Dez!$FR:$FW</definedName>
    <definedName name="Z_C28AD441_DBDE_4D30_B71E_26394ADAA4BA_.wvu.Cols" localSheetId="2" hidden="1">Fev!$FR:$FW</definedName>
    <definedName name="Z_C28AD441_DBDE_4D30_B71E_26394ADAA4BA_.wvu.Cols" localSheetId="1" hidden="1">Jan!$FR:$FW</definedName>
    <definedName name="Z_C28AD441_DBDE_4D30_B71E_26394ADAA4BA_.wvu.Cols" localSheetId="7" hidden="1">Jul!$FR:$FW</definedName>
    <definedName name="Z_C28AD441_DBDE_4D30_B71E_26394ADAA4BA_.wvu.Cols" localSheetId="6" hidden="1">Jun!$FR:$FW</definedName>
    <definedName name="Z_C28AD441_DBDE_4D30_B71E_26394ADAA4BA_.wvu.Cols" localSheetId="5" hidden="1">Mai!$FR:$FW</definedName>
    <definedName name="Z_C28AD441_DBDE_4D30_B71E_26394ADAA4BA_.wvu.Cols" localSheetId="0" hidden="1">'MAI (2)'!$FR:$FW</definedName>
    <definedName name="Z_C28AD441_DBDE_4D30_B71E_26394ADAA4BA_.wvu.Cols" localSheetId="3" hidden="1">Mar!$FR:$FW</definedName>
    <definedName name="Z_C28AD441_DBDE_4D30_B71E_26394ADAA4BA_.wvu.Cols" localSheetId="11" hidden="1">Nov!$FR:$FW</definedName>
    <definedName name="Z_C28AD441_DBDE_4D30_B71E_26394ADAA4BA_.wvu.Cols" localSheetId="10" hidden="1">Out!$FR:$FW</definedName>
    <definedName name="Z_C28AD441_DBDE_4D30_B71E_26394ADAA4BA_.wvu.Cols" localSheetId="9" hidden="1">Set!$FR:$FW</definedName>
    <definedName name="Z_C28AD441_DBDE_4D30_B71E_26394ADAA4BA_.wvu.FilterData" localSheetId="4" hidden="1">Abr!$FE$1:$FM$39</definedName>
    <definedName name="Z_C28AD441_DBDE_4D30_B71E_26394ADAA4BA_.wvu.FilterData" localSheetId="8" hidden="1">Ago!$FE$1:$FM$39</definedName>
    <definedName name="Z_C28AD441_DBDE_4D30_B71E_26394ADAA4BA_.wvu.FilterData" localSheetId="12" hidden="1">Dez!$FE$1:$FM$39</definedName>
    <definedName name="Z_C28AD441_DBDE_4D30_B71E_26394ADAA4BA_.wvu.FilterData" localSheetId="2" hidden="1">Fev!$FE$1:$FM$36</definedName>
    <definedName name="Z_C28AD441_DBDE_4D30_B71E_26394ADAA4BA_.wvu.FilterData" localSheetId="1" hidden="1">Jan!$FE$1:$FM$39</definedName>
    <definedName name="Z_C28AD441_DBDE_4D30_B71E_26394ADAA4BA_.wvu.FilterData" localSheetId="7" hidden="1">Jul!$FE$1:$FM$39</definedName>
    <definedName name="Z_C28AD441_DBDE_4D30_B71E_26394ADAA4BA_.wvu.FilterData" localSheetId="6" hidden="1">Jun!$FE$1:$FM$39</definedName>
    <definedName name="Z_C28AD441_DBDE_4D30_B71E_26394ADAA4BA_.wvu.FilterData" localSheetId="5" hidden="1">Mai!$FE$1:$FM$39</definedName>
    <definedName name="Z_C28AD441_DBDE_4D30_B71E_26394ADAA4BA_.wvu.FilterData" localSheetId="0" hidden="1">'MAI (2)'!$FE$1:$FM$39</definedName>
    <definedName name="Z_C28AD441_DBDE_4D30_B71E_26394ADAA4BA_.wvu.FilterData" localSheetId="3" hidden="1">Mar!$FE$1:$FM$39</definedName>
    <definedName name="Z_C28AD441_DBDE_4D30_B71E_26394ADAA4BA_.wvu.FilterData" localSheetId="11" hidden="1">Nov!$FE$1:$FM$39</definedName>
    <definedName name="Z_C28AD441_DBDE_4D30_B71E_26394ADAA4BA_.wvu.FilterData" localSheetId="10" hidden="1">Out!$FE$1:$FM$39</definedName>
    <definedName name="Z_C28AD441_DBDE_4D30_B71E_26394ADAA4BA_.wvu.FilterData" localSheetId="9" hidden="1">Set!$FE$1:$FM$39</definedName>
    <definedName name="Z_C28AD441_DBDE_4D30_B71E_26394ADAA4BA_.wvu.Rows" localSheetId="14" hidden="1">'Histórico ind.'!$28:$28</definedName>
    <definedName name="Z_C4F7A463_6FDF_4C18_9A93_B99CE6991656_.wvu.FilterData" localSheetId="4" hidden="1">Abr!$FE$1:$FM$39</definedName>
    <definedName name="Z_C4F7A463_6FDF_4C18_9A93_B99CE6991656_.wvu.FilterData" localSheetId="8" hidden="1">Ago!$FE$1:$FM$39</definedName>
    <definedName name="Z_C4F7A463_6FDF_4C18_9A93_B99CE6991656_.wvu.FilterData" localSheetId="12" hidden="1">Dez!$FE$1:$FM$39</definedName>
    <definedName name="Z_C4F7A463_6FDF_4C18_9A93_B99CE6991656_.wvu.FilterData" localSheetId="2" hidden="1">Fev!$FE$1:$FM$36</definedName>
    <definedName name="Z_C4F7A463_6FDF_4C18_9A93_B99CE6991656_.wvu.FilterData" localSheetId="1" hidden="1">Jan!$FE$1:$FM$39</definedName>
    <definedName name="Z_C4F7A463_6FDF_4C18_9A93_B99CE6991656_.wvu.FilterData" localSheetId="7" hidden="1">Jul!$FE$1:$FM$39</definedName>
    <definedName name="Z_C4F7A463_6FDF_4C18_9A93_B99CE6991656_.wvu.FilterData" localSheetId="6" hidden="1">Jun!$FE$1:$FM$39</definedName>
    <definedName name="Z_C4F7A463_6FDF_4C18_9A93_B99CE6991656_.wvu.FilterData" localSheetId="5" hidden="1">Mai!$FE$1:$FM$39</definedName>
    <definedName name="Z_C4F7A463_6FDF_4C18_9A93_B99CE6991656_.wvu.FilterData" localSheetId="0" hidden="1">'MAI (2)'!$FE$1:$FM$39</definedName>
    <definedName name="Z_C4F7A463_6FDF_4C18_9A93_B99CE6991656_.wvu.FilterData" localSheetId="3" hidden="1">Mar!$FE$1:$FM$39</definedName>
    <definedName name="Z_C4F7A463_6FDF_4C18_9A93_B99CE6991656_.wvu.FilterData" localSheetId="11" hidden="1">Nov!$FE$1:$FM$39</definedName>
    <definedName name="Z_C4F7A463_6FDF_4C18_9A93_B99CE6991656_.wvu.FilterData" localSheetId="10" hidden="1">Out!$FE$1:$FM$39</definedName>
    <definedName name="Z_C4F7A463_6FDF_4C18_9A93_B99CE6991656_.wvu.FilterData" localSheetId="9" hidden="1">Set!$FE$1:$FM$39</definedName>
    <definedName name="Z_C5773499_86D6_4F7E_BEEF_DA02DF9C23BD_.wvu.FilterData" localSheetId="4" hidden="1">Abr!$FE$1:$FM$39</definedName>
    <definedName name="Z_C5773499_86D6_4F7E_BEEF_DA02DF9C23BD_.wvu.FilterData" localSheetId="8" hidden="1">Ago!$FE$1:$FM$39</definedName>
    <definedName name="Z_C5773499_86D6_4F7E_BEEF_DA02DF9C23BD_.wvu.FilterData" localSheetId="12" hidden="1">Dez!$FE$1:$FM$39</definedName>
    <definedName name="Z_C5773499_86D6_4F7E_BEEF_DA02DF9C23BD_.wvu.FilterData" localSheetId="2" hidden="1">Fev!$FE$1:$FM$36</definedName>
    <definedName name="Z_C5773499_86D6_4F7E_BEEF_DA02DF9C23BD_.wvu.FilterData" localSheetId="1" hidden="1">Jan!$FE$1:$FM$39</definedName>
    <definedName name="Z_C5773499_86D6_4F7E_BEEF_DA02DF9C23BD_.wvu.FilterData" localSheetId="7" hidden="1">Jul!$FE$1:$FM$39</definedName>
    <definedName name="Z_C5773499_86D6_4F7E_BEEF_DA02DF9C23BD_.wvu.FilterData" localSheetId="6" hidden="1">Jun!$FE$1:$FM$39</definedName>
    <definedName name="Z_C5773499_86D6_4F7E_BEEF_DA02DF9C23BD_.wvu.FilterData" localSheetId="5" hidden="1">Mai!$FE$1:$FM$39</definedName>
    <definedName name="Z_C5773499_86D6_4F7E_BEEF_DA02DF9C23BD_.wvu.FilterData" localSheetId="0" hidden="1">'MAI (2)'!$FE$1:$FM$39</definedName>
    <definedName name="Z_C5773499_86D6_4F7E_BEEF_DA02DF9C23BD_.wvu.FilterData" localSheetId="3" hidden="1">Mar!$FE$1:$FM$39</definedName>
    <definedName name="Z_C5773499_86D6_4F7E_BEEF_DA02DF9C23BD_.wvu.FilterData" localSheetId="11" hidden="1">Nov!$FE$1:$FM$39</definedName>
    <definedName name="Z_C5773499_86D6_4F7E_BEEF_DA02DF9C23BD_.wvu.FilterData" localSheetId="10" hidden="1">Out!$FE$1:$FM$39</definedName>
    <definedName name="Z_C5773499_86D6_4F7E_BEEF_DA02DF9C23BD_.wvu.FilterData" localSheetId="9" hidden="1">Set!$FE$1:$FM$39</definedName>
    <definedName name="Z_C5FD69F7_72F9_4679_ACFA_748CCE5121A7_.wvu.Cols" localSheetId="4" hidden="1">Abr!$D:$N,Abr!$P:$P,Abr!$R:$BJ,Abr!$BO:$DN,Abr!$DU:$FC,Abr!$FE:$FM,Abr!$FR:$FW</definedName>
    <definedName name="Z_C5FD69F7_72F9_4679_ACFA_748CCE5121A7_.wvu.Cols" localSheetId="8" hidden="1">Ago!$D:$N,Ago!$P:$P,Ago!$R:$BJ,Ago!$BO:$DN,Ago!$DU:$FC,Ago!$FE:$FM,Ago!$FR:$FW</definedName>
    <definedName name="Z_C5FD69F7_72F9_4679_ACFA_748CCE5121A7_.wvu.Cols" localSheetId="12" hidden="1">Dez!$D:$N,Dez!$P:$P,Dez!$R:$BJ,Dez!$BO:$DN,Dez!$DU:$FC,Dez!$FE:$FM,Dez!$FR:$FW</definedName>
    <definedName name="Z_C5FD69F7_72F9_4679_ACFA_748CCE5121A7_.wvu.Cols" localSheetId="2" hidden="1">Fev!$D:$N,Fev!$P:$P,Fev!$R:$BJ,Fev!$BO:$DN,Fev!$DU:$FC,Fev!$FE:$FM,Fev!$FR:$FW</definedName>
    <definedName name="Z_C5FD69F7_72F9_4679_ACFA_748CCE5121A7_.wvu.Cols" localSheetId="1" hidden="1">Jan!$D:$N,Jan!$P:$P,Jan!$R:$BJ,Jan!$BO:$DN,Jan!$DU:$FC,Jan!$FE:$FM,Jan!$FR:$FW</definedName>
    <definedName name="Z_C5FD69F7_72F9_4679_ACFA_748CCE5121A7_.wvu.Cols" localSheetId="7" hidden="1">Jul!$D:$N,Jul!$P:$P,Jul!$R:$BJ,Jul!$BO:$DN,Jul!$DU:$FC,Jul!$FE:$FM,Jul!$FR:$FW</definedName>
    <definedName name="Z_C5FD69F7_72F9_4679_ACFA_748CCE5121A7_.wvu.Cols" localSheetId="6" hidden="1">Jun!$D:$N,Jun!$P:$P,Jun!$R:$BJ,Jun!$BO:$DN,Jun!$DU:$FC,Jun!$FE:$FM,Jun!$FR:$FW</definedName>
    <definedName name="Z_C5FD69F7_72F9_4679_ACFA_748CCE5121A7_.wvu.Cols" localSheetId="5" hidden="1">Mai!$D:$N,Mai!$P:$P,Mai!$R:$BJ,Mai!$BO:$DN,Mai!$DU:$FC,Mai!$FE:$FM,Mai!$FR:$FW</definedName>
    <definedName name="Z_C5FD69F7_72F9_4679_ACFA_748CCE5121A7_.wvu.Cols" localSheetId="0" hidden="1">'MAI (2)'!$D:$N,'MAI (2)'!$P:$P,'MAI (2)'!$R:$BJ,'MAI (2)'!$BO:$DN,'MAI (2)'!$DU:$FC,'MAI (2)'!$FE:$FM,'MAI (2)'!$FR:$FW</definedName>
    <definedName name="Z_C5FD69F7_72F9_4679_ACFA_748CCE5121A7_.wvu.Cols" localSheetId="3" hidden="1">Mar!$D:$N,Mar!$P:$P,Mar!$R:$BJ,Mar!$BO:$DN,Mar!$DU:$FC,Mar!$FE:$FM,Mar!$FR:$FW</definedName>
    <definedName name="Z_C5FD69F7_72F9_4679_ACFA_748CCE5121A7_.wvu.Cols" localSheetId="11" hidden="1">Nov!$D:$N,Nov!$P:$P,Nov!$R:$BJ,Nov!$BO:$DN,Nov!$DU:$FC,Nov!$FE:$FM,Nov!$FR:$FW</definedName>
    <definedName name="Z_C5FD69F7_72F9_4679_ACFA_748CCE5121A7_.wvu.Cols" localSheetId="10" hidden="1">Out!$D:$N,Out!$P:$P,Out!$R:$BJ,Out!$BO:$DN,Out!$DU:$FC,Out!$FE:$FM,Out!$FR:$FW</definedName>
    <definedName name="Z_C5FD69F7_72F9_4679_ACFA_748CCE5121A7_.wvu.Cols" localSheetId="9" hidden="1">Set!$D:$N,Set!$P:$P,Set!$R:$BJ,Set!$BO:$DN,Set!$DU:$FC,Set!$FE:$FM,Set!$FR:$FW</definedName>
    <definedName name="Z_C5FD69F7_72F9_4679_ACFA_748CCE5121A7_.wvu.FilterData" localSheetId="4" hidden="1">Abr!$FE$1:$FM$39</definedName>
    <definedName name="Z_C5FD69F7_72F9_4679_ACFA_748CCE5121A7_.wvu.FilterData" localSheetId="8" hidden="1">Ago!$FE$1:$FM$39</definedName>
    <definedName name="Z_C5FD69F7_72F9_4679_ACFA_748CCE5121A7_.wvu.FilterData" localSheetId="12" hidden="1">Dez!$FE$1:$FM$39</definedName>
    <definedName name="Z_C5FD69F7_72F9_4679_ACFA_748CCE5121A7_.wvu.FilterData" localSheetId="2" hidden="1">Fev!$FE$1:$FM$36</definedName>
    <definedName name="Z_C5FD69F7_72F9_4679_ACFA_748CCE5121A7_.wvu.FilterData" localSheetId="1" hidden="1">Jan!$FE$1:$FM$39</definedName>
    <definedName name="Z_C5FD69F7_72F9_4679_ACFA_748CCE5121A7_.wvu.FilterData" localSheetId="7" hidden="1">Jul!$FE$1:$FM$39</definedName>
    <definedName name="Z_C5FD69F7_72F9_4679_ACFA_748CCE5121A7_.wvu.FilterData" localSheetId="6" hidden="1">Jun!$FE$1:$FM$39</definedName>
    <definedName name="Z_C5FD69F7_72F9_4679_ACFA_748CCE5121A7_.wvu.FilterData" localSheetId="5" hidden="1">Mai!$FE$1:$FM$39</definedName>
    <definedName name="Z_C5FD69F7_72F9_4679_ACFA_748CCE5121A7_.wvu.FilterData" localSheetId="0" hidden="1">'MAI (2)'!$FE$1:$FM$39</definedName>
    <definedName name="Z_C5FD69F7_72F9_4679_ACFA_748CCE5121A7_.wvu.FilterData" localSheetId="3" hidden="1">Mar!$FE$1:$FM$39</definedName>
    <definedName name="Z_C5FD69F7_72F9_4679_ACFA_748CCE5121A7_.wvu.FilterData" localSheetId="11" hidden="1">Nov!$FE$1:$FM$39</definedName>
    <definedName name="Z_C5FD69F7_72F9_4679_ACFA_748CCE5121A7_.wvu.FilterData" localSheetId="10" hidden="1">Out!$FE$1:$FM$39</definedName>
    <definedName name="Z_C5FD69F7_72F9_4679_ACFA_748CCE5121A7_.wvu.FilterData" localSheetId="9" hidden="1">Set!$FE$1:$FM$39</definedName>
    <definedName name="Z_C75A7ABE_2DE5_4061_AD02_15FA9774A4DE_.wvu.FilterData" localSheetId="4" hidden="1">Abr!$FE$1:$FM$39</definedName>
    <definedName name="Z_C75A7ABE_2DE5_4061_AD02_15FA9774A4DE_.wvu.FilterData" localSheetId="8" hidden="1">Ago!$FE$1:$FM$39</definedName>
    <definedName name="Z_C75A7ABE_2DE5_4061_AD02_15FA9774A4DE_.wvu.FilterData" localSheetId="12" hidden="1">Dez!$FE$1:$FM$39</definedName>
    <definedName name="Z_C75A7ABE_2DE5_4061_AD02_15FA9774A4DE_.wvu.FilterData" localSheetId="2" hidden="1">Fev!$FE$1:$FM$36</definedName>
    <definedName name="Z_C75A7ABE_2DE5_4061_AD02_15FA9774A4DE_.wvu.FilterData" localSheetId="1" hidden="1">Jan!$FE$1:$FM$39</definedName>
    <definedName name="Z_C75A7ABE_2DE5_4061_AD02_15FA9774A4DE_.wvu.FilterData" localSheetId="7" hidden="1">Jul!$FE$1:$FM$39</definedName>
    <definedName name="Z_C75A7ABE_2DE5_4061_AD02_15FA9774A4DE_.wvu.FilterData" localSheetId="6" hidden="1">Jun!$FE$1:$FM$39</definedName>
    <definedName name="Z_C75A7ABE_2DE5_4061_AD02_15FA9774A4DE_.wvu.FilterData" localSheetId="5" hidden="1">Mai!$FE$1:$FM$39</definedName>
    <definedName name="Z_C75A7ABE_2DE5_4061_AD02_15FA9774A4DE_.wvu.FilterData" localSheetId="0" hidden="1">'MAI (2)'!$FE$1:$FM$39</definedName>
    <definedName name="Z_C75A7ABE_2DE5_4061_AD02_15FA9774A4DE_.wvu.FilterData" localSheetId="3" hidden="1">Mar!$FE$1:$FM$39</definedName>
    <definedName name="Z_C75A7ABE_2DE5_4061_AD02_15FA9774A4DE_.wvu.FilterData" localSheetId="11" hidden="1">Nov!$FE$1:$FM$39</definedName>
    <definedName name="Z_C75A7ABE_2DE5_4061_AD02_15FA9774A4DE_.wvu.FilterData" localSheetId="10" hidden="1">Out!$FE$1:$FM$39</definedName>
    <definedName name="Z_C75A7ABE_2DE5_4061_AD02_15FA9774A4DE_.wvu.FilterData" localSheetId="9" hidden="1">Set!$FE$1:$FM$39</definedName>
    <definedName name="Z_C75AA05A_E49A_4E53_A6C5_86B2460E1A3C_.wvu.FilterData" localSheetId="4" hidden="1">Abr!$FE$1:$FM$39</definedName>
    <definedName name="Z_C75AA05A_E49A_4E53_A6C5_86B2460E1A3C_.wvu.FilterData" localSheetId="8" hidden="1">Ago!$FE$1:$FM$39</definedName>
    <definedName name="Z_C75AA05A_E49A_4E53_A6C5_86B2460E1A3C_.wvu.FilterData" localSheetId="12" hidden="1">Dez!$FE$1:$FM$39</definedName>
    <definedName name="Z_C75AA05A_E49A_4E53_A6C5_86B2460E1A3C_.wvu.FilterData" localSheetId="2" hidden="1">Fev!$FE$1:$FM$36</definedName>
    <definedName name="Z_C75AA05A_E49A_4E53_A6C5_86B2460E1A3C_.wvu.FilterData" localSheetId="1" hidden="1">Jan!$FE$1:$FM$39</definedName>
    <definedName name="Z_C75AA05A_E49A_4E53_A6C5_86B2460E1A3C_.wvu.FilterData" localSheetId="7" hidden="1">Jul!$FE$1:$FM$39</definedName>
    <definedName name="Z_C75AA05A_E49A_4E53_A6C5_86B2460E1A3C_.wvu.FilterData" localSheetId="6" hidden="1">Jun!$FE$1:$FM$39</definedName>
    <definedName name="Z_C75AA05A_E49A_4E53_A6C5_86B2460E1A3C_.wvu.FilterData" localSheetId="5" hidden="1">Mai!$FE$1:$FM$39</definedName>
    <definedName name="Z_C75AA05A_E49A_4E53_A6C5_86B2460E1A3C_.wvu.FilterData" localSheetId="0" hidden="1">'MAI (2)'!$FE$1:$FM$39</definedName>
    <definedName name="Z_C75AA05A_E49A_4E53_A6C5_86B2460E1A3C_.wvu.FilterData" localSheetId="3" hidden="1">Mar!$FE$1:$FM$39</definedName>
    <definedName name="Z_C75AA05A_E49A_4E53_A6C5_86B2460E1A3C_.wvu.FilterData" localSheetId="11" hidden="1">Nov!$FE$1:$FM$39</definedName>
    <definedName name="Z_C75AA05A_E49A_4E53_A6C5_86B2460E1A3C_.wvu.FilterData" localSheetId="10" hidden="1">Out!$FE$1:$FM$39</definedName>
    <definedName name="Z_C75AA05A_E49A_4E53_A6C5_86B2460E1A3C_.wvu.FilterData" localSheetId="9" hidden="1">Set!$FE$1:$FM$39</definedName>
    <definedName name="Z_CAAAA4EE_AC24_494B_BD01_DBAF6444BECB_.wvu.Cols" localSheetId="4" hidden="1">Abr!$FR:$FW</definedName>
    <definedName name="Z_CAAAA4EE_AC24_494B_BD01_DBAF6444BECB_.wvu.Cols" localSheetId="8" hidden="1">Ago!$FR:$FV</definedName>
    <definedName name="Z_CAAAA4EE_AC24_494B_BD01_DBAF6444BECB_.wvu.Cols" localSheetId="12" hidden="1">Dez!$FR:$FV</definedName>
    <definedName name="Z_CAAAA4EE_AC24_494B_BD01_DBAF6444BECB_.wvu.Cols" localSheetId="2" hidden="1">Fev!$FP:$FP,Fev!$FR:$FW</definedName>
    <definedName name="Z_CAAAA4EE_AC24_494B_BD01_DBAF6444BECB_.wvu.Cols" localSheetId="1" hidden="1">Jan!$FR:$FW</definedName>
    <definedName name="Z_CAAAA4EE_AC24_494B_BD01_DBAF6444BECB_.wvu.Cols" localSheetId="7" hidden="1">Jul!$FR:$FW</definedName>
    <definedName name="Z_CAAAA4EE_AC24_494B_BD01_DBAF6444BECB_.wvu.Cols" localSheetId="6" hidden="1">Jun!$FR:$FW</definedName>
    <definedName name="Z_CAAAA4EE_AC24_494B_BD01_DBAF6444BECB_.wvu.Cols" localSheetId="5" hidden="1">Mai!$FR:$FW</definedName>
    <definedName name="Z_CAAAA4EE_AC24_494B_BD01_DBAF6444BECB_.wvu.Cols" localSheetId="0" hidden="1">'MAI (2)'!$FR:$FW</definedName>
    <definedName name="Z_CAAAA4EE_AC24_494B_BD01_DBAF6444BECB_.wvu.Cols" localSheetId="3" hidden="1">Mar!$FR:$FW</definedName>
    <definedName name="Z_CAAAA4EE_AC24_494B_BD01_DBAF6444BECB_.wvu.Cols" localSheetId="11" hidden="1">Nov!$FR:$FV</definedName>
    <definedName name="Z_CAAAA4EE_AC24_494B_BD01_DBAF6444BECB_.wvu.Cols" localSheetId="10" hidden="1">Out!$FR:$FV</definedName>
    <definedName name="Z_CAAAA4EE_AC24_494B_BD01_DBAF6444BECB_.wvu.Cols" localSheetId="9" hidden="1">Set!$FR:$FV</definedName>
    <definedName name="Z_CAAAA4EE_AC24_494B_BD01_DBAF6444BECB_.wvu.FilterData" localSheetId="4" hidden="1">Abr!$FE$1:$FM$39</definedName>
    <definedName name="Z_CAAAA4EE_AC24_494B_BD01_DBAF6444BECB_.wvu.FilterData" localSheetId="8" hidden="1">Ago!$FE$1:$FM$39</definedName>
    <definedName name="Z_CAAAA4EE_AC24_494B_BD01_DBAF6444BECB_.wvu.FilterData" localSheetId="12" hidden="1">Dez!$FE$1:$FM$39</definedName>
    <definedName name="Z_CAAAA4EE_AC24_494B_BD01_DBAF6444BECB_.wvu.FilterData" localSheetId="2" hidden="1">Fev!$FE$1:$FM$36</definedName>
    <definedName name="Z_CAAAA4EE_AC24_494B_BD01_DBAF6444BECB_.wvu.FilterData" localSheetId="1" hidden="1">Jan!$FE$1:$FM$39</definedName>
    <definedName name="Z_CAAAA4EE_AC24_494B_BD01_DBAF6444BECB_.wvu.FilterData" localSheetId="7" hidden="1">Jul!$FE$1:$FM$39</definedName>
    <definedName name="Z_CAAAA4EE_AC24_494B_BD01_DBAF6444BECB_.wvu.FilterData" localSheetId="6" hidden="1">Jun!$FE$1:$FM$39</definedName>
    <definedName name="Z_CAAAA4EE_AC24_494B_BD01_DBAF6444BECB_.wvu.FilterData" localSheetId="5" hidden="1">Mai!$FE$1:$FM$39</definedName>
    <definedName name="Z_CAAAA4EE_AC24_494B_BD01_DBAF6444BECB_.wvu.FilterData" localSheetId="0" hidden="1">'MAI (2)'!$FE$1:$FM$39</definedName>
    <definedName name="Z_CAAAA4EE_AC24_494B_BD01_DBAF6444BECB_.wvu.FilterData" localSheetId="3" hidden="1">Mar!$FE$1:$FM$39</definedName>
    <definedName name="Z_CAAAA4EE_AC24_494B_BD01_DBAF6444BECB_.wvu.FilterData" localSheetId="11" hidden="1">Nov!$FE$1:$FM$39</definedName>
    <definedName name="Z_CAAAA4EE_AC24_494B_BD01_DBAF6444BECB_.wvu.FilterData" localSheetId="10" hidden="1">Out!$FE$1:$FM$39</definedName>
    <definedName name="Z_CAAAA4EE_AC24_494B_BD01_DBAF6444BECB_.wvu.FilterData" localSheetId="9" hidden="1">Set!$FE$1:$FM$39</definedName>
    <definedName name="Z_CAAAA4EE_AC24_494B_BD01_DBAF6444BECB_.wvu.Rows" localSheetId="2" hidden="1">Fev!$70:$71</definedName>
    <definedName name="Z_CAAAA4EE_AC24_494B_BD01_DBAF6444BECB_.wvu.Rows" localSheetId="14" hidden="1">'Histórico ind.'!$28:$28</definedName>
    <definedName name="Z_CB2AF281_19B5_49DA_8B2B_4986149CE17B_.wvu.FilterData" localSheetId="4" hidden="1">Abr!$FE$1:$FM$39</definedName>
    <definedName name="Z_CB2AF281_19B5_49DA_8B2B_4986149CE17B_.wvu.FilterData" localSheetId="8" hidden="1">Ago!$FE$1:$FM$39</definedName>
    <definedName name="Z_CB2AF281_19B5_49DA_8B2B_4986149CE17B_.wvu.FilterData" localSheetId="12" hidden="1">Dez!$FE$1:$FM$39</definedName>
    <definedName name="Z_CB2AF281_19B5_49DA_8B2B_4986149CE17B_.wvu.FilterData" localSheetId="2" hidden="1">Fev!$FE$1:$FM$36</definedName>
    <definedName name="Z_CB2AF281_19B5_49DA_8B2B_4986149CE17B_.wvu.FilterData" localSheetId="1" hidden="1">Jan!$FE$1:$FM$39</definedName>
    <definedName name="Z_CB2AF281_19B5_49DA_8B2B_4986149CE17B_.wvu.FilterData" localSheetId="7" hidden="1">Jul!$FE$1:$FM$39</definedName>
    <definedName name="Z_CB2AF281_19B5_49DA_8B2B_4986149CE17B_.wvu.FilterData" localSheetId="6" hidden="1">Jun!$FE$1:$FM$39</definedName>
    <definedName name="Z_CB2AF281_19B5_49DA_8B2B_4986149CE17B_.wvu.FilterData" localSheetId="5" hidden="1">Mai!$FE$1:$FM$39</definedName>
    <definedName name="Z_CB2AF281_19B5_49DA_8B2B_4986149CE17B_.wvu.FilterData" localSheetId="0" hidden="1">'MAI (2)'!$FE$1:$FM$39</definedName>
    <definedName name="Z_CB2AF281_19B5_49DA_8B2B_4986149CE17B_.wvu.FilterData" localSheetId="3" hidden="1">Mar!$FE$1:$FM$39</definedName>
    <definedName name="Z_CB2AF281_19B5_49DA_8B2B_4986149CE17B_.wvu.FilterData" localSheetId="11" hidden="1">Nov!$FE$1:$FM$39</definedName>
    <definedName name="Z_CB2AF281_19B5_49DA_8B2B_4986149CE17B_.wvu.FilterData" localSheetId="10" hidden="1">Out!$FE$1:$FM$39</definedName>
    <definedName name="Z_CB2AF281_19B5_49DA_8B2B_4986149CE17B_.wvu.FilterData" localSheetId="9" hidden="1">Set!$FE$1:$FM$39</definedName>
    <definedName name="Z_CB5A86A2_7BCA_42FA_AA38_DDE6AFCBC4A9_.wvu.Cols" localSheetId="4" hidden="1">Abr!$DR:$DR</definedName>
    <definedName name="Z_CB5A86A2_7BCA_42FA_AA38_DDE6AFCBC4A9_.wvu.Cols" localSheetId="8" hidden="1">Ago!$DR:$DR</definedName>
    <definedName name="Z_CB5A86A2_7BCA_42FA_AA38_DDE6AFCBC4A9_.wvu.Cols" localSheetId="12" hidden="1">Dez!$DR:$DR</definedName>
    <definedName name="Z_CB5A86A2_7BCA_42FA_AA38_DDE6AFCBC4A9_.wvu.Cols" localSheetId="2" hidden="1">Fev!$DR:$DR</definedName>
    <definedName name="Z_CB5A86A2_7BCA_42FA_AA38_DDE6AFCBC4A9_.wvu.Cols" localSheetId="1" hidden="1">Jan!$DR:$DR</definedName>
    <definedName name="Z_CB5A86A2_7BCA_42FA_AA38_DDE6AFCBC4A9_.wvu.Cols" localSheetId="7" hidden="1">Jul!$DR:$DR</definedName>
    <definedName name="Z_CB5A86A2_7BCA_42FA_AA38_DDE6AFCBC4A9_.wvu.Cols" localSheetId="6" hidden="1">Jun!$DR:$DR</definedName>
    <definedName name="Z_CB5A86A2_7BCA_42FA_AA38_DDE6AFCBC4A9_.wvu.Cols" localSheetId="5" hidden="1">Mai!$DR:$DR</definedName>
    <definedName name="Z_CB5A86A2_7BCA_42FA_AA38_DDE6AFCBC4A9_.wvu.Cols" localSheetId="0" hidden="1">'MAI (2)'!$DR:$DR</definedName>
    <definedName name="Z_CB5A86A2_7BCA_42FA_AA38_DDE6AFCBC4A9_.wvu.Cols" localSheetId="3" hidden="1">Mar!$DR:$DR</definedName>
    <definedName name="Z_CB5A86A2_7BCA_42FA_AA38_DDE6AFCBC4A9_.wvu.Cols" localSheetId="11" hidden="1">Nov!$DR:$DR</definedName>
    <definedName name="Z_CB5A86A2_7BCA_42FA_AA38_DDE6AFCBC4A9_.wvu.Cols" localSheetId="10" hidden="1">Out!$DR:$DR</definedName>
    <definedName name="Z_CB5A86A2_7BCA_42FA_AA38_DDE6AFCBC4A9_.wvu.Cols" localSheetId="9" hidden="1">Set!$DR:$DR</definedName>
    <definedName name="Z_CB5C0262_E92B_48C0_833D_081ECF50EDA4_.wvu.FilterData" localSheetId="4" hidden="1">Abr!$FE$1:$FM$39</definedName>
    <definedName name="Z_CB5C0262_E92B_48C0_833D_081ECF50EDA4_.wvu.FilterData" localSheetId="8" hidden="1">Ago!$FE$1:$FM$39</definedName>
    <definedName name="Z_CB5C0262_E92B_48C0_833D_081ECF50EDA4_.wvu.FilterData" localSheetId="12" hidden="1">Dez!$FE$1:$FM$39</definedName>
    <definedName name="Z_CB5C0262_E92B_48C0_833D_081ECF50EDA4_.wvu.FilterData" localSheetId="2" hidden="1">Fev!$FE$1:$FM$36</definedName>
    <definedName name="Z_CB5C0262_E92B_48C0_833D_081ECF50EDA4_.wvu.FilterData" localSheetId="1" hidden="1">Jan!$FE$1:$FM$39</definedName>
    <definedName name="Z_CB5C0262_E92B_48C0_833D_081ECF50EDA4_.wvu.FilterData" localSheetId="7" hidden="1">Jul!$FE$1:$FM$39</definedName>
    <definedName name="Z_CB5C0262_E92B_48C0_833D_081ECF50EDA4_.wvu.FilterData" localSheetId="6" hidden="1">Jun!$FE$1:$FM$39</definedName>
    <definedName name="Z_CB5C0262_E92B_48C0_833D_081ECF50EDA4_.wvu.FilterData" localSheetId="5" hidden="1">Mai!$FE$1:$FM$39</definedName>
    <definedName name="Z_CB5C0262_E92B_48C0_833D_081ECF50EDA4_.wvu.FilterData" localSheetId="0" hidden="1">'MAI (2)'!$FE$1:$FM$39</definedName>
    <definedName name="Z_CB5C0262_E92B_48C0_833D_081ECF50EDA4_.wvu.FilterData" localSheetId="3" hidden="1">Mar!$FE$1:$FM$39</definedName>
    <definedName name="Z_CB5C0262_E92B_48C0_833D_081ECF50EDA4_.wvu.FilterData" localSheetId="11" hidden="1">Nov!$FE$1:$FM$39</definedName>
    <definedName name="Z_CB5C0262_E92B_48C0_833D_081ECF50EDA4_.wvu.FilterData" localSheetId="10" hidden="1">Out!$FE$1:$FM$39</definedName>
    <definedName name="Z_CB5C0262_E92B_48C0_833D_081ECF50EDA4_.wvu.FilterData" localSheetId="9" hidden="1">Set!$FE$1:$FM$39</definedName>
    <definedName name="Z_CC8FBE7B_774B_4DCE_A742_F89429484FED_.wvu.Cols" localSheetId="4" hidden="1">Abr!$DR:$DR</definedName>
    <definedName name="Z_CC8FBE7B_774B_4DCE_A742_F89429484FED_.wvu.Cols" localSheetId="8" hidden="1">Ago!$DR:$DR</definedName>
    <definedName name="Z_CC8FBE7B_774B_4DCE_A742_F89429484FED_.wvu.Cols" localSheetId="12" hidden="1">Dez!$DR:$DR</definedName>
    <definedName name="Z_CC8FBE7B_774B_4DCE_A742_F89429484FED_.wvu.Cols" localSheetId="2" hidden="1">Fev!$DR:$DR</definedName>
    <definedName name="Z_CC8FBE7B_774B_4DCE_A742_F89429484FED_.wvu.Cols" localSheetId="1" hidden="1">Jan!$DR:$DR</definedName>
    <definedName name="Z_CC8FBE7B_774B_4DCE_A742_F89429484FED_.wvu.Cols" localSheetId="7" hidden="1">Jul!$DR:$DR</definedName>
    <definedName name="Z_CC8FBE7B_774B_4DCE_A742_F89429484FED_.wvu.Cols" localSheetId="6" hidden="1">Jun!$DR:$DR</definedName>
    <definedName name="Z_CC8FBE7B_774B_4DCE_A742_F89429484FED_.wvu.Cols" localSheetId="5" hidden="1">Mai!$DR:$DR</definedName>
    <definedName name="Z_CC8FBE7B_774B_4DCE_A742_F89429484FED_.wvu.Cols" localSheetId="0" hidden="1">'MAI (2)'!$DR:$DR</definedName>
    <definedName name="Z_CC8FBE7B_774B_4DCE_A742_F89429484FED_.wvu.Cols" localSheetId="3" hidden="1">Mar!$DR:$DR</definedName>
    <definedName name="Z_CC8FBE7B_774B_4DCE_A742_F89429484FED_.wvu.Cols" localSheetId="11" hidden="1">Nov!$DR:$DR</definedName>
    <definedName name="Z_CC8FBE7B_774B_4DCE_A742_F89429484FED_.wvu.Cols" localSheetId="10" hidden="1">Out!$DR:$DR</definedName>
    <definedName name="Z_CC8FBE7B_774B_4DCE_A742_F89429484FED_.wvu.Cols" localSheetId="9" hidden="1">Set!$DR:$DR</definedName>
    <definedName name="Z_CD5A2D32_2E97_4A8B_BBD3_82F6D361A722_.wvu.FilterData" localSheetId="4" hidden="1">Abr!$FE$1:$FM$39</definedName>
    <definedName name="Z_CD5A2D32_2E97_4A8B_BBD3_82F6D361A722_.wvu.FilterData" localSheetId="8" hidden="1">Ago!$FE$1:$FM$39</definedName>
    <definedName name="Z_CD5A2D32_2E97_4A8B_BBD3_82F6D361A722_.wvu.FilterData" localSheetId="12" hidden="1">Dez!$FE$1:$FM$39</definedName>
    <definedName name="Z_CD5A2D32_2E97_4A8B_BBD3_82F6D361A722_.wvu.FilterData" localSheetId="2" hidden="1">Fev!$FE$1:$FM$36</definedName>
    <definedName name="Z_CD5A2D32_2E97_4A8B_BBD3_82F6D361A722_.wvu.FilterData" localSheetId="1" hidden="1">Jan!$FE$1:$FM$39</definedName>
    <definedName name="Z_CD5A2D32_2E97_4A8B_BBD3_82F6D361A722_.wvu.FilterData" localSheetId="7" hidden="1">Jul!$FE$1:$FM$39</definedName>
    <definedName name="Z_CD5A2D32_2E97_4A8B_BBD3_82F6D361A722_.wvu.FilterData" localSheetId="6" hidden="1">Jun!$FE$1:$FM$39</definedName>
    <definedName name="Z_CD5A2D32_2E97_4A8B_BBD3_82F6D361A722_.wvu.FilterData" localSheetId="5" hidden="1">Mai!$FE$1:$FM$39</definedName>
    <definedName name="Z_CD5A2D32_2E97_4A8B_BBD3_82F6D361A722_.wvu.FilterData" localSheetId="0" hidden="1">'MAI (2)'!$FE$1:$FM$39</definedName>
    <definedName name="Z_CD5A2D32_2E97_4A8B_BBD3_82F6D361A722_.wvu.FilterData" localSheetId="3" hidden="1">Mar!$FE$1:$FM$39</definedName>
    <definedName name="Z_CD5A2D32_2E97_4A8B_BBD3_82F6D361A722_.wvu.FilterData" localSheetId="11" hidden="1">Nov!$FE$1:$FM$39</definedName>
    <definedName name="Z_CD5A2D32_2E97_4A8B_BBD3_82F6D361A722_.wvu.FilterData" localSheetId="10" hidden="1">Out!$FE$1:$FM$39</definedName>
    <definedName name="Z_CD5A2D32_2E97_4A8B_BBD3_82F6D361A722_.wvu.FilterData" localSheetId="9" hidden="1">Set!$FE$1:$FM$39</definedName>
    <definedName name="Z_CE875678_B069_477C_BC27_FB75A93912CA_.wvu.FilterData" localSheetId="4" hidden="1">Abr!$FE$1:$FM$39</definedName>
    <definedName name="Z_CE875678_B069_477C_BC27_FB75A93912CA_.wvu.FilterData" localSheetId="8" hidden="1">Ago!$FE$1:$FM$39</definedName>
    <definedName name="Z_CE875678_B069_477C_BC27_FB75A93912CA_.wvu.FilterData" localSheetId="12" hidden="1">Dez!$FE$1:$FM$39</definedName>
    <definedName name="Z_CE875678_B069_477C_BC27_FB75A93912CA_.wvu.FilterData" localSheetId="2" hidden="1">Fev!$FE$1:$FM$36</definedName>
    <definedName name="Z_CE875678_B069_477C_BC27_FB75A93912CA_.wvu.FilterData" localSheetId="1" hidden="1">Jan!$FE$1:$FM$39</definedName>
    <definedName name="Z_CE875678_B069_477C_BC27_FB75A93912CA_.wvu.FilterData" localSheetId="7" hidden="1">Jul!$FE$1:$FM$39</definedName>
    <definedName name="Z_CE875678_B069_477C_BC27_FB75A93912CA_.wvu.FilterData" localSheetId="6" hidden="1">Jun!$FE$1:$FM$39</definedName>
    <definedName name="Z_CE875678_B069_477C_BC27_FB75A93912CA_.wvu.FilterData" localSheetId="5" hidden="1">Mai!$FE$1:$FM$39</definedName>
    <definedName name="Z_CE875678_B069_477C_BC27_FB75A93912CA_.wvu.FilterData" localSheetId="0" hidden="1">'MAI (2)'!$FE$1:$FM$39</definedName>
    <definedName name="Z_CE875678_B069_477C_BC27_FB75A93912CA_.wvu.FilterData" localSheetId="3" hidden="1">Mar!$FE$1:$FM$39</definedName>
    <definedName name="Z_CE875678_B069_477C_BC27_FB75A93912CA_.wvu.FilterData" localSheetId="11" hidden="1">Nov!$FE$1:$FM$39</definedName>
    <definedName name="Z_CE875678_B069_477C_BC27_FB75A93912CA_.wvu.FilterData" localSheetId="10" hidden="1">Out!$FE$1:$FM$39</definedName>
    <definedName name="Z_CE875678_B069_477C_BC27_FB75A93912CA_.wvu.FilterData" localSheetId="9" hidden="1">Set!$FE$1:$FM$39</definedName>
    <definedName name="Z_D10848B1_DD95_406C_B94F_352685CD435F_.wvu.FilterData" localSheetId="4" hidden="1">Abr!$FE$1:$FM$39</definedName>
    <definedName name="Z_D10848B1_DD95_406C_B94F_352685CD435F_.wvu.FilterData" localSheetId="8" hidden="1">Ago!$FE$1:$FM$39</definedName>
    <definedName name="Z_D10848B1_DD95_406C_B94F_352685CD435F_.wvu.FilterData" localSheetId="12" hidden="1">Dez!$FE$1:$FM$39</definedName>
    <definedName name="Z_D10848B1_DD95_406C_B94F_352685CD435F_.wvu.FilterData" localSheetId="2" hidden="1">Fev!$FE$1:$FM$36</definedName>
    <definedName name="Z_D10848B1_DD95_406C_B94F_352685CD435F_.wvu.FilterData" localSheetId="1" hidden="1">Jan!$FE$1:$FM$39</definedName>
    <definedName name="Z_D10848B1_DD95_406C_B94F_352685CD435F_.wvu.FilterData" localSheetId="7" hidden="1">Jul!$FE$1:$FM$39</definedName>
    <definedName name="Z_D10848B1_DD95_406C_B94F_352685CD435F_.wvu.FilterData" localSheetId="6" hidden="1">Jun!$FE$1:$FM$39</definedName>
    <definedName name="Z_D10848B1_DD95_406C_B94F_352685CD435F_.wvu.FilterData" localSheetId="5" hidden="1">Mai!$FE$1:$FM$39</definedName>
    <definedName name="Z_D10848B1_DD95_406C_B94F_352685CD435F_.wvu.FilterData" localSheetId="0" hidden="1">'MAI (2)'!$FE$1:$FM$39</definedName>
    <definedName name="Z_D10848B1_DD95_406C_B94F_352685CD435F_.wvu.FilterData" localSheetId="3" hidden="1">Mar!$FE$1:$FM$39</definedName>
    <definedName name="Z_D10848B1_DD95_406C_B94F_352685CD435F_.wvu.FilterData" localSheetId="11" hidden="1">Nov!$FE$1:$FM$39</definedName>
    <definedName name="Z_D10848B1_DD95_406C_B94F_352685CD435F_.wvu.FilterData" localSheetId="10" hidden="1">Out!$FE$1:$FM$39</definedName>
    <definedName name="Z_D10848B1_DD95_406C_B94F_352685CD435F_.wvu.FilterData" localSheetId="9" hidden="1">Set!$FE$1:$FM$39</definedName>
    <definedName name="Z_D1CD34B7_D787_4B70_9D72_CA2F254B7E03_.wvu.FilterData" localSheetId="4" hidden="1">Abr!$FE$1:$FM$39</definedName>
    <definedName name="Z_D1CD34B7_D787_4B70_9D72_CA2F254B7E03_.wvu.FilterData" localSheetId="8" hidden="1">Ago!$FE$1:$FM$39</definedName>
    <definedName name="Z_D1CD34B7_D787_4B70_9D72_CA2F254B7E03_.wvu.FilterData" localSheetId="12" hidden="1">Dez!$FE$1:$FM$39</definedName>
    <definedName name="Z_D1CD34B7_D787_4B70_9D72_CA2F254B7E03_.wvu.FilterData" localSheetId="2" hidden="1">Fev!$FE$1:$FM$36</definedName>
    <definedName name="Z_D1CD34B7_D787_4B70_9D72_CA2F254B7E03_.wvu.FilterData" localSheetId="1" hidden="1">Jan!$FE$1:$FM$39</definedName>
    <definedName name="Z_D1CD34B7_D787_4B70_9D72_CA2F254B7E03_.wvu.FilterData" localSheetId="7" hidden="1">Jul!$FE$1:$FM$39</definedName>
    <definedName name="Z_D1CD34B7_D787_4B70_9D72_CA2F254B7E03_.wvu.FilterData" localSheetId="6" hidden="1">Jun!$FE$1:$FM$39</definedName>
    <definedName name="Z_D1CD34B7_D787_4B70_9D72_CA2F254B7E03_.wvu.FilterData" localSheetId="5" hidden="1">Mai!$FE$1:$FM$39</definedName>
    <definedName name="Z_D1CD34B7_D787_4B70_9D72_CA2F254B7E03_.wvu.FilterData" localSheetId="0" hidden="1">'MAI (2)'!$FE$1:$FM$39</definedName>
    <definedName name="Z_D1CD34B7_D787_4B70_9D72_CA2F254B7E03_.wvu.FilterData" localSheetId="3" hidden="1">Mar!$FE$1:$FM$39</definedName>
    <definedName name="Z_D1CD34B7_D787_4B70_9D72_CA2F254B7E03_.wvu.FilterData" localSheetId="11" hidden="1">Nov!$FE$1:$FM$39</definedName>
    <definedName name="Z_D1CD34B7_D787_4B70_9D72_CA2F254B7E03_.wvu.FilterData" localSheetId="10" hidden="1">Out!$FE$1:$FM$39</definedName>
    <definedName name="Z_D1CD34B7_D787_4B70_9D72_CA2F254B7E03_.wvu.FilterData" localSheetId="9" hidden="1">Set!$FE$1:$FM$39</definedName>
    <definedName name="Z_D2A1204C_16EC_468C_A5DD_E2601E35A7FD_.wvu.FilterData" localSheetId="4" hidden="1">Abr!$FE$1:$FM$39</definedName>
    <definedName name="Z_D2A1204C_16EC_468C_A5DD_E2601E35A7FD_.wvu.FilterData" localSheetId="8" hidden="1">Ago!$FE$1:$FM$39</definedName>
    <definedName name="Z_D2A1204C_16EC_468C_A5DD_E2601E35A7FD_.wvu.FilterData" localSheetId="12" hidden="1">Dez!$FE$1:$FM$39</definedName>
    <definedName name="Z_D2A1204C_16EC_468C_A5DD_E2601E35A7FD_.wvu.FilterData" localSheetId="2" hidden="1">Fev!$FE$1:$FM$36</definedName>
    <definedName name="Z_D2A1204C_16EC_468C_A5DD_E2601E35A7FD_.wvu.FilterData" localSheetId="1" hidden="1">Jan!$FE$1:$FM$39</definedName>
    <definedName name="Z_D2A1204C_16EC_468C_A5DD_E2601E35A7FD_.wvu.FilterData" localSheetId="7" hidden="1">Jul!$FE$1:$FM$39</definedName>
    <definedName name="Z_D2A1204C_16EC_468C_A5DD_E2601E35A7FD_.wvu.FilterData" localSheetId="6" hidden="1">Jun!$FE$1:$FM$39</definedName>
    <definedName name="Z_D2A1204C_16EC_468C_A5DD_E2601E35A7FD_.wvu.FilterData" localSheetId="5" hidden="1">Mai!$FE$1:$FM$39</definedName>
    <definedName name="Z_D2A1204C_16EC_468C_A5DD_E2601E35A7FD_.wvu.FilterData" localSheetId="0" hidden="1">'MAI (2)'!$FE$1:$FM$39</definedName>
    <definedName name="Z_D2A1204C_16EC_468C_A5DD_E2601E35A7FD_.wvu.FilterData" localSheetId="3" hidden="1">Mar!$FE$1:$FM$39</definedName>
    <definedName name="Z_D2A1204C_16EC_468C_A5DD_E2601E35A7FD_.wvu.FilterData" localSheetId="11" hidden="1">Nov!$FE$1:$FM$39</definedName>
    <definedName name="Z_D2A1204C_16EC_468C_A5DD_E2601E35A7FD_.wvu.FilterData" localSheetId="10" hidden="1">Out!$FE$1:$FM$39</definedName>
    <definedName name="Z_D2A1204C_16EC_468C_A5DD_E2601E35A7FD_.wvu.FilterData" localSheetId="9" hidden="1">Set!$FE$1:$FM$39</definedName>
    <definedName name="Z_D2E5548A_FC57_4317_AD17_3E5C4641AC98_.wvu.FilterData" localSheetId="4" hidden="1">Abr!$FE$1:$FM$39</definedName>
    <definedName name="Z_D2E5548A_FC57_4317_AD17_3E5C4641AC98_.wvu.FilterData" localSheetId="8" hidden="1">Ago!$FE$1:$FM$39</definedName>
    <definedName name="Z_D2E5548A_FC57_4317_AD17_3E5C4641AC98_.wvu.FilterData" localSheetId="12" hidden="1">Dez!$FE$1:$FM$39</definedName>
    <definedName name="Z_D2E5548A_FC57_4317_AD17_3E5C4641AC98_.wvu.FilterData" localSheetId="2" hidden="1">Fev!$FE$1:$FM$36</definedName>
    <definedName name="Z_D2E5548A_FC57_4317_AD17_3E5C4641AC98_.wvu.FilterData" localSheetId="1" hidden="1">Jan!$FE$1:$FM$39</definedName>
    <definedName name="Z_D2E5548A_FC57_4317_AD17_3E5C4641AC98_.wvu.FilterData" localSheetId="7" hidden="1">Jul!$FE$1:$FM$39</definedName>
    <definedName name="Z_D2E5548A_FC57_4317_AD17_3E5C4641AC98_.wvu.FilterData" localSheetId="6" hidden="1">Jun!$FE$1:$FM$39</definedName>
    <definedName name="Z_D2E5548A_FC57_4317_AD17_3E5C4641AC98_.wvu.FilterData" localSheetId="5" hidden="1">Mai!$FE$1:$FM$39</definedName>
    <definedName name="Z_D2E5548A_FC57_4317_AD17_3E5C4641AC98_.wvu.FilterData" localSheetId="0" hidden="1">'MAI (2)'!$FE$1:$FM$39</definedName>
    <definedName name="Z_D2E5548A_FC57_4317_AD17_3E5C4641AC98_.wvu.FilterData" localSheetId="3" hidden="1">Mar!$FE$1:$FM$39</definedName>
    <definedName name="Z_D2E5548A_FC57_4317_AD17_3E5C4641AC98_.wvu.FilterData" localSheetId="11" hidden="1">Nov!$FE$1:$FM$39</definedName>
    <definedName name="Z_D2E5548A_FC57_4317_AD17_3E5C4641AC98_.wvu.FilterData" localSheetId="10" hidden="1">Out!$FE$1:$FM$39</definedName>
    <definedName name="Z_D2E5548A_FC57_4317_AD17_3E5C4641AC98_.wvu.FilterData" localSheetId="9" hidden="1">Set!$FE$1:$FM$39</definedName>
    <definedName name="Z_D42E53A9_60AB_45DE_85CF_1907B952DB57_.wvu.FilterData" localSheetId="4" hidden="1">Abr!$FE$1:$FM$39</definedName>
    <definedName name="Z_D42E53A9_60AB_45DE_85CF_1907B952DB57_.wvu.FilterData" localSheetId="8" hidden="1">Ago!$FE$1:$FM$39</definedName>
    <definedName name="Z_D42E53A9_60AB_45DE_85CF_1907B952DB57_.wvu.FilterData" localSheetId="12" hidden="1">Dez!$FE$1:$FM$39</definedName>
    <definedName name="Z_D42E53A9_60AB_45DE_85CF_1907B952DB57_.wvu.FilterData" localSheetId="2" hidden="1">Fev!$FE$1:$FM$36</definedName>
    <definedName name="Z_D42E53A9_60AB_45DE_85CF_1907B952DB57_.wvu.FilterData" localSheetId="1" hidden="1">Jan!$FE$1:$FM$39</definedName>
    <definedName name="Z_D42E53A9_60AB_45DE_85CF_1907B952DB57_.wvu.FilterData" localSheetId="7" hidden="1">Jul!$FE$1:$FM$39</definedName>
    <definedName name="Z_D42E53A9_60AB_45DE_85CF_1907B952DB57_.wvu.FilterData" localSheetId="6" hidden="1">Jun!$FE$1:$FM$39</definedName>
    <definedName name="Z_D42E53A9_60AB_45DE_85CF_1907B952DB57_.wvu.FilterData" localSheetId="5" hidden="1">Mai!$FE$1:$FM$39</definedName>
    <definedName name="Z_D42E53A9_60AB_45DE_85CF_1907B952DB57_.wvu.FilterData" localSheetId="0" hidden="1">'MAI (2)'!$FE$1:$FM$39</definedName>
    <definedName name="Z_D42E53A9_60AB_45DE_85CF_1907B952DB57_.wvu.FilterData" localSheetId="3" hidden="1">Mar!$FE$1:$FM$39</definedName>
    <definedName name="Z_D42E53A9_60AB_45DE_85CF_1907B952DB57_.wvu.FilterData" localSheetId="11" hidden="1">Nov!$FE$1:$FM$39</definedName>
    <definedName name="Z_D42E53A9_60AB_45DE_85CF_1907B952DB57_.wvu.FilterData" localSheetId="10" hidden="1">Out!$FE$1:$FM$39</definedName>
    <definedName name="Z_D42E53A9_60AB_45DE_85CF_1907B952DB57_.wvu.FilterData" localSheetId="9" hidden="1">Set!$FE$1:$FM$39</definedName>
    <definedName name="Z_D542ED15_D1AB_402A_A502_9869A72D48D4_.wvu.Cols" localSheetId="4" hidden="1">Abr!$DR:$DR,Abr!$FR:$FW</definedName>
    <definedName name="Z_D542ED15_D1AB_402A_A502_9869A72D48D4_.wvu.Cols" localSheetId="8" hidden="1">Ago!$DR:$DR,Ago!$FR:$FW</definedName>
    <definedName name="Z_D542ED15_D1AB_402A_A502_9869A72D48D4_.wvu.Cols" localSheetId="12" hidden="1">Dez!$DR:$DR,Dez!$FR:$FW</definedName>
    <definedName name="Z_D542ED15_D1AB_402A_A502_9869A72D48D4_.wvu.Cols" localSheetId="2" hidden="1">Fev!$DR:$DR,Fev!$FR:$FW</definedName>
    <definedName name="Z_D542ED15_D1AB_402A_A502_9869A72D48D4_.wvu.Cols" localSheetId="1" hidden="1">Jan!$DR:$DR,Jan!$FR:$FW</definedName>
    <definedName name="Z_D542ED15_D1AB_402A_A502_9869A72D48D4_.wvu.Cols" localSheetId="7" hidden="1">Jul!$DR:$DR,Jul!$FR:$FW</definedName>
    <definedName name="Z_D542ED15_D1AB_402A_A502_9869A72D48D4_.wvu.Cols" localSheetId="6" hidden="1">Jun!$DR:$DR,Jun!$FR:$FW</definedName>
    <definedName name="Z_D542ED15_D1AB_402A_A502_9869A72D48D4_.wvu.Cols" localSheetId="5" hidden="1">Mai!$DR:$DR,Mai!$FR:$FW</definedName>
    <definedName name="Z_D542ED15_D1AB_402A_A502_9869A72D48D4_.wvu.Cols" localSheetId="0" hidden="1">'MAI (2)'!$DR:$DR,'MAI (2)'!$FR:$FW</definedName>
    <definedName name="Z_D542ED15_D1AB_402A_A502_9869A72D48D4_.wvu.Cols" localSheetId="3" hidden="1">Mar!$DR:$DR,Mar!$FR:$FW</definedName>
    <definedName name="Z_D542ED15_D1AB_402A_A502_9869A72D48D4_.wvu.Cols" localSheetId="11" hidden="1">Nov!$DR:$DR,Nov!$FR:$FW</definedName>
    <definedName name="Z_D542ED15_D1AB_402A_A502_9869A72D48D4_.wvu.Cols" localSheetId="10" hidden="1">Out!$DR:$DR,Out!$FR:$FW</definedName>
    <definedName name="Z_D542ED15_D1AB_402A_A502_9869A72D48D4_.wvu.Cols" localSheetId="9" hidden="1">Set!$DR:$DR,Set!$FR:$FW</definedName>
    <definedName name="Z_D6922CF2_C226_4E00_BDFF_BFD42F19CE38_.wvu.Cols" localSheetId="4" hidden="1">Abr!$DR:$DR</definedName>
    <definedName name="Z_D6922CF2_C226_4E00_BDFF_BFD42F19CE38_.wvu.Cols" localSheetId="8" hidden="1">Ago!$DR:$DR</definedName>
    <definedName name="Z_D6922CF2_C226_4E00_BDFF_BFD42F19CE38_.wvu.Cols" localSheetId="12" hidden="1">Dez!$DR:$DR</definedName>
    <definedName name="Z_D6922CF2_C226_4E00_BDFF_BFD42F19CE38_.wvu.Cols" localSheetId="2" hidden="1">Fev!$DR:$DR</definedName>
    <definedName name="Z_D6922CF2_C226_4E00_BDFF_BFD42F19CE38_.wvu.Cols" localSheetId="1" hidden="1">Jan!$DR:$DR</definedName>
    <definedName name="Z_D6922CF2_C226_4E00_BDFF_BFD42F19CE38_.wvu.Cols" localSheetId="7" hidden="1">Jul!$DR:$DR</definedName>
    <definedName name="Z_D6922CF2_C226_4E00_BDFF_BFD42F19CE38_.wvu.Cols" localSheetId="6" hidden="1">Jun!$DR:$DR</definedName>
    <definedName name="Z_D6922CF2_C226_4E00_BDFF_BFD42F19CE38_.wvu.Cols" localSheetId="5" hidden="1">Mai!$DR:$DR</definedName>
    <definedName name="Z_D6922CF2_C226_4E00_BDFF_BFD42F19CE38_.wvu.Cols" localSheetId="0" hidden="1">'MAI (2)'!$DR:$DR</definedName>
    <definedName name="Z_D6922CF2_C226_4E00_BDFF_BFD42F19CE38_.wvu.Cols" localSheetId="3" hidden="1">Mar!$DR:$DR</definedName>
    <definedName name="Z_D6922CF2_C226_4E00_BDFF_BFD42F19CE38_.wvu.Cols" localSheetId="11" hidden="1">Nov!$DR:$DR</definedName>
    <definedName name="Z_D6922CF2_C226_4E00_BDFF_BFD42F19CE38_.wvu.Cols" localSheetId="10" hidden="1">Out!$DR:$DR</definedName>
    <definedName name="Z_D6922CF2_C226_4E00_BDFF_BFD42F19CE38_.wvu.Cols" localSheetId="9" hidden="1">Set!$DR:$DR</definedName>
    <definedName name="Z_D73A1D90_0125_41EB_B2C7_C8CF8C0676C6_.wvu.FilterData" localSheetId="4" hidden="1">Abr!$FE$1:$FM$39</definedName>
    <definedName name="Z_D73A1D90_0125_41EB_B2C7_C8CF8C0676C6_.wvu.FilterData" localSheetId="8" hidden="1">Ago!$FE$1:$FM$39</definedName>
    <definedName name="Z_D73A1D90_0125_41EB_B2C7_C8CF8C0676C6_.wvu.FilterData" localSheetId="12" hidden="1">Dez!$FE$1:$FM$39</definedName>
    <definedName name="Z_D73A1D90_0125_41EB_B2C7_C8CF8C0676C6_.wvu.FilterData" localSheetId="2" hidden="1">Fev!$FE$1:$FM$36</definedName>
    <definedName name="Z_D73A1D90_0125_41EB_B2C7_C8CF8C0676C6_.wvu.FilterData" localSheetId="1" hidden="1">Jan!$FE$1:$FM$39</definedName>
    <definedName name="Z_D73A1D90_0125_41EB_B2C7_C8CF8C0676C6_.wvu.FilterData" localSheetId="7" hidden="1">Jul!$FE$1:$FM$39</definedName>
    <definedName name="Z_D73A1D90_0125_41EB_B2C7_C8CF8C0676C6_.wvu.FilterData" localSheetId="6" hidden="1">Jun!$FE$1:$FM$39</definedName>
    <definedName name="Z_D73A1D90_0125_41EB_B2C7_C8CF8C0676C6_.wvu.FilterData" localSheetId="5" hidden="1">Mai!$FE$1:$FM$39</definedName>
    <definedName name="Z_D73A1D90_0125_41EB_B2C7_C8CF8C0676C6_.wvu.FilterData" localSheetId="0" hidden="1">'MAI (2)'!$FE$1:$FM$39</definedName>
    <definedName name="Z_D73A1D90_0125_41EB_B2C7_C8CF8C0676C6_.wvu.FilterData" localSheetId="3" hidden="1">Mar!$FE$1:$FM$39</definedName>
    <definedName name="Z_D73A1D90_0125_41EB_B2C7_C8CF8C0676C6_.wvu.FilterData" localSheetId="11" hidden="1">Nov!$FE$1:$FM$39</definedName>
    <definedName name="Z_D73A1D90_0125_41EB_B2C7_C8CF8C0676C6_.wvu.FilterData" localSheetId="10" hidden="1">Out!$FE$1:$FM$39</definedName>
    <definedName name="Z_D73A1D90_0125_41EB_B2C7_C8CF8C0676C6_.wvu.FilterData" localSheetId="9" hidden="1">Set!$FE$1:$FM$39</definedName>
    <definedName name="Z_D7B1D478_D9F5_482F_8072_4CCAE2D0D880_.wvu.Cols" localSheetId="4" hidden="1">Abr!$R:$BJ,Abr!$BO:$DE,Abr!$DR:$DR</definedName>
    <definedName name="Z_D7B1D478_D9F5_482F_8072_4CCAE2D0D880_.wvu.Cols" localSheetId="8" hidden="1">Ago!$R:$BJ,Ago!$BO:$DE,Ago!$DR:$DR</definedName>
    <definedName name="Z_D7B1D478_D9F5_482F_8072_4CCAE2D0D880_.wvu.Cols" localSheetId="12" hidden="1">Dez!$R:$BJ,Dez!$BO:$DE,Dez!$DR:$DR</definedName>
    <definedName name="Z_D7B1D478_D9F5_482F_8072_4CCAE2D0D880_.wvu.Cols" localSheetId="2" hidden="1">Fev!$R:$BJ,Fev!$BO:$DE,Fev!$DR:$DR</definedName>
    <definedName name="Z_D7B1D478_D9F5_482F_8072_4CCAE2D0D880_.wvu.Cols" localSheetId="1" hidden="1">Jan!$R:$BJ,Jan!$BO:$DE,Jan!$DR:$DR</definedName>
    <definedName name="Z_D7B1D478_D9F5_482F_8072_4CCAE2D0D880_.wvu.Cols" localSheetId="7" hidden="1">Jul!$R:$BJ,Jul!$BO:$DE,Jul!$DR:$DR</definedName>
    <definedName name="Z_D7B1D478_D9F5_482F_8072_4CCAE2D0D880_.wvu.Cols" localSheetId="6" hidden="1">Jun!$R:$BJ,Jun!$BO:$DE,Jun!$DR:$DR</definedName>
    <definedName name="Z_D7B1D478_D9F5_482F_8072_4CCAE2D0D880_.wvu.Cols" localSheetId="5" hidden="1">Mai!$R:$BJ,Mai!$BO:$DE,Mai!$DR:$DR</definedName>
    <definedName name="Z_D7B1D478_D9F5_482F_8072_4CCAE2D0D880_.wvu.Cols" localSheetId="0" hidden="1">'MAI (2)'!$R:$BJ,'MAI (2)'!$BO:$DE,'MAI (2)'!$DR:$DR</definedName>
    <definedName name="Z_D7B1D478_D9F5_482F_8072_4CCAE2D0D880_.wvu.Cols" localSheetId="3" hidden="1">Mar!$R:$BJ,Mar!$BO:$DE,Mar!$DR:$DR</definedName>
    <definedName name="Z_D7B1D478_D9F5_482F_8072_4CCAE2D0D880_.wvu.Cols" localSheetId="11" hidden="1">Nov!$R:$BJ,Nov!$BO:$DE,Nov!$DR:$DR</definedName>
    <definedName name="Z_D7B1D478_D9F5_482F_8072_4CCAE2D0D880_.wvu.Cols" localSheetId="10" hidden="1">Out!$R:$BJ,Out!$BO:$DE,Out!$DR:$DR</definedName>
    <definedName name="Z_D7B1D478_D9F5_482F_8072_4CCAE2D0D880_.wvu.Cols" localSheetId="9" hidden="1">Set!$R:$BJ,Set!$BO:$DE,Set!$DR:$DR</definedName>
    <definedName name="Z_D84DBB01_402C_48C5_BFF3_9C8AEFE4396A_.wvu.Cols" localSheetId="4" hidden="1">Abr!$FR:$FW</definedName>
    <definedName name="Z_D84DBB01_402C_48C5_BFF3_9C8AEFE4396A_.wvu.Cols" localSheetId="8" hidden="1">Ago!$FR:$FW</definedName>
    <definedName name="Z_D84DBB01_402C_48C5_BFF3_9C8AEFE4396A_.wvu.Cols" localSheetId="12" hidden="1">Dez!$FR:$FW</definedName>
    <definedName name="Z_D84DBB01_402C_48C5_BFF3_9C8AEFE4396A_.wvu.Cols" localSheetId="2" hidden="1">Fev!$FR:$FW</definedName>
    <definedName name="Z_D84DBB01_402C_48C5_BFF3_9C8AEFE4396A_.wvu.Cols" localSheetId="1" hidden="1">Jan!$FR:$FW</definedName>
    <definedName name="Z_D84DBB01_402C_48C5_BFF3_9C8AEFE4396A_.wvu.Cols" localSheetId="7" hidden="1">Jul!$FR:$FW</definedName>
    <definedName name="Z_D84DBB01_402C_48C5_BFF3_9C8AEFE4396A_.wvu.Cols" localSheetId="6" hidden="1">Jun!$FR:$FW</definedName>
    <definedName name="Z_D84DBB01_402C_48C5_BFF3_9C8AEFE4396A_.wvu.Cols" localSheetId="5" hidden="1">Mai!$FR:$FW</definedName>
    <definedName name="Z_D84DBB01_402C_48C5_BFF3_9C8AEFE4396A_.wvu.Cols" localSheetId="0" hidden="1">'MAI (2)'!$FR:$FW</definedName>
    <definedName name="Z_D84DBB01_402C_48C5_BFF3_9C8AEFE4396A_.wvu.Cols" localSheetId="3" hidden="1">Mar!$FR:$FW</definedName>
    <definedName name="Z_D84DBB01_402C_48C5_BFF3_9C8AEFE4396A_.wvu.Cols" localSheetId="11" hidden="1">Nov!$FR:$FW</definedName>
    <definedName name="Z_D84DBB01_402C_48C5_BFF3_9C8AEFE4396A_.wvu.Cols" localSheetId="10" hidden="1">Out!$FR:$FW</definedName>
    <definedName name="Z_D84DBB01_402C_48C5_BFF3_9C8AEFE4396A_.wvu.Cols" localSheetId="9" hidden="1">Set!$FR:$FW</definedName>
    <definedName name="Z_D84DBB01_402C_48C5_BFF3_9C8AEFE4396A_.wvu.FilterData" localSheetId="4" hidden="1">Abr!$FE$1:$FM$39</definedName>
    <definedName name="Z_D84DBB01_402C_48C5_BFF3_9C8AEFE4396A_.wvu.FilterData" localSheetId="8" hidden="1">Ago!$FE$1:$FM$39</definedName>
    <definedName name="Z_D84DBB01_402C_48C5_BFF3_9C8AEFE4396A_.wvu.FilterData" localSheetId="12" hidden="1">Dez!$FE$1:$FM$39</definedName>
    <definedName name="Z_D84DBB01_402C_48C5_BFF3_9C8AEFE4396A_.wvu.FilterData" localSheetId="2" hidden="1">Fev!$FE$1:$FM$36</definedName>
    <definedName name="Z_D84DBB01_402C_48C5_BFF3_9C8AEFE4396A_.wvu.FilterData" localSheetId="1" hidden="1">Jan!$FE$1:$FM$39</definedName>
    <definedName name="Z_D84DBB01_402C_48C5_BFF3_9C8AEFE4396A_.wvu.FilterData" localSheetId="7" hidden="1">Jul!$FE$1:$FM$39</definedName>
    <definedName name="Z_D84DBB01_402C_48C5_BFF3_9C8AEFE4396A_.wvu.FilterData" localSheetId="6" hidden="1">Jun!$FE$1:$FM$39</definedName>
    <definedName name="Z_D84DBB01_402C_48C5_BFF3_9C8AEFE4396A_.wvu.FilterData" localSheetId="5" hidden="1">Mai!$FE$1:$FM$39</definedName>
    <definedName name="Z_D84DBB01_402C_48C5_BFF3_9C8AEFE4396A_.wvu.FilterData" localSheetId="0" hidden="1">'MAI (2)'!$FE$1:$FM$39</definedName>
    <definedName name="Z_D84DBB01_402C_48C5_BFF3_9C8AEFE4396A_.wvu.FilterData" localSheetId="3" hidden="1">Mar!$FE$1:$FM$39</definedName>
    <definedName name="Z_D84DBB01_402C_48C5_BFF3_9C8AEFE4396A_.wvu.FilterData" localSheetId="11" hidden="1">Nov!$FE$1:$FM$39</definedName>
    <definedName name="Z_D84DBB01_402C_48C5_BFF3_9C8AEFE4396A_.wvu.FilterData" localSheetId="10" hidden="1">Out!$FE$1:$FM$39</definedName>
    <definedName name="Z_D84DBB01_402C_48C5_BFF3_9C8AEFE4396A_.wvu.FilterData" localSheetId="9" hidden="1">Set!$FE$1:$FM$39</definedName>
    <definedName name="Z_DC72C3DF_899E_4B43_8787_C40AFB4CA615_.wvu.FilterData" localSheetId="4" hidden="1">Abr!$FE$1:$FM$39</definedName>
    <definedName name="Z_DC72C3DF_899E_4B43_8787_C40AFB4CA615_.wvu.FilterData" localSheetId="8" hidden="1">Ago!$FE$1:$FM$39</definedName>
    <definedName name="Z_DC72C3DF_899E_4B43_8787_C40AFB4CA615_.wvu.FilterData" localSheetId="12" hidden="1">Dez!$FE$1:$FM$39</definedName>
    <definedName name="Z_DC72C3DF_899E_4B43_8787_C40AFB4CA615_.wvu.FilterData" localSheetId="2" hidden="1">Fev!$FE$1:$FM$36</definedName>
    <definedName name="Z_DC72C3DF_899E_4B43_8787_C40AFB4CA615_.wvu.FilterData" localSheetId="1" hidden="1">Jan!$FE$1:$FM$39</definedName>
    <definedName name="Z_DC72C3DF_899E_4B43_8787_C40AFB4CA615_.wvu.FilterData" localSheetId="7" hidden="1">Jul!$FE$1:$FM$39</definedName>
    <definedName name="Z_DC72C3DF_899E_4B43_8787_C40AFB4CA615_.wvu.FilterData" localSheetId="6" hidden="1">Jun!$FE$1:$FM$39</definedName>
    <definedName name="Z_DC72C3DF_899E_4B43_8787_C40AFB4CA615_.wvu.FilterData" localSheetId="5" hidden="1">Mai!$FE$1:$FM$39</definedName>
    <definedName name="Z_DC72C3DF_899E_4B43_8787_C40AFB4CA615_.wvu.FilterData" localSheetId="0" hidden="1">'MAI (2)'!$FE$1:$FM$39</definedName>
    <definedName name="Z_DC72C3DF_899E_4B43_8787_C40AFB4CA615_.wvu.FilterData" localSheetId="3" hidden="1">Mar!$FE$1:$FM$39</definedName>
    <definedName name="Z_DC72C3DF_899E_4B43_8787_C40AFB4CA615_.wvu.FilterData" localSheetId="11" hidden="1">Nov!$FE$1:$FM$39</definedName>
    <definedName name="Z_DC72C3DF_899E_4B43_8787_C40AFB4CA615_.wvu.FilterData" localSheetId="10" hidden="1">Out!$FE$1:$FM$39</definedName>
    <definedName name="Z_DC72C3DF_899E_4B43_8787_C40AFB4CA615_.wvu.FilterData" localSheetId="9" hidden="1">Set!$FE$1:$FM$39</definedName>
    <definedName name="Z_DE7A60DD_F2C3_4FF3_ADC7_E54D38E1858A_.wvu.FilterData" localSheetId="4" hidden="1">Abr!$FE$1:$FM$39</definedName>
    <definedName name="Z_DE7A60DD_F2C3_4FF3_ADC7_E54D38E1858A_.wvu.FilterData" localSheetId="8" hidden="1">Ago!$FE$1:$FM$39</definedName>
    <definedName name="Z_DE7A60DD_F2C3_4FF3_ADC7_E54D38E1858A_.wvu.FilterData" localSheetId="12" hidden="1">Dez!$FE$1:$FM$39</definedName>
    <definedName name="Z_DE7A60DD_F2C3_4FF3_ADC7_E54D38E1858A_.wvu.FilterData" localSheetId="2" hidden="1">Fev!$FE$1:$FM$36</definedName>
    <definedName name="Z_DE7A60DD_F2C3_4FF3_ADC7_E54D38E1858A_.wvu.FilterData" localSheetId="1" hidden="1">Jan!$FE$1:$FM$39</definedName>
    <definedName name="Z_DE7A60DD_F2C3_4FF3_ADC7_E54D38E1858A_.wvu.FilterData" localSheetId="7" hidden="1">Jul!$FE$1:$FM$39</definedName>
    <definedName name="Z_DE7A60DD_F2C3_4FF3_ADC7_E54D38E1858A_.wvu.FilterData" localSheetId="6" hidden="1">Jun!$FE$1:$FM$39</definedName>
    <definedName name="Z_DE7A60DD_F2C3_4FF3_ADC7_E54D38E1858A_.wvu.FilterData" localSheetId="5" hidden="1">Mai!$FE$1:$FM$39</definedName>
    <definedName name="Z_DE7A60DD_F2C3_4FF3_ADC7_E54D38E1858A_.wvu.FilterData" localSheetId="0" hidden="1">'MAI (2)'!$FE$1:$FM$39</definedName>
    <definedName name="Z_DE7A60DD_F2C3_4FF3_ADC7_E54D38E1858A_.wvu.FilterData" localSheetId="3" hidden="1">Mar!$FE$1:$FM$39</definedName>
    <definedName name="Z_DE7A60DD_F2C3_4FF3_ADC7_E54D38E1858A_.wvu.FilterData" localSheetId="11" hidden="1">Nov!$FE$1:$FM$39</definedName>
    <definedName name="Z_DE7A60DD_F2C3_4FF3_ADC7_E54D38E1858A_.wvu.FilterData" localSheetId="10" hidden="1">Out!$FE$1:$FM$39</definedName>
    <definedName name="Z_DE7A60DD_F2C3_4FF3_ADC7_E54D38E1858A_.wvu.FilterData" localSheetId="9" hidden="1">Set!$FE$1:$FM$39</definedName>
    <definedName name="Z_DF432632_3EEC_467B_81E7_43228B4CAAF7_.wvu.FilterData" localSheetId="4" hidden="1">Abr!$FE$1:$FM$39</definedName>
    <definedName name="Z_DF432632_3EEC_467B_81E7_43228B4CAAF7_.wvu.FilterData" localSheetId="8" hidden="1">Ago!$FE$1:$FM$39</definedName>
    <definedName name="Z_DF432632_3EEC_467B_81E7_43228B4CAAF7_.wvu.FilterData" localSheetId="12" hidden="1">Dez!$FE$1:$FM$39</definedName>
    <definedName name="Z_DF432632_3EEC_467B_81E7_43228B4CAAF7_.wvu.FilterData" localSheetId="2" hidden="1">Fev!$FE$1:$FM$36</definedName>
    <definedName name="Z_DF432632_3EEC_467B_81E7_43228B4CAAF7_.wvu.FilterData" localSheetId="1" hidden="1">Jan!$FE$1:$FM$39</definedName>
    <definedName name="Z_DF432632_3EEC_467B_81E7_43228B4CAAF7_.wvu.FilterData" localSheetId="7" hidden="1">Jul!$FE$1:$FM$39</definedName>
    <definedName name="Z_DF432632_3EEC_467B_81E7_43228B4CAAF7_.wvu.FilterData" localSheetId="6" hidden="1">Jun!$FE$1:$FM$39</definedName>
    <definedName name="Z_DF432632_3EEC_467B_81E7_43228B4CAAF7_.wvu.FilterData" localSheetId="5" hidden="1">Mai!$FE$1:$FM$39</definedName>
    <definedName name="Z_DF432632_3EEC_467B_81E7_43228B4CAAF7_.wvu.FilterData" localSheetId="0" hidden="1">'MAI (2)'!$FE$1:$FM$39</definedName>
    <definedName name="Z_DF432632_3EEC_467B_81E7_43228B4CAAF7_.wvu.FilterData" localSheetId="3" hidden="1">Mar!$FE$1:$FM$39</definedName>
    <definedName name="Z_DF432632_3EEC_467B_81E7_43228B4CAAF7_.wvu.FilterData" localSheetId="11" hidden="1">Nov!$FE$1:$FM$39</definedName>
    <definedName name="Z_DF432632_3EEC_467B_81E7_43228B4CAAF7_.wvu.FilterData" localSheetId="10" hidden="1">Out!$FE$1:$FM$39</definedName>
    <definedName name="Z_DF432632_3EEC_467B_81E7_43228B4CAAF7_.wvu.FilterData" localSheetId="9" hidden="1">Set!$FE$1:$FM$39</definedName>
    <definedName name="Z_DFF2E3B3_FB7E_4F3B_9C7E_8DB4E231AE57_.wvu.Cols" localSheetId="4" hidden="1">Abr!$FR:$FW</definedName>
    <definedName name="Z_DFF2E3B3_FB7E_4F3B_9C7E_8DB4E231AE57_.wvu.Cols" localSheetId="8" hidden="1">Ago!$FR:$FW</definedName>
    <definedName name="Z_DFF2E3B3_FB7E_4F3B_9C7E_8DB4E231AE57_.wvu.Cols" localSheetId="12" hidden="1">Dez!$FR:$FW</definedName>
    <definedName name="Z_DFF2E3B3_FB7E_4F3B_9C7E_8DB4E231AE57_.wvu.Cols" localSheetId="2" hidden="1">Fev!$FR:$FW</definedName>
    <definedName name="Z_DFF2E3B3_FB7E_4F3B_9C7E_8DB4E231AE57_.wvu.Cols" localSheetId="1" hidden="1">Jan!$FR:$FW</definedName>
    <definedName name="Z_DFF2E3B3_FB7E_4F3B_9C7E_8DB4E231AE57_.wvu.Cols" localSheetId="7" hidden="1">Jul!$FR:$FW</definedName>
    <definedName name="Z_DFF2E3B3_FB7E_4F3B_9C7E_8DB4E231AE57_.wvu.Cols" localSheetId="6" hidden="1">Jun!$FR:$FW</definedName>
    <definedName name="Z_DFF2E3B3_FB7E_4F3B_9C7E_8DB4E231AE57_.wvu.Cols" localSheetId="5" hidden="1">Mai!$FR:$FW</definedName>
    <definedName name="Z_DFF2E3B3_FB7E_4F3B_9C7E_8DB4E231AE57_.wvu.Cols" localSheetId="0" hidden="1">'MAI (2)'!$FR:$FW</definedName>
    <definedName name="Z_DFF2E3B3_FB7E_4F3B_9C7E_8DB4E231AE57_.wvu.Cols" localSheetId="3" hidden="1">Mar!$FR:$FW</definedName>
    <definedName name="Z_DFF2E3B3_FB7E_4F3B_9C7E_8DB4E231AE57_.wvu.Cols" localSheetId="11" hidden="1">Nov!$FR:$FW</definedName>
    <definedName name="Z_DFF2E3B3_FB7E_4F3B_9C7E_8DB4E231AE57_.wvu.Cols" localSheetId="10" hidden="1">Out!$FR:$FW</definedName>
    <definedName name="Z_DFF2E3B3_FB7E_4F3B_9C7E_8DB4E231AE57_.wvu.Cols" localSheetId="9" hidden="1">Set!$FR:$FW</definedName>
    <definedName name="Z_DFF2E3B3_FB7E_4F3B_9C7E_8DB4E231AE57_.wvu.FilterData" localSheetId="4" hidden="1">Abr!$FE$1:$FM$39</definedName>
    <definedName name="Z_DFF2E3B3_FB7E_4F3B_9C7E_8DB4E231AE57_.wvu.FilterData" localSheetId="8" hidden="1">Ago!$FE$1:$FM$39</definedName>
    <definedName name="Z_DFF2E3B3_FB7E_4F3B_9C7E_8DB4E231AE57_.wvu.FilterData" localSheetId="12" hidden="1">Dez!$FE$1:$FM$39</definedName>
    <definedName name="Z_DFF2E3B3_FB7E_4F3B_9C7E_8DB4E231AE57_.wvu.FilterData" localSheetId="2" hidden="1">Fev!$FE$1:$FM$36</definedName>
    <definedName name="Z_DFF2E3B3_FB7E_4F3B_9C7E_8DB4E231AE57_.wvu.FilterData" localSheetId="1" hidden="1">Jan!$FE$1:$FM$39</definedName>
    <definedName name="Z_DFF2E3B3_FB7E_4F3B_9C7E_8DB4E231AE57_.wvu.FilterData" localSheetId="7" hidden="1">Jul!$FE$1:$FM$39</definedName>
    <definedName name="Z_DFF2E3B3_FB7E_4F3B_9C7E_8DB4E231AE57_.wvu.FilterData" localSheetId="6" hidden="1">Jun!$FE$1:$FM$39</definedName>
    <definedName name="Z_DFF2E3B3_FB7E_4F3B_9C7E_8DB4E231AE57_.wvu.FilterData" localSheetId="5" hidden="1">Mai!$FE$1:$FM$39</definedName>
    <definedName name="Z_DFF2E3B3_FB7E_4F3B_9C7E_8DB4E231AE57_.wvu.FilterData" localSheetId="0" hidden="1">'MAI (2)'!$FE$1:$FM$39</definedName>
    <definedName name="Z_DFF2E3B3_FB7E_4F3B_9C7E_8DB4E231AE57_.wvu.FilterData" localSheetId="3" hidden="1">Mar!$FE$1:$FM$39</definedName>
    <definedName name="Z_DFF2E3B3_FB7E_4F3B_9C7E_8DB4E231AE57_.wvu.FilterData" localSheetId="11" hidden="1">Nov!$FE$1:$FM$39</definedName>
    <definedName name="Z_DFF2E3B3_FB7E_4F3B_9C7E_8DB4E231AE57_.wvu.FilterData" localSheetId="10" hidden="1">Out!$FE$1:$FM$39</definedName>
    <definedName name="Z_DFF2E3B3_FB7E_4F3B_9C7E_8DB4E231AE57_.wvu.FilterData" localSheetId="9" hidden="1">Set!$FE$1:$FM$39</definedName>
    <definedName name="Z_E59C5D16_1970_40A1_8DC3_7722D71B6C31_.wvu.FilterData" localSheetId="4" hidden="1">Abr!$FE$1:$FM$39</definedName>
    <definedName name="Z_E59C5D16_1970_40A1_8DC3_7722D71B6C31_.wvu.FilterData" localSheetId="8" hidden="1">Ago!$FE$1:$FM$39</definedName>
    <definedName name="Z_E59C5D16_1970_40A1_8DC3_7722D71B6C31_.wvu.FilterData" localSheetId="12" hidden="1">Dez!$FE$1:$FM$39</definedName>
    <definedName name="Z_E59C5D16_1970_40A1_8DC3_7722D71B6C31_.wvu.FilterData" localSheetId="2" hidden="1">Fev!$FE$1:$FM$36</definedName>
    <definedName name="Z_E59C5D16_1970_40A1_8DC3_7722D71B6C31_.wvu.FilterData" localSheetId="1" hidden="1">Jan!$FE$1:$FM$39</definedName>
    <definedName name="Z_E59C5D16_1970_40A1_8DC3_7722D71B6C31_.wvu.FilterData" localSheetId="7" hidden="1">Jul!$FE$1:$FM$39</definedName>
    <definedName name="Z_E59C5D16_1970_40A1_8DC3_7722D71B6C31_.wvu.FilterData" localSheetId="6" hidden="1">Jun!$FE$1:$FM$39</definedName>
    <definedName name="Z_E59C5D16_1970_40A1_8DC3_7722D71B6C31_.wvu.FilterData" localSheetId="5" hidden="1">Mai!$FE$1:$FM$39</definedName>
    <definedName name="Z_E59C5D16_1970_40A1_8DC3_7722D71B6C31_.wvu.FilterData" localSheetId="0" hidden="1">'MAI (2)'!$FE$1:$FM$39</definedName>
    <definedName name="Z_E59C5D16_1970_40A1_8DC3_7722D71B6C31_.wvu.FilterData" localSheetId="3" hidden="1">Mar!$FE$1:$FM$39</definedName>
    <definedName name="Z_E59C5D16_1970_40A1_8DC3_7722D71B6C31_.wvu.FilterData" localSheetId="11" hidden="1">Nov!$FE$1:$FM$39</definedName>
    <definedName name="Z_E59C5D16_1970_40A1_8DC3_7722D71B6C31_.wvu.FilterData" localSheetId="10" hidden="1">Out!$FE$1:$FM$39</definedName>
    <definedName name="Z_E59C5D16_1970_40A1_8DC3_7722D71B6C31_.wvu.FilterData" localSheetId="9" hidden="1">Set!$FE$1:$FM$39</definedName>
    <definedName name="Z_E67F866B_F03F_4BE0_83B6_50443E4B7BD1_.wvu.FilterData" localSheetId="4" hidden="1">Abr!$FE$1:$FM$39</definedName>
    <definedName name="Z_E67F866B_F03F_4BE0_83B6_50443E4B7BD1_.wvu.FilterData" localSheetId="8" hidden="1">Ago!$FE$1:$FM$39</definedName>
    <definedName name="Z_E67F866B_F03F_4BE0_83B6_50443E4B7BD1_.wvu.FilterData" localSheetId="12" hidden="1">Dez!$FE$1:$FM$39</definedName>
    <definedName name="Z_E67F866B_F03F_4BE0_83B6_50443E4B7BD1_.wvu.FilterData" localSheetId="2" hidden="1">Fev!$FE$1:$FM$36</definedName>
    <definedName name="Z_E67F866B_F03F_4BE0_83B6_50443E4B7BD1_.wvu.FilterData" localSheetId="1" hidden="1">Jan!$FE$1:$FM$39</definedName>
    <definedName name="Z_E67F866B_F03F_4BE0_83B6_50443E4B7BD1_.wvu.FilterData" localSheetId="7" hidden="1">Jul!$FE$1:$FM$39</definedName>
    <definedName name="Z_E67F866B_F03F_4BE0_83B6_50443E4B7BD1_.wvu.FilterData" localSheetId="6" hidden="1">Jun!$FE$1:$FM$39</definedName>
    <definedName name="Z_E67F866B_F03F_4BE0_83B6_50443E4B7BD1_.wvu.FilterData" localSheetId="5" hidden="1">Mai!$FE$1:$FM$39</definedName>
    <definedName name="Z_E67F866B_F03F_4BE0_83B6_50443E4B7BD1_.wvu.FilterData" localSheetId="0" hidden="1">'MAI (2)'!$FE$1:$FM$39</definedName>
    <definedName name="Z_E67F866B_F03F_4BE0_83B6_50443E4B7BD1_.wvu.FilterData" localSheetId="3" hidden="1">Mar!$FE$1:$FM$39</definedName>
    <definedName name="Z_E67F866B_F03F_4BE0_83B6_50443E4B7BD1_.wvu.FilterData" localSheetId="11" hidden="1">Nov!$FE$1:$FM$39</definedName>
    <definedName name="Z_E67F866B_F03F_4BE0_83B6_50443E4B7BD1_.wvu.FilterData" localSheetId="10" hidden="1">Out!$FE$1:$FM$39</definedName>
    <definedName name="Z_E67F866B_F03F_4BE0_83B6_50443E4B7BD1_.wvu.FilterData" localSheetId="9" hidden="1">Set!$FE$1:$FM$39</definedName>
    <definedName name="Z_E9BB2DD4_AA42_48CE_ABC7_6F5EEA5A3781_.wvu.Cols" localSheetId="4" hidden="1">Abr!$DR:$DR</definedName>
    <definedName name="Z_E9BB2DD4_AA42_48CE_ABC7_6F5EEA5A3781_.wvu.Cols" localSheetId="8" hidden="1">Ago!$DR:$DR</definedName>
    <definedName name="Z_E9BB2DD4_AA42_48CE_ABC7_6F5EEA5A3781_.wvu.Cols" localSheetId="12" hidden="1">Dez!$DR:$DR</definedName>
    <definedName name="Z_E9BB2DD4_AA42_48CE_ABC7_6F5EEA5A3781_.wvu.Cols" localSheetId="2" hidden="1">Fev!$DR:$DR</definedName>
    <definedName name="Z_E9BB2DD4_AA42_48CE_ABC7_6F5EEA5A3781_.wvu.Cols" localSheetId="1" hidden="1">Jan!$DR:$DR</definedName>
    <definedName name="Z_E9BB2DD4_AA42_48CE_ABC7_6F5EEA5A3781_.wvu.Cols" localSheetId="7" hidden="1">Jul!$DR:$DR</definedName>
    <definedName name="Z_E9BB2DD4_AA42_48CE_ABC7_6F5EEA5A3781_.wvu.Cols" localSheetId="6" hidden="1">Jun!$DR:$DR</definedName>
    <definedName name="Z_E9BB2DD4_AA42_48CE_ABC7_6F5EEA5A3781_.wvu.Cols" localSheetId="5" hidden="1">Mai!$DR:$DR</definedName>
    <definedName name="Z_E9BB2DD4_AA42_48CE_ABC7_6F5EEA5A3781_.wvu.Cols" localSheetId="0" hidden="1">'MAI (2)'!$DR:$DR</definedName>
    <definedName name="Z_E9BB2DD4_AA42_48CE_ABC7_6F5EEA5A3781_.wvu.Cols" localSheetId="3" hidden="1">Mar!$DR:$DR</definedName>
    <definedName name="Z_E9BB2DD4_AA42_48CE_ABC7_6F5EEA5A3781_.wvu.Cols" localSheetId="11" hidden="1">Nov!$DR:$DR</definedName>
    <definedName name="Z_E9BB2DD4_AA42_48CE_ABC7_6F5EEA5A3781_.wvu.Cols" localSheetId="10" hidden="1">Out!$DR:$DR</definedName>
    <definedName name="Z_E9BB2DD4_AA42_48CE_ABC7_6F5EEA5A3781_.wvu.Cols" localSheetId="9" hidden="1">Set!$DR:$DR</definedName>
    <definedName name="Z_EB5C1227_7634_4CCF_BFEE_D7F7C5AA9043_.wvu.FilterData" localSheetId="4" hidden="1">Abr!$FE$1:$FM$39</definedName>
    <definedName name="Z_EB5C1227_7634_4CCF_BFEE_D7F7C5AA9043_.wvu.FilterData" localSheetId="8" hidden="1">Ago!$FE$1:$FM$39</definedName>
    <definedName name="Z_EB5C1227_7634_4CCF_BFEE_D7F7C5AA9043_.wvu.FilterData" localSheetId="12" hidden="1">Dez!$FE$1:$FM$39</definedName>
    <definedName name="Z_EB5C1227_7634_4CCF_BFEE_D7F7C5AA9043_.wvu.FilterData" localSheetId="2" hidden="1">Fev!$FE$1:$FM$36</definedName>
    <definedName name="Z_EB5C1227_7634_4CCF_BFEE_D7F7C5AA9043_.wvu.FilterData" localSheetId="1" hidden="1">Jan!$FE$1:$FM$39</definedName>
    <definedName name="Z_EB5C1227_7634_4CCF_BFEE_D7F7C5AA9043_.wvu.FilterData" localSheetId="7" hidden="1">Jul!$FE$1:$FM$39</definedName>
    <definedName name="Z_EB5C1227_7634_4CCF_BFEE_D7F7C5AA9043_.wvu.FilterData" localSheetId="6" hidden="1">Jun!$FE$1:$FM$39</definedName>
    <definedName name="Z_EB5C1227_7634_4CCF_BFEE_D7F7C5AA9043_.wvu.FilterData" localSheetId="5" hidden="1">Mai!$FE$1:$FM$39</definedName>
    <definedName name="Z_EB5C1227_7634_4CCF_BFEE_D7F7C5AA9043_.wvu.FilterData" localSheetId="0" hidden="1">'MAI (2)'!$FE$1:$FM$39</definedName>
    <definedName name="Z_EB5C1227_7634_4CCF_BFEE_D7F7C5AA9043_.wvu.FilterData" localSheetId="3" hidden="1">Mar!$FE$1:$FM$39</definedName>
    <definedName name="Z_EB5C1227_7634_4CCF_BFEE_D7F7C5AA9043_.wvu.FilterData" localSheetId="11" hidden="1">Nov!$FE$1:$FM$39</definedName>
    <definedName name="Z_EB5C1227_7634_4CCF_BFEE_D7F7C5AA9043_.wvu.FilterData" localSheetId="10" hidden="1">Out!$FE$1:$FM$39</definedName>
    <definedName name="Z_EB5C1227_7634_4CCF_BFEE_D7F7C5AA9043_.wvu.FilterData" localSheetId="9" hidden="1">Set!$FE$1:$FM$39</definedName>
    <definedName name="Z_EC0020CF_4015_40B1_AEEC_9F47239BC312_.wvu.Cols" localSheetId="4" hidden="1">Abr!$DR:$DR</definedName>
    <definedName name="Z_EC0020CF_4015_40B1_AEEC_9F47239BC312_.wvu.Cols" localSheetId="8" hidden="1">Ago!$DR:$DR</definedName>
    <definedName name="Z_EC0020CF_4015_40B1_AEEC_9F47239BC312_.wvu.Cols" localSheetId="12" hidden="1">Dez!$DR:$DR</definedName>
    <definedName name="Z_EC0020CF_4015_40B1_AEEC_9F47239BC312_.wvu.Cols" localSheetId="2" hidden="1">Fev!$DR:$DR</definedName>
    <definedName name="Z_EC0020CF_4015_40B1_AEEC_9F47239BC312_.wvu.Cols" localSheetId="1" hidden="1">Jan!$DR:$DR</definedName>
    <definedName name="Z_EC0020CF_4015_40B1_AEEC_9F47239BC312_.wvu.Cols" localSheetId="7" hidden="1">Jul!$DR:$DR</definedName>
    <definedName name="Z_EC0020CF_4015_40B1_AEEC_9F47239BC312_.wvu.Cols" localSheetId="6" hidden="1">Jun!$DR:$DR</definedName>
    <definedName name="Z_EC0020CF_4015_40B1_AEEC_9F47239BC312_.wvu.Cols" localSheetId="5" hidden="1">Mai!$DR:$DR</definedName>
    <definedName name="Z_EC0020CF_4015_40B1_AEEC_9F47239BC312_.wvu.Cols" localSheetId="0" hidden="1">'MAI (2)'!$DR:$DR</definedName>
    <definedName name="Z_EC0020CF_4015_40B1_AEEC_9F47239BC312_.wvu.Cols" localSheetId="3" hidden="1">Mar!$DR:$DR</definedName>
    <definedName name="Z_EC0020CF_4015_40B1_AEEC_9F47239BC312_.wvu.Cols" localSheetId="11" hidden="1">Nov!$DR:$DR</definedName>
    <definedName name="Z_EC0020CF_4015_40B1_AEEC_9F47239BC312_.wvu.Cols" localSheetId="10" hidden="1">Out!$DR:$DR</definedName>
    <definedName name="Z_EC0020CF_4015_40B1_AEEC_9F47239BC312_.wvu.Cols" localSheetId="9" hidden="1">Set!$DR:$DR</definedName>
    <definedName name="Z_ECB1DF7E_7310_4891_8AB9_6B175127B13D_.wvu.FilterData" localSheetId="4" hidden="1">Abr!$FE$1:$FM$39</definedName>
    <definedName name="Z_ECB1DF7E_7310_4891_8AB9_6B175127B13D_.wvu.FilterData" localSheetId="8" hidden="1">Ago!$FE$1:$FM$39</definedName>
    <definedName name="Z_ECB1DF7E_7310_4891_8AB9_6B175127B13D_.wvu.FilterData" localSheetId="12" hidden="1">Dez!$FE$1:$FM$39</definedName>
    <definedName name="Z_ECB1DF7E_7310_4891_8AB9_6B175127B13D_.wvu.FilterData" localSheetId="2" hidden="1">Fev!$FE$1:$FM$36</definedName>
    <definedName name="Z_ECB1DF7E_7310_4891_8AB9_6B175127B13D_.wvu.FilterData" localSheetId="1" hidden="1">Jan!$FE$1:$FM$39</definedName>
    <definedName name="Z_ECB1DF7E_7310_4891_8AB9_6B175127B13D_.wvu.FilterData" localSheetId="7" hidden="1">Jul!$FE$1:$FM$39</definedName>
    <definedName name="Z_ECB1DF7E_7310_4891_8AB9_6B175127B13D_.wvu.FilterData" localSheetId="6" hidden="1">Jun!$FE$1:$FM$39</definedName>
    <definedName name="Z_ECB1DF7E_7310_4891_8AB9_6B175127B13D_.wvu.FilterData" localSheetId="5" hidden="1">Mai!$FE$1:$FM$39</definedName>
    <definedName name="Z_ECB1DF7E_7310_4891_8AB9_6B175127B13D_.wvu.FilterData" localSheetId="0" hidden="1">'MAI (2)'!$FE$1:$FM$39</definedName>
    <definedName name="Z_ECB1DF7E_7310_4891_8AB9_6B175127B13D_.wvu.FilterData" localSheetId="3" hidden="1">Mar!$FE$1:$FM$39</definedName>
    <definedName name="Z_ECB1DF7E_7310_4891_8AB9_6B175127B13D_.wvu.FilterData" localSheetId="11" hidden="1">Nov!$FE$1:$FM$39</definedName>
    <definedName name="Z_ECB1DF7E_7310_4891_8AB9_6B175127B13D_.wvu.FilterData" localSheetId="10" hidden="1">Out!$FE$1:$FM$39</definedName>
    <definedName name="Z_ECB1DF7E_7310_4891_8AB9_6B175127B13D_.wvu.FilterData" localSheetId="9" hidden="1">Set!$FE$1:$FM$39</definedName>
    <definedName name="Z_ED283E41_A664_481D_BC82_BE2ECC6CBA5E_.wvu.FilterData" localSheetId="4" hidden="1">Abr!$FE$1:$FM$39</definedName>
    <definedName name="Z_ED283E41_A664_481D_BC82_BE2ECC6CBA5E_.wvu.FilterData" localSheetId="8" hidden="1">Ago!$FE$1:$FM$39</definedName>
    <definedName name="Z_ED283E41_A664_481D_BC82_BE2ECC6CBA5E_.wvu.FilterData" localSheetId="12" hidden="1">Dez!$FE$1:$FM$39</definedName>
    <definedName name="Z_ED283E41_A664_481D_BC82_BE2ECC6CBA5E_.wvu.FilterData" localSheetId="2" hidden="1">Fev!$FE$1:$FM$36</definedName>
    <definedName name="Z_ED283E41_A664_481D_BC82_BE2ECC6CBA5E_.wvu.FilterData" localSheetId="1" hidden="1">Jan!$FE$1:$FM$39</definedName>
    <definedName name="Z_ED283E41_A664_481D_BC82_BE2ECC6CBA5E_.wvu.FilterData" localSheetId="7" hidden="1">Jul!$FE$1:$FM$39</definedName>
    <definedName name="Z_ED283E41_A664_481D_BC82_BE2ECC6CBA5E_.wvu.FilterData" localSheetId="6" hidden="1">Jun!$FE$1:$FM$39</definedName>
    <definedName name="Z_ED283E41_A664_481D_BC82_BE2ECC6CBA5E_.wvu.FilterData" localSheetId="5" hidden="1">Mai!$FE$1:$FM$39</definedName>
    <definedName name="Z_ED283E41_A664_481D_BC82_BE2ECC6CBA5E_.wvu.FilterData" localSheetId="0" hidden="1">'MAI (2)'!$FE$1:$FM$39</definedName>
    <definedName name="Z_ED283E41_A664_481D_BC82_BE2ECC6CBA5E_.wvu.FilterData" localSheetId="3" hidden="1">Mar!$FE$1:$FM$39</definedName>
    <definedName name="Z_ED283E41_A664_481D_BC82_BE2ECC6CBA5E_.wvu.FilterData" localSheetId="11" hidden="1">Nov!$FE$1:$FM$39</definedName>
    <definedName name="Z_ED283E41_A664_481D_BC82_BE2ECC6CBA5E_.wvu.FilterData" localSheetId="10" hidden="1">Out!$FE$1:$FM$39</definedName>
    <definedName name="Z_ED283E41_A664_481D_BC82_BE2ECC6CBA5E_.wvu.FilterData" localSheetId="9" hidden="1">Set!$FE$1:$FM$39</definedName>
    <definedName name="Z_EEC6A6AC_8FF5_4D37_B013_DD6A2FB73473_.wvu.Cols" localSheetId="4" hidden="1">Abr!$DR:$DR,Abr!#REF!,Abr!$FR:$FW</definedName>
    <definedName name="Z_EEC6A6AC_8FF5_4D37_B013_DD6A2FB73473_.wvu.Cols" localSheetId="8" hidden="1">Ago!$DR:$DR,Ago!#REF!,Ago!$FR:$FW</definedName>
    <definedName name="Z_EEC6A6AC_8FF5_4D37_B013_DD6A2FB73473_.wvu.Cols" localSheetId="12" hidden="1">Dez!$DR:$DR,Dez!#REF!,Dez!$FR:$FW</definedName>
    <definedName name="Z_EEC6A6AC_8FF5_4D37_B013_DD6A2FB73473_.wvu.Cols" localSheetId="2" hidden="1">Fev!$DR:$DR,Fev!#REF!,Fev!$FR:$FW</definedName>
    <definedName name="Z_EEC6A6AC_8FF5_4D37_B013_DD6A2FB73473_.wvu.Cols" localSheetId="1" hidden="1">Jan!$DR:$DR,Jan!#REF!,Jan!$FR:$FW</definedName>
    <definedName name="Z_EEC6A6AC_8FF5_4D37_B013_DD6A2FB73473_.wvu.Cols" localSheetId="7" hidden="1">Jul!$DR:$DR,Jul!#REF!,Jul!$FR:$FW</definedName>
    <definedName name="Z_EEC6A6AC_8FF5_4D37_B013_DD6A2FB73473_.wvu.Cols" localSheetId="6" hidden="1">Jun!$DR:$DR,Jun!#REF!,Jun!$FR:$FW</definedName>
    <definedName name="Z_EEC6A6AC_8FF5_4D37_B013_DD6A2FB73473_.wvu.Cols" localSheetId="5" hidden="1">Mai!$DR:$DR,Mai!#REF!,Mai!$FR:$FW</definedName>
    <definedName name="Z_EEC6A6AC_8FF5_4D37_B013_DD6A2FB73473_.wvu.Cols" localSheetId="0" hidden="1">'MAI (2)'!$DR:$DR,'MAI (2)'!#REF!,'MAI (2)'!$FR:$FW</definedName>
    <definedName name="Z_EEC6A6AC_8FF5_4D37_B013_DD6A2FB73473_.wvu.Cols" localSheetId="3" hidden="1">Mar!$DR:$DR,Mar!#REF!,Mar!$FR:$FW</definedName>
    <definedName name="Z_EEC6A6AC_8FF5_4D37_B013_DD6A2FB73473_.wvu.Cols" localSheetId="11" hidden="1">Nov!$DR:$DR,Nov!#REF!,Nov!$FR:$FW</definedName>
    <definedName name="Z_EEC6A6AC_8FF5_4D37_B013_DD6A2FB73473_.wvu.Cols" localSheetId="10" hidden="1">Out!$DR:$DR,Out!#REF!,Out!$FR:$FW</definedName>
    <definedName name="Z_EEC6A6AC_8FF5_4D37_B013_DD6A2FB73473_.wvu.Cols" localSheetId="9" hidden="1">Set!$DR:$DR,Set!#REF!,Set!$FR:$FW</definedName>
    <definedName name="Z_EF097E3F_A4B4_4F01_A6AA_32978A3B94B7_.wvu.FilterData" localSheetId="4" hidden="1">Abr!$FE$1:$FM$39</definedName>
    <definedName name="Z_EF097E3F_A4B4_4F01_A6AA_32978A3B94B7_.wvu.FilterData" localSheetId="8" hidden="1">Ago!$FE$1:$FM$39</definedName>
    <definedName name="Z_EF097E3F_A4B4_4F01_A6AA_32978A3B94B7_.wvu.FilterData" localSheetId="12" hidden="1">Dez!$FE$1:$FM$39</definedName>
    <definedName name="Z_EF097E3F_A4B4_4F01_A6AA_32978A3B94B7_.wvu.FilterData" localSheetId="2" hidden="1">Fev!$FE$1:$FM$36</definedName>
    <definedName name="Z_EF097E3F_A4B4_4F01_A6AA_32978A3B94B7_.wvu.FilterData" localSheetId="1" hidden="1">Jan!$FE$1:$FM$39</definedName>
    <definedName name="Z_EF097E3F_A4B4_4F01_A6AA_32978A3B94B7_.wvu.FilterData" localSheetId="7" hidden="1">Jul!$FE$1:$FM$39</definedName>
    <definedName name="Z_EF097E3F_A4B4_4F01_A6AA_32978A3B94B7_.wvu.FilterData" localSheetId="6" hidden="1">Jun!$FE$1:$FM$39</definedName>
    <definedName name="Z_EF097E3F_A4B4_4F01_A6AA_32978A3B94B7_.wvu.FilterData" localSheetId="5" hidden="1">Mai!$FE$1:$FM$39</definedName>
    <definedName name="Z_EF097E3F_A4B4_4F01_A6AA_32978A3B94B7_.wvu.FilterData" localSheetId="0" hidden="1">'MAI (2)'!$FE$1:$FM$39</definedName>
    <definedName name="Z_EF097E3F_A4B4_4F01_A6AA_32978A3B94B7_.wvu.FilterData" localSheetId="3" hidden="1">Mar!$FE$1:$FM$39</definedName>
    <definedName name="Z_EF097E3F_A4B4_4F01_A6AA_32978A3B94B7_.wvu.FilterData" localSheetId="11" hidden="1">Nov!$FE$1:$FM$39</definedName>
    <definedName name="Z_EF097E3F_A4B4_4F01_A6AA_32978A3B94B7_.wvu.FilterData" localSheetId="10" hidden="1">Out!$FE$1:$FM$39</definedName>
    <definedName name="Z_EF097E3F_A4B4_4F01_A6AA_32978A3B94B7_.wvu.FilterData" localSheetId="9" hidden="1">Set!$FE$1:$FM$39</definedName>
    <definedName name="Z_F0F2E44E_7E9C_4CA6_9E0F_F32F3D635264_.wvu.FilterData" localSheetId="4" hidden="1">Abr!$FE$1:$FM$39</definedName>
    <definedName name="Z_F0F2E44E_7E9C_4CA6_9E0F_F32F3D635264_.wvu.FilterData" localSheetId="8" hidden="1">Ago!$FE$1:$FM$39</definedName>
    <definedName name="Z_F0F2E44E_7E9C_4CA6_9E0F_F32F3D635264_.wvu.FilterData" localSheetId="12" hidden="1">Dez!$FE$1:$FM$39</definedName>
    <definedName name="Z_F0F2E44E_7E9C_4CA6_9E0F_F32F3D635264_.wvu.FilterData" localSheetId="2" hidden="1">Fev!$FE$1:$FM$36</definedName>
    <definedName name="Z_F0F2E44E_7E9C_4CA6_9E0F_F32F3D635264_.wvu.FilterData" localSheetId="1" hidden="1">Jan!$FE$1:$FM$39</definedName>
    <definedName name="Z_F0F2E44E_7E9C_4CA6_9E0F_F32F3D635264_.wvu.FilterData" localSheetId="7" hidden="1">Jul!$FE$1:$FM$39</definedName>
    <definedName name="Z_F0F2E44E_7E9C_4CA6_9E0F_F32F3D635264_.wvu.FilterData" localSheetId="6" hidden="1">Jun!$FE$1:$FM$39</definedName>
    <definedName name="Z_F0F2E44E_7E9C_4CA6_9E0F_F32F3D635264_.wvu.FilterData" localSheetId="5" hidden="1">Mai!$FE$1:$FM$39</definedName>
    <definedName name="Z_F0F2E44E_7E9C_4CA6_9E0F_F32F3D635264_.wvu.FilterData" localSheetId="0" hidden="1">'MAI (2)'!$FE$1:$FM$39</definedName>
    <definedName name="Z_F0F2E44E_7E9C_4CA6_9E0F_F32F3D635264_.wvu.FilterData" localSheetId="3" hidden="1">Mar!$FE$1:$FM$39</definedName>
    <definedName name="Z_F0F2E44E_7E9C_4CA6_9E0F_F32F3D635264_.wvu.FilterData" localSheetId="11" hidden="1">Nov!$FE$1:$FM$39</definedName>
    <definedName name="Z_F0F2E44E_7E9C_4CA6_9E0F_F32F3D635264_.wvu.FilterData" localSheetId="10" hidden="1">Out!$FE$1:$FM$39</definedName>
    <definedName name="Z_F0F2E44E_7E9C_4CA6_9E0F_F32F3D635264_.wvu.FilterData" localSheetId="9" hidden="1">Set!$FE$1:$FM$39</definedName>
    <definedName name="Z_F53DBB8E_ECA1_4A63_BFCD_B0DBF1CFEDCC_.wvu.FilterData" localSheetId="4" hidden="1">Abr!$FE$1:$FM$39</definedName>
    <definedName name="Z_F53DBB8E_ECA1_4A63_BFCD_B0DBF1CFEDCC_.wvu.FilterData" localSheetId="8" hidden="1">Ago!$FE$1:$FM$39</definedName>
    <definedName name="Z_F53DBB8E_ECA1_4A63_BFCD_B0DBF1CFEDCC_.wvu.FilterData" localSheetId="12" hidden="1">Dez!$FE$1:$FM$39</definedName>
    <definedName name="Z_F53DBB8E_ECA1_4A63_BFCD_B0DBF1CFEDCC_.wvu.FilterData" localSheetId="2" hidden="1">Fev!$FE$1:$FM$36</definedName>
    <definedName name="Z_F53DBB8E_ECA1_4A63_BFCD_B0DBF1CFEDCC_.wvu.FilterData" localSheetId="1" hidden="1">Jan!$FE$1:$FM$39</definedName>
    <definedName name="Z_F53DBB8E_ECA1_4A63_BFCD_B0DBF1CFEDCC_.wvu.FilterData" localSheetId="7" hidden="1">Jul!$FE$1:$FM$39</definedName>
    <definedName name="Z_F53DBB8E_ECA1_4A63_BFCD_B0DBF1CFEDCC_.wvu.FilterData" localSheetId="6" hidden="1">Jun!$FE$1:$FM$39</definedName>
    <definedName name="Z_F53DBB8E_ECA1_4A63_BFCD_B0DBF1CFEDCC_.wvu.FilterData" localSheetId="5" hidden="1">Mai!$FE$1:$FM$39</definedName>
    <definedName name="Z_F53DBB8E_ECA1_4A63_BFCD_B0DBF1CFEDCC_.wvu.FilterData" localSheetId="0" hidden="1">'MAI (2)'!$FE$1:$FM$39</definedName>
    <definedName name="Z_F53DBB8E_ECA1_4A63_BFCD_B0DBF1CFEDCC_.wvu.FilterData" localSheetId="3" hidden="1">Mar!$FE$1:$FM$39</definedName>
    <definedName name="Z_F53DBB8E_ECA1_4A63_BFCD_B0DBF1CFEDCC_.wvu.FilterData" localSheetId="11" hidden="1">Nov!$FE$1:$FM$39</definedName>
    <definedName name="Z_F53DBB8E_ECA1_4A63_BFCD_B0DBF1CFEDCC_.wvu.FilterData" localSheetId="10" hidden="1">Out!$FE$1:$FM$39</definedName>
    <definedName name="Z_F53DBB8E_ECA1_4A63_BFCD_B0DBF1CFEDCC_.wvu.FilterData" localSheetId="9" hidden="1">Set!$FE$1:$FM$39</definedName>
    <definedName name="Z_F5450828_575E_4840_8E8F_F84D2F761DF5_.wvu.Cols" localSheetId="4" hidden="1">Abr!$FR:$FW</definedName>
    <definedName name="Z_F5450828_575E_4840_8E8F_F84D2F761DF5_.wvu.Cols" localSheetId="8" hidden="1">Ago!$FR:$FW</definedName>
    <definedName name="Z_F5450828_575E_4840_8E8F_F84D2F761DF5_.wvu.Cols" localSheetId="12" hidden="1">Dez!$FR:$FW</definedName>
    <definedName name="Z_F5450828_575E_4840_8E8F_F84D2F761DF5_.wvu.Cols" localSheetId="2" hidden="1">Fev!$FR:$FW</definedName>
    <definedName name="Z_F5450828_575E_4840_8E8F_F84D2F761DF5_.wvu.Cols" localSheetId="1" hidden="1">Jan!$FR:$FW</definedName>
    <definedName name="Z_F5450828_575E_4840_8E8F_F84D2F761DF5_.wvu.Cols" localSheetId="7" hidden="1">Jul!$FR:$FW</definedName>
    <definedName name="Z_F5450828_575E_4840_8E8F_F84D2F761DF5_.wvu.Cols" localSheetId="6" hidden="1">Jun!$FR:$FW</definedName>
    <definedName name="Z_F5450828_575E_4840_8E8F_F84D2F761DF5_.wvu.Cols" localSheetId="5" hidden="1">Mai!$FR:$FW</definedName>
    <definedName name="Z_F5450828_575E_4840_8E8F_F84D2F761DF5_.wvu.Cols" localSheetId="0" hidden="1">'MAI (2)'!$FR:$FW</definedName>
    <definedName name="Z_F5450828_575E_4840_8E8F_F84D2F761DF5_.wvu.Cols" localSheetId="3" hidden="1">Mar!$FR:$FW</definedName>
    <definedName name="Z_F5450828_575E_4840_8E8F_F84D2F761DF5_.wvu.Cols" localSheetId="11" hidden="1">Nov!$FR:$FW</definedName>
    <definedName name="Z_F5450828_575E_4840_8E8F_F84D2F761DF5_.wvu.Cols" localSheetId="10" hidden="1">Out!$FR:$FW</definedName>
    <definedName name="Z_F5450828_575E_4840_8E8F_F84D2F761DF5_.wvu.Cols" localSheetId="9" hidden="1">Set!$FR:$FW</definedName>
    <definedName name="Z_F5450828_575E_4840_8E8F_F84D2F761DF5_.wvu.FilterData" localSheetId="4" hidden="1">Abr!$FE$1:$FM$39</definedName>
    <definedName name="Z_F5450828_575E_4840_8E8F_F84D2F761DF5_.wvu.FilterData" localSheetId="8" hidden="1">Ago!$FE$1:$FM$39</definedName>
    <definedName name="Z_F5450828_575E_4840_8E8F_F84D2F761DF5_.wvu.FilterData" localSheetId="12" hidden="1">Dez!$FE$1:$FM$39</definedName>
    <definedName name="Z_F5450828_575E_4840_8E8F_F84D2F761DF5_.wvu.FilterData" localSheetId="2" hidden="1">Fev!$FE$1:$FM$36</definedName>
    <definedName name="Z_F5450828_575E_4840_8E8F_F84D2F761DF5_.wvu.FilterData" localSheetId="1" hidden="1">Jan!$FE$1:$FM$39</definedName>
    <definedName name="Z_F5450828_575E_4840_8E8F_F84D2F761DF5_.wvu.FilterData" localSheetId="7" hidden="1">Jul!$FE$1:$FM$39</definedName>
    <definedName name="Z_F5450828_575E_4840_8E8F_F84D2F761DF5_.wvu.FilterData" localSheetId="6" hidden="1">Jun!$FE$1:$FM$39</definedName>
    <definedName name="Z_F5450828_575E_4840_8E8F_F84D2F761DF5_.wvu.FilterData" localSheetId="5" hidden="1">Mai!$FE$1:$FM$39</definedName>
    <definedName name="Z_F5450828_575E_4840_8E8F_F84D2F761DF5_.wvu.FilterData" localSheetId="0" hidden="1">'MAI (2)'!$FE$1:$FM$39</definedName>
    <definedName name="Z_F5450828_575E_4840_8E8F_F84D2F761DF5_.wvu.FilterData" localSheetId="3" hidden="1">Mar!$FE$1:$FM$39</definedName>
    <definedName name="Z_F5450828_575E_4840_8E8F_F84D2F761DF5_.wvu.FilterData" localSheetId="11" hidden="1">Nov!$FE$1:$FM$39</definedName>
    <definedName name="Z_F5450828_575E_4840_8E8F_F84D2F761DF5_.wvu.FilterData" localSheetId="10" hidden="1">Out!$FE$1:$FM$39</definedName>
    <definedName name="Z_F5450828_575E_4840_8E8F_F84D2F761DF5_.wvu.FilterData" localSheetId="9" hidden="1">Set!$FE$1:$FM$39</definedName>
    <definedName name="Z_F5450828_575E_4840_8E8F_F84D2F761DF5_.wvu.Rows" localSheetId="14" hidden="1">'Histórico ind.'!$28:$28</definedName>
    <definedName name="Z_F6DE9F02_9B4D_41A0_9E23_12D194FD98C9_.wvu.FilterData" localSheetId="4" hidden="1">Abr!$FE$1:$FM$39</definedName>
    <definedName name="Z_F6DE9F02_9B4D_41A0_9E23_12D194FD98C9_.wvu.FilterData" localSheetId="8" hidden="1">Ago!$FE$1:$FM$39</definedName>
    <definedName name="Z_F6DE9F02_9B4D_41A0_9E23_12D194FD98C9_.wvu.FilterData" localSheetId="12" hidden="1">Dez!$FE$1:$FM$39</definedName>
    <definedName name="Z_F6DE9F02_9B4D_41A0_9E23_12D194FD98C9_.wvu.FilterData" localSheetId="2" hidden="1">Fev!$FE$1:$FM$36</definedName>
    <definedName name="Z_F6DE9F02_9B4D_41A0_9E23_12D194FD98C9_.wvu.FilterData" localSheetId="1" hidden="1">Jan!$FE$1:$FM$39</definedName>
    <definedName name="Z_F6DE9F02_9B4D_41A0_9E23_12D194FD98C9_.wvu.FilterData" localSheetId="7" hidden="1">Jul!$FE$1:$FM$39</definedName>
    <definedName name="Z_F6DE9F02_9B4D_41A0_9E23_12D194FD98C9_.wvu.FilterData" localSheetId="6" hidden="1">Jun!$FE$1:$FM$39</definedName>
    <definedName name="Z_F6DE9F02_9B4D_41A0_9E23_12D194FD98C9_.wvu.FilterData" localSheetId="5" hidden="1">Mai!$FE$1:$FM$39</definedName>
    <definedName name="Z_F6DE9F02_9B4D_41A0_9E23_12D194FD98C9_.wvu.FilterData" localSheetId="0" hidden="1">'MAI (2)'!$FE$1:$FM$39</definedName>
    <definedName name="Z_F6DE9F02_9B4D_41A0_9E23_12D194FD98C9_.wvu.FilterData" localSheetId="3" hidden="1">Mar!$FE$1:$FM$39</definedName>
    <definedName name="Z_F6DE9F02_9B4D_41A0_9E23_12D194FD98C9_.wvu.FilterData" localSheetId="11" hidden="1">Nov!$FE$1:$FM$39</definedName>
    <definedName name="Z_F6DE9F02_9B4D_41A0_9E23_12D194FD98C9_.wvu.FilterData" localSheetId="10" hidden="1">Out!$FE$1:$FM$39</definedName>
    <definedName name="Z_F6DE9F02_9B4D_41A0_9E23_12D194FD98C9_.wvu.FilterData" localSheetId="9" hidden="1">Set!$FE$1:$FM$39</definedName>
    <definedName name="Z_F706237A_F676_404C_B772_E3D24315BBE9_.wvu.FilterData" localSheetId="4" hidden="1">Abr!$FE$1:$FM$39</definedName>
    <definedName name="Z_F706237A_F676_404C_B772_E3D24315BBE9_.wvu.FilterData" localSheetId="8" hidden="1">Ago!$FE$1:$FM$39</definedName>
    <definedName name="Z_F706237A_F676_404C_B772_E3D24315BBE9_.wvu.FilterData" localSheetId="12" hidden="1">Dez!$FE$1:$FM$39</definedName>
    <definedName name="Z_F706237A_F676_404C_B772_E3D24315BBE9_.wvu.FilterData" localSheetId="2" hidden="1">Fev!$FE$1:$FM$36</definedName>
    <definedName name="Z_F706237A_F676_404C_B772_E3D24315BBE9_.wvu.FilterData" localSheetId="1" hidden="1">Jan!$FE$1:$FM$39</definedName>
    <definedName name="Z_F706237A_F676_404C_B772_E3D24315BBE9_.wvu.FilterData" localSheetId="7" hidden="1">Jul!$FE$1:$FM$39</definedName>
    <definedName name="Z_F706237A_F676_404C_B772_E3D24315BBE9_.wvu.FilterData" localSheetId="6" hidden="1">Jun!$FE$1:$FM$39</definedName>
    <definedName name="Z_F706237A_F676_404C_B772_E3D24315BBE9_.wvu.FilterData" localSheetId="5" hidden="1">Mai!$FE$1:$FM$39</definedName>
    <definedName name="Z_F706237A_F676_404C_B772_E3D24315BBE9_.wvu.FilterData" localSheetId="0" hidden="1">'MAI (2)'!$FE$1:$FM$39</definedName>
    <definedName name="Z_F706237A_F676_404C_B772_E3D24315BBE9_.wvu.FilterData" localSheetId="3" hidden="1">Mar!$FE$1:$FM$39</definedName>
    <definedName name="Z_F706237A_F676_404C_B772_E3D24315BBE9_.wvu.FilterData" localSheetId="11" hidden="1">Nov!$FE$1:$FM$39</definedName>
    <definedName name="Z_F706237A_F676_404C_B772_E3D24315BBE9_.wvu.FilterData" localSheetId="10" hidden="1">Out!$FE$1:$FM$39</definedName>
    <definedName name="Z_F706237A_F676_404C_B772_E3D24315BBE9_.wvu.FilterData" localSheetId="9" hidden="1">Set!$FE$1:$FM$39</definedName>
    <definedName name="Z_F885F2B2_B525_4744_AD2A_67CC965ECE27_.wvu.Cols" localSheetId="4" hidden="1">Abr!$DR:$DR</definedName>
    <definedName name="Z_F885F2B2_B525_4744_AD2A_67CC965ECE27_.wvu.Cols" localSheetId="8" hidden="1">Ago!$DR:$DR</definedName>
    <definedName name="Z_F885F2B2_B525_4744_AD2A_67CC965ECE27_.wvu.Cols" localSheetId="12" hidden="1">Dez!$DR:$DR</definedName>
    <definedName name="Z_F885F2B2_B525_4744_AD2A_67CC965ECE27_.wvu.Cols" localSheetId="2" hidden="1">Fev!$DR:$DR</definedName>
    <definedName name="Z_F885F2B2_B525_4744_AD2A_67CC965ECE27_.wvu.Cols" localSheetId="1" hidden="1">Jan!$DR:$DR</definedName>
    <definedName name="Z_F885F2B2_B525_4744_AD2A_67CC965ECE27_.wvu.Cols" localSheetId="7" hidden="1">Jul!$DR:$DR</definedName>
    <definedName name="Z_F885F2B2_B525_4744_AD2A_67CC965ECE27_.wvu.Cols" localSheetId="6" hidden="1">Jun!$DR:$DR</definedName>
    <definedName name="Z_F885F2B2_B525_4744_AD2A_67CC965ECE27_.wvu.Cols" localSheetId="5" hidden="1">Mai!$DR:$DR</definedName>
    <definedName name="Z_F885F2B2_B525_4744_AD2A_67CC965ECE27_.wvu.Cols" localSheetId="0" hidden="1">'MAI (2)'!$DR:$DR</definedName>
    <definedName name="Z_F885F2B2_B525_4744_AD2A_67CC965ECE27_.wvu.Cols" localSheetId="3" hidden="1">Mar!$DR:$DR</definedName>
    <definedName name="Z_F885F2B2_B525_4744_AD2A_67CC965ECE27_.wvu.Cols" localSheetId="11" hidden="1">Nov!$DR:$DR</definedName>
    <definedName name="Z_F885F2B2_B525_4744_AD2A_67CC965ECE27_.wvu.Cols" localSheetId="10" hidden="1">Out!$DR:$DR</definedName>
    <definedName name="Z_F885F2B2_B525_4744_AD2A_67CC965ECE27_.wvu.Cols" localSheetId="9" hidden="1">Set!$DR:$DR</definedName>
    <definedName name="Z_F9326C8D_54D4_481F_BB56_6AD15F0A7470_.wvu.FilterData" localSheetId="4" hidden="1">Abr!$FE$1:$FM$39</definedName>
    <definedName name="Z_F9326C8D_54D4_481F_BB56_6AD15F0A7470_.wvu.FilterData" localSheetId="8" hidden="1">Ago!$FE$1:$FM$39</definedName>
    <definedName name="Z_F9326C8D_54D4_481F_BB56_6AD15F0A7470_.wvu.FilterData" localSheetId="12" hidden="1">Dez!$FE$1:$FM$39</definedName>
    <definedName name="Z_F9326C8D_54D4_481F_BB56_6AD15F0A7470_.wvu.FilterData" localSheetId="2" hidden="1">Fev!$FE$1:$FM$36</definedName>
    <definedName name="Z_F9326C8D_54D4_481F_BB56_6AD15F0A7470_.wvu.FilterData" localSheetId="1" hidden="1">Jan!$FE$1:$FM$39</definedName>
    <definedName name="Z_F9326C8D_54D4_481F_BB56_6AD15F0A7470_.wvu.FilterData" localSheetId="7" hidden="1">Jul!$FE$1:$FM$39</definedName>
    <definedName name="Z_F9326C8D_54D4_481F_BB56_6AD15F0A7470_.wvu.FilterData" localSheetId="6" hidden="1">Jun!$FE$1:$FM$39</definedName>
    <definedName name="Z_F9326C8D_54D4_481F_BB56_6AD15F0A7470_.wvu.FilterData" localSheetId="5" hidden="1">Mai!$FE$1:$FM$39</definedName>
    <definedName name="Z_F9326C8D_54D4_481F_BB56_6AD15F0A7470_.wvu.FilterData" localSheetId="0" hidden="1">'MAI (2)'!$FE$1:$FM$39</definedName>
    <definedName name="Z_F9326C8D_54D4_481F_BB56_6AD15F0A7470_.wvu.FilterData" localSheetId="3" hidden="1">Mar!$FE$1:$FM$39</definedName>
    <definedName name="Z_F9326C8D_54D4_481F_BB56_6AD15F0A7470_.wvu.FilterData" localSheetId="11" hidden="1">Nov!$FE$1:$FM$39</definedName>
    <definedName name="Z_F9326C8D_54D4_481F_BB56_6AD15F0A7470_.wvu.FilterData" localSheetId="10" hidden="1">Out!$FE$1:$FM$39</definedName>
    <definedName name="Z_F9326C8D_54D4_481F_BB56_6AD15F0A7470_.wvu.FilterData" localSheetId="9" hidden="1">Set!$FE$1:$FM$39</definedName>
    <definedName name="Z_F9965FD1_E152_4A9A_B0B6_CA18C4395C04_.wvu.FilterData" localSheetId="4" hidden="1">Abr!$FE$1:$FM$39</definedName>
    <definedName name="Z_F9965FD1_E152_4A9A_B0B6_CA18C4395C04_.wvu.FilterData" localSheetId="8" hidden="1">Ago!$FE$1:$FM$39</definedName>
    <definedName name="Z_F9965FD1_E152_4A9A_B0B6_CA18C4395C04_.wvu.FilterData" localSheetId="12" hidden="1">Dez!$FE$1:$FM$39</definedName>
    <definedName name="Z_F9965FD1_E152_4A9A_B0B6_CA18C4395C04_.wvu.FilterData" localSheetId="2" hidden="1">Fev!$FE$1:$FM$36</definedName>
    <definedName name="Z_F9965FD1_E152_4A9A_B0B6_CA18C4395C04_.wvu.FilterData" localSheetId="1" hidden="1">Jan!$FE$1:$FM$39</definedName>
    <definedName name="Z_F9965FD1_E152_4A9A_B0B6_CA18C4395C04_.wvu.FilterData" localSheetId="7" hidden="1">Jul!$FE$1:$FM$39</definedName>
    <definedName name="Z_F9965FD1_E152_4A9A_B0B6_CA18C4395C04_.wvu.FilterData" localSheetId="6" hidden="1">Jun!$FE$1:$FM$39</definedName>
    <definedName name="Z_F9965FD1_E152_4A9A_B0B6_CA18C4395C04_.wvu.FilterData" localSheetId="5" hidden="1">Mai!$FE$1:$FM$39</definedName>
    <definedName name="Z_F9965FD1_E152_4A9A_B0B6_CA18C4395C04_.wvu.FilterData" localSheetId="0" hidden="1">'MAI (2)'!$FE$1:$FM$39</definedName>
    <definedName name="Z_F9965FD1_E152_4A9A_B0B6_CA18C4395C04_.wvu.FilterData" localSheetId="3" hidden="1">Mar!$FE$1:$FM$39</definedName>
    <definedName name="Z_F9965FD1_E152_4A9A_B0B6_CA18C4395C04_.wvu.FilterData" localSheetId="11" hidden="1">Nov!$FE$1:$FM$39</definedName>
    <definedName name="Z_F9965FD1_E152_4A9A_B0B6_CA18C4395C04_.wvu.FilterData" localSheetId="10" hidden="1">Out!$FE$1:$FM$39</definedName>
    <definedName name="Z_F9965FD1_E152_4A9A_B0B6_CA18C4395C04_.wvu.FilterData" localSheetId="9" hidden="1">Set!$FE$1:$FM$39</definedName>
    <definedName name="Z_FB7A7FA8_2009_455C_92F1_0C517F599FCB_.wvu.Cols" localSheetId="4" hidden="1">Abr!$FR:$FW</definedName>
    <definedName name="Z_FB7A7FA8_2009_455C_92F1_0C517F599FCB_.wvu.Cols" localSheetId="8" hidden="1">Ago!$FR:$FW</definedName>
    <definedName name="Z_FB7A7FA8_2009_455C_92F1_0C517F599FCB_.wvu.Cols" localSheetId="12" hidden="1">Dez!$FR:$FW</definedName>
    <definedName name="Z_FB7A7FA8_2009_455C_92F1_0C517F599FCB_.wvu.Cols" localSheetId="2" hidden="1">Fev!$FR:$FW</definedName>
    <definedName name="Z_FB7A7FA8_2009_455C_92F1_0C517F599FCB_.wvu.Cols" localSheetId="1" hidden="1">Jan!$FR:$FW</definedName>
    <definedName name="Z_FB7A7FA8_2009_455C_92F1_0C517F599FCB_.wvu.Cols" localSheetId="7" hidden="1">Jul!$FR:$FW</definedName>
    <definedName name="Z_FB7A7FA8_2009_455C_92F1_0C517F599FCB_.wvu.Cols" localSheetId="6" hidden="1">Jun!$FR:$FW</definedName>
    <definedName name="Z_FB7A7FA8_2009_455C_92F1_0C517F599FCB_.wvu.Cols" localSheetId="5" hidden="1">Mai!$FR:$FW</definedName>
    <definedName name="Z_FB7A7FA8_2009_455C_92F1_0C517F599FCB_.wvu.Cols" localSheetId="0" hidden="1">'MAI (2)'!$FR:$FW</definedName>
    <definedName name="Z_FB7A7FA8_2009_455C_92F1_0C517F599FCB_.wvu.Cols" localSheetId="3" hidden="1">Mar!$FR:$FW</definedName>
    <definedName name="Z_FB7A7FA8_2009_455C_92F1_0C517F599FCB_.wvu.Cols" localSheetId="11" hidden="1">Nov!$FR:$FW</definedName>
    <definedName name="Z_FB7A7FA8_2009_455C_92F1_0C517F599FCB_.wvu.Cols" localSheetId="10" hidden="1">Out!$FR:$FW</definedName>
    <definedName name="Z_FB7A7FA8_2009_455C_92F1_0C517F599FCB_.wvu.Cols" localSheetId="9" hidden="1">Set!$FR:$FW</definedName>
    <definedName name="Z_FB7A7FA8_2009_455C_92F1_0C517F599FCB_.wvu.FilterData" localSheetId="4" hidden="1">Abr!$FE$1:$FM$39</definedName>
    <definedName name="Z_FB7A7FA8_2009_455C_92F1_0C517F599FCB_.wvu.FilterData" localSheetId="8" hidden="1">Ago!$FE$1:$FM$39</definedName>
    <definedName name="Z_FB7A7FA8_2009_455C_92F1_0C517F599FCB_.wvu.FilterData" localSheetId="12" hidden="1">Dez!$FE$1:$FM$39</definedName>
    <definedName name="Z_FB7A7FA8_2009_455C_92F1_0C517F599FCB_.wvu.FilterData" localSheetId="2" hidden="1">Fev!$FE$1:$FM$36</definedName>
    <definedName name="Z_FB7A7FA8_2009_455C_92F1_0C517F599FCB_.wvu.FilterData" localSheetId="1" hidden="1">Jan!$FE$1:$FM$39</definedName>
    <definedName name="Z_FB7A7FA8_2009_455C_92F1_0C517F599FCB_.wvu.FilterData" localSheetId="7" hidden="1">Jul!$FE$1:$FM$39</definedName>
    <definedName name="Z_FB7A7FA8_2009_455C_92F1_0C517F599FCB_.wvu.FilterData" localSheetId="6" hidden="1">Jun!$FE$1:$FM$39</definedName>
    <definedName name="Z_FB7A7FA8_2009_455C_92F1_0C517F599FCB_.wvu.FilterData" localSheetId="5" hidden="1">Mai!$FE$1:$FM$39</definedName>
    <definedName name="Z_FB7A7FA8_2009_455C_92F1_0C517F599FCB_.wvu.FilterData" localSheetId="0" hidden="1">'MAI (2)'!$FE$1:$FM$39</definedName>
    <definedName name="Z_FB7A7FA8_2009_455C_92F1_0C517F599FCB_.wvu.FilterData" localSheetId="3" hidden="1">Mar!$FE$1:$FM$39</definedName>
    <definedName name="Z_FB7A7FA8_2009_455C_92F1_0C517F599FCB_.wvu.FilterData" localSheetId="11" hidden="1">Nov!$FE$1:$FM$39</definedName>
    <definedName name="Z_FB7A7FA8_2009_455C_92F1_0C517F599FCB_.wvu.FilterData" localSheetId="10" hidden="1">Out!$FE$1:$FM$39</definedName>
    <definedName name="Z_FB7A7FA8_2009_455C_92F1_0C517F599FCB_.wvu.FilterData" localSheetId="9" hidden="1">Set!$FE$1:$FM$39</definedName>
    <definedName name="Z_FB7A7FA8_2009_455C_92F1_0C517F599FCB_.wvu.Rows" localSheetId="14" hidden="1">'Histórico ind.'!$28:$28</definedName>
    <definedName name="Z_FCECC023_61C4_49EF_8B94_943DDE2761C3_.wvu.Cols" localSheetId="4" hidden="1">Abr!$DR:$DR</definedName>
    <definedName name="Z_FCECC023_61C4_49EF_8B94_943DDE2761C3_.wvu.Cols" localSheetId="8" hidden="1">Ago!$DR:$DR</definedName>
    <definedName name="Z_FCECC023_61C4_49EF_8B94_943DDE2761C3_.wvu.Cols" localSheetId="12" hidden="1">Dez!$DR:$DR</definedName>
    <definedName name="Z_FCECC023_61C4_49EF_8B94_943DDE2761C3_.wvu.Cols" localSheetId="2" hidden="1">Fev!$DR:$DR</definedName>
    <definedName name="Z_FCECC023_61C4_49EF_8B94_943DDE2761C3_.wvu.Cols" localSheetId="1" hidden="1">Jan!$DR:$DR</definedName>
    <definedName name="Z_FCECC023_61C4_49EF_8B94_943DDE2761C3_.wvu.Cols" localSheetId="7" hidden="1">Jul!$DR:$DR</definedName>
    <definedName name="Z_FCECC023_61C4_49EF_8B94_943DDE2761C3_.wvu.Cols" localSheetId="6" hidden="1">Jun!$DR:$DR</definedName>
    <definedName name="Z_FCECC023_61C4_49EF_8B94_943DDE2761C3_.wvu.Cols" localSheetId="5" hidden="1">Mai!$DR:$DR</definedName>
    <definedName name="Z_FCECC023_61C4_49EF_8B94_943DDE2761C3_.wvu.Cols" localSheetId="0" hidden="1">'MAI (2)'!$DR:$DR</definedName>
    <definedName name="Z_FCECC023_61C4_49EF_8B94_943DDE2761C3_.wvu.Cols" localSheetId="3" hidden="1">Mar!$DR:$DR</definedName>
    <definedName name="Z_FCECC023_61C4_49EF_8B94_943DDE2761C3_.wvu.Cols" localSheetId="11" hidden="1">Nov!$DR:$DR</definedName>
    <definedName name="Z_FCECC023_61C4_49EF_8B94_943DDE2761C3_.wvu.Cols" localSheetId="10" hidden="1">Out!$DR:$DR</definedName>
    <definedName name="Z_FCECC023_61C4_49EF_8B94_943DDE2761C3_.wvu.Cols" localSheetId="9" hidden="1">Set!$DR:$DR</definedName>
  </definedNames>
  <calcPr calcId="181029"/>
  <customWorkbookViews>
    <customWorkbookView name="99741037 - Modo de exibição pessoal" guid="{CAAAA4EE-AC24-494B-BD01-DBAF6444BECB}" mergeInterval="0" personalView="1" maximized="1" xWindow="1" yWindow="1" windowWidth="1020" windowHeight="496" activeSheetId="23"/>
    <customWorkbookView name="99800463 - Modo de exibição pessoal" guid="{34EDC84D-4B3C-44BF-BB1A-7A0DFA8F65E7}" mergeInterval="0" personalView="1" maximized="1" xWindow="1" yWindow="1" windowWidth="1020" windowHeight="496" activeSheetId="27"/>
  </customWorkbookViews>
</workbook>
</file>

<file path=xl/calcChain.xml><?xml version="1.0" encoding="utf-8"?>
<calcChain xmlns="http://schemas.openxmlformats.org/spreadsheetml/2006/main">
  <c r="DV36" i="40" l="1"/>
  <c r="DV35" i="40"/>
  <c r="EN36" i="40"/>
  <c r="EL36" i="40"/>
  <c r="EL35" i="40"/>
  <c r="DX35" i="40"/>
  <c r="DX36" i="40" s="1"/>
  <c r="DU36" i="40"/>
  <c r="FD36" i="40" l="1"/>
  <c r="BL36" i="40" s="1"/>
  <c r="FD32" i="40"/>
  <c r="BL32" i="40" s="1"/>
  <c r="FD34" i="36"/>
  <c r="FD35" i="36"/>
  <c r="BL35" i="36" s="1"/>
  <c r="H42" i="40" l="1"/>
  <c r="J42" i="40"/>
  <c r="I42" i="40"/>
  <c r="G42" i="40"/>
  <c r="F42" i="40"/>
  <c r="E42" i="40"/>
  <c r="D42" i="40"/>
  <c r="FM4" i="2"/>
  <c r="FL4" i="2"/>
  <c r="FK4" i="2"/>
  <c r="FJ4" i="2"/>
  <c r="FI4" i="2"/>
  <c r="FH4" i="2"/>
  <c r="FG4" i="2"/>
  <c r="FF4" i="2"/>
  <c r="FE4" i="2"/>
  <c r="D37" i="40" l="1"/>
  <c r="D40" i="40" s="1"/>
  <c r="M34" i="40"/>
  <c r="FM4" i="40"/>
  <c r="FL4" i="40"/>
  <c r="FK4" i="40"/>
  <c r="FJ4" i="40"/>
  <c r="FI4" i="40"/>
  <c r="FH4" i="40"/>
  <c r="FF4" i="40"/>
  <c r="FE4" i="40"/>
  <c r="FG4" i="40"/>
  <c r="FF5" i="40"/>
  <c r="FG5" i="40"/>
  <c r="FH5" i="40"/>
  <c r="FI5" i="40"/>
  <c r="FJ5" i="40"/>
  <c r="FK5" i="40"/>
  <c r="FL5" i="40"/>
  <c r="FM5" i="40"/>
  <c r="FE5" i="40"/>
  <c r="O27" i="40"/>
  <c r="N27" i="40"/>
  <c r="M27" i="40"/>
  <c r="M33" i="40"/>
  <c r="FD33" i="40" l="1"/>
  <c r="BL33" i="40" l="1"/>
  <c r="T30" i="40" l="1"/>
  <c r="FD17" i="40" l="1"/>
  <c r="FD16" i="40" l="1"/>
  <c r="FD15" i="40" l="1"/>
  <c r="AF34" i="40" l="1"/>
  <c r="FD8" i="40"/>
  <c r="BL8" i="40" s="1"/>
  <c r="FD7" i="40"/>
  <c r="BL7" i="40" s="1"/>
  <c r="BH7" i="40" s="1"/>
  <c r="FD6" i="40"/>
  <c r="BL6" i="40" s="1"/>
  <c r="O28" i="40"/>
  <c r="FI79" i="40"/>
  <c r="GI37" i="40"/>
  <c r="GH37" i="40"/>
  <c r="GG37" i="40"/>
  <c r="GF37" i="40"/>
  <c r="GE37" i="40"/>
  <c r="GD37" i="40"/>
  <c r="GC37" i="40"/>
  <c r="GA37" i="40"/>
  <c r="FZ37" i="40"/>
  <c r="DR37" i="40"/>
  <c r="DM37" i="40"/>
  <c r="DK37" i="40"/>
  <c r="DI37" i="40"/>
  <c r="CW37" i="40"/>
  <c r="CT37" i="40"/>
  <c r="CQ37" i="40"/>
  <c r="CM37" i="40"/>
  <c r="CI37" i="40"/>
  <c r="CA37" i="40"/>
  <c r="BF37" i="40"/>
  <c r="BE37" i="40"/>
  <c r="BA37" i="40"/>
  <c r="Q37" i="40"/>
  <c r="DQ37" i="40" s="1"/>
  <c r="K37" i="40"/>
  <c r="J37" i="40"/>
  <c r="I37" i="40"/>
  <c r="G37" i="40"/>
  <c r="F37" i="40"/>
  <c r="E37" i="40"/>
  <c r="E40" i="40" s="1"/>
  <c r="GJ36" i="40"/>
  <c r="DM36" i="40"/>
  <c r="DK36" i="40"/>
  <c r="DI36" i="40"/>
  <c r="CW36" i="40"/>
  <c r="CT36" i="40"/>
  <c r="CQ36" i="40"/>
  <c r="CM36" i="40"/>
  <c r="CL36" i="40"/>
  <c r="CI36" i="40"/>
  <c r="CA36" i="40"/>
  <c r="BH36" i="40"/>
  <c r="BD36" i="40"/>
  <c r="BC36" i="40"/>
  <c r="BB36" i="40"/>
  <c r="AZ36" i="40"/>
  <c r="AY36" i="40"/>
  <c r="AX36" i="40"/>
  <c r="AW36" i="40"/>
  <c r="AV36" i="40"/>
  <c r="AU36" i="40"/>
  <c r="AS36" i="40" s="1"/>
  <c r="CE36" i="40" s="1"/>
  <c r="AR36" i="40"/>
  <c r="AT36" i="40" s="1"/>
  <c r="AP36" i="40"/>
  <c r="AN36" i="40"/>
  <c r="CR36" i="40" s="1"/>
  <c r="AK36" i="40"/>
  <c r="AJ36" i="40"/>
  <c r="AG36" i="40"/>
  <c r="AF36" i="40"/>
  <c r="AH36" i="40" s="1"/>
  <c r="AC36" i="40"/>
  <c r="AB36" i="40"/>
  <c r="Z36" i="40"/>
  <c r="Y36" i="40"/>
  <c r="W36" i="40"/>
  <c r="V36" i="40"/>
  <c r="X36" i="40" s="1"/>
  <c r="U36" i="40"/>
  <c r="T36" i="40"/>
  <c r="S36" i="40"/>
  <c r="R36" i="40"/>
  <c r="N36" i="40"/>
  <c r="O36" i="40" s="1"/>
  <c r="M36" i="40"/>
  <c r="GJ35" i="40"/>
  <c r="FD35" i="40"/>
  <c r="BL35" i="40" s="1"/>
  <c r="DR35" i="40"/>
  <c r="DM35" i="40"/>
  <c r="DK35" i="40"/>
  <c r="DI35" i="40"/>
  <c r="CW35" i="40"/>
  <c r="CT35" i="40"/>
  <c r="CQ35" i="40"/>
  <c r="CM35" i="40"/>
  <c r="CI35" i="40"/>
  <c r="CA35" i="40"/>
  <c r="BD35" i="40"/>
  <c r="BC35" i="40"/>
  <c r="BB35" i="40"/>
  <c r="AZ35" i="40"/>
  <c r="AY35" i="40"/>
  <c r="AX35" i="40"/>
  <c r="AW35" i="40"/>
  <c r="AV35" i="40"/>
  <c r="AU35" i="40"/>
  <c r="AR35" i="40"/>
  <c r="CD35" i="40" s="1"/>
  <c r="AP35" i="40"/>
  <c r="CU35" i="40" s="1"/>
  <c r="AN35" i="40"/>
  <c r="AK35" i="40"/>
  <c r="AJ35" i="40"/>
  <c r="AG35" i="40"/>
  <c r="AF35" i="40"/>
  <c r="AC35" i="40"/>
  <c r="AB35" i="40"/>
  <c r="Z35" i="40"/>
  <c r="Y35" i="40"/>
  <c r="V35" i="40"/>
  <c r="X35" i="40" s="1"/>
  <c r="U35" i="40"/>
  <c r="T35" i="40"/>
  <c r="S35" i="40"/>
  <c r="AA35" i="40" s="1"/>
  <c r="R35" i="40"/>
  <c r="N35" i="40"/>
  <c r="O35" i="40" s="1"/>
  <c r="M35" i="40"/>
  <c r="GJ34" i="40"/>
  <c r="FD34" i="40"/>
  <c r="BL34" i="40" s="1"/>
  <c r="DR34" i="40"/>
  <c r="DM34" i="40"/>
  <c r="DK34" i="40"/>
  <c r="DI34" i="40"/>
  <c r="CW34" i="40"/>
  <c r="CT34" i="40"/>
  <c r="CQ34" i="40"/>
  <c r="CM34" i="40"/>
  <c r="CI34" i="40"/>
  <c r="CA34" i="40"/>
  <c r="BD34" i="40"/>
  <c r="BC34" i="40"/>
  <c r="BB34" i="40"/>
  <c r="AZ34" i="40"/>
  <c r="AY34" i="40"/>
  <c r="AX34" i="40"/>
  <c r="AW34" i="40"/>
  <c r="AV34" i="40"/>
  <c r="AU34" i="40"/>
  <c r="AR34" i="40"/>
  <c r="AT34" i="40" s="1"/>
  <c r="AP34" i="40"/>
  <c r="AN34" i="40"/>
  <c r="CR34" i="40" s="1"/>
  <c r="AK34" i="40"/>
  <c r="AJ34" i="40"/>
  <c r="AG34" i="40"/>
  <c r="AC34" i="40"/>
  <c r="AB34" i="40"/>
  <c r="Z34" i="40"/>
  <c r="Y34" i="40"/>
  <c r="W34" i="40"/>
  <c r="V34" i="40"/>
  <c r="U34" i="40"/>
  <c r="T34" i="40"/>
  <c r="S34" i="40"/>
  <c r="R34" i="40"/>
  <c r="N34" i="40"/>
  <c r="GJ33" i="40"/>
  <c r="DR33" i="40"/>
  <c r="DM33" i="40"/>
  <c r="DK33" i="40"/>
  <c r="DI33" i="40"/>
  <c r="CW33" i="40"/>
  <c r="CT33" i="40"/>
  <c r="CQ33" i="40"/>
  <c r="CM33" i="40"/>
  <c r="CI33" i="40"/>
  <c r="CA33" i="40"/>
  <c r="BD33" i="40"/>
  <c r="BC33" i="40"/>
  <c r="BB33" i="40"/>
  <c r="AZ33" i="40"/>
  <c r="AY33" i="40"/>
  <c r="AX33" i="40"/>
  <c r="AW33" i="40"/>
  <c r="AV33" i="40"/>
  <c r="AU33" i="40"/>
  <c r="AR33" i="40"/>
  <c r="AP33" i="40"/>
  <c r="AN33" i="40"/>
  <c r="AK33" i="40"/>
  <c r="AJ33" i="40"/>
  <c r="AG33" i="40"/>
  <c r="AF33" i="40"/>
  <c r="AC33" i="40"/>
  <c r="AB33" i="40"/>
  <c r="Z33" i="40"/>
  <c r="Y33" i="40"/>
  <c r="W33" i="40"/>
  <c r="V33" i="40"/>
  <c r="U33" i="40"/>
  <c r="T33" i="40"/>
  <c r="S33" i="40"/>
  <c r="R33" i="40"/>
  <c r="N33" i="40"/>
  <c r="O33" i="40" s="1"/>
  <c r="GJ32" i="40"/>
  <c r="DM32" i="40"/>
  <c r="DK32" i="40"/>
  <c r="DI32" i="40"/>
  <c r="CW32" i="40"/>
  <c r="CT32" i="40"/>
  <c r="CQ32" i="40"/>
  <c r="CM32" i="40"/>
  <c r="CI32" i="40"/>
  <c r="CA32" i="40"/>
  <c r="BD32" i="40"/>
  <c r="BC32" i="40"/>
  <c r="BB32" i="40"/>
  <c r="AZ32" i="40"/>
  <c r="AY32" i="40"/>
  <c r="AX32" i="40"/>
  <c r="AW32" i="40"/>
  <c r="AV32" i="40"/>
  <c r="AU32" i="40"/>
  <c r="AR32" i="40"/>
  <c r="AS32" i="40" s="1"/>
  <c r="CE32" i="40" s="1"/>
  <c r="AP32" i="40"/>
  <c r="AN32" i="40"/>
  <c r="CR32" i="40" s="1"/>
  <c r="AK32" i="40"/>
  <c r="AJ32" i="40"/>
  <c r="AG32" i="40"/>
  <c r="AF32" i="40"/>
  <c r="AH32" i="40" s="1"/>
  <c r="AC32" i="40"/>
  <c r="AB32" i="40"/>
  <c r="AD32" i="40" s="1"/>
  <c r="Z32" i="40"/>
  <c r="Y32" i="40"/>
  <c r="W32" i="40"/>
  <c r="V32" i="40"/>
  <c r="U32" i="40"/>
  <c r="T32" i="40"/>
  <c r="S32" i="40"/>
  <c r="R32" i="40"/>
  <c r="N32" i="40"/>
  <c r="O32" i="40" s="1"/>
  <c r="M32" i="40"/>
  <c r="GJ31" i="40"/>
  <c r="FD31" i="40"/>
  <c r="BL31" i="40" s="1"/>
  <c r="DR31" i="40"/>
  <c r="DM31" i="40"/>
  <c r="DK31" i="40"/>
  <c r="DI31" i="40"/>
  <c r="CW31" i="40"/>
  <c r="CT31" i="40"/>
  <c r="CQ31" i="40"/>
  <c r="CM31" i="40"/>
  <c r="CI31" i="40"/>
  <c r="CH31" i="40"/>
  <c r="CG31" i="40"/>
  <c r="CF31" i="40"/>
  <c r="CA31" i="40"/>
  <c r="BD31" i="40"/>
  <c r="BC31" i="40"/>
  <c r="BB31" i="40"/>
  <c r="AZ31" i="40"/>
  <c r="AY31" i="40"/>
  <c r="AX31" i="40"/>
  <c r="AW31" i="40"/>
  <c r="AV31" i="40"/>
  <c r="AU31" i="40"/>
  <c r="AR31" i="40"/>
  <c r="AT31" i="40" s="1"/>
  <c r="AP31" i="40"/>
  <c r="AQ31" i="40" s="1"/>
  <c r="AN31" i="40"/>
  <c r="AO31" i="40" s="1"/>
  <c r="AK31" i="40"/>
  <c r="AJ31" i="40"/>
  <c r="AL31" i="40" s="1"/>
  <c r="CP31" i="40" s="1"/>
  <c r="AG31" i="40"/>
  <c r="AF31" i="40"/>
  <c r="AC31" i="40"/>
  <c r="AB31" i="40"/>
  <c r="Z31" i="40"/>
  <c r="Y31" i="40"/>
  <c r="X31" i="40"/>
  <c r="W31" i="40"/>
  <c r="V31" i="40"/>
  <c r="U31" i="40"/>
  <c r="T31" i="40"/>
  <c r="S31" i="40"/>
  <c r="R31" i="40"/>
  <c r="N31" i="40"/>
  <c r="O31" i="40" s="1"/>
  <c r="M31" i="40"/>
  <c r="GJ30" i="40"/>
  <c r="FD30" i="40"/>
  <c r="BL30" i="40" s="1"/>
  <c r="DR30" i="40"/>
  <c r="DM30" i="40"/>
  <c r="DK30" i="40"/>
  <c r="DI30" i="40"/>
  <c r="CW30" i="40"/>
  <c r="CT30" i="40"/>
  <c r="CQ30" i="40"/>
  <c r="CM30" i="40"/>
  <c r="CI30" i="40"/>
  <c r="CG30" i="40"/>
  <c r="CA30" i="40"/>
  <c r="BD30" i="40"/>
  <c r="BC30" i="40"/>
  <c r="BB30" i="40"/>
  <c r="AZ30" i="40"/>
  <c r="AY30" i="40"/>
  <c r="AX30" i="40"/>
  <c r="AW30" i="40"/>
  <c r="AV30" i="40"/>
  <c r="AU30" i="40"/>
  <c r="AR30" i="40"/>
  <c r="CD30" i="40" s="1"/>
  <c r="AP30" i="40"/>
  <c r="AN30" i="40"/>
  <c r="AK30" i="40"/>
  <c r="AJ30" i="40"/>
  <c r="AG30" i="40"/>
  <c r="AF30" i="40"/>
  <c r="AC30" i="40"/>
  <c r="AB30" i="40"/>
  <c r="Z30" i="40"/>
  <c r="Y30" i="40"/>
  <c r="W30" i="40"/>
  <c r="V30" i="40"/>
  <c r="X30" i="40" s="1"/>
  <c r="U30" i="40"/>
  <c r="S30" i="40"/>
  <c r="R30" i="40"/>
  <c r="N30" i="40"/>
  <c r="M30" i="40"/>
  <c r="GJ29" i="40"/>
  <c r="FD29" i="40"/>
  <c r="BL29" i="40" s="1"/>
  <c r="DR29" i="40"/>
  <c r="DM29" i="40"/>
  <c r="DK29" i="40"/>
  <c r="DI29" i="40"/>
  <c r="CW29" i="40"/>
  <c r="CT29" i="40"/>
  <c r="CQ29" i="40"/>
  <c r="CM29" i="40"/>
  <c r="CI29" i="40"/>
  <c r="CA29" i="40"/>
  <c r="BD29" i="40"/>
  <c r="BC29" i="40"/>
  <c r="BB29" i="40"/>
  <c r="AZ29" i="40"/>
  <c r="AY29" i="40"/>
  <c r="AX29" i="40"/>
  <c r="AW29" i="40"/>
  <c r="AV29" i="40"/>
  <c r="AU29" i="40"/>
  <c r="AR29" i="40"/>
  <c r="AP29" i="40"/>
  <c r="AN29" i="40"/>
  <c r="AK29" i="40"/>
  <c r="AJ29" i="40"/>
  <c r="AL29" i="40" s="1"/>
  <c r="AG29" i="40"/>
  <c r="AF29" i="40"/>
  <c r="AC29" i="40"/>
  <c r="AB29" i="40"/>
  <c r="Z29" i="40"/>
  <c r="Y29" i="40"/>
  <c r="W29" i="40"/>
  <c r="V29" i="40"/>
  <c r="U29" i="40"/>
  <c r="T29" i="40"/>
  <c r="S29" i="40"/>
  <c r="R29" i="40"/>
  <c r="N29" i="40"/>
  <c r="O29" i="40" s="1"/>
  <c r="M29" i="40"/>
  <c r="GJ28" i="40"/>
  <c r="FD28" i="40"/>
  <c r="BL28" i="40" s="1"/>
  <c r="DR28" i="40"/>
  <c r="DM28" i="40"/>
  <c r="DK28" i="40"/>
  <c r="DI28" i="40"/>
  <c r="CW28" i="40"/>
  <c r="CT28" i="40"/>
  <c r="CQ28" i="40"/>
  <c r="CM28" i="40"/>
  <c r="CI28" i="40"/>
  <c r="CA28" i="40"/>
  <c r="BD28" i="40"/>
  <c r="BC28" i="40"/>
  <c r="BB28" i="40"/>
  <c r="AZ28" i="40"/>
  <c r="AY28" i="40"/>
  <c r="AX28" i="40"/>
  <c r="AW28" i="40"/>
  <c r="AV28" i="40"/>
  <c r="AU28" i="40"/>
  <c r="AR28" i="40"/>
  <c r="CD28" i="40" s="1"/>
  <c r="AP28" i="40"/>
  <c r="AQ28" i="40" s="1"/>
  <c r="AN28" i="40"/>
  <c r="CR28" i="40" s="1"/>
  <c r="AK28" i="40"/>
  <c r="AJ28" i="40"/>
  <c r="AG28" i="40"/>
  <c r="AF28" i="40"/>
  <c r="AH28" i="40" s="1"/>
  <c r="AC28" i="40"/>
  <c r="AB28" i="40"/>
  <c r="Z28" i="40"/>
  <c r="Y28" i="40"/>
  <c r="W28" i="40"/>
  <c r="V28" i="40"/>
  <c r="U28" i="40"/>
  <c r="T28" i="40"/>
  <c r="S28" i="40"/>
  <c r="R28" i="40"/>
  <c r="N28" i="40"/>
  <c r="M28" i="40"/>
  <c r="GJ27" i="40"/>
  <c r="FD27" i="40"/>
  <c r="BL27" i="40" s="1"/>
  <c r="BH27" i="40" s="1"/>
  <c r="DR27" i="40"/>
  <c r="DM27" i="40"/>
  <c r="DK27" i="40"/>
  <c r="DI27" i="40"/>
  <c r="CW27" i="40"/>
  <c r="CT27" i="40"/>
  <c r="CQ27" i="40"/>
  <c r="CM27" i="40"/>
  <c r="CI27" i="40"/>
  <c r="CA27" i="40"/>
  <c r="BD27" i="40"/>
  <c r="BC27" i="40"/>
  <c r="BB27" i="40"/>
  <c r="AZ27" i="40"/>
  <c r="AY27" i="40"/>
  <c r="AX27" i="40"/>
  <c r="AW27" i="40"/>
  <c r="AV27" i="40"/>
  <c r="AU27" i="40"/>
  <c r="AR27" i="40"/>
  <c r="CD27" i="40" s="1"/>
  <c r="AP27" i="40"/>
  <c r="AN27" i="40"/>
  <c r="AK27" i="40"/>
  <c r="AJ27" i="40"/>
  <c r="AG27" i="40"/>
  <c r="AF27" i="40"/>
  <c r="AH27" i="40" s="1"/>
  <c r="AC27" i="40"/>
  <c r="AB27" i="40"/>
  <c r="Z27" i="40"/>
  <c r="Y27" i="40"/>
  <c r="W27" i="40"/>
  <c r="V27" i="40"/>
  <c r="X27" i="40" s="1"/>
  <c r="U27" i="40"/>
  <c r="T27" i="40"/>
  <c r="S27" i="40"/>
  <c r="R27" i="40"/>
  <c r="GJ26" i="40"/>
  <c r="FD26" i="40"/>
  <c r="BL26" i="40" s="1"/>
  <c r="BH26" i="40" s="1"/>
  <c r="DR26" i="40"/>
  <c r="DM26" i="40"/>
  <c r="DK26" i="40"/>
  <c r="DI26" i="40"/>
  <c r="CW26" i="40"/>
  <c r="CT26" i="40"/>
  <c r="CQ26" i="40"/>
  <c r="CM26" i="40"/>
  <c r="CL26" i="40"/>
  <c r="CI26" i="40"/>
  <c r="CF26" i="40"/>
  <c r="CA26" i="40"/>
  <c r="BD26" i="40"/>
  <c r="BC26" i="40"/>
  <c r="BB26" i="40"/>
  <c r="AZ26" i="40"/>
  <c r="AY26" i="40"/>
  <c r="AX26" i="40"/>
  <c r="AW26" i="40"/>
  <c r="AV26" i="40"/>
  <c r="AU26" i="40"/>
  <c r="AR26" i="40"/>
  <c r="CD26" i="40" s="1"/>
  <c r="AP26" i="40"/>
  <c r="AN26" i="40"/>
  <c r="CR26" i="40" s="1"/>
  <c r="AK26" i="40"/>
  <c r="AJ26" i="40"/>
  <c r="AL26" i="40" s="1"/>
  <c r="AG26" i="40"/>
  <c r="AF26" i="40"/>
  <c r="AH26" i="40" s="1"/>
  <c r="AC26" i="40"/>
  <c r="AB26" i="40"/>
  <c r="AD26" i="40" s="1"/>
  <c r="Z26" i="40"/>
  <c r="Y26" i="40"/>
  <c r="W26" i="40"/>
  <c r="V26" i="40"/>
  <c r="U26" i="40"/>
  <c r="T26" i="40"/>
  <c r="S26" i="40"/>
  <c r="R26" i="40"/>
  <c r="N26" i="40"/>
  <c r="O26" i="40" s="1"/>
  <c r="M26" i="40"/>
  <c r="GJ25" i="40"/>
  <c r="FD25" i="40"/>
  <c r="BL25" i="40" s="1"/>
  <c r="DR25" i="40"/>
  <c r="DM25" i="40"/>
  <c r="DK25" i="40"/>
  <c r="DI25" i="40"/>
  <c r="CW25" i="40"/>
  <c r="CT25" i="40"/>
  <c r="CQ25" i="40"/>
  <c r="CM25" i="40"/>
  <c r="CJ25" i="40"/>
  <c r="CI25" i="40"/>
  <c r="CF25" i="40"/>
  <c r="CA25" i="40"/>
  <c r="BD25" i="40"/>
  <c r="BC25" i="40"/>
  <c r="BB25" i="40"/>
  <c r="AZ25" i="40"/>
  <c r="AY25" i="40"/>
  <c r="AX25" i="40"/>
  <c r="AW25" i="40"/>
  <c r="AV25" i="40"/>
  <c r="AU25" i="40"/>
  <c r="AR25" i="40"/>
  <c r="AT25" i="40" s="1"/>
  <c r="AP25" i="40"/>
  <c r="AN25" i="40"/>
  <c r="CR25" i="40" s="1"/>
  <c r="AK25" i="40"/>
  <c r="AJ25" i="40"/>
  <c r="AL25" i="40" s="1"/>
  <c r="AG25" i="40"/>
  <c r="AF25" i="40"/>
  <c r="AC25" i="40"/>
  <c r="AB25" i="40"/>
  <c r="Z25" i="40"/>
  <c r="Y25" i="40"/>
  <c r="W25" i="40"/>
  <c r="V25" i="40"/>
  <c r="U25" i="40"/>
  <c r="T25" i="40"/>
  <c r="S25" i="40"/>
  <c r="R25" i="40"/>
  <c r="N25" i="40"/>
  <c r="O25" i="40" s="1"/>
  <c r="M25" i="40"/>
  <c r="GJ24" i="40"/>
  <c r="FD24" i="40"/>
  <c r="BL24" i="40" s="1"/>
  <c r="DR24" i="40"/>
  <c r="DM24" i="40"/>
  <c r="DK24" i="40"/>
  <c r="DI24" i="40"/>
  <c r="CW24" i="40"/>
  <c r="CT24" i="40"/>
  <c r="CQ24" i="40"/>
  <c r="CM24" i="40"/>
  <c r="CI24" i="40"/>
  <c r="CA24" i="40"/>
  <c r="BD24" i="40"/>
  <c r="BC24" i="40"/>
  <c r="BB24" i="40"/>
  <c r="AZ24" i="40"/>
  <c r="AY24" i="40"/>
  <c r="AX24" i="40"/>
  <c r="AW24" i="40"/>
  <c r="AV24" i="40"/>
  <c r="AU24" i="40"/>
  <c r="AR24" i="40"/>
  <c r="CD24" i="40" s="1"/>
  <c r="AP24" i="40"/>
  <c r="AN24" i="40"/>
  <c r="AK24" i="40"/>
  <c r="AJ24" i="40"/>
  <c r="AG24" i="40"/>
  <c r="AF24" i="40"/>
  <c r="AC24" i="40"/>
  <c r="AB24" i="40"/>
  <c r="Z24" i="40"/>
  <c r="Y24" i="40"/>
  <c r="W24" i="40"/>
  <c r="V24" i="40"/>
  <c r="U24" i="40"/>
  <c r="T24" i="40"/>
  <c r="S24" i="40"/>
  <c r="R24" i="40"/>
  <c r="N24" i="40"/>
  <c r="O24" i="40" s="1"/>
  <c r="M24" i="40"/>
  <c r="L37" i="40"/>
  <c r="L40" i="40" s="1"/>
  <c r="GJ23" i="40"/>
  <c r="FD23" i="40"/>
  <c r="BL23" i="40" s="1"/>
  <c r="DR23" i="40"/>
  <c r="DM23" i="40"/>
  <c r="DK23" i="40"/>
  <c r="DI23" i="40"/>
  <c r="CW23" i="40"/>
  <c r="CT23" i="40"/>
  <c r="CQ23" i="40"/>
  <c r="CO23" i="40"/>
  <c r="CM23" i="40"/>
  <c r="CI23" i="40"/>
  <c r="CA23" i="40"/>
  <c r="BD23" i="40"/>
  <c r="BC23" i="40"/>
  <c r="BB23" i="40"/>
  <c r="AZ23" i="40"/>
  <c r="AY23" i="40"/>
  <c r="AX23" i="40"/>
  <c r="AW23" i="40"/>
  <c r="AV23" i="40"/>
  <c r="AU23" i="40"/>
  <c r="AR23" i="40"/>
  <c r="AT23" i="40" s="1"/>
  <c r="AP23" i="40"/>
  <c r="AQ23" i="40" s="1"/>
  <c r="AN23" i="40"/>
  <c r="AO23" i="40" s="1"/>
  <c r="AK23" i="40"/>
  <c r="AJ23" i="40"/>
  <c r="AL23" i="40" s="1"/>
  <c r="AG23" i="40"/>
  <c r="AF23" i="40"/>
  <c r="AH23" i="40" s="1"/>
  <c r="AC23" i="40"/>
  <c r="AB23" i="40"/>
  <c r="Z23" i="40"/>
  <c r="Y23" i="40"/>
  <c r="W23" i="40"/>
  <c r="V23" i="40"/>
  <c r="U23" i="40"/>
  <c r="T23" i="40"/>
  <c r="S23" i="40"/>
  <c r="R23" i="40"/>
  <c r="N23" i="40"/>
  <c r="M23" i="40"/>
  <c r="GJ22" i="40"/>
  <c r="FD22" i="40"/>
  <c r="BL22" i="40" s="1"/>
  <c r="DR22" i="40"/>
  <c r="DM22" i="40"/>
  <c r="DK22" i="40"/>
  <c r="DI22" i="40"/>
  <c r="CW22" i="40"/>
  <c r="CT22" i="40"/>
  <c r="CQ22" i="40"/>
  <c r="CM22" i="40"/>
  <c r="CI22" i="40"/>
  <c r="CD22" i="40"/>
  <c r="CA22" i="40"/>
  <c r="BD22" i="40"/>
  <c r="BC22" i="40"/>
  <c r="BB22" i="40"/>
  <c r="AZ22" i="40"/>
  <c r="AY22" i="40"/>
  <c r="AX22" i="40"/>
  <c r="AW22" i="40"/>
  <c r="AV22" i="40"/>
  <c r="AU22" i="40"/>
  <c r="AR22" i="40"/>
  <c r="AT22" i="40" s="1"/>
  <c r="AP22" i="40"/>
  <c r="CU22" i="40" s="1"/>
  <c r="AN22" i="40"/>
  <c r="AK22" i="40"/>
  <c r="AJ22" i="40"/>
  <c r="AG22" i="40"/>
  <c r="AF22" i="40"/>
  <c r="AC22" i="40"/>
  <c r="AB22" i="40"/>
  <c r="AD22" i="40" s="1"/>
  <c r="Z22" i="40"/>
  <c r="Y22" i="40"/>
  <c r="W22" i="40"/>
  <c r="V22" i="40"/>
  <c r="X22" i="40" s="1"/>
  <c r="U22" i="40"/>
  <c r="T22" i="40"/>
  <c r="S22" i="40"/>
  <c r="R22" i="40"/>
  <c r="N22" i="40"/>
  <c r="O22" i="40" s="1"/>
  <c r="M22" i="40"/>
  <c r="GJ21" i="40"/>
  <c r="FD21" i="40"/>
  <c r="BL21" i="40" s="1"/>
  <c r="BH21" i="40" s="1"/>
  <c r="DR21" i="40"/>
  <c r="DM21" i="40"/>
  <c r="DK21" i="40"/>
  <c r="DI21" i="40"/>
  <c r="CW21" i="40"/>
  <c r="CT21" i="40"/>
  <c r="CQ21" i="40"/>
  <c r="CM21" i="40"/>
  <c r="CK21" i="40"/>
  <c r="CI21" i="40"/>
  <c r="CA21" i="40"/>
  <c r="BD21" i="40"/>
  <c r="BC21" i="40"/>
  <c r="BB21" i="40"/>
  <c r="AZ21" i="40"/>
  <c r="AY21" i="40"/>
  <c r="AX21" i="40"/>
  <c r="AW21" i="40"/>
  <c r="AV21" i="40"/>
  <c r="AU21" i="40"/>
  <c r="AR21" i="40"/>
  <c r="AQ21" i="40"/>
  <c r="AP21" i="40"/>
  <c r="AN21" i="40"/>
  <c r="AO21" i="40" s="1"/>
  <c r="AK21" i="40"/>
  <c r="AJ21" i="40"/>
  <c r="AG21" i="40"/>
  <c r="AF21" i="40"/>
  <c r="AH21" i="40" s="1"/>
  <c r="AC21" i="40"/>
  <c r="AB21" i="40"/>
  <c r="Z21" i="40"/>
  <c r="Y21" i="40"/>
  <c r="W21" i="40"/>
  <c r="V21" i="40"/>
  <c r="X21" i="40" s="1"/>
  <c r="U21" i="40"/>
  <c r="T21" i="40"/>
  <c r="S21" i="40"/>
  <c r="R21" i="40"/>
  <c r="N21" i="40"/>
  <c r="M21" i="40"/>
  <c r="GJ20" i="40"/>
  <c r="FD20" i="40"/>
  <c r="BL20" i="40" s="1"/>
  <c r="BH20" i="40" s="1"/>
  <c r="DR20" i="40"/>
  <c r="DM20" i="40"/>
  <c r="DK20" i="40"/>
  <c r="DI20" i="40"/>
  <c r="CW20" i="40"/>
  <c r="CT20" i="40"/>
  <c r="CQ20" i="40"/>
  <c r="CM20" i="40"/>
  <c r="CI20" i="40"/>
  <c r="CA20" i="40"/>
  <c r="BD20" i="40"/>
  <c r="BC20" i="40"/>
  <c r="BB20" i="40"/>
  <c r="AZ20" i="40"/>
  <c r="AY20" i="40"/>
  <c r="AX20" i="40"/>
  <c r="AW20" i="40"/>
  <c r="AV20" i="40"/>
  <c r="AU20" i="40"/>
  <c r="AR20" i="40"/>
  <c r="AP20" i="40"/>
  <c r="AN20" i="40"/>
  <c r="AK20" i="40"/>
  <c r="AJ20" i="40"/>
  <c r="AL20" i="40" s="1"/>
  <c r="AG20" i="40"/>
  <c r="AF20" i="40"/>
  <c r="AC20" i="40"/>
  <c r="AB20" i="40"/>
  <c r="Z20" i="40"/>
  <c r="Y20" i="40"/>
  <c r="W20" i="40"/>
  <c r="V20" i="40"/>
  <c r="X20" i="40" s="1"/>
  <c r="U20" i="40"/>
  <c r="T20" i="40"/>
  <c r="S20" i="40"/>
  <c r="R20" i="40"/>
  <c r="N20" i="40"/>
  <c r="M20" i="40"/>
  <c r="GJ19" i="40"/>
  <c r="FD19" i="40"/>
  <c r="BL19" i="40" s="1"/>
  <c r="DR19" i="40"/>
  <c r="DM19" i="40"/>
  <c r="DK19" i="40"/>
  <c r="DI19" i="40"/>
  <c r="CW19" i="40"/>
  <c r="CT19" i="40"/>
  <c r="CQ19" i="40"/>
  <c r="CP19" i="40"/>
  <c r="CM19" i="40"/>
  <c r="CI19" i="40"/>
  <c r="CA19" i="40"/>
  <c r="BD19" i="40"/>
  <c r="BC19" i="40"/>
  <c r="BB19" i="40"/>
  <c r="AZ19" i="40"/>
  <c r="AY19" i="40"/>
  <c r="AX19" i="40"/>
  <c r="AW19" i="40"/>
  <c r="AV19" i="40"/>
  <c r="AU19" i="40"/>
  <c r="AR19" i="40"/>
  <c r="AT19" i="40" s="1"/>
  <c r="AP19" i="40"/>
  <c r="AO19" i="40"/>
  <c r="AN19" i="40"/>
  <c r="AK19" i="40"/>
  <c r="AJ19" i="40"/>
  <c r="AL19" i="40" s="1"/>
  <c r="AG19" i="40"/>
  <c r="AF19" i="40"/>
  <c r="AC19" i="40"/>
  <c r="AB19" i="40"/>
  <c r="Z19" i="40"/>
  <c r="Y19" i="40"/>
  <c r="X19" i="40"/>
  <c r="W19" i="40"/>
  <c r="V19" i="40"/>
  <c r="U19" i="40"/>
  <c r="T19" i="40"/>
  <c r="S19" i="40"/>
  <c r="R19" i="40"/>
  <c r="N19" i="40"/>
  <c r="M19" i="40"/>
  <c r="GJ18" i="40"/>
  <c r="FD18" i="40"/>
  <c r="BL18" i="40" s="1"/>
  <c r="DR18" i="40"/>
  <c r="DM18" i="40"/>
  <c r="DK18" i="40"/>
  <c r="DI18" i="40"/>
  <c r="CW18" i="40"/>
  <c r="CT18" i="40"/>
  <c r="CQ18" i="40"/>
  <c r="CM18" i="40"/>
  <c r="CL18" i="40"/>
  <c r="CI18" i="40"/>
  <c r="CA18" i="40"/>
  <c r="BD18" i="40"/>
  <c r="BC18" i="40"/>
  <c r="BB18" i="40"/>
  <c r="AZ18" i="40"/>
  <c r="AY18" i="40"/>
  <c r="AX18" i="40"/>
  <c r="AW18" i="40"/>
  <c r="AV18" i="40"/>
  <c r="AU18" i="40"/>
  <c r="AR18" i="40"/>
  <c r="CD18" i="40" s="1"/>
  <c r="AP18" i="40"/>
  <c r="CU18" i="40" s="1"/>
  <c r="AN18" i="40"/>
  <c r="AK18" i="40"/>
  <c r="AJ18" i="40"/>
  <c r="AG18" i="40"/>
  <c r="AF18" i="40"/>
  <c r="AH18" i="40" s="1"/>
  <c r="AC18" i="40"/>
  <c r="AB18" i="40"/>
  <c r="Z18" i="40"/>
  <c r="Y18" i="40"/>
  <c r="W18" i="40"/>
  <c r="V18" i="40"/>
  <c r="X18" i="40" s="1"/>
  <c r="U18" i="40"/>
  <c r="T18" i="40"/>
  <c r="S18" i="40"/>
  <c r="R18" i="40"/>
  <c r="N18" i="40"/>
  <c r="M18" i="40"/>
  <c r="GJ17" i="40"/>
  <c r="DR17" i="40"/>
  <c r="DM17" i="40"/>
  <c r="DK17" i="40"/>
  <c r="DI17" i="40"/>
  <c r="CW17" i="40"/>
  <c r="CT17" i="40"/>
  <c r="CQ17" i="40"/>
  <c r="CN17" i="40"/>
  <c r="CM17" i="40"/>
  <c r="CK17" i="40"/>
  <c r="CI17" i="40"/>
  <c r="CA17" i="40"/>
  <c r="BL17" i="40"/>
  <c r="BD17" i="40"/>
  <c r="BC17" i="40"/>
  <c r="BB17" i="40"/>
  <c r="AZ17" i="40"/>
  <c r="AY17" i="40"/>
  <c r="AX17" i="40"/>
  <c r="AW17" i="40"/>
  <c r="AV17" i="40"/>
  <c r="AU17" i="40"/>
  <c r="AR17" i="40"/>
  <c r="AP17" i="40"/>
  <c r="CU17" i="40" s="1"/>
  <c r="AN17" i="40"/>
  <c r="CR17" i="40" s="1"/>
  <c r="AK17" i="40"/>
  <c r="AJ17" i="40"/>
  <c r="AG17" i="40"/>
  <c r="AF17" i="40"/>
  <c r="AC17" i="40"/>
  <c r="AB17" i="40"/>
  <c r="Z17" i="40"/>
  <c r="Y17" i="40"/>
  <c r="W17" i="40"/>
  <c r="V17" i="40"/>
  <c r="X17" i="40" s="1"/>
  <c r="U17" i="40"/>
  <c r="T17" i="40"/>
  <c r="S17" i="40"/>
  <c r="R17" i="40"/>
  <c r="N17" i="40"/>
  <c r="O17" i="40" s="1"/>
  <c r="M17" i="40"/>
  <c r="GJ16" i="40"/>
  <c r="DM16" i="40"/>
  <c r="DK16" i="40"/>
  <c r="DI16" i="40"/>
  <c r="CW16" i="40"/>
  <c r="CT16" i="40"/>
  <c r="CQ16" i="40"/>
  <c r="CM16" i="40"/>
  <c r="CJ16" i="40"/>
  <c r="CI16" i="40"/>
  <c r="CA16" i="40"/>
  <c r="BL16" i="40"/>
  <c r="BH16" i="40" s="1"/>
  <c r="BD16" i="40"/>
  <c r="BC16" i="40"/>
  <c r="BB16" i="40"/>
  <c r="AZ16" i="40"/>
  <c r="AY16" i="40"/>
  <c r="AX16" i="40"/>
  <c r="AW16" i="40"/>
  <c r="AV16" i="40"/>
  <c r="AU16" i="40"/>
  <c r="AR16" i="40"/>
  <c r="CD16" i="40" s="1"/>
  <c r="AP16" i="40"/>
  <c r="AN16" i="40"/>
  <c r="AK16" i="40"/>
  <c r="AJ16" i="40"/>
  <c r="CL16" i="40"/>
  <c r="AG16" i="40"/>
  <c r="AF16" i="40"/>
  <c r="AC16" i="40"/>
  <c r="AB16" i="40"/>
  <c r="Z16" i="40"/>
  <c r="Y16" i="40"/>
  <c r="W16" i="40"/>
  <c r="V16" i="40"/>
  <c r="U16" i="40"/>
  <c r="T16" i="40"/>
  <c r="S16" i="40"/>
  <c r="R16" i="40"/>
  <c r="N16" i="40"/>
  <c r="O16" i="40" s="1"/>
  <c r="M16" i="40"/>
  <c r="GJ15" i="40"/>
  <c r="BL15" i="40"/>
  <c r="BH15" i="40" s="1"/>
  <c r="DR15" i="40"/>
  <c r="DM15" i="40"/>
  <c r="DK15" i="40"/>
  <c r="DI15" i="40"/>
  <c r="CW15" i="40"/>
  <c r="CT15" i="40"/>
  <c r="CQ15" i="40"/>
  <c r="CM15" i="40"/>
  <c r="CI15" i="40"/>
  <c r="CG15" i="40"/>
  <c r="CA15" i="40"/>
  <c r="BI15" i="40"/>
  <c r="BD15" i="40"/>
  <c r="BC15" i="40"/>
  <c r="BB15" i="40"/>
  <c r="AZ15" i="40"/>
  <c r="AY15" i="40"/>
  <c r="AX15" i="40"/>
  <c r="AW15" i="40"/>
  <c r="AV15" i="40"/>
  <c r="AU15" i="40"/>
  <c r="AR15" i="40"/>
  <c r="CD15" i="40" s="1"/>
  <c r="AP15" i="40"/>
  <c r="AN15" i="40"/>
  <c r="AK15" i="40"/>
  <c r="AJ15" i="40"/>
  <c r="AG15" i="40"/>
  <c r="AF15" i="40"/>
  <c r="AC15" i="40"/>
  <c r="AB15" i="40"/>
  <c r="Z15" i="40"/>
  <c r="Y15" i="40"/>
  <c r="W15" i="40"/>
  <c r="V15" i="40"/>
  <c r="X15" i="40" s="1"/>
  <c r="U15" i="40"/>
  <c r="T15" i="40"/>
  <c r="S15" i="40"/>
  <c r="R15" i="40"/>
  <c r="N15" i="40"/>
  <c r="O15" i="40" s="1"/>
  <c r="M15" i="40"/>
  <c r="GJ14" i="40"/>
  <c r="FD14" i="40"/>
  <c r="BL14" i="40" s="1"/>
  <c r="BH14" i="40" s="1"/>
  <c r="DR14" i="40"/>
  <c r="DM14" i="40"/>
  <c r="DK14" i="40"/>
  <c r="DI14" i="40"/>
  <c r="CW14" i="40"/>
  <c r="CU14" i="40"/>
  <c r="CT14" i="40"/>
  <c r="CQ14" i="40"/>
  <c r="CM14" i="40"/>
  <c r="CL14" i="40"/>
  <c r="CK14" i="40"/>
  <c r="CJ14" i="40"/>
  <c r="CI14" i="40"/>
  <c r="CA14" i="40"/>
  <c r="BD14" i="40"/>
  <c r="BC14" i="40"/>
  <c r="BB14" i="40"/>
  <c r="AZ14" i="40"/>
  <c r="AY14" i="40"/>
  <c r="AX14" i="40"/>
  <c r="AW14" i="40"/>
  <c r="AV14" i="40"/>
  <c r="AU14" i="40"/>
  <c r="AR14" i="40"/>
  <c r="AT14" i="40" s="1"/>
  <c r="AP14" i="40"/>
  <c r="AN14" i="40"/>
  <c r="AK14" i="40"/>
  <c r="AJ14" i="40"/>
  <c r="AL14" i="40" s="1"/>
  <c r="AG14" i="40"/>
  <c r="AF14" i="40"/>
  <c r="AC14" i="40"/>
  <c r="AB14" i="40"/>
  <c r="Z14" i="40"/>
  <c r="Y14" i="40"/>
  <c r="W14" i="40"/>
  <c r="V14" i="40"/>
  <c r="U14" i="40"/>
  <c r="T14" i="40"/>
  <c r="S14" i="40"/>
  <c r="R14" i="40"/>
  <c r="N14" i="40"/>
  <c r="M14" i="40"/>
  <c r="GB13" i="40"/>
  <c r="GJ13" i="40" s="1"/>
  <c r="FD13" i="40"/>
  <c r="BL13" i="40" s="1"/>
  <c r="BH13" i="40" s="1"/>
  <c r="DR13" i="40"/>
  <c r="DM13" i="40"/>
  <c r="DK13" i="40"/>
  <c r="DI13" i="40"/>
  <c r="CW13" i="40"/>
  <c r="CU13" i="40"/>
  <c r="CT13" i="40"/>
  <c r="CQ13" i="40"/>
  <c r="CM13" i="40"/>
  <c r="CI13" i="40"/>
  <c r="CA13" i="40"/>
  <c r="BD13" i="40"/>
  <c r="BC13" i="40"/>
  <c r="BB13" i="40"/>
  <c r="AZ13" i="40"/>
  <c r="AX13" i="40"/>
  <c r="AW13" i="40"/>
  <c r="AV13" i="40"/>
  <c r="AU13" i="40"/>
  <c r="AS13" i="40" s="1"/>
  <c r="CE13" i="40" s="1"/>
  <c r="AR13" i="40"/>
  <c r="CD13" i="40" s="1"/>
  <c r="AQ13" i="40"/>
  <c r="AP13" i="40"/>
  <c r="AN13" i="40"/>
  <c r="CR13" i="40" s="1"/>
  <c r="AK13" i="40"/>
  <c r="AJ13" i="40"/>
  <c r="AL13" i="40" s="1"/>
  <c r="AG13" i="40"/>
  <c r="AF13" i="40"/>
  <c r="AC13" i="40"/>
  <c r="AB13" i="40"/>
  <c r="Z13" i="40"/>
  <c r="Y13" i="40"/>
  <c r="W13" i="40"/>
  <c r="V13" i="40"/>
  <c r="X13" i="40" s="1"/>
  <c r="U13" i="40"/>
  <c r="T13" i="40"/>
  <c r="S13" i="40"/>
  <c r="R13" i="40"/>
  <c r="N13" i="40"/>
  <c r="M13" i="40"/>
  <c r="GB12" i="40"/>
  <c r="GJ12" i="40" s="1"/>
  <c r="FD12" i="40"/>
  <c r="BL12" i="40" s="1"/>
  <c r="BH12" i="40" s="1"/>
  <c r="DR12" i="40"/>
  <c r="DM12" i="40"/>
  <c r="DK12" i="40"/>
  <c r="DI12" i="40"/>
  <c r="CW12" i="40"/>
  <c r="CT12" i="40"/>
  <c r="CQ12" i="40"/>
  <c r="CM12" i="40"/>
  <c r="CI12" i="40"/>
  <c r="CA12" i="40"/>
  <c r="BD12" i="40"/>
  <c r="BC12" i="40"/>
  <c r="BB12" i="40"/>
  <c r="AZ12" i="40"/>
  <c r="AX12" i="40"/>
  <c r="AW12" i="40"/>
  <c r="AV12" i="40"/>
  <c r="AU12" i="40"/>
  <c r="AR12" i="40"/>
  <c r="CD12" i="40" s="1"/>
  <c r="AP12" i="40"/>
  <c r="AN12" i="40"/>
  <c r="AK12" i="40"/>
  <c r="AJ12" i="40"/>
  <c r="AL12" i="40" s="1"/>
  <c r="AG12" i="40"/>
  <c r="AF12" i="40"/>
  <c r="AC12" i="40"/>
  <c r="AB12" i="40"/>
  <c r="Z12" i="40"/>
  <c r="Y12" i="40"/>
  <c r="W12" i="40"/>
  <c r="V12" i="40"/>
  <c r="U12" i="40"/>
  <c r="T12" i="40"/>
  <c r="S12" i="40"/>
  <c r="R12" i="40"/>
  <c r="O12" i="40"/>
  <c r="DB12" i="40" s="1"/>
  <c r="N12" i="40"/>
  <c r="M12" i="40"/>
  <c r="GB11" i="40"/>
  <c r="GJ11" i="40" s="1"/>
  <c r="FD11" i="40"/>
  <c r="BL11" i="40" s="1"/>
  <c r="DR11" i="40"/>
  <c r="DM11" i="40"/>
  <c r="DK11" i="40"/>
  <c r="DI11" i="40"/>
  <c r="CW11" i="40"/>
  <c r="CT11" i="40"/>
  <c r="CQ11" i="40"/>
  <c r="CM11" i="40"/>
  <c r="CI11" i="40"/>
  <c r="CF11" i="40"/>
  <c r="CA11" i="40"/>
  <c r="BI11" i="40"/>
  <c r="BD11" i="40"/>
  <c r="BC11" i="40"/>
  <c r="BB11" i="40"/>
  <c r="AZ11" i="40"/>
  <c r="AX11" i="40"/>
  <c r="AW11" i="40"/>
  <c r="AV11" i="40"/>
  <c r="AU11" i="40"/>
  <c r="AR11" i="40"/>
  <c r="AP11" i="40"/>
  <c r="AN11" i="40"/>
  <c r="AK11" i="40"/>
  <c r="AJ11" i="40"/>
  <c r="AL11" i="40" s="1"/>
  <c r="AG11" i="40"/>
  <c r="AF11" i="40"/>
  <c r="AH11" i="40" s="1"/>
  <c r="AC11" i="40"/>
  <c r="AB11" i="40"/>
  <c r="Z11" i="40"/>
  <c r="Y11" i="40"/>
  <c r="W11" i="40"/>
  <c r="V11" i="40"/>
  <c r="U11" i="40"/>
  <c r="T11" i="40"/>
  <c r="S11" i="40"/>
  <c r="R11" i="40"/>
  <c r="N11" i="40"/>
  <c r="O11" i="40" s="1"/>
  <c r="M11" i="40"/>
  <c r="GJ10" i="40"/>
  <c r="GB10" i="40"/>
  <c r="FD10" i="40"/>
  <c r="BL10" i="40" s="1"/>
  <c r="BH10" i="40" s="1"/>
  <c r="DR10" i="40"/>
  <c r="DM10" i="40"/>
  <c r="DK10" i="40"/>
  <c r="DI10" i="40"/>
  <c r="CW10" i="40"/>
  <c r="CT10" i="40"/>
  <c r="CQ10" i="40"/>
  <c r="CM10" i="40"/>
  <c r="CL10" i="40"/>
  <c r="CJ10" i="40"/>
  <c r="CI10" i="40"/>
  <c r="CA10" i="40"/>
  <c r="BD10" i="40"/>
  <c r="BC10" i="40"/>
  <c r="BB10" i="40"/>
  <c r="AZ10" i="40"/>
  <c r="AX10" i="40"/>
  <c r="AW10" i="40"/>
  <c r="AV10" i="40"/>
  <c r="AU10" i="40"/>
  <c r="AR10" i="40"/>
  <c r="CD10" i="40" s="1"/>
  <c r="AP10" i="40"/>
  <c r="CU10" i="40" s="1"/>
  <c r="AN10" i="40"/>
  <c r="AO10" i="40" s="1"/>
  <c r="AK10" i="40"/>
  <c r="AJ10" i="40"/>
  <c r="AG10" i="40"/>
  <c r="AF10" i="40"/>
  <c r="AC10" i="40"/>
  <c r="AB10" i="40"/>
  <c r="Z10" i="40"/>
  <c r="Y10" i="40"/>
  <c r="W10" i="40"/>
  <c r="V10" i="40"/>
  <c r="U10" i="40"/>
  <c r="T10" i="40"/>
  <c r="S10" i="40"/>
  <c r="R10" i="40"/>
  <c r="N10" i="40"/>
  <c r="M10" i="40"/>
  <c r="GJ9" i="40"/>
  <c r="FD9" i="40"/>
  <c r="BL9" i="40" s="1"/>
  <c r="BH9" i="40" s="1"/>
  <c r="DR9" i="40"/>
  <c r="DM9" i="40"/>
  <c r="DK9" i="40"/>
  <c r="DI9" i="40"/>
  <c r="CW9" i="40"/>
  <c r="CT9" i="40"/>
  <c r="CQ9" i="40"/>
  <c r="CM9" i="40"/>
  <c r="CI9" i="40"/>
  <c r="CH9" i="40"/>
  <c r="CF9" i="40"/>
  <c r="CA9" i="40"/>
  <c r="BD9" i="40"/>
  <c r="BC9" i="40"/>
  <c r="BB9" i="40"/>
  <c r="AZ9" i="40"/>
  <c r="AX9" i="40"/>
  <c r="AW9" i="40"/>
  <c r="AV9" i="40"/>
  <c r="AU9" i="40"/>
  <c r="AR9" i="40"/>
  <c r="AP9" i="40"/>
  <c r="AN9" i="40"/>
  <c r="CR9" i="40" s="1"/>
  <c r="AK9" i="40"/>
  <c r="AJ9" i="40"/>
  <c r="AL9" i="40" s="1"/>
  <c r="AG9" i="40"/>
  <c r="AF9" i="40"/>
  <c r="AC9" i="40"/>
  <c r="AB9" i="40"/>
  <c r="AD9" i="40" s="1"/>
  <c r="Z9" i="40"/>
  <c r="Y9" i="40"/>
  <c r="W9" i="40"/>
  <c r="V9" i="40"/>
  <c r="X9" i="40" s="1"/>
  <c r="U9" i="40"/>
  <c r="T9" i="40"/>
  <c r="S9" i="40"/>
  <c r="R9" i="40"/>
  <c r="N9" i="40"/>
  <c r="BT9" i="40" s="1"/>
  <c r="M9" i="40"/>
  <c r="GJ8" i="40"/>
  <c r="DR8" i="40"/>
  <c r="DM8" i="40"/>
  <c r="DK8" i="40"/>
  <c r="DI8" i="40"/>
  <c r="CW8" i="40"/>
  <c r="CU8" i="40"/>
  <c r="CT8" i="40"/>
  <c r="CQ8" i="40"/>
  <c r="CM8" i="40"/>
  <c r="CI8" i="40"/>
  <c r="CA8" i="40"/>
  <c r="BD8" i="40"/>
  <c r="BC8" i="40"/>
  <c r="BB8" i="40"/>
  <c r="AZ8" i="40"/>
  <c r="AX8" i="40"/>
  <c r="AW8" i="40"/>
  <c r="AV8" i="40"/>
  <c r="AU8" i="40"/>
  <c r="AR8" i="40"/>
  <c r="AT8" i="40" s="1"/>
  <c r="AP8" i="40"/>
  <c r="AO8" i="40"/>
  <c r="AN8" i="40"/>
  <c r="AK8" i="40"/>
  <c r="AJ8" i="40"/>
  <c r="AG8" i="40"/>
  <c r="AF8" i="40"/>
  <c r="AC8" i="40"/>
  <c r="AB8" i="40"/>
  <c r="Z8" i="40"/>
  <c r="Y8" i="40"/>
  <c r="W8" i="40"/>
  <c r="V8" i="40"/>
  <c r="U8" i="40"/>
  <c r="T8" i="40"/>
  <c r="S8" i="40"/>
  <c r="R8" i="40"/>
  <c r="N8" i="40"/>
  <c r="BQ8" i="40" s="1"/>
  <c r="M8" i="40"/>
  <c r="GJ7" i="40"/>
  <c r="DR7" i="40"/>
  <c r="DM7" i="40"/>
  <c r="DK7" i="40"/>
  <c r="DI7" i="40"/>
  <c r="CW7" i="40"/>
  <c r="CU7" i="40"/>
  <c r="CT7" i="40"/>
  <c r="CQ7" i="40"/>
  <c r="CM7" i="40"/>
  <c r="CI7" i="40"/>
  <c r="CH7" i="40"/>
  <c r="CG7" i="40"/>
  <c r="CF7" i="40"/>
  <c r="CA7" i="40"/>
  <c r="BD7" i="40"/>
  <c r="BC7" i="40"/>
  <c r="BB7" i="40"/>
  <c r="AZ7" i="40"/>
  <c r="AX7" i="40"/>
  <c r="AW7" i="40"/>
  <c r="AV7" i="40"/>
  <c r="AU7" i="40"/>
  <c r="AR7" i="40"/>
  <c r="AT7" i="40" s="1"/>
  <c r="AP7" i="40"/>
  <c r="AN7" i="40"/>
  <c r="AK7" i="40"/>
  <c r="AJ7" i="40"/>
  <c r="AG7" i="40"/>
  <c r="AF7" i="40"/>
  <c r="AC7" i="40"/>
  <c r="AB7" i="40"/>
  <c r="Z7" i="40"/>
  <c r="Y7" i="40"/>
  <c r="W7" i="40"/>
  <c r="V7" i="40"/>
  <c r="U7" i="40"/>
  <c r="T7" i="40"/>
  <c r="S7" i="40"/>
  <c r="R7" i="40"/>
  <c r="N7" i="40"/>
  <c r="M7" i="40"/>
  <c r="GJ6" i="40"/>
  <c r="GB6" i="40"/>
  <c r="DR6" i="40"/>
  <c r="DM6" i="40"/>
  <c r="DK6" i="40"/>
  <c r="DI6" i="40"/>
  <c r="CW6" i="40"/>
  <c r="CU6" i="40"/>
  <c r="CT6" i="40"/>
  <c r="CQ6" i="40"/>
  <c r="CM6" i="40"/>
  <c r="CI6" i="40"/>
  <c r="CF6" i="40"/>
  <c r="CA6" i="40"/>
  <c r="BD6" i="40"/>
  <c r="BC6" i="40"/>
  <c r="BB6" i="40"/>
  <c r="AZ6" i="40"/>
  <c r="AX6" i="40"/>
  <c r="AW6" i="40"/>
  <c r="AV6" i="40"/>
  <c r="AU6" i="40"/>
  <c r="AR6" i="40"/>
  <c r="AP6" i="40"/>
  <c r="AN6" i="40"/>
  <c r="AK6" i="40"/>
  <c r="AJ6" i="40"/>
  <c r="AG6" i="40"/>
  <c r="AF6" i="40"/>
  <c r="AC6" i="40"/>
  <c r="AB6" i="40"/>
  <c r="Z6" i="40"/>
  <c r="Y6" i="40"/>
  <c r="W6" i="40"/>
  <c r="V6" i="40"/>
  <c r="U6" i="40"/>
  <c r="T6" i="40"/>
  <c r="S6" i="40"/>
  <c r="R6" i="40"/>
  <c r="N6" i="40"/>
  <c r="M6" i="40"/>
  <c r="DC3" i="40"/>
  <c r="DB3" i="40"/>
  <c r="DA3" i="40"/>
  <c r="CZ3" i="40"/>
  <c r="CY3" i="40"/>
  <c r="CX3" i="40"/>
  <c r="CW3" i="40"/>
  <c r="CV3" i="40"/>
  <c r="CU3" i="40"/>
  <c r="CT3" i="40"/>
  <c r="CS3" i="40"/>
  <c r="CR3" i="40"/>
  <c r="CQ3" i="40"/>
  <c r="CP3" i="40"/>
  <c r="CO3" i="40"/>
  <c r="CN3" i="40"/>
  <c r="CM3" i="40"/>
  <c r="CL3" i="40"/>
  <c r="CK3" i="40"/>
  <c r="CJ3" i="40"/>
  <c r="CI3" i="40"/>
  <c r="CH3" i="40"/>
  <c r="CG3" i="40"/>
  <c r="CF3" i="40"/>
  <c r="CE3" i="40"/>
  <c r="CD3" i="40"/>
  <c r="CC3" i="40"/>
  <c r="CG8" i="40" l="1"/>
  <c r="AH13" i="40"/>
  <c r="AI13" i="40" s="1"/>
  <c r="AL15" i="40"/>
  <c r="AH17" i="40"/>
  <c r="CL17" i="40" s="1"/>
  <c r="AH20" i="40"/>
  <c r="AD21" i="40"/>
  <c r="AL27" i="40"/>
  <c r="AD28" i="40"/>
  <c r="CH28" i="40" s="1"/>
  <c r="AH29" i="40"/>
  <c r="AL30" i="40"/>
  <c r="CG6" i="40"/>
  <c r="X7" i="40"/>
  <c r="CJ7" i="40"/>
  <c r="X8" i="40"/>
  <c r="CJ8" i="40"/>
  <c r="AQ8" i="40"/>
  <c r="O9" i="40"/>
  <c r="AL10" i="40"/>
  <c r="AS11" i="40"/>
  <c r="CE11" i="40" s="1"/>
  <c r="AH12" i="40"/>
  <c r="CL12" i="40" s="1"/>
  <c r="AH16" i="40"/>
  <c r="CG17" i="40"/>
  <c r="AD18" i="40"/>
  <c r="CR21" i="40"/>
  <c r="AL22" i="40"/>
  <c r="BS24" i="40"/>
  <c r="CN24" i="40"/>
  <c r="AL24" i="40"/>
  <c r="AD25" i="40"/>
  <c r="AE25" i="40" s="1"/>
  <c r="CO29" i="40"/>
  <c r="BS31" i="40"/>
  <c r="CF32" i="40"/>
  <c r="AL35" i="40"/>
  <c r="AM35" i="40" s="1"/>
  <c r="CO35" i="40"/>
  <c r="AL36" i="40"/>
  <c r="CP36" i="40" s="1"/>
  <c r="CJ6" i="40"/>
  <c r="CK8" i="40"/>
  <c r="AH14" i="40"/>
  <c r="AD15" i="40"/>
  <c r="AD27" i="40"/>
  <c r="AD30" i="40"/>
  <c r="BS6" i="40"/>
  <c r="CK6" i="40"/>
  <c r="AD10" i="40"/>
  <c r="CF10" i="40"/>
  <c r="AT12" i="40"/>
  <c r="BQ15" i="40"/>
  <c r="CN15" i="40"/>
  <c r="CJ18" i="40"/>
  <c r="AD19" i="40"/>
  <c r="CJ21" i="40"/>
  <c r="CU21" i="40"/>
  <c r="AD23" i="40"/>
  <c r="AD24" i="40"/>
  <c r="AD31" i="40"/>
  <c r="CG33" i="40"/>
  <c r="BL37" i="40"/>
  <c r="CF36" i="40"/>
  <c r="AD36" i="40"/>
  <c r="CS8" i="40"/>
  <c r="AH9" i="40"/>
  <c r="CK7" i="40"/>
  <c r="AL34" i="40"/>
  <c r="AD35" i="40"/>
  <c r="AE35" i="40" s="1"/>
  <c r="CO7" i="40"/>
  <c r="CO8" i="40"/>
  <c r="CG10" i="40"/>
  <c r="AH15" i="40"/>
  <c r="CL15" i="40" s="1"/>
  <c r="AL16" i="40"/>
  <c r="CF17" i="40"/>
  <c r="AD17" i="40"/>
  <c r="CF20" i="40"/>
  <c r="AD20" i="40"/>
  <c r="AO20" i="40"/>
  <c r="CR20" i="40"/>
  <c r="AL21" i="40"/>
  <c r="CP21" i="40" s="1"/>
  <c r="AH25" i="40"/>
  <c r="CN28" i="40"/>
  <c r="AL28" i="40"/>
  <c r="AD29" i="40"/>
  <c r="CH29" i="40" s="1"/>
  <c r="AH30" i="40"/>
  <c r="CL30" i="40" s="1"/>
  <c r="CN32" i="40"/>
  <c r="AL32" i="40"/>
  <c r="AH33" i="40"/>
  <c r="CJ35" i="40"/>
  <c r="AH35" i="40"/>
  <c r="CL35" i="40" s="1"/>
  <c r="AD6" i="40"/>
  <c r="X6" i="40"/>
  <c r="AL17" i="40"/>
  <c r="CP17" i="40" s="1"/>
  <c r="AD33" i="40"/>
  <c r="CO36" i="40"/>
  <c r="GB37" i="40"/>
  <c r="GJ37" i="40" s="1"/>
  <c r="AD7" i="40"/>
  <c r="CR7" i="40"/>
  <c r="CR8" i="40"/>
  <c r="AS8" i="40"/>
  <c r="CE8" i="40" s="1"/>
  <c r="AD11" i="40"/>
  <c r="AE11" i="40" s="1"/>
  <c r="AD12" i="40"/>
  <c r="BG12" i="40"/>
  <c r="CG13" i="40"/>
  <c r="CV13" i="40"/>
  <c r="AS14" i="40"/>
  <c r="CE14" i="40" s="1"/>
  <c r="AD16" i="40"/>
  <c r="AL18" i="40"/>
  <c r="AH19" i="40"/>
  <c r="CL19" i="40" s="1"/>
  <c r="AH22" i="40"/>
  <c r="CL22" i="40" s="1"/>
  <c r="AH24" i="40"/>
  <c r="AS25" i="40"/>
  <c r="CE25" i="40" s="1"/>
  <c r="AS28" i="40"/>
  <c r="CE28" i="40" s="1"/>
  <c r="AH31" i="40"/>
  <c r="AD34" i="40"/>
  <c r="CK35" i="40"/>
  <c r="AO6" i="40"/>
  <c r="AQ7" i="40"/>
  <c r="AD14" i="40"/>
  <c r="AL33" i="40"/>
  <c r="AM33" i="40" s="1"/>
  <c r="AH34" i="40"/>
  <c r="CL34" i="40" s="1"/>
  <c r="AA30" i="40"/>
  <c r="BU30" i="40" s="1"/>
  <c r="CG36" i="40"/>
  <c r="AS35" i="40"/>
  <c r="CE35" i="40" s="1"/>
  <c r="AT35" i="40"/>
  <c r="AQ36" i="40"/>
  <c r="CN36" i="40"/>
  <c r="CK36" i="40"/>
  <c r="AI36" i="40"/>
  <c r="CJ36" i="40"/>
  <c r="AO36" i="40"/>
  <c r="CN35" i="40"/>
  <c r="CU36" i="40"/>
  <c r="BH31" i="40"/>
  <c r="DJ31" i="40" s="1"/>
  <c r="F40" i="40"/>
  <c r="K40" i="40"/>
  <c r="J40" i="40"/>
  <c r="I40" i="40"/>
  <c r="G40" i="40"/>
  <c r="AQ35" i="40"/>
  <c r="AS34" i="40"/>
  <c r="CE34" i="40" s="1"/>
  <c r="CF34" i="40"/>
  <c r="BG35" i="40"/>
  <c r="CG35" i="40"/>
  <c r="CR35" i="40"/>
  <c r="CP35" i="40"/>
  <c r="CK34" i="40"/>
  <c r="AI35" i="40"/>
  <c r="CG34" i="40"/>
  <c r="CJ34" i="40"/>
  <c r="BP35" i="40"/>
  <c r="BS36" i="40"/>
  <c r="BP34" i="40"/>
  <c r="O34" i="40"/>
  <c r="BT34" i="40"/>
  <c r="CO34" i="40"/>
  <c r="CU33" i="40"/>
  <c r="CO33" i="40"/>
  <c r="AO34" i="40"/>
  <c r="CN33" i="40"/>
  <c r="BR33" i="40"/>
  <c r="X34" i="40"/>
  <c r="CU34" i="40"/>
  <c r="BG34" i="40"/>
  <c r="BS33" i="40"/>
  <c r="DA33" i="40"/>
  <c r="CK33" i="40"/>
  <c r="CK32" i="40"/>
  <c r="AQ33" i="40"/>
  <c r="X33" i="40"/>
  <c r="CR33" i="40"/>
  <c r="BG33" i="40"/>
  <c r="CG32" i="40"/>
  <c r="BQ32" i="40"/>
  <c r="CH32" i="40"/>
  <c r="AO32" i="40"/>
  <c r="CP32" i="40"/>
  <c r="X32" i="40"/>
  <c r="CO31" i="40"/>
  <c r="CL32" i="40"/>
  <c r="CJ31" i="40"/>
  <c r="CO32" i="40"/>
  <c r="BP31" i="40"/>
  <c r="BR31" i="40"/>
  <c r="CF29" i="40"/>
  <c r="CV31" i="40"/>
  <c r="AO29" i="40"/>
  <c r="CN31" i="40"/>
  <c r="CK31" i="40"/>
  <c r="CG28" i="40"/>
  <c r="CR29" i="40"/>
  <c r="AS30" i="40"/>
  <c r="CE30" i="40" s="1"/>
  <c r="CJ30" i="40"/>
  <c r="AS31" i="40"/>
  <c r="CE31" i="40" s="1"/>
  <c r="CD31" i="40"/>
  <c r="CK29" i="40"/>
  <c r="CG29" i="40"/>
  <c r="AQ30" i="40"/>
  <c r="CJ29" i="40"/>
  <c r="CU30" i="40"/>
  <c r="AO30" i="40"/>
  <c r="CU31" i="40"/>
  <c r="CO30" i="40"/>
  <c r="CS31" i="40"/>
  <c r="CR31" i="40"/>
  <c r="CO28" i="40"/>
  <c r="AS29" i="40"/>
  <c r="CE29" i="40" s="1"/>
  <c r="CN30" i="40"/>
  <c r="CP29" i="40"/>
  <c r="AQ29" i="40"/>
  <c r="CK30" i="40"/>
  <c r="CU29" i="40"/>
  <c r="DA28" i="40"/>
  <c r="BP30" i="40"/>
  <c r="BO30" i="40"/>
  <c r="O30" i="40"/>
  <c r="BS29" i="40"/>
  <c r="BQ29" i="40"/>
  <c r="BR28" i="40"/>
  <c r="BS28" i="40"/>
  <c r="CV28" i="40"/>
  <c r="DA27" i="40"/>
  <c r="X28" i="40"/>
  <c r="AO28" i="40"/>
  <c r="CK27" i="40"/>
  <c r="CP28" i="40"/>
  <c r="CU28" i="40"/>
  <c r="CK28" i="40"/>
  <c r="CL28" i="40"/>
  <c r="CN27" i="40"/>
  <c r="BO27" i="40"/>
  <c r="BQ27" i="40"/>
  <c r="CO27" i="40"/>
  <c r="CU26" i="40"/>
  <c r="CG27" i="40"/>
  <c r="CL27" i="40"/>
  <c r="CK26" i="40"/>
  <c r="AA27" i="40"/>
  <c r="BZ27" i="40" s="1"/>
  <c r="BG27" i="40"/>
  <c r="AQ27" i="40"/>
  <c r="BO26" i="40"/>
  <c r="CG26" i="40"/>
  <c r="CO25" i="40"/>
  <c r="AS26" i="40"/>
  <c r="CE26" i="40" s="1"/>
  <c r="BG26" i="40"/>
  <c r="AO26" i="40"/>
  <c r="CJ26" i="40"/>
  <c r="CG25" i="40"/>
  <c r="CO26" i="40"/>
  <c r="CP26" i="40"/>
  <c r="X26" i="40"/>
  <c r="CU25" i="40"/>
  <c r="CD25" i="40"/>
  <c r="AQ26" i="40"/>
  <c r="BQ25" i="40"/>
  <c r="DD25" i="40"/>
  <c r="BS25" i="40"/>
  <c r="CK25" i="40"/>
  <c r="CO24" i="40"/>
  <c r="CJ24" i="40"/>
  <c r="BG25" i="40"/>
  <c r="AS24" i="40"/>
  <c r="CE24" i="40" s="1"/>
  <c r="CG24" i="40"/>
  <c r="AQ25" i="40"/>
  <c r="CN25" i="40"/>
  <c r="AO25" i="40"/>
  <c r="BR24" i="40"/>
  <c r="BT24" i="40"/>
  <c r="X24" i="40"/>
  <c r="CP24" i="40"/>
  <c r="BG24" i="40"/>
  <c r="AE24" i="40"/>
  <c r="CU24" i="40"/>
  <c r="CK24" i="40"/>
  <c r="BP23" i="40"/>
  <c r="O23" i="40"/>
  <c r="DF23" i="40" s="1"/>
  <c r="AO24" i="40"/>
  <c r="CS23" i="40"/>
  <c r="CV23" i="40"/>
  <c r="CN23" i="40"/>
  <c r="CG23" i="40"/>
  <c r="AO22" i="40"/>
  <c r="BG21" i="40"/>
  <c r="CN21" i="40"/>
  <c r="CG22" i="40"/>
  <c r="CL23" i="40"/>
  <c r="AQ22" i="40"/>
  <c r="CO21" i="40"/>
  <c r="CO22" i="40"/>
  <c r="BG20" i="40"/>
  <c r="CO20" i="40"/>
  <c r="CK20" i="40"/>
  <c r="CL21" i="40"/>
  <c r="CK22" i="40"/>
  <c r="X23" i="40"/>
  <c r="CR23" i="40"/>
  <c r="CF21" i="40"/>
  <c r="CG20" i="40"/>
  <c r="CU20" i="40"/>
  <c r="CK23" i="40"/>
  <c r="CU23" i="40"/>
  <c r="CN22" i="40"/>
  <c r="CG21" i="40"/>
  <c r="CV21" i="40"/>
  <c r="CJ22" i="40"/>
  <c r="AE21" i="40"/>
  <c r="BQ20" i="40"/>
  <c r="CO19" i="40"/>
  <c r="AQ20" i="40"/>
  <c r="CK19" i="40"/>
  <c r="CJ19" i="40"/>
  <c r="CP20" i="40"/>
  <c r="CR19" i="40"/>
  <c r="CK18" i="40"/>
  <c r="CS19" i="40"/>
  <c r="CN19" i="40"/>
  <c r="CU19" i="40"/>
  <c r="CG19" i="40"/>
  <c r="CN18" i="40"/>
  <c r="BH17" i="40"/>
  <c r="AO18" i="40"/>
  <c r="CO18" i="40"/>
  <c r="AI18" i="40"/>
  <c r="CJ17" i="40"/>
  <c r="AA18" i="40"/>
  <c r="BU18" i="40" s="1"/>
  <c r="CG18" i="40"/>
  <c r="BG17" i="40"/>
  <c r="AT18" i="40"/>
  <c r="AQ18" i="40"/>
  <c r="CF22" i="40"/>
  <c r="AE36" i="40"/>
  <c r="AE26" i="40"/>
  <c r="AE32" i="40"/>
  <c r="AE20" i="40"/>
  <c r="AE17" i="40"/>
  <c r="AQ17" i="40"/>
  <c r="AO17" i="40"/>
  <c r="CO16" i="40"/>
  <c r="CN16" i="40"/>
  <c r="CG16" i="40"/>
  <c r="DG22" i="40"/>
  <c r="BR16" i="40"/>
  <c r="BP19" i="40"/>
  <c r="BP18" i="40"/>
  <c r="BT16" i="40"/>
  <c r="O19" i="40"/>
  <c r="BX19" i="40" s="1"/>
  <c r="O18" i="40"/>
  <c r="BX18" i="40" s="1"/>
  <c r="BS20" i="40"/>
  <c r="BO21" i="40"/>
  <c r="BQ22" i="40"/>
  <c r="BT21" i="40"/>
  <c r="BO22" i="40"/>
  <c r="DG16" i="40"/>
  <c r="O21" i="40"/>
  <c r="BO17" i="40"/>
  <c r="BP22" i="40"/>
  <c r="BT17" i="40"/>
  <c r="O20" i="40"/>
  <c r="DG20" i="40" s="1"/>
  <c r="CO15" i="40"/>
  <c r="AA15" i="40"/>
  <c r="BU15" i="40" s="1"/>
  <c r="AQ15" i="40"/>
  <c r="AO16" i="40"/>
  <c r="BG15" i="40"/>
  <c r="CK15" i="40"/>
  <c r="AT16" i="40"/>
  <c r="AS16" i="40"/>
  <c r="CE16" i="40" s="1"/>
  <c r="X16" i="40"/>
  <c r="CU16" i="40"/>
  <c r="BO15" i="40"/>
  <c r="BO14" i="40"/>
  <c r="AD13" i="40"/>
  <c r="AE13" i="40" s="1"/>
  <c r="CF13" i="40"/>
  <c r="CD14" i="40"/>
  <c r="CO12" i="40"/>
  <c r="CG14" i="40"/>
  <c r="AQ14" i="40"/>
  <c r="CJ12" i="40"/>
  <c r="AO13" i="40"/>
  <c r="X14" i="40"/>
  <c r="CR14" i="40"/>
  <c r="AI12" i="40"/>
  <c r="BG13" i="40"/>
  <c r="CO13" i="40"/>
  <c r="CO14" i="40"/>
  <c r="BG14" i="40"/>
  <c r="CG12" i="40"/>
  <c r="CN13" i="40"/>
  <c r="CP14" i="40"/>
  <c r="CJ13" i="40"/>
  <c r="CK13" i="40"/>
  <c r="AS12" i="40"/>
  <c r="CE12" i="40" s="1"/>
  <c r="BQ13" i="40"/>
  <c r="BS12" i="40"/>
  <c r="CG11" i="40"/>
  <c r="CN12" i="40"/>
  <c r="CU12" i="40"/>
  <c r="X12" i="40"/>
  <c r="CK12" i="40"/>
  <c r="CY11" i="40"/>
  <c r="BQ11" i="40"/>
  <c r="AH10" i="40"/>
  <c r="AI10" i="40" s="1"/>
  <c r="X11" i="40"/>
  <c r="AQ11" i="40"/>
  <c r="AA11" i="40"/>
  <c r="BU11" i="40" s="1"/>
  <c r="CN11" i="40"/>
  <c r="CJ11" i="40"/>
  <c r="CK11" i="40"/>
  <c r="BO10" i="40"/>
  <c r="CO11" i="40"/>
  <c r="BP10" i="40"/>
  <c r="CG9" i="40"/>
  <c r="AS9" i="40"/>
  <c r="CE9" i="40" s="1"/>
  <c r="X10" i="40"/>
  <c r="AQ10" i="40"/>
  <c r="AQ9" i="40"/>
  <c r="CS10" i="40"/>
  <c r="AO9" i="40"/>
  <c r="CR10" i="40"/>
  <c r="CO9" i="40"/>
  <c r="CO10" i="40"/>
  <c r="CN9" i="40"/>
  <c r="CK9" i="40"/>
  <c r="CK10" i="40"/>
  <c r="AE9" i="40"/>
  <c r="DC9" i="40"/>
  <c r="BS9" i="40"/>
  <c r="BP9" i="40"/>
  <c r="DG9" i="40"/>
  <c r="AH7" i="40"/>
  <c r="CL7" i="40" s="1"/>
  <c r="CR6" i="40"/>
  <c r="BP7" i="40"/>
  <c r="AS7" i="40"/>
  <c r="CE7" i="40" s="1"/>
  <c r="CN8" i="40"/>
  <c r="AA8" i="40"/>
  <c r="BU8" i="40" s="1"/>
  <c r="CD7" i="40"/>
  <c r="BS8" i="40"/>
  <c r="BP8" i="40"/>
  <c r="BP6" i="40"/>
  <c r="BH6" i="40"/>
  <c r="BM6" i="40"/>
  <c r="BM7" i="40" s="1"/>
  <c r="BM8" i="40" s="1"/>
  <c r="BM9" i="40" s="1"/>
  <c r="BM10" i="40" s="1"/>
  <c r="BM11" i="40" s="1"/>
  <c r="BM12" i="40" s="1"/>
  <c r="BM13" i="40" s="1"/>
  <c r="BM14" i="40" s="1"/>
  <c r="BM15" i="40" s="1"/>
  <c r="BM16" i="40" s="1"/>
  <c r="BM17" i="40" s="1"/>
  <c r="BM18" i="40" s="1"/>
  <c r="BM19" i="40" s="1"/>
  <c r="BM20" i="40" s="1"/>
  <c r="BM21" i="40" s="1"/>
  <c r="BM22" i="40" s="1"/>
  <c r="BM23" i="40" s="1"/>
  <c r="BM24" i="40" s="1"/>
  <c r="BM25" i="40" s="1"/>
  <c r="BM26" i="40" s="1"/>
  <c r="BM27" i="40" s="1"/>
  <c r="BM28" i="40" s="1"/>
  <c r="BM29" i="40" s="1"/>
  <c r="BM30" i="40" s="1"/>
  <c r="BM31" i="40" s="1"/>
  <c r="BM32" i="40" s="1"/>
  <c r="BM33" i="40" s="1"/>
  <c r="BM34" i="40" s="1"/>
  <c r="BM35" i="40" s="1"/>
  <c r="BM36" i="40" s="1"/>
  <c r="BM37" i="40" s="1"/>
  <c r="AW37" i="40"/>
  <c r="AO7" i="40"/>
  <c r="AT10" i="40"/>
  <c r="AO14" i="40"/>
  <c r="AI16" i="40"/>
  <c r="AS18" i="40"/>
  <c r="CE18" i="40" s="1"/>
  <c r="AA26" i="40"/>
  <c r="BJ26" i="40" s="1"/>
  <c r="BI26" i="40" s="1"/>
  <c r="BG30" i="40"/>
  <c r="AM32" i="40"/>
  <c r="AI34" i="40"/>
  <c r="AV37" i="40"/>
  <c r="AA7" i="40"/>
  <c r="CP23" i="40"/>
  <c r="AM24" i="40"/>
  <c r="AI30" i="40"/>
  <c r="BG32" i="40"/>
  <c r="AE34" i="40"/>
  <c r="AT13" i="40"/>
  <c r="AE16" i="40"/>
  <c r="AQ19" i="40"/>
  <c r="CD19" i="40"/>
  <c r="BG36" i="40"/>
  <c r="AS23" i="40"/>
  <c r="CE23" i="40" s="1"/>
  <c r="U37" i="40"/>
  <c r="AQ16" i="40"/>
  <c r="AM17" i="40"/>
  <c r="AA20" i="40"/>
  <c r="BG22" i="40"/>
  <c r="AT26" i="40"/>
  <c r="AT30" i="40"/>
  <c r="AQ34" i="40"/>
  <c r="AY37" i="40"/>
  <c r="BG10" i="40"/>
  <c r="BG7" i="40"/>
  <c r="AA32" i="40"/>
  <c r="BU32" i="40" s="1"/>
  <c r="AK37" i="40"/>
  <c r="S37" i="40"/>
  <c r="BC37" i="40"/>
  <c r="AM28" i="40"/>
  <c r="AA36" i="40"/>
  <c r="AA23" i="40"/>
  <c r="BU23" i="40" s="1"/>
  <c r="T37" i="40"/>
  <c r="AJ37" i="40"/>
  <c r="AG37" i="40"/>
  <c r="BB37" i="40"/>
  <c r="AL8" i="40"/>
  <c r="CP8" i="40" s="1"/>
  <c r="AS10" i="40"/>
  <c r="CE10" i="40" s="1"/>
  <c r="CP13" i="40"/>
  <c r="BG18" i="40"/>
  <c r="AA19" i="40"/>
  <c r="BU19" i="40" s="1"/>
  <c r="AA22" i="40"/>
  <c r="BU22" i="40" s="1"/>
  <c r="CD23" i="40"/>
  <c r="CP25" i="40"/>
  <c r="AE29" i="40"/>
  <c r="AT29" i="40"/>
  <c r="CD29" i="40"/>
  <c r="CD32" i="40"/>
  <c r="AO35" i="40"/>
  <c r="CD36" i="40"/>
  <c r="CD8" i="40"/>
  <c r="BG8" i="40"/>
  <c r="CD11" i="40"/>
  <c r="AQ12" i="40"/>
  <c r="AS19" i="40"/>
  <c r="CE19" i="40" s="1"/>
  <c r="AQ24" i="40"/>
  <c r="AA31" i="40"/>
  <c r="BZ31" i="40" s="1"/>
  <c r="AO33" i="40"/>
  <c r="BG6" i="40"/>
  <c r="AU37" i="40"/>
  <c r="AS6" i="40"/>
  <c r="BY22" i="40"/>
  <c r="CY18" i="40"/>
  <c r="BT12" i="40"/>
  <c r="CY22" i="40"/>
  <c r="BR8" i="40"/>
  <c r="CZ9" i="40"/>
  <c r="BY9" i="40"/>
  <c r="DD9" i="40"/>
  <c r="BR12" i="40"/>
  <c r="DA16" i="40"/>
  <c r="BW18" i="40"/>
  <c r="CX22" i="40"/>
  <c r="BX22" i="40"/>
  <c r="BQ24" i="40"/>
  <c r="BO25" i="40"/>
  <c r="BT25" i="40"/>
  <c r="BT33" i="40"/>
  <c r="DG18" i="40"/>
  <c r="BQ18" i="40"/>
  <c r="BW22" i="40"/>
  <c r="BO8" i="40"/>
  <c r="CX9" i="40"/>
  <c r="BV9" i="40"/>
  <c r="CY9" i="40"/>
  <c r="BS16" i="40"/>
  <c r="BS18" i="40"/>
  <c r="BO18" i="40"/>
  <c r="BT31" i="40"/>
  <c r="BQ31" i="40"/>
  <c r="BO34" i="40"/>
  <c r="CX18" i="40"/>
  <c r="BW9" i="40"/>
  <c r="BP13" i="40"/>
  <c r="BQ16" i="40"/>
  <c r="BT19" i="40"/>
  <c r="BR19" i="40"/>
  <c r="BT23" i="40"/>
  <c r="BR23" i="40"/>
  <c r="BO31" i="40"/>
  <c r="BR11" i="40"/>
  <c r="BO13" i="40"/>
  <c r="DJ15" i="40"/>
  <c r="BS19" i="40"/>
  <c r="BQ19" i="40"/>
  <c r="BS22" i="40"/>
  <c r="BS23" i="40"/>
  <c r="BQ23" i="40"/>
  <c r="BT28" i="40"/>
  <c r="DD28" i="40"/>
  <c r="BQ33" i="40"/>
  <c r="BT13" i="40"/>
  <c r="BO19" i="40"/>
  <c r="BO23" i="40"/>
  <c r="CY29" i="40"/>
  <c r="BS32" i="40"/>
  <c r="BT18" i="40"/>
  <c r="O6" i="40"/>
  <c r="CZ6" i="40" s="1"/>
  <c r="BT6" i="40"/>
  <c r="BO7" i="40"/>
  <c r="BU20" i="40"/>
  <c r="BQ28" i="40"/>
  <c r="BO29" i="40"/>
  <c r="BS7" i="40"/>
  <c r="O8" i="40"/>
  <c r="BW8" i="40" s="1"/>
  <c r="BS10" i="40"/>
  <c r="BT20" i="40"/>
  <c r="BT29" i="40"/>
  <c r="DF9" i="40"/>
  <c r="BR20" i="40"/>
  <c r="AO12" i="40"/>
  <c r="CR12" i="40"/>
  <c r="AS20" i="40"/>
  <c r="CE20" i="40" s="1"/>
  <c r="AT20" i="40"/>
  <c r="R37" i="40"/>
  <c r="BO6" i="40"/>
  <c r="AA6" i="40"/>
  <c r="BZ6" i="40" s="1"/>
  <c r="AH6" i="40"/>
  <c r="AF37" i="40"/>
  <c r="CN10" i="40"/>
  <c r="CP10" i="40"/>
  <c r="AO15" i="40"/>
  <c r="CR15" i="40"/>
  <c r="AS17" i="40"/>
  <c r="CE17" i="40" s="1"/>
  <c r="AT17" i="40"/>
  <c r="CD17" i="40"/>
  <c r="BH19" i="40"/>
  <c r="AM27" i="40"/>
  <c r="CP27" i="40"/>
  <c r="BH28" i="40"/>
  <c r="DJ28" i="40" s="1"/>
  <c r="CP34" i="40"/>
  <c r="CN34" i="40"/>
  <c r="AA10" i="40"/>
  <c r="AX37" i="40"/>
  <c r="BG11" i="40"/>
  <c r="BG23" i="40"/>
  <c r="CR24" i="40"/>
  <c r="AM18" i="40"/>
  <c r="CP18" i="40"/>
  <c r="AS33" i="40"/>
  <c r="CE33" i="40" s="1"/>
  <c r="AT33" i="40"/>
  <c r="CD33" i="40"/>
  <c r="BP11" i="40"/>
  <c r="BS11" i="40"/>
  <c r="BT11" i="40"/>
  <c r="AM15" i="40"/>
  <c r="CP15" i="40"/>
  <c r="AM21" i="40"/>
  <c r="BH24" i="40"/>
  <c r="BH32" i="40"/>
  <c r="BG9" i="40"/>
  <c r="DH9" i="40" s="1"/>
  <c r="W37" i="40"/>
  <c r="BG19" i="40"/>
  <c r="DH19" i="40" s="1"/>
  <c r="BG29" i="40"/>
  <c r="BG31" i="40"/>
  <c r="BH18" i="40"/>
  <c r="CJ9" i="40"/>
  <c r="CL9" i="40"/>
  <c r="AI9" i="40"/>
  <c r="CL13" i="40"/>
  <c r="CY27" i="40"/>
  <c r="CZ27" i="40"/>
  <c r="CB27" i="40"/>
  <c r="DB27" i="40"/>
  <c r="DP27" i="40"/>
  <c r="DC27" i="40"/>
  <c r="BY27" i="40"/>
  <c r="DD27" i="40"/>
  <c r="DE27" i="40"/>
  <c r="DF27" i="40"/>
  <c r="BV27" i="40"/>
  <c r="DG27" i="40"/>
  <c r="BW27" i="40"/>
  <c r="DH27" i="40"/>
  <c r="BX27" i="40"/>
  <c r="X29" i="40"/>
  <c r="BR29" i="40"/>
  <c r="DE12" i="40"/>
  <c r="AI14" i="40"/>
  <c r="AI21" i="40"/>
  <c r="AS22" i="40"/>
  <c r="CE22" i="40" s="1"/>
  <c r="BH11" i="40"/>
  <c r="DJ11" i="40" s="1"/>
  <c r="DJ9" i="40"/>
  <c r="AO27" i="40"/>
  <c r="CR27" i="40"/>
  <c r="BH23" i="40"/>
  <c r="BO9" i="40"/>
  <c r="AA9" i="40"/>
  <c r="BZ9" i="40" s="1"/>
  <c r="CN7" i="40"/>
  <c r="AL7" i="40"/>
  <c r="CP7" i="40" s="1"/>
  <c r="CH8" i="40"/>
  <c r="BX8" i="40"/>
  <c r="BH25" i="40"/>
  <c r="AE27" i="40"/>
  <c r="CF27" i="40"/>
  <c r="BH29" i="40"/>
  <c r="DP29" i="40"/>
  <c r="AE6" i="40"/>
  <c r="DB11" i="40"/>
  <c r="M37" i="40"/>
  <c r="Z37" i="40"/>
  <c r="DE9" i="40"/>
  <c r="AA12" i="40"/>
  <c r="BU12" i="40" s="1"/>
  <c r="BG16" i="40"/>
  <c r="CF16" i="40"/>
  <c r="AA21" i="40"/>
  <c r="BU21" i="40" s="1"/>
  <c r="DJ27" i="40"/>
  <c r="BG28" i="40"/>
  <c r="DP12" i="40"/>
  <c r="DC12" i="40"/>
  <c r="DD12" i="40"/>
  <c r="DF12" i="40"/>
  <c r="BV12" i="40"/>
  <c r="DG12" i="40"/>
  <c r="BW12" i="40"/>
  <c r="DH12" i="40"/>
  <c r="BX12" i="40"/>
  <c r="BY12" i="40"/>
  <c r="DA12" i="40"/>
  <c r="DJ12" i="40"/>
  <c r="CX12" i="40"/>
  <c r="BZ12" i="40"/>
  <c r="CY12" i="40"/>
  <c r="CZ12" i="40"/>
  <c r="CB12" i="40"/>
  <c r="CY15" i="40"/>
  <c r="DL15" i="40"/>
  <c r="CZ15" i="40"/>
  <c r="CB15" i="40"/>
  <c r="DB15" i="40"/>
  <c r="BY15" i="40"/>
  <c r="DP15" i="40"/>
  <c r="DC15" i="40"/>
  <c r="DD15" i="40"/>
  <c r="DE15" i="40"/>
  <c r="DF15" i="40"/>
  <c r="BV15" i="40"/>
  <c r="DG15" i="40"/>
  <c r="BW15" i="40"/>
  <c r="DH15" i="40"/>
  <c r="BX15" i="40"/>
  <c r="CP16" i="40"/>
  <c r="AM16" i="40"/>
  <c r="X25" i="40"/>
  <c r="BR25" i="40"/>
  <c r="AI29" i="40"/>
  <c r="CL29" i="40"/>
  <c r="CL31" i="40"/>
  <c r="AI31" i="40"/>
  <c r="Y37" i="40"/>
  <c r="CF28" i="40"/>
  <c r="BH30" i="40"/>
  <c r="CF15" i="40"/>
  <c r="BH33" i="40"/>
  <c r="BH34" i="40"/>
  <c r="DA15" i="40"/>
  <c r="AA17" i="40"/>
  <c r="AA33" i="40"/>
  <c r="BU33" i="40" s="1"/>
  <c r="AM22" i="40"/>
  <c r="CP22" i="40"/>
  <c r="DL11" i="40"/>
  <c r="CZ11" i="40"/>
  <c r="CB11" i="40"/>
  <c r="DA11" i="40"/>
  <c r="DP11" i="40"/>
  <c r="DC11" i="40"/>
  <c r="DD11" i="40"/>
  <c r="DE11" i="40"/>
  <c r="DF11" i="40"/>
  <c r="BV11" i="40"/>
  <c r="DG11" i="40"/>
  <c r="BW11" i="40"/>
  <c r="CX11" i="40"/>
  <c r="BX11" i="40"/>
  <c r="BY11" i="40"/>
  <c r="AT6" i="40"/>
  <c r="AR37" i="40"/>
  <c r="CB6" i="40"/>
  <c r="CD6" i="40"/>
  <c r="AQ6" i="40"/>
  <c r="AP37" i="40"/>
  <c r="CF8" i="40"/>
  <c r="AD8" i="40"/>
  <c r="AE8" i="40" s="1"/>
  <c r="AO11" i="40"/>
  <c r="CR11" i="40"/>
  <c r="CL20" i="40"/>
  <c r="CJ20" i="40"/>
  <c r="AI25" i="40"/>
  <c r="CL25" i="40"/>
  <c r="CP33" i="40"/>
  <c r="BO35" i="40"/>
  <c r="BQ35" i="40"/>
  <c r="BR35" i="40"/>
  <c r="BS35" i="40"/>
  <c r="BT35" i="40"/>
  <c r="BU35" i="40"/>
  <c r="CU9" i="40"/>
  <c r="BO11" i="40"/>
  <c r="CX15" i="40"/>
  <c r="AA16" i="40"/>
  <c r="AI17" i="40"/>
  <c r="CD20" i="40"/>
  <c r="AA24" i="40"/>
  <c r="BZ24" i="40" s="1"/>
  <c r="CX27" i="40"/>
  <c r="AA28" i="40"/>
  <c r="BU28" i="40" s="1"/>
  <c r="AS21" i="40"/>
  <c r="CE21" i="40" s="1"/>
  <c r="AT21" i="40"/>
  <c r="CD21" i="40"/>
  <c r="AM30" i="40"/>
  <c r="CP30" i="40"/>
  <c r="AQ32" i="40"/>
  <c r="CU32" i="40"/>
  <c r="CL33" i="40"/>
  <c r="CJ33" i="40"/>
  <c r="DP9" i="40"/>
  <c r="BH8" i="40"/>
  <c r="AT9" i="40"/>
  <c r="CB9" i="40"/>
  <c r="CD9" i="40"/>
  <c r="CF12" i="40"/>
  <c r="AE12" i="40"/>
  <c r="CH16" i="40"/>
  <c r="BH22" i="40"/>
  <c r="DP24" i="40"/>
  <c r="CB24" i="40"/>
  <c r="BY24" i="40"/>
  <c r="AI24" i="40"/>
  <c r="CL24" i="40"/>
  <c r="DB28" i="40"/>
  <c r="DP28" i="40"/>
  <c r="DC28" i="40"/>
  <c r="DE28" i="40"/>
  <c r="CB28" i="40"/>
  <c r="DF28" i="40"/>
  <c r="BV28" i="40"/>
  <c r="CZ28" i="40"/>
  <c r="DG28" i="40"/>
  <c r="BW28" i="40"/>
  <c r="BX28" i="40"/>
  <c r="BY28" i="40"/>
  <c r="CX28" i="40"/>
  <c r="CY28" i="40"/>
  <c r="AA14" i="40"/>
  <c r="BJ14" i="40" s="1"/>
  <c r="BI14" i="40" s="1"/>
  <c r="V37" i="40"/>
  <c r="AN37" i="40"/>
  <c r="BD37" i="40"/>
  <c r="CR16" i="40"/>
  <c r="CF24" i="40"/>
  <c r="DE29" i="40"/>
  <c r="BR6" i="40"/>
  <c r="DB6" i="40"/>
  <c r="DP6" i="40"/>
  <c r="BR9" i="40"/>
  <c r="DB9" i="40"/>
  <c r="AI11" i="40"/>
  <c r="BP12" i="40"/>
  <c r="BS13" i="40"/>
  <c r="AI15" i="40"/>
  <c r="CJ15" i="40"/>
  <c r="BO16" i="40"/>
  <c r="BS17" i="40"/>
  <c r="BV18" i="40"/>
  <c r="CH18" i="40"/>
  <c r="DF18" i="40"/>
  <c r="AM20" i="40"/>
  <c r="BP20" i="40"/>
  <c r="CN20" i="40"/>
  <c r="BS21" i="40"/>
  <c r="BV22" i="40"/>
  <c r="CH22" i="40"/>
  <c r="DF22" i="40"/>
  <c r="BO24" i="40"/>
  <c r="AI27" i="40"/>
  <c r="CJ27" i="40"/>
  <c r="BO28" i="40"/>
  <c r="BY31" i="40"/>
  <c r="BP33" i="40"/>
  <c r="CB33" i="40"/>
  <c r="BQ36" i="40"/>
  <c r="BR36" i="40"/>
  <c r="BQ6" i="40"/>
  <c r="CC6" i="40"/>
  <c r="CO6" i="40"/>
  <c r="DA6" i="40"/>
  <c r="AE7" i="40"/>
  <c r="BU7" i="40"/>
  <c r="AM9" i="40"/>
  <c r="BQ9" i="40"/>
  <c r="DA9" i="40"/>
  <c r="AE10" i="40"/>
  <c r="BU10" i="40"/>
  <c r="CL11" i="40"/>
  <c r="AT11" i="40"/>
  <c r="BO12" i="40"/>
  <c r="O13" i="40"/>
  <c r="BR13" i="40"/>
  <c r="AE14" i="40"/>
  <c r="BT14" i="40"/>
  <c r="CF14" i="40"/>
  <c r="AT15" i="40"/>
  <c r="CU15" i="40"/>
  <c r="BR17" i="40"/>
  <c r="DE18" i="40"/>
  <c r="BO20" i="40"/>
  <c r="BR21" i="40"/>
  <c r="DE22" i="40"/>
  <c r="AI23" i="40"/>
  <c r="CJ23" i="40"/>
  <c r="BT26" i="40"/>
  <c r="AT27" i="40"/>
  <c r="CU27" i="40"/>
  <c r="DA29" i="40"/>
  <c r="BX31" i="40"/>
  <c r="BO33" i="40"/>
  <c r="BS34" i="40"/>
  <c r="BH35" i="40"/>
  <c r="BP36" i="40"/>
  <c r="AL6" i="40"/>
  <c r="AM6" i="40" s="1"/>
  <c r="CN6" i="40"/>
  <c r="BT7" i="40"/>
  <c r="AH8" i="40"/>
  <c r="CL8" i="40" s="1"/>
  <c r="CP9" i="40"/>
  <c r="BT10" i="40"/>
  <c r="CU11" i="40"/>
  <c r="AA13" i="40"/>
  <c r="BU13" i="40" s="1"/>
  <c r="AM13" i="40"/>
  <c r="BS14" i="40"/>
  <c r="AS15" i="40"/>
  <c r="CE15" i="40" s="1"/>
  <c r="CK16" i="40"/>
  <c r="BQ17" i="40"/>
  <c r="CO17" i="40"/>
  <c r="AE18" i="40"/>
  <c r="CF18" i="40"/>
  <c r="CR18" i="40"/>
  <c r="DD18" i="40"/>
  <c r="BQ21" i="40"/>
  <c r="AE22" i="40"/>
  <c r="BT22" i="40"/>
  <c r="CR22" i="40"/>
  <c r="DD22" i="40"/>
  <c r="AA25" i="40"/>
  <c r="BU25" i="40" s="1"/>
  <c r="AM25" i="40"/>
  <c r="BP25" i="40"/>
  <c r="BS26" i="40"/>
  <c r="AS27" i="40"/>
  <c r="AA29" i="40"/>
  <c r="BU29" i="40" s="1"/>
  <c r="AM29" i="40"/>
  <c r="BP29" i="40"/>
  <c r="CB29" i="40"/>
  <c r="CN29" i="40"/>
  <c r="CZ29" i="40"/>
  <c r="AE30" i="40"/>
  <c r="BT30" i="40"/>
  <c r="CF30" i="40"/>
  <c r="CR30" i="40"/>
  <c r="BW31" i="40"/>
  <c r="DG31" i="40"/>
  <c r="AI32" i="40"/>
  <c r="CJ32" i="40"/>
  <c r="BR34" i="40"/>
  <c r="CD34" i="40"/>
  <c r="BO36" i="40"/>
  <c r="H37" i="40"/>
  <c r="BO32" i="40"/>
  <c r="BR14" i="40"/>
  <c r="BP17" i="40"/>
  <c r="DC18" i="40"/>
  <c r="DP18" i="40"/>
  <c r="CH19" i="40"/>
  <c r="BP21" i="40"/>
  <c r="DC22" i="40"/>
  <c r="DP22" i="40"/>
  <c r="CH23" i="40"/>
  <c r="BR26" i="40"/>
  <c r="BU27" i="40"/>
  <c r="AI28" i="40"/>
  <c r="CJ28" i="40"/>
  <c r="BS30" i="40"/>
  <c r="BV31" i="40"/>
  <c r="DF31" i="40"/>
  <c r="AT32" i="40"/>
  <c r="BY33" i="40"/>
  <c r="AA34" i="40"/>
  <c r="BU34" i="40" s="1"/>
  <c r="BQ34" i="40"/>
  <c r="CF35" i="40"/>
  <c r="BP28" i="40"/>
  <c r="O7" i="40"/>
  <c r="BR7" i="40"/>
  <c r="O10" i="40"/>
  <c r="CH10" i="40" s="1"/>
  <c r="BR10" i="40"/>
  <c r="O14" i="40"/>
  <c r="BQ14" i="40"/>
  <c r="BT15" i="40"/>
  <c r="BR18" i="40"/>
  <c r="DB18" i="40"/>
  <c r="BR22" i="40"/>
  <c r="DB22" i="40"/>
  <c r="AT24" i="40"/>
  <c r="BQ26" i="40"/>
  <c r="BT27" i="40"/>
  <c r="AT28" i="40"/>
  <c r="CX29" i="40"/>
  <c r="DJ29" i="40"/>
  <c r="BR30" i="40"/>
  <c r="DE31" i="40"/>
  <c r="BQ7" i="40"/>
  <c r="BQ10" i="40"/>
  <c r="AM14" i="40"/>
  <c r="BP14" i="40"/>
  <c r="CN14" i="40"/>
  <c r="BS15" i="40"/>
  <c r="CC18" i="40"/>
  <c r="DA18" i="40"/>
  <c r="AE19" i="40"/>
  <c r="CF19" i="40"/>
  <c r="DA22" i="40"/>
  <c r="AE23" i="40"/>
  <c r="CF23" i="40"/>
  <c r="AM26" i="40"/>
  <c r="BP26" i="40"/>
  <c r="CN26" i="40"/>
  <c r="BS27" i="40"/>
  <c r="BQ30" i="40"/>
  <c r="AE31" i="40"/>
  <c r="DD31" i="40"/>
  <c r="BW33" i="40"/>
  <c r="DG33" i="40"/>
  <c r="AC37" i="40"/>
  <c r="BP32" i="40"/>
  <c r="BQ12" i="40"/>
  <c r="BP16" i="40"/>
  <c r="BP24" i="40"/>
  <c r="CX31" i="40"/>
  <c r="BX6" i="40"/>
  <c r="DH6" i="40"/>
  <c r="BT8" i="40"/>
  <c r="BX9" i="40"/>
  <c r="BR15" i="40"/>
  <c r="BU16" i="40"/>
  <c r="CB18" i="40"/>
  <c r="CZ18" i="40"/>
  <c r="CB22" i="40"/>
  <c r="CZ22" i="40"/>
  <c r="BR27" i="40"/>
  <c r="DC31" i="40"/>
  <c r="DP31" i="40"/>
  <c r="BT32" i="40"/>
  <c r="BV33" i="40"/>
  <c r="AB37" i="40"/>
  <c r="AZ37" i="40"/>
  <c r="N37" i="40"/>
  <c r="BP15" i="40"/>
  <c r="BP27" i="40"/>
  <c r="CC31" i="40"/>
  <c r="DA31" i="40"/>
  <c r="BR32" i="40"/>
  <c r="AE33" i="40"/>
  <c r="CF33" i="40"/>
  <c r="DD33" i="40"/>
  <c r="BU36" i="40"/>
  <c r="AM19" i="40"/>
  <c r="AM23" i="40"/>
  <c r="AI26" i="40"/>
  <c r="AM31" i="40"/>
  <c r="CB31" i="40"/>
  <c r="CZ31" i="40"/>
  <c r="BT36" i="40"/>
  <c r="CG37" i="40" l="1"/>
  <c r="BU31" i="40"/>
  <c r="CC29" i="40"/>
  <c r="DH28" i="40"/>
  <c r="CN37" i="40"/>
  <c r="CS7" i="40"/>
  <c r="AM8" i="40"/>
  <c r="DP34" i="40"/>
  <c r="AM36" i="40"/>
  <c r="CV8" i="40"/>
  <c r="CS6" i="40"/>
  <c r="CC15" i="40"/>
  <c r="BJ36" i="40"/>
  <c r="BI36" i="40" s="1"/>
  <c r="CH11" i="40"/>
  <c r="CH6" i="40"/>
  <c r="AD37" i="40"/>
  <c r="CJ37" i="40"/>
  <c r="CO37" i="40"/>
  <c r="BZ29" i="40"/>
  <c r="AI19" i="40"/>
  <c r="AI8" i="40"/>
  <c r="CC11" i="40"/>
  <c r="BJ20" i="40"/>
  <c r="AE28" i="40"/>
  <c r="CS20" i="40"/>
  <c r="CR37" i="40"/>
  <c r="CC28" i="40"/>
  <c r="CD37" i="40"/>
  <c r="BU6" i="40"/>
  <c r="CK37" i="40"/>
  <c r="CV7" i="40"/>
  <c r="AI22" i="40"/>
  <c r="BJ30" i="40"/>
  <c r="BI30" i="40" s="1"/>
  <c r="DL30" i="40" s="1"/>
  <c r="CV36" i="40"/>
  <c r="CV35" i="40"/>
  <c r="CS36" i="40"/>
  <c r="H40" i="40"/>
  <c r="CV34" i="40"/>
  <c r="CS35" i="40"/>
  <c r="CH36" i="40"/>
  <c r="CV33" i="40"/>
  <c r="CS33" i="40"/>
  <c r="BZ33" i="40"/>
  <c r="CS34" i="40"/>
  <c r="DC33" i="40"/>
  <c r="CH33" i="40"/>
  <c r="DF33" i="40"/>
  <c r="DP33" i="40"/>
  <c r="CX33" i="40"/>
  <c r="CC33" i="40"/>
  <c r="BX33" i="40"/>
  <c r="DH33" i="40"/>
  <c r="CY33" i="40"/>
  <c r="CZ33" i="40"/>
  <c r="DJ33" i="40"/>
  <c r="BJ32" i="40"/>
  <c r="BI32" i="40" s="1"/>
  <c r="DL32" i="40" s="1"/>
  <c r="DH31" i="40"/>
  <c r="BJ31" i="40"/>
  <c r="DN31" i="40" s="1"/>
  <c r="CV32" i="40"/>
  <c r="CS32" i="40"/>
  <c r="CY31" i="40"/>
  <c r="DB31" i="40"/>
  <c r="BZ28" i="40"/>
  <c r="CV30" i="40"/>
  <c r="CS30" i="40"/>
  <c r="CS29" i="40"/>
  <c r="CV29" i="40"/>
  <c r="CS28" i="40"/>
  <c r="CV27" i="40"/>
  <c r="CS27" i="40"/>
  <c r="BU26" i="40"/>
  <c r="BJ25" i="40"/>
  <c r="BI25" i="40" s="1"/>
  <c r="DL25" i="40" s="1"/>
  <c r="CS26" i="40"/>
  <c r="CV26" i="40"/>
  <c r="DH25" i="40"/>
  <c r="DB25" i="40"/>
  <c r="DF25" i="40"/>
  <c r="DG25" i="40"/>
  <c r="DP25" i="40"/>
  <c r="CY25" i="40"/>
  <c r="CC25" i="40"/>
  <c r="DC25" i="40"/>
  <c r="DA25" i="40"/>
  <c r="CX25" i="40"/>
  <c r="CZ25" i="40"/>
  <c r="DE25" i="40"/>
  <c r="BW25" i="40"/>
  <c r="CH25" i="40"/>
  <c r="BV25" i="40"/>
  <c r="BX25" i="40"/>
  <c r="CB25" i="40"/>
  <c r="BY25" i="40"/>
  <c r="DD24" i="40"/>
  <c r="DH24" i="40"/>
  <c r="BX24" i="40"/>
  <c r="CZ24" i="40"/>
  <c r="DB24" i="40"/>
  <c r="CY24" i="40"/>
  <c r="DF24" i="40"/>
  <c r="CH24" i="40"/>
  <c r="DC24" i="40"/>
  <c r="CX24" i="40"/>
  <c r="BV24" i="40"/>
  <c r="DG24" i="40"/>
  <c r="DJ24" i="40"/>
  <c r="DE24" i="40"/>
  <c r="BW24" i="40"/>
  <c r="CV25" i="40"/>
  <c r="BU24" i="40"/>
  <c r="CS24" i="40"/>
  <c r="CS25" i="40"/>
  <c r="CV24" i="40"/>
  <c r="CB23" i="40"/>
  <c r="CZ23" i="40"/>
  <c r="DG23" i="40"/>
  <c r="BW23" i="40"/>
  <c r="BY23" i="40"/>
  <c r="BZ22" i="40"/>
  <c r="CS22" i="40"/>
  <c r="CC22" i="40"/>
  <c r="DH22" i="40"/>
  <c r="CV22" i="40"/>
  <c r="CS21" i="40"/>
  <c r="CH20" i="40"/>
  <c r="CV20" i="40"/>
  <c r="CC19" i="40"/>
  <c r="CX19" i="40"/>
  <c r="CB19" i="40"/>
  <c r="DA19" i="40"/>
  <c r="BW19" i="40"/>
  <c r="BZ19" i="40"/>
  <c r="DJ19" i="40"/>
  <c r="CZ19" i="40"/>
  <c r="DC19" i="40"/>
  <c r="DD19" i="40"/>
  <c r="DG19" i="40"/>
  <c r="DP19" i="40"/>
  <c r="BV19" i="40"/>
  <c r="BY19" i="40"/>
  <c r="DE19" i="40"/>
  <c r="DF19" i="40"/>
  <c r="BZ18" i="40"/>
  <c r="CV19" i="40"/>
  <c r="DH18" i="40"/>
  <c r="CS18" i="40"/>
  <c r="CS17" i="40"/>
  <c r="CV17" i="40"/>
  <c r="CV18" i="40"/>
  <c r="BX16" i="40"/>
  <c r="CX16" i="40"/>
  <c r="DJ16" i="40"/>
  <c r="DF16" i="40"/>
  <c r="BV16" i="40"/>
  <c r="BZ16" i="40"/>
  <c r="CY16" i="40"/>
  <c r="DP16" i="40"/>
  <c r="CZ16" i="40"/>
  <c r="DE16" i="40"/>
  <c r="CB16" i="40"/>
  <c r="BY16" i="40"/>
  <c r="DC16" i="40"/>
  <c r="DD16" i="40"/>
  <c r="CC16" i="40"/>
  <c r="BY18" i="40"/>
  <c r="BW16" i="40"/>
  <c r="DH16" i="40"/>
  <c r="DB16" i="40"/>
  <c r="BZ15" i="40"/>
  <c r="CV15" i="40"/>
  <c r="CS15" i="40"/>
  <c r="CS16" i="40"/>
  <c r="CV16" i="40"/>
  <c r="CV14" i="40"/>
  <c r="CS14" i="40"/>
  <c r="CC12" i="40"/>
  <c r="CS13" i="40"/>
  <c r="BZ11" i="40"/>
  <c r="CV12" i="40"/>
  <c r="CS12" i="40"/>
  <c r="DH11" i="40"/>
  <c r="CV11" i="40"/>
  <c r="X37" i="40"/>
  <c r="CS11" i="40"/>
  <c r="BU9" i="40"/>
  <c r="CC9" i="40"/>
  <c r="CV10" i="40"/>
  <c r="CV9" i="40"/>
  <c r="CS9" i="40"/>
  <c r="BJ8" i="40"/>
  <c r="DN8" i="40" s="1"/>
  <c r="AI7" i="40"/>
  <c r="AH37" i="40"/>
  <c r="CL37" i="40" s="1"/>
  <c r="CL6" i="40"/>
  <c r="DH8" i="40"/>
  <c r="DJ6" i="40"/>
  <c r="AS37" i="40"/>
  <c r="BJ21" i="40"/>
  <c r="BI21" i="40" s="1"/>
  <c r="DL21" i="40" s="1"/>
  <c r="BJ27" i="40"/>
  <c r="BI27" i="40" s="1"/>
  <c r="DL27" i="40" s="1"/>
  <c r="BJ16" i="40"/>
  <c r="BI16" i="40" s="1"/>
  <c r="DL16" i="40" s="1"/>
  <c r="BJ7" i="40"/>
  <c r="BI7" i="40" s="1"/>
  <c r="DL7" i="40" s="1"/>
  <c r="BJ35" i="40"/>
  <c r="BJ15" i="40"/>
  <c r="DN15" i="40" s="1"/>
  <c r="BJ23" i="40"/>
  <c r="BI23" i="40" s="1"/>
  <c r="DL23" i="40" s="1"/>
  <c r="CE6" i="40"/>
  <c r="BG37" i="40"/>
  <c r="DP20" i="40"/>
  <c r="DB20" i="40"/>
  <c r="DD20" i="40"/>
  <c r="DE20" i="40"/>
  <c r="CZ8" i="40"/>
  <c r="DP8" i="40"/>
  <c r="CB8" i="40"/>
  <c r="DB8" i="40"/>
  <c r="DE6" i="40"/>
  <c r="DD6" i="40"/>
  <c r="BW6" i="40"/>
  <c r="P6" i="40"/>
  <c r="DG6" i="40"/>
  <c r="BY6" i="40"/>
  <c r="CY6" i="40"/>
  <c r="DC6" i="40"/>
  <c r="DF6" i="40"/>
  <c r="CZ20" i="40"/>
  <c r="O37" i="40"/>
  <c r="DP23" i="40"/>
  <c r="BZ20" i="40"/>
  <c r="CX23" i="40"/>
  <c r="CY8" i="40"/>
  <c r="CC24" i="40"/>
  <c r="DA24" i="40"/>
  <c r="DC23" i="40"/>
  <c r="CY20" i="40"/>
  <c r="DA8" i="40"/>
  <c r="DJ20" i="40"/>
  <c r="CX8" i="40"/>
  <c r="CC8" i="40"/>
  <c r="BV29" i="40"/>
  <c r="BW29" i="40"/>
  <c r="BX29" i="40"/>
  <c r="DC29" i="40"/>
  <c r="DG29" i="40"/>
  <c r="DB29" i="40"/>
  <c r="DD29" i="40"/>
  <c r="DF29" i="40"/>
  <c r="BY8" i="40"/>
  <c r="BY20" i="40"/>
  <c r="DC8" i="40"/>
  <c r="BZ8" i="40"/>
  <c r="DD8" i="40"/>
  <c r="CY23" i="40"/>
  <c r="DB23" i="40"/>
  <c r="BX20" i="40"/>
  <c r="DH20" i="40"/>
  <c r="CX20" i="40"/>
  <c r="DE23" i="40"/>
  <c r="BX23" i="40"/>
  <c r="DE8" i="40"/>
  <c r="DB33" i="40"/>
  <c r="DE33" i="40"/>
  <c r="CC20" i="40"/>
  <c r="DD23" i="40"/>
  <c r="CC23" i="40"/>
  <c r="BZ23" i="40"/>
  <c r="DF8" i="40"/>
  <c r="DA23" i="40"/>
  <c r="BV20" i="40"/>
  <c r="DH23" i="40"/>
  <c r="BY29" i="40"/>
  <c r="DB19" i="40"/>
  <c r="CY19" i="40"/>
  <c r="DA20" i="40"/>
  <c r="BV23" i="40"/>
  <c r="BV8" i="40"/>
  <c r="DH29" i="40"/>
  <c r="BV6" i="40"/>
  <c r="DC20" i="40"/>
  <c r="DF20" i="40"/>
  <c r="BW20" i="40"/>
  <c r="CB20" i="40"/>
  <c r="DG8" i="40"/>
  <c r="CX6" i="40"/>
  <c r="AL37" i="40"/>
  <c r="CP37" i="40" s="1"/>
  <c r="CP6" i="40"/>
  <c r="DJ35" i="40"/>
  <c r="CX35" i="40"/>
  <c r="BZ35" i="40"/>
  <c r="CY35" i="40"/>
  <c r="DA35" i="40"/>
  <c r="CC35" i="40"/>
  <c r="DB35" i="40"/>
  <c r="DP35" i="40"/>
  <c r="DC35" i="40"/>
  <c r="BY35" i="40"/>
  <c r="DD35" i="40"/>
  <c r="DE35" i="40"/>
  <c r="DF35" i="40"/>
  <c r="CH35" i="40"/>
  <c r="BV35" i="40"/>
  <c r="DH35" i="40"/>
  <c r="BX35" i="40"/>
  <c r="DG35" i="40"/>
  <c r="BW35" i="40"/>
  <c r="CB35" i="40"/>
  <c r="CZ35" i="40"/>
  <c r="DJ25" i="40"/>
  <c r="BJ6" i="40"/>
  <c r="BI6" i="40" s="1"/>
  <c r="DJ23" i="40"/>
  <c r="CH12" i="40"/>
  <c r="CH27" i="40"/>
  <c r="BJ28" i="40"/>
  <c r="BO37" i="40"/>
  <c r="BQ37" i="40"/>
  <c r="BR37" i="40"/>
  <c r="BS37" i="40"/>
  <c r="BT37" i="40"/>
  <c r="DH26" i="40"/>
  <c r="BX26" i="40"/>
  <c r="BY26" i="40"/>
  <c r="CY26" i="40"/>
  <c r="BV26" i="40"/>
  <c r="DL26" i="40"/>
  <c r="CZ26" i="40"/>
  <c r="CB26" i="40"/>
  <c r="CH26" i="40"/>
  <c r="DA26" i="40"/>
  <c r="CC26" i="40"/>
  <c r="DN26" i="40"/>
  <c r="DB26" i="40"/>
  <c r="DF26" i="40"/>
  <c r="DP26" i="40"/>
  <c r="DC26" i="40"/>
  <c r="DD26" i="40"/>
  <c r="DE26" i="40"/>
  <c r="DG26" i="40"/>
  <c r="BW26" i="40"/>
  <c r="CX26" i="40"/>
  <c r="BZ26" i="40"/>
  <c r="DJ26" i="40"/>
  <c r="BY7" i="40"/>
  <c r="CZ7" i="40"/>
  <c r="CB7" i="40"/>
  <c r="DA7" i="40"/>
  <c r="CC7" i="40"/>
  <c r="BW7" i="40"/>
  <c r="DB7" i="40"/>
  <c r="DP7" i="40"/>
  <c r="DC7" i="40"/>
  <c r="DG7" i="40"/>
  <c r="DD7" i="40"/>
  <c r="DE7" i="40"/>
  <c r="DF7" i="40"/>
  <c r="BV7" i="40"/>
  <c r="BX7" i="40"/>
  <c r="BZ7" i="40"/>
  <c r="CX7" i="40"/>
  <c r="CY7" i="40"/>
  <c r="DH7" i="40"/>
  <c r="DJ7" i="40"/>
  <c r="DF17" i="40"/>
  <c r="CH17" i="40"/>
  <c r="BV17" i="40"/>
  <c r="DG17" i="40"/>
  <c r="BW17" i="40"/>
  <c r="BY17" i="40"/>
  <c r="DJ17" i="40"/>
  <c r="CX17" i="40"/>
  <c r="BZ17" i="40"/>
  <c r="CY17" i="40"/>
  <c r="CZ17" i="40"/>
  <c r="CB17" i="40"/>
  <c r="DA17" i="40"/>
  <c r="CC17" i="40"/>
  <c r="DB17" i="40"/>
  <c r="DD17" i="40"/>
  <c r="DP17" i="40"/>
  <c r="DC17" i="40"/>
  <c r="BX17" i="40"/>
  <c r="DE17" i="40"/>
  <c r="DH17" i="40"/>
  <c r="DJ22" i="40"/>
  <c r="BJ22" i="40"/>
  <c r="BJ13" i="40"/>
  <c r="BI13" i="40" s="1"/>
  <c r="DL13" i="40" s="1"/>
  <c r="AT37" i="40"/>
  <c r="AM10" i="40"/>
  <c r="DF21" i="40"/>
  <c r="CH21" i="40"/>
  <c r="BV21" i="40"/>
  <c r="DG21" i="40"/>
  <c r="BW21" i="40"/>
  <c r="BY21" i="40"/>
  <c r="DJ21" i="40"/>
  <c r="CX21" i="40"/>
  <c r="BZ21" i="40"/>
  <c r="CY21" i="40"/>
  <c r="CZ21" i="40"/>
  <c r="CB21" i="40"/>
  <c r="DA21" i="40"/>
  <c r="CC21" i="40"/>
  <c r="DD21" i="40"/>
  <c r="DB21" i="40"/>
  <c r="DP21" i="40"/>
  <c r="DC21" i="40"/>
  <c r="BX21" i="40"/>
  <c r="DE21" i="40"/>
  <c r="DH21" i="40"/>
  <c r="BJ29" i="40"/>
  <c r="BY10" i="40"/>
  <c r="CZ10" i="40"/>
  <c r="CB10" i="40"/>
  <c r="DA10" i="40"/>
  <c r="CC10" i="40"/>
  <c r="DB10" i="40"/>
  <c r="DP10" i="40"/>
  <c r="DC10" i="40"/>
  <c r="DD10" i="40"/>
  <c r="DE10" i="40"/>
  <c r="DF10" i="40"/>
  <c r="BV10" i="40"/>
  <c r="DG10" i="40"/>
  <c r="BW10" i="40"/>
  <c r="BX10" i="40"/>
  <c r="BZ10" i="40"/>
  <c r="CY10" i="40"/>
  <c r="CX10" i="40"/>
  <c r="DH10" i="40"/>
  <c r="DJ10" i="40"/>
  <c r="BJ34" i="40"/>
  <c r="AI6" i="40"/>
  <c r="BU14" i="40"/>
  <c r="CH15" i="40"/>
  <c r="AM7" i="40"/>
  <c r="BJ11" i="40"/>
  <c r="DN11" i="40" s="1"/>
  <c r="AM34" i="40"/>
  <c r="BU17" i="40"/>
  <c r="BJ17" i="40"/>
  <c r="BI17" i="40" s="1"/>
  <c r="DL17" i="40" s="1"/>
  <c r="CV6" i="40"/>
  <c r="AQ37" i="40"/>
  <c r="AI33" i="40"/>
  <c r="AI20" i="40"/>
  <c r="AE15" i="40"/>
  <c r="BJ10" i="40"/>
  <c r="BI10" i="40" s="1"/>
  <c r="DL10" i="40" s="1"/>
  <c r="DA32" i="40"/>
  <c r="CC32" i="40"/>
  <c r="DB32" i="40"/>
  <c r="DD32" i="40"/>
  <c r="DE32" i="40"/>
  <c r="DF32" i="40"/>
  <c r="BV32" i="40"/>
  <c r="DG32" i="40"/>
  <c r="BW32" i="40"/>
  <c r="CZ32" i="40"/>
  <c r="DH32" i="40"/>
  <c r="BX32" i="40"/>
  <c r="BY32" i="40"/>
  <c r="DJ32" i="40"/>
  <c r="CX32" i="40"/>
  <c r="BZ32" i="40"/>
  <c r="CY32" i="40"/>
  <c r="CB32" i="40"/>
  <c r="DC32" i="40"/>
  <c r="DP32" i="40"/>
  <c r="AM12" i="40"/>
  <c r="CP12" i="40"/>
  <c r="BI20" i="40"/>
  <c r="DL20" i="40" s="1"/>
  <c r="DN20" i="40"/>
  <c r="DP36" i="40"/>
  <c r="DC36" i="40"/>
  <c r="DD36" i="40"/>
  <c r="DE36" i="40"/>
  <c r="DF36" i="40"/>
  <c r="DG36" i="40"/>
  <c r="BW36" i="40"/>
  <c r="DH36" i="40"/>
  <c r="BX36" i="40"/>
  <c r="BY36" i="40"/>
  <c r="DJ36" i="40"/>
  <c r="CX36" i="40"/>
  <c r="BZ36" i="40"/>
  <c r="CY36" i="40"/>
  <c r="DL36" i="40"/>
  <c r="CZ36" i="40"/>
  <c r="CB36" i="40"/>
  <c r="DN36" i="40"/>
  <c r="DB36" i="40"/>
  <c r="DA36" i="40"/>
  <c r="CC36" i="40"/>
  <c r="BV36" i="40"/>
  <c r="BY30" i="40"/>
  <c r="DJ30" i="40"/>
  <c r="CX30" i="40"/>
  <c r="BZ30" i="40"/>
  <c r="CZ30" i="40"/>
  <c r="CB30" i="40"/>
  <c r="DA30" i="40"/>
  <c r="CC30" i="40"/>
  <c r="DG30" i="40"/>
  <c r="DB30" i="40"/>
  <c r="DP30" i="40"/>
  <c r="DC30" i="40"/>
  <c r="BW30" i="40"/>
  <c r="DD30" i="40"/>
  <c r="DE30" i="40"/>
  <c r="DF30" i="40"/>
  <c r="CH30" i="40"/>
  <c r="BV30" i="40"/>
  <c r="BX30" i="40"/>
  <c r="CY30" i="40"/>
  <c r="DH30" i="40"/>
  <c r="DH14" i="40"/>
  <c r="BX14" i="40"/>
  <c r="BY14" i="40"/>
  <c r="CY14" i="40"/>
  <c r="DF14" i="40"/>
  <c r="BV14" i="40"/>
  <c r="DL14" i="40"/>
  <c r="CZ14" i="40"/>
  <c r="CB14" i="40"/>
  <c r="DA14" i="40"/>
  <c r="CC14" i="40"/>
  <c r="DN14" i="40"/>
  <c r="DB14" i="40"/>
  <c r="CH14" i="40"/>
  <c r="DP14" i="40"/>
  <c r="DC14" i="40"/>
  <c r="DD14" i="40"/>
  <c r="DE14" i="40"/>
  <c r="BW14" i="40"/>
  <c r="CX14" i="40"/>
  <c r="BZ14" i="40"/>
  <c r="DG14" i="40"/>
  <c r="DJ14" i="40"/>
  <c r="CE27" i="40"/>
  <c r="CC27" i="40"/>
  <c r="DJ18" i="40"/>
  <c r="BJ18" i="40"/>
  <c r="AA37" i="40"/>
  <c r="CU37" i="40"/>
  <c r="BJ33" i="40"/>
  <c r="DJ8" i="40"/>
  <c r="BJ9" i="40"/>
  <c r="DN25" i="40"/>
  <c r="CP11" i="40"/>
  <c r="AM11" i="40"/>
  <c r="DG34" i="40"/>
  <c r="BW34" i="40"/>
  <c r="DH34" i="40"/>
  <c r="BX34" i="40"/>
  <c r="DJ34" i="40"/>
  <c r="CX34" i="40"/>
  <c r="BZ34" i="40"/>
  <c r="BV34" i="40"/>
  <c r="CY34" i="40"/>
  <c r="CZ34" i="40"/>
  <c r="CB34" i="40"/>
  <c r="DA34" i="40"/>
  <c r="CC34" i="40"/>
  <c r="DB34" i="40"/>
  <c r="DC34" i="40"/>
  <c r="DE34" i="40"/>
  <c r="DD34" i="40"/>
  <c r="DF34" i="40"/>
  <c r="CH34" i="40"/>
  <c r="BY34" i="40"/>
  <c r="DF13" i="40"/>
  <c r="CH13" i="40"/>
  <c r="BV13" i="40"/>
  <c r="DG13" i="40"/>
  <c r="BW13" i="40"/>
  <c r="BY13" i="40"/>
  <c r="DJ13" i="40"/>
  <c r="CX13" i="40"/>
  <c r="BZ13" i="40"/>
  <c r="CY13" i="40"/>
  <c r="CZ13" i="40"/>
  <c r="CB13" i="40"/>
  <c r="DA13" i="40"/>
  <c r="CC13" i="40"/>
  <c r="DD13" i="40"/>
  <c r="DB13" i="40"/>
  <c r="DP13" i="40"/>
  <c r="DC13" i="40"/>
  <c r="BX13" i="40"/>
  <c r="DE13" i="40"/>
  <c r="DH13" i="40"/>
  <c r="BH37" i="40"/>
  <c r="BP37" i="40"/>
  <c r="BJ24" i="40"/>
  <c r="CH37" i="40"/>
  <c r="CF37" i="40"/>
  <c r="AO37" i="40"/>
  <c r="BZ25" i="40"/>
  <c r="BJ12" i="40"/>
  <c r="BJ19" i="40"/>
  <c r="FO37" i="36"/>
  <c r="H33" i="36"/>
  <c r="K33" i="36"/>
  <c r="AH34" i="36"/>
  <c r="CS37" i="40" l="1"/>
  <c r="CV37" i="40"/>
  <c r="CE37" i="40"/>
  <c r="DN30" i="40"/>
  <c r="DN35" i="40"/>
  <c r="BI35" i="40"/>
  <c r="DL35" i="40" s="1"/>
  <c r="DN32" i="40"/>
  <c r="DN34" i="40"/>
  <c r="BI34" i="40"/>
  <c r="DL34" i="40" s="1"/>
  <c r="BI31" i="40"/>
  <c r="DL31" i="40" s="1"/>
  <c r="DN28" i="40"/>
  <c r="BI28" i="40"/>
  <c r="DL28" i="40" s="1"/>
  <c r="DN27" i="40"/>
  <c r="DN23" i="40"/>
  <c r="DN21" i="40"/>
  <c r="DB37" i="40"/>
  <c r="DN16" i="40"/>
  <c r="AE37" i="40"/>
  <c r="DN13" i="40"/>
  <c r="DN12" i="40"/>
  <c r="BI12" i="40"/>
  <c r="DL12" i="40" s="1"/>
  <c r="AM37" i="40"/>
  <c r="DE37" i="40"/>
  <c r="BZ37" i="40"/>
  <c r="CX37" i="40"/>
  <c r="DP37" i="40"/>
  <c r="CY37" i="40"/>
  <c r="CB37" i="40"/>
  <c r="DC37" i="40"/>
  <c r="DH37" i="40"/>
  <c r="DG37" i="40"/>
  <c r="DN7" i="40"/>
  <c r="BI8" i="40"/>
  <c r="DL8" i="40" s="1"/>
  <c r="CC37" i="40"/>
  <c r="BX37" i="40"/>
  <c r="BW37" i="40"/>
  <c r="BY37" i="40"/>
  <c r="CZ37" i="40"/>
  <c r="DA37" i="40"/>
  <c r="DJ37" i="40"/>
  <c r="BV37" i="40"/>
  <c r="DF37" i="40"/>
  <c r="DD37" i="40"/>
  <c r="DQ6" i="40"/>
  <c r="P7" i="40"/>
  <c r="DN10" i="40"/>
  <c r="BI22" i="40"/>
  <c r="DL22" i="40" s="1"/>
  <c r="DN22" i="40"/>
  <c r="BU37" i="40"/>
  <c r="DN33" i="40"/>
  <c r="BI33" i="40"/>
  <c r="DL33" i="40" s="1"/>
  <c r="BI9" i="40"/>
  <c r="DN9" i="40"/>
  <c r="BI24" i="40"/>
  <c r="DL24" i="40" s="1"/>
  <c r="DN24" i="40"/>
  <c r="BJ37" i="40"/>
  <c r="DN6" i="40"/>
  <c r="DN17" i="40"/>
  <c r="BI18" i="40"/>
  <c r="DL18" i="40" s="1"/>
  <c r="DN18" i="40"/>
  <c r="DN29" i="40"/>
  <c r="BI29" i="40"/>
  <c r="DL29" i="40" s="1"/>
  <c r="AI37" i="40"/>
  <c r="BI19" i="40"/>
  <c r="DL19" i="40" s="1"/>
  <c r="DN19" i="40"/>
  <c r="DN37" i="40" l="1"/>
  <c r="P8" i="40"/>
  <c r="DQ7" i="40"/>
  <c r="DL9" i="40"/>
  <c r="BI37" i="40"/>
  <c r="FD32" i="36"/>
  <c r="DL37" i="40" l="1"/>
  <c r="P9" i="40"/>
  <c r="DQ8" i="40"/>
  <c r="BI28" i="36"/>
  <c r="FD31" i="36"/>
  <c r="FD30" i="36"/>
  <c r="DQ9" i="40" l="1"/>
  <c r="P10" i="40"/>
  <c r="FD33" i="36"/>
  <c r="FD36" i="36"/>
  <c r="DZ31" i="36"/>
  <c r="DV31" i="36"/>
  <c r="DQ10" i="40" l="1"/>
  <c r="P11" i="40"/>
  <c r="AV26" i="36"/>
  <c r="P12" i="40" l="1"/>
  <c r="DQ11" i="40"/>
  <c r="FD23" i="36"/>
  <c r="P13" i="40" l="1"/>
  <c r="DQ12" i="40"/>
  <c r="FD20" i="36"/>
  <c r="FD21" i="36"/>
  <c r="L24" i="36"/>
  <c r="BD22" i="36"/>
  <c r="DQ13" i="40" l="1"/>
  <c r="P14" i="40"/>
  <c r="S22" i="36"/>
  <c r="FN37" i="36"/>
  <c r="DQ14" i="40" l="1"/>
  <c r="P15" i="40"/>
  <c r="BD21" i="36"/>
  <c r="S21" i="36"/>
  <c r="DQ15" i="40" l="1"/>
  <c r="P16" i="40"/>
  <c r="O10" i="30"/>
  <c r="O9" i="30"/>
  <c r="O8" i="30"/>
  <c r="O7" i="30"/>
  <c r="O6" i="30"/>
  <c r="O5" i="30"/>
  <c r="O4" i="30"/>
  <c r="DQ16" i="40" l="1"/>
  <c r="P17" i="40"/>
  <c r="P18" i="40" l="1"/>
  <c r="DQ17" i="40"/>
  <c r="P19" i="40" l="1"/>
  <c r="DQ18" i="40"/>
  <c r="P20" i="40" l="1"/>
  <c r="DQ19" i="40"/>
  <c r="DQ20" i="40" l="1"/>
  <c r="P21" i="40"/>
  <c r="DQ21" i="40" l="1"/>
  <c r="P22" i="40"/>
  <c r="DQ22" i="40" l="1"/>
  <c r="P23" i="40"/>
  <c r="DQ23" i="40" l="1"/>
  <c r="P24" i="40"/>
  <c r="P25" i="40" l="1"/>
  <c r="DQ24" i="40"/>
  <c r="DQ25" i="40" l="1"/>
  <c r="P26" i="40"/>
  <c r="DQ26" i="40" l="1"/>
  <c r="P27" i="40"/>
  <c r="FI79" i="36"/>
  <c r="GI37" i="36"/>
  <c r="GH37" i="36"/>
  <c r="GG37" i="36"/>
  <c r="GF37" i="36"/>
  <c r="GE37" i="36"/>
  <c r="GD37" i="36"/>
  <c r="GC37" i="36"/>
  <c r="GA37" i="36"/>
  <c r="FZ37" i="36"/>
  <c r="DR37" i="36"/>
  <c r="DQ27" i="40" l="1"/>
  <c r="P28" i="40"/>
  <c r="DM37" i="36"/>
  <c r="DQ28" i="40" l="1"/>
  <c r="P29" i="40"/>
  <c r="DK37" i="36"/>
  <c r="DI37" i="36"/>
  <c r="CW37" i="36"/>
  <c r="CT37" i="36"/>
  <c r="CQ37" i="36"/>
  <c r="CM37" i="36"/>
  <c r="CI37" i="36"/>
  <c r="CA37" i="36"/>
  <c r="BF37" i="36"/>
  <c r="BE37" i="36"/>
  <c r="BA37" i="36"/>
  <c r="Q37" i="36"/>
  <c r="DQ37" i="36" s="1"/>
  <c r="L37" i="36"/>
  <c r="L40" i="36" s="1"/>
  <c r="K37" i="36"/>
  <c r="K40" i="36" s="1"/>
  <c r="J37" i="36"/>
  <c r="J40" i="36" s="1"/>
  <c r="I37" i="36"/>
  <c r="I40" i="36" s="1"/>
  <c r="H37" i="36"/>
  <c r="H40" i="36" s="1"/>
  <c r="G37" i="36"/>
  <c r="G40" i="36" s="1"/>
  <c r="F37" i="36"/>
  <c r="F40" i="36" s="1"/>
  <c r="E37" i="36"/>
  <c r="E40" i="36" s="1"/>
  <c r="D37" i="36"/>
  <c r="D40" i="36" s="1"/>
  <c r="GJ36" i="36"/>
  <c r="DQ29" i="40" l="1"/>
  <c r="P30" i="40"/>
  <c r="DM36" i="36"/>
  <c r="DK36" i="36"/>
  <c r="DI36" i="36"/>
  <c r="CW36" i="36"/>
  <c r="CV36" i="36" s="1"/>
  <c r="CU36" i="36"/>
  <c r="CT36" i="36"/>
  <c r="CS36" i="36" s="1"/>
  <c r="CQ36" i="36"/>
  <c r="CP36" i="36"/>
  <c r="CN36" i="36"/>
  <c r="CM36" i="36"/>
  <c r="CL36" i="36"/>
  <c r="CI36" i="36"/>
  <c r="CA36" i="36"/>
  <c r="BL36" i="36"/>
  <c r="BD36" i="36"/>
  <c r="BC36" i="36"/>
  <c r="BB36" i="36"/>
  <c r="AZ36" i="36"/>
  <c r="AY36" i="36"/>
  <c r="AX36" i="36"/>
  <c r="AW36" i="36"/>
  <c r="AV36" i="36"/>
  <c r="AU36" i="36"/>
  <c r="AR36" i="36"/>
  <c r="CD36" i="36" s="1"/>
  <c r="AP36" i="36"/>
  <c r="AO36" i="36"/>
  <c r="AN36" i="36"/>
  <c r="AK36" i="36"/>
  <c r="AJ36" i="36"/>
  <c r="AG36" i="36"/>
  <c r="AF36" i="36"/>
  <c r="AC36" i="36"/>
  <c r="AB36" i="36"/>
  <c r="Z36" i="36"/>
  <c r="Y36" i="36"/>
  <c r="W36" i="36"/>
  <c r="V36" i="36"/>
  <c r="U36" i="36"/>
  <c r="T36" i="36"/>
  <c r="S36" i="36"/>
  <c r="R36" i="36"/>
  <c r="X36" i="36" l="1"/>
  <c r="AS36" i="36"/>
  <c r="CE36" i="36" s="1"/>
  <c r="P31" i="40"/>
  <c r="DQ30" i="40"/>
  <c r="AA36" i="36"/>
  <c r="AI36" i="36"/>
  <c r="AT36" i="36"/>
  <c r="AQ36" i="36"/>
  <c r="CR36" i="36"/>
  <c r="AM36" i="36"/>
  <c r="CO36" i="36"/>
  <c r="CK36" i="36"/>
  <c r="AE36" i="36"/>
  <c r="BG36" i="36"/>
  <c r="N36" i="36"/>
  <c r="O36" i="36" s="1"/>
  <c r="M36" i="36"/>
  <c r="GJ35" i="36"/>
  <c r="DR35" i="36"/>
  <c r="DQ31" i="40" l="1"/>
  <c r="P32" i="40"/>
  <c r="CJ36" i="36"/>
  <c r="DH36" i="36"/>
  <c r="CX36" i="36"/>
  <c r="CH36" i="36"/>
  <c r="BZ36" i="36"/>
  <c r="CY36" i="36"/>
  <c r="BV36" i="36"/>
  <c r="DA36" i="36"/>
  <c r="BX36" i="36"/>
  <c r="BY36" i="36"/>
  <c r="DJ36" i="36"/>
  <c r="CZ36" i="36"/>
  <c r="BW36" i="36"/>
  <c r="DC36" i="36"/>
  <c r="DP36" i="36"/>
  <c r="DD36" i="36"/>
  <c r="DE36" i="36"/>
  <c r="CB36" i="36"/>
  <c r="DF36" i="36"/>
  <c r="CC36" i="36"/>
  <c r="DG36" i="36"/>
  <c r="DB36" i="36"/>
  <c r="DN36" i="36"/>
  <c r="DL36" i="36"/>
  <c r="BU36" i="36"/>
  <c r="BO36" i="36"/>
  <c r="BP36" i="36"/>
  <c r="BQ36" i="36"/>
  <c r="BR36" i="36"/>
  <c r="BT36" i="36"/>
  <c r="BS36" i="36" s="1"/>
  <c r="DM35" i="36"/>
  <c r="DK35" i="36"/>
  <c r="DI35" i="36"/>
  <c r="CW35" i="36"/>
  <c r="CT35" i="36"/>
  <c r="CR35" i="36"/>
  <c r="CQ35" i="36"/>
  <c r="CM35" i="36"/>
  <c r="CI35" i="36"/>
  <c r="CA35" i="36"/>
  <c r="BD35" i="36"/>
  <c r="BC35" i="36"/>
  <c r="BB35" i="36"/>
  <c r="AZ35" i="36"/>
  <c r="AY35" i="36"/>
  <c r="AX35" i="36"/>
  <c r="AW35" i="36"/>
  <c r="AV35" i="36"/>
  <c r="AU35" i="36"/>
  <c r="AR35" i="36"/>
  <c r="AQ35" i="36" s="1"/>
  <c r="AP35" i="36"/>
  <c r="CU35" i="36" s="1"/>
  <c r="AN35" i="36"/>
  <c r="AK35" i="36"/>
  <c r="AJ35" i="36"/>
  <c r="AG35" i="36"/>
  <c r="AF35" i="36"/>
  <c r="AC35" i="36"/>
  <c r="AB35" i="36"/>
  <c r="Z35" i="36"/>
  <c r="Y35" i="36"/>
  <c r="W35" i="36"/>
  <c r="V35" i="36"/>
  <c r="U35" i="36"/>
  <c r="T35" i="36"/>
  <c r="S35" i="36"/>
  <c r="R35" i="36"/>
  <c r="AH35" i="36" l="1"/>
  <c r="CL35" i="36" s="1"/>
  <c r="CV35" i="36"/>
  <c r="AD35" i="36"/>
  <c r="CN35" i="36"/>
  <c r="AL35" i="36"/>
  <c r="CP35" i="36" s="1"/>
  <c r="P33" i="40"/>
  <c r="DQ32" i="40"/>
  <c r="CK35" i="36"/>
  <c r="CJ35" i="36"/>
  <c r="CG35" i="36"/>
  <c r="CF35" i="36"/>
  <c r="X35" i="36"/>
  <c r="AT35" i="36"/>
  <c r="AA35" i="36"/>
  <c r="AI35" i="36"/>
  <c r="AO35" i="36"/>
  <c r="AS35" i="36"/>
  <c r="CO35" i="36"/>
  <c r="AM35" i="36"/>
  <c r="CG36" i="36"/>
  <c r="CE35" i="36"/>
  <c r="CD35" i="36" s="1"/>
  <c r="AE35" i="36"/>
  <c r="BG35" i="36"/>
  <c r="N35" i="36"/>
  <c r="O35" i="36" s="1"/>
  <c r="M35" i="36"/>
  <c r="GJ34" i="36"/>
  <c r="DR34" i="36"/>
  <c r="DM34" i="36"/>
  <c r="DK34" i="36"/>
  <c r="DI34" i="36"/>
  <c r="CW34" i="36"/>
  <c r="CU34" i="36"/>
  <c r="CT34" i="36"/>
  <c r="CQ34" i="36"/>
  <c r="CM34" i="36"/>
  <c r="CL34" i="36"/>
  <c r="CK34" i="36"/>
  <c r="CI34" i="36"/>
  <c r="CA34" i="36"/>
  <c r="BL34" i="36"/>
  <c r="BD34" i="36"/>
  <c r="BC34" i="36"/>
  <c r="BB34" i="36"/>
  <c r="AZ34" i="36"/>
  <c r="BG34" i="36" s="1"/>
  <c r="AY34" i="36"/>
  <c r="AX34" i="36"/>
  <c r="AW34" i="36"/>
  <c r="AV34" i="36"/>
  <c r="AU34" i="36"/>
  <c r="AT34" i="36"/>
  <c r="AR34" i="36"/>
  <c r="AQ34" i="36" s="1"/>
  <c r="AP34" i="36"/>
  <c r="AN34" i="36"/>
  <c r="AK34" i="36"/>
  <c r="AJ34" i="36"/>
  <c r="AG34" i="36"/>
  <c r="AC34" i="36"/>
  <c r="AB34" i="36"/>
  <c r="CF34" i="36" s="1"/>
  <c r="Z34" i="36"/>
  <c r="Y34" i="36"/>
  <c r="W34" i="36"/>
  <c r="V34" i="36"/>
  <c r="U34" i="36"/>
  <c r="T34" i="36"/>
  <c r="S34" i="36"/>
  <c r="R34" i="36"/>
  <c r="CR34" i="36" l="1"/>
  <c r="X34" i="36"/>
  <c r="AL34" i="36"/>
  <c r="CP34" i="36" s="1"/>
  <c r="CD34" i="36"/>
  <c r="CO34" i="36"/>
  <c r="CV34" i="36"/>
  <c r="AD34" i="36"/>
  <c r="AE34" i="36" s="1"/>
  <c r="AS34" i="36"/>
  <c r="CE34" i="36" s="1"/>
  <c r="BH34" i="36"/>
  <c r="DQ33" i="40"/>
  <c r="P34" i="40"/>
  <c r="CS35" i="36"/>
  <c r="CG34" i="36"/>
  <c r="AM34" i="36"/>
  <c r="AO34" i="36"/>
  <c r="CN34" i="36"/>
  <c r="CJ34" i="36"/>
  <c r="AA34" i="36"/>
  <c r="AI34" i="36"/>
  <c r="CF36" i="36"/>
  <c r="BS35" i="36"/>
  <c r="BU35" i="36"/>
  <c r="BQ35" i="36"/>
  <c r="BP35" i="36" s="1"/>
  <c r="BT35" i="36"/>
  <c r="BR35" i="36"/>
  <c r="BO35" i="36"/>
  <c r="N34" i="36"/>
  <c r="O34" i="36" s="1"/>
  <c r="M34" i="36"/>
  <c r="GJ33" i="36"/>
  <c r="DR33" i="36"/>
  <c r="DM33" i="36"/>
  <c r="DK33" i="36"/>
  <c r="DI33" i="36"/>
  <c r="CW33" i="36"/>
  <c r="CT33" i="36"/>
  <c r="CQ33" i="36"/>
  <c r="CM33" i="36"/>
  <c r="CI33" i="36"/>
  <c r="CA33" i="36"/>
  <c r="BL33" i="36"/>
  <c r="BD33" i="36"/>
  <c r="BC33" i="36"/>
  <c r="BB33" i="36"/>
  <c r="AZ33" i="36"/>
  <c r="AY33" i="36"/>
  <c r="AX33" i="36"/>
  <c r="AW33" i="36"/>
  <c r="AV33" i="36"/>
  <c r="AU33" i="36"/>
  <c r="AR33" i="36"/>
  <c r="CD33" i="36" s="1"/>
  <c r="AP33" i="36"/>
  <c r="AQ33" i="36" s="1"/>
  <c r="AN33" i="36"/>
  <c r="AK33" i="36"/>
  <c r="AJ33" i="36"/>
  <c r="AG33" i="36"/>
  <c r="AF33" i="36"/>
  <c r="AC33" i="36"/>
  <c r="AB33" i="36"/>
  <c r="Z33" i="36"/>
  <c r="Y33" i="36"/>
  <c r="W33" i="36"/>
  <c r="V33" i="36"/>
  <c r="X33" i="36" s="1"/>
  <c r="U33" i="36"/>
  <c r="T33" i="36"/>
  <c r="S33" i="36"/>
  <c r="R33" i="36"/>
  <c r="N33" i="36"/>
  <c r="M33" i="36"/>
  <c r="GJ32" i="36"/>
  <c r="CR33" i="36" l="1"/>
  <c r="AD33" i="36"/>
  <c r="AE33" i="36" s="1"/>
  <c r="AL33" i="36"/>
  <c r="CP33" i="36" s="1"/>
  <c r="CS34" i="36"/>
  <c r="AS33" i="36"/>
  <c r="BJ34" i="36"/>
  <c r="BI34" i="36" s="1"/>
  <c r="DL34" i="36" s="1"/>
  <c r="DQ34" i="40"/>
  <c r="P35" i="40"/>
  <c r="AH33" i="36"/>
  <c r="CL33" i="36" s="1"/>
  <c r="CN33" i="36"/>
  <c r="CJ33" i="36"/>
  <c r="CV33" i="36"/>
  <c r="CO33" i="36"/>
  <c r="CG33" i="36"/>
  <c r="AT33" i="36"/>
  <c r="CF33" i="36"/>
  <c r="O33" i="36"/>
  <c r="BW33" i="36" s="1"/>
  <c r="AA33" i="36"/>
  <c r="BU33" i="36" s="1"/>
  <c r="CU33" i="36"/>
  <c r="BO33" i="36"/>
  <c r="AO33" i="36"/>
  <c r="CK33" i="36"/>
  <c r="DB35" i="36"/>
  <c r="CC35" i="36"/>
  <c r="DC35" i="36"/>
  <c r="CH35" i="36"/>
  <c r="BX35" i="36"/>
  <c r="DD35" i="36"/>
  <c r="DF35" i="36"/>
  <c r="BW35" i="36"/>
  <c r="DE35" i="36"/>
  <c r="BV35" i="36"/>
  <c r="DG35" i="36"/>
  <c r="DH35" i="36"/>
  <c r="BY35" i="36"/>
  <c r="CX35" i="36"/>
  <c r="DA35" i="36"/>
  <c r="CB35" i="36"/>
  <c r="CY35" i="36"/>
  <c r="BZ35" i="36"/>
  <c r="CZ35" i="36"/>
  <c r="DA34" i="36"/>
  <c r="CC34" i="36"/>
  <c r="DN34" i="36"/>
  <c r="BV34" i="36"/>
  <c r="BU34" i="36" s="1"/>
  <c r="DE34" i="36"/>
  <c r="DB34" i="36"/>
  <c r="DC34" i="36"/>
  <c r="CH34" i="36"/>
  <c r="DG34" i="36"/>
  <c r="BY34" i="36"/>
  <c r="DJ34" i="36"/>
  <c r="DP34" i="36"/>
  <c r="BW34" i="36"/>
  <c r="DF34" i="36"/>
  <c r="BX34" i="36"/>
  <c r="CB34" i="36"/>
  <c r="DD34" i="36"/>
  <c r="DH34" i="36"/>
  <c r="CX34" i="36"/>
  <c r="BZ34" i="36"/>
  <c r="CY34" i="36"/>
  <c r="CZ34" i="36"/>
  <c r="BT33" i="36"/>
  <c r="BS33" i="36"/>
  <c r="BR34" i="36"/>
  <c r="BS34" i="36"/>
  <c r="BT34" i="36"/>
  <c r="BQ34" i="36"/>
  <c r="BP34" i="36"/>
  <c r="BO34" i="36" s="1"/>
  <c r="BR33" i="36"/>
  <c r="BQ33" i="36"/>
  <c r="BP33" i="36" s="1"/>
  <c r="CE33" i="36"/>
  <c r="DM32" i="36"/>
  <c r="DK32" i="36"/>
  <c r="DI32" i="36"/>
  <c r="CW32" i="36"/>
  <c r="CT32" i="36"/>
  <c r="CQ32" i="36"/>
  <c r="CM32" i="36"/>
  <c r="CI32" i="36"/>
  <c r="CF32" i="36"/>
  <c r="CA32" i="36"/>
  <c r="BL32" i="36"/>
  <c r="BD32" i="36"/>
  <c r="BC32" i="36"/>
  <c r="BB32" i="36"/>
  <c r="AZ32" i="36"/>
  <c r="AY32" i="36"/>
  <c r="AX32" i="36"/>
  <c r="AW32" i="36"/>
  <c r="AV32" i="36"/>
  <c r="AU32" i="36"/>
  <c r="AR32" i="36"/>
  <c r="AT32" i="36" s="1"/>
  <c r="AP32" i="36"/>
  <c r="AN32" i="36"/>
  <c r="AK32" i="36"/>
  <c r="AJ32" i="36"/>
  <c r="CN32" i="36" s="1"/>
  <c r="AG32" i="36"/>
  <c r="AF32" i="36"/>
  <c r="AC32" i="36"/>
  <c r="AB32" i="36"/>
  <c r="Z32" i="36"/>
  <c r="Y32" i="36"/>
  <c r="W32" i="36"/>
  <c r="V32" i="36"/>
  <c r="X32" i="36" s="1"/>
  <c r="U32" i="36"/>
  <c r="T32" i="36"/>
  <c r="S32" i="36"/>
  <c r="R32" i="36"/>
  <c r="CK32" i="36" l="1"/>
  <c r="AL32" i="36"/>
  <c r="CP32" i="36" s="1"/>
  <c r="CO32" i="36"/>
  <c r="AM33" i="36"/>
  <c r="AH32" i="36"/>
  <c r="CL32" i="36" s="1"/>
  <c r="AD32" i="36"/>
  <c r="CJ32" i="36"/>
  <c r="DQ35" i="40"/>
  <c r="P36" i="40"/>
  <c r="AI33" i="36"/>
  <c r="CS33" i="36"/>
  <c r="BX33" i="36"/>
  <c r="BZ33" i="36"/>
  <c r="DC33" i="36"/>
  <c r="BY33" i="36"/>
  <c r="DG33" i="36"/>
  <c r="CB33" i="36"/>
  <c r="CC33" i="36"/>
  <c r="DA33" i="36"/>
  <c r="DB33" i="36"/>
  <c r="DF33" i="36"/>
  <c r="CH33" i="36"/>
  <c r="DE33" i="36"/>
  <c r="DD33" i="36"/>
  <c r="BV33" i="36"/>
  <c r="CZ33" i="36"/>
  <c r="CY33" i="36"/>
  <c r="CX33" i="36"/>
  <c r="DP33" i="36"/>
  <c r="AS32" i="36"/>
  <c r="CE32" i="36" s="1"/>
  <c r="CU32" i="36"/>
  <c r="CR32" i="36"/>
  <c r="CD32" i="36"/>
  <c r="AA32" i="36"/>
  <c r="AO32" i="36"/>
  <c r="BH32" i="36"/>
  <c r="AQ32" i="36"/>
  <c r="AE32" i="36"/>
  <c r="BG32" i="36"/>
  <c r="N32" i="36"/>
  <c r="O32" i="36" s="1"/>
  <c r="M32" i="36"/>
  <c r="GJ31" i="36"/>
  <c r="DR31" i="36"/>
  <c r="DM31" i="36"/>
  <c r="DK31" i="36"/>
  <c r="DI31" i="36"/>
  <c r="CW31" i="36"/>
  <c r="CT31" i="36"/>
  <c r="CQ31" i="36"/>
  <c r="CM31" i="36"/>
  <c r="CJ31" i="36"/>
  <c r="CI31" i="36"/>
  <c r="CF31" i="36"/>
  <c r="CA31" i="36"/>
  <c r="BL31" i="36"/>
  <c r="BD31" i="36"/>
  <c r="BC31" i="36"/>
  <c r="BB31" i="36"/>
  <c r="AZ31" i="36"/>
  <c r="AY31" i="36"/>
  <c r="AX31" i="36"/>
  <c r="AW31" i="36"/>
  <c r="AV31" i="36"/>
  <c r="AU31" i="36"/>
  <c r="AR31" i="36"/>
  <c r="AP31" i="36"/>
  <c r="CU31" i="36" s="1"/>
  <c r="AN31" i="36"/>
  <c r="AK31" i="36"/>
  <c r="AJ31" i="36"/>
  <c r="AG31" i="36"/>
  <c r="AF31" i="36"/>
  <c r="AC31" i="36"/>
  <c r="AB31" i="36"/>
  <c r="Z31" i="36"/>
  <c r="Y31" i="36"/>
  <c r="X31" i="36" s="1"/>
  <c r="W31" i="36"/>
  <c r="V31" i="36"/>
  <c r="U31" i="36"/>
  <c r="T31" i="36"/>
  <c r="S31" i="36"/>
  <c r="R31" i="36"/>
  <c r="CN31" i="36" l="1"/>
  <c r="AL31" i="36"/>
  <c r="CP31" i="36" s="1"/>
  <c r="BG31" i="36"/>
  <c r="AI32" i="36"/>
  <c r="BJ32" i="36"/>
  <c r="BI32" i="36" s="1"/>
  <c r="AM32" i="36"/>
  <c r="AH31" i="36"/>
  <c r="CL31" i="36" s="1"/>
  <c r="AQ31" i="36"/>
  <c r="CS32" i="36"/>
  <c r="AS31" i="36"/>
  <c r="P37" i="40"/>
  <c r="DQ36" i="40"/>
  <c r="CV32" i="36"/>
  <c r="CV31" i="36"/>
  <c r="CO31" i="36"/>
  <c r="AD31" i="36"/>
  <c r="CR31" i="36"/>
  <c r="CK31" i="36"/>
  <c r="AM31" i="36"/>
  <c r="AA31" i="36"/>
  <c r="AI31" i="36"/>
  <c r="AO31" i="36"/>
  <c r="AT31" i="36"/>
  <c r="CD31" i="36"/>
  <c r="DL32" i="36"/>
  <c r="DP32" i="36"/>
  <c r="DD32" i="36"/>
  <c r="CH32" i="36"/>
  <c r="BV32" i="36"/>
  <c r="BW32" i="36"/>
  <c r="BY32" i="36"/>
  <c r="DJ32" i="36"/>
  <c r="CY32" i="36"/>
  <c r="CB32" i="36"/>
  <c r="DN32" i="36"/>
  <c r="DC32" i="36"/>
  <c r="DE32" i="36"/>
  <c r="DF32" i="36"/>
  <c r="BX32" i="36"/>
  <c r="DG32" i="36"/>
  <c r="DH32" i="36"/>
  <c r="BZ32" i="36"/>
  <c r="CX32" i="36"/>
  <c r="DB32" i="36"/>
  <c r="CZ32" i="36"/>
  <c r="CC32" i="36"/>
  <c r="BP32" i="36"/>
  <c r="BQ32" i="36"/>
  <c r="BT32" i="36"/>
  <c r="BU32" i="36"/>
  <c r="BO32" i="36"/>
  <c r="BS32" i="36"/>
  <c r="BR32" i="36" s="1"/>
  <c r="AE31" i="36"/>
  <c r="CE31" i="36"/>
  <c r="N31" i="36"/>
  <c r="O31" i="36" s="1"/>
  <c r="M31" i="36"/>
  <c r="GJ30" i="36"/>
  <c r="DR30" i="36"/>
  <c r="DM30" i="36"/>
  <c r="DK30" i="36"/>
  <c r="DI30" i="36"/>
  <c r="CW30" i="36"/>
  <c r="CT30" i="36"/>
  <c r="CQ30" i="36"/>
  <c r="CM30" i="36"/>
  <c r="CI30" i="36"/>
  <c r="CA30" i="36"/>
  <c r="BL30" i="36"/>
  <c r="BH30" i="36" s="1"/>
  <c r="BD30" i="36"/>
  <c r="BC30" i="36"/>
  <c r="BB30" i="36"/>
  <c r="AZ30" i="36"/>
  <c r="AY30" i="36"/>
  <c r="AX30" i="36"/>
  <c r="AW30" i="36"/>
  <c r="AV30" i="36"/>
  <c r="AU30" i="36"/>
  <c r="AR30" i="36"/>
  <c r="AP30" i="36"/>
  <c r="CU30" i="36" s="1"/>
  <c r="AN30" i="36"/>
  <c r="AK30" i="36"/>
  <c r="AJ30" i="36"/>
  <c r="AG30" i="36"/>
  <c r="AF30" i="36"/>
  <c r="CJ30" i="36" s="1"/>
  <c r="AC30" i="36"/>
  <c r="AB30" i="36"/>
  <c r="CF30" i="36" s="1"/>
  <c r="Z30" i="36"/>
  <c r="Y30" i="36"/>
  <c r="W30" i="36"/>
  <c r="V30" i="36"/>
  <c r="X30" i="36" s="1"/>
  <c r="U30" i="36"/>
  <c r="S30" i="36"/>
  <c r="R30" i="36"/>
  <c r="N30" i="36"/>
  <c r="M30" i="36"/>
  <c r="GJ29" i="36"/>
  <c r="FD29" i="36"/>
  <c r="DR29" i="36"/>
  <c r="DM29" i="36"/>
  <c r="DK29" i="36"/>
  <c r="DI29" i="36"/>
  <c r="CW29" i="36"/>
  <c r="CT29" i="36"/>
  <c r="CQ29" i="36"/>
  <c r="CM29" i="36"/>
  <c r="CI29" i="36"/>
  <c r="CA29" i="36"/>
  <c r="BD29" i="36"/>
  <c r="BC29" i="36"/>
  <c r="BB29" i="36"/>
  <c r="AZ29" i="36"/>
  <c r="AY29" i="36"/>
  <c r="AX29" i="36"/>
  <c r="AW29" i="36"/>
  <c r="AV29" i="36"/>
  <c r="AU29" i="36"/>
  <c r="AR29" i="36"/>
  <c r="AP29" i="36"/>
  <c r="CU29" i="36" s="1"/>
  <c r="AN29" i="36"/>
  <c r="AK29" i="36"/>
  <c r="AJ29" i="36"/>
  <c r="AG29" i="36"/>
  <c r="AF29" i="36"/>
  <c r="AC29" i="36"/>
  <c r="AB29" i="36"/>
  <c r="Z29" i="36"/>
  <c r="Y29" i="36"/>
  <c r="W29" i="36"/>
  <c r="V29" i="36"/>
  <c r="X29" i="36" s="1"/>
  <c r="U29" i="36"/>
  <c r="T29" i="36"/>
  <c r="S29" i="36"/>
  <c r="R29" i="36"/>
  <c r="AQ30" i="36" l="1"/>
  <c r="AH30" i="36"/>
  <c r="CL30" i="36" s="1"/>
  <c r="AI30" i="36"/>
  <c r="AL30" i="36"/>
  <c r="CP30" i="36" s="1"/>
  <c r="CS31" i="36"/>
  <c r="AS30" i="36"/>
  <c r="BP30" i="36"/>
  <c r="BO30" i="36" s="1"/>
  <c r="O30" i="36"/>
  <c r="CK30" i="36"/>
  <c r="AD29" i="36"/>
  <c r="AH29" i="36"/>
  <c r="CL29" i="36" s="1"/>
  <c r="AL29" i="36"/>
  <c r="CN30" i="36"/>
  <c r="CG30" i="36"/>
  <c r="CR30" i="36"/>
  <c r="AI29" i="36"/>
  <c r="AM30" i="36"/>
  <c r="AD30" i="36"/>
  <c r="AE30" i="36" s="1"/>
  <c r="CO30" i="36"/>
  <c r="CF29" i="36"/>
  <c r="AA30" i="36"/>
  <c r="BU30" i="36" s="1"/>
  <c r="AT30" i="36"/>
  <c r="AS29" i="36"/>
  <c r="AO30" i="36"/>
  <c r="CR29" i="36"/>
  <c r="DA32" i="36"/>
  <c r="CG32" i="36"/>
  <c r="CZ31" i="36"/>
  <c r="CB31" i="36"/>
  <c r="DB31" i="36"/>
  <c r="CC31" i="36"/>
  <c r="DD31" i="36"/>
  <c r="BZ31" i="36"/>
  <c r="DA31" i="36"/>
  <c r="DC31" i="36"/>
  <c r="BV31" i="36"/>
  <c r="DE31" i="36"/>
  <c r="CH31" i="36"/>
  <c r="BW31" i="36"/>
  <c r="DH31" i="36"/>
  <c r="CX31" i="36"/>
  <c r="BY31" i="36"/>
  <c r="DP31" i="36"/>
  <c r="DF31" i="36"/>
  <c r="CY31" i="36"/>
  <c r="DG31" i="36"/>
  <c r="BX31" i="36"/>
  <c r="BQ31" i="36"/>
  <c r="BR31" i="36"/>
  <c r="BO31" i="36"/>
  <c r="BS31" i="36"/>
  <c r="BT31" i="36"/>
  <c r="BU31" i="36"/>
  <c r="BP31" i="36"/>
  <c r="BT30" i="36"/>
  <c r="BS30" i="36"/>
  <c r="BR30" i="36"/>
  <c r="AO29" i="36"/>
  <c r="CN29" i="36"/>
  <c r="AA29" i="36"/>
  <c r="AT29" i="36"/>
  <c r="BG29" i="36"/>
  <c r="CJ29" i="36"/>
  <c r="AQ29" i="36"/>
  <c r="CE29" i="36"/>
  <c r="CD29" i="36" s="1"/>
  <c r="CE30" i="36"/>
  <c r="CD30" i="36" s="1"/>
  <c r="AE29" i="36"/>
  <c r="BG30" i="36"/>
  <c r="N29" i="36"/>
  <c r="M29" i="36"/>
  <c r="GJ28" i="36"/>
  <c r="FD28" i="36"/>
  <c r="DR28" i="36"/>
  <c r="DM28" i="36"/>
  <c r="DK28" i="36"/>
  <c r="DI28" i="36"/>
  <c r="CW28" i="36"/>
  <c r="CT28" i="36"/>
  <c r="CQ28" i="36"/>
  <c r="CM28" i="36"/>
  <c r="CI28" i="36"/>
  <c r="CA28" i="36"/>
  <c r="BD28" i="36"/>
  <c r="BC28" i="36"/>
  <c r="BB28" i="36"/>
  <c r="AZ28" i="36"/>
  <c r="AY28" i="36"/>
  <c r="AX28" i="36"/>
  <c r="AW28" i="36"/>
  <c r="AV28" i="36"/>
  <c r="AU28" i="36"/>
  <c r="AR28" i="36"/>
  <c r="AP28" i="36"/>
  <c r="AN28" i="36"/>
  <c r="AK28" i="36"/>
  <c r="AJ28" i="36"/>
  <c r="AG28" i="36"/>
  <c r="AF28" i="36"/>
  <c r="AC28" i="36"/>
  <c r="AB28" i="36"/>
  <c r="Z28" i="36"/>
  <c r="Y28" i="36"/>
  <c r="X28" i="36" s="1"/>
  <c r="W28" i="36"/>
  <c r="V28" i="36"/>
  <c r="U28" i="36"/>
  <c r="T28" i="36"/>
  <c r="S28" i="36"/>
  <c r="R28" i="36"/>
  <c r="N28" i="36"/>
  <c r="O28" i="36" s="1"/>
  <c r="M28" i="36"/>
  <c r="GJ27" i="36"/>
  <c r="FD27" i="36"/>
  <c r="BL27" i="36" s="1"/>
  <c r="DR27" i="36"/>
  <c r="CV30" i="36" l="1"/>
  <c r="CS30" i="36"/>
  <c r="DC28" i="36"/>
  <c r="CK29" i="36"/>
  <c r="CR28" i="36"/>
  <c r="CV29" i="36"/>
  <c r="AL28" i="36"/>
  <c r="AH28" i="36"/>
  <c r="DH30" i="36"/>
  <c r="AS28" i="36"/>
  <c r="CC28" i="36" s="1"/>
  <c r="CS29" i="36"/>
  <c r="CP29" i="36"/>
  <c r="AM29" i="36"/>
  <c r="DD30" i="36"/>
  <c r="BT28" i="36"/>
  <c r="DJ30" i="36"/>
  <c r="AD28" i="36"/>
  <c r="CH28" i="36" s="1"/>
  <c r="BJ30" i="36"/>
  <c r="BR29" i="36"/>
  <c r="BS29" i="36"/>
  <c r="BT29" i="36"/>
  <c r="BQ29" i="36"/>
  <c r="BP29" i="36" s="1"/>
  <c r="BO29" i="36" s="1"/>
  <c r="CG31" i="36"/>
  <c r="DG30" i="36"/>
  <c r="BX30" i="36"/>
  <c r="CY30" i="36"/>
  <c r="CZ30" i="36"/>
  <c r="CB30" i="36"/>
  <c r="DP30" i="36"/>
  <c r="DA30" i="36"/>
  <c r="CC30" i="36"/>
  <c r="DE30" i="36"/>
  <c r="BV30" i="36"/>
  <c r="BY30" i="36"/>
  <c r="CX30" i="36"/>
  <c r="BZ30" i="36"/>
  <c r="DB30" i="36"/>
  <c r="CH30" i="36"/>
  <c r="DC30" i="36"/>
  <c r="DF30" i="36"/>
  <c r="BW30" i="36"/>
  <c r="BQ30" i="36"/>
  <c r="O29" i="36"/>
  <c r="BX29" i="36" s="1"/>
  <c r="CG28" i="36"/>
  <c r="CO28" i="36"/>
  <c r="BS28" i="36"/>
  <c r="BR28" i="36"/>
  <c r="CK28" i="36"/>
  <c r="DB28" i="36"/>
  <c r="CF28" i="36"/>
  <c r="CN28" i="36"/>
  <c r="BO28" i="36"/>
  <c r="CJ28" i="36"/>
  <c r="CD28" i="36"/>
  <c r="CY28" i="36"/>
  <c r="DA28" i="36"/>
  <c r="BQ28" i="36"/>
  <c r="BP28" i="36" s="1"/>
  <c r="CB28" i="36"/>
  <c r="CZ28" i="36"/>
  <c r="CX28" i="36"/>
  <c r="BY28" i="36"/>
  <c r="DG28" i="36"/>
  <c r="BX28" i="36"/>
  <c r="DF28" i="36"/>
  <c r="BW28" i="36"/>
  <c r="DE28" i="36"/>
  <c r="BV28" i="36"/>
  <c r="DD28" i="36"/>
  <c r="CU28" i="36"/>
  <c r="AO28" i="36"/>
  <c r="AA28" i="36"/>
  <c r="BZ28" i="36" s="1"/>
  <c r="AT28" i="36"/>
  <c r="BG28" i="36"/>
  <c r="AQ28" i="36"/>
  <c r="CE28" i="36"/>
  <c r="DM27" i="36"/>
  <c r="DK27" i="36"/>
  <c r="DI27" i="36"/>
  <c r="CW27" i="36"/>
  <c r="CT27" i="36"/>
  <c r="CQ27" i="36"/>
  <c r="CM27" i="36"/>
  <c r="CI27" i="36"/>
  <c r="CA27" i="36"/>
  <c r="BD27" i="36"/>
  <c r="BC27" i="36"/>
  <c r="BB27" i="36"/>
  <c r="AZ27" i="36"/>
  <c r="AY27" i="36"/>
  <c r="AX27" i="36"/>
  <c r="AW27" i="36"/>
  <c r="AS27" i="36" s="1"/>
  <c r="AV27" i="36"/>
  <c r="AU27" i="36"/>
  <c r="AT27" i="36"/>
  <c r="AR27" i="36"/>
  <c r="CD27" i="36" s="1"/>
  <c r="AP27" i="36"/>
  <c r="AN27" i="36"/>
  <c r="AK27" i="36"/>
  <c r="AJ27" i="36"/>
  <c r="AG27" i="36"/>
  <c r="AF27" i="36"/>
  <c r="AC27" i="36"/>
  <c r="AB27" i="36"/>
  <c r="Z27" i="36"/>
  <c r="Y27" i="36"/>
  <c r="X27" i="36" s="1"/>
  <c r="W27" i="36"/>
  <c r="V27" i="36"/>
  <c r="U27" i="36"/>
  <c r="T27" i="36"/>
  <c r="S27" i="36"/>
  <c r="R27" i="36"/>
  <c r="O27" i="36"/>
  <c r="N27" i="36"/>
  <c r="M27" i="36"/>
  <c r="GJ26" i="36"/>
  <c r="FD26" i="36"/>
  <c r="DR26" i="36"/>
  <c r="CO29" i="36" l="1"/>
  <c r="AQ27" i="36"/>
  <c r="BI30" i="36"/>
  <c r="DL30" i="36" s="1"/>
  <c r="BU28" i="36"/>
  <c r="AL27" i="36"/>
  <c r="CP27" i="36" s="1"/>
  <c r="AD27" i="36"/>
  <c r="AE27" i="36" s="1"/>
  <c r="DH28" i="36"/>
  <c r="CF27" i="36"/>
  <c r="CP28" i="36"/>
  <c r="AM28" i="36"/>
  <c r="AH27" i="36"/>
  <c r="CV28" i="36"/>
  <c r="CG27" i="36"/>
  <c r="CL28" i="36"/>
  <c r="AI28" i="36"/>
  <c r="AE28" i="36"/>
  <c r="CU27" i="36"/>
  <c r="DN30" i="36"/>
  <c r="DC29" i="36"/>
  <c r="DA29" i="36"/>
  <c r="DD29" i="36"/>
  <c r="DG29" i="36"/>
  <c r="BY29" i="36"/>
  <c r="BZ29" i="36"/>
  <c r="DE29" i="36"/>
  <c r="BV29" i="36"/>
  <c r="BU29" i="36" s="1"/>
  <c r="DF29" i="36"/>
  <c r="CZ29" i="36"/>
  <c r="CY29" i="36"/>
  <c r="CB29" i="36"/>
  <c r="DH29" i="36"/>
  <c r="CH29" i="36"/>
  <c r="CC29" i="36"/>
  <c r="BW29" i="36"/>
  <c r="CX29" i="36"/>
  <c r="DB29" i="36"/>
  <c r="CS28" i="36"/>
  <c r="CO27" i="36"/>
  <c r="CY27" i="36"/>
  <c r="CN27" i="36"/>
  <c r="CK27" i="36"/>
  <c r="DG27" i="36"/>
  <c r="BS27" i="36"/>
  <c r="DF27" i="36"/>
  <c r="DE27" i="36"/>
  <c r="BV27" i="36"/>
  <c r="CX27" i="36"/>
  <c r="CB27" i="36"/>
  <c r="DD27" i="36"/>
  <c r="BP27" i="36"/>
  <c r="DC27" i="36"/>
  <c r="BO27" i="36"/>
  <c r="DB27" i="36"/>
  <c r="BY27" i="36"/>
  <c r="DA27" i="36"/>
  <c r="BR27" i="36"/>
  <c r="CC27" i="36"/>
  <c r="BQ27" i="36"/>
  <c r="CZ27" i="36"/>
  <c r="DH27" i="36"/>
  <c r="BX27" i="36"/>
  <c r="BW27" i="36"/>
  <c r="BG27" i="36"/>
  <c r="AA27" i="36"/>
  <c r="AO27" i="36"/>
  <c r="CR27" i="36"/>
  <c r="CJ27" i="36"/>
  <c r="CE27" i="36"/>
  <c r="BT27" i="36"/>
  <c r="DM26" i="36"/>
  <c r="DK26" i="36"/>
  <c r="DI26" i="36"/>
  <c r="CW26" i="36"/>
  <c r="CT26" i="36"/>
  <c r="CQ26" i="36"/>
  <c r="CM26" i="36"/>
  <c r="CI26" i="36"/>
  <c r="CA26" i="36"/>
  <c r="BL26" i="36"/>
  <c r="BD26" i="36"/>
  <c r="BC26" i="36"/>
  <c r="BB26" i="36"/>
  <c r="AZ26" i="36"/>
  <c r="AY26" i="36"/>
  <c r="AX26" i="36"/>
  <c r="AW26" i="36"/>
  <c r="AU26" i="36"/>
  <c r="AR26" i="36"/>
  <c r="AT26" i="36" s="1"/>
  <c r="AP26" i="36"/>
  <c r="AN26" i="36"/>
  <c r="AK26" i="36"/>
  <c r="AJ26" i="36"/>
  <c r="AG26" i="36"/>
  <c r="AF26" i="36"/>
  <c r="CJ26" i="36" s="1"/>
  <c r="AC26" i="36"/>
  <c r="AB26" i="36"/>
  <c r="Z26" i="36"/>
  <c r="Y26" i="36"/>
  <c r="W26" i="36"/>
  <c r="V26" i="36"/>
  <c r="U26" i="36"/>
  <c r="T26" i="36"/>
  <c r="S26" i="36"/>
  <c r="R26" i="36"/>
  <c r="AO26" i="36" l="1"/>
  <c r="CR26" i="36"/>
  <c r="CU26" i="36"/>
  <c r="CV27" i="36"/>
  <c r="AD26" i="36"/>
  <c r="AE26" i="36" s="1"/>
  <c r="AI27" i="36"/>
  <c r="CL27" i="36"/>
  <c r="CO26" i="36"/>
  <c r="AM27" i="36"/>
  <c r="BG26" i="36"/>
  <c r="AL26" i="36"/>
  <c r="CP26" i="36" s="1"/>
  <c r="CH27" i="36"/>
  <c r="CN26" i="36"/>
  <c r="AH26" i="36"/>
  <c r="CS27" i="36"/>
  <c r="CV26" i="36"/>
  <c r="CF26" i="36"/>
  <c r="CK26" i="36"/>
  <c r="CG29" i="36"/>
  <c r="BZ27" i="36"/>
  <c r="BU27" i="36"/>
  <c r="AQ26" i="36"/>
  <c r="AA26" i="36"/>
  <c r="AS26" i="36"/>
  <c r="CE26" i="36" s="1"/>
  <c r="CD26" i="36"/>
  <c r="X26" i="36"/>
  <c r="AM26" i="36"/>
  <c r="O26" i="36"/>
  <c r="N26" i="36"/>
  <c r="M26" i="36"/>
  <c r="GJ25" i="36"/>
  <c r="FD25" i="36"/>
  <c r="DR25" i="36"/>
  <c r="DM25" i="36"/>
  <c r="DK25" i="36"/>
  <c r="DI25" i="36"/>
  <c r="CW25" i="36"/>
  <c r="CT25" i="36"/>
  <c r="CQ25" i="36"/>
  <c r="CM25" i="36"/>
  <c r="CI25" i="36"/>
  <c r="CH25" i="36"/>
  <c r="CF25" i="36"/>
  <c r="CA25" i="36"/>
  <c r="BD25" i="36"/>
  <c r="BC25" i="36"/>
  <c r="BB25" i="36"/>
  <c r="AZ25" i="36"/>
  <c r="AY25" i="36"/>
  <c r="AX25" i="36"/>
  <c r="AW25" i="36"/>
  <c r="AV25" i="36"/>
  <c r="AU25" i="36"/>
  <c r="AR25" i="36"/>
  <c r="AT25" i="36" s="1"/>
  <c r="AP25" i="36"/>
  <c r="CU25" i="36" s="1"/>
  <c r="AN25" i="36"/>
  <c r="AK25" i="36"/>
  <c r="AJ25" i="36"/>
  <c r="AG25" i="36"/>
  <c r="AF25" i="36"/>
  <c r="AC25" i="36"/>
  <c r="AB25" i="36"/>
  <c r="Z25" i="36"/>
  <c r="Y25" i="36"/>
  <c r="W25" i="36"/>
  <c r="V25" i="36"/>
  <c r="U25" i="36"/>
  <c r="T25" i="36"/>
  <c r="S25" i="36"/>
  <c r="R25" i="36"/>
  <c r="N25" i="36"/>
  <c r="O25" i="36" s="1"/>
  <c r="M25" i="36"/>
  <c r="GJ24" i="36"/>
  <c r="FD24" i="36"/>
  <c r="DR24" i="36"/>
  <c r="DM24" i="36"/>
  <c r="DK24" i="36"/>
  <c r="DI24" i="36"/>
  <c r="CW24" i="36"/>
  <c r="CT24" i="36"/>
  <c r="CQ24" i="36"/>
  <c r="CM24" i="36"/>
  <c r="CI24" i="36"/>
  <c r="CA24" i="36"/>
  <c r="BD24" i="36"/>
  <c r="BC24" i="36"/>
  <c r="BB24" i="36"/>
  <c r="AZ24" i="36"/>
  <c r="AY24" i="36"/>
  <c r="AX24" i="36"/>
  <c r="AW24" i="36"/>
  <c r="AV24" i="36"/>
  <c r="AU24" i="36"/>
  <c r="AR24" i="36"/>
  <c r="AT24" i="36" s="1"/>
  <c r="AP24" i="36"/>
  <c r="AN24" i="36"/>
  <c r="AK24" i="36"/>
  <c r="AJ24" i="36"/>
  <c r="CN24" i="36" s="1"/>
  <c r="AG24" i="36"/>
  <c r="AF24" i="36"/>
  <c r="AC24" i="36"/>
  <c r="AB24" i="36"/>
  <c r="Z24" i="36"/>
  <c r="Y24" i="36"/>
  <c r="X24" i="36" s="1"/>
  <c r="W24" i="36"/>
  <c r="V24" i="36"/>
  <c r="U24" i="36"/>
  <c r="T24" i="36"/>
  <c r="S24" i="36"/>
  <c r="R24" i="36"/>
  <c r="BG24" i="36" l="1"/>
  <c r="CG25" i="36"/>
  <c r="CS26" i="36"/>
  <c r="AH25" i="36"/>
  <c r="CL25" i="36" s="1"/>
  <c r="AH24" i="36"/>
  <c r="CL24" i="36" s="1"/>
  <c r="CR24" i="36"/>
  <c r="AA25" i="36"/>
  <c r="CK24" i="36"/>
  <c r="AS25" i="36"/>
  <c r="AD25" i="36"/>
  <c r="AE25" i="36" s="1"/>
  <c r="AD24" i="36"/>
  <c r="AE24" i="36" s="1"/>
  <c r="AL24" i="36"/>
  <c r="CP24" i="36" s="1"/>
  <c r="CL26" i="36"/>
  <c r="AI26" i="36"/>
  <c r="CJ24" i="36"/>
  <c r="AQ24" i="36"/>
  <c r="AS24" i="36"/>
  <c r="CE24" i="36" s="1"/>
  <c r="CD24" i="36" s="1"/>
  <c r="BS26" i="36"/>
  <c r="BR26" i="36" s="1"/>
  <c r="BU26" i="36"/>
  <c r="BT26" i="36"/>
  <c r="BP26" i="36"/>
  <c r="BQ26" i="36"/>
  <c r="BO26" i="36"/>
  <c r="DB26" i="36"/>
  <c r="CC26" i="36"/>
  <c r="DF26" i="36"/>
  <c r="BW26" i="36"/>
  <c r="DC26" i="36"/>
  <c r="DD26" i="36"/>
  <c r="CH26" i="36"/>
  <c r="BX26" i="36"/>
  <c r="CB26" i="36"/>
  <c r="DP26" i="36"/>
  <c r="DE26" i="36"/>
  <c r="BV26" i="36"/>
  <c r="DG26" i="36"/>
  <c r="DA26" i="36"/>
  <c r="DH26" i="36"/>
  <c r="CX26" i="36"/>
  <c r="BY26" i="36"/>
  <c r="CY26" i="36"/>
  <c r="BZ26" i="36"/>
  <c r="CZ26" i="36"/>
  <c r="AL25" i="36"/>
  <c r="BU25" i="36"/>
  <c r="CK25" i="36"/>
  <c r="AQ25" i="36"/>
  <c r="CJ25" i="36"/>
  <c r="BW25" i="36"/>
  <c r="CR25" i="36"/>
  <c r="BY25" i="36"/>
  <c r="DA25" i="36"/>
  <c r="BX25" i="36"/>
  <c r="CZ25" i="36"/>
  <c r="CY25" i="36"/>
  <c r="BV25" i="36"/>
  <c r="CX25" i="36"/>
  <c r="DG25" i="36"/>
  <c r="BT25" i="36"/>
  <c r="DF25" i="36"/>
  <c r="CC25" i="36"/>
  <c r="BR25" i="36"/>
  <c r="CB25" i="36"/>
  <c r="DD25" i="36"/>
  <c r="BQ25" i="36"/>
  <c r="BP25" i="36" s="1"/>
  <c r="DC25" i="36"/>
  <c r="BS25" i="36"/>
  <c r="DE25" i="36"/>
  <c r="BO25" i="36"/>
  <c r="BZ25" i="36"/>
  <c r="DB25" i="36"/>
  <c r="CN25" i="36"/>
  <c r="X25" i="36"/>
  <c r="AO24" i="36"/>
  <c r="AA24" i="36"/>
  <c r="AO25" i="36"/>
  <c r="CV24" i="36"/>
  <c r="CE25" i="36"/>
  <c r="CD25" i="36" s="1"/>
  <c r="CG24" i="36"/>
  <c r="CF24" i="36"/>
  <c r="CU24" i="36"/>
  <c r="CO24" i="36"/>
  <c r="BG25" i="36"/>
  <c r="N24" i="36"/>
  <c r="O24" i="36" s="1"/>
  <c r="M24" i="36"/>
  <c r="GJ23" i="36"/>
  <c r="DR23" i="36"/>
  <c r="DM23" i="36"/>
  <c r="DK23" i="36"/>
  <c r="DI23" i="36"/>
  <c r="CW23" i="36"/>
  <c r="CU23" i="36"/>
  <c r="CT23" i="36"/>
  <c r="CQ23" i="36"/>
  <c r="CM23" i="36"/>
  <c r="CI23" i="36"/>
  <c r="CA23" i="36"/>
  <c r="BD23" i="36"/>
  <c r="BC23" i="36"/>
  <c r="BB23" i="36"/>
  <c r="AZ23" i="36"/>
  <c r="AY23" i="36"/>
  <c r="AX23" i="36"/>
  <c r="AW23" i="36"/>
  <c r="AV23" i="36"/>
  <c r="AU23" i="36"/>
  <c r="AR23" i="36"/>
  <c r="AT23" i="36" s="1"/>
  <c r="AP23" i="36"/>
  <c r="AQ23" i="36" s="1"/>
  <c r="AN23" i="36"/>
  <c r="AK23" i="36"/>
  <c r="AJ23" i="36"/>
  <c r="AG23" i="36"/>
  <c r="AF23" i="36"/>
  <c r="CJ23" i="36" s="1"/>
  <c r="AC23" i="36"/>
  <c r="AB23" i="36"/>
  <c r="Z23" i="36"/>
  <c r="Y23" i="36"/>
  <c r="W23" i="36"/>
  <c r="V23" i="36"/>
  <c r="X23" i="36" s="1"/>
  <c r="U23" i="36"/>
  <c r="T23" i="36"/>
  <c r="S23" i="36"/>
  <c r="R23" i="36"/>
  <c r="AS23" i="36" l="1"/>
  <c r="AI25" i="36"/>
  <c r="AI24" i="36"/>
  <c r="AD23" i="36"/>
  <c r="CN23" i="36"/>
  <c r="AL23" i="36"/>
  <c r="AM23" i="36" s="1"/>
  <c r="CV23" i="36"/>
  <c r="CS25" i="36"/>
  <c r="AM24" i="36"/>
  <c r="CF23" i="36"/>
  <c r="AH23" i="36"/>
  <c r="CL23" i="36" s="1"/>
  <c r="CK23" i="36"/>
  <c r="CG26" i="36"/>
  <c r="DH25" i="36"/>
  <c r="AM25" i="36"/>
  <c r="CP25" i="36"/>
  <c r="CV25" i="36"/>
  <c r="AE23" i="36"/>
  <c r="CR23" i="36"/>
  <c r="CO23" i="36"/>
  <c r="CS24" i="36"/>
  <c r="BV24" i="36"/>
  <c r="DC24" i="36"/>
  <c r="DE24" i="36"/>
  <c r="DF24" i="36"/>
  <c r="CX24" i="36"/>
  <c r="BZ24" i="36"/>
  <c r="CY24" i="36"/>
  <c r="BW24" i="36"/>
  <c r="CB24" i="36"/>
  <c r="CZ24" i="36"/>
  <c r="BX24" i="36"/>
  <c r="BY24" i="36"/>
  <c r="DA24" i="36"/>
  <c r="DB24" i="36"/>
  <c r="DD24" i="36"/>
  <c r="CC24" i="36"/>
  <c r="DG24" i="36"/>
  <c r="DH24" i="36"/>
  <c r="CH24" i="36"/>
  <c r="BU24" i="36"/>
  <c r="BS24" i="36"/>
  <c r="BO24" i="36"/>
  <c r="BT24" i="36"/>
  <c r="BR24" i="36"/>
  <c r="AA23" i="36"/>
  <c r="BG23" i="36"/>
  <c r="AO23" i="36"/>
  <c r="CE23" i="36"/>
  <c r="CD23" i="36" s="1"/>
  <c r="N23" i="36"/>
  <c r="M23" i="36"/>
  <c r="GJ22" i="36"/>
  <c r="FD22" i="36"/>
  <c r="DR22" i="36"/>
  <c r="DM22" i="36"/>
  <c r="DK22" i="36"/>
  <c r="DI22" i="36"/>
  <c r="CW22" i="36"/>
  <c r="CT22" i="36"/>
  <c r="CQ22" i="36"/>
  <c r="CM22" i="36"/>
  <c r="CI22" i="36"/>
  <c r="CA22" i="36"/>
  <c r="BC22" i="36"/>
  <c r="BB22" i="36"/>
  <c r="AZ22" i="36"/>
  <c r="AY22" i="36"/>
  <c r="AX22" i="36"/>
  <c r="AW22" i="36"/>
  <c r="AV22" i="36"/>
  <c r="AU22" i="36"/>
  <c r="AR22" i="36"/>
  <c r="CD22" i="36" s="1"/>
  <c r="AP22" i="36"/>
  <c r="AN22" i="36"/>
  <c r="AK22" i="36"/>
  <c r="AJ22" i="36"/>
  <c r="CN22" i="36" s="1"/>
  <c r="AG22" i="36"/>
  <c r="AF22" i="36"/>
  <c r="CJ22" i="36" s="1"/>
  <c r="AC22" i="36"/>
  <c r="AB22" i="36"/>
  <c r="Z22" i="36"/>
  <c r="Y22" i="36"/>
  <c r="W22" i="36"/>
  <c r="V22" i="36"/>
  <c r="U22" i="36"/>
  <c r="T22" i="36"/>
  <c r="R22" i="36"/>
  <c r="CG22" i="36" l="1"/>
  <c r="CP23" i="36"/>
  <c r="X22" i="36"/>
  <c r="CO22" i="36"/>
  <c r="CO25" i="36"/>
  <c r="CL22" i="36"/>
  <c r="AI23" i="36"/>
  <c r="CU22" i="36"/>
  <c r="AH22" i="36"/>
  <c r="AI22" i="36" s="1"/>
  <c r="CR22" i="36"/>
  <c r="AD22" i="36"/>
  <c r="AE22" i="36" s="1"/>
  <c r="AL22" i="36"/>
  <c r="CP22" i="36" s="1"/>
  <c r="CS23" i="36"/>
  <c r="BQ24" i="36"/>
  <c r="BP24" i="36" s="1"/>
  <c r="BR23" i="36"/>
  <c r="BS23" i="36"/>
  <c r="BT23" i="36"/>
  <c r="BQ23" i="36"/>
  <c r="BP23" i="36" s="1"/>
  <c r="BO23" i="36" s="1"/>
  <c r="O23" i="36"/>
  <c r="CF22" i="36"/>
  <c r="AA22" i="36"/>
  <c r="BG22" i="36"/>
  <c r="AS22" i="36"/>
  <c r="CE22" i="36" s="1"/>
  <c r="AT22" i="36"/>
  <c r="AQ22" i="36"/>
  <c r="AO22" i="36"/>
  <c r="AM22" i="36"/>
  <c r="N22" i="36"/>
  <c r="O22" i="36" s="1"/>
  <c r="M22" i="36"/>
  <c r="GJ21" i="36"/>
  <c r="DR21" i="36"/>
  <c r="DM21" i="36"/>
  <c r="DK21" i="36"/>
  <c r="DI21" i="36"/>
  <c r="CW21" i="36"/>
  <c r="CT21" i="36"/>
  <c r="CQ21" i="36"/>
  <c r="CM21" i="36"/>
  <c r="CI21" i="36"/>
  <c r="CA21" i="36"/>
  <c r="BC21" i="36"/>
  <c r="BB21" i="36"/>
  <c r="AZ21" i="36"/>
  <c r="AY21" i="36"/>
  <c r="AX21" i="36"/>
  <c r="AW21" i="36"/>
  <c r="AV21" i="36"/>
  <c r="AU21" i="36"/>
  <c r="AR21" i="36"/>
  <c r="CD21" i="36" s="1"/>
  <c r="AP21" i="36"/>
  <c r="AQ21" i="36" s="1"/>
  <c r="AN21" i="36"/>
  <c r="AK21" i="36"/>
  <c r="AJ21" i="36"/>
  <c r="AG21" i="36"/>
  <c r="AF21" i="36"/>
  <c r="AC21" i="36"/>
  <c r="AB21" i="36"/>
  <c r="Z21" i="36"/>
  <c r="Y21" i="36"/>
  <c r="W21" i="36"/>
  <c r="V21" i="36"/>
  <c r="U21" i="36"/>
  <c r="T21" i="36"/>
  <c r="R21" i="36"/>
  <c r="CK22" i="36" l="1"/>
  <c r="CV22" i="36"/>
  <c r="AL21" i="36"/>
  <c r="CP21" i="36" s="1"/>
  <c r="CS22" i="36"/>
  <c r="CU21" i="36"/>
  <c r="AD21" i="36"/>
  <c r="AH21" i="36"/>
  <c r="CL21" i="36" s="1"/>
  <c r="CR21" i="36"/>
  <c r="CX23" i="36"/>
  <c r="CH23" i="36"/>
  <c r="CY23" i="36"/>
  <c r="CZ23" i="36"/>
  <c r="DA23" i="36"/>
  <c r="BV23" i="36"/>
  <c r="BU23" i="36" s="1"/>
  <c r="DB23" i="36"/>
  <c r="BW23" i="36"/>
  <c r="BY23" i="36"/>
  <c r="DF23" i="36"/>
  <c r="DC23" i="36"/>
  <c r="BX23" i="36"/>
  <c r="CB23" i="36"/>
  <c r="DD23" i="36"/>
  <c r="DE23" i="36"/>
  <c r="BZ23" i="36"/>
  <c r="DG23" i="36"/>
  <c r="CC23" i="36"/>
  <c r="DH23" i="36"/>
  <c r="CG21" i="36"/>
  <c r="DA22" i="36"/>
  <c r="BV22" i="36"/>
  <c r="CY22" i="36"/>
  <c r="DB22" i="36"/>
  <c r="BW22" i="36"/>
  <c r="DC22" i="36"/>
  <c r="BX22" i="36"/>
  <c r="BY22" i="36"/>
  <c r="CC22" i="36"/>
  <c r="CX22" i="36"/>
  <c r="CZ22" i="36"/>
  <c r="DD22" i="36"/>
  <c r="DE22" i="36"/>
  <c r="BZ22" i="36"/>
  <c r="DH22" i="36"/>
  <c r="DF22" i="36"/>
  <c r="CB22" i="36"/>
  <c r="CH22" i="36"/>
  <c r="BP22" i="36"/>
  <c r="BO22" i="36" s="1"/>
  <c r="BT22" i="36"/>
  <c r="BU22" i="36"/>
  <c r="BS22" i="36"/>
  <c r="BQ22" i="36"/>
  <c r="BR22" i="36"/>
  <c r="DG22" i="36"/>
  <c r="X21" i="36"/>
  <c r="CV21" i="36"/>
  <c r="CO21" i="36"/>
  <c r="CN21" i="36"/>
  <c r="CK21" i="36"/>
  <c r="CJ21" i="36"/>
  <c r="CF21" i="36"/>
  <c r="BG21" i="36"/>
  <c r="AT21" i="36"/>
  <c r="AS21" i="36"/>
  <c r="CE21" i="36" s="1"/>
  <c r="AA21" i="36"/>
  <c r="AO21" i="36"/>
  <c r="AE21" i="36"/>
  <c r="N21" i="36"/>
  <c r="O21" i="36" s="1"/>
  <c r="M21" i="36"/>
  <c r="GJ20" i="36"/>
  <c r="DR20" i="36"/>
  <c r="DM20" i="36"/>
  <c r="DK20" i="36"/>
  <c r="DI20" i="36"/>
  <c r="CW20" i="36"/>
  <c r="CT20" i="36"/>
  <c r="CQ20" i="36"/>
  <c r="CM20" i="36"/>
  <c r="CI20" i="36"/>
  <c r="CA20" i="36"/>
  <c r="BD20" i="36"/>
  <c r="BC20" i="36"/>
  <c r="BB20" i="36"/>
  <c r="AZ20" i="36"/>
  <c r="AY20" i="36"/>
  <c r="AX20" i="36"/>
  <c r="AW20" i="36"/>
  <c r="AV20" i="36"/>
  <c r="AU20" i="36"/>
  <c r="AR20" i="36"/>
  <c r="AT20" i="36" s="1"/>
  <c r="AP20" i="36"/>
  <c r="AN20" i="36"/>
  <c r="AK20" i="36"/>
  <c r="AJ20" i="36"/>
  <c r="AG20" i="36"/>
  <c r="AF20" i="36"/>
  <c r="AC20" i="36"/>
  <c r="AB20" i="36"/>
  <c r="Z20" i="36"/>
  <c r="Y20" i="36"/>
  <c r="W20" i="36"/>
  <c r="V20" i="36"/>
  <c r="U20" i="36"/>
  <c r="T20" i="36"/>
  <c r="S20" i="36"/>
  <c r="R20" i="36"/>
  <c r="N20" i="36"/>
  <c r="M20" i="36"/>
  <c r="GJ19" i="36"/>
  <c r="FD19" i="36"/>
  <c r="DR19" i="36"/>
  <c r="AI21" i="36" l="1"/>
  <c r="AH20" i="36"/>
  <c r="CL20" i="36" s="1"/>
  <c r="AL20" i="36"/>
  <c r="CP20" i="36" s="1"/>
  <c r="AD20" i="36"/>
  <c r="AE20" i="36" s="1"/>
  <c r="AM21" i="36"/>
  <c r="CG23" i="36"/>
  <c r="CS21" i="36"/>
  <c r="CY21" i="36"/>
  <c r="DA21" i="36"/>
  <c r="BX21" i="36"/>
  <c r="DB21" i="36"/>
  <c r="BY21" i="36"/>
  <c r="DC21" i="36"/>
  <c r="BZ21" i="36"/>
  <c r="CB21" i="36"/>
  <c r="BW21" i="36"/>
  <c r="DD21" i="36"/>
  <c r="DE21" i="36"/>
  <c r="DF21" i="36"/>
  <c r="CC21" i="36"/>
  <c r="CH21" i="36"/>
  <c r="DG21" i="36"/>
  <c r="DH21" i="36"/>
  <c r="CX21" i="36"/>
  <c r="BV21" i="36"/>
  <c r="CZ21" i="36"/>
  <c r="BO21" i="36"/>
  <c r="BT21" i="36"/>
  <c r="BS21" i="36" s="1"/>
  <c r="BP21" i="36"/>
  <c r="BR21" i="36"/>
  <c r="BQ21" i="36"/>
  <c r="BU21" i="36"/>
  <c r="CG20" i="36"/>
  <c r="AA20" i="36"/>
  <c r="BG20" i="36"/>
  <c r="AS20" i="36"/>
  <c r="CE20" i="36" s="1"/>
  <c r="CD20" i="36" s="1"/>
  <c r="X20" i="36"/>
  <c r="AQ20" i="36"/>
  <c r="CR20" i="36"/>
  <c r="AO20" i="36"/>
  <c r="CO20" i="36"/>
  <c r="CN20" i="36"/>
  <c r="CJ20" i="36"/>
  <c r="CF20" i="36"/>
  <c r="CK20" i="36"/>
  <c r="BQ20" i="36"/>
  <c r="BP20" i="36" s="1"/>
  <c r="CU20" i="36"/>
  <c r="BO20" i="36"/>
  <c r="BS20" i="36"/>
  <c r="BT20" i="36"/>
  <c r="O20" i="36"/>
  <c r="BR20" i="36"/>
  <c r="DM19" i="36"/>
  <c r="DK19" i="36"/>
  <c r="DI19" i="36"/>
  <c r="CW19" i="36"/>
  <c r="CT19" i="36"/>
  <c r="CQ19" i="36"/>
  <c r="CM19" i="36"/>
  <c r="CL19" i="36" s="1"/>
  <c r="CJ19" i="36"/>
  <c r="CI19" i="36"/>
  <c r="CA19" i="36"/>
  <c r="BP19" i="36"/>
  <c r="BD19" i="36"/>
  <c r="BC19" i="36"/>
  <c r="BB19" i="36"/>
  <c r="AZ19" i="36"/>
  <c r="AY19" i="36"/>
  <c r="AX19" i="36"/>
  <c r="AW19" i="36"/>
  <c r="AV19" i="36"/>
  <c r="AU19" i="36"/>
  <c r="AR19" i="36"/>
  <c r="AT19" i="36" s="1"/>
  <c r="AP19" i="36"/>
  <c r="AQ19" i="36" s="1"/>
  <c r="AN19" i="36"/>
  <c r="CR19" i="36" s="1"/>
  <c r="AK19" i="36"/>
  <c r="AJ19" i="36"/>
  <c r="AG19" i="36"/>
  <c r="AF19" i="36"/>
  <c r="AC19" i="36"/>
  <c r="AB19" i="36"/>
  <c r="Z19" i="36"/>
  <c r="Y19" i="36"/>
  <c r="W19" i="36"/>
  <c r="V19" i="36"/>
  <c r="U19" i="36"/>
  <c r="T19" i="36"/>
  <c r="S19" i="36"/>
  <c r="R19" i="36"/>
  <c r="N19" i="36"/>
  <c r="O19" i="36" s="1"/>
  <c r="M19" i="36"/>
  <c r="GJ18" i="36"/>
  <c r="FD18" i="36"/>
  <c r="DR18" i="36"/>
  <c r="CK19" i="36" l="1"/>
  <c r="DC19" i="36"/>
  <c r="DB19" i="36"/>
  <c r="CO19" i="36"/>
  <c r="AM20" i="36"/>
  <c r="AL19" i="36"/>
  <c r="CP19" i="36" s="1"/>
  <c r="AH19" i="36"/>
  <c r="AD19" i="36"/>
  <c r="CH19" i="36" s="1"/>
  <c r="CN19" i="36"/>
  <c r="AI20" i="36"/>
  <c r="CG19" i="36"/>
  <c r="AS19" i="36"/>
  <c r="CE19" i="36" s="1"/>
  <c r="CD19" i="36"/>
  <c r="BO19" i="36"/>
  <c r="CV20" i="36"/>
  <c r="CV19" i="36"/>
  <c r="CS20" i="36"/>
  <c r="AI19" i="36"/>
  <c r="CF19" i="36"/>
  <c r="CB19" i="36"/>
  <c r="BY19" i="36"/>
  <c r="DA19" i="36"/>
  <c r="CZ19" i="36"/>
  <c r="BX19" i="36"/>
  <c r="DB20" i="36"/>
  <c r="CC20" i="36"/>
  <c r="DE20" i="36"/>
  <c r="BX20" i="36"/>
  <c r="BY20" i="36"/>
  <c r="CY20" i="36"/>
  <c r="CZ20" i="36"/>
  <c r="DC20" i="36"/>
  <c r="CH20" i="36"/>
  <c r="BV20" i="36"/>
  <c r="BU20" i="36" s="1"/>
  <c r="BZ20" i="36"/>
  <c r="DA20" i="36"/>
  <c r="DD20" i="36"/>
  <c r="DF20" i="36"/>
  <c r="BW20" i="36"/>
  <c r="DG20" i="36"/>
  <c r="DH20" i="36"/>
  <c r="CX20" i="36"/>
  <c r="CB20" i="36"/>
  <c r="DG19" i="36"/>
  <c r="BV19" i="36"/>
  <c r="DF19" i="36"/>
  <c r="BW19" i="36"/>
  <c r="CX19" i="36"/>
  <c r="BT19" i="36"/>
  <c r="BS19" i="36"/>
  <c r="DE19" i="36"/>
  <c r="DD19" i="36" s="1"/>
  <c r="CY19" i="36"/>
  <c r="BR19" i="36"/>
  <c r="CU19" i="36"/>
  <c r="BG19" i="36"/>
  <c r="BQ19" i="36"/>
  <c r="AO19" i="36"/>
  <c r="AA19" i="36"/>
  <c r="BU19" i="36" s="1"/>
  <c r="X19" i="36"/>
  <c r="DM18" i="36"/>
  <c r="DK18" i="36"/>
  <c r="DI18" i="36"/>
  <c r="CW18" i="36"/>
  <c r="CT18" i="36"/>
  <c r="CQ18" i="36"/>
  <c r="CM18" i="36"/>
  <c r="CL18" i="36" s="1"/>
  <c r="CK18" i="36"/>
  <c r="CJ18" i="36"/>
  <c r="CI18" i="36"/>
  <c r="CA18" i="36"/>
  <c r="BD18" i="36"/>
  <c r="BC18" i="36"/>
  <c r="BB18" i="36"/>
  <c r="AZ18" i="36"/>
  <c r="AY18" i="36"/>
  <c r="AX18" i="36"/>
  <c r="AW18" i="36"/>
  <c r="AV18" i="36"/>
  <c r="AU18" i="36"/>
  <c r="AR18" i="36"/>
  <c r="AQ18" i="36"/>
  <c r="AP18" i="36"/>
  <c r="CU18" i="36" s="1"/>
  <c r="AN18" i="36"/>
  <c r="AK18" i="36"/>
  <c r="AJ18" i="36"/>
  <c r="AG18" i="36"/>
  <c r="AF18" i="36"/>
  <c r="AC18" i="36"/>
  <c r="AB18" i="36"/>
  <c r="Z18" i="36"/>
  <c r="Y18" i="36"/>
  <c r="W18" i="36"/>
  <c r="V18" i="36"/>
  <c r="U18" i="36"/>
  <c r="S18" i="36"/>
  <c r="R18" i="36"/>
  <c r="N18" i="36"/>
  <c r="M18" i="36"/>
  <c r="GJ17" i="36"/>
  <c r="FD17" i="36"/>
  <c r="DR17" i="36"/>
  <c r="AE19" i="36" l="1"/>
  <c r="AL18" i="36"/>
  <c r="CP18" i="36" s="1"/>
  <c r="AD18" i="36"/>
  <c r="AE18" i="36" s="1"/>
  <c r="AH18" i="36"/>
  <c r="AI18" i="36" s="1"/>
  <c r="CV18" i="36"/>
  <c r="X18" i="36"/>
  <c r="AS18" i="36"/>
  <c r="CE18" i="36" s="1"/>
  <c r="AM19" i="36"/>
  <c r="BZ19" i="36"/>
  <c r="DH19" i="36"/>
  <c r="CC19" i="36"/>
  <c r="CS19" i="36"/>
  <c r="AA18" i="36"/>
  <c r="BU18" i="36" s="1"/>
  <c r="CR18" i="36"/>
  <c r="CN18" i="36"/>
  <c r="BG18" i="36"/>
  <c r="CO18" i="36"/>
  <c r="BS18" i="36"/>
  <c r="CF18" i="36"/>
  <c r="BT18" i="36"/>
  <c r="O18" i="36"/>
  <c r="BR18" i="36"/>
  <c r="BQ18" i="36"/>
  <c r="BP18" i="36"/>
  <c r="BO18" i="36"/>
  <c r="AO18" i="36"/>
  <c r="CD18" i="36"/>
  <c r="AT18" i="36"/>
  <c r="DM17" i="36"/>
  <c r="DK17" i="36"/>
  <c r="DI17" i="36"/>
  <c r="CW17" i="36"/>
  <c r="CU17" i="36"/>
  <c r="CT17" i="36"/>
  <c r="CQ17" i="36"/>
  <c r="CM17" i="36"/>
  <c r="CL17" i="36"/>
  <c r="CK17" i="36"/>
  <c r="CJ17" i="36"/>
  <c r="CI17" i="36"/>
  <c r="CA17" i="36"/>
  <c r="BD17" i="36"/>
  <c r="BC17" i="36"/>
  <c r="BB17" i="36"/>
  <c r="AZ17" i="36"/>
  <c r="AY17" i="36"/>
  <c r="AX17" i="36"/>
  <c r="AW17" i="36"/>
  <c r="AV17" i="36"/>
  <c r="AU17" i="36"/>
  <c r="AT17" i="36"/>
  <c r="AR17" i="36"/>
  <c r="AP17" i="36"/>
  <c r="AN17" i="36"/>
  <c r="AK17" i="36"/>
  <c r="AJ17" i="36"/>
  <c r="AG17" i="36"/>
  <c r="AF17" i="36"/>
  <c r="AC17" i="36"/>
  <c r="AB17" i="36"/>
  <c r="Z17" i="36"/>
  <c r="Y17" i="36"/>
  <c r="W17" i="36"/>
  <c r="V17" i="36"/>
  <c r="U17" i="36"/>
  <c r="T17" i="36"/>
  <c r="S17" i="36"/>
  <c r="BW17" i="36" s="1"/>
  <c r="R17" i="36"/>
  <c r="O17" i="36"/>
  <c r="N17" i="36"/>
  <c r="M17" i="36"/>
  <c r="GJ16" i="36"/>
  <c r="FD16" i="36"/>
  <c r="CX17" i="36" l="1"/>
  <c r="CS18" i="36"/>
  <c r="BS17" i="36"/>
  <c r="AQ17" i="36"/>
  <c r="AL17" i="36"/>
  <c r="CP17" i="36" s="1"/>
  <c r="CH17" i="36"/>
  <c r="CY17" i="36"/>
  <c r="DC17" i="36"/>
  <c r="AH17" i="36"/>
  <c r="AI17" i="36" s="1"/>
  <c r="AD17" i="36"/>
  <c r="DG17" i="36"/>
  <c r="BT17" i="36"/>
  <c r="CZ17" i="36"/>
  <c r="CG17" i="36"/>
  <c r="CF17" i="36"/>
  <c r="AM18" i="36"/>
  <c r="DF18" i="36"/>
  <c r="DG18" i="36"/>
  <c r="CB18" i="36"/>
  <c r="DH18" i="36"/>
  <c r="CC18" i="36"/>
  <c r="DC18" i="36"/>
  <c r="DD18" i="36"/>
  <c r="CX18" i="36"/>
  <c r="CH18" i="36"/>
  <c r="CY18" i="36"/>
  <c r="CZ18" i="36"/>
  <c r="DA18" i="36"/>
  <c r="BV18" i="36"/>
  <c r="DB18" i="36"/>
  <c r="BW18" i="36"/>
  <c r="BX18" i="36"/>
  <c r="BY18" i="36"/>
  <c r="DE18" i="36"/>
  <c r="BZ18" i="36"/>
  <c r="DD17" i="36"/>
  <c r="DF17" i="36"/>
  <c r="DE17" i="36"/>
  <c r="DA17" i="36"/>
  <c r="BR17" i="36"/>
  <c r="BP17" i="36"/>
  <c r="CB17" i="36"/>
  <c r="AE17" i="36"/>
  <c r="BO17" i="36"/>
  <c r="BY17" i="36"/>
  <c r="AA17" i="36"/>
  <c r="BG17" i="36"/>
  <c r="BX17" i="36"/>
  <c r="DB17" i="36"/>
  <c r="AO17" i="36"/>
  <c r="BQ17" i="36"/>
  <c r="X17" i="36"/>
  <c r="BV17" i="36"/>
  <c r="AS17" i="36"/>
  <c r="CC17" i="36" s="1"/>
  <c r="CO17" i="36"/>
  <c r="DM16" i="36"/>
  <c r="DK16" i="36"/>
  <c r="DI16" i="36"/>
  <c r="CW16" i="36"/>
  <c r="CT16" i="36"/>
  <c r="CQ16" i="36"/>
  <c r="CM16" i="36"/>
  <c r="CK16" i="36"/>
  <c r="CI16" i="36"/>
  <c r="CA16" i="36"/>
  <c r="BL16" i="36"/>
  <c r="BD16" i="36"/>
  <c r="BC16" i="36"/>
  <c r="BB16" i="36"/>
  <c r="AZ16" i="36"/>
  <c r="AY16" i="36"/>
  <c r="AX16" i="36"/>
  <c r="AW16" i="36"/>
  <c r="AV16" i="36"/>
  <c r="AU16" i="36"/>
  <c r="AR16" i="36"/>
  <c r="CD16" i="36" s="1"/>
  <c r="AP16" i="36"/>
  <c r="CU16" i="36" s="1"/>
  <c r="AN16" i="36"/>
  <c r="CR16" i="36" s="1"/>
  <c r="AK16" i="36"/>
  <c r="AJ16" i="36"/>
  <c r="AL16" i="36" s="1"/>
  <c r="CP16" i="36" s="1"/>
  <c r="AG16" i="36"/>
  <c r="AF16" i="36"/>
  <c r="CJ16" i="36" s="1"/>
  <c r="AC16" i="36"/>
  <c r="AB16" i="36"/>
  <c r="CF16" i="36" s="1"/>
  <c r="Z16" i="36"/>
  <c r="Y16" i="36"/>
  <c r="W16" i="36"/>
  <c r="V16" i="36"/>
  <c r="X16" i="36" s="1"/>
  <c r="U16" i="36"/>
  <c r="T16" i="36"/>
  <c r="S16" i="36"/>
  <c r="R16" i="36"/>
  <c r="CV17" i="36" l="1"/>
  <c r="CN17" i="36"/>
  <c r="CE17" i="36"/>
  <c r="CD17" i="36" s="1"/>
  <c r="AM17" i="36"/>
  <c r="AD16" i="36"/>
  <c r="AE16" i="36" s="1"/>
  <c r="AH16" i="36"/>
  <c r="AM16" i="36"/>
  <c r="CO16" i="36"/>
  <c r="CG18" i="36"/>
  <c r="BH16" i="36"/>
  <c r="CN16" i="36"/>
  <c r="CS17" i="36"/>
  <c r="CR17" i="36" s="1"/>
  <c r="AT16" i="36"/>
  <c r="BU17" i="36"/>
  <c r="BZ17" i="36"/>
  <c r="AS16" i="36"/>
  <c r="CE16" i="36" s="1"/>
  <c r="AQ16" i="36"/>
  <c r="DH17" i="36"/>
  <c r="BG16" i="36"/>
  <c r="AA16" i="36"/>
  <c r="AO16" i="36"/>
  <c r="CG16" i="36"/>
  <c r="O16" i="36"/>
  <c r="DB16" i="36" s="1"/>
  <c r="N16" i="36"/>
  <c r="BQ16" i="36" s="1"/>
  <c r="M16" i="36"/>
  <c r="GJ15" i="36"/>
  <c r="FD15" i="36"/>
  <c r="DR15" i="36"/>
  <c r="DM15" i="36"/>
  <c r="DK15" i="36"/>
  <c r="DI15" i="36"/>
  <c r="CW15" i="36"/>
  <c r="CT15" i="36"/>
  <c r="CQ15" i="36"/>
  <c r="CM15" i="36"/>
  <c r="CI15" i="36"/>
  <c r="CA15" i="36"/>
  <c r="BD15" i="36"/>
  <c r="BG15" i="36" s="1"/>
  <c r="BC15" i="36"/>
  <c r="BB15" i="36"/>
  <c r="AZ15" i="36"/>
  <c r="AY15" i="36"/>
  <c r="AX15" i="36"/>
  <c r="AW15" i="36"/>
  <c r="AV15" i="36"/>
  <c r="AU15" i="36"/>
  <c r="AR15" i="36"/>
  <c r="AT15" i="36" s="1"/>
  <c r="AP15" i="36"/>
  <c r="AN15" i="36"/>
  <c r="CR15" i="36" l="1"/>
  <c r="AQ15" i="36"/>
  <c r="AS15" i="36"/>
  <c r="CL16" i="36"/>
  <c r="AI16" i="36"/>
  <c r="BY16" i="36"/>
  <c r="BP16" i="36"/>
  <c r="BR16" i="36"/>
  <c r="CY16" i="36"/>
  <c r="BO16" i="36"/>
  <c r="AO15" i="36"/>
  <c r="BT16" i="36"/>
  <c r="BS16" i="36"/>
  <c r="CZ16" i="36"/>
  <c r="DE16" i="36"/>
  <c r="BV16" i="36"/>
  <c r="DP16" i="36"/>
  <c r="BW16" i="36"/>
  <c r="CB16" i="36"/>
  <c r="DA16" i="36"/>
  <c r="CH16" i="36"/>
  <c r="BX16" i="36"/>
  <c r="DC16" i="36"/>
  <c r="DD16" i="36"/>
  <c r="DG16" i="36"/>
  <c r="DF16" i="36"/>
  <c r="CX16" i="36"/>
  <c r="BL17" i="36"/>
  <c r="DJ16" i="36"/>
  <c r="DH16" i="36"/>
  <c r="CS16" i="36"/>
  <c r="CC16" i="36"/>
  <c r="BU16" i="36"/>
  <c r="BZ16" i="36"/>
  <c r="CV16" i="36"/>
  <c r="BJ16" i="36"/>
  <c r="AL15" i="36"/>
  <c r="CP15" i="36" s="1"/>
  <c r="AK15" i="36"/>
  <c r="AJ15" i="36"/>
  <c r="AG15" i="36"/>
  <c r="AF15" i="36"/>
  <c r="CJ15" i="36" s="1"/>
  <c r="AD15" i="36"/>
  <c r="AC15" i="36"/>
  <c r="CG15" i="36" s="1"/>
  <c r="AB15" i="36"/>
  <c r="CF15" i="36" s="1"/>
  <c r="Z15" i="36"/>
  <c r="Y15" i="36"/>
  <c r="W15" i="36"/>
  <c r="V15" i="36"/>
  <c r="X15" i="36" s="1"/>
  <c r="U15" i="36"/>
  <c r="T15" i="36"/>
  <c r="S15" i="36"/>
  <c r="R15" i="36"/>
  <c r="CV15" i="36" l="1"/>
  <c r="CU15" i="36" s="1"/>
  <c r="AE15" i="36"/>
  <c r="CK15" i="36"/>
  <c r="CO15" i="36"/>
  <c r="CN15" i="36"/>
  <c r="AM15" i="36"/>
  <c r="CS15" i="36"/>
  <c r="CE15" i="36"/>
  <c r="CD15" i="36" s="1"/>
  <c r="AH15" i="36"/>
  <c r="CL15" i="36" s="1"/>
  <c r="AA15" i="36"/>
  <c r="BH17" i="36"/>
  <c r="DP17" i="36"/>
  <c r="BL18" i="36"/>
  <c r="BI16" i="36"/>
  <c r="DN16" i="36"/>
  <c r="N15" i="36"/>
  <c r="M15" i="36"/>
  <c r="GJ14" i="36"/>
  <c r="FD14" i="36"/>
  <c r="DR14" i="36"/>
  <c r="DM14" i="36"/>
  <c r="DK14" i="36"/>
  <c r="DI14" i="36"/>
  <c r="CW14" i="36"/>
  <c r="CT14" i="36"/>
  <c r="CR14" i="36"/>
  <c r="CQ14" i="36"/>
  <c r="CM14" i="36"/>
  <c r="CL14" i="36"/>
  <c r="CK14" i="36"/>
  <c r="CJ14" i="36"/>
  <c r="CI14" i="36"/>
  <c r="CA14" i="36"/>
  <c r="BD14" i="36"/>
  <c r="BC14" i="36"/>
  <c r="BB14" i="36"/>
  <c r="AZ14" i="36"/>
  <c r="BG14" i="36" s="1"/>
  <c r="AY14" i="36"/>
  <c r="AY37" i="36" s="1"/>
  <c r="AX14" i="36"/>
  <c r="AW14" i="36"/>
  <c r="AV14" i="36"/>
  <c r="AU14" i="36"/>
  <c r="AR14" i="36"/>
  <c r="AT14" i="36" s="1"/>
  <c r="AP14" i="36"/>
  <c r="AN14" i="36"/>
  <c r="AS14" i="36" l="1"/>
  <c r="CU14" i="36"/>
  <c r="BP15" i="36"/>
  <c r="AO14" i="36"/>
  <c r="AQ14" i="36"/>
  <c r="BO15" i="36"/>
  <c r="BQ15" i="36"/>
  <c r="BT15" i="36"/>
  <c r="BS15" i="36"/>
  <c r="BR15" i="36"/>
  <c r="AI15" i="36"/>
  <c r="BU15" i="36"/>
  <c r="BH18" i="36"/>
  <c r="DP18" i="36"/>
  <c r="DJ17" i="36"/>
  <c r="BJ17" i="36"/>
  <c r="BL19" i="36"/>
  <c r="DL16" i="36"/>
  <c r="AK14" i="36"/>
  <c r="AJ14" i="36"/>
  <c r="AL14" i="36" s="1"/>
  <c r="CP14" i="36" s="1"/>
  <c r="AI14" i="36"/>
  <c r="AH14" i="36"/>
  <c r="AG14" i="36"/>
  <c r="AF14" i="36"/>
  <c r="AC14" i="36"/>
  <c r="CG14" i="36" s="1"/>
  <c r="AB14" i="36"/>
  <c r="CF14" i="36" s="1"/>
  <c r="Z14" i="36"/>
  <c r="Y14" i="36"/>
  <c r="W14" i="36"/>
  <c r="V14" i="36"/>
  <c r="X14" i="36" s="1"/>
  <c r="U14" i="36"/>
  <c r="T14" i="36"/>
  <c r="S14" i="36"/>
  <c r="R14" i="36"/>
  <c r="AA14" i="36" s="1"/>
  <c r="CS14" i="36" l="1"/>
  <c r="CV14" i="36"/>
  <c r="AD14" i="36"/>
  <c r="AE14" i="36" s="1"/>
  <c r="CO14" i="36"/>
  <c r="AM14" i="36"/>
  <c r="CN14" i="36"/>
  <c r="CE14" i="36"/>
  <c r="CD14" i="36" s="1"/>
  <c r="BI15" i="36"/>
  <c r="BH19" i="36"/>
  <c r="DP19" i="36"/>
  <c r="BJ18" i="36"/>
  <c r="DJ18" i="36"/>
  <c r="DN17" i="36"/>
  <c r="BI17" i="36"/>
  <c r="BL20" i="36"/>
  <c r="N14" i="36"/>
  <c r="M14" i="36"/>
  <c r="GB13" i="36"/>
  <c r="GJ13" i="36" s="1"/>
  <c r="FD13" i="36"/>
  <c r="DR13" i="36"/>
  <c r="DM13" i="36"/>
  <c r="DK13" i="36"/>
  <c r="DI13" i="36"/>
  <c r="CW13" i="36"/>
  <c r="CT13" i="36"/>
  <c r="CS13" i="36"/>
  <c r="CR13" i="36"/>
  <c r="CQ13" i="36"/>
  <c r="CM13" i="36"/>
  <c r="CI13" i="36"/>
  <c r="CG13" i="36"/>
  <c r="CA13" i="36"/>
  <c r="BD13" i="36"/>
  <c r="BG13" i="36" s="1"/>
  <c r="BC13" i="36"/>
  <c r="BB13" i="36"/>
  <c r="AZ13" i="36"/>
  <c r="AX13" i="36"/>
  <c r="AW13" i="36"/>
  <c r="AV13" i="36"/>
  <c r="AU13" i="36"/>
  <c r="AT13" i="36"/>
  <c r="AR13" i="36"/>
  <c r="AP13" i="36"/>
  <c r="AN13" i="36"/>
  <c r="AK13" i="36"/>
  <c r="AJ13" i="36"/>
  <c r="CN13" i="36" s="1"/>
  <c r="AG13" i="36"/>
  <c r="AF13" i="36"/>
  <c r="AE13" i="36"/>
  <c r="AD13" i="36"/>
  <c r="AC13" i="36"/>
  <c r="AB13" i="36"/>
  <c r="Z13" i="36"/>
  <c r="Y13" i="36"/>
  <c r="W13" i="36"/>
  <c r="V13" i="36"/>
  <c r="X13" i="36" s="1"/>
  <c r="U13" i="36"/>
  <c r="T13" i="36"/>
  <c r="S13" i="36"/>
  <c r="R13" i="36"/>
  <c r="AS13" i="36" l="1"/>
  <c r="CF13" i="36"/>
  <c r="CU13" i="36"/>
  <c r="CO13" i="36"/>
  <c r="CJ13" i="36"/>
  <c r="AO13" i="36"/>
  <c r="CK13" i="36"/>
  <c r="AH13" i="36"/>
  <c r="CL13" i="36" s="1"/>
  <c r="AQ13" i="36"/>
  <c r="O14" i="36"/>
  <c r="BP14" i="36"/>
  <c r="CE13" i="36"/>
  <c r="CD13" i="36" s="1"/>
  <c r="AA13" i="36"/>
  <c r="BT14" i="36"/>
  <c r="BO14" i="36"/>
  <c r="BR14" i="36"/>
  <c r="BQ14" i="36"/>
  <c r="BS14" i="36"/>
  <c r="AL13" i="36"/>
  <c r="CP13" i="36" s="1"/>
  <c r="BU14" i="36"/>
  <c r="BH20" i="36"/>
  <c r="DP20" i="36"/>
  <c r="BJ19" i="36"/>
  <c r="DJ19" i="36"/>
  <c r="BI18" i="36"/>
  <c r="DL18" i="36" s="1"/>
  <c r="DN18" i="36"/>
  <c r="DL17" i="36"/>
  <c r="BL21" i="36"/>
  <c r="N13" i="36"/>
  <c r="O13" i="36" s="1"/>
  <c r="M13" i="36"/>
  <c r="GJ12" i="36"/>
  <c r="GB12" i="36"/>
  <c r="FD12" i="36"/>
  <c r="DR12" i="36"/>
  <c r="DM12" i="36"/>
  <c r="DK12" i="36"/>
  <c r="DI12" i="36"/>
  <c r="CW12" i="36"/>
  <c r="CT12" i="36"/>
  <c r="CQ12" i="36"/>
  <c r="CN12" i="36"/>
  <c r="CM12" i="36"/>
  <c r="CI12" i="36"/>
  <c r="CA12" i="36"/>
  <c r="BI12" i="36"/>
  <c r="BD12" i="36"/>
  <c r="BC12" i="36"/>
  <c r="BB12" i="36"/>
  <c r="AZ12" i="36"/>
  <c r="AX12" i="36"/>
  <c r="AW12" i="36"/>
  <c r="AV12" i="36"/>
  <c r="AU12" i="36"/>
  <c r="AR12" i="36"/>
  <c r="CD12" i="36" s="1"/>
  <c r="AP12" i="36"/>
  <c r="AN12" i="36"/>
  <c r="AM12" i="36"/>
  <c r="AL12" i="36"/>
  <c r="CP12" i="36" s="1"/>
  <c r="AK12" i="36"/>
  <c r="AJ12" i="36"/>
  <c r="AG12" i="36"/>
  <c r="AF12" i="36"/>
  <c r="AE12" i="36"/>
  <c r="AD12" i="36"/>
  <c r="AC12" i="36"/>
  <c r="CG12" i="36" s="1"/>
  <c r="AB12" i="36"/>
  <c r="Z12" i="36"/>
  <c r="Y12" i="36"/>
  <c r="X12" i="36"/>
  <c r="W12" i="36"/>
  <c r="V12" i="36"/>
  <c r="U12" i="36"/>
  <c r="T12" i="36"/>
  <c r="S12" i="36"/>
  <c r="R12" i="36"/>
  <c r="N12" i="36"/>
  <c r="BP12" i="36" s="1"/>
  <c r="M12" i="36"/>
  <c r="GJ11" i="36" s="1"/>
  <c r="GB11" i="36"/>
  <c r="FD11" i="36"/>
  <c r="DR11" i="36"/>
  <c r="CH13" i="36" l="1"/>
  <c r="BZ13" i="36"/>
  <c r="BW13" i="36"/>
  <c r="DH13" i="36"/>
  <c r="BO12" i="36"/>
  <c r="BU13" i="36"/>
  <c r="CO12" i="36"/>
  <c r="AQ12" i="36"/>
  <c r="CK12" i="36"/>
  <c r="CV13" i="36"/>
  <c r="AI13" i="36"/>
  <c r="O12" i="36"/>
  <c r="AO12" i="36"/>
  <c r="CX14" i="36"/>
  <c r="CY14" i="36"/>
  <c r="BV14" i="36"/>
  <c r="DC14" i="36"/>
  <c r="DD14" i="36"/>
  <c r="CZ14" i="36"/>
  <c r="BX14" i="36"/>
  <c r="CB14" i="36"/>
  <c r="DA14" i="36"/>
  <c r="BY14" i="36"/>
  <c r="DB14" i="36"/>
  <c r="CC14" i="36"/>
  <c r="DF14" i="36"/>
  <c r="DG14" i="36"/>
  <c r="DH14" i="36"/>
  <c r="CH14" i="36"/>
  <c r="DE14" i="36"/>
  <c r="BW14" i="36"/>
  <c r="BZ14" i="36"/>
  <c r="CJ12" i="36"/>
  <c r="AA12" i="36"/>
  <c r="BU12" i="36" s="1"/>
  <c r="CY13" i="36"/>
  <c r="BV13" i="36"/>
  <c r="CB13" i="36"/>
  <c r="CC13" i="36"/>
  <c r="DF13" i="36"/>
  <c r="CZ13" i="36"/>
  <c r="BX13" i="36"/>
  <c r="DB13" i="36"/>
  <c r="DC13" i="36"/>
  <c r="DA13" i="36"/>
  <c r="BY13" i="36"/>
  <c r="DD13" i="36"/>
  <c r="DE13" i="36"/>
  <c r="CX13" i="36"/>
  <c r="DG13" i="36"/>
  <c r="BT12" i="36"/>
  <c r="BR12" i="36"/>
  <c r="BR13" i="36"/>
  <c r="BO13" i="36"/>
  <c r="BS13" i="36"/>
  <c r="BP13" i="36"/>
  <c r="BT13" i="36"/>
  <c r="AI12" i="36"/>
  <c r="AH12" i="36"/>
  <c r="CL12" i="36" s="1"/>
  <c r="AT12" i="36"/>
  <c r="BQ12" i="36"/>
  <c r="CF12" i="36"/>
  <c r="CR12" i="36"/>
  <c r="BS12" i="36"/>
  <c r="AS12" i="36"/>
  <c r="AM13" i="36"/>
  <c r="DN19" i="36"/>
  <c r="BI19" i="36"/>
  <c r="DL19" i="36" s="1"/>
  <c r="BH21" i="36"/>
  <c r="DP21" i="36"/>
  <c r="DL12" i="36"/>
  <c r="BG12" i="36"/>
  <c r="BJ20" i="36"/>
  <c r="DJ20" i="36"/>
  <c r="BL22" i="36"/>
  <c r="DM11" i="36"/>
  <c r="DK11" i="36"/>
  <c r="DI11" i="36"/>
  <c r="CW11" i="36"/>
  <c r="CT11" i="36"/>
  <c r="CQ11" i="36"/>
  <c r="CM11" i="36"/>
  <c r="CI11" i="36"/>
  <c r="CH11" i="36"/>
  <c r="CG11" i="36"/>
  <c r="CF11" i="36"/>
  <c r="CA11" i="36"/>
  <c r="BI11" i="36"/>
  <c r="BD11" i="36"/>
  <c r="BC11" i="36"/>
  <c r="BB11" i="36"/>
  <c r="AZ11" i="36"/>
  <c r="AX11" i="36"/>
  <c r="AW11" i="36"/>
  <c r="AV11" i="36"/>
  <c r="AU11" i="36"/>
  <c r="AR11" i="36"/>
  <c r="CD11" i="36" s="1"/>
  <c r="AQ11" i="36"/>
  <c r="AP11" i="36"/>
  <c r="AN11" i="36"/>
  <c r="AK11" i="36"/>
  <c r="AJ11" i="36"/>
  <c r="AG11" i="36"/>
  <c r="CK11" i="36" s="1"/>
  <c r="AF11" i="36"/>
  <c r="AC11" i="36"/>
  <c r="AB11" i="36"/>
  <c r="Z11" i="36"/>
  <c r="Y11" i="36"/>
  <c r="W11" i="36"/>
  <c r="V11" i="36"/>
  <c r="X11" i="36" s="1"/>
  <c r="U11" i="36"/>
  <c r="T11" i="36"/>
  <c r="S11" i="36"/>
  <c r="R11" i="36"/>
  <c r="BQ13" i="36" l="1"/>
  <c r="CV12" i="36"/>
  <c r="CU12" i="36" s="1"/>
  <c r="AT11" i="36"/>
  <c r="CU11" i="36"/>
  <c r="AD11" i="36"/>
  <c r="AE11" i="36" s="1"/>
  <c r="AO11" i="36"/>
  <c r="AS11" i="36"/>
  <c r="CV11" i="36"/>
  <c r="DE12" i="36"/>
  <c r="CB12" i="36"/>
  <c r="DF12" i="36"/>
  <c r="CH12" i="36"/>
  <c r="BV12" i="36"/>
  <c r="BX12" i="36"/>
  <c r="DG12" i="36"/>
  <c r="DD12" i="36"/>
  <c r="CX12" i="36"/>
  <c r="CC12" i="36"/>
  <c r="CY12" i="36"/>
  <c r="DC12" i="36"/>
  <c r="CZ12" i="36"/>
  <c r="BY12" i="36"/>
  <c r="DB12" i="36"/>
  <c r="CS12" i="36"/>
  <c r="AH11" i="36"/>
  <c r="CJ11" i="36"/>
  <c r="AA11" i="36"/>
  <c r="BW12" i="36"/>
  <c r="CE11" i="36"/>
  <c r="BH22" i="36"/>
  <c r="DP22" i="36"/>
  <c r="BZ12" i="36"/>
  <c r="CE12" i="36"/>
  <c r="BG11" i="36"/>
  <c r="CO11" i="36"/>
  <c r="CN11" i="36"/>
  <c r="BJ22" i="36"/>
  <c r="DJ22" i="36"/>
  <c r="BJ21" i="36"/>
  <c r="DJ21" i="36"/>
  <c r="DH12" i="36"/>
  <c r="BI20" i="36"/>
  <c r="DN20" i="36"/>
  <c r="BL23" i="36"/>
  <c r="N11" i="36"/>
  <c r="BU11" i="36" s="1"/>
  <c r="M11" i="36"/>
  <c r="GJ10" i="36" s="1"/>
  <c r="GB10" i="36"/>
  <c r="FD10" i="36"/>
  <c r="DR10" i="36"/>
  <c r="DM10" i="36"/>
  <c r="DK10" i="36"/>
  <c r="DI10" i="36"/>
  <c r="CW10" i="36"/>
  <c r="CT10" i="36"/>
  <c r="CQ10" i="36"/>
  <c r="CM10" i="36"/>
  <c r="CI10" i="36"/>
  <c r="CH10" i="36"/>
  <c r="CG10" i="36"/>
  <c r="CF10" i="36"/>
  <c r="CA10" i="36"/>
  <c r="BG10" i="36"/>
  <c r="BD10" i="36"/>
  <c r="BC10" i="36"/>
  <c r="BB10" i="36"/>
  <c r="AZ10" i="36"/>
  <c r="AX10" i="36"/>
  <c r="AW10" i="36"/>
  <c r="AV10" i="36"/>
  <c r="AU10" i="36"/>
  <c r="AR10" i="36"/>
  <c r="AT10" i="36" s="1"/>
  <c r="AP10" i="36"/>
  <c r="AO10" i="36"/>
  <c r="AN10" i="36"/>
  <c r="O11" i="36" l="1"/>
  <c r="DL11" i="36" s="1"/>
  <c r="AQ10" i="36"/>
  <c r="CR10" i="36"/>
  <c r="AS10" i="36"/>
  <c r="DA12" i="36"/>
  <c r="CS11" i="36"/>
  <c r="CR11" i="36" s="1"/>
  <c r="BO11" i="36"/>
  <c r="BP11" i="36"/>
  <c r="BQ11" i="36"/>
  <c r="BS11" i="36"/>
  <c r="BR11" i="36"/>
  <c r="AI11" i="36"/>
  <c r="CL11" i="36"/>
  <c r="CD10" i="36"/>
  <c r="DH11" i="36"/>
  <c r="CU10" i="36"/>
  <c r="DA11" i="36"/>
  <c r="BY11" i="36"/>
  <c r="DG11" i="36"/>
  <c r="DB11" i="36"/>
  <c r="DC11" i="36"/>
  <c r="CC11" i="36"/>
  <c r="CB11" i="36" s="1"/>
  <c r="CZ11" i="36"/>
  <c r="DD11" i="36"/>
  <c r="DE11" i="36"/>
  <c r="BV11" i="36"/>
  <c r="BX11" i="36"/>
  <c r="CX11" i="36"/>
  <c r="DF11" i="36"/>
  <c r="CY11" i="36"/>
  <c r="BZ11" i="36"/>
  <c r="CE10" i="36"/>
  <c r="CS10" i="36"/>
  <c r="BW11" i="36"/>
  <c r="BH23" i="36"/>
  <c r="DP23" i="36"/>
  <c r="DN22" i="36"/>
  <c r="BI22" i="36"/>
  <c r="DL22" i="36" s="1"/>
  <c r="DN21" i="36"/>
  <c r="BI21" i="36"/>
  <c r="DL21" i="36" s="1"/>
  <c r="BT11" i="36"/>
  <c r="DL20" i="36"/>
  <c r="BL24" i="36"/>
  <c r="DP24" i="36" s="1"/>
  <c r="AK10" i="36"/>
  <c r="AJ10" i="36"/>
  <c r="AL10" i="36" s="1"/>
  <c r="CP10" i="36" s="1"/>
  <c r="AH10" i="36"/>
  <c r="CL10" i="36" s="1"/>
  <c r="AG10" i="36"/>
  <c r="AF10" i="36"/>
  <c r="CJ10" i="36" s="1"/>
  <c r="AC10" i="36"/>
  <c r="AB10" i="36"/>
  <c r="AD10" i="36" s="1"/>
  <c r="Z10" i="36"/>
  <c r="Y10" i="36"/>
  <c r="X10" i="36" s="1"/>
  <c r="W10" i="36"/>
  <c r="V10" i="36"/>
  <c r="U10" i="36"/>
  <c r="T10" i="36"/>
  <c r="S10" i="36"/>
  <c r="R10" i="36"/>
  <c r="N10" i="36"/>
  <c r="M10" i="36"/>
  <c r="GJ9" i="36"/>
  <c r="FD9" i="36"/>
  <c r="DR9" i="36"/>
  <c r="DM9" i="36"/>
  <c r="DK9" i="36"/>
  <c r="DI9" i="36"/>
  <c r="CW9" i="36"/>
  <c r="CT9" i="36"/>
  <c r="CQ9" i="36"/>
  <c r="CP9" i="36"/>
  <c r="CN9" i="36"/>
  <c r="CM9" i="36"/>
  <c r="CI9" i="36"/>
  <c r="CA9" i="36"/>
  <c r="BD9" i="36"/>
  <c r="BC9" i="36"/>
  <c r="BB9" i="36"/>
  <c r="AZ9" i="36"/>
  <c r="BG9" i="36" s="1"/>
  <c r="AX9" i="36"/>
  <c r="AW9" i="36"/>
  <c r="AV9" i="36"/>
  <c r="AU9" i="36"/>
  <c r="AR9" i="36"/>
  <c r="AT9" i="36" s="1"/>
  <c r="AP9" i="36"/>
  <c r="CU9" i="36" s="1"/>
  <c r="AN9" i="36"/>
  <c r="AL9" i="36"/>
  <c r="AK9" i="36"/>
  <c r="CO9" i="36" s="1"/>
  <c r="AJ9" i="36"/>
  <c r="AG9" i="36"/>
  <c r="AF9" i="36"/>
  <c r="AH9" i="36" s="1"/>
  <c r="CL9" i="36" s="1"/>
  <c r="AC9" i="36"/>
  <c r="CG9" i="36" s="1"/>
  <c r="AB9" i="36"/>
  <c r="CF9" i="36" s="1"/>
  <c r="Z9" i="36"/>
  <c r="Y9" i="36"/>
  <c r="X9" i="36" s="1"/>
  <c r="W9" i="36"/>
  <c r="V9" i="36"/>
  <c r="U9" i="36"/>
  <c r="T9" i="36"/>
  <c r="S9" i="36"/>
  <c r="R9" i="36"/>
  <c r="N9" i="36"/>
  <c r="BO9" i="36" s="1"/>
  <c r="M9" i="36"/>
  <c r="GJ8" i="36"/>
  <c r="FD8" i="36"/>
  <c r="DR8" i="36"/>
  <c r="DM8" i="36"/>
  <c r="DK8" i="36"/>
  <c r="DI8" i="36"/>
  <c r="CW8" i="36"/>
  <c r="CT8" i="36"/>
  <c r="CQ8" i="36"/>
  <c r="CM8" i="36"/>
  <c r="CI8" i="36"/>
  <c r="CA8" i="36"/>
  <c r="BG8" i="36"/>
  <c r="BD8" i="36"/>
  <c r="BC8" i="36"/>
  <c r="BB8" i="36"/>
  <c r="AZ8" i="36"/>
  <c r="AX8" i="36"/>
  <c r="AW8" i="36"/>
  <c r="AS8" i="36" s="1"/>
  <c r="AV8" i="36"/>
  <c r="AU8" i="36"/>
  <c r="AR8" i="36"/>
  <c r="AT8" i="36" s="1"/>
  <c r="AP8" i="36"/>
  <c r="AO8" i="36"/>
  <c r="AN8" i="36"/>
  <c r="CS8" i="36" l="1"/>
  <c r="AM9" i="36"/>
  <c r="CD9" i="36"/>
  <c r="CR8" i="36"/>
  <c r="AQ9" i="36"/>
  <c r="CU8" i="36"/>
  <c r="AA10" i="36"/>
  <c r="BU10" i="36" s="1"/>
  <c r="AO9" i="36"/>
  <c r="CV10" i="36"/>
  <c r="CE9" i="36"/>
  <c r="AS9" i="36"/>
  <c r="AQ8" i="36"/>
  <c r="BP9" i="36"/>
  <c r="O9" i="36"/>
  <c r="AD9" i="36"/>
  <c r="AE9" i="36" s="1"/>
  <c r="CN10" i="36"/>
  <c r="AM10" i="36"/>
  <c r="AA9" i="36"/>
  <c r="BU9" i="36" s="1"/>
  <c r="CK9" i="36"/>
  <c r="AI10" i="36"/>
  <c r="BT9" i="36"/>
  <c r="CK10" i="36"/>
  <c r="CJ9" i="36"/>
  <c r="BS9" i="36"/>
  <c r="CV9" i="36"/>
  <c r="BR9" i="36"/>
  <c r="AI9" i="36"/>
  <c r="BQ9" i="36"/>
  <c r="AE10" i="36"/>
  <c r="CO10" i="36"/>
  <c r="BQ10" i="36"/>
  <c r="BR10" i="36"/>
  <c r="BS10" i="36"/>
  <c r="BT10" i="36"/>
  <c r="BO10" i="36"/>
  <c r="CD8" i="36"/>
  <c r="CS9" i="36"/>
  <c r="CR9" i="36" s="1"/>
  <c r="BJ23" i="36"/>
  <c r="DJ23" i="36"/>
  <c r="BZ9" i="36"/>
  <c r="BP10" i="36"/>
  <c r="BL25" i="36"/>
  <c r="AK8" i="36"/>
  <c r="AJ8" i="36"/>
  <c r="AG8" i="36"/>
  <c r="AF8" i="36"/>
  <c r="AH8" i="36" s="1"/>
  <c r="CL8" i="36" s="1"/>
  <c r="AC8" i="36"/>
  <c r="AB8" i="36"/>
  <c r="Z8" i="36"/>
  <c r="Y8" i="36"/>
  <c r="W8" i="36"/>
  <c r="V8" i="36"/>
  <c r="X8" i="36" s="1"/>
  <c r="U8" i="36"/>
  <c r="T8" i="36"/>
  <c r="S8" i="36"/>
  <c r="BP8" i="36" s="1"/>
  <c r="R8" i="36"/>
  <c r="N8" i="36"/>
  <c r="M8" i="36"/>
  <c r="GJ7" i="36"/>
  <c r="FD7" i="36"/>
  <c r="DR7" i="36"/>
  <c r="DM7" i="36"/>
  <c r="DK7" i="36"/>
  <c r="DI7" i="36"/>
  <c r="CW7" i="36"/>
  <c r="CV7" i="36" s="1"/>
  <c r="CT7" i="36"/>
  <c r="CQ7" i="36"/>
  <c r="CM7" i="36"/>
  <c r="CJ7" i="36"/>
  <c r="CI7" i="36"/>
  <c r="CH7" i="36"/>
  <c r="CG7" i="36"/>
  <c r="CF7" i="36"/>
  <c r="CA7" i="36"/>
  <c r="BS7" i="36"/>
  <c r="BD7" i="36"/>
  <c r="BC7" i="36"/>
  <c r="BB7" i="36"/>
  <c r="AZ7" i="36"/>
  <c r="AX7" i="36"/>
  <c r="AW7" i="36"/>
  <c r="AS7" i="36" s="1"/>
  <c r="AV7" i="36"/>
  <c r="AU7" i="36"/>
  <c r="AR7" i="36"/>
  <c r="AQ7" i="36" s="1"/>
  <c r="AP7" i="36"/>
  <c r="CU7" i="36" s="1"/>
  <c r="AN7" i="36"/>
  <c r="AK7" i="36"/>
  <c r="AJ7" i="36"/>
  <c r="AG7" i="36"/>
  <c r="AF7" i="36"/>
  <c r="AC7" i="36"/>
  <c r="AB7" i="36"/>
  <c r="Z7" i="36"/>
  <c r="BT7" i="36" s="1"/>
  <c r="Y7" i="36"/>
  <c r="W7" i="36"/>
  <c r="V7" i="36"/>
  <c r="U7" i="36"/>
  <c r="T7" i="36"/>
  <c r="S7" i="36"/>
  <c r="S37" i="36" s="1"/>
  <c r="R7" i="36"/>
  <c r="N7" i="36"/>
  <c r="BO7" i="36" s="1"/>
  <c r="M7" i="36"/>
  <c r="GB6" i="36"/>
  <c r="GB37" i="36" s="1"/>
  <c r="GJ37" i="36" s="1"/>
  <c r="FD6" i="36"/>
  <c r="DR6" i="36"/>
  <c r="DM6" i="36"/>
  <c r="DK6" i="36"/>
  <c r="DI6" i="36"/>
  <c r="CW6" i="36"/>
  <c r="CU6" i="36"/>
  <c r="CT6" i="36"/>
  <c r="CQ6" i="36"/>
  <c r="CM6" i="36"/>
  <c r="CL6" i="36"/>
  <c r="CK6" i="36"/>
  <c r="CJ6" i="36"/>
  <c r="CI6" i="36"/>
  <c r="CA6" i="36"/>
  <c r="BL6" i="36"/>
  <c r="BI6" i="36"/>
  <c r="BD6" i="36"/>
  <c r="BC6" i="36"/>
  <c r="BB6" i="36"/>
  <c r="AZ6" i="36"/>
  <c r="BG6" i="36" s="1"/>
  <c r="AX6" i="36"/>
  <c r="AX37" i="36" s="1"/>
  <c r="AW6" i="36"/>
  <c r="AV6" i="36"/>
  <c r="AU6" i="36"/>
  <c r="AR6" i="36"/>
  <c r="AP6" i="36"/>
  <c r="AN6" i="36"/>
  <c r="CR6" i="36" s="1"/>
  <c r="AK6" i="36"/>
  <c r="AJ6" i="36"/>
  <c r="CN6" i="36" s="1"/>
  <c r="AG6" i="36"/>
  <c r="AF6" i="36"/>
  <c r="AC6" i="36"/>
  <c r="AB6" i="36"/>
  <c r="Z6" i="36"/>
  <c r="Y6" i="36"/>
  <c r="Y37" i="36" s="1"/>
  <c r="W6" i="36"/>
  <c r="V6" i="36"/>
  <c r="X6" i="36" s="1"/>
  <c r="U6" i="36"/>
  <c r="T6" i="36"/>
  <c r="S6" i="36"/>
  <c r="R6" i="36"/>
  <c r="AA6" i="36" s="1"/>
  <c r="O6" i="36"/>
  <c r="DP6" i="36" s="1"/>
  <c r="N6" i="36"/>
  <c r="N37" i="36" s="1"/>
  <c r="M6" i="36"/>
  <c r="DC3" i="36"/>
  <c r="DB3" i="36"/>
  <c r="DA3" i="36"/>
  <c r="CZ3" i="36"/>
  <c r="CY3" i="36"/>
  <c r="CX3" i="36"/>
  <c r="CW3" i="36"/>
  <c r="CV3" i="36"/>
  <c r="CU3" i="36"/>
  <c r="CT3" i="36"/>
  <c r="CS3" i="36"/>
  <c r="CR3" i="36"/>
  <c r="CQ3" i="36"/>
  <c r="CP3" i="36"/>
  <c r="CO3" i="36"/>
  <c r="CN3" i="36"/>
  <c r="CM3" i="36"/>
  <c r="CL3" i="36"/>
  <c r="CK3" i="36"/>
  <c r="CJ3" i="36"/>
  <c r="CI3" i="36"/>
  <c r="CH3" i="36"/>
  <c r="CG3" i="36"/>
  <c r="CF3" i="36"/>
  <c r="CE3" i="36"/>
  <c r="CD3" i="36"/>
  <c r="CC3" i="36"/>
  <c r="U37" i="36" l="1"/>
  <c r="X7" i="36"/>
  <c r="BG7" i="36"/>
  <c r="P6" i="36"/>
  <c r="DQ6" i="36" s="1"/>
  <c r="BM6" i="36"/>
  <c r="BZ6" i="36"/>
  <c r="CZ6" i="36"/>
  <c r="AD8" i="36"/>
  <c r="CV8" i="36"/>
  <c r="Z37" i="36"/>
  <c r="BT37" i="36" s="1"/>
  <c r="BS37" i="36"/>
  <c r="AQ6" i="36"/>
  <c r="AR37" i="36"/>
  <c r="AO6" i="36"/>
  <c r="AP37" i="36"/>
  <c r="BX6" i="36"/>
  <c r="CX6" i="36"/>
  <c r="BR7" i="36"/>
  <c r="AI8" i="36"/>
  <c r="BH6" i="36"/>
  <c r="BW6" i="36"/>
  <c r="O7" i="36"/>
  <c r="AT7" i="36"/>
  <c r="BW9" i="36"/>
  <c r="AT6" i="36"/>
  <c r="AU37" i="36"/>
  <c r="AK37" i="36"/>
  <c r="BC37" i="36"/>
  <c r="AO7" i="36"/>
  <c r="DH6" i="36"/>
  <c r="X37" i="36"/>
  <c r="W37" i="36"/>
  <c r="BS6" i="36"/>
  <c r="DF6" i="36"/>
  <c r="GJ6" i="36"/>
  <c r="DH9" i="36"/>
  <c r="AE8" i="36"/>
  <c r="CJ8" i="36"/>
  <c r="V37" i="36"/>
  <c r="AJ37" i="36"/>
  <c r="BB37" i="36"/>
  <c r="BS8" i="36"/>
  <c r="BO8" i="36"/>
  <c r="BQ8" i="36"/>
  <c r="BT8" i="36"/>
  <c r="BR8" i="36"/>
  <c r="CG8" i="36"/>
  <c r="CY6" i="36"/>
  <c r="BR6" i="36"/>
  <c r="DE6" i="36"/>
  <c r="CR7" i="36"/>
  <c r="CE7" i="36"/>
  <c r="CD7" i="36" s="1"/>
  <c r="DE9" i="36"/>
  <c r="BX9" i="36"/>
  <c r="CZ9" i="36"/>
  <c r="CB9" i="36"/>
  <c r="CC9" i="36"/>
  <c r="DF9" i="36"/>
  <c r="DG9" i="36"/>
  <c r="CH9" i="36"/>
  <c r="BY9" i="36"/>
  <c r="DB9" i="36"/>
  <c r="DD9" i="36"/>
  <c r="CY9" i="36"/>
  <c r="CX9" i="36"/>
  <c r="BV9" i="36"/>
  <c r="DC9" i="36"/>
  <c r="DA9" i="36"/>
  <c r="AZ37" i="36"/>
  <c r="AS6" i="36"/>
  <c r="BY6" i="36"/>
  <c r="BT6" i="36"/>
  <c r="BQ6" i="36"/>
  <c r="CD6" i="36"/>
  <c r="DD6" i="36"/>
  <c r="M37" i="36"/>
  <c r="CK8" i="36"/>
  <c r="AN37" i="36"/>
  <c r="T37" i="36"/>
  <c r="AG37" i="36"/>
  <c r="BP6" i="36"/>
  <c r="DC6" i="36"/>
  <c r="AA8" i="36"/>
  <c r="BU8" i="36" s="1"/>
  <c r="AC37" i="36"/>
  <c r="AF37" i="36"/>
  <c r="AA7" i="36"/>
  <c r="AW37" i="36"/>
  <c r="BO6" i="36"/>
  <c r="CB6" i="36"/>
  <c r="DB6" i="36"/>
  <c r="CN7" i="36"/>
  <c r="AB37" i="36"/>
  <c r="R37" i="36"/>
  <c r="BO37" i="36" s="1"/>
  <c r="BV6" i="36"/>
  <c r="BU6" i="36" s="1"/>
  <c r="DG6" i="36"/>
  <c r="AD6" i="36"/>
  <c r="CH6" i="36" s="1"/>
  <c r="AV37" i="36"/>
  <c r="CO6" i="36"/>
  <c r="DA6" i="36"/>
  <c r="AL8" i="36"/>
  <c r="CP8" i="36" s="1"/>
  <c r="AH7" i="36"/>
  <c r="CL7" i="36" s="1"/>
  <c r="BH25" i="36"/>
  <c r="DP25" i="36"/>
  <c r="BI23" i="36"/>
  <c r="DL23" i="36" s="1"/>
  <c r="DN23" i="36"/>
  <c r="BD37" i="36"/>
  <c r="BP37" i="36"/>
  <c r="BP7" i="36"/>
  <c r="BZ7" i="36" l="1"/>
  <c r="P7" i="36"/>
  <c r="CG6" i="36"/>
  <c r="CK7" i="36"/>
  <c r="BR37" i="36"/>
  <c r="AE6" i="36"/>
  <c r="AM8" i="36"/>
  <c r="AS37" i="36"/>
  <c r="CE6" i="36"/>
  <c r="CN37" i="36"/>
  <c r="AQ37" i="36"/>
  <c r="CV6" i="36"/>
  <c r="AA37" i="36"/>
  <c r="CG37" i="36"/>
  <c r="CJ37" i="36"/>
  <c r="CD37" i="36"/>
  <c r="AI7" i="36"/>
  <c r="AT37" i="36"/>
  <c r="DJ6" i="36"/>
  <c r="CK37" i="36"/>
  <c r="BU7" i="36"/>
  <c r="CU37" i="36"/>
  <c r="CR37" i="36"/>
  <c r="BQ37" i="36"/>
  <c r="CO8" i="36"/>
  <c r="AD37" i="36"/>
  <c r="CH37" i="36" s="1"/>
  <c r="CF37" i="36"/>
  <c r="CF8" i="36"/>
  <c r="DB7" i="36"/>
  <c r="BV7" i="36"/>
  <c r="DA7" i="36"/>
  <c r="DC7" i="36"/>
  <c r="BW7" i="36"/>
  <c r="CZ7" i="36"/>
  <c r="DD7" i="36"/>
  <c r="BX7" i="36"/>
  <c r="DE7" i="36"/>
  <c r="BY7" i="36"/>
  <c r="CC7" i="36"/>
  <c r="DF7" i="36"/>
  <c r="DG7" i="36"/>
  <c r="CB7" i="36"/>
  <c r="CX7" i="36"/>
  <c r="CY7" i="36"/>
  <c r="CO37" i="36"/>
  <c r="BQ7" i="36"/>
  <c r="AO37" i="36"/>
  <c r="CS6" i="36"/>
  <c r="DH7" i="36"/>
  <c r="CC6" i="36"/>
  <c r="CS7" i="36"/>
  <c r="BH27" i="36"/>
  <c r="DP27" i="36"/>
  <c r="DJ25" i="36"/>
  <c r="BJ25" i="36"/>
  <c r="BU37" i="36"/>
  <c r="BL28" i="36"/>
  <c r="CE8" i="36" l="1"/>
  <c r="CF6" i="36"/>
  <c r="CS37" i="36"/>
  <c r="CN8" i="36"/>
  <c r="CV37" i="36"/>
  <c r="CE37" i="36"/>
  <c r="BH28" i="36"/>
  <c r="DP28" i="36"/>
  <c r="DJ27" i="36"/>
  <c r="BJ27" i="36"/>
  <c r="BI25" i="36"/>
  <c r="DL25" i="36" s="1"/>
  <c r="DN25" i="36"/>
  <c r="BL29" i="36"/>
  <c r="BH29" i="36" l="1"/>
  <c r="DP29" i="36"/>
  <c r="BJ28" i="36"/>
  <c r="DJ28" i="36"/>
  <c r="BI27" i="36"/>
  <c r="DL27" i="36" s="1"/>
  <c r="DN27" i="36"/>
  <c r="DP35" i="36"/>
  <c r="BJ29" i="36" l="1"/>
  <c r="DJ29" i="36"/>
  <c r="DL28" i="36"/>
  <c r="DN28" i="36"/>
  <c r="BI35" i="36"/>
  <c r="DL35" i="36" s="1"/>
  <c r="BI29" i="36" l="1"/>
  <c r="DL29" i="36" s="1"/>
  <c r="DN29" i="36"/>
  <c r="BH35" i="36"/>
  <c r="BJ35" i="36" l="1"/>
  <c r="DN35" i="36" s="1"/>
  <c r="DJ35" i="36"/>
  <c r="FI79" i="32" l="1"/>
  <c r="GI37" i="32"/>
  <c r="GH37" i="32"/>
  <c r="GG37" i="32"/>
  <c r="GF37" i="32"/>
  <c r="GE37" i="32"/>
  <c r="GD37" i="32"/>
  <c r="GC37" i="32"/>
  <c r="GA37" i="32"/>
  <c r="FZ37" i="32"/>
  <c r="FO37" i="32"/>
  <c r="FN37" i="32"/>
  <c r="DR37" i="32"/>
  <c r="DM37" i="32"/>
  <c r="DK37" i="32"/>
  <c r="DI37" i="32"/>
  <c r="CW37" i="32"/>
  <c r="CT37" i="32"/>
  <c r="CQ37" i="32"/>
  <c r="CM37" i="32"/>
  <c r="CI37" i="32"/>
  <c r="CA37" i="32" l="1"/>
  <c r="BF37" i="32" l="1"/>
  <c r="BE37" i="32"/>
  <c r="BA37" i="32"/>
  <c r="Q37" i="32"/>
  <c r="DQ37" i="32" s="1"/>
  <c r="K37" i="32"/>
  <c r="I37" i="32"/>
  <c r="G37" i="32"/>
  <c r="F37" i="32"/>
  <c r="E37" i="32"/>
  <c r="D37" i="32"/>
  <c r="GJ36" i="32"/>
  <c r="FD36" i="32"/>
  <c r="BL36" i="32" s="1"/>
  <c r="DM36" i="32"/>
  <c r="DK36" i="32"/>
  <c r="DI36" i="32"/>
  <c r="CW36" i="32"/>
  <c r="CT36" i="32"/>
  <c r="CQ36" i="32"/>
  <c r="CP36" i="32" s="1"/>
  <c r="CO36" i="32"/>
  <c r="CM36" i="32"/>
  <c r="CI36" i="32"/>
  <c r="CG36" i="32"/>
  <c r="CA36" i="32"/>
  <c r="BD36" i="32"/>
  <c r="BC36" i="32"/>
  <c r="BB36" i="32"/>
  <c r="AZ36" i="32"/>
  <c r="AY36" i="32"/>
  <c r="AX36" i="32"/>
  <c r="AW36" i="32"/>
  <c r="AV36" i="32"/>
  <c r="AU36" i="32"/>
  <c r="AS36" i="32" s="1"/>
  <c r="AT36" i="32"/>
  <c r="AR36" i="32"/>
  <c r="CD36" i="32" s="1"/>
  <c r="AP36" i="32"/>
  <c r="AQ36" i="32" s="1"/>
  <c r="AN36" i="32"/>
  <c r="CR36" i="32" s="1"/>
  <c r="AM36" i="32"/>
  <c r="AL36" i="32"/>
  <c r="AK36" i="32"/>
  <c r="AJ36" i="32"/>
  <c r="AH36" i="32"/>
  <c r="AI36" i="32" s="1"/>
  <c r="AG36" i="32"/>
  <c r="CK36" i="32" s="1"/>
  <c r="AF36" i="32"/>
  <c r="AC36" i="32"/>
  <c r="AB36" i="32"/>
  <c r="Z36" i="32"/>
  <c r="Y36" i="32"/>
  <c r="W36" i="32"/>
  <c r="V36" i="32"/>
  <c r="U36" i="32"/>
  <c r="T36" i="32"/>
  <c r="S36" i="32"/>
  <c r="AA36" i="32" s="1"/>
  <c r="R36" i="32"/>
  <c r="CV36" i="32" l="1"/>
  <c r="AO36" i="32"/>
  <c r="CF36" i="32"/>
  <c r="CE36" i="32" s="1"/>
  <c r="CN36" i="32"/>
  <c r="CU36" i="32"/>
  <c r="CJ36" i="32"/>
  <c r="AD36" i="32"/>
  <c r="AE36" i="32" s="1"/>
  <c r="X36" i="32"/>
  <c r="BG36" i="32"/>
  <c r="CL36" i="32"/>
  <c r="N36" i="32"/>
  <c r="M36" i="32"/>
  <c r="GJ35" i="32"/>
  <c r="FD35" i="32"/>
  <c r="DR35" i="32"/>
  <c r="CS36" i="32" l="1"/>
  <c r="BQ36" i="32"/>
  <c r="BS36" i="32"/>
  <c r="BP36" i="32"/>
  <c r="BO36" i="32" s="1"/>
  <c r="BT36" i="32"/>
  <c r="BR36" i="32"/>
  <c r="O36" i="32"/>
  <c r="DM35" i="32"/>
  <c r="DK35" i="32"/>
  <c r="DI35" i="32"/>
  <c r="CW35" i="32"/>
  <c r="CT35" i="32"/>
  <c r="CQ35" i="32"/>
  <c r="CM35" i="32"/>
  <c r="CI35" i="32"/>
  <c r="CH35" i="32"/>
  <c r="CG35" i="32" s="1"/>
  <c r="CF35" i="32"/>
  <c r="CA35" i="32"/>
  <c r="DP36" i="32" l="1"/>
  <c r="DH36" i="32"/>
  <c r="CZ36" i="32"/>
  <c r="BX36" i="32"/>
  <c r="DG36" i="32"/>
  <c r="DF36" i="32" s="1"/>
  <c r="CY36" i="32"/>
  <c r="CC36" i="32"/>
  <c r="BW36" i="32"/>
  <c r="DD36" i="32"/>
  <c r="DE36" i="32"/>
  <c r="CX36" i="32"/>
  <c r="CB36" i="32"/>
  <c r="BV36" i="32"/>
  <c r="BU36" i="32" s="1"/>
  <c r="BZ36" i="32"/>
  <c r="DB36" i="32"/>
  <c r="DA36" i="32" s="1"/>
  <c r="BY36" i="32"/>
  <c r="DC36" i="32"/>
  <c r="CH36" i="32"/>
  <c r="BL35" i="32"/>
  <c r="BD35" i="32"/>
  <c r="BC35" i="32"/>
  <c r="BB35" i="32"/>
  <c r="AZ35" i="32"/>
  <c r="AY35" i="32"/>
  <c r="AX35" i="32"/>
  <c r="AW35" i="32"/>
  <c r="AV35" i="32"/>
  <c r="AU35" i="32"/>
  <c r="AR35" i="32"/>
  <c r="AT35" i="32" s="1"/>
  <c r="AS35" i="32" s="1"/>
  <c r="CE35" i="32" s="1"/>
  <c r="CD35" i="32" s="1"/>
  <c r="AQ35" i="32"/>
  <c r="AP35" i="32"/>
  <c r="CU35" i="32" s="1"/>
  <c r="AN35" i="32"/>
  <c r="CR35" i="32" s="1"/>
  <c r="AL35" i="32"/>
  <c r="CP35" i="32" s="1"/>
  <c r="AK35" i="32"/>
  <c r="CO35" i="32" s="1"/>
  <c r="CN35" i="32" s="1"/>
  <c r="AJ35" i="32"/>
  <c r="AH35" i="32"/>
  <c r="CL35" i="32" s="1"/>
  <c r="AG35" i="32"/>
  <c r="AF35" i="32"/>
  <c r="AD35" i="32"/>
  <c r="AC35" i="32"/>
  <c r="AB35" i="32"/>
  <c r="Z35" i="32"/>
  <c r="Y35" i="32"/>
  <c r="X35" i="32" s="1"/>
  <c r="W35" i="32"/>
  <c r="V35" i="32"/>
  <c r="U35" i="32"/>
  <c r="T35" i="32"/>
  <c r="S35" i="32"/>
  <c r="R35" i="32"/>
  <c r="AE35" i="32" l="1"/>
  <c r="CJ35" i="32"/>
  <c r="AM35" i="32"/>
  <c r="CK35" i="32"/>
  <c r="AA35" i="32"/>
  <c r="AI35" i="32"/>
  <c r="AO35" i="32"/>
  <c r="CV35" i="32"/>
  <c r="BG35" i="32"/>
  <c r="N35" i="32"/>
  <c r="M35" i="32"/>
  <c r="GJ34" i="32"/>
  <c r="FD34" i="32"/>
  <c r="DR34" i="32"/>
  <c r="DM34" i="32"/>
  <c r="DK34" i="32"/>
  <c r="DI34" i="32"/>
  <c r="CW34" i="32"/>
  <c r="CT34" i="32"/>
  <c r="CQ34" i="32"/>
  <c r="CM34" i="32"/>
  <c r="CI34" i="32"/>
  <c r="CH34" i="32"/>
  <c r="CG34" i="32" s="1"/>
  <c r="CF34" i="32"/>
  <c r="CA34" i="32"/>
  <c r="BP35" i="32" l="1"/>
  <c r="BO35" i="32"/>
  <c r="BT35" i="32"/>
  <c r="BS35" i="32" s="1"/>
  <c r="BR35" i="32"/>
  <c r="BQ35" i="32"/>
  <c r="O35" i="32"/>
  <c r="CS35" i="32"/>
  <c r="BL34" i="32"/>
  <c r="BD34" i="32"/>
  <c r="BC34" i="32"/>
  <c r="BB34" i="32"/>
  <c r="AZ34" i="32"/>
  <c r="AY34" i="32"/>
  <c r="AX34" i="32"/>
  <c r="AW34" i="32"/>
  <c r="AV34" i="32"/>
  <c r="AU34" i="32"/>
  <c r="AT34" i="32"/>
  <c r="AS34" i="32" s="1"/>
  <c r="CE34" i="32" s="1"/>
  <c r="CD34" i="32" s="1"/>
  <c r="AQ34" i="32"/>
  <c r="AP34" i="32"/>
  <c r="AN34" i="32"/>
  <c r="AK34" i="32"/>
  <c r="CO34" i="32" s="1"/>
  <c r="AJ34" i="32"/>
  <c r="AG34" i="32"/>
  <c r="CK34" i="32" s="1"/>
  <c r="AF34" i="32"/>
  <c r="AD34" i="32"/>
  <c r="AE34" i="32" s="1"/>
  <c r="AC34" i="32"/>
  <c r="AB34" i="32"/>
  <c r="Z34" i="32"/>
  <c r="Y34" i="32"/>
  <c r="X34" i="32"/>
  <c r="W34" i="32"/>
  <c r="V34" i="32"/>
  <c r="U34" i="32"/>
  <c r="T34" i="32"/>
  <c r="S34" i="32"/>
  <c r="R34" i="32"/>
  <c r="CN34" i="32" l="1"/>
  <c r="CV34" i="32"/>
  <c r="AA34" i="32"/>
  <c r="DC35" i="32"/>
  <c r="DG35" i="32"/>
  <c r="DA35" i="32"/>
  <c r="BX35" i="32"/>
  <c r="BW35" i="32" s="1"/>
  <c r="DH35" i="32"/>
  <c r="BY35" i="32"/>
  <c r="DF35" i="32"/>
  <c r="CZ35" i="32"/>
  <c r="CC35" i="32"/>
  <c r="BV35" i="32"/>
  <c r="BU35" i="32" s="1"/>
  <c r="DE35" i="32"/>
  <c r="CY35" i="32"/>
  <c r="CB35" i="32"/>
  <c r="DP35" i="32"/>
  <c r="DD35" i="32"/>
  <c r="CX35" i="32"/>
  <c r="BZ35" i="32"/>
  <c r="DB35" i="32"/>
  <c r="CJ34" i="32"/>
  <c r="AL34" i="32"/>
  <c r="CP34" i="32" s="1"/>
  <c r="AM34" i="32"/>
  <c r="AH34" i="32"/>
  <c r="CL34" i="32" s="1"/>
  <c r="CR34" i="32"/>
  <c r="AO34" i="32"/>
  <c r="CU34" i="32"/>
  <c r="BG34" i="32"/>
  <c r="O34" i="32"/>
  <c r="N34" i="32"/>
  <c r="M34" i="32"/>
  <c r="GJ33" i="32"/>
  <c r="FD33" i="32"/>
  <c r="DR33" i="32"/>
  <c r="DM33" i="32"/>
  <c r="DK33" i="32"/>
  <c r="DI33" i="32"/>
  <c r="DF34" i="32" l="1"/>
  <c r="CZ34" i="32"/>
  <c r="DH34" i="32"/>
  <c r="DE34" i="32"/>
  <c r="CY34" i="32"/>
  <c r="BX34" i="32"/>
  <c r="CX34" i="32"/>
  <c r="CC34" i="32"/>
  <c r="DC34" i="32"/>
  <c r="CB34" i="32"/>
  <c r="BV34" i="32"/>
  <c r="BU34" i="32" s="1"/>
  <c r="DP34" i="32"/>
  <c r="DB34" i="32"/>
  <c r="DD34" i="32"/>
  <c r="BW34" i="32"/>
  <c r="DG34" i="32"/>
  <c r="DA34" i="32"/>
  <c r="BZ34" i="32"/>
  <c r="BY34" i="32"/>
  <c r="CS34" i="32"/>
  <c r="BO34" i="32"/>
  <c r="BR34" i="32"/>
  <c r="BQ34" i="32"/>
  <c r="BP34" i="32"/>
  <c r="AI34" i="32"/>
  <c r="CW33" i="32"/>
  <c r="CT33" i="32"/>
  <c r="CQ33" i="32"/>
  <c r="CM33" i="32"/>
  <c r="CI33" i="32"/>
  <c r="CA33" i="32"/>
  <c r="BT34" i="32" l="1"/>
  <c r="BS34" i="32" s="1"/>
  <c r="BL33" i="32"/>
  <c r="BH33" i="32" s="1"/>
  <c r="BD33" i="32"/>
  <c r="BC33" i="32"/>
  <c r="BB33" i="32"/>
  <c r="AZ33" i="32"/>
  <c r="AY33" i="32"/>
  <c r="AX33" i="32"/>
  <c r="AW33" i="32"/>
  <c r="AV33" i="32"/>
  <c r="AU33" i="32"/>
  <c r="AR33" i="32"/>
  <c r="AS33" i="32" s="1"/>
  <c r="AP33" i="32"/>
  <c r="CU33" i="32" s="1"/>
  <c r="AN33" i="32"/>
  <c r="AO33" i="32" s="1"/>
  <c r="AL33" i="32"/>
  <c r="CP33" i="32" s="1"/>
  <c r="AK33" i="32"/>
  <c r="CO33" i="32" s="1"/>
  <c r="AJ33" i="32"/>
  <c r="AG33" i="32"/>
  <c r="CK33" i="32" s="1"/>
  <c r="AF33" i="32"/>
  <c r="AD33" i="32"/>
  <c r="AC33" i="32"/>
  <c r="CG33" i="32" s="1"/>
  <c r="AB33" i="32"/>
  <c r="Z33" i="32"/>
  <c r="Y33" i="32"/>
  <c r="X33" i="32"/>
  <c r="W33" i="32"/>
  <c r="V33" i="32"/>
  <c r="U33" i="32"/>
  <c r="T33" i="32"/>
  <c r="S33" i="32"/>
  <c r="R33" i="32"/>
  <c r="BG33" i="32" l="1"/>
  <c r="CS33" i="32"/>
  <c r="AT33" i="32"/>
  <c r="AM33" i="32"/>
  <c r="CR33" i="32"/>
  <c r="AE33" i="32"/>
  <c r="CJ33" i="32"/>
  <c r="AA33" i="32"/>
  <c r="BJ33" i="32" s="1"/>
  <c r="BI33" i="32" s="1"/>
  <c r="AH33" i="32"/>
  <c r="CL33" i="32" s="1"/>
  <c r="CF33" i="32"/>
  <c r="AI33" i="32"/>
  <c r="CN33" i="32"/>
  <c r="AQ33" i="32"/>
  <c r="N33" i="32"/>
  <c r="M33" i="32"/>
  <c r="GJ32" i="32"/>
  <c r="FD32" i="32"/>
  <c r="DM32" i="32"/>
  <c r="DK32" i="32"/>
  <c r="DI32" i="32"/>
  <c r="CW32" i="32"/>
  <c r="CT32" i="32"/>
  <c r="CQ32" i="32"/>
  <c r="CM32" i="32"/>
  <c r="CI32" i="32"/>
  <c r="CA32" i="32"/>
  <c r="CV33" i="32" l="1"/>
  <c r="BR33" i="32"/>
  <c r="BQ33" i="32"/>
  <c r="BP33" i="32" s="1"/>
  <c r="BU33" i="32"/>
  <c r="BT33" i="32"/>
  <c r="BO33" i="32"/>
  <c r="BS33" i="32"/>
  <c r="O33" i="32"/>
  <c r="CE33" i="32"/>
  <c r="CD33" i="32" s="1"/>
  <c r="BL32" i="32"/>
  <c r="BD32" i="32"/>
  <c r="BG32" i="32" s="1"/>
  <c r="BC32" i="32"/>
  <c r="BB32" i="32"/>
  <c r="AZ32" i="32"/>
  <c r="AY32" i="32"/>
  <c r="AX32" i="32"/>
  <c r="AW32" i="32"/>
  <c r="AV32" i="32"/>
  <c r="AU32" i="32"/>
  <c r="AR32" i="32"/>
  <c r="AT32" i="32" s="1"/>
  <c r="DP33" i="32" l="1"/>
  <c r="DH33" i="32"/>
  <c r="DB33" i="32"/>
  <c r="DN33" i="32"/>
  <c r="DG33" i="32"/>
  <c r="DA33" i="32"/>
  <c r="CZ33" i="32"/>
  <c r="DJ33" i="32"/>
  <c r="DF33" i="32"/>
  <c r="DE33" i="32"/>
  <c r="DD33" i="32"/>
  <c r="DC33" i="32"/>
  <c r="CY33" i="32"/>
  <c r="BX33" i="32"/>
  <c r="BW33" i="32"/>
  <c r="DL33" i="32"/>
  <c r="BY33" i="32"/>
  <c r="CX33" i="32"/>
  <c r="CC33" i="32"/>
  <c r="CB33" i="32"/>
  <c r="BZ33" i="32"/>
  <c r="BV33" i="32"/>
  <c r="CH33" i="32"/>
  <c r="AS32" i="32"/>
  <c r="AP32" i="32"/>
  <c r="AN32" i="32"/>
  <c r="AO32" i="32" s="1"/>
  <c r="AK32" i="32"/>
  <c r="CO32" i="32" s="1"/>
  <c r="AJ32" i="32"/>
  <c r="AG32" i="32"/>
  <c r="AF32" i="32"/>
  <c r="AC32" i="32"/>
  <c r="CG32" i="32" s="1"/>
  <c r="AB32" i="32"/>
  <c r="Z32" i="32"/>
  <c r="Y32" i="32"/>
  <c r="W32" i="32"/>
  <c r="V32" i="32"/>
  <c r="U32" i="32"/>
  <c r="T32" i="32"/>
  <c r="AA32" i="32" s="1"/>
  <c r="S32" i="32"/>
  <c r="R32" i="32"/>
  <c r="CS32" i="32" l="1"/>
  <c r="CK32" i="32"/>
  <c r="CN32" i="32"/>
  <c r="CF32" i="32"/>
  <c r="AQ32" i="32"/>
  <c r="X32" i="32"/>
  <c r="AL32" i="32"/>
  <c r="CP32" i="32" s="1"/>
  <c r="CJ32" i="32"/>
  <c r="CR32" i="32"/>
  <c r="M32" i="32"/>
  <c r="J32" i="32"/>
  <c r="J37" i="32" s="1"/>
  <c r="H32" i="32"/>
  <c r="GJ31" i="32"/>
  <c r="FD31" i="32"/>
  <c r="DR31" i="32"/>
  <c r="CE32" i="32" l="1"/>
  <c r="CD32" i="32" s="1"/>
  <c r="H37" i="32"/>
  <c r="CV32" i="32"/>
  <c r="CU32" i="32" s="1"/>
  <c r="N32" i="32"/>
  <c r="AM32" i="32"/>
  <c r="DM31" i="32"/>
  <c r="DK31" i="32"/>
  <c r="DI31" i="32"/>
  <c r="CW31" i="32"/>
  <c r="CU31" i="32"/>
  <c r="CT31" i="32"/>
  <c r="CQ31" i="32"/>
  <c r="CM31" i="32"/>
  <c r="CI31" i="32"/>
  <c r="CA31" i="32"/>
  <c r="BL31" i="32"/>
  <c r="BG31" i="32"/>
  <c r="BD31" i="32"/>
  <c r="BC31" i="32"/>
  <c r="BB31" i="32"/>
  <c r="AZ31" i="32"/>
  <c r="AY31" i="32"/>
  <c r="AX31" i="32"/>
  <c r="AW31" i="32"/>
  <c r="AV31" i="32"/>
  <c r="AU31" i="32"/>
  <c r="AR31" i="32"/>
  <c r="AS31" i="32" s="1"/>
  <c r="AQ31" i="32"/>
  <c r="AP31" i="32"/>
  <c r="AN31" i="32"/>
  <c r="CR31" i="32" s="1"/>
  <c r="AT31" i="32" l="1"/>
  <c r="CV31" i="32"/>
  <c r="AO31" i="32"/>
  <c r="BO32" i="32"/>
  <c r="BU32" i="32"/>
  <c r="BT32" i="32"/>
  <c r="BS32" i="32" s="1"/>
  <c r="BR32" i="32" s="1"/>
  <c r="BQ32" i="32"/>
  <c r="BP32" i="32" s="1"/>
  <c r="AK31" i="32"/>
  <c r="CO31" i="32" s="1"/>
  <c r="AJ31" i="32"/>
  <c r="AG31" i="32"/>
  <c r="CK31" i="32" s="1"/>
  <c r="AF31" i="32"/>
  <c r="AC31" i="32"/>
  <c r="CG31" i="32" s="1"/>
  <c r="CF31" i="32" s="1"/>
  <c r="AB31" i="32"/>
  <c r="Z31" i="32"/>
  <c r="Y31" i="32"/>
  <c r="X31" i="32" s="1"/>
  <c r="W31" i="32"/>
  <c r="V31" i="32"/>
  <c r="U31" i="32"/>
  <c r="T31" i="32"/>
  <c r="S31" i="32"/>
  <c r="R31" i="32"/>
  <c r="AA31" i="32" s="1"/>
  <c r="CN31" i="32" l="1"/>
  <c r="CJ31" i="32"/>
  <c r="CE31" i="32"/>
  <c r="CD31" i="32" s="1"/>
  <c r="AD31" i="32"/>
  <c r="AE31" i="32" s="1"/>
  <c r="AL31" i="32"/>
  <c r="CS31" i="32"/>
  <c r="O31" i="32"/>
  <c r="N31" i="32"/>
  <c r="M31" i="32"/>
  <c r="GJ30" i="32"/>
  <c r="FD30" i="32"/>
  <c r="DR30" i="32"/>
  <c r="CP31" i="32" l="1"/>
  <c r="AM31" i="32"/>
  <c r="BQ31" i="32"/>
  <c r="BP31" i="32" s="1"/>
  <c r="BO31" i="32"/>
  <c r="BU31" i="32"/>
  <c r="BT31" i="32"/>
  <c r="BS31" i="32"/>
  <c r="BR31" i="32"/>
  <c r="DP31" i="32"/>
  <c r="DE31" i="32"/>
  <c r="CY31" i="32"/>
  <c r="CC31" i="32"/>
  <c r="BW31" i="32"/>
  <c r="DD31" i="32"/>
  <c r="CX31" i="32"/>
  <c r="CB31" i="32"/>
  <c r="BV31" i="32"/>
  <c r="DG31" i="32"/>
  <c r="BY31" i="32"/>
  <c r="DC31" i="32"/>
  <c r="DH31" i="32"/>
  <c r="BZ31" i="32"/>
  <c r="DA31" i="32"/>
  <c r="DB31" i="32"/>
  <c r="CH31" i="32"/>
  <c r="DF31" i="32"/>
  <c r="CZ31" i="32"/>
  <c r="BX31" i="32"/>
  <c r="DM30" i="32"/>
  <c r="DK30" i="32"/>
  <c r="DI30" i="32"/>
  <c r="CW30" i="32"/>
  <c r="CU30" i="32"/>
  <c r="CT30" i="32"/>
  <c r="CQ30" i="32"/>
  <c r="CM30" i="32"/>
  <c r="CL30" i="32"/>
  <c r="CK30" i="32"/>
  <c r="CJ30" i="32"/>
  <c r="CI30" i="32"/>
  <c r="CA30" i="32"/>
  <c r="BL30" i="32"/>
  <c r="BH30" i="32" s="1"/>
  <c r="BD30" i="32"/>
  <c r="BC30" i="32"/>
  <c r="BB30" i="32"/>
  <c r="AZ30" i="32"/>
  <c r="AY30" i="32"/>
  <c r="AX30" i="32"/>
  <c r="AW30" i="32"/>
  <c r="AV30" i="32"/>
  <c r="AU30" i="32"/>
  <c r="AR30" i="32"/>
  <c r="CD30" i="32" s="1"/>
  <c r="AP30" i="32"/>
  <c r="AN30" i="32"/>
  <c r="AT30" i="32" l="1"/>
  <c r="AS30" i="32" s="1"/>
  <c r="CP30" i="32"/>
  <c r="AO30" i="32"/>
  <c r="CR30" i="32"/>
  <c r="AQ30" i="32"/>
  <c r="BG30" i="32"/>
  <c r="AM30" i="32"/>
  <c r="AL30" i="32"/>
  <c r="AK30" i="32"/>
  <c r="CO30" i="32" s="1"/>
  <c r="AJ30" i="32"/>
  <c r="AH30" i="32"/>
  <c r="AG30" i="32"/>
  <c r="AF30" i="32"/>
  <c r="AC30" i="32"/>
  <c r="AB30" i="32"/>
  <c r="AD30" i="32" s="1"/>
  <c r="AA30" i="32"/>
  <c r="Z30" i="32"/>
  <c r="Y30" i="32"/>
  <c r="X30" i="32" s="1"/>
  <c r="W30" i="32"/>
  <c r="V30" i="32"/>
  <c r="U30" i="32"/>
  <c r="T30" i="32"/>
  <c r="S30" i="32"/>
  <c r="R30" i="32"/>
  <c r="BJ30" i="32" l="1"/>
  <c r="BI30" i="32" s="1"/>
  <c r="CG30" i="32"/>
  <c r="AI30" i="32"/>
  <c r="CN30" i="32"/>
  <c r="CF30" i="32"/>
  <c r="CE30" i="32" s="1"/>
  <c r="AE30" i="32"/>
  <c r="CV30" i="32"/>
  <c r="CS30" i="32"/>
  <c r="N30" i="32"/>
  <c r="M30" i="32"/>
  <c r="GJ29" i="32"/>
  <c r="FG29" i="32"/>
  <c r="FD29" i="32" s="1"/>
  <c r="DR29" i="32"/>
  <c r="BT30" i="32" l="1"/>
  <c r="BS30" i="32" s="1"/>
  <c r="BR30" i="32" s="1"/>
  <c r="BQ30" i="32"/>
  <c r="BP30" i="32"/>
  <c r="BO30" i="32" s="1"/>
  <c r="BU30" i="32"/>
  <c r="DM29" i="32"/>
  <c r="DK29" i="32"/>
  <c r="DI29" i="32"/>
  <c r="CW29" i="32"/>
  <c r="CT29" i="32"/>
  <c r="CR29" i="32"/>
  <c r="CQ29" i="32"/>
  <c r="CM29" i="32"/>
  <c r="CI29" i="32"/>
  <c r="CA29" i="32"/>
  <c r="BL29" i="32"/>
  <c r="BD29" i="32"/>
  <c r="BC29" i="32"/>
  <c r="BB29" i="32"/>
  <c r="AZ29" i="32"/>
  <c r="BG29" i="32" s="1"/>
  <c r="AY29" i="32"/>
  <c r="AX29" i="32"/>
  <c r="AW29" i="32"/>
  <c r="AV29" i="32"/>
  <c r="AU29" i="32"/>
  <c r="AR29" i="32"/>
  <c r="AQ29" i="32" s="1"/>
  <c r="AP29" i="32"/>
  <c r="AO29" i="32"/>
  <c r="AN29" i="32"/>
  <c r="AK29" i="32"/>
  <c r="CO29" i="32" s="1"/>
  <c r="AJ29" i="32"/>
  <c r="AG29" i="32"/>
  <c r="CK29" i="32" s="1"/>
  <c r="AF29" i="32"/>
  <c r="AC29" i="32"/>
  <c r="CG29" i="32" s="1"/>
  <c r="AB29" i="32"/>
  <c r="Z29" i="32"/>
  <c r="Y29" i="32"/>
  <c r="W29" i="32"/>
  <c r="V29" i="32"/>
  <c r="U29" i="32"/>
  <c r="T29" i="32"/>
  <c r="S29" i="32"/>
  <c r="R29" i="32"/>
  <c r="CJ29" i="32" l="1"/>
  <c r="AM29" i="32"/>
  <c r="CS29" i="32"/>
  <c r="AL29" i="32"/>
  <c r="AA29" i="32"/>
  <c r="AH29" i="32"/>
  <c r="AI29" i="32" s="1"/>
  <c r="CD29" i="32"/>
  <c r="CL29" i="32"/>
  <c r="CP29" i="32"/>
  <c r="X29" i="32"/>
  <c r="AT29" i="32"/>
  <c r="AS29" i="32" s="1"/>
  <c r="CF29" i="32"/>
  <c r="CN29" i="32"/>
  <c r="CV29" i="32"/>
  <c r="CU29" i="32" s="1"/>
  <c r="N29" i="32"/>
  <c r="M29" i="32"/>
  <c r="GJ28" i="32"/>
  <c r="FG28" i="32"/>
  <c r="FD28" i="32"/>
  <c r="DR28" i="32"/>
  <c r="CE29" i="32" l="1"/>
  <c r="BQ29" i="32"/>
  <c r="BP29" i="32"/>
  <c r="BO29" i="32" s="1"/>
  <c r="BU29" i="32"/>
  <c r="BT29" i="32"/>
  <c r="BS29" i="32" s="1"/>
  <c r="BR29" i="32" s="1"/>
  <c r="DM28" i="32"/>
  <c r="DK28" i="32"/>
  <c r="DI28" i="32"/>
  <c r="CW28" i="32" l="1"/>
  <c r="CT28" i="32"/>
  <c r="CQ28" i="32"/>
  <c r="CM28" i="32"/>
  <c r="CI28" i="32"/>
  <c r="CH28" i="32"/>
  <c r="CF28" i="32"/>
  <c r="CA28" i="32"/>
  <c r="BL28" i="32"/>
  <c r="BD28" i="32"/>
  <c r="BC28" i="32"/>
  <c r="BB28" i="32"/>
  <c r="AZ28" i="32"/>
  <c r="BG28" i="32" s="1"/>
  <c r="AY28" i="32"/>
  <c r="AX28" i="32"/>
  <c r="AW28" i="32"/>
  <c r="AV28" i="32"/>
  <c r="AU28" i="32"/>
  <c r="AT28" i="32"/>
  <c r="AR28" i="32"/>
  <c r="AS28" i="32" s="1"/>
  <c r="AQ28" i="32"/>
  <c r="AP28" i="32"/>
  <c r="AN28" i="32"/>
  <c r="AK28" i="32"/>
  <c r="CO28" i="32" s="1"/>
  <c r="AJ28" i="32"/>
  <c r="AH28" i="32"/>
  <c r="AG28" i="32"/>
  <c r="AI28" i="32" s="1"/>
  <c r="AF28" i="32"/>
  <c r="AC28" i="32"/>
  <c r="AB28" i="32"/>
  <c r="Z28" i="32"/>
  <c r="Y28" i="32"/>
  <c r="W28" i="32"/>
  <c r="V28" i="32"/>
  <c r="U28" i="32"/>
  <c r="T28" i="32"/>
  <c r="AA28" i="32" s="1"/>
  <c r="S28" i="32"/>
  <c r="R28" i="32"/>
  <c r="AO28" i="32" l="1"/>
  <c r="CK28" i="32"/>
  <c r="CR28" i="32"/>
  <c r="CL28" i="32"/>
  <c r="CE28" i="32"/>
  <c r="CD28" i="32" s="1"/>
  <c r="CN28" i="32"/>
  <c r="CV28" i="32"/>
  <c r="CU28" i="32" s="1"/>
  <c r="X28" i="32"/>
  <c r="CG28" i="32"/>
  <c r="AL28" i="32"/>
  <c r="CP28" i="32" s="1"/>
  <c r="CJ28" i="32"/>
  <c r="O28" i="32"/>
  <c r="N28" i="32"/>
  <c r="M28" i="32"/>
  <c r="GJ27" i="32"/>
  <c r="FG27" i="32"/>
  <c r="FD27" i="32" s="1"/>
  <c r="DR27" i="32"/>
  <c r="CS28" i="32" l="1"/>
  <c r="BS28" i="32"/>
  <c r="BR28" i="32"/>
  <c r="BQ28" i="32"/>
  <c r="BP28" i="32"/>
  <c r="BU28" i="32"/>
  <c r="BO28" i="32"/>
  <c r="BT28" i="32"/>
  <c r="AM28" i="32"/>
  <c r="DF28" i="32"/>
  <c r="CZ28" i="32"/>
  <c r="CY28" i="32"/>
  <c r="DE28" i="32"/>
  <c r="DD28" i="32"/>
  <c r="DP28" i="32"/>
  <c r="DC28" i="32"/>
  <c r="DH28" i="32"/>
  <c r="DB28" i="32"/>
  <c r="DA28" i="32"/>
  <c r="DG28" i="32"/>
  <c r="CX28" i="32"/>
  <c r="BZ28" i="32"/>
  <c r="BY28" i="32" s="1"/>
  <c r="BX28" i="32"/>
  <c r="BW28" i="32"/>
  <c r="BV28" i="32"/>
  <c r="CC28" i="32"/>
  <c r="CB28" i="32" s="1"/>
  <c r="DM27" i="32"/>
  <c r="DK27" i="32"/>
  <c r="DI27" i="32"/>
  <c r="CW27" i="32"/>
  <c r="CT27" i="32"/>
  <c r="CQ27" i="32"/>
  <c r="CM27" i="32"/>
  <c r="CI27" i="32"/>
  <c r="CH27" i="32"/>
  <c r="CG27" i="32"/>
  <c r="CF27" i="32"/>
  <c r="CA27" i="32"/>
  <c r="BL27" i="32"/>
  <c r="BD27" i="32"/>
  <c r="BG27" i="32" s="1"/>
  <c r="BC27" i="32"/>
  <c r="BB27" i="32"/>
  <c r="AZ27" i="32"/>
  <c r="AY27" i="32"/>
  <c r="AX27" i="32"/>
  <c r="AW27" i="32"/>
  <c r="AV27" i="32"/>
  <c r="AU27" i="32"/>
  <c r="AT27" i="32" s="1"/>
  <c r="AR27" i="32"/>
  <c r="AS27" i="32" s="1"/>
  <c r="AP27" i="32"/>
  <c r="AN27" i="32"/>
  <c r="AO27" i="32" l="1"/>
  <c r="CR27" i="32"/>
  <c r="CE27" i="32"/>
  <c r="CD27" i="32" s="1"/>
  <c r="CU27" i="32"/>
  <c r="AQ27" i="32"/>
  <c r="AK27" i="32"/>
  <c r="AJ27" i="32"/>
  <c r="AG27" i="32"/>
  <c r="AF27" i="32"/>
  <c r="AC27" i="32"/>
  <c r="AB27" i="32"/>
  <c r="Z27" i="32"/>
  <c r="Y27" i="32"/>
  <c r="W27" i="32"/>
  <c r="V27" i="32"/>
  <c r="U27" i="32"/>
  <c r="T27" i="32"/>
  <c r="AA27" i="32" s="1"/>
  <c r="S27" i="32"/>
  <c r="R27" i="32"/>
  <c r="N27" i="32"/>
  <c r="O27" i="32" s="1"/>
  <c r="M27" i="32"/>
  <c r="GJ26" i="32"/>
  <c r="FG26" i="32"/>
  <c r="FD26" i="32" s="1"/>
  <c r="DR26" i="32"/>
  <c r="DP27" i="32" l="1"/>
  <c r="DC27" i="32"/>
  <c r="BZ27" i="32"/>
  <c r="BV27" i="32"/>
  <c r="DH27" i="32"/>
  <c r="DB27" i="32"/>
  <c r="BY27" i="32"/>
  <c r="BX27" i="32"/>
  <c r="CC27" i="32"/>
  <c r="CB27" i="32" s="1"/>
  <c r="DG27" i="32"/>
  <c r="DA27" i="32"/>
  <c r="DE27" i="32"/>
  <c r="DF27" i="32"/>
  <c r="CZ27" i="32"/>
  <c r="BW27" i="32"/>
  <c r="CY27" i="32"/>
  <c r="DD27" i="32"/>
  <c r="CX27" i="32"/>
  <c r="CO27" i="32"/>
  <c r="AD27" i="32"/>
  <c r="CV27" i="32"/>
  <c r="X27" i="32"/>
  <c r="AE27" i="32"/>
  <c r="CJ27" i="32"/>
  <c r="CS27" i="32"/>
  <c r="BT27" i="32"/>
  <c r="BS27" i="32"/>
  <c r="BR27" i="32"/>
  <c r="BQ27" i="32"/>
  <c r="BP27" i="32"/>
  <c r="BU27" i="32"/>
  <c r="BO27" i="32"/>
  <c r="CN27" i="32"/>
  <c r="CK27" i="32"/>
  <c r="DM26" i="32"/>
  <c r="DK26" i="32"/>
  <c r="DI26" i="32"/>
  <c r="CW26" i="32"/>
  <c r="CT26" i="32"/>
  <c r="CQ26" i="32"/>
  <c r="CM26" i="32"/>
  <c r="CI26" i="32"/>
  <c r="CA26" i="32"/>
  <c r="BL26" i="32" l="1"/>
  <c r="BD26" i="32"/>
  <c r="BC26" i="32"/>
  <c r="BB26" i="32"/>
  <c r="AZ26" i="32"/>
  <c r="AY26" i="32"/>
  <c r="AX26" i="32"/>
  <c r="AW26" i="32"/>
  <c r="AV26" i="32"/>
  <c r="AU26" i="32"/>
  <c r="AR26" i="32"/>
  <c r="AT26" i="32" s="1"/>
  <c r="AS26" i="32" s="1"/>
  <c r="AP26" i="32"/>
  <c r="AN26" i="32"/>
  <c r="AK26" i="32"/>
  <c r="AJ26" i="32"/>
  <c r="AG26" i="32"/>
  <c r="AF26" i="32"/>
  <c r="AC26" i="32"/>
  <c r="AB26" i="32"/>
  <c r="Z26" i="32"/>
  <c r="Y26" i="32"/>
  <c r="X26" i="32"/>
  <c r="W26" i="32"/>
  <c r="V26" i="32"/>
  <c r="U26" i="32"/>
  <c r="T26" i="32"/>
  <c r="S26" i="32"/>
  <c r="R26" i="32"/>
  <c r="N26" i="32"/>
  <c r="M26" i="32"/>
  <c r="GJ25" i="32"/>
  <c r="FG25" i="32"/>
  <c r="FD25" i="32"/>
  <c r="DR25" i="32"/>
  <c r="CG26" i="32" l="1"/>
  <c r="CO26" i="32"/>
  <c r="CJ26" i="32"/>
  <c r="CR26" i="32"/>
  <c r="CK26" i="32"/>
  <c r="AO26" i="32"/>
  <c r="AA26" i="32"/>
  <c r="BU26" i="32" s="1"/>
  <c r="CU26" i="32"/>
  <c r="BT26" i="32"/>
  <c r="BS26" i="32"/>
  <c r="BQ26" i="32"/>
  <c r="BR26" i="32"/>
  <c r="BP26" i="32"/>
  <c r="BO26" i="32"/>
  <c r="CF26" i="32"/>
  <c r="CE26" i="32" s="1"/>
  <c r="CD26" i="32" s="1"/>
  <c r="CN26" i="32"/>
  <c r="AQ26" i="32"/>
  <c r="BG26" i="32"/>
  <c r="DM25" i="32"/>
  <c r="DK25" i="32"/>
  <c r="DI25" i="32"/>
  <c r="CW25" i="32"/>
  <c r="CT25" i="32"/>
  <c r="CQ25" i="32"/>
  <c r="CM25" i="32"/>
  <c r="CV26" i="32" l="1"/>
  <c r="CS26" i="32"/>
  <c r="CL25" i="32"/>
  <c r="CK25" i="32"/>
  <c r="CI25" i="32"/>
  <c r="CG25" i="32"/>
  <c r="CA25" i="32"/>
  <c r="BD25" i="32"/>
  <c r="BG25" i="32" s="1"/>
  <c r="BC25" i="32"/>
  <c r="BB25" i="32"/>
  <c r="AZ25" i="32"/>
  <c r="AY25" i="32"/>
  <c r="AX25" i="32"/>
  <c r="AW25" i="32"/>
  <c r="AV25" i="32"/>
  <c r="AU25" i="32"/>
  <c r="AR25" i="32"/>
  <c r="AT25" i="32" s="1"/>
  <c r="AP25" i="32"/>
  <c r="CU25" i="32" s="1"/>
  <c r="AO25" i="32"/>
  <c r="AN25" i="32"/>
  <c r="CR25" i="32" s="1"/>
  <c r="AK25" i="32"/>
  <c r="CO25" i="32" s="1"/>
  <c r="AJ25" i="32"/>
  <c r="AH25" i="32"/>
  <c r="AG25" i="32"/>
  <c r="AF25" i="32"/>
  <c r="AC25" i="32"/>
  <c r="AB25" i="32"/>
  <c r="Z25" i="32"/>
  <c r="Y25" i="32"/>
  <c r="W25" i="32"/>
  <c r="V25" i="32"/>
  <c r="U25" i="32"/>
  <c r="T25" i="32"/>
  <c r="S25" i="32"/>
  <c r="R25" i="32"/>
  <c r="N25" i="32"/>
  <c r="BO25" i="32" s="1"/>
  <c r="M25" i="32"/>
  <c r="GJ24" i="32"/>
  <c r="FG24" i="32"/>
  <c r="FD24" i="32"/>
  <c r="DR24" i="32"/>
  <c r="BQ25" i="32" l="1"/>
  <c r="AA25" i="32"/>
  <c r="BU25" i="32" s="1"/>
  <c r="BT25" i="32" s="1"/>
  <c r="CS25" i="32"/>
  <c r="BP25" i="32"/>
  <c r="O25" i="32"/>
  <c r="BR25" i="32"/>
  <c r="AD25" i="32"/>
  <c r="AL25" i="32"/>
  <c r="CP25" i="32" s="1"/>
  <c r="AS25" i="32"/>
  <c r="BS25" i="32"/>
  <c r="X25" i="32"/>
  <c r="AE25" i="32"/>
  <c r="AI25" i="32"/>
  <c r="CN25" i="32"/>
  <c r="CF25" i="32"/>
  <c r="AQ25" i="32"/>
  <c r="CJ25" i="32"/>
  <c r="DM24" i="32"/>
  <c r="DK24" i="32"/>
  <c r="DI24" i="32"/>
  <c r="CW24" i="32"/>
  <c r="CT24" i="32"/>
  <c r="CQ24" i="32"/>
  <c r="CM24" i="32"/>
  <c r="CL24" i="32" s="1"/>
  <c r="CK24" i="32"/>
  <c r="CJ24" i="32"/>
  <c r="CI24" i="32"/>
  <c r="CA24" i="32"/>
  <c r="BL24" i="32"/>
  <c r="BD24" i="32"/>
  <c r="BC24" i="32"/>
  <c r="BB24" i="32"/>
  <c r="AZ24" i="32"/>
  <c r="AY24" i="32"/>
  <c r="AX24" i="32"/>
  <c r="AW24" i="32"/>
  <c r="AV24" i="32"/>
  <c r="AU24" i="32"/>
  <c r="AT24" i="32" s="1"/>
  <c r="AR24" i="32"/>
  <c r="AS24" i="32" s="1"/>
  <c r="AQ24" i="32"/>
  <c r="AP24" i="32"/>
  <c r="CU24" i="32" s="1"/>
  <c r="AO24" i="32"/>
  <c r="AN24" i="32"/>
  <c r="CR24" i="32" s="1"/>
  <c r="AK24" i="32"/>
  <c r="CO24" i="32" s="1"/>
  <c r="AJ24" i="32"/>
  <c r="AI24" i="32"/>
  <c r="AH24" i="32"/>
  <c r="AG24" i="32"/>
  <c r="AF24" i="32"/>
  <c r="AC24" i="32"/>
  <c r="CG24" i="32" s="1"/>
  <c r="AB24" i="32"/>
  <c r="Z24" i="32"/>
  <c r="Y24" i="32"/>
  <c r="W24" i="32"/>
  <c r="V24" i="32"/>
  <c r="U24" i="32"/>
  <c r="T24" i="32"/>
  <c r="S24" i="32"/>
  <c r="R24" i="32"/>
  <c r="AD24" i="32" l="1"/>
  <c r="AE24" i="32" s="1"/>
  <c r="BG24" i="32"/>
  <c r="X24" i="32"/>
  <c r="AL24" i="32"/>
  <c r="CP24" i="32" s="1"/>
  <c r="CN24" i="32"/>
  <c r="CF24" i="32"/>
  <c r="CE24" i="32" s="1"/>
  <c r="CD24" i="32" s="1"/>
  <c r="CS24" i="32"/>
  <c r="DE25" i="32"/>
  <c r="CY25" i="32"/>
  <c r="CX25" i="32"/>
  <c r="DD25" i="32"/>
  <c r="DA25" i="32"/>
  <c r="DC25" i="32"/>
  <c r="DG25" i="32"/>
  <c r="DH25" i="32"/>
  <c r="DB25" i="32"/>
  <c r="DF25" i="32"/>
  <c r="CZ25" i="32"/>
  <c r="CB25" i="32"/>
  <c r="BV25" i="32"/>
  <c r="BY25" i="32"/>
  <c r="CH25" i="32"/>
  <c r="BZ25" i="32"/>
  <c r="BX25" i="32"/>
  <c r="CC25" i="32"/>
  <c r="BW25" i="32"/>
  <c r="AM24" i="32"/>
  <c r="CV25" i="32"/>
  <c r="AM25" i="32"/>
  <c r="AA24" i="32"/>
  <c r="CV24" i="32"/>
  <c r="CE25" i="32"/>
  <c r="CD25" i="32" s="1"/>
  <c r="N24" i="32"/>
  <c r="M24" i="32"/>
  <c r="GJ23" i="32"/>
  <c r="FG23" i="32"/>
  <c r="FD23" i="32" s="1"/>
  <c r="DR23" i="32"/>
  <c r="BT24" i="32" l="1"/>
  <c r="BS24" i="32"/>
  <c r="BQ24" i="32"/>
  <c r="BR24" i="32"/>
  <c r="BP24" i="32"/>
  <c r="BO24" i="32"/>
  <c r="DM23" i="32"/>
  <c r="DK23" i="32"/>
  <c r="DI23" i="32"/>
  <c r="CW23" i="32"/>
  <c r="CT23" i="32"/>
  <c r="CQ23" i="32"/>
  <c r="CM23" i="32"/>
  <c r="CL23" i="32" s="1"/>
  <c r="CK23" i="32"/>
  <c r="CJ23" i="32"/>
  <c r="CI23" i="32"/>
  <c r="CA23" i="32"/>
  <c r="BL23" i="32" l="1"/>
  <c r="BD23" i="32"/>
  <c r="BC23" i="32"/>
  <c r="BB23" i="32"/>
  <c r="AZ23" i="32"/>
  <c r="AY23" i="32"/>
  <c r="AX23" i="32"/>
  <c r="AW23" i="32"/>
  <c r="AV23" i="32"/>
  <c r="AU23" i="32"/>
  <c r="AT23" i="32"/>
  <c r="AS23" i="32"/>
  <c r="AR23" i="32"/>
  <c r="AP23" i="32"/>
  <c r="AN23" i="32"/>
  <c r="CR23" i="32" l="1"/>
  <c r="AO23" i="32"/>
  <c r="CU23" i="32"/>
  <c r="AQ23" i="32"/>
  <c r="BG23" i="32"/>
  <c r="AK23" i="32"/>
  <c r="AJ23" i="32"/>
  <c r="AG23" i="32"/>
  <c r="AF23" i="32"/>
  <c r="AC23" i="32"/>
  <c r="AB23" i="32"/>
  <c r="Z23" i="32"/>
  <c r="Y23" i="32"/>
  <c r="X23" i="32" s="1"/>
  <c r="W23" i="32"/>
  <c r="V23" i="32"/>
  <c r="U23" i="32"/>
  <c r="T23" i="32"/>
  <c r="S23" i="32"/>
  <c r="R23" i="32"/>
  <c r="AA23" i="32" s="1"/>
  <c r="N23" i="32"/>
  <c r="M23" i="32"/>
  <c r="GJ22" i="32"/>
  <c r="FJ22" i="32"/>
  <c r="FD22" i="32" s="1"/>
  <c r="FG22" i="32"/>
  <c r="DR22" i="32"/>
  <c r="CV23" i="32" l="1"/>
  <c r="CN23" i="32"/>
  <c r="BQ23" i="32"/>
  <c r="BP23" i="32"/>
  <c r="BS23" i="32"/>
  <c r="BR23" i="32"/>
  <c r="BU23" i="32"/>
  <c r="BO23" i="32"/>
  <c r="BT23" i="32"/>
  <c r="CF23" i="32"/>
  <c r="CE23" i="32" s="1"/>
  <c r="CD23" i="32" s="1"/>
  <c r="CS23" i="32"/>
  <c r="O23" i="32"/>
  <c r="CG23" i="32"/>
  <c r="CO23" i="32"/>
  <c r="AD23" i="32"/>
  <c r="AE23" i="32" s="1"/>
  <c r="DM22" i="32"/>
  <c r="DK22" i="32"/>
  <c r="DI22" i="32"/>
  <c r="CW22" i="32"/>
  <c r="CT22" i="32"/>
  <c r="CR22" i="32"/>
  <c r="CQ22" i="32"/>
  <c r="CM22" i="32"/>
  <c r="CK22" i="32"/>
  <c r="CJ22" i="32"/>
  <c r="CI22" i="32"/>
  <c r="CA22" i="32"/>
  <c r="BL22" i="32"/>
  <c r="BD22" i="32"/>
  <c r="BG22" i="32" s="1"/>
  <c r="BC22" i="32"/>
  <c r="BB22" i="32"/>
  <c r="AZ22" i="32"/>
  <c r="AY22" i="32"/>
  <c r="AX22" i="32"/>
  <c r="AW22" i="32"/>
  <c r="AV22" i="32"/>
  <c r="AU22" i="32"/>
  <c r="AR22" i="32"/>
  <c r="AT22" i="32" s="1"/>
  <c r="AQ22" i="32"/>
  <c r="AP22" i="32"/>
  <c r="AN22" i="32"/>
  <c r="AK22" i="32"/>
  <c r="AJ22" i="32"/>
  <c r="AG22" i="32"/>
  <c r="AF22" i="32"/>
  <c r="AD22" i="32"/>
  <c r="AC22" i="32"/>
  <c r="AB22" i="32"/>
  <c r="Z22" i="32"/>
  <c r="Y22" i="32"/>
  <c r="X22" i="32"/>
  <c r="W22" i="32"/>
  <c r="V22" i="32"/>
  <c r="U22" i="32"/>
  <c r="T22" i="32"/>
  <c r="S22" i="32"/>
  <c r="R22" i="32"/>
  <c r="AE22" i="32" l="1"/>
  <c r="AS22" i="32"/>
  <c r="CF22" i="32"/>
  <c r="CE22" i="32" s="1"/>
  <c r="CD22" i="32" s="1"/>
  <c r="DG23" i="32"/>
  <c r="DA23" i="32"/>
  <c r="DF23" i="32"/>
  <c r="CZ23" i="32"/>
  <c r="CC23" i="32"/>
  <c r="CB23" i="32"/>
  <c r="DD23" i="32"/>
  <c r="CX23" i="32"/>
  <c r="DE23" i="32"/>
  <c r="CY23" i="32"/>
  <c r="DP23" i="32"/>
  <c r="DC23" i="32"/>
  <c r="DH23" i="32"/>
  <c r="DB23" i="32"/>
  <c r="BW23" i="32"/>
  <c r="BV23" i="32"/>
  <c r="BY23" i="32"/>
  <c r="CH23" i="32"/>
  <c r="BZ23" i="32"/>
  <c r="BX23" i="32"/>
  <c r="CN22" i="32"/>
  <c r="CG22" i="32"/>
  <c r="CU22" i="32"/>
  <c r="AA22" i="32"/>
  <c r="AO22" i="32"/>
  <c r="CO22" i="32"/>
  <c r="CV22" i="32"/>
  <c r="N22" i="32"/>
  <c r="M22" i="32"/>
  <c r="L22" i="32"/>
  <c r="GJ21" i="32"/>
  <c r="FJ21" i="32"/>
  <c r="FG21" i="32"/>
  <c r="FD21" i="32" s="1"/>
  <c r="DR21" i="32"/>
  <c r="CS22" i="32" l="1"/>
  <c r="BT22" i="32"/>
  <c r="BQ22" i="32"/>
  <c r="BS22" i="32"/>
  <c r="BR22" i="32"/>
  <c r="BP22" i="32"/>
  <c r="BU22" i="32"/>
  <c r="BO22" i="32"/>
  <c r="DM21" i="32"/>
  <c r="DK21" i="32"/>
  <c r="DI21" i="32"/>
  <c r="CW21" i="32"/>
  <c r="CT21" i="32"/>
  <c r="CS21" i="32" s="1"/>
  <c r="CR21" i="32"/>
  <c r="CQ21" i="32"/>
  <c r="CN21" i="32"/>
  <c r="CM21" i="32"/>
  <c r="CI21" i="32"/>
  <c r="CH21" i="32"/>
  <c r="CG21" i="32"/>
  <c r="CF21" i="32"/>
  <c r="CA21" i="32"/>
  <c r="BD21" i="32"/>
  <c r="BC21" i="32"/>
  <c r="BB21" i="32"/>
  <c r="AZ21" i="32"/>
  <c r="AY21" i="32"/>
  <c r="AX21" i="32"/>
  <c r="AW21" i="32"/>
  <c r="AV21" i="32"/>
  <c r="AU21" i="32"/>
  <c r="AT21" i="32" s="1"/>
  <c r="AR21" i="32"/>
  <c r="AP21" i="32"/>
  <c r="AN21" i="32"/>
  <c r="AO21" i="32" s="1"/>
  <c r="AK21" i="32"/>
  <c r="CO21" i="32" s="1"/>
  <c r="AJ21" i="32"/>
  <c r="AG21" i="32"/>
  <c r="CK21" i="32" s="1"/>
  <c r="AF21" i="32"/>
  <c r="AC21" i="32"/>
  <c r="AB21" i="32"/>
  <c r="Z21" i="32"/>
  <c r="Y21" i="32"/>
  <c r="W21" i="32"/>
  <c r="V21" i="32"/>
  <c r="X21" i="32" s="1"/>
  <c r="U21" i="32"/>
  <c r="T21" i="32"/>
  <c r="S21" i="32"/>
  <c r="BP21" i="32" s="1"/>
  <c r="BO21" i="32" s="1"/>
  <c r="R21" i="32"/>
  <c r="N21" i="32"/>
  <c r="BT21" i="32" s="1"/>
  <c r="M21" i="32"/>
  <c r="GJ20" i="32"/>
  <c r="FJ20" i="32"/>
  <c r="FG20" i="32"/>
  <c r="FD20" i="32" s="1"/>
  <c r="DR20" i="32"/>
  <c r="AS21" i="32" l="1"/>
  <c r="CE21" i="32" s="1"/>
  <c r="CD21" i="32" s="1"/>
  <c r="CJ21" i="32"/>
  <c r="AA21" i="32"/>
  <c r="BU21" i="32" s="1"/>
  <c r="AH21" i="32"/>
  <c r="BR21" i="32"/>
  <c r="CL21" i="32"/>
  <c r="CU21" i="32"/>
  <c r="BQ21" i="32"/>
  <c r="AI21" i="32"/>
  <c r="BG21" i="32"/>
  <c r="BS21" i="32"/>
  <c r="AQ21" i="32"/>
  <c r="CV21" i="32" l="1"/>
  <c r="DM20" i="32"/>
  <c r="DK20" i="32"/>
  <c r="DI20" i="32"/>
  <c r="CW20" i="32"/>
  <c r="CT20" i="32"/>
  <c r="CQ20" i="32" l="1"/>
  <c r="CM20" i="32"/>
  <c r="CI20" i="32"/>
  <c r="CA20" i="32"/>
  <c r="BL20" i="32" l="1"/>
  <c r="BG20" i="32"/>
  <c r="BD20" i="32"/>
  <c r="BC20" i="32"/>
  <c r="BB20" i="32"/>
  <c r="AZ20" i="32"/>
  <c r="AY20" i="32"/>
  <c r="AX20" i="32"/>
  <c r="AW20" i="32"/>
  <c r="AV20" i="32"/>
  <c r="AU20" i="32"/>
  <c r="AR20" i="32"/>
  <c r="AQ20" i="32" s="1"/>
  <c r="AP20" i="32"/>
  <c r="CU20" i="32" s="1"/>
  <c r="AN20" i="32"/>
  <c r="AK20" i="32"/>
  <c r="CO20" i="32" s="1"/>
  <c r="AJ20" i="32"/>
  <c r="AG20" i="32"/>
  <c r="CK20" i="32" s="1"/>
  <c r="AF20" i="32"/>
  <c r="AC20" i="32"/>
  <c r="CG20" i="32" s="1"/>
  <c r="AB20" i="32"/>
  <c r="Z20" i="32"/>
  <c r="Y20" i="32"/>
  <c r="CF20" i="32" l="1"/>
  <c r="CN20" i="32"/>
  <c r="CJ20" i="32"/>
  <c r="AM20" i="32"/>
  <c r="CR20" i="32"/>
  <c r="CV20" i="32"/>
  <c r="AD20" i="32"/>
  <c r="AE20" i="32" s="1"/>
  <c r="AS20" i="32"/>
  <c r="AL20" i="32"/>
  <c r="CP20" i="32" s="1"/>
  <c r="AT20" i="32"/>
  <c r="AH20" i="32"/>
  <c r="AO20" i="32"/>
  <c r="X20" i="32"/>
  <c r="W20" i="32"/>
  <c r="V20" i="32"/>
  <c r="U20" i="32"/>
  <c r="T20" i="32"/>
  <c r="S20" i="32"/>
  <c r="R20" i="32"/>
  <c r="N20" i="32"/>
  <c r="M20" i="32"/>
  <c r="GJ19" i="32"/>
  <c r="FJ19" i="32"/>
  <c r="FG19" i="32"/>
  <c r="FD19" i="32" s="1"/>
  <c r="DR19" i="32"/>
  <c r="DM19" i="32"/>
  <c r="DK19" i="32"/>
  <c r="DI19" i="32"/>
  <c r="CW19" i="32"/>
  <c r="AA20" i="32" l="1"/>
  <c r="CS20" i="32"/>
  <c r="CE20" i="32"/>
  <c r="CD20" i="32" s="1"/>
  <c r="CL20" i="32"/>
  <c r="AI20" i="32"/>
  <c r="BQ20" i="32"/>
  <c r="BP20" i="32" s="1"/>
  <c r="BO20" i="32"/>
  <c r="BT20" i="32"/>
  <c r="BS20" i="32" s="1"/>
  <c r="BR20" i="32"/>
  <c r="CT19" i="32"/>
  <c r="CQ19" i="32"/>
  <c r="CM19" i="32"/>
  <c r="CI19" i="32"/>
  <c r="CA19" i="32"/>
  <c r="BL19" i="32"/>
  <c r="BH19" i="32" l="1"/>
  <c r="BD19" i="32"/>
  <c r="BC19" i="32"/>
  <c r="BB19" i="32"/>
  <c r="AZ19" i="32"/>
  <c r="BG19" i="32" s="1"/>
  <c r="AY19" i="32"/>
  <c r="AX19" i="32"/>
  <c r="AW19" i="32"/>
  <c r="AV19" i="32"/>
  <c r="AU19" i="32"/>
  <c r="AS19" i="32"/>
  <c r="AR19" i="32"/>
  <c r="AT19" i="32" s="1"/>
  <c r="AP19" i="32"/>
  <c r="AN19" i="32"/>
  <c r="CR19" i="32" s="1"/>
  <c r="AM19" i="32"/>
  <c r="AL19" i="32"/>
  <c r="CP19" i="32" s="1"/>
  <c r="AK19" i="32"/>
  <c r="CO19" i="32" s="1"/>
  <c r="AJ19" i="32"/>
  <c r="AG19" i="32"/>
  <c r="CK19" i="32" s="1"/>
  <c r="AF19" i="32"/>
  <c r="AC19" i="32"/>
  <c r="CG19" i="32" s="1"/>
  <c r="AB19" i="32"/>
  <c r="Z19" i="32"/>
  <c r="Y19" i="32"/>
  <c r="W19" i="32"/>
  <c r="V19" i="32"/>
  <c r="U19" i="32"/>
  <c r="T19" i="32"/>
  <c r="S19" i="32"/>
  <c r="AA19" i="32" s="1"/>
  <c r="R19" i="32"/>
  <c r="AE19" i="32" l="1"/>
  <c r="CJ19" i="32"/>
  <c r="CF19" i="32"/>
  <c r="CE19" i="32" s="1"/>
  <c r="CD19" i="32" s="1"/>
  <c r="AO19" i="32"/>
  <c r="CU19" i="32"/>
  <c r="AH19" i="32"/>
  <c r="CL19" i="32" s="1"/>
  <c r="AI19" i="32"/>
  <c r="CN19" i="32"/>
  <c r="X19" i="32"/>
  <c r="AD19" i="32"/>
  <c r="BJ19" i="32" s="1"/>
  <c r="BI19" i="32" s="1"/>
  <c r="AQ19" i="32"/>
  <c r="N19" i="32"/>
  <c r="M19" i="32"/>
  <c r="GJ18" i="32"/>
  <c r="FJ18" i="32"/>
  <c r="FG18" i="32"/>
  <c r="FD18" i="32"/>
  <c r="DR18" i="32"/>
  <c r="CV19" i="32" l="1"/>
  <c r="CS19" i="32"/>
  <c r="BP19" i="32"/>
  <c r="BO19" i="32" s="1"/>
  <c r="BU19" i="32"/>
  <c r="BS19" i="32"/>
  <c r="BT19" i="32"/>
  <c r="BR19" i="32"/>
  <c r="BQ19" i="32"/>
  <c r="DM18" i="32"/>
  <c r="DK18" i="32"/>
  <c r="DI18" i="32"/>
  <c r="CW18" i="32"/>
  <c r="CT18" i="32"/>
  <c r="CQ18" i="32"/>
  <c r="CM18" i="32"/>
  <c r="CI18" i="32"/>
  <c r="CA18" i="32"/>
  <c r="BL18" i="32" l="1"/>
  <c r="BD18" i="32"/>
  <c r="BG18" i="32" s="1"/>
  <c r="BC18" i="32"/>
  <c r="BB18" i="32"/>
  <c r="AZ18" i="32"/>
  <c r="AY18" i="32"/>
  <c r="AX18" i="32"/>
  <c r="AW18" i="32"/>
  <c r="AV18" i="32"/>
  <c r="AU18" i="32"/>
  <c r="AR18" i="32"/>
  <c r="AP18" i="32"/>
  <c r="AN18" i="32"/>
  <c r="AK18" i="32"/>
  <c r="CO18" i="32" s="1"/>
  <c r="AJ18" i="32"/>
  <c r="AH18" i="32"/>
  <c r="CL18" i="32" s="1"/>
  <c r="AG18" i="32"/>
  <c r="CK18" i="32" s="1"/>
  <c r="CJ18" i="32" s="1"/>
  <c r="AF18" i="32"/>
  <c r="AI18" i="32" s="1"/>
  <c r="AC18" i="32"/>
  <c r="AB18" i="32"/>
  <c r="Z18" i="32"/>
  <c r="Y18" i="32"/>
  <c r="W18" i="32"/>
  <c r="V18" i="32"/>
  <c r="U18" i="32"/>
  <c r="T18" i="32"/>
  <c r="S18" i="32"/>
  <c r="AA18" i="32" s="1"/>
  <c r="R18" i="32"/>
  <c r="CN18" i="32" l="1"/>
  <c r="CU18" i="32"/>
  <c r="AO18" i="32"/>
  <c r="X18" i="32"/>
  <c r="AD18" i="32"/>
  <c r="AQ18" i="32"/>
  <c r="BH18" i="32"/>
  <c r="BJ18" i="32" s="1"/>
  <c r="BI18" i="32" s="1"/>
  <c r="AE18" i="32"/>
  <c r="AL18" i="32"/>
  <c r="AT18" i="32"/>
  <c r="AS18" i="32" s="1"/>
  <c r="CE18" i="32" s="1"/>
  <c r="CD18" i="32" s="1"/>
  <c r="N18" i="32"/>
  <c r="M18" i="32"/>
  <c r="GJ17" i="32"/>
  <c r="FJ17" i="32"/>
  <c r="FG17" i="32"/>
  <c r="FD17" i="32" s="1"/>
  <c r="DR17" i="32"/>
  <c r="DM17" i="32"/>
  <c r="DK17" i="32"/>
  <c r="CS18" i="32" l="1"/>
  <c r="CR18" i="32" s="1"/>
  <c r="CP18" i="32"/>
  <c r="AM18" i="32"/>
  <c r="CV18" i="32"/>
  <c r="BQ18" i="32"/>
  <c r="BO18" i="32"/>
  <c r="BP18" i="32"/>
  <c r="BU18" i="32"/>
  <c r="BT18" i="32"/>
  <c r="BS18" i="32"/>
  <c r="BR18" i="32" s="1"/>
  <c r="O18" i="32"/>
  <c r="DI17" i="32"/>
  <c r="CW17" i="32"/>
  <c r="CT17" i="32"/>
  <c r="CQ17" i="32"/>
  <c r="CM17" i="32"/>
  <c r="CI17" i="32"/>
  <c r="CH17" i="32"/>
  <c r="CG17" i="32"/>
  <c r="CF17" i="32"/>
  <c r="DJ18" i="32" l="1"/>
  <c r="DD18" i="32"/>
  <c r="CX18" i="32"/>
  <c r="CH18" i="32"/>
  <c r="BX18" i="32"/>
  <c r="DN18" i="32"/>
  <c r="DB18" i="32"/>
  <c r="BV18" i="32"/>
  <c r="CB18" i="32"/>
  <c r="DL18" i="32"/>
  <c r="CZ18" i="32"/>
  <c r="DP18" i="32"/>
  <c r="DC18" i="32"/>
  <c r="BW18" i="32"/>
  <c r="DH18" i="32"/>
  <c r="CC18" i="32"/>
  <c r="DG18" i="32"/>
  <c r="DA18" i="32"/>
  <c r="DF18" i="32"/>
  <c r="BY18" i="32"/>
  <c r="DE18" i="32"/>
  <c r="CY18" i="32"/>
  <c r="BZ18" i="32"/>
  <c r="CA17" i="32"/>
  <c r="CG18" i="32" l="1"/>
  <c r="CF18" i="32" s="1"/>
  <c r="BL17" i="32"/>
  <c r="BD17" i="32"/>
  <c r="BG17" i="32" s="1"/>
  <c r="BC17" i="32"/>
  <c r="BB17" i="32"/>
  <c r="AZ17" i="32"/>
  <c r="AY17" i="32"/>
  <c r="AX17" i="32"/>
  <c r="AW17" i="32"/>
  <c r="AS17" i="32" s="1"/>
  <c r="CE17" i="32" s="1"/>
  <c r="AV17" i="32"/>
  <c r="AU17" i="32"/>
  <c r="AR17" i="32"/>
  <c r="AP17" i="32"/>
  <c r="AO17" i="32"/>
  <c r="AN17" i="32"/>
  <c r="AK17" i="32"/>
  <c r="CO17" i="32" s="1"/>
  <c r="AJ17" i="32"/>
  <c r="AH17" i="32"/>
  <c r="CL17" i="32" s="1"/>
  <c r="AG17" i="32"/>
  <c r="CK17" i="32" s="1"/>
  <c r="AF17" i="32"/>
  <c r="AC17" i="32"/>
  <c r="AB17" i="32"/>
  <c r="AA17" i="32"/>
  <c r="Z17" i="32"/>
  <c r="Y17" i="32"/>
  <c r="W17" i="32"/>
  <c r="V17" i="32"/>
  <c r="U17" i="32"/>
  <c r="T17" i="32"/>
  <c r="S17" i="32"/>
  <c r="R17" i="32"/>
  <c r="CS17" i="32" l="1"/>
  <c r="CR17" i="32" s="1"/>
  <c r="AI17" i="32"/>
  <c r="CU17" i="32"/>
  <c r="CN17" i="32"/>
  <c r="AQ17" i="32"/>
  <c r="CD17" i="32"/>
  <c r="X17" i="32"/>
  <c r="AD17" i="32"/>
  <c r="BH17" i="32"/>
  <c r="AE17" i="32"/>
  <c r="CJ17" i="32"/>
  <c r="AT17" i="32"/>
  <c r="N17" i="32"/>
  <c r="M17" i="32"/>
  <c r="GJ16" i="32"/>
  <c r="FJ16" i="32"/>
  <c r="FG16" i="32"/>
  <c r="FD16" i="32" s="1"/>
  <c r="DM16" i="32"/>
  <c r="BR17" i="32" l="1"/>
  <c r="BQ17" i="32"/>
  <c r="BP17" i="32"/>
  <c r="BO17" i="32"/>
  <c r="BT17" i="32"/>
  <c r="BS17" i="32"/>
  <c r="CV17" i="32"/>
  <c r="DK16" i="32"/>
  <c r="DI16" i="32"/>
  <c r="CW16" i="32"/>
  <c r="CT16" i="32"/>
  <c r="CS16" i="32"/>
  <c r="CR16" i="32"/>
  <c r="CQ16" i="32"/>
  <c r="CM16" i="32"/>
  <c r="CI16" i="32"/>
  <c r="CA16" i="32"/>
  <c r="BL16" i="32" l="1"/>
  <c r="BH16" i="32" l="1"/>
  <c r="BD16" i="32"/>
  <c r="BG16" i="32" s="1"/>
  <c r="BC16" i="32"/>
  <c r="BB16" i="32"/>
  <c r="AZ16" i="32"/>
  <c r="AY16" i="32"/>
  <c r="AX16" i="32"/>
  <c r="AW16" i="32"/>
  <c r="AV16" i="32"/>
  <c r="AU16" i="32"/>
  <c r="AR16" i="32"/>
  <c r="AS16" i="32" s="1"/>
  <c r="CE16" i="32" s="1"/>
  <c r="CD16" i="32" s="1"/>
  <c r="AP16" i="32"/>
  <c r="AQ16" i="32" s="1"/>
  <c r="AN16" i="32"/>
  <c r="AO16" i="32" s="1"/>
  <c r="CV16" i="32" l="1"/>
  <c r="CU16" i="32"/>
  <c r="AT16" i="32"/>
  <c r="AK16" i="32"/>
  <c r="AJ16" i="32"/>
  <c r="AG16" i="32"/>
  <c r="AF16" i="32"/>
  <c r="AC16" i="32"/>
  <c r="AB16" i="32"/>
  <c r="Z16" i="32"/>
  <c r="Y16" i="32"/>
  <c r="W16" i="32"/>
  <c r="V16" i="32"/>
  <c r="U16" i="32"/>
  <c r="T16" i="32"/>
  <c r="S16" i="32"/>
  <c r="AA16" i="32" s="1"/>
  <c r="R16" i="32"/>
  <c r="CJ16" i="32" l="1"/>
  <c r="AH16" i="32"/>
  <c r="CL16" i="32" s="1"/>
  <c r="CF16" i="32"/>
  <c r="CN16" i="32"/>
  <c r="X16" i="32"/>
  <c r="AD16" i="32"/>
  <c r="CO16" i="32"/>
  <c r="N16" i="32"/>
  <c r="M16" i="32"/>
  <c r="GJ15" i="32"/>
  <c r="FJ15" i="32"/>
  <c r="FG15" i="32"/>
  <c r="FD15" i="32"/>
  <c r="DR15" i="32"/>
  <c r="CK16" i="32" l="1"/>
  <c r="BQ16" i="32"/>
  <c r="BP16" i="32"/>
  <c r="BO16" i="32"/>
  <c r="BU16" i="32"/>
  <c r="BT16" i="32"/>
  <c r="BS16" i="32"/>
  <c r="BR16" i="32" s="1"/>
  <c r="AI16" i="32"/>
  <c r="AE16" i="32"/>
  <c r="DM15" i="32"/>
  <c r="DK15" i="32"/>
  <c r="DI15" i="32"/>
  <c r="CW15" i="32"/>
  <c r="CT15" i="32"/>
  <c r="CQ15" i="32"/>
  <c r="CM15" i="32"/>
  <c r="CI15" i="32"/>
  <c r="CH15" i="32"/>
  <c r="CG15" i="32"/>
  <c r="CF15" i="32"/>
  <c r="CA15" i="32"/>
  <c r="BL15" i="32" l="1"/>
  <c r="BH15" i="32" l="1"/>
  <c r="BD15" i="32"/>
  <c r="BG15" i="32" s="1"/>
  <c r="BC15" i="32"/>
  <c r="BB15" i="32"/>
  <c r="AZ15" i="32"/>
  <c r="AY15" i="32"/>
  <c r="AX15" i="32"/>
  <c r="AW15" i="32"/>
  <c r="AV15" i="32"/>
  <c r="AU15" i="32"/>
  <c r="AR15" i="32"/>
  <c r="AT15" i="32" s="1"/>
  <c r="AP15" i="32"/>
  <c r="AQ15" i="32" s="1"/>
  <c r="AO15" i="32"/>
  <c r="AN15" i="32"/>
  <c r="AL15" i="32"/>
  <c r="CP15" i="32" s="1"/>
  <c r="CO15" i="32" s="1"/>
  <c r="CN15" i="32" s="1"/>
  <c r="AK15" i="32"/>
  <c r="AJ15" i="32"/>
  <c r="AG15" i="32"/>
  <c r="AF15" i="32"/>
  <c r="CV15" i="32" l="1"/>
  <c r="CU15" i="32" s="1"/>
  <c r="CS15" i="32"/>
  <c r="CR15" i="32" s="1"/>
  <c r="AM15" i="32"/>
  <c r="AS15" i="32"/>
  <c r="CE15" i="32" s="1"/>
  <c r="CD15" i="32" s="1"/>
  <c r="AH15" i="32"/>
  <c r="AD15" i="32"/>
  <c r="AE15" i="32" s="1"/>
  <c r="AC15" i="32"/>
  <c r="AB15" i="32"/>
  <c r="Z15" i="32"/>
  <c r="Y15" i="32"/>
  <c r="W15" i="32"/>
  <c r="V15" i="32"/>
  <c r="U15" i="32"/>
  <c r="T15" i="32"/>
  <c r="S15" i="32"/>
  <c r="R15" i="32"/>
  <c r="AA15" i="32" s="1"/>
  <c r="BJ15" i="32" s="1"/>
  <c r="BI15" i="32" s="1"/>
  <c r="X15" i="32" l="1"/>
  <c r="CL15" i="32"/>
  <c r="AI15" i="32"/>
  <c r="N15" i="32"/>
  <c r="M15" i="32"/>
  <c r="L15" i="32"/>
  <c r="GJ14" i="32"/>
  <c r="FJ14" i="32"/>
  <c r="FG14" i="32"/>
  <c r="FD14" i="32"/>
  <c r="BL14" i="32" s="1"/>
  <c r="DR14" i="32"/>
  <c r="DM14" i="32"/>
  <c r="DK14" i="32"/>
  <c r="DI14" i="32"/>
  <c r="CW14" i="32"/>
  <c r="CT14" i="32"/>
  <c r="CQ14" i="32"/>
  <c r="CM14" i="32"/>
  <c r="CI14" i="32"/>
  <c r="CH14" i="32"/>
  <c r="CG14" i="32"/>
  <c r="CF14" i="32"/>
  <c r="CA14" i="32"/>
  <c r="BD14" i="32"/>
  <c r="BC14" i="32"/>
  <c r="BB14" i="32"/>
  <c r="AZ14" i="32"/>
  <c r="AY14" i="32"/>
  <c r="AY37" i="32" s="1"/>
  <c r="AX14" i="32"/>
  <c r="AW14" i="32"/>
  <c r="AV14" i="32"/>
  <c r="AU14" i="32"/>
  <c r="AR14" i="32"/>
  <c r="AT14" i="32" s="1"/>
  <c r="AS14" i="32" s="1"/>
  <c r="AQ14" i="32"/>
  <c r="AP14" i="32"/>
  <c r="AO14" i="32"/>
  <c r="AN14" i="32"/>
  <c r="BH14" i="32" l="1"/>
  <c r="CU14" i="32"/>
  <c r="CV14" i="32"/>
  <c r="CK15" i="32"/>
  <c r="CJ15" i="32" s="1"/>
  <c r="BO15" i="32"/>
  <c r="BS15" i="32"/>
  <c r="BT15" i="32"/>
  <c r="BR15" i="32"/>
  <c r="BQ15" i="32"/>
  <c r="BP15" i="32" s="1"/>
  <c r="CE14" i="32"/>
  <c r="CD14" i="32" s="1"/>
  <c r="CS14" i="32"/>
  <c r="CR14" i="32" s="1"/>
  <c r="O15" i="32"/>
  <c r="AK14" i="32"/>
  <c r="AJ14" i="32"/>
  <c r="AG14" i="32"/>
  <c r="AF14" i="32"/>
  <c r="AC14" i="32"/>
  <c r="AB14" i="32"/>
  <c r="Z14" i="32"/>
  <c r="Y14" i="32"/>
  <c r="W14" i="32"/>
  <c r="V14" i="32"/>
  <c r="U14" i="32"/>
  <c r="T14" i="32"/>
  <c r="S14" i="32"/>
  <c r="AA14" i="32" s="1"/>
  <c r="R14" i="32"/>
  <c r="AD14" i="32" l="1"/>
  <c r="AE14" i="32" s="1"/>
  <c r="X14" i="32"/>
  <c r="AL14" i="32"/>
  <c r="BG14" i="32"/>
  <c r="CJ14" i="32"/>
  <c r="DN15" i="32"/>
  <c r="DF15" i="32"/>
  <c r="CZ15" i="32"/>
  <c r="CC15" i="32"/>
  <c r="BW15" i="32"/>
  <c r="DE15" i="32"/>
  <c r="CY15" i="32"/>
  <c r="CB15" i="32"/>
  <c r="BV15" i="32"/>
  <c r="BU15" i="32" s="1"/>
  <c r="BZ15" i="32"/>
  <c r="DB15" i="32"/>
  <c r="DD15" i="32"/>
  <c r="CX15" i="32"/>
  <c r="DC15" i="32"/>
  <c r="DH15" i="32"/>
  <c r="BY15" i="32"/>
  <c r="BX15" i="32"/>
  <c r="DP15" i="32"/>
  <c r="DG15" i="32"/>
  <c r="DA15" i="32"/>
  <c r="DJ15" i="32"/>
  <c r="DL15" i="32"/>
  <c r="O14" i="32"/>
  <c r="N14" i="32"/>
  <c r="M14" i="32"/>
  <c r="GB13" i="32"/>
  <c r="GJ13" i="32" s="1"/>
  <c r="FJ13" i="32"/>
  <c r="FG13" i="32"/>
  <c r="FD13" i="32" s="1"/>
  <c r="DR13" i="32"/>
  <c r="CP14" i="32" l="1"/>
  <c r="AM14" i="32"/>
  <c r="BT14" i="32"/>
  <c r="BS14" i="32"/>
  <c r="BR14" i="32"/>
  <c r="BP14" i="32"/>
  <c r="BQ14" i="32"/>
  <c r="BU14" i="32"/>
  <c r="BO14" i="32"/>
  <c r="DG14" i="32"/>
  <c r="DA14" i="32"/>
  <c r="BZ14" i="32"/>
  <c r="BX14" i="32"/>
  <c r="DF14" i="32"/>
  <c r="CZ14" i="32"/>
  <c r="BY14" i="32"/>
  <c r="CY14" i="32"/>
  <c r="DD14" i="32"/>
  <c r="CX14" i="32"/>
  <c r="DE14" i="32"/>
  <c r="DJ14" i="32"/>
  <c r="BW14" i="32"/>
  <c r="DC14" i="32"/>
  <c r="CB14" i="32"/>
  <c r="BV14" i="32"/>
  <c r="CC14" i="32"/>
  <c r="DP14" i="32"/>
  <c r="DH14" i="32"/>
  <c r="DB14" i="32"/>
  <c r="CO14" i="32" l="1"/>
  <c r="CN14" i="32" s="1"/>
  <c r="DM13" i="32"/>
  <c r="DK13" i="32"/>
  <c r="DI13" i="32"/>
  <c r="CW13" i="32"/>
  <c r="CT13" i="32"/>
  <c r="CQ13" i="32"/>
  <c r="CM13" i="32"/>
  <c r="CI13" i="32"/>
  <c r="CH13" i="32"/>
  <c r="CG13" i="32"/>
  <c r="CF13" i="32"/>
  <c r="CA13" i="32"/>
  <c r="BD13" i="32" l="1"/>
  <c r="BC13" i="32"/>
  <c r="BB13" i="32"/>
  <c r="AZ13" i="32"/>
  <c r="BG13" i="32" s="1"/>
  <c r="AX13" i="32"/>
  <c r="AW13" i="32"/>
  <c r="AV13" i="32"/>
  <c r="AU13" i="32"/>
  <c r="AR13" i="32"/>
  <c r="AT13" i="32" s="1"/>
  <c r="AP13" i="32"/>
  <c r="AN13" i="32"/>
  <c r="AK13" i="32"/>
  <c r="AJ13" i="32"/>
  <c r="AG13" i="32"/>
  <c r="AF13" i="32"/>
  <c r="AC13" i="32"/>
  <c r="AB13" i="32"/>
  <c r="AD13" i="32" s="1"/>
  <c r="Z13" i="32"/>
  <c r="Y13" i="32"/>
  <c r="W13" i="32"/>
  <c r="V13" i="32"/>
  <c r="U13" i="32"/>
  <c r="T13" i="32"/>
  <c r="S13" i="32"/>
  <c r="AA13" i="32" s="1"/>
  <c r="R13" i="32"/>
  <c r="AE13" i="32" l="1"/>
  <c r="CJ13" i="32"/>
  <c r="CR13" i="32"/>
  <c r="AO13" i="32"/>
  <c r="CU13" i="32"/>
  <c r="AQ13" i="32"/>
  <c r="CN13" i="32"/>
  <c r="AS13" i="32"/>
  <c r="CE13" i="32" s="1"/>
  <c r="CD13" i="32" s="1"/>
  <c r="X13" i="32"/>
  <c r="N13" i="32"/>
  <c r="M13" i="32"/>
  <c r="GJ12" i="32"/>
  <c r="GB12" i="32"/>
  <c r="FJ12" i="32"/>
  <c r="FG12" i="32"/>
  <c r="FD12" i="32" s="1"/>
  <c r="BL12" i="32" s="1"/>
  <c r="DR12" i="32"/>
  <c r="DM12" i="32"/>
  <c r="DK12" i="32"/>
  <c r="DI12" i="32"/>
  <c r="CW12" i="32"/>
  <c r="CT12" i="32"/>
  <c r="CQ12" i="32"/>
  <c r="CM12" i="32"/>
  <c r="CI12" i="32"/>
  <c r="CA12" i="32"/>
  <c r="BH12" i="32" l="1"/>
  <c r="O13" i="32"/>
  <c r="CV13" i="32"/>
  <c r="CS13" i="32"/>
  <c r="BR13" i="32"/>
  <c r="BQ13" i="32"/>
  <c r="BP13" i="32" s="1"/>
  <c r="BU13" i="32"/>
  <c r="BT13" i="32"/>
  <c r="BS13" i="32"/>
  <c r="BO13" i="32"/>
  <c r="BG12" i="32"/>
  <c r="BD12" i="32"/>
  <c r="BC12" i="32"/>
  <c r="BB12" i="32"/>
  <c r="AZ12" i="32"/>
  <c r="AX12" i="32"/>
  <c r="AW12" i="32"/>
  <c r="AV12" i="32"/>
  <c r="AU12" i="32"/>
  <c r="AR12" i="32"/>
  <c r="AT12" i="32" s="1"/>
  <c r="AQ12" i="32"/>
  <c r="AP12" i="32"/>
  <c r="AN12" i="32"/>
  <c r="AK12" i="32"/>
  <c r="AJ12" i="32"/>
  <c r="AI12" i="32"/>
  <c r="AH12" i="32"/>
  <c r="CL12" i="32" s="1"/>
  <c r="AG12" i="32"/>
  <c r="AF12" i="32"/>
  <c r="AC12" i="32"/>
  <c r="AB12" i="32"/>
  <c r="AA12" i="32"/>
  <c r="Z12" i="32"/>
  <c r="Y12" i="32"/>
  <c r="W12" i="32"/>
  <c r="V12" i="32"/>
  <c r="U12" i="32"/>
  <c r="T12" i="32"/>
  <c r="S12" i="32"/>
  <c r="R12" i="32"/>
  <c r="CG12" i="32" l="1"/>
  <c r="CF12" i="32"/>
  <c r="AO12" i="32"/>
  <c r="AD12" i="32"/>
  <c r="AS12" i="32"/>
  <c r="CV12" i="32"/>
  <c r="CU12" i="32" s="1"/>
  <c r="DB13" i="32"/>
  <c r="CC13" i="32"/>
  <c r="BV13" i="32"/>
  <c r="DA13" i="32"/>
  <c r="CB13" i="32"/>
  <c r="DG13" i="32"/>
  <c r="DF13" i="32" s="1"/>
  <c r="CZ13" i="32"/>
  <c r="DE13" i="32"/>
  <c r="CY13" i="32"/>
  <c r="BY13" i="32"/>
  <c r="DD13" i="32"/>
  <c r="CX13" i="32"/>
  <c r="BX13" i="32"/>
  <c r="DC13" i="32"/>
  <c r="BW13" i="32"/>
  <c r="BZ13" i="32"/>
  <c r="DH13" i="32"/>
  <c r="X12" i="32"/>
  <c r="CN12" i="32"/>
  <c r="AE12" i="32"/>
  <c r="CO12" i="32"/>
  <c r="CJ12" i="32"/>
  <c r="CK12" i="32"/>
  <c r="CR12" i="32"/>
  <c r="N12" i="32"/>
  <c r="M12" i="32"/>
  <c r="GB11" i="32"/>
  <c r="FJ11" i="32"/>
  <c r="FG11" i="32"/>
  <c r="GJ11" i="32" l="1"/>
  <c r="BP12" i="32"/>
  <c r="BO12" i="32" s="1"/>
  <c r="BU12" i="32"/>
  <c r="BT12" i="32"/>
  <c r="BS12" i="32"/>
  <c r="BR12" i="32"/>
  <c r="BQ12" i="32"/>
  <c r="CS12" i="32"/>
  <c r="CE12" i="32"/>
  <c r="CD12" i="32" s="1"/>
  <c r="FD11" i="32"/>
  <c r="BL11" i="32" s="1"/>
  <c r="DR11" i="32"/>
  <c r="DM11" i="32"/>
  <c r="DK11" i="32"/>
  <c r="DI11" i="32"/>
  <c r="CW11" i="32"/>
  <c r="CT11" i="32"/>
  <c r="CQ11" i="32"/>
  <c r="CM11" i="32"/>
  <c r="CL11" i="32" s="1"/>
  <c r="CK11" i="32"/>
  <c r="CJ11" i="32" s="1"/>
  <c r="CI11" i="32"/>
  <c r="CA11" i="32"/>
  <c r="BD11" i="32"/>
  <c r="BC11" i="32"/>
  <c r="BB11" i="32"/>
  <c r="AZ11" i="32"/>
  <c r="AX11" i="32"/>
  <c r="AW11" i="32"/>
  <c r="AS11" i="32" s="1"/>
  <c r="AV11" i="32"/>
  <c r="AU11" i="32"/>
  <c r="AR11" i="32"/>
  <c r="AT11" i="32" s="1"/>
  <c r="AP11" i="32"/>
  <c r="AO11" i="32"/>
  <c r="AN11" i="32"/>
  <c r="AK11" i="32"/>
  <c r="AJ11" i="32"/>
  <c r="AI11" i="32"/>
  <c r="AH11" i="32"/>
  <c r="AG11" i="32"/>
  <c r="AF11" i="32"/>
  <c r="AD11" i="32"/>
  <c r="AE11" i="32" s="1"/>
  <c r="AC11" i="32"/>
  <c r="AB11" i="32"/>
  <c r="Z11" i="32"/>
  <c r="Y11" i="32"/>
  <c r="W11" i="32"/>
  <c r="V11" i="32"/>
  <c r="U11" i="32"/>
  <c r="T11" i="32"/>
  <c r="S11" i="32"/>
  <c r="R11" i="32"/>
  <c r="AA11" i="32" s="1"/>
  <c r="BH11" i="32" l="1"/>
  <c r="CS11" i="32"/>
  <c r="CU11" i="32"/>
  <c r="CN11" i="32"/>
  <c r="AL11" i="32"/>
  <c r="CP11" i="32" s="1"/>
  <c r="CG11" i="32"/>
  <c r="CF11" i="32" s="1"/>
  <c r="CE11" i="32" s="1"/>
  <c r="CD11" i="32" s="1"/>
  <c r="CO11" i="32"/>
  <c r="X11" i="32"/>
  <c r="AQ11" i="32"/>
  <c r="AM11" i="32"/>
  <c r="CR11" i="32"/>
  <c r="N11" i="32"/>
  <c r="M11" i="32"/>
  <c r="GJ10" i="32" s="1"/>
  <c r="GB10" i="32"/>
  <c r="FJ10" i="32"/>
  <c r="FD10" i="32" s="1"/>
  <c r="DR10" i="32"/>
  <c r="DM10" i="32"/>
  <c r="DK10" i="32"/>
  <c r="DI10" i="32"/>
  <c r="CW10" i="32"/>
  <c r="CT10" i="32"/>
  <c r="CQ10" i="32"/>
  <c r="CM10" i="32"/>
  <c r="CI10" i="32"/>
  <c r="BT11" i="32" l="1"/>
  <c r="BP11" i="32"/>
  <c r="BO11" i="32" s="1"/>
  <c r="BS11" i="32"/>
  <c r="BR11" i="32"/>
  <c r="BQ11" i="32"/>
  <c r="BU11" i="32"/>
  <c r="CV11" i="32"/>
  <c r="O11" i="32"/>
  <c r="BG11" i="32"/>
  <c r="CA10" i="32"/>
  <c r="BL10" i="32"/>
  <c r="BJ11" i="32" l="1"/>
  <c r="BI11" i="32" s="1"/>
  <c r="DJ11" i="32"/>
  <c r="DD11" i="32"/>
  <c r="CX11" i="32"/>
  <c r="BZ11" i="32"/>
  <c r="CZ11" i="32"/>
  <c r="CB11" i="32"/>
  <c r="DC11" i="32"/>
  <c r="CH11" i="32"/>
  <c r="BY11" i="32"/>
  <c r="BV11" i="32"/>
  <c r="DP11" i="32"/>
  <c r="DH11" i="32"/>
  <c r="DB11" i="32"/>
  <c r="BX11" i="32"/>
  <c r="DN11" i="32"/>
  <c r="DG11" i="32"/>
  <c r="DA11" i="32"/>
  <c r="CC11" i="32"/>
  <c r="BW11" i="32"/>
  <c r="DF11" i="32"/>
  <c r="DE11" i="32"/>
  <c r="CY11" i="32"/>
  <c r="DL11" i="32"/>
  <c r="BD10" i="32"/>
  <c r="BC10" i="32"/>
  <c r="BB10" i="32"/>
  <c r="AZ10" i="32"/>
  <c r="BG10" i="32" s="1"/>
  <c r="AX10" i="32"/>
  <c r="AW10" i="32"/>
  <c r="AV10" i="32"/>
  <c r="AU10" i="32"/>
  <c r="AR10" i="32"/>
  <c r="AQ10" i="32" s="1"/>
  <c r="AP10" i="32"/>
  <c r="AN10" i="32"/>
  <c r="AK10" i="32"/>
  <c r="AJ10" i="32"/>
  <c r="AH10" i="32"/>
  <c r="CL10" i="32" s="1"/>
  <c r="AG10" i="32"/>
  <c r="AF10" i="32"/>
  <c r="AD10" i="32"/>
  <c r="AC10" i="32"/>
  <c r="AB10" i="32"/>
  <c r="AE10" i="32" s="1"/>
  <c r="Z10" i="32"/>
  <c r="Y10" i="32"/>
  <c r="X10" i="32" s="1"/>
  <c r="W10" i="32"/>
  <c r="V10" i="32"/>
  <c r="U10" i="32"/>
  <c r="T10" i="32"/>
  <c r="S10" i="32"/>
  <c r="R10" i="32"/>
  <c r="N10" i="32"/>
  <c r="M10" i="32"/>
  <c r="GJ9" i="32"/>
  <c r="FJ9" i="32"/>
  <c r="FD9" i="32" s="1"/>
  <c r="DR9" i="32"/>
  <c r="DM9" i="32"/>
  <c r="DK9" i="32"/>
  <c r="DI9" i="32"/>
  <c r="CW9" i="32"/>
  <c r="CT9" i="32"/>
  <c r="CQ9" i="32"/>
  <c r="CM9" i="32"/>
  <c r="CI9" i="32"/>
  <c r="CR10" i="32" l="1"/>
  <c r="BT10" i="32"/>
  <c r="BR10" i="32"/>
  <c r="BS10" i="32"/>
  <c r="BQ10" i="32"/>
  <c r="BP10" i="32"/>
  <c r="BU10" i="32"/>
  <c r="BO10" i="32"/>
  <c r="CG10" i="32"/>
  <c r="AI10" i="32"/>
  <c r="AO10" i="32"/>
  <c r="CU10" i="32"/>
  <c r="CV10" i="32"/>
  <c r="CO10" i="32"/>
  <c r="CN10" i="32" s="1"/>
  <c r="AS10" i="32"/>
  <c r="CE10" i="32" s="1"/>
  <c r="CD10" i="32" s="1"/>
  <c r="AL10" i="32"/>
  <c r="CP10" i="32" s="1"/>
  <c r="AT10" i="32"/>
  <c r="AA10" i="32"/>
  <c r="CK10" i="32"/>
  <c r="CJ10" i="32" s="1"/>
  <c r="CF10" i="32"/>
  <c r="CG9" i="32"/>
  <c r="CA9" i="32"/>
  <c r="BO9" i="32"/>
  <c r="BD9" i="32"/>
  <c r="BC9" i="32"/>
  <c r="BB9" i="32"/>
  <c r="AZ9" i="32"/>
  <c r="AX9" i="32"/>
  <c r="AW9" i="32"/>
  <c r="AV9" i="32"/>
  <c r="AU9" i="32"/>
  <c r="AS9" i="32"/>
  <c r="AR9" i="32"/>
  <c r="AQ9" i="32"/>
  <c r="AP9" i="32"/>
  <c r="AN9" i="32"/>
  <c r="AM9" i="32"/>
  <c r="AL9" i="32"/>
  <c r="CP9" i="32" s="1"/>
  <c r="AK9" i="32"/>
  <c r="CO9" i="32" s="1"/>
  <c r="CN9" i="32" s="1"/>
  <c r="AJ9" i="32"/>
  <c r="AG9" i="32"/>
  <c r="CK9" i="32" s="1"/>
  <c r="CJ9" i="32" s="1"/>
  <c r="AF9" i="32"/>
  <c r="AH9" i="32" s="1"/>
  <c r="CL9" i="32" s="1"/>
  <c r="AC9" i="32"/>
  <c r="AB9" i="32"/>
  <c r="AA9" i="32"/>
  <c r="Z9" i="32"/>
  <c r="Y9" i="32"/>
  <c r="X9" i="32" s="1"/>
  <c r="W9" i="32"/>
  <c r="V9" i="32"/>
  <c r="U9" i="32"/>
  <c r="T9" i="32"/>
  <c r="S9" i="32"/>
  <c r="R9" i="32"/>
  <c r="N9" i="32"/>
  <c r="BS9" i="32" s="1"/>
  <c r="M9" i="32"/>
  <c r="GJ8" i="32"/>
  <c r="FJ8" i="32"/>
  <c r="FG8" i="32"/>
  <c r="FD8" i="32" s="1"/>
  <c r="BL8" i="32" s="1"/>
  <c r="DR8" i="32"/>
  <c r="DM8" i="32"/>
  <c r="DK8" i="32"/>
  <c r="DI8" i="32"/>
  <c r="CW8" i="32"/>
  <c r="CT8" i="32"/>
  <c r="CQ8" i="32"/>
  <c r="CM8" i="32"/>
  <c r="CI8" i="32"/>
  <c r="CH8" i="32"/>
  <c r="CG8" i="32"/>
  <c r="CF8" i="32"/>
  <c r="CA8" i="32"/>
  <c r="BT9" i="32" l="1"/>
  <c r="BP9" i="32"/>
  <c r="CS10" i="32"/>
  <c r="O9" i="32"/>
  <c r="AI9" i="32"/>
  <c r="AO9" i="32"/>
  <c r="BQ9" i="32"/>
  <c r="CF9" i="32"/>
  <c r="CE9" i="32" s="1"/>
  <c r="CD9" i="32" s="1"/>
  <c r="AT9" i="32"/>
  <c r="AD9" i="32"/>
  <c r="AE9" i="32" s="1"/>
  <c r="BG9" i="32"/>
  <c r="BR9" i="32"/>
  <c r="AM10" i="32"/>
  <c r="CV9" i="32"/>
  <c r="CU9" i="32" s="1"/>
  <c r="CS9" i="32" l="1"/>
  <c r="DF9" i="32"/>
  <c r="DE9" i="32" s="1"/>
  <c r="CY9" i="32"/>
  <c r="DB9" i="32"/>
  <c r="DD9" i="32"/>
  <c r="CX9" i="32"/>
  <c r="DC9" i="32"/>
  <c r="DH9" i="32"/>
  <c r="DA9" i="32"/>
  <c r="DG9" i="32"/>
  <c r="CZ9" i="32"/>
  <c r="CH9" i="32"/>
  <c r="BZ9" i="32"/>
  <c r="BY9" i="32"/>
  <c r="BW9" i="32"/>
  <c r="BX9" i="32"/>
  <c r="CC9" i="32"/>
  <c r="CB9" i="32"/>
  <c r="BV9" i="32"/>
  <c r="BU9" i="32" s="1"/>
  <c r="BH8" i="32"/>
  <c r="BD8" i="32"/>
  <c r="BC8" i="32"/>
  <c r="BB8" i="32"/>
  <c r="AZ8" i="32"/>
  <c r="BG8" i="32" s="1"/>
  <c r="AX8" i="32"/>
  <c r="AW8" i="32"/>
  <c r="AV8" i="32"/>
  <c r="AU8" i="32"/>
  <c r="AR8" i="32"/>
  <c r="AS8" i="32" s="1"/>
  <c r="CE8" i="32" s="1"/>
  <c r="CD8" i="32" s="1"/>
  <c r="AQ8" i="32"/>
  <c r="AP8" i="32"/>
  <c r="CU8" i="32" s="1"/>
  <c r="AN8" i="32"/>
  <c r="AK8" i="32"/>
  <c r="AJ8" i="32"/>
  <c r="AG8" i="32"/>
  <c r="AF8" i="32"/>
  <c r="AC8" i="32"/>
  <c r="AB8" i="32"/>
  <c r="AD8" i="32" s="1"/>
  <c r="Z8" i="32"/>
  <c r="Y8" i="32"/>
  <c r="W8" i="32"/>
  <c r="V8" i="32"/>
  <c r="U8" i="32"/>
  <c r="T8" i="32"/>
  <c r="S8" i="32"/>
  <c r="R8" i="32"/>
  <c r="N8" i="32"/>
  <c r="M8" i="32"/>
  <c r="GJ7" i="32"/>
  <c r="FJ7" i="32"/>
  <c r="FG7" i="32"/>
  <c r="FD7" i="32"/>
  <c r="DR7" i="32"/>
  <c r="DM7" i="32"/>
  <c r="DK7" i="32"/>
  <c r="DI7" i="32"/>
  <c r="CW7" i="32"/>
  <c r="CT7" i="32"/>
  <c r="CQ7" i="32"/>
  <c r="CM7" i="32"/>
  <c r="BO8" i="32" l="1"/>
  <c r="BT8" i="32"/>
  <c r="BR8" i="32"/>
  <c r="BQ8" i="32"/>
  <c r="BS8" i="32"/>
  <c r="BP8" i="32"/>
  <c r="CN8" i="32"/>
  <c r="CR9" i="32"/>
  <c r="CO8" i="32"/>
  <c r="X8" i="32"/>
  <c r="AE8" i="32"/>
  <c r="CJ8" i="32"/>
  <c r="CV8" i="32"/>
  <c r="CK8" i="32"/>
  <c r="AT8" i="32"/>
  <c r="AA8" i="32"/>
  <c r="AH8" i="32"/>
  <c r="AO8" i="32"/>
  <c r="CI7" i="32"/>
  <c r="CH7" i="32"/>
  <c r="CG7" i="32"/>
  <c r="CF7" i="32"/>
  <c r="CA7" i="32"/>
  <c r="BP7" i="32"/>
  <c r="BD7" i="32"/>
  <c r="BC7" i="32"/>
  <c r="BB7" i="32"/>
  <c r="AZ7" i="32"/>
  <c r="AX7" i="32"/>
  <c r="AW7" i="32"/>
  <c r="AV7" i="32"/>
  <c r="AU7" i="32"/>
  <c r="AT7" i="32"/>
  <c r="AR7" i="32"/>
  <c r="AQ7" i="32" s="1"/>
  <c r="AP7" i="32"/>
  <c r="AO7" i="32"/>
  <c r="AN7" i="32"/>
  <c r="CR7" i="32" s="1"/>
  <c r="AK7" i="32"/>
  <c r="CO7" i="32" s="1"/>
  <c r="AJ7" i="32"/>
  <c r="CN7" i="32" s="1"/>
  <c r="AI7" i="32"/>
  <c r="AH7" i="32"/>
  <c r="CL7" i="32" s="1"/>
  <c r="AG7" i="32"/>
  <c r="CK7" i="32" s="1"/>
  <c r="CJ7" i="32" s="1"/>
  <c r="AF7" i="32"/>
  <c r="AC7" i="32"/>
  <c r="AB7" i="32"/>
  <c r="Z7" i="32"/>
  <c r="Y7" i="32"/>
  <c r="W7" i="32"/>
  <c r="V7" i="32"/>
  <c r="U7" i="32"/>
  <c r="T7" i="32"/>
  <c r="AA7" i="32" s="1"/>
  <c r="S7" i="32"/>
  <c r="R7" i="32"/>
  <c r="O7" i="32"/>
  <c r="BZ7" i="32" s="1"/>
  <c r="BY7" i="32" s="1"/>
  <c r="BX7" i="32" s="1"/>
  <c r="N7" i="32"/>
  <c r="M7" i="32"/>
  <c r="GB6" i="32"/>
  <c r="GB37" i="32" s="1"/>
  <c r="GJ37" i="32" s="1"/>
  <c r="FJ6" i="32"/>
  <c r="FG6" i="32"/>
  <c r="FE6" i="32"/>
  <c r="FD6" i="32" s="1"/>
  <c r="BL6" i="32" s="1"/>
  <c r="DR6" i="32"/>
  <c r="DM6" i="32"/>
  <c r="DK6" i="32"/>
  <c r="DI6" i="32"/>
  <c r="DG6" i="32"/>
  <c r="CZ6" i="32"/>
  <c r="CW6" i="32"/>
  <c r="CU6" i="32"/>
  <c r="CT6" i="32"/>
  <c r="CS6" i="32" s="1"/>
  <c r="CR6" i="32" s="1"/>
  <c r="CQ6" i="32"/>
  <c r="CM6" i="32"/>
  <c r="CL6" i="32"/>
  <c r="CK6" i="32"/>
  <c r="CJ6" i="32"/>
  <c r="CI6" i="32"/>
  <c r="CH6" i="32" s="1"/>
  <c r="CG6" i="32"/>
  <c r="CF6" i="32"/>
  <c r="CA6" i="32"/>
  <c r="BX6" i="32"/>
  <c r="BQ6" i="32"/>
  <c r="BP6" i="32"/>
  <c r="BD6" i="32"/>
  <c r="BC6" i="32"/>
  <c r="BB6" i="32"/>
  <c r="AZ6" i="32"/>
  <c r="AX6" i="32"/>
  <c r="AX37" i="32" s="1"/>
  <c r="AW6" i="32"/>
  <c r="AV6" i="32"/>
  <c r="AU6" i="32"/>
  <c r="AR6" i="32"/>
  <c r="AT6" i="32" s="1"/>
  <c r="AQ6" i="32"/>
  <c r="AP6" i="32"/>
  <c r="AO6" i="32"/>
  <c r="AN6" i="32"/>
  <c r="AL6" i="32"/>
  <c r="AK6" i="32"/>
  <c r="AJ6" i="32"/>
  <c r="CN6" i="32" s="1"/>
  <c r="AG6" i="32"/>
  <c r="AF6" i="32"/>
  <c r="AC6" i="32"/>
  <c r="AB6" i="32"/>
  <c r="Z6" i="32"/>
  <c r="Z37" i="32" s="1"/>
  <c r="Y6" i="32"/>
  <c r="Y37" i="32" s="1"/>
  <c r="X6" i="32"/>
  <c r="W6" i="32"/>
  <c r="W37" i="32" s="1"/>
  <c r="V6" i="32"/>
  <c r="U6" i="32"/>
  <c r="T6" i="32"/>
  <c r="S6" i="32"/>
  <c r="S37" i="32" s="1"/>
  <c r="R6" i="32"/>
  <c r="N6" i="32"/>
  <c r="O6" i="32" s="1"/>
  <c r="M6" i="32"/>
  <c r="DC3" i="32"/>
  <c r="DB3" i="32"/>
  <c r="DA3" i="32"/>
  <c r="CZ3" i="32"/>
  <c r="CY3" i="32"/>
  <c r="CX3" i="32"/>
  <c r="CW3" i="32"/>
  <c r="CV3" i="32"/>
  <c r="CU3" i="32"/>
  <c r="CT3" i="32"/>
  <c r="CS3" i="32"/>
  <c r="CR3" i="32"/>
  <c r="CQ3" i="32"/>
  <c r="CP3" i="32"/>
  <c r="CO3" i="32"/>
  <c r="CN3" i="32"/>
  <c r="CM3" i="32"/>
  <c r="CL3" i="32"/>
  <c r="CK3" i="32"/>
  <c r="CJ3" i="32"/>
  <c r="CI3" i="32"/>
  <c r="CH3" i="32"/>
  <c r="CG3" i="32"/>
  <c r="CF3" i="32"/>
  <c r="CE3" i="32"/>
  <c r="CD3" i="32"/>
  <c r="CC3" i="32"/>
  <c r="R37" i="32" l="1"/>
  <c r="AA6" i="32"/>
  <c r="BZ6" i="32" s="1"/>
  <c r="BM6" i="32"/>
  <c r="BH6" i="32"/>
  <c r="AF37" i="32"/>
  <c r="AH6" i="32"/>
  <c r="BW7" i="32"/>
  <c r="AW37" i="32"/>
  <c r="AE7" i="32"/>
  <c r="AD7" i="32"/>
  <c r="CP6" i="32"/>
  <c r="AZ37" i="32"/>
  <c r="BG6" i="32"/>
  <c r="DH6" i="32" s="1"/>
  <c r="DA6" i="32"/>
  <c r="DD6" i="32"/>
  <c r="CX6" i="32"/>
  <c r="CB6" i="32"/>
  <c r="BV6" i="32"/>
  <c r="DC6" i="32"/>
  <c r="DP6" i="32"/>
  <c r="DB6" i="32"/>
  <c r="DE6" i="32"/>
  <c r="CY6" i="32"/>
  <c r="BW6" i="32"/>
  <c r="P6" i="32"/>
  <c r="AM6" i="32"/>
  <c r="AS6" i="32"/>
  <c r="CC6" i="32" s="1"/>
  <c r="DF6" i="32"/>
  <c r="BT7" i="32"/>
  <c r="BS7" i="32"/>
  <c r="BR7" i="32"/>
  <c r="BO7" i="32"/>
  <c r="BG7" i="32"/>
  <c r="DH7" i="32" s="1"/>
  <c r="BU8" i="32"/>
  <c r="DF7" i="32"/>
  <c r="CZ7" i="32"/>
  <c r="CY7" i="32" s="1"/>
  <c r="CX7" i="32"/>
  <c r="DB7" i="32"/>
  <c r="DE7" i="32"/>
  <c r="DD7" i="32"/>
  <c r="DC7" i="32"/>
  <c r="DG7" i="32"/>
  <c r="DA7" i="32"/>
  <c r="CB7" i="32"/>
  <c r="BV7" i="32"/>
  <c r="BU7" i="32" s="1"/>
  <c r="CS7" i="32"/>
  <c r="BY6" i="32"/>
  <c r="BQ7" i="32"/>
  <c r="AC37" i="32"/>
  <c r="AK37" i="32"/>
  <c r="AQ37" i="32"/>
  <c r="BO6" i="32"/>
  <c r="CL8" i="32"/>
  <c r="AI8" i="32"/>
  <c r="T37" i="32"/>
  <c r="AG37" i="32"/>
  <c r="AN37" i="32"/>
  <c r="BB37" i="32"/>
  <c r="BR6" i="32"/>
  <c r="CV6" i="32"/>
  <c r="U37" i="32"/>
  <c r="AO37" i="32"/>
  <c r="BC37" i="32"/>
  <c r="BT6" i="32"/>
  <c r="BS6" i="32" s="1"/>
  <c r="CO6" i="32"/>
  <c r="X7" i="32"/>
  <c r="X37" i="32" s="1"/>
  <c r="CV7" i="32"/>
  <c r="CU7" i="32" s="1"/>
  <c r="V37" i="32"/>
  <c r="AB37" i="32"/>
  <c r="AJ37" i="32"/>
  <c r="AP37" i="32"/>
  <c r="BD37" i="32"/>
  <c r="DJ6" i="32"/>
  <c r="GJ6" i="32"/>
  <c r="AL7" i="32"/>
  <c r="AS7" i="32"/>
  <c r="CE7" i="32" s="1"/>
  <c r="CD7" i="32" s="1"/>
  <c r="CC7" i="32" s="1"/>
  <c r="CS8" i="32"/>
  <c r="CR8" i="32" s="1"/>
  <c r="FI79" i="23"/>
  <c r="FE61" i="23"/>
  <c r="FE60" i="23"/>
  <c r="FO40" i="23"/>
  <c r="GI37" i="23"/>
  <c r="GH37" i="23"/>
  <c r="GG37" i="23"/>
  <c r="GF37" i="23"/>
  <c r="GE37" i="23"/>
  <c r="GD37" i="23"/>
  <c r="GC37" i="23"/>
  <c r="GA37" i="23"/>
  <c r="FZ37" i="23"/>
  <c r="DR37" i="23"/>
  <c r="DM37" i="23"/>
  <c r="DK37" i="23"/>
  <c r="DI37" i="23"/>
  <c r="CW37" i="23"/>
  <c r="CT37" i="23"/>
  <c r="CQ37" i="23"/>
  <c r="CM37" i="23"/>
  <c r="CI37" i="23"/>
  <c r="CA37" i="23"/>
  <c r="BF37" i="23"/>
  <c r="BE37" i="23"/>
  <c r="BA37" i="23"/>
  <c r="Q37" i="23"/>
  <c r="L37" i="23"/>
  <c r="K37" i="23"/>
  <c r="J37" i="23"/>
  <c r="I37" i="23"/>
  <c r="H37" i="23"/>
  <c r="G37" i="23"/>
  <c r="F37" i="23"/>
  <c r="E37" i="23"/>
  <c r="D37" i="23"/>
  <c r="GJ36" i="23"/>
  <c r="FD36" i="23"/>
  <c r="DM36" i="23"/>
  <c r="DK36" i="23"/>
  <c r="DI36" i="23"/>
  <c r="CW36" i="23"/>
  <c r="CV36" i="23"/>
  <c r="CU36" i="23"/>
  <c r="CT36" i="23"/>
  <c r="CS36" i="23"/>
  <c r="CR36" i="23"/>
  <c r="CQ36" i="23"/>
  <c r="CP36" i="23"/>
  <c r="CO36" i="23"/>
  <c r="CN36" i="23"/>
  <c r="CM36" i="23"/>
  <c r="CL36" i="23"/>
  <c r="CK36" i="23"/>
  <c r="CJ36" i="23"/>
  <c r="CI36" i="23"/>
  <c r="CH36" i="23"/>
  <c r="CG36" i="23"/>
  <c r="CF36" i="23"/>
  <c r="CA36" i="23"/>
  <c r="BT36" i="23"/>
  <c r="BS36" i="23"/>
  <c r="BI36" i="23"/>
  <c r="BD36" i="23"/>
  <c r="BC36" i="23"/>
  <c r="BB36" i="23"/>
  <c r="AZ36" i="23"/>
  <c r="AY36" i="23"/>
  <c r="AX36" i="23"/>
  <c r="AW36" i="23"/>
  <c r="AV36" i="23"/>
  <c r="AU36" i="23"/>
  <c r="AT36" i="23" s="1"/>
  <c r="AS36" i="23"/>
  <c r="CE36" i="23" s="1"/>
  <c r="AR36" i="23"/>
  <c r="CD36" i="23" s="1"/>
  <c r="AP36" i="23"/>
  <c r="AN36" i="23"/>
  <c r="AM36" i="23"/>
  <c r="AK36" i="23"/>
  <c r="AJ36" i="23"/>
  <c r="AG36" i="23"/>
  <c r="AF36" i="23"/>
  <c r="AE36" i="23"/>
  <c r="AC36" i="23"/>
  <c r="AB36" i="23"/>
  <c r="Z36" i="23"/>
  <c r="Y36" i="23"/>
  <c r="X36" i="23" s="1"/>
  <c r="W36" i="23"/>
  <c r="V36" i="23"/>
  <c r="U36" i="23"/>
  <c r="T36" i="23"/>
  <c r="S36" i="23"/>
  <c r="R36" i="23"/>
  <c r="N36" i="23"/>
  <c r="BQ36" i="23" s="1"/>
  <c r="M36" i="23"/>
  <c r="GJ35" i="23"/>
  <c r="FN35" i="23"/>
  <c r="FJ35" i="23"/>
  <c r="FG35" i="23"/>
  <c r="FD35" i="23" s="1"/>
  <c r="BL35" i="23" s="1"/>
  <c r="BH35" i="23" s="1"/>
  <c r="FE35" i="23"/>
  <c r="DR35" i="23"/>
  <c r="DM35" i="23"/>
  <c r="DK35" i="23"/>
  <c r="DI35" i="23"/>
  <c r="CW35" i="23"/>
  <c r="CT35" i="23"/>
  <c r="CQ35" i="23"/>
  <c r="CO35" i="23"/>
  <c r="CN35" i="23"/>
  <c r="CM35" i="23"/>
  <c r="CI35" i="23"/>
  <c r="CA35" i="23"/>
  <c r="BO35" i="23"/>
  <c r="BD35" i="23"/>
  <c r="BG35" i="23" s="1"/>
  <c r="BC35" i="23"/>
  <c r="BB35" i="23"/>
  <c r="AZ35" i="23"/>
  <c r="AY35" i="23"/>
  <c r="AX35" i="23"/>
  <c r="AW35" i="23"/>
  <c r="AS35" i="23" s="1"/>
  <c r="CE35" i="23" s="1"/>
  <c r="AV35" i="23"/>
  <c r="AU35" i="23"/>
  <c r="AT35" i="23" s="1"/>
  <c r="AR35" i="23"/>
  <c r="CD35" i="23" s="1"/>
  <c r="AP35" i="23"/>
  <c r="AN35" i="23"/>
  <c r="AO35" i="23" s="1"/>
  <c r="AK35" i="23"/>
  <c r="AJ35" i="23"/>
  <c r="AG35" i="23"/>
  <c r="AF35" i="23"/>
  <c r="CJ35" i="23" s="1"/>
  <c r="AC35" i="23"/>
  <c r="AB35" i="23"/>
  <c r="Z35" i="23"/>
  <c r="Y35" i="23"/>
  <c r="W35" i="23"/>
  <c r="V35" i="23"/>
  <c r="U35" i="23"/>
  <c r="T35" i="23"/>
  <c r="S35" i="23"/>
  <c r="R35" i="23"/>
  <c r="N35" i="23"/>
  <c r="BS35" i="23" s="1"/>
  <c r="M35" i="23"/>
  <c r="GJ34" i="23"/>
  <c r="FJ34" i="23"/>
  <c r="FG34" i="23"/>
  <c r="FE34" i="23"/>
  <c r="FD34" i="23"/>
  <c r="BL34" i="23" s="1"/>
  <c r="DR34" i="23"/>
  <c r="DM34" i="23"/>
  <c r="DK34" i="23"/>
  <c r="DI34" i="23"/>
  <c r="CW34" i="23"/>
  <c r="CT34" i="23"/>
  <c r="CS34" i="23"/>
  <c r="CQ34" i="23"/>
  <c r="CN34" i="23"/>
  <c r="CM34" i="23"/>
  <c r="CI34" i="23"/>
  <c r="CG34" i="23"/>
  <c r="CF34" i="23" s="1"/>
  <c r="CA34" i="23"/>
  <c r="BR34" i="23"/>
  <c r="BG34" i="23"/>
  <c r="BD34" i="23"/>
  <c r="BC34" i="23"/>
  <c r="BB34" i="23"/>
  <c r="AZ34" i="23"/>
  <c r="AY34" i="23"/>
  <c r="AX34" i="23"/>
  <c r="AW34" i="23"/>
  <c r="AV34" i="23"/>
  <c r="AU34" i="23"/>
  <c r="AR34" i="23"/>
  <c r="AP34" i="23"/>
  <c r="AO34" i="23"/>
  <c r="AN34" i="23"/>
  <c r="CR34" i="23" s="1"/>
  <c r="AL34" i="23"/>
  <c r="CP34" i="23" s="1"/>
  <c r="AK34" i="23"/>
  <c r="AJ34" i="23"/>
  <c r="AG34" i="23"/>
  <c r="AF34" i="23"/>
  <c r="AC34" i="23"/>
  <c r="AB34" i="23"/>
  <c r="Z34" i="23"/>
  <c r="Y34" i="23"/>
  <c r="W34" i="23"/>
  <c r="V34" i="23"/>
  <c r="U34" i="23"/>
  <c r="T34" i="23"/>
  <c r="S34" i="23"/>
  <c r="R34" i="23"/>
  <c r="N34" i="23"/>
  <c r="BP34" i="23" s="1"/>
  <c r="M34" i="23"/>
  <c r="GJ33" i="23"/>
  <c r="FJ33" i="23"/>
  <c r="FD33" i="23" s="1"/>
  <c r="BL33" i="23" s="1"/>
  <c r="FG33" i="23"/>
  <c r="DR33" i="23"/>
  <c r="DM33" i="23"/>
  <c r="DK33" i="23"/>
  <c r="DI33" i="23"/>
  <c r="CW33" i="23"/>
  <c r="CU33" i="23"/>
  <c r="CT33" i="23"/>
  <c r="CQ33" i="23"/>
  <c r="CO33" i="23"/>
  <c r="CN33" i="23" s="1"/>
  <c r="CM33" i="23"/>
  <c r="CJ33" i="23"/>
  <c r="CI33" i="23"/>
  <c r="CG33" i="23"/>
  <c r="CF33" i="23"/>
  <c r="CA33" i="23"/>
  <c r="BT33" i="23"/>
  <c r="BR33" i="23"/>
  <c r="BQ33" i="23"/>
  <c r="BH33" i="23"/>
  <c r="BD33" i="23"/>
  <c r="BC33" i="23"/>
  <c r="BB33" i="23"/>
  <c r="AZ33" i="23"/>
  <c r="BG33" i="23" s="1"/>
  <c r="AY33" i="23"/>
  <c r="AX33" i="23"/>
  <c r="AW33" i="23"/>
  <c r="AV33" i="23"/>
  <c r="AU33" i="23"/>
  <c r="AT33" i="23"/>
  <c r="AS33" i="23"/>
  <c r="AR33" i="23"/>
  <c r="AP33" i="23"/>
  <c r="AN33" i="23"/>
  <c r="AK33" i="23"/>
  <c r="AJ33" i="23"/>
  <c r="AH33" i="23"/>
  <c r="AI33" i="23" s="1"/>
  <c r="AG33" i="23"/>
  <c r="AF33" i="23"/>
  <c r="AC33" i="23"/>
  <c r="AB33" i="23"/>
  <c r="Z33" i="23"/>
  <c r="Y33" i="23"/>
  <c r="X33" i="23" s="1"/>
  <c r="W33" i="23"/>
  <c r="V33" i="23"/>
  <c r="U33" i="23"/>
  <c r="T33" i="23"/>
  <c r="S33" i="23"/>
  <c r="R33" i="23"/>
  <c r="N33" i="23"/>
  <c r="M33" i="23"/>
  <c r="GJ32" i="23"/>
  <c r="FJ32" i="23"/>
  <c r="FG32" i="23"/>
  <c r="FD32" i="23"/>
  <c r="DM32" i="23"/>
  <c r="DK32" i="23"/>
  <c r="DI32" i="23"/>
  <c r="CW32" i="23"/>
  <c r="CU32" i="23"/>
  <c r="CT32" i="23"/>
  <c r="CR32" i="23"/>
  <c r="CQ32" i="23"/>
  <c r="CM32" i="23"/>
  <c r="CK32" i="23"/>
  <c r="CI32" i="23"/>
  <c r="CG32" i="23"/>
  <c r="CF32" i="23" s="1"/>
  <c r="CA32" i="23"/>
  <c r="BR32" i="23"/>
  <c r="BG32" i="23"/>
  <c r="BD32" i="23"/>
  <c r="BC32" i="23"/>
  <c r="BB32" i="23"/>
  <c r="AZ32" i="23"/>
  <c r="AY32" i="23"/>
  <c r="AX32" i="23"/>
  <c r="AW32" i="23"/>
  <c r="AV32" i="23"/>
  <c r="AU32" i="23"/>
  <c r="AR32" i="23"/>
  <c r="AP32" i="23"/>
  <c r="AO32" i="23"/>
  <c r="AN32" i="23"/>
  <c r="AK32" i="23"/>
  <c r="AJ32" i="23"/>
  <c r="AG32" i="23"/>
  <c r="AF32" i="23"/>
  <c r="AC32" i="23"/>
  <c r="AB32" i="23"/>
  <c r="Z32" i="23"/>
  <c r="Y32" i="23"/>
  <c r="W32" i="23"/>
  <c r="V32" i="23"/>
  <c r="U32" i="23"/>
  <c r="T32" i="23"/>
  <c r="S32" i="23"/>
  <c r="R32" i="23"/>
  <c r="N32" i="23"/>
  <c r="BP32" i="23" s="1"/>
  <c r="M32" i="23"/>
  <c r="GJ31" i="23"/>
  <c r="FJ31" i="23"/>
  <c r="FD31" i="23" s="1"/>
  <c r="FH31" i="23"/>
  <c r="FG31" i="23"/>
  <c r="DR31" i="23"/>
  <c r="DM31" i="23"/>
  <c r="DK31" i="23"/>
  <c r="DI31" i="23"/>
  <c r="CW31" i="23"/>
  <c r="CV31" i="23"/>
  <c r="CT31" i="23"/>
  <c r="CQ31" i="23"/>
  <c r="CP31" i="23"/>
  <c r="CM31" i="23"/>
  <c r="CK31" i="23"/>
  <c r="CJ31" i="23"/>
  <c r="CI31" i="23"/>
  <c r="CD31" i="23"/>
  <c r="CA31" i="23"/>
  <c r="BD31" i="23"/>
  <c r="BC31" i="23"/>
  <c r="BB31" i="23"/>
  <c r="AZ31" i="23"/>
  <c r="AY31" i="23"/>
  <c r="AX31" i="23"/>
  <c r="AW31" i="23"/>
  <c r="AV31" i="23"/>
  <c r="AU31" i="23"/>
  <c r="AT31" i="23" s="1"/>
  <c r="AR31" i="23"/>
  <c r="AS31" i="23" s="1"/>
  <c r="AQ31" i="23"/>
  <c r="AP31" i="23"/>
  <c r="AN31" i="23"/>
  <c r="AL31" i="23"/>
  <c r="AK31" i="23"/>
  <c r="AJ31" i="23"/>
  <c r="AH31" i="23"/>
  <c r="AG31" i="23"/>
  <c r="AF31" i="23"/>
  <c r="AC31" i="23"/>
  <c r="AB31" i="23"/>
  <c r="Z31" i="23"/>
  <c r="Y31" i="23"/>
  <c r="W31" i="23"/>
  <c r="V31" i="23"/>
  <c r="U31" i="23"/>
  <c r="T31" i="23"/>
  <c r="S31" i="23"/>
  <c r="R31" i="23"/>
  <c r="N31" i="23"/>
  <c r="M31" i="23"/>
  <c r="GJ30" i="23"/>
  <c r="FJ30" i="23"/>
  <c r="FG30" i="23"/>
  <c r="FD30" i="23"/>
  <c r="DR30" i="23"/>
  <c r="DM30" i="23"/>
  <c r="DK30" i="23"/>
  <c r="DI30" i="23"/>
  <c r="DF30" i="23"/>
  <c r="DE30" i="23"/>
  <c r="CZ30" i="23"/>
  <c r="CY30" i="23"/>
  <c r="CW30" i="23"/>
  <c r="CT30" i="23"/>
  <c r="CQ30" i="23"/>
  <c r="CN30" i="23"/>
  <c r="CM30" i="23"/>
  <c r="CL30" i="23"/>
  <c r="CK30" i="23"/>
  <c r="CJ30" i="23"/>
  <c r="CI30" i="23"/>
  <c r="CG30" i="23"/>
  <c r="CA30" i="23"/>
  <c r="BS30" i="23"/>
  <c r="BD30" i="23"/>
  <c r="BC30" i="23"/>
  <c r="BB30" i="23"/>
  <c r="BG30" i="23" s="1"/>
  <c r="AZ30" i="23"/>
  <c r="AY30" i="23"/>
  <c r="AX30" i="23"/>
  <c r="AW30" i="23"/>
  <c r="AV30" i="23"/>
  <c r="AU30" i="23"/>
  <c r="AR30" i="23"/>
  <c r="CD30" i="23" s="1"/>
  <c r="AP30" i="23"/>
  <c r="AO30" i="23"/>
  <c r="AN30" i="23"/>
  <c r="AK30" i="23"/>
  <c r="AJ30" i="23"/>
  <c r="AG30" i="23"/>
  <c r="AC30" i="23"/>
  <c r="AB30" i="23"/>
  <c r="Z30" i="23"/>
  <c r="BT30" i="23" s="1"/>
  <c r="Y30" i="23"/>
  <c r="W30" i="23"/>
  <c r="V30" i="23"/>
  <c r="U30" i="23"/>
  <c r="T30" i="23"/>
  <c r="S30" i="23"/>
  <c r="R30" i="23"/>
  <c r="O30" i="23"/>
  <c r="N30" i="23"/>
  <c r="BQ30" i="23" s="1"/>
  <c r="M30" i="23"/>
  <c r="GJ29" i="23"/>
  <c r="FJ29" i="23"/>
  <c r="FG29" i="23"/>
  <c r="FD29" i="23"/>
  <c r="BL29" i="23" s="1"/>
  <c r="BH29" i="23" s="1"/>
  <c r="DX29" i="23"/>
  <c r="AF30" i="23" s="1"/>
  <c r="DR29" i="23"/>
  <c r="DM29" i="23"/>
  <c r="DK29" i="23"/>
  <c r="DI29" i="23"/>
  <c r="CW29" i="23"/>
  <c r="CU29" i="23"/>
  <c r="CT29" i="23"/>
  <c r="CS29" i="23"/>
  <c r="CR29" i="23"/>
  <c r="CQ29" i="23"/>
  <c r="CO29" i="23"/>
  <c r="CM29" i="23"/>
  <c r="CJ29" i="23"/>
  <c r="CI29" i="23"/>
  <c r="CH29" i="23"/>
  <c r="CG29" i="23"/>
  <c r="CF29" i="23"/>
  <c r="CA29" i="23"/>
  <c r="BD29" i="23"/>
  <c r="BG29" i="23" s="1"/>
  <c r="BC29" i="23"/>
  <c r="BB29" i="23"/>
  <c r="AZ29" i="23"/>
  <c r="AY29" i="23"/>
  <c r="AX29" i="23"/>
  <c r="AW29" i="23"/>
  <c r="AV29" i="23"/>
  <c r="AU29" i="23"/>
  <c r="AR29" i="23"/>
  <c r="AT29" i="23" s="1"/>
  <c r="AQ29" i="23"/>
  <c r="AP29" i="23"/>
  <c r="AN29" i="23"/>
  <c r="AK29" i="23"/>
  <c r="AJ29" i="23"/>
  <c r="AG29" i="23"/>
  <c r="AF29" i="23"/>
  <c r="AC29" i="23"/>
  <c r="AB29" i="23"/>
  <c r="Z29" i="23"/>
  <c r="Y29" i="23"/>
  <c r="W29" i="23"/>
  <c r="V29" i="23"/>
  <c r="X29" i="23" s="1"/>
  <c r="U29" i="23"/>
  <c r="T29" i="23"/>
  <c r="S29" i="23"/>
  <c r="R29" i="23"/>
  <c r="AA29" i="23" s="1"/>
  <c r="N29" i="23"/>
  <c r="BT29" i="23" s="1"/>
  <c r="M29" i="23"/>
  <c r="GJ28" i="23"/>
  <c r="FJ28" i="23"/>
  <c r="FG28" i="23"/>
  <c r="FD28" i="23"/>
  <c r="BL28" i="23" s="1"/>
  <c r="ED28" i="23"/>
  <c r="DV28" i="23"/>
  <c r="DU28" i="23"/>
  <c r="DR28" i="23"/>
  <c r="DM28" i="23"/>
  <c r="DK28" i="23"/>
  <c r="DI28" i="23"/>
  <c r="CW28" i="23"/>
  <c r="CT28" i="23"/>
  <c r="CS28" i="23"/>
  <c r="CR28" i="23"/>
  <c r="CQ28" i="23"/>
  <c r="CN28" i="23"/>
  <c r="CM28" i="23"/>
  <c r="CJ28" i="23"/>
  <c r="CI28" i="23"/>
  <c r="CG28" i="23"/>
  <c r="CA28" i="23"/>
  <c r="BO28" i="23"/>
  <c r="BD28" i="23"/>
  <c r="BC28" i="23"/>
  <c r="BB28" i="23"/>
  <c r="BG28" i="23" s="1"/>
  <c r="AZ28" i="23"/>
  <c r="AY28" i="23"/>
  <c r="AX28" i="23"/>
  <c r="AW28" i="23"/>
  <c r="AV28" i="23"/>
  <c r="AU28" i="23"/>
  <c r="AR28" i="23"/>
  <c r="AS28" i="23" s="1"/>
  <c r="AP28" i="23"/>
  <c r="AN28" i="23"/>
  <c r="AK28" i="23"/>
  <c r="AJ28" i="23"/>
  <c r="AI28" i="23"/>
  <c r="AH28" i="23"/>
  <c r="AG28" i="23"/>
  <c r="AF28" i="23"/>
  <c r="AC28" i="23"/>
  <c r="AB28" i="23"/>
  <c r="Z28" i="23"/>
  <c r="Y28" i="23"/>
  <c r="X28" i="23" s="1"/>
  <c r="W28" i="23"/>
  <c r="V28" i="23"/>
  <c r="U28" i="23"/>
  <c r="T28" i="23"/>
  <c r="S28" i="23"/>
  <c r="R28" i="23"/>
  <c r="N28" i="23"/>
  <c r="BP28" i="23" s="1"/>
  <c r="M28" i="23"/>
  <c r="GJ27" i="23"/>
  <c r="FJ27" i="23"/>
  <c r="FG27" i="23"/>
  <c r="FD27" i="23" s="1"/>
  <c r="BL27" i="23" s="1"/>
  <c r="EF27" i="23"/>
  <c r="EF28" i="23" s="1"/>
  <c r="AO28" i="23" s="1"/>
  <c r="DR27" i="23"/>
  <c r="DM27" i="23"/>
  <c r="DK27" i="23"/>
  <c r="DI27" i="23"/>
  <c r="CW27" i="23"/>
  <c r="CV27" i="23"/>
  <c r="CU27" i="23"/>
  <c r="CT27" i="23"/>
  <c r="CS27" i="23"/>
  <c r="CR27" i="23"/>
  <c r="CQ27" i="23"/>
  <c r="CM27" i="23"/>
  <c r="CK27" i="23"/>
  <c r="CJ27" i="23"/>
  <c r="CI27" i="23"/>
  <c r="CA27" i="23"/>
  <c r="BD27" i="23"/>
  <c r="BG27" i="23" s="1"/>
  <c r="BC27" i="23"/>
  <c r="BB27" i="23"/>
  <c r="AZ27" i="23"/>
  <c r="AY27" i="23"/>
  <c r="AX27" i="23"/>
  <c r="AW27" i="23"/>
  <c r="AV27" i="23"/>
  <c r="AU27" i="23"/>
  <c r="AR27" i="23"/>
  <c r="CD27" i="23" s="1"/>
  <c r="AQ27" i="23"/>
  <c r="AP27" i="23"/>
  <c r="AN27" i="23"/>
  <c r="AK27" i="23"/>
  <c r="AJ27" i="23"/>
  <c r="AH27" i="23"/>
  <c r="CL27" i="23" s="1"/>
  <c r="AG27" i="23"/>
  <c r="AF27" i="23"/>
  <c r="AC27" i="23"/>
  <c r="AB27" i="23"/>
  <c r="Z27" i="23"/>
  <c r="Y27" i="23"/>
  <c r="W27" i="23"/>
  <c r="V27" i="23"/>
  <c r="U27" i="23"/>
  <c r="T27" i="23"/>
  <c r="S27" i="23"/>
  <c r="R27" i="23"/>
  <c r="N27" i="23"/>
  <c r="M27" i="23"/>
  <c r="GJ26" i="23"/>
  <c r="FJ26" i="23"/>
  <c r="FG26" i="23"/>
  <c r="FE26" i="23"/>
  <c r="FD26" i="23"/>
  <c r="DR26" i="23"/>
  <c r="DM26" i="23"/>
  <c r="DK26" i="23"/>
  <c r="DI26" i="23"/>
  <c r="CW26" i="23"/>
  <c r="CT26" i="23"/>
  <c r="CQ26" i="23"/>
  <c r="CN26" i="23"/>
  <c r="CM26" i="23"/>
  <c r="CK26" i="23"/>
  <c r="CI26" i="23"/>
  <c r="CG26" i="23"/>
  <c r="CF26" i="23" s="1"/>
  <c r="CE26" i="23" s="1"/>
  <c r="CA26" i="23"/>
  <c r="BS26" i="23"/>
  <c r="BO26" i="23"/>
  <c r="BD26" i="23"/>
  <c r="BC26" i="23"/>
  <c r="BB26" i="23"/>
  <c r="AZ26" i="23"/>
  <c r="AY26" i="23"/>
  <c r="AX26" i="23"/>
  <c r="AW26" i="23"/>
  <c r="AV26" i="23"/>
  <c r="AU26" i="23"/>
  <c r="AT26" i="23"/>
  <c r="AS26" i="23"/>
  <c r="AR26" i="23"/>
  <c r="CD26" i="23" s="1"/>
  <c r="AP26" i="23"/>
  <c r="AN26" i="23"/>
  <c r="AK26" i="23"/>
  <c r="AJ26" i="23"/>
  <c r="AG26" i="23"/>
  <c r="AF26" i="23"/>
  <c r="AC26" i="23"/>
  <c r="AB26" i="23"/>
  <c r="Z26" i="23"/>
  <c r="Y26" i="23"/>
  <c r="W26" i="23"/>
  <c r="V26" i="23"/>
  <c r="X26" i="23" s="1"/>
  <c r="U26" i="23"/>
  <c r="T26" i="23"/>
  <c r="S26" i="23"/>
  <c r="R26" i="23"/>
  <c r="O26" i="23"/>
  <c r="N26" i="23"/>
  <c r="BP26" i="23" s="1"/>
  <c r="M26" i="23"/>
  <c r="GJ25" i="23"/>
  <c r="FJ25" i="23"/>
  <c r="FG25" i="23"/>
  <c r="FE25" i="23"/>
  <c r="FD25" i="23" s="1"/>
  <c r="DR25" i="23"/>
  <c r="DM25" i="23"/>
  <c r="DK25" i="23"/>
  <c r="DI25" i="23"/>
  <c r="CW25" i="23"/>
  <c r="CT25" i="23"/>
  <c r="CQ25" i="23"/>
  <c r="CM25" i="23"/>
  <c r="CK25" i="23"/>
  <c r="CI25" i="23"/>
  <c r="CG25" i="23"/>
  <c r="CA25" i="23"/>
  <c r="BT25" i="23"/>
  <c r="BR25" i="23"/>
  <c r="BD25" i="23"/>
  <c r="BC25" i="23"/>
  <c r="BB25" i="23"/>
  <c r="AZ25" i="23"/>
  <c r="AY25" i="23"/>
  <c r="AX25" i="23"/>
  <c r="AW25" i="23"/>
  <c r="AS25" i="23" s="1"/>
  <c r="AV25" i="23"/>
  <c r="AU25" i="23"/>
  <c r="AT25" i="23"/>
  <c r="AR25" i="23"/>
  <c r="AQ25" i="23"/>
  <c r="AP25" i="23"/>
  <c r="AN25" i="23"/>
  <c r="AK25" i="23"/>
  <c r="AJ25" i="23"/>
  <c r="AG25" i="23"/>
  <c r="AF25" i="23"/>
  <c r="AC25" i="23"/>
  <c r="AB25" i="23"/>
  <c r="Z25" i="23"/>
  <c r="Y25" i="23"/>
  <c r="X25" i="23" s="1"/>
  <c r="W25" i="23"/>
  <c r="V25" i="23"/>
  <c r="U25" i="23"/>
  <c r="T25" i="23"/>
  <c r="S25" i="23"/>
  <c r="R25" i="23"/>
  <c r="N25" i="23"/>
  <c r="M25" i="23"/>
  <c r="GJ24" i="23"/>
  <c r="FJ24" i="23"/>
  <c r="FG24" i="23"/>
  <c r="FE24" i="23"/>
  <c r="FD24" i="23" s="1"/>
  <c r="BL24" i="23" s="1"/>
  <c r="BH24" i="23" s="1"/>
  <c r="DR24" i="23"/>
  <c r="DM24" i="23"/>
  <c r="DK24" i="23"/>
  <c r="DJ24" i="23"/>
  <c r="DI24" i="23"/>
  <c r="CW24" i="23"/>
  <c r="CT24" i="23"/>
  <c r="CR24" i="23"/>
  <c r="CQ24" i="23"/>
  <c r="CO24" i="23"/>
  <c r="CM24" i="23"/>
  <c r="CK24" i="23"/>
  <c r="CJ24" i="23"/>
  <c r="CI24" i="23"/>
  <c r="CA24" i="23"/>
  <c r="BX24" i="23"/>
  <c r="BW24" i="23"/>
  <c r="BT24" i="23"/>
  <c r="BQ24" i="23"/>
  <c r="BP24" i="23"/>
  <c r="BD24" i="23"/>
  <c r="BG24" i="23" s="1"/>
  <c r="BC24" i="23"/>
  <c r="BB24" i="23"/>
  <c r="AZ24" i="23"/>
  <c r="AY24" i="23"/>
  <c r="AX24" i="23"/>
  <c r="AW24" i="23"/>
  <c r="AV24" i="23"/>
  <c r="AU24" i="23"/>
  <c r="AR24" i="23"/>
  <c r="AP24" i="23"/>
  <c r="AN24" i="23"/>
  <c r="AK24" i="23"/>
  <c r="AJ24" i="23"/>
  <c r="AG24" i="23"/>
  <c r="AF24" i="23"/>
  <c r="AD24" i="23"/>
  <c r="AC24" i="23"/>
  <c r="AB24" i="23"/>
  <c r="Z24" i="23"/>
  <c r="Y24" i="23"/>
  <c r="W24" i="23"/>
  <c r="V24" i="23"/>
  <c r="U24" i="23"/>
  <c r="T24" i="23"/>
  <c r="S24" i="23"/>
  <c r="R24" i="23"/>
  <c r="O24" i="23"/>
  <c r="N24" i="23"/>
  <c r="BS24" i="23" s="1"/>
  <c r="M24" i="23"/>
  <c r="GJ23" i="23"/>
  <c r="FJ23" i="23"/>
  <c r="FG23" i="23"/>
  <c r="FE23" i="23"/>
  <c r="FD23" i="23" s="1"/>
  <c r="BL23" i="23" s="1"/>
  <c r="BH23" i="23" s="1"/>
  <c r="DR23" i="23"/>
  <c r="DM23" i="23"/>
  <c r="DK23" i="23"/>
  <c r="DI23" i="23"/>
  <c r="CW23" i="23"/>
  <c r="CT23" i="23"/>
  <c r="CQ23" i="23"/>
  <c r="CN23" i="23"/>
  <c r="CM23" i="23"/>
  <c r="CJ23" i="23"/>
  <c r="CI23" i="23"/>
  <c r="CG23" i="23"/>
  <c r="CF23" i="23"/>
  <c r="CA23" i="23"/>
  <c r="BS23" i="23"/>
  <c r="BR23" i="23"/>
  <c r="BD23" i="23"/>
  <c r="BC23" i="23"/>
  <c r="BB23" i="23"/>
  <c r="AZ23" i="23"/>
  <c r="AY23" i="23"/>
  <c r="AX23" i="23"/>
  <c r="AW23" i="23"/>
  <c r="AV23" i="23"/>
  <c r="AU23" i="23"/>
  <c r="AT23" i="23"/>
  <c r="AR23" i="23"/>
  <c r="CD23" i="23" s="1"/>
  <c r="AQ23" i="23"/>
  <c r="AP23" i="23"/>
  <c r="AN23" i="23"/>
  <c r="AK23" i="23"/>
  <c r="AJ23" i="23"/>
  <c r="AH23" i="23"/>
  <c r="AG23" i="23"/>
  <c r="AF23" i="23"/>
  <c r="AC23" i="23"/>
  <c r="AB23" i="23"/>
  <c r="Z23" i="23"/>
  <c r="Y23" i="23"/>
  <c r="W23" i="23"/>
  <c r="V23" i="23"/>
  <c r="U23" i="23"/>
  <c r="T23" i="23"/>
  <c r="S23" i="23"/>
  <c r="BP23" i="23" s="1"/>
  <c r="R23" i="23"/>
  <c r="N23" i="23"/>
  <c r="BO23" i="23" s="1"/>
  <c r="M23" i="23"/>
  <c r="GJ22" i="23"/>
  <c r="FJ22" i="23"/>
  <c r="FG22" i="23"/>
  <c r="FE22" i="23"/>
  <c r="DR22" i="23"/>
  <c r="DM22" i="23"/>
  <c r="DK22" i="23"/>
  <c r="DI22" i="23"/>
  <c r="CW22" i="23"/>
  <c r="CT22" i="23"/>
  <c r="CQ22" i="23"/>
  <c r="CN22" i="23"/>
  <c r="CM22" i="23"/>
  <c r="CL22" i="23"/>
  <c r="CK22" i="23"/>
  <c r="CJ22" i="23"/>
  <c r="CI22" i="23"/>
  <c r="CD22" i="23"/>
  <c r="CA22" i="23"/>
  <c r="BD22" i="23"/>
  <c r="BC22" i="23"/>
  <c r="BB22" i="23"/>
  <c r="AZ22" i="23"/>
  <c r="AY22" i="23"/>
  <c r="AX22" i="23"/>
  <c r="AW22" i="23"/>
  <c r="AV22" i="23"/>
  <c r="AU22" i="23"/>
  <c r="AS22" i="23" s="1"/>
  <c r="AR22" i="23"/>
  <c r="AT22" i="23" s="1"/>
  <c r="AP22" i="23"/>
  <c r="AO22" i="23"/>
  <c r="AN22" i="23"/>
  <c r="AK22" i="23"/>
  <c r="AJ22" i="23"/>
  <c r="AH22" i="23"/>
  <c r="AI22" i="23" s="1"/>
  <c r="AG22" i="23"/>
  <c r="AF22" i="23"/>
  <c r="AC22" i="23"/>
  <c r="AB22" i="23"/>
  <c r="Z22" i="23"/>
  <c r="Y22" i="23"/>
  <c r="W22" i="23"/>
  <c r="V22" i="23"/>
  <c r="U22" i="23"/>
  <c r="T22" i="23"/>
  <c r="S22" i="23"/>
  <c r="R22" i="23"/>
  <c r="N22" i="23"/>
  <c r="M22" i="23"/>
  <c r="GJ21" i="23"/>
  <c r="FJ21" i="23"/>
  <c r="FG21" i="23"/>
  <c r="FD21" i="23"/>
  <c r="BL21" i="23" s="1"/>
  <c r="DR21" i="23"/>
  <c r="DM21" i="23"/>
  <c r="DK21" i="23"/>
  <c r="DI21" i="23"/>
  <c r="CW21" i="23"/>
  <c r="CT21" i="23"/>
  <c r="CS21" i="23"/>
  <c r="CR21" i="23"/>
  <c r="CQ21" i="23"/>
  <c r="CM21" i="23"/>
  <c r="CJ21" i="23"/>
  <c r="CI21" i="23"/>
  <c r="CG21" i="23"/>
  <c r="CF21" i="23"/>
  <c r="CA21" i="23"/>
  <c r="BR21" i="23"/>
  <c r="BQ21" i="23"/>
  <c r="BH21" i="23"/>
  <c r="BG21" i="23"/>
  <c r="BD21" i="23"/>
  <c r="BC21" i="23"/>
  <c r="BB21" i="23"/>
  <c r="AZ21" i="23"/>
  <c r="AY21" i="23"/>
  <c r="AX21" i="23"/>
  <c r="AW21" i="23"/>
  <c r="AV21" i="23"/>
  <c r="AU21" i="23"/>
  <c r="AR21" i="23"/>
  <c r="AT21" i="23" s="1"/>
  <c r="AP21" i="23"/>
  <c r="AO21" i="23"/>
  <c r="AN21" i="23"/>
  <c r="AK21" i="23"/>
  <c r="AJ21" i="23"/>
  <c r="AG21" i="23"/>
  <c r="AF21" i="23"/>
  <c r="AD21" i="23"/>
  <c r="AE21" i="23" s="1"/>
  <c r="AC21" i="23"/>
  <c r="AB21" i="23"/>
  <c r="Z21" i="23"/>
  <c r="Y21" i="23"/>
  <c r="X21" i="23" s="1"/>
  <c r="W21" i="23"/>
  <c r="V21" i="23"/>
  <c r="U21" i="23"/>
  <c r="T21" i="23"/>
  <c r="S21" i="23"/>
  <c r="R21" i="23"/>
  <c r="N21" i="23"/>
  <c r="BO21" i="23" s="1"/>
  <c r="M21" i="23"/>
  <c r="GJ20" i="23"/>
  <c r="FJ20" i="23"/>
  <c r="FG20" i="23"/>
  <c r="DR20" i="23"/>
  <c r="DM20" i="23"/>
  <c r="DK20" i="23"/>
  <c r="DI20" i="23"/>
  <c r="CW20" i="23"/>
  <c r="CU20" i="23"/>
  <c r="CT20" i="23"/>
  <c r="CS20" i="23"/>
  <c r="CR20" i="23"/>
  <c r="CQ20" i="23"/>
  <c r="CO20" i="23"/>
  <c r="CN20" i="23"/>
  <c r="CM20" i="23"/>
  <c r="CI20" i="23"/>
  <c r="CA20" i="23"/>
  <c r="BT20" i="23"/>
  <c r="BD20" i="23"/>
  <c r="BG20" i="23" s="1"/>
  <c r="BC20" i="23"/>
  <c r="BB20" i="23"/>
  <c r="AZ20" i="23"/>
  <c r="AY20" i="23"/>
  <c r="AX20" i="23"/>
  <c r="AW20" i="23"/>
  <c r="AV20" i="23"/>
  <c r="AU20" i="23"/>
  <c r="AR20" i="23"/>
  <c r="AQ20" i="23"/>
  <c r="AP20" i="23"/>
  <c r="AO20" i="23"/>
  <c r="AN20" i="23"/>
  <c r="AK20" i="23"/>
  <c r="AJ20" i="23"/>
  <c r="AH20" i="23"/>
  <c r="CL20" i="23" s="1"/>
  <c r="AG20" i="23"/>
  <c r="AF20" i="23"/>
  <c r="AE20" i="23"/>
  <c r="AD20" i="23"/>
  <c r="AC20" i="23"/>
  <c r="AB20" i="23"/>
  <c r="Z20" i="23"/>
  <c r="Y20" i="23"/>
  <c r="X20" i="23" s="1"/>
  <c r="W20" i="23"/>
  <c r="V20" i="23"/>
  <c r="U20" i="23"/>
  <c r="T20" i="23"/>
  <c r="S20" i="23"/>
  <c r="R20" i="23"/>
  <c r="N20" i="23"/>
  <c r="BR20" i="23" s="1"/>
  <c r="M20" i="23"/>
  <c r="GJ19" i="23"/>
  <c r="FJ19" i="23"/>
  <c r="FD19" i="23"/>
  <c r="BL19" i="23" s="1"/>
  <c r="DR19" i="23"/>
  <c r="DM19" i="23"/>
  <c r="DK19" i="23"/>
  <c r="DI19" i="23"/>
  <c r="CW19" i="23"/>
  <c r="CT19" i="23"/>
  <c r="CS19" i="23"/>
  <c r="CR19" i="23"/>
  <c r="CQ19" i="23"/>
  <c r="CN19" i="23"/>
  <c r="CM19" i="23"/>
  <c r="CL19" i="23"/>
  <c r="CK19" i="23"/>
  <c r="CJ19" i="23"/>
  <c r="CI19" i="23"/>
  <c r="CG19" i="23"/>
  <c r="CF19" i="23" s="1"/>
  <c r="CD19" i="23"/>
  <c r="CA19" i="23"/>
  <c r="BR19" i="23"/>
  <c r="BQ19" i="23"/>
  <c r="BO19" i="23"/>
  <c r="BD19" i="23"/>
  <c r="BC19" i="23"/>
  <c r="BB19" i="23"/>
  <c r="AZ19" i="23"/>
  <c r="AY19" i="23"/>
  <c r="AX19" i="23"/>
  <c r="AW19" i="23"/>
  <c r="AV19" i="23"/>
  <c r="AU19" i="23"/>
  <c r="AT19" i="23" s="1"/>
  <c r="AR19" i="23"/>
  <c r="AQ19" i="23"/>
  <c r="AP19" i="23"/>
  <c r="AN19" i="23"/>
  <c r="AK19" i="23"/>
  <c r="AJ19" i="23"/>
  <c r="AH19" i="23"/>
  <c r="AG19" i="23"/>
  <c r="AD19" i="23"/>
  <c r="AE19" i="23" s="1"/>
  <c r="AC19" i="23"/>
  <c r="AB19" i="23"/>
  <c r="Z19" i="23"/>
  <c r="Y19" i="23"/>
  <c r="W19" i="23"/>
  <c r="V19" i="23"/>
  <c r="U19" i="23"/>
  <c r="T19" i="23"/>
  <c r="S19" i="23"/>
  <c r="AA19" i="23" s="1"/>
  <c r="R19" i="23"/>
  <c r="N19" i="23"/>
  <c r="BT19" i="23" s="1"/>
  <c r="M19" i="23"/>
  <c r="GJ18" i="23"/>
  <c r="FD18" i="23"/>
  <c r="BL18" i="23" s="1"/>
  <c r="DR18" i="23"/>
  <c r="DM18" i="23"/>
  <c r="DK18" i="23"/>
  <c r="DI18" i="23"/>
  <c r="CW18" i="23"/>
  <c r="CT18" i="23"/>
  <c r="CS18" i="23"/>
  <c r="CR18" i="23"/>
  <c r="CQ18" i="23"/>
  <c r="CN18" i="23"/>
  <c r="CM18" i="23"/>
  <c r="CL18" i="23"/>
  <c r="CK18" i="23"/>
  <c r="CJ18" i="23"/>
  <c r="CI18" i="23"/>
  <c r="CG18" i="23"/>
  <c r="CD18" i="23"/>
  <c r="CA18" i="23"/>
  <c r="BI18" i="23"/>
  <c r="BD18" i="23"/>
  <c r="BC18" i="23"/>
  <c r="BB18" i="23"/>
  <c r="AZ18" i="23"/>
  <c r="BG18" i="23" s="1"/>
  <c r="AY18" i="23"/>
  <c r="AX18" i="23"/>
  <c r="AW18" i="23"/>
  <c r="AV18" i="23"/>
  <c r="AU18" i="23"/>
  <c r="AT18" i="23" s="1"/>
  <c r="AR18" i="23"/>
  <c r="AQ18" i="23"/>
  <c r="AP18" i="23"/>
  <c r="AN18" i="23"/>
  <c r="AK18" i="23"/>
  <c r="AJ18" i="23"/>
  <c r="AH18" i="23"/>
  <c r="AG18" i="23"/>
  <c r="AF18" i="23"/>
  <c r="AC18" i="23"/>
  <c r="AB18" i="23"/>
  <c r="Z18" i="23"/>
  <c r="Y18" i="23"/>
  <c r="X18" i="23" s="1"/>
  <c r="W18" i="23"/>
  <c r="V18" i="23"/>
  <c r="U18" i="23"/>
  <c r="T18" i="23"/>
  <c r="S18" i="23"/>
  <c r="R18" i="23"/>
  <c r="N18" i="23"/>
  <c r="M18" i="23"/>
  <c r="GJ17" i="23"/>
  <c r="FJ17" i="23"/>
  <c r="FG17" i="23"/>
  <c r="DR17" i="23"/>
  <c r="DM17" i="23"/>
  <c r="DK17" i="23"/>
  <c r="DI17" i="23"/>
  <c r="DG17" i="23"/>
  <c r="DD17" i="23"/>
  <c r="DC17" i="23"/>
  <c r="CW17" i="23"/>
  <c r="CV17" i="23"/>
  <c r="CU17" i="23"/>
  <c r="CT17" i="23"/>
  <c r="CS17" i="23"/>
  <c r="CR17" i="23"/>
  <c r="CQ17" i="23"/>
  <c r="CO17" i="23"/>
  <c r="CM17" i="23"/>
  <c r="CI17" i="23"/>
  <c r="CH17" i="23"/>
  <c r="CG17" i="23"/>
  <c r="CF17" i="23"/>
  <c r="CD17" i="23"/>
  <c r="CA17" i="23"/>
  <c r="BY17" i="23"/>
  <c r="BV17" i="23"/>
  <c r="BR17" i="23"/>
  <c r="BO17" i="23"/>
  <c r="BG17" i="23"/>
  <c r="BD17" i="23"/>
  <c r="BC17" i="23"/>
  <c r="BB17" i="23"/>
  <c r="AZ17" i="23"/>
  <c r="AY17" i="23"/>
  <c r="AX17" i="23"/>
  <c r="DA17" i="23" s="1"/>
  <c r="AW17" i="23"/>
  <c r="AV17" i="23"/>
  <c r="AU17" i="23"/>
  <c r="CX17" i="23" s="1"/>
  <c r="AR17" i="23"/>
  <c r="AS17" i="23" s="1"/>
  <c r="AQ17" i="23"/>
  <c r="AP17" i="23"/>
  <c r="AO17" i="23"/>
  <c r="AN17" i="23"/>
  <c r="AK17" i="23"/>
  <c r="AJ17" i="23"/>
  <c r="AG17" i="23"/>
  <c r="AF17" i="23"/>
  <c r="AD17" i="23"/>
  <c r="AE17" i="23" s="1"/>
  <c r="AC17" i="23"/>
  <c r="AB17" i="23"/>
  <c r="Z17" i="23"/>
  <c r="BT17" i="23" s="1"/>
  <c r="Y17" i="23"/>
  <c r="W17" i="23"/>
  <c r="V17" i="23"/>
  <c r="U17" i="23"/>
  <c r="T17" i="23"/>
  <c r="S17" i="23"/>
  <c r="BP17" i="23" s="1"/>
  <c r="R17" i="23"/>
  <c r="O17" i="23"/>
  <c r="DF17" i="23" s="1"/>
  <c r="N17" i="23"/>
  <c r="BS17" i="23" s="1"/>
  <c r="M17" i="23"/>
  <c r="GJ16" i="23"/>
  <c r="FJ16" i="23"/>
  <c r="FG16" i="23"/>
  <c r="FE16" i="23"/>
  <c r="DM16" i="23"/>
  <c r="DK16" i="23"/>
  <c r="DI16" i="23"/>
  <c r="DA16" i="23"/>
  <c r="CW16" i="23"/>
  <c r="CV16" i="23"/>
  <c r="CU16" i="23"/>
  <c r="CT16" i="23"/>
  <c r="CS16" i="23"/>
  <c r="CR16" i="23"/>
  <c r="CQ16" i="23"/>
  <c r="CO16" i="23"/>
  <c r="CM16" i="23"/>
  <c r="CJ16" i="23"/>
  <c r="CI16" i="23"/>
  <c r="CH16" i="23"/>
  <c r="CG16" i="23"/>
  <c r="CF16" i="23"/>
  <c r="CA16" i="23"/>
  <c r="BT16" i="23"/>
  <c r="BO16" i="23"/>
  <c r="BD16" i="23"/>
  <c r="BC16" i="23"/>
  <c r="BB16" i="23"/>
  <c r="AZ16" i="23"/>
  <c r="AY16" i="23"/>
  <c r="AX16" i="23"/>
  <c r="AW16" i="23"/>
  <c r="AV16" i="23"/>
  <c r="AU16" i="23"/>
  <c r="AS16" i="23"/>
  <c r="AR16" i="23"/>
  <c r="AT16" i="23" s="1"/>
  <c r="AP16" i="23"/>
  <c r="AO16" i="23"/>
  <c r="AN16" i="23"/>
  <c r="AK16" i="23"/>
  <c r="AJ16" i="23"/>
  <c r="AG16" i="23"/>
  <c r="AF16" i="23"/>
  <c r="AD16" i="23"/>
  <c r="AC16" i="23"/>
  <c r="AB16" i="23"/>
  <c r="Z16" i="23"/>
  <c r="Y16" i="23"/>
  <c r="W16" i="23"/>
  <c r="V16" i="23"/>
  <c r="BR16" i="23" s="1"/>
  <c r="U16" i="23"/>
  <c r="T16" i="23"/>
  <c r="AA16" i="23" s="1"/>
  <c r="S16" i="23"/>
  <c r="R16" i="23"/>
  <c r="O16" i="23"/>
  <c r="N16" i="23"/>
  <c r="BQ16" i="23" s="1"/>
  <c r="M16" i="23"/>
  <c r="GJ15" i="23"/>
  <c r="FJ15" i="23"/>
  <c r="FG15" i="23"/>
  <c r="FE15" i="23"/>
  <c r="FD15" i="23" s="1"/>
  <c r="DR15" i="23"/>
  <c r="DM15" i="23"/>
  <c r="DK15" i="23"/>
  <c r="DI15" i="23"/>
  <c r="DG15" i="23"/>
  <c r="CZ15" i="23"/>
  <c r="CX15" i="23"/>
  <c r="CW15" i="23"/>
  <c r="CT15" i="23"/>
  <c r="CS15" i="23"/>
  <c r="CR15" i="23"/>
  <c r="CQ15" i="23"/>
  <c r="CO15" i="23"/>
  <c r="CM15" i="23"/>
  <c r="CL15" i="23"/>
  <c r="CK15" i="23"/>
  <c r="CJ15" i="23"/>
  <c r="CI15" i="23"/>
  <c r="CH15" i="23"/>
  <c r="CG15" i="23"/>
  <c r="CF15" i="23"/>
  <c r="CB15" i="23"/>
  <c r="CA15" i="23"/>
  <c r="BY15" i="23"/>
  <c r="BR15" i="23"/>
  <c r="BO15" i="23"/>
  <c r="BD15" i="23"/>
  <c r="BC15" i="23"/>
  <c r="BB15" i="23"/>
  <c r="AZ15" i="23"/>
  <c r="AY15" i="23"/>
  <c r="AX15" i="23"/>
  <c r="AW15" i="23"/>
  <c r="AV15" i="23"/>
  <c r="AU15" i="23"/>
  <c r="AS15" i="23"/>
  <c r="AR15" i="23"/>
  <c r="CD15" i="23" s="1"/>
  <c r="AP15" i="23"/>
  <c r="CU15" i="23" s="1"/>
  <c r="AO15" i="23"/>
  <c r="AN15" i="23"/>
  <c r="AK15" i="23"/>
  <c r="AJ15" i="23"/>
  <c r="AL15" i="23" s="1"/>
  <c r="CP15" i="23" s="1"/>
  <c r="AI15" i="23"/>
  <c r="AH15" i="23"/>
  <c r="AG15" i="23"/>
  <c r="AC15" i="23"/>
  <c r="AB15" i="23"/>
  <c r="Z15" i="23"/>
  <c r="Y15" i="23"/>
  <c r="W15" i="23"/>
  <c r="V15" i="23"/>
  <c r="U15" i="23"/>
  <c r="T15" i="23"/>
  <c r="S15" i="23"/>
  <c r="AA15" i="23" s="1"/>
  <c r="R15" i="23"/>
  <c r="O15" i="23"/>
  <c r="N15" i="23"/>
  <c r="M15" i="23"/>
  <c r="GJ14" i="23"/>
  <c r="FJ14" i="23"/>
  <c r="FG14" i="23"/>
  <c r="FE14" i="23"/>
  <c r="FD14" i="23" s="1"/>
  <c r="BL14" i="23" s="1"/>
  <c r="DR14" i="23"/>
  <c r="DM14" i="23"/>
  <c r="DK14" i="23"/>
  <c r="DI14" i="23"/>
  <c r="CW14" i="23"/>
  <c r="CT14" i="23"/>
  <c r="CS14" i="23"/>
  <c r="CR14" i="23"/>
  <c r="CQ14" i="23"/>
  <c r="CN14" i="23"/>
  <c r="CM14" i="23"/>
  <c r="CI14" i="23"/>
  <c r="CA14" i="23"/>
  <c r="BS14" i="23"/>
  <c r="BR14" i="23"/>
  <c r="BP14" i="23"/>
  <c r="BD14" i="23"/>
  <c r="BC14" i="23"/>
  <c r="BB14" i="23"/>
  <c r="AZ14" i="23"/>
  <c r="AY14" i="23"/>
  <c r="AY37" i="23" s="1"/>
  <c r="AX14" i="23"/>
  <c r="AW14" i="23"/>
  <c r="AV14" i="23"/>
  <c r="AU14" i="23"/>
  <c r="AS14" i="23" s="1"/>
  <c r="AT14" i="23"/>
  <c r="AR14" i="23"/>
  <c r="AP14" i="23"/>
  <c r="AO14" i="23"/>
  <c r="AN14" i="23"/>
  <c r="AK14" i="23"/>
  <c r="AJ14" i="23"/>
  <c r="AI14" i="23"/>
  <c r="AH14" i="23"/>
  <c r="CL14" i="23" s="1"/>
  <c r="AG14" i="23"/>
  <c r="AF14" i="23"/>
  <c r="AD14" i="23"/>
  <c r="AC14" i="23"/>
  <c r="AB14" i="23"/>
  <c r="AE14" i="23" s="1"/>
  <c r="Z14" i="23"/>
  <c r="Y14" i="23"/>
  <c r="X14" i="23"/>
  <c r="W14" i="23"/>
  <c r="V14" i="23"/>
  <c r="U14" i="23"/>
  <c r="AA14" i="23" s="1"/>
  <c r="T14" i="23"/>
  <c r="S14" i="23"/>
  <c r="R14" i="23"/>
  <c r="N14" i="23"/>
  <c r="BO14" i="23" s="1"/>
  <c r="M14" i="23"/>
  <c r="GJ13" i="23" s="1"/>
  <c r="GB13" i="23"/>
  <c r="FJ13" i="23"/>
  <c r="FG13" i="23"/>
  <c r="FE13" i="23"/>
  <c r="FD13" i="23" s="1"/>
  <c r="BL13" i="23" s="1"/>
  <c r="DR13" i="23"/>
  <c r="DM13" i="23"/>
  <c r="DK13" i="23"/>
  <c r="DI13" i="23"/>
  <c r="DE13" i="23"/>
  <c r="CW13" i="23"/>
  <c r="CU13" i="23"/>
  <c r="CT13" i="23"/>
  <c r="CS13" i="23"/>
  <c r="CR13" i="23"/>
  <c r="CQ13" i="23"/>
  <c r="CO13" i="23"/>
  <c r="CM13" i="23"/>
  <c r="CJ13" i="23"/>
  <c r="CI13" i="23"/>
  <c r="CG13" i="23"/>
  <c r="CB13" i="23"/>
  <c r="CA13" i="23"/>
  <c r="BP13" i="23"/>
  <c r="BD13" i="23"/>
  <c r="BC13" i="23"/>
  <c r="BG13" i="23" s="1"/>
  <c r="BB13" i="23"/>
  <c r="AZ13" i="23"/>
  <c r="AX13" i="23"/>
  <c r="AW13" i="23"/>
  <c r="AV13" i="23"/>
  <c r="AU13" i="23"/>
  <c r="AR13" i="23"/>
  <c r="AP13" i="23"/>
  <c r="AN13" i="23"/>
  <c r="AK13" i="23"/>
  <c r="AJ13" i="23"/>
  <c r="AH13" i="23"/>
  <c r="AG13" i="23"/>
  <c r="AF13" i="23"/>
  <c r="AC13" i="23"/>
  <c r="AB13" i="23"/>
  <c r="Z13" i="23"/>
  <c r="Y13" i="23"/>
  <c r="W13" i="23"/>
  <c r="V13" i="23"/>
  <c r="U13" i="23"/>
  <c r="T13" i="23"/>
  <c r="S13" i="23"/>
  <c r="R13" i="23"/>
  <c r="O13" i="23"/>
  <c r="DG13" i="23" s="1"/>
  <c r="N13" i="23"/>
  <c r="BO13" i="23" s="1"/>
  <c r="M13" i="23"/>
  <c r="GJ12" i="23" s="1"/>
  <c r="GB12" i="23"/>
  <c r="FJ12" i="23"/>
  <c r="FG12" i="23"/>
  <c r="FD12" i="23"/>
  <c r="DR12" i="23"/>
  <c r="DM12" i="23"/>
  <c r="DK12" i="23"/>
  <c r="DI12" i="23"/>
  <c r="CW12" i="23"/>
  <c r="CU12" i="23"/>
  <c r="CT12" i="23"/>
  <c r="CQ12" i="23"/>
  <c r="CN12" i="23"/>
  <c r="CM12" i="23"/>
  <c r="CL12" i="23"/>
  <c r="CK12" i="23"/>
  <c r="CJ12" i="23"/>
  <c r="CI12" i="23"/>
  <c r="CG12" i="23"/>
  <c r="CF12" i="23"/>
  <c r="CA12" i="23"/>
  <c r="BQ12" i="23"/>
  <c r="BL12" i="23"/>
  <c r="BD12" i="23"/>
  <c r="BC12" i="23"/>
  <c r="BB12" i="23"/>
  <c r="AZ12" i="23"/>
  <c r="AX12" i="23"/>
  <c r="AW12" i="23"/>
  <c r="AV12" i="23"/>
  <c r="AU12" i="23"/>
  <c r="AR12" i="23"/>
  <c r="AS12" i="23" s="1"/>
  <c r="AQ12" i="23"/>
  <c r="AP12" i="23"/>
  <c r="AN12" i="23"/>
  <c r="AL12" i="23"/>
  <c r="CP12" i="23" s="1"/>
  <c r="AK12" i="23"/>
  <c r="AJ12" i="23"/>
  <c r="AG12" i="23"/>
  <c r="AF12" i="23"/>
  <c r="AC12" i="23"/>
  <c r="AB12" i="23"/>
  <c r="Z12" i="23"/>
  <c r="Y12" i="23"/>
  <c r="X12" i="23" s="1"/>
  <c r="W12" i="23"/>
  <c r="V12" i="23"/>
  <c r="U12" i="23"/>
  <c r="T12" i="23"/>
  <c r="S12" i="23"/>
  <c r="AA12" i="23" s="1"/>
  <c r="R12" i="23"/>
  <c r="N12" i="23"/>
  <c r="BO12" i="23" s="1"/>
  <c r="M12" i="23"/>
  <c r="GB11" i="23"/>
  <c r="FJ11" i="23"/>
  <c r="FG11" i="23"/>
  <c r="FE11" i="23"/>
  <c r="DR11" i="23"/>
  <c r="DM11" i="23"/>
  <c r="DK11" i="23"/>
  <c r="DI11" i="23"/>
  <c r="DC11" i="23"/>
  <c r="CW11" i="23"/>
  <c r="CT11" i="23"/>
  <c r="CQ11" i="23"/>
  <c r="CM11" i="23"/>
  <c r="CI11" i="23"/>
  <c r="CD11" i="23"/>
  <c r="CA11" i="23"/>
  <c r="BR11" i="23"/>
  <c r="BD11" i="23"/>
  <c r="BC11" i="23"/>
  <c r="BB11" i="23"/>
  <c r="AZ11" i="23"/>
  <c r="AX11" i="23"/>
  <c r="AW11" i="23"/>
  <c r="AV11" i="23"/>
  <c r="AU11" i="23"/>
  <c r="AT11" i="23"/>
  <c r="AS11" i="23"/>
  <c r="AR11" i="23"/>
  <c r="AP11" i="23"/>
  <c r="AO11" i="23"/>
  <c r="AN11" i="23"/>
  <c r="AM11" i="23"/>
  <c r="AL11" i="23"/>
  <c r="CP11" i="23" s="1"/>
  <c r="AK11" i="23"/>
  <c r="AJ11" i="23"/>
  <c r="CN11" i="23" s="1"/>
  <c r="AH11" i="23"/>
  <c r="CL11" i="23" s="1"/>
  <c r="AG11" i="23"/>
  <c r="AF11" i="23"/>
  <c r="AC11" i="23"/>
  <c r="AB11" i="23"/>
  <c r="AA11" i="23"/>
  <c r="Z11" i="23"/>
  <c r="Y11" i="23"/>
  <c r="W11" i="23"/>
  <c r="V11" i="23"/>
  <c r="U11" i="23"/>
  <c r="T11" i="23"/>
  <c r="S11" i="23"/>
  <c r="R11" i="23"/>
  <c r="O11" i="23"/>
  <c r="DG11" i="23" s="1"/>
  <c r="N11" i="23"/>
  <c r="BP11" i="23" s="1"/>
  <c r="M11" i="23"/>
  <c r="GJ10" i="23" s="1"/>
  <c r="GB10" i="23"/>
  <c r="FJ10" i="23"/>
  <c r="FG10" i="23"/>
  <c r="FE10" i="23"/>
  <c r="FD10" i="23" s="1"/>
  <c r="BL10" i="23" s="1"/>
  <c r="DR10" i="23"/>
  <c r="DM10" i="23"/>
  <c r="DK10" i="23"/>
  <c r="DI10" i="23"/>
  <c r="CW10" i="23"/>
  <c r="CT10" i="23"/>
  <c r="CQ10" i="23"/>
  <c r="CM10" i="23"/>
  <c r="CI10" i="23"/>
  <c r="CD10" i="23"/>
  <c r="CA10" i="23"/>
  <c r="BT10" i="23"/>
  <c r="BR10" i="23"/>
  <c r="BD10" i="23"/>
  <c r="BC10" i="23"/>
  <c r="BB10" i="23"/>
  <c r="AZ10" i="23"/>
  <c r="AX10" i="23"/>
  <c r="AW10" i="23"/>
  <c r="AV10" i="23"/>
  <c r="AU10" i="23"/>
  <c r="AS10" i="23" s="1"/>
  <c r="AT10" i="23"/>
  <c r="AR10" i="23"/>
  <c r="AP10" i="23"/>
  <c r="AN10" i="23"/>
  <c r="AK10" i="23"/>
  <c r="AJ10" i="23"/>
  <c r="AH10" i="23"/>
  <c r="AI10" i="23" s="1"/>
  <c r="AG10" i="23"/>
  <c r="AF10" i="23"/>
  <c r="AC10" i="23"/>
  <c r="AB10" i="23"/>
  <c r="Z10" i="23"/>
  <c r="Y10" i="23"/>
  <c r="W10" i="23"/>
  <c r="V10" i="23"/>
  <c r="U10" i="23"/>
  <c r="T10" i="23"/>
  <c r="S10" i="23"/>
  <c r="R10" i="23"/>
  <c r="N10" i="23"/>
  <c r="BP10" i="23" s="1"/>
  <c r="M10" i="23"/>
  <c r="GJ9" i="23"/>
  <c r="FJ9" i="23"/>
  <c r="FG9" i="23"/>
  <c r="FE9" i="23"/>
  <c r="FD9" i="23" s="1"/>
  <c r="BL9" i="23" s="1"/>
  <c r="DR9" i="23"/>
  <c r="DM9" i="23"/>
  <c r="DK9" i="23"/>
  <c r="DI9" i="23"/>
  <c r="DC9" i="23"/>
  <c r="CW9" i="23"/>
  <c r="CT9" i="23"/>
  <c r="CQ9" i="23"/>
  <c r="CN9" i="23"/>
  <c r="CM9" i="23"/>
  <c r="CL9" i="23"/>
  <c r="CK9" i="23"/>
  <c r="CJ9" i="23"/>
  <c r="CI9" i="23"/>
  <c r="CH9" i="23"/>
  <c r="CG9" i="23"/>
  <c r="CF9" i="23"/>
  <c r="CA9" i="23"/>
  <c r="BS9" i="23"/>
  <c r="BD9" i="23"/>
  <c r="BC9" i="23"/>
  <c r="BB9" i="23"/>
  <c r="AZ9" i="23"/>
  <c r="AX9" i="23"/>
  <c r="AW9" i="23"/>
  <c r="AV9" i="23"/>
  <c r="AU9" i="23"/>
  <c r="AR9" i="23"/>
  <c r="AS9" i="23" s="1"/>
  <c r="AQ9" i="23"/>
  <c r="AP9" i="23"/>
  <c r="AN9" i="23"/>
  <c r="AL9" i="23"/>
  <c r="AM9" i="23" s="1"/>
  <c r="AK9" i="23"/>
  <c r="AJ9" i="23"/>
  <c r="AG9" i="23"/>
  <c r="AF9" i="23"/>
  <c r="AC9" i="23"/>
  <c r="AB9" i="23"/>
  <c r="Z9" i="23"/>
  <c r="Y9" i="23"/>
  <c r="W9" i="23"/>
  <c r="V9" i="23"/>
  <c r="X9" i="23" s="1"/>
  <c r="U9" i="23"/>
  <c r="T9" i="23"/>
  <c r="S9" i="23"/>
  <c r="R9" i="23"/>
  <c r="O9" i="23"/>
  <c r="N9" i="23"/>
  <c r="BO9" i="23" s="1"/>
  <c r="M9" i="23"/>
  <c r="GJ8" i="23"/>
  <c r="FJ8" i="23"/>
  <c r="FG8" i="23"/>
  <c r="FE8" i="23"/>
  <c r="FD8" i="23" s="1"/>
  <c r="BL8" i="23" s="1"/>
  <c r="DR8" i="23"/>
  <c r="DM8" i="23"/>
  <c r="DK8" i="23"/>
  <c r="DI8" i="23"/>
  <c r="CW8" i="23"/>
  <c r="CV8" i="23"/>
  <c r="CU8" i="23"/>
  <c r="CT8" i="23"/>
  <c r="CS8" i="23"/>
  <c r="CR8" i="23"/>
  <c r="CQ8" i="23"/>
  <c r="CP8" i="23"/>
  <c r="CO8" i="23"/>
  <c r="CN8" i="23"/>
  <c r="CM8" i="23"/>
  <c r="CL8" i="23"/>
  <c r="CK8" i="23"/>
  <c r="CJ8" i="23"/>
  <c r="CI8" i="23"/>
  <c r="CH8" i="23"/>
  <c r="CG8" i="23"/>
  <c r="CF8" i="23"/>
  <c r="CA8" i="23"/>
  <c r="BT8" i="23"/>
  <c r="BR8" i="23"/>
  <c r="BQ8" i="23"/>
  <c r="BP8" i="23"/>
  <c r="BO8" i="23"/>
  <c r="BG8" i="23"/>
  <c r="BD8" i="23"/>
  <c r="BC8" i="23"/>
  <c r="BB8" i="23"/>
  <c r="AZ8" i="23"/>
  <c r="AX8" i="23"/>
  <c r="AW8" i="23"/>
  <c r="AS8" i="23" s="1"/>
  <c r="AV8" i="23"/>
  <c r="AU8" i="23"/>
  <c r="AR8" i="23"/>
  <c r="AT8" i="23" s="1"/>
  <c r="AQ8" i="23"/>
  <c r="AP8" i="23"/>
  <c r="AN8" i="23"/>
  <c r="AO8" i="23" s="1"/>
  <c r="AL8" i="23"/>
  <c r="AK8" i="23"/>
  <c r="AJ8" i="23"/>
  <c r="AG8" i="23"/>
  <c r="AF8" i="23"/>
  <c r="AE8" i="23"/>
  <c r="AD8" i="23"/>
  <c r="AC8" i="23"/>
  <c r="AB8" i="23"/>
  <c r="Z8" i="23"/>
  <c r="Y8" i="23"/>
  <c r="X8" i="23" s="1"/>
  <c r="W8" i="23"/>
  <c r="V8" i="23"/>
  <c r="U8" i="23"/>
  <c r="T8" i="23"/>
  <c r="S8" i="23"/>
  <c r="R8" i="23"/>
  <c r="N8" i="23"/>
  <c r="BS8" i="23" s="1"/>
  <c r="M8" i="23"/>
  <c r="GJ7" i="23"/>
  <c r="FJ7" i="23"/>
  <c r="FG7" i="23"/>
  <c r="FE7" i="23"/>
  <c r="FD7" i="23" s="1"/>
  <c r="BL7" i="23" s="1"/>
  <c r="DR7" i="23"/>
  <c r="DM7" i="23"/>
  <c r="DK7" i="23"/>
  <c r="DI7" i="23"/>
  <c r="CW7" i="23"/>
  <c r="CV7" i="23"/>
  <c r="CU7" i="23"/>
  <c r="CT7" i="23"/>
  <c r="CS7" i="23"/>
  <c r="CR7" i="23"/>
  <c r="CQ7" i="23"/>
  <c r="CP7" i="23"/>
  <c r="CO7" i="23"/>
  <c r="CN7" i="23"/>
  <c r="CM7" i="23"/>
  <c r="CL7" i="23"/>
  <c r="CK7" i="23"/>
  <c r="CJ7" i="23"/>
  <c r="CI7" i="23"/>
  <c r="CH7" i="23"/>
  <c r="CG7" i="23"/>
  <c r="CF7" i="23"/>
  <c r="CD7" i="23"/>
  <c r="CA7" i="23"/>
  <c r="BT7" i="23"/>
  <c r="BQ7" i="23"/>
  <c r="BP7" i="23"/>
  <c r="BO7" i="23"/>
  <c r="BI7" i="23"/>
  <c r="BG7" i="23"/>
  <c r="BD7" i="23"/>
  <c r="BC7" i="23"/>
  <c r="BB7" i="23"/>
  <c r="AZ7" i="23"/>
  <c r="AX7" i="23"/>
  <c r="AW7" i="23"/>
  <c r="AS7" i="23" s="1"/>
  <c r="AV7" i="23"/>
  <c r="AU7" i="23"/>
  <c r="AR7" i="23"/>
  <c r="AT7" i="23" s="1"/>
  <c r="AQ7" i="23"/>
  <c r="AP7" i="23"/>
  <c r="AN7" i="23"/>
  <c r="AL7" i="23"/>
  <c r="AK7" i="23"/>
  <c r="AJ7" i="23"/>
  <c r="AG7" i="23"/>
  <c r="AF7" i="23"/>
  <c r="AE7" i="23"/>
  <c r="AD7" i="23"/>
  <c r="AC7" i="23"/>
  <c r="AB7" i="23"/>
  <c r="Z7" i="23"/>
  <c r="Y7" i="23"/>
  <c r="X7" i="23" s="1"/>
  <c r="W7" i="23"/>
  <c r="V7" i="23"/>
  <c r="U7" i="23"/>
  <c r="T7" i="23"/>
  <c r="S7" i="23"/>
  <c r="R7" i="23"/>
  <c r="N7" i="23"/>
  <c r="BS7" i="23" s="1"/>
  <c r="M7" i="23"/>
  <c r="GJ6" i="23" s="1"/>
  <c r="GB6" i="23"/>
  <c r="FN6" i="23"/>
  <c r="FJ6" i="23"/>
  <c r="FD6" i="23" s="1"/>
  <c r="FG6" i="23"/>
  <c r="DR6" i="23"/>
  <c r="DM6" i="23"/>
  <c r="DK6" i="23"/>
  <c r="DI6" i="23"/>
  <c r="CW6" i="23"/>
  <c r="CT6" i="23"/>
  <c r="CQ6" i="23"/>
  <c r="CN6" i="23"/>
  <c r="CM6" i="23"/>
  <c r="CL6" i="23"/>
  <c r="CK6" i="23"/>
  <c r="CJ6" i="23"/>
  <c r="CI6" i="23"/>
  <c r="CG6" i="23"/>
  <c r="CA6" i="23"/>
  <c r="BQ6" i="23"/>
  <c r="BD6" i="23"/>
  <c r="BC6" i="23"/>
  <c r="BB6" i="23"/>
  <c r="AZ6" i="23"/>
  <c r="BG6" i="23" s="1"/>
  <c r="AX6" i="23"/>
  <c r="AX37" i="23" s="1"/>
  <c r="AW6" i="23"/>
  <c r="AV6" i="23"/>
  <c r="AU6" i="23"/>
  <c r="AR6" i="23"/>
  <c r="AR37" i="23" s="1"/>
  <c r="AQ6" i="23"/>
  <c r="AP6" i="23"/>
  <c r="AN6" i="23"/>
  <c r="AL6" i="23"/>
  <c r="CP6" i="23" s="1"/>
  <c r="AK6" i="23"/>
  <c r="AJ6" i="23"/>
  <c r="AG6" i="23"/>
  <c r="AF6" i="23"/>
  <c r="AC6" i="23"/>
  <c r="AB6" i="23"/>
  <c r="CF6" i="23" s="1"/>
  <c r="Z6" i="23"/>
  <c r="Z37" i="23" s="1"/>
  <c r="Y6" i="23"/>
  <c r="W6" i="23"/>
  <c r="V6" i="23"/>
  <c r="U6" i="23"/>
  <c r="U37" i="23" s="1"/>
  <c r="T6" i="23"/>
  <c r="S6" i="23"/>
  <c r="S37" i="23" s="1"/>
  <c r="R6" i="23"/>
  <c r="N6" i="23"/>
  <c r="N37" i="23" s="1"/>
  <c r="M6" i="23"/>
  <c r="DC3" i="23"/>
  <c r="DB3" i="23"/>
  <c r="DA3" i="23"/>
  <c r="CZ3" i="23"/>
  <c r="CY3" i="23"/>
  <c r="CX3" i="23"/>
  <c r="CW3" i="23"/>
  <c r="CV3" i="23"/>
  <c r="CU3" i="23"/>
  <c r="CT3" i="23"/>
  <c r="CS3" i="23"/>
  <c r="CR3" i="23"/>
  <c r="CQ3" i="23"/>
  <c r="CP3" i="23"/>
  <c r="CO3" i="23"/>
  <c r="CN3" i="23"/>
  <c r="CM3" i="23"/>
  <c r="CL3" i="23"/>
  <c r="CK3" i="23"/>
  <c r="CJ3" i="23"/>
  <c r="CI3" i="23"/>
  <c r="CH3" i="23"/>
  <c r="CG3" i="23"/>
  <c r="CF3" i="23"/>
  <c r="CE3" i="23"/>
  <c r="CD3" i="23"/>
  <c r="CC3" i="23"/>
  <c r="BH10" i="23" l="1"/>
  <c r="BH13" i="23"/>
  <c r="BH7" i="23"/>
  <c r="BJ7" i="23" s="1"/>
  <c r="BH14" i="23"/>
  <c r="BH9" i="23"/>
  <c r="BP37" i="23"/>
  <c r="BH8" i="23"/>
  <c r="AE10" i="23"/>
  <c r="BQ9" i="23"/>
  <c r="CR10" i="23"/>
  <c r="CE12" i="23"/>
  <c r="CL13" i="23"/>
  <c r="AI13" i="23"/>
  <c r="AN37" i="23"/>
  <c r="R37" i="23"/>
  <c r="X6" i="23"/>
  <c r="Y37" i="23"/>
  <c r="AK37" i="23"/>
  <c r="AW37" i="23"/>
  <c r="BP6" i="23"/>
  <c r="CV6" i="23"/>
  <c r="BP9" i="23"/>
  <c r="BW9" i="23"/>
  <c r="CC9" i="23"/>
  <c r="CP9" i="23"/>
  <c r="CV9" i="23"/>
  <c r="DB9" i="23"/>
  <c r="DP9" i="23"/>
  <c r="AA10" i="23"/>
  <c r="BQ10" i="23"/>
  <c r="CK10" i="23"/>
  <c r="BQ11" i="23"/>
  <c r="BW11" i="23"/>
  <c r="CC11" i="23"/>
  <c r="CJ11" i="23"/>
  <c r="DB11" i="23"/>
  <c r="CV12" i="23"/>
  <c r="BH12" i="23"/>
  <c r="BP12" i="23"/>
  <c r="CD12" i="23"/>
  <c r="CR12" i="23"/>
  <c r="AQ13" i="23"/>
  <c r="AT13" i="23"/>
  <c r="CD13" i="23"/>
  <c r="AS13" i="23"/>
  <c r="DB13" i="23"/>
  <c r="DC15" i="23"/>
  <c r="BX15" i="23"/>
  <c r="DB15" i="23"/>
  <c r="CC15" i="23"/>
  <c r="BW15" i="23"/>
  <c r="DE15" i="23"/>
  <c r="CY15" i="23"/>
  <c r="BZ15" i="23"/>
  <c r="BV15" i="23"/>
  <c r="BU15" i="23" s="1"/>
  <c r="CN15" i="23"/>
  <c r="DF15" i="23"/>
  <c r="AQ16" i="23"/>
  <c r="BY16" i="23"/>
  <c r="CX16" i="23"/>
  <c r="BQ17" i="23"/>
  <c r="CB17" i="23"/>
  <c r="CK17" i="23"/>
  <c r="AA18" i="23"/>
  <c r="CV18" i="23"/>
  <c r="CF18" i="23"/>
  <c r="CO19" i="23"/>
  <c r="AS19" i="23"/>
  <c r="CE19" i="23" s="1"/>
  <c r="CF22" i="23"/>
  <c r="CE22" i="23" s="1"/>
  <c r="AD22" i="23"/>
  <c r="AE22" i="23" s="1"/>
  <c r="BG22" i="23"/>
  <c r="FD22" i="23"/>
  <c r="BL22" i="23" s="1"/>
  <c r="CK23" i="23"/>
  <c r="CL23" i="23"/>
  <c r="CV25" i="23"/>
  <c r="AQ26" i="23"/>
  <c r="CU26" i="23"/>
  <c r="CG27" i="23"/>
  <c r="CO27" i="23"/>
  <c r="CE33" i="23"/>
  <c r="CD33" i="23" s="1"/>
  <c r="AF37" i="23"/>
  <c r="CF13" i="23"/>
  <c r="BH19" i="23"/>
  <c r="AA20" i="23"/>
  <c r="CG22" i="23"/>
  <c r="CN24" i="23"/>
  <c r="CJ26" i="23"/>
  <c r="CO32" i="23"/>
  <c r="CD9" i="23"/>
  <c r="CL10" i="23"/>
  <c r="CK11" i="23"/>
  <c r="AD18" i="23"/>
  <c r="CH18" i="23" s="1"/>
  <c r="M37" i="23"/>
  <c r="T37" i="23"/>
  <c r="AA6" i="23"/>
  <c r="AG37" i="23"/>
  <c r="AM6" i="23"/>
  <c r="AS6" i="23"/>
  <c r="CE6" i="23" s="1"/>
  <c r="AZ37" i="23"/>
  <c r="BR6" i="23"/>
  <c r="CR6" i="23"/>
  <c r="GB37" i="23"/>
  <c r="AA9" i="23"/>
  <c r="BR9" i="23"/>
  <c r="BY9" i="23"/>
  <c r="CE9" i="23"/>
  <c r="CR9" i="23"/>
  <c r="CX9" i="23"/>
  <c r="DD9" i="23"/>
  <c r="DJ9" i="23"/>
  <c r="AO10" i="23"/>
  <c r="BS10" i="23"/>
  <c r="CG10" i="23"/>
  <c r="BS11" i="23"/>
  <c r="BY11" i="23"/>
  <c r="CF11" i="23"/>
  <c r="CE11" i="23" s="1"/>
  <c r="CR11" i="23"/>
  <c r="CX11" i="23"/>
  <c r="DD11" i="23"/>
  <c r="GJ11" i="23"/>
  <c r="AM12" i="23"/>
  <c r="BR12" i="23"/>
  <c r="BR13" i="23"/>
  <c r="BQ13" i="23"/>
  <c r="BT13" i="23"/>
  <c r="AM13" i="23"/>
  <c r="AL13" i="23"/>
  <c r="CP13" i="23" s="1"/>
  <c r="CN13" i="23"/>
  <c r="BS13" i="23"/>
  <c r="CC13" i="23"/>
  <c r="CU14" i="23"/>
  <c r="AQ14" i="23"/>
  <c r="CG14" i="23"/>
  <c r="DF16" i="23"/>
  <c r="CZ16" i="23"/>
  <c r="BX16" i="23"/>
  <c r="DE16" i="23"/>
  <c r="CY16" i="23"/>
  <c r="CC16" i="23"/>
  <c r="BW16" i="23"/>
  <c r="DB16" i="23"/>
  <c r="BZ16" i="23"/>
  <c r="CB16" i="23"/>
  <c r="DC16" i="23"/>
  <c r="BU17" i="23"/>
  <c r="CE17" i="23"/>
  <c r="CO18" i="23"/>
  <c r="AS18" i="23"/>
  <c r="AO19" i="23"/>
  <c r="CO21" i="23"/>
  <c r="AS21" i="23"/>
  <c r="CE21" i="23" s="1"/>
  <c r="CD21" i="23" s="1"/>
  <c r="BT22" i="23"/>
  <c r="BS22" i="23"/>
  <c r="BR22" i="23" s="1"/>
  <c r="BQ22" i="23"/>
  <c r="AA23" i="23"/>
  <c r="CG24" i="23"/>
  <c r="BQ25" i="23"/>
  <c r="AA25" i="23"/>
  <c r="BU25" i="23" s="1"/>
  <c r="AL25" i="23"/>
  <c r="CP25" i="23" s="1"/>
  <c r="DC26" i="23"/>
  <c r="CC26" i="23"/>
  <c r="BW26" i="23"/>
  <c r="DH26" i="23"/>
  <c r="DB26" i="23"/>
  <c r="DG26" i="23"/>
  <c r="DA26" i="23"/>
  <c r="DD26" i="23"/>
  <c r="CX26" i="23"/>
  <c r="BX26" i="23"/>
  <c r="DF26" i="23"/>
  <c r="BY26" i="23"/>
  <c r="CY26" i="23"/>
  <c r="CB26" i="23"/>
  <c r="CZ26" i="23"/>
  <c r="BT27" i="23"/>
  <c r="BS27" i="23"/>
  <c r="BR27" i="23"/>
  <c r="BO27" i="23"/>
  <c r="BQ27" i="23"/>
  <c r="BP27" i="23"/>
  <c r="CR31" i="23"/>
  <c r="AO31" i="23"/>
  <c r="CO34" i="23"/>
  <c r="AQ15" i="23"/>
  <c r="AL16" i="23"/>
  <c r="DL18" i="23"/>
  <c r="BB37" i="23"/>
  <c r="BS6" i="23"/>
  <c r="AA7" i="23"/>
  <c r="AM7" i="23"/>
  <c r="AA8" i="23"/>
  <c r="AM8" i="23"/>
  <c r="CE8" i="23"/>
  <c r="CD8" i="23" s="1"/>
  <c r="AH9" i="23"/>
  <c r="AI9" i="23" s="1"/>
  <c r="AT9" i="23"/>
  <c r="BZ9" i="23"/>
  <c r="CY9" i="23"/>
  <c r="DE9" i="23"/>
  <c r="AD10" i="23"/>
  <c r="CN10" i="23"/>
  <c r="AI11" i="23"/>
  <c r="BT11" i="23"/>
  <c r="BZ11" i="23"/>
  <c r="CG11" i="23"/>
  <c r="CS11" i="23"/>
  <c r="CY11" i="23"/>
  <c r="DE11" i="23"/>
  <c r="AH12" i="23"/>
  <c r="AT12" i="23"/>
  <c r="BS12" i="23"/>
  <c r="DJ13" i="23"/>
  <c r="DD13" i="23"/>
  <c r="CX13" i="23"/>
  <c r="BY13" i="23"/>
  <c r="DP13" i="23"/>
  <c r="DC13" i="23"/>
  <c r="BX13" i="23"/>
  <c r="DF13" i="23"/>
  <c r="CZ13" i="23"/>
  <c r="CH13" i="23"/>
  <c r="AD13" i="23"/>
  <c r="BV13" i="23"/>
  <c r="DH13" i="23"/>
  <c r="AL14" i="23"/>
  <c r="CP14" i="23" s="1"/>
  <c r="AD15" i="23"/>
  <c r="AE15" i="23" s="1"/>
  <c r="BG15" i="23"/>
  <c r="AM16" i="23"/>
  <c r="BG16" i="23"/>
  <c r="CN16" i="23"/>
  <c r="DD16" i="23"/>
  <c r="DP16" i="23"/>
  <c r="AA17" i="23"/>
  <c r="BX17" i="23"/>
  <c r="BT18" i="23"/>
  <c r="BS18" i="23"/>
  <c r="O18" i="23"/>
  <c r="BP18" i="23"/>
  <c r="BO18" i="23"/>
  <c r="CV20" i="23"/>
  <c r="O22" i="23"/>
  <c r="CS22" i="23"/>
  <c r="BO22" i="23"/>
  <c r="BG23" i="23"/>
  <c r="DG24" i="23"/>
  <c r="DA24" i="23"/>
  <c r="CH24" i="23"/>
  <c r="DF24" i="23"/>
  <c r="CZ24" i="23"/>
  <c r="DE24" i="23"/>
  <c r="CY24" i="23"/>
  <c r="BY24" i="23"/>
  <c r="DP24" i="23"/>
  <c r="DH24" i="23"/>
  <c r="DB24" i="23"/>
  <c r="CB24" i="23"/>
  <c r="BV24" i="23"/>
  <c r="BU24" i="23" s="1"/>
  <c r="CX24" i="23"/>
  <c r="AE25" i="23"/>
  <c r="AD25" i="23"/>
  <c r="CN25" i="23"/>
  <c r="BV26" i="23"/>
  <c r="BU26" i="23" s="1"/>
  <c r="DE26" i="23"/>
  <c r="AA28" i="23"/>
  <c r="AA33" i="23"/>
  <c r="BU33" i="23" s="1"/>
  <c r="CD37" i="23"/>
  <c r="CD6" i="23"/>
  <c r="BX9" i="23"/>
  <c r="CF10" i="23"/>
  <c r="CE10" i="23" s="1"/>
  <c r="BX11" i="23"/>
  <c r="AB37" i="23"/>
  <c r="O6" i="23"/>
  <c r="V37" i="23"/>
  <c r="AC37" i="23"/>
  <c r="AO6" i="23"/>
  <c r="AU37" i="23"/>
  <c r="BC37" i="23"/>
  <c r="BT6" i="23"/>
  <c r="AH7" i="23"/>
  <c r="BR7" i="23"/>
  <c r="CE7" i="23"/>
  <c r="AH8" i="23"/>
  <c r="AO9" i="23"/>
  <c r="BT9" i="23"/>
  <c r="CZ9" i="23"/>
  <c r="DF9" i="23"/>
  <c r="X10" i="23"/>
  <c r="AQ10" i="23"/>
  <c r="BG10" i="23"/>
  <c r="BO10" i="23"/>
  <c r="CO10" i="23"/>
  <c r="CU10" i="23"/>
  <c r="AD11" i="23"/>
  <c r="BO11" i="23"/>
  <c r="BU11" i="23"/>
  <c r="CH11" i="23"/>
  <c r="CZ11" i="23"/>
  <c r="DF11" i="23"/>
  <c r="FD11" i="23"/>
  <c r="BL11" i="23" s="1"/>
  <c r="O12" i="23"/>
  <c r="AI12" i="23"/>
  <c r="AO12" i="23"/>
  <c r="BT12" i="23"/>
  <c r="CO12" i="23"/>
  <c r="AE13" i="23"/>
  <c r="AO13" i="23"/>
  <c r="BW13" i="23"/>
  <c r="CY13" i="23"/>
  <c r="AM15" i="23"/>
  <c r="CE15" i="23"/>
  <c r="DA15" i="23"/>
  <c r="DG16" i="23"/>
  <c r="AT17" i="23"/>
  <c r="AO18" i="23"/>
  <c r="BQ18" i="23"/>
  <c r="BH18" i="23"/>
  <c r="AI19" i="23"/>
  <c r="CV19" i="23"/>
  <c r="BG19" i="23"/>
  <c r="CD20" i="23"/>
  <c r="AT20" i="23"/>
  <c r="AS20" i="23"/>
  <c r="BO20" i="23"/>
  <c r="AA22" i="23"/>
  <c r="AQ22" i="23"/>
  <c r="CU22" i="23"/>
  <c r="BP22" i="23"/>
  <c r="CR23" i="23"/>
  <c r="CU24" i="23"/>
  <c r="DC24" i="23"/>
  <c r="CF25" i="23"/>
  <c r="CE25" i="23" s="1"/>
  <c r="CD25" i="23" s="1"/>
  <c r="CF28" i="23"/>
  <c r="CE28" i="23" s="1"/>
  <c r="CJ17" i="23"/>
  <c r="BT37" i="23"/>
  <c r="BS37" i="23"/>
  <c r="BR37" i="23"/>
  <c r="BQ37" i="23"/>
  <c r="BO37" i="23"/>
  <c r="AH6" i="23"/>
  <c r="AT6" i="23"/>
  <c r="W37" i="23"/>
  <c r="AD6" i="23"/>
  <c r="AE6" i="23" s="1"/>
  <c r="AJ37" i="23"/>
  <c r="AP37" i="23"/>
  <c r="AV37" i="23"/>
  <c r="BD37" i="23"/>
  <c r="BO6" i="23"/>
  <c r="CO6" i="23"/>
  <c r="CU6" i="23"/>
  <c r="O7" i="23"/>
  <c r="AI7" i="23"/>
  <c r="AO7" i="23"/>
  <c r="AI8" i="23"/>
  <c r="AD9" i="23"/>
  <c r="AE9" i="23" s="1"/>
  <c r="BG9" i="23"/>
  <c r="BV9" i="23"/>
  <c r="BU9" i="23" s="1"/>
  <c r="CB9" i="23"/>
  <c r="CO9" i="23"/>
  <c r="CU9" i="23"/>
  <c r="DA9" i="23"/>
  <c r="DG9" i="23"/>
  <c r="AL10" i="23"/>
  <c r="CP10" i="23" s="1"/>
  <c r="CJ10" i="23"/>
  <c r="X11" i="23"/>
  <c r="AE11" i="23"/>
  <c r="AQ11" i="23"/>
  <c r="BG11" i="23"/>
  <c r="BV11" i="23"/>
  <c r="CB11" i="23"/>
  <c r="CO11" i="23"/>
  <c r="CU11" i="23"/>
  <c r="DA11" i="23"/>
  <c r="AD12" i="23"/>
  <c r="AE12" i="23" s="1"/>
  <c r="BG12" i="23"/>
  <c r="AA13" i="23"/>
  <c r="BZ13" i="23" s="1"/>
  <c r="X13" i="23"/>
  <c r="DA13" i="23"/>
  <c r="CK14" i="23"/>
  <c r="BQ15" i="23"/>
  <c r="BP15" i="23"/>
  <c r="BS15" i="23"/>
  <c r="BT15" i="23"/>
  <c r="DD15" i="23"/>
  <c r="CK16" i="23"/>
  <c r="BV16" i="23"/>
  <c r="BU16" i="23" s="1"/>
  <c r="CP16" i="23"/>
  <c r="FD16" i="23"/>
  <c r="BL16" i="23" s="1"/>
  <c r="FD17" i="23"/>
  <c r="BL17" i="23" s="1"/>
  <c r="BR18" i="23"/>
  <c r="FD20" i="23"/>
  <c r="BL20" i="23" s="1"/>
  <c r="AA21" i="23"/>
  <c r="AO23" i="23"/>
  <c r="AQ24" i="23"/>
  <c r="AT24" i="23"/>
  <c r="AS24" i="23"/>
  <c r="CC24" i="23" s="1"/>
  <c r="CD24" i="23"/>
  <c r="DD24" i="23"/>
  <c r="CU25" i="23"/>
  <c r="AO26" i="23"/>
  <c r="CR26" i="23"/>
  <c r="CF35" i="23"/>
  <c r="AD35" i="23"/>
  <c r="CS35" i="23"/>
  <c r="BQ14" i="23"/>
  <c r="CF14" i="23"/>
  <c r="CE14" i="23" s="1"/>
  <c r="CD14" i="23" s="1"/>
  <c r="AT15" i="23"/>
  <c r="AH16" i="23"/>
  <c r="AI16" i="23" s="1"/>
  <c r="BS16" i="23"/>
  <c r="X17" i="23"/>
  <c r="BW17" i="23"/>
  <c r="CC17" i="23"/>
  <c r="DB17" i="23"/>
  <c r="DH17" i="23"/>
  <c r="DP17" i="23"/>
  <c r="AL18" i="23"/>
  <c r="X19" i="23"/>
  <c r="AL19" i="23"/>
  <c r="BP19" i="23"/>
  <c r="O20" i="23"/>
  <c r="AI20" i="23"/>
  <c r="BS20" i="23"/>
  <c r="CG20" i="23"/>
  <c r="O21" i="23"/>
  <c r="AQ21" i="23"/>
  <c r="BP21" i="23"/>
  <c r="CK21" i="23"/>
  <c r="CO22" i="23"/>
  <c r="X23" i="23"/>
  <c r="AS23" i="23"/>
  <c r="CE23" i="23" s="1"/>
  <c r="BQ23" i="23"/>
  <c r="AH24" i="23"/>
  <c r="AI24" i="23" s="1"/>
  <c r="AO24" i="23"/>
  <c r="BO24" i="23"/>
  <c r="AO25" i="23"/>
  <c r="BR26" i="23"/>
  <c r="CN27" i="23"/>
  <c r="AQ28" i="23"/>
  <c r="CU28" i="23"/>
  <c r="CF31" i="23"/>
  <c r="CE31" i="23" s="1"/>
  <c r="AD31" i="23"/>
  <c r="AE31" i="23" s="1"/>
  <c r="BG31" i="23"/>
  <c r="AA32" i="23"/>
  <c r="X32" i="23"/>
  <c r="BS32" i="23"/>
  <c r="AT32" i="23"/>
  <c r="AS32" i="23"/>
  <c r="CE32" i="23" s="1"/>
  <c r="CD32" i="23"/>
  <c r="CK33" i="23"/>
  <c r="AT34" i="23"/>
  <c r="AS34" i="23"/>
  <c r="CE34" i="23" s="1"/>
  <c r="CD34" i="23" s="1"/>
  <c r="CK13" i="23"/>
  <c r="BT14" i="23"/>
  <c r="CO14" i="23"/>
  <c r="X16" i="23"/>
  <c r="AE16" i="23"/>
  <c r="BP16" i="23"/>
  <c r="BZ17" i="23"/>
  <c r="CY17" i="23"/>
  <c r="DE17" i="23"/>
  <c r="AI18" i="23"/>
  <c r="CU18" i="23"/>
  <c r="BS19" i="23"/>
  <c r="CU19" i="23"/>
  <c r="BP20" i="23"/>
  <c r="CJ20" i="23"/>
  <c r="BS21" i="23"/>
  <c r="CN21" i="23"/>
  <c r="CR22" i="23"/>
  <c r="AI23" i="23"/>
  <c r="BT23" i="23"/>
  <c r="CO23" i="23"/>
  <c r="CU23" i="23"/>
  <c r="X24" i="23"/>
  <c r="AE24" i="23"/>
  <c r="BR24" i="23"/>
  <c r="CF24" i="23"/>
  <c r="CE24" i="23" s="1"/>
  <c r="CL24" i="23"/>
  <c r="BP25" i="23"/>
  <c r="BS25" i="23"/>
  <c r="CO25" i="23"/>
  <c r="CR25" i="23"/>
  <c r="AA26" i="23"/>
  <c r="BZ26" i="23" s="1"/>
  <c r="CV29" i="23"/>
  <c r="BT31" i="23"/>
  <c r="BS31" i="23"/>
  <c r="BR31" i="23"/>
  <c r="BQ31" i="23"/>
  <c r="O31" i="23"/>
  <c r="BO31" i="23"/>
  <c r="BP31" i="23"/>
  <c r="CU35" i="23"/>
  <c r="AQ35" i="23"/>
  <c r="BG14" i="23"/>
  <c r="CJ14" i="23"/>
  <c r="X15" i="23"/>
  <c r="CE16" i="23"/>
  <c r="CD16" i="23" s="1"/>
  <c r="CL16" i="23"/>
  <c r="CN17" i="23"/>
  <c r="CZ17" i="23"/>
  <c r="BQ20" i="23"/>
  <c r="CK20" i="23"/>
  <c r="BT21" i="23"/>
  <c r="CU21" i="23"/>
  <c r="X22" i="23"/>
  <c r="CV23" i="23"/>
  <c r="BO25" i="23"/>
  <c r="CJ25" i="23"/>
  <c r="AD26" i="23"/>
  <c r="CH26" i="23" s="1"/>
  <c r="BS28" i="23"/>
  <c r="BR28" i="23"/>
  <c r="BQ28" i="23"/>
  <c r="O28" i="23"/>
  <c r="BT28" i="23"/>
  <c r="BR29" i="23"/>
  <c r="BQ29" i="23"/>
  <c r="BP29" i="23"/>
  <c r="BU29" i="23"/>
  <c r="BO29" i="23"/>
  <c r="BS29" i="23"/>
  <c r="BP30" i="23"/>
  <c r="AA30" i="23"/>
  <c r="BZ30" i="23" s="1"/>
  <c r="AA31" i="23"/>
  <c r="CL31" i="23"/>
  <c r="AI31" i="23"/>
  <c r="CF20" i="23"/>
  <c r="AA24" i="23"/>
  <c r="BZ24" i="23" s="1"/>
  <c r="BG25" i="23"/>
  <c r="BG26" i="23"/>
  <c r="AA27" i="23"/>
  <c r="AT27" i="23"/>
  <c r="AS27" i="23"/>
  <c r="BH28" i="23"/>
  <c r="CN29" i="23"/>
  <c r="CS30" i="23"/>
  <c r="AA34" i="23"/>
  <c r="X34" i="23"/>
  <c r="BS34" i="23"/>
  <c r="AA35" i="23"/>
  <c r="BJ35" i="23" s="1"/>
  <c r="BI35" i="23" s="1"/>
  <c r="BG36" i="23"/>
  <c r="BQ26" i="23"/>
  <c r="AI27" i="23"/>
  <c r="AT28" i="23"/>
  <c r="CO28" i="23"/>
  <c r="X30" i="23"/>
  <c r="AT30" i="23"/>
  <c r="BR30" i="23"/>
  <c r="BY30" i="23"/>
  <c r="CF30" i="23"/>
  <c r="CR30" i="23"/>
  <c r="CX30" i="23"/>
  <c r="DD30" i="23"/>
  <c r="AM31" i="23"/>
  <c r="CO31" i="23"/>
  <c r="CU31" i="23"/>
  <c r="AD32" i="23"/>
  <c r="AE32" i="23" s="1"/>
  <c r="AQ32" i="23"/>
  <c r="BQ32" i="23"/>
  <c r="CN32" i="23"/>
  <c r="AL33" i="23"/>
  <c r="AM33" i="23" s="1"/>
  <c r="BP33" i="23"/>
  <c r="CL33" i="23"/>
  <c r="AD34" i="23"/>
  <c r="AE34" i="23" s="1"/>
  <c r="AQ34" i="23"/>
  <c r="BQ34" i="23"/>
  <c r="AH35" i="23"/>
  <c r="BT35" i="23"/>
  <c r="CG35" i="23"/>
  <c r="BR36" i="23"/>
  <c r="FN37" i="23"/>
  <c r="CF37" i="32"/>
  <c r="AV37" i="32"/>
  <c r="CU37" i="32"/>
  <c r="BP35" i="23"/>
  <c r="AS37" i="32"/>
  <c r="CE6" i="32"/>
  <c r="CD6" i="32" s="1"/>
  <c r="BT26" i="23"/>
  <c r="CO26" i="23"/>
  <c r="X27" i="23"/>
  <c r="CF27" i="23"/>
  <c r="CE27" i="23" s="1"/>
  <c r="CD28" i="23"/>
  <c r="CK28" i="23"/>
  <c r="AS29" i="23"/>
  <c r="CK29" i="23"/>
  <c r="AQ30" i="23"/>
  <c r="BO30" i="23"/>
  <c r="BV30" i="23"/>
  <c r="CB30" i="23"/>
  <c r="CO30" i="23"/>
  <c r="CU30" i="23"/>
  <c r="DA30" i="23"/>
  <c r="DG30" i="23"/>
  <c r="BT32" i="23"/>
  <c r="AO33" i="23"/>
  <c r="BS33" i="23"/>
  <c r="CP33" i="23"/>
  <c r="AM34" i="23"/>
  <c r="BT34" i="23"/>
  <c r="CU34" i="23"/>
  <c r="BQ35" i="23"/>
  <c r="AO36" i="23"/>
  <c r="BO36" i="23"/>
  <c r="BU36" i="23"/>
  <c r="CP7" i="32"/>
  <c r="AM7" i="32"/>
  <c r="BU6" i="32"/>
  <c r="AA37" i="32"/>
  <c r="CL28" i="23"/>
  <c r="CE29" i="23"/>
  <c r="CD29" i="23" s="1"/>
  <c r="BW30" i="23"/>
  <c r="DB30" i="23"/>
  <c r="DH30" i="23"/>
  <c r="X31" i="23"/>
  <c r="CG31" i="23"/>
  <c r="AH32" i="23"/>
  <c r="CL32" i="23" s="1"/>
  <c r="BO32" i="23"/>
  <c r="CJ32" i="23"/>
  <c r="AD33" i="23"/>
  <c r="CR33" i="23"/>
  <c r="AH34" i="23"/>
  <c r="CL34" i="23" s="1"/>
  <c r="BO34" i="23"/>
  <c r="BU34" i="23"/>
  <c r="CJ34" i="23"/>
  <c r="X35" i="23"/>
  <c r="AE35" i="23"/>
  <c r="AL35" i="23"/>
  <c r="CP35" i="23" s="1"/>
  <c r="BR35" i="23"/>
  <c r="CK35" i="23"/>
  <c r="AA36" i="23"/>
  <c r="AI36" i="23"/>
  <c r="BP36" i="23"/>
  <c r="GJ37" i="23"/>
  <c r="CS37" i="32"/>
  <c r="CR37" i="32" s="1"/>
  <c r="CV37" i="32"/>
  <c r="DQ6" i="32"/>
  <c r="P7" i="32"/>
  <c r="BG37" i="32"/>
  <c r="AO27" i="23"/>
  <c r="AO29" i="23"/>
  <c r="AS30" i="23"/>
  <c r="CC30" i="23" s="1"/>
  <c r="BX30" i="23"/>
  <c r="DC30" i="23"/>
  <c r="CN31" i="23"/>
  <c r="O32" i="23"/>
  <c r="AI32" i="23"/>
  <c r="CS32" i="23"/>
  <c r="AE33" i="23"/>
  <c r="AQ33" i="23"/>
  <c r="BO33" i="23"/>
  <c r="O34" i="23"/>
  <c r="AI34" i="23"/>
  <c r="CK34" i="23"/>
  <c r="AM35" i="23"/>
  <c r="CR35" i="23"/>
  <c r="AQ36" i="23"/>
  <c r="DQ37" i="23"/>
  <c r="AI6" i="32"/>
  <c r="CV32" i="23" l="1"/>
  <c r="CE30" i="23"/>
  <c r="DF28" i="23"/>
  <c r="CZ28" i="23"/>
  <c r="BZ28" i="23"/>
  <c r="DE28" i="23"/>
  <c r="CY28" i="23"/>
  <c r="BY28" i="23"/>
  <c r="DJ28" i="23"/>
  <c r="DD28" i="23"/>
  <c r="CX28" i="23"/>
  <c r="BX28" i="23"/>
  <c r="DC28" i="23"/>
  <c r="DG28" i="23"/>
  <c r="DA28" i="23"/>
  <c r="DP28" i="23"/>
  <c r="CC28" i="23"/>
  <c r="CB28" i="23"/>
  <c r="DB28" i="23"/>
  <c r="DH28" i="23"/>
  <c r="BW28" i="23"/>
  <c r="BV28" i="23"/>
  <c r="BU28" i="23" s="1"/>
  <c r="CV28" i="23"/>
  <c r="CS26" i="23"/>
  <c r="BH17" i="23"/>
  <c r="DE7" i="23"/>
  <c r="CY7" i="23"/>
  <c r="BZ7" i="23"/>
  <c r="DJ7" i="23"/>
  <c r="DD7" i="23"/>
  <c r="CX7" i="23"/>
  <c r="BY7" i="23"/>
  <c r="DP7" i="23"/>
  <c r="DC7" i="23"/>
  <c r="BX7" i="23"/>
  <c r="DG7" i="23"/>
  <c r="DN7" i="23"/>
  <c r="DH7" i="23"/>
  <c r="DB7" i="23"/>
  <c r="CC7" i="23"/>
  <c r="BW7" i="23"/>
  <c r="CB7" i="23"/>
  <c r="DL7" i="23"/>
  <c r="DF7" i="23"/>
  <c r="CZ7" i="23"/>
  <c r="DA7" i="23"/>
  <c r="BV7" i="23"/>
  <c r="BU7" i="23" s="1"/>
  <c r="CU37" i="23"/>
  <c r="CS12" i="23"/>
  <c r="AI6" i="23"/>
  <c r="CF37" i="23"/>
  <c r="AD37" i="23"/>
  <c r="CH37" i="23" s="1"/>
  <c r="AE18" i="23"/>
  <c r="AM25" i="23"/>
  <c r="AA37" i="23"/>
  <c r="BJ8" i="23"/>
  <c r="BI8" i="23" s="1"/>
  <c r="BJ9" i="23"/>
  <c r="CV11" i="23"/>
  <c r="CG37" i="23"/>
  <c r="CS31" i="23"/>
  <c r="CS10" i="23"/>
  <c r="CK37" i="23"/>
  <c r="AM10" i="23"/>
  <c r="CO37" i="23"/>
  <c r="CR37" i="23"/>
  <c r="BU30" i="23"/>
  <c r="AR37" i="32"/>
  <c r="CE37" i="32"/>
  <c r="CD37" i="32" s="1"/>
  <c r="CV34" i="23"/>
  <c r="CS25" i="23"/>
  <c r="CV21" i="23"/>
  <c r="DD20" i="23"/>
  <c r="CX20" i="23"/>
  <c r="BY20" i="23"/>
  <c r="DC20" i="23"/>
  <c r="BX20" i="23"/>
  <c r="DP20" i="23"/>
  <c r="DH20" i="23"/>
  <c r="DB20" i="23"/>
  <c r="CC20" i="23"/>
  <c r="BW20" i="23"/>
  <c r="DE20" i="23"/>
  <c r="CY20" i="23"/>
  <c r="BZ20" i="23"/>
  <c r="DG20" i="23"/>
  <c r="DF20" i="23"/>
  <c r="DA20" i="23"/>
  <c r="CH20" i="23"/>
  <c r="CZ20" i="23"/>
  <c r="CB20" i="23"/>
  <c r="BV20" i="23"/>
  <c r="BU20" i="23" s="1"/>
  <c r="AE26" i="23"/>
  <c r="BH16" i="23"/>
  <c r="DJ16" i="23" s="1"/>
  <c r="CN37" i="23"/>
  <c r="DP12" i="23"/>
  <c r="DH12" i="23"/>
  <c r="DB12" i="23"/>
  <c r="CC12" i="23"/>
  <c r="DE12" i="23"/>
  <c r="CX12" i="23"/>
  <c r="CB12" i="23"/>
  <c r="BV12" i="23"/>
  <c r="BU12" i="23" s="1"/>
  <c r="DD12" i="23"/>
  <c r="DJ12" i="23"/>
  <c r="DC12" i="23"/>
  <c r="CH12" i="23"/>
  <c r="BZ12" i="23"/>
  <c r="DG12" i="23"/>
  <c r="DA12" i="23"/>
  <c r="BY12" i="23"/>
  <c r="BX12" i="23"/>
  <c r="DF12" i="23"/>
  <c r="CY12" i="23"/>
  <c r="BW12" i="23"/>
  <c r="CZ12" i="23"/>
  <c r="DP18" i="23"/>
  <c r="DH18" i="23"/>
  <c r="DB18" i="23"/>
  <c r="DG18" i="23"/>
  <c r="DA18" i="23"/>
  <c r="BZ18" i="23"/>
  <c r="DJ18" i="23"/>
  <c r="DD18" i="23"/>
  <c r="CX18" i="23"/>
  <c r="CC18" i="23"/>
  <c r="BW18" i="23"/>
  <c r="BX18" i="23"/>
  <c r="DF18" i="23"/>
  <c r="CB18" i="23"/>
  <c r="DE18" i="23"/>
  <c r="DC18" i="23"/>
  <c r="BY18" i="23"/>
  <c r="CZ18" i="23"/>
  <c r="CY18" i="23"/>
  <c r="BV18" i="23"/>
  <c r="BU18" i="23" s="1"/>
  <c r="DH16" i="23"/>
  <c r="BJ19" i="23"/>
  <c r="BI19" i="23" s="1"/>
  <c r="CJ37" i="23"/>
  <c r="DH15" i="23"/>
  <c r="BG37" i="23"/>
  <c r="BJ13" i="23"/>
  <c r="DP34" i="23"/>
  <c r="DC34" i="23"/>
  <c r="CB34" i="23"/>
  <c r="BV34" i="23"/>
  <c r="DH34" i="23"/>
  <c r="DB34" i="23"/>
  <c r="DG34" i="23"/>
  <c r="DA34" i="23"/>
  <c r="BZ34" i="23"/>
  <c r="DF34" i="23"/>
  <c r="CZ34" i="23"/>
  <c r="CH34" i="23"/>
  <c r="BY34" i="23"/>
  <c r="DD34" i="23"/>
  <c r="CX34" i="23"/>
  <c r="CC34" i="23"/>
  <c r="BW34" i="23"/>
  <c r="DE34" i="23"/>
  <c r="CY34" i="23"/>
  <c r="BX34" i="23"/>
  <c r="CE20" i="23"/>
  <c r="CV35" i="23"/>
  <c r="DF31" i="23"/>
  <c r="CZ31" i="23"/>
  <c r="CH31" i="23"/>
  <c r="DE31" i="23"/>
  <c r="CY31" i="23"/>
  <c r="BZ31" i="23"/>
  <c r="DD31" i="23"/>
  <c r="CX31" i="23"/>
  <c r="BY31" i="23"/>
  <c r="DC31" i="23"/>
  <c r="BX31" i="23"/>
  <c r="DG31" i="23"/>
  <c r="DA31" i="23"/>
  <c r="CB31" i="23"/>
  <c r="BV31" i="23"/>
  <c r="BU31" i="23" s="1"/>
  <c r="DB31" i="23"/>
  <c r="BW31" i="23"/>
  <c r="DH31" i="23"/>
  <c r="CC31" i="23"/>
  <c r="CP18" i="23"/>
  <c r="AM18" i="23"/>
  <c r="CV24" i="23"/>
  <c r="BH20" i="23"/>
  <c r="DJ20" i="23" s="1"/>
  <c r="AM14" i="23"/>
  <c r="CV22" i="23"/>
  <c r="DP11" i="23"/>
  <c r="BH11" i="23"/>
  <c r="CV10" i="23"/>
  <c r="CS9" i="23"/>
  <c r="DF22" i="23"/>
  <c r="CZ22" i="23"/>
  <c r="CH22" i="23"/>
  <c r="DE22" i="23"/>
  <c r="CY22" i="23"/>
  <c r="BZ22" i="23"/>
  <c r="DD22" i="23"/>
  <c r="CX22" i="23"/>
  <c r="BY22" i="23"/>
  <c r="DG22" i="23"/>
  <c r="DA22" i="23"/>
  <c r="CB22" i="23"/>
  <c r="BV22" i="23"/>
  <c r="BU22" i="23" s="1"/>
  <c r="DH22" i="23"/>
  <c r="BW22" i="23"/>
  <c r="DC22" i="23"/>
  <c r="DP22" i="23"/>
  <c r="DB22" i="23"/>
  <c r="CC22" i="23"/>
  <c r="BX22" i="23"/>
  <c r="CV14" i="23"/>
  <c r="CV26" i="23"/>
  <c r="BJ12" i="23"/>
  <c r="BI12" i="23" s="1"/>
  <c r="DL12" i="23" s="1"/>
  <c r="DH11" i="23"/>
  <c r="DE32" i="23"/>
  <c r="CY32" i="23"/>
  <c r="CC32" i="23"/>
  <c r="BW32" i="23"/>
  <c r="DD32" i="23"/>
  <c r="CX32" i="23"/>
  <c r="CB32" i="23"/>
  <c r="BV32" i="23"/>
  <c r="BU32" i="23" s="1"/>
  <c r="DC32" i="23"/>
  <c r="DH32" i="23"/>
  <c r="DB32" i="23"/>
  <c r="CH32" i="23"/>
  <c r="BZ32" i="23"/>
  <c r="DF32" i="23"/>
  <c r="CZ32" i="23"/>
  <c r="BX32" i="23"/>
  <c r="DA32" i="23"/>
  <c r="BY32" i="23"/>
  <c r="DG32" i="23"/>
  <c r="CV30" i="23"/>
  <c r="AU37" i="32"/>
  <c r="CS24" i="23"/>
  <c r="DP21" i="23"/>
  <c r="DH21" i="23"/>
  <c r="DB21" i="23"/>
  <c r="CB21" i="23"/>
  <c r="BV21" i="23"/>
  <c r="BU21" i="23" s="1"/>
  <c r="DG21" i="23"/>
  <c r="DA21" i="23"/>
  <c r="DF21" i="23"/>
  <c r="CZ21" i="23"/>
  <c r="CH21" i="23"/>
  <c r="BZ21" i="23"/>
  <c r="DC21" i="23"/>
  <c r="CC21" i="23"/>
  <c r="BW21" i="23"/>
  <c r="DJ21" i="23"/>
  <c r="BY21" i="23"/>
  <c r="BX21" i="23"/>
  <c r="DE21" i="23"/>
  <c r="DD21" i="23"/>
  <c r="CY21" i="23"/>
  <c r="CX21" i="23"/>
  <c r="CS23" i="23"/>
  <c r="CV15" i="23"/>
  <c r="BJ33" i="23"/>
  <c r="BI33" i="23" s="1"/>
  <c r="CE18" i="23"/>
  <c r="X37" i="23"/>
  <c r="BJ14" i="23"/>
  <c r="BI14" i="23" s="1"/>
  <c r="CV33" i="23"/>
  <c r="CS33" i="23"/>
  <c r="CL35" i="23"/>
  <c r="AI35" i="23"/>
  <c r="CP19" i="23"/>
  <c r="AM19" i="23"/>
  <c r="AT37" i="23"/>
  <c r="BJ18" i="23"/>
  <c r="DN18" i="23" s="1"/>
  <c r="AO37" i="23"/>
  <c r="CS6" i="23"/>
  <c r="DG6" i="23"/>
  <c r="DA6" i="23"/>
  <c r="CB6" i="23"/>
  <c r="BV6" i="23"/>
  <c r="BU6" i="23" s="1"/>
  <c r="P6" i="23"/>
  <c r="DF6" i="23"/>
  <c r="CZ6" i="23"/>
  <c r="CH6" i="23"/>
  <c r="DE6" i="23"/>
  <c r="CY6" i="23"/>
  <c r="BZ6" i="23"/>
  <c r="DC6" i="23"/>
  <c r="DD6" i="23"/>
  <c r="CX6" i="23"/>
  <c r="BY6" i="23"/>
  <c r="BX6" i="23"/>
  <c r="DH6" i="23"/>
  <c r="DB6" i="23"/>
  <c r="CC6" i="23"/>
  <c r="BW6" i="23"/>
  <c r="BU13" i="23"/>
  <c r="AS37" i="23"/>
  <c r="CE13" i="23"/>
  <c r="CV13" i="23"/>
  <c r="DH9" i="23"/>
  <c r="AQ37" i="23"/>
  <c r="BJ10" i="23"/>
  <c r="BI10" i="23" s="1"/>
  <c r="FJ69" i="20"/>
  <c r="FG69" i="20"/>
  <c r="FJ63" i="20"/>
  <c r="FJ50" i="20"/>
  <c r="FJ49" i="20"/>
  <c r="FJ47" i="20"/>
  <c r="FG41" i="20"/>
  <c r="FI40" i="20"/>
  <c r="FI41" i="20" s="1"/>
  <c r="FI42" i="20" s="1"/>
  <c r="FJ39" i="20"/>
  <c r="FI39" i="20"/>
  <c r="FH39" i="20"/>
  <c r="FH40" i="20" s="1"/>
  <c r="FH41" i="20" s="1"/>
  <c r="FH42" i="20" s="1"/>
  <c r="FG39" i="20"/>
  <c r="FF39" i="20"/>
  <c r="FF40" i="20" s="1"/>
  <c r="FF41" i="20" s="1"/>
  <c r="GI37" i="20"/>
  <c r="GH37" i="20"/>
  <c r="GG37" i="20"/>
  <c r="GF37" i="20"/>
  <c r="GE37" i="20"/>
  <c r="GD37" i="20"/>
  <c r="GC37" i="20"/>
  <c r="GA37" i="20"/>
  <c r="FZ37" i="20"/>
  <c r="DR37" i="20"/>
  <c r="DM37" i="20"/>
  <c r="DK37" i="20"/>
  <c r="DI37" i="20"/>
  <c r="CW37" i="20"/>
  <c r="CT37" i="20"/>
  <c r="CQ37" i="20"/>
  <c r="CM37" i="20"/>
  <c r="CI37" i="20"/>
  <c r="CA37" i="20"/>
  <c r="BF37" i="20"/>
  <c r="BE37" i="20"/>
  <c r="BA37" i="20"/>
  <c r="Q37" i="20"/>
  <c r="L37" i="20"/>
  <c r="K37" i="20"/>
  <c r="J37" i="20"/>
  <c r="I37" i="20"/>
  <c r="H37" i="20"/>
  <c r="G37" i="20"/>
  <c r="F37" i="20"/>
  <c r="E37" i="20"/>
  <c r="D37" i="20"/>
  <c r="GJ36" i="20"/>
  <c r="FD36" i="20"/>
  <c r="DM36" i="20"/>
  <c r="DK36" i="20"/>
  <c r="DI36" i="20"/>
  <c r="CW36" i="20"/>
  <c r="CT36" i="20"/>
  <c r="CQ36" i="20"/>
  <c r="CM36" i="20"/>
  <c r="CL36" i="20"/>
  <c r="CK36" i="20"/>
  <c r="CJ36" i="20"/>
  <c r="CI36" i="20"/>
  <c r="CG36" i="20"/>
  <c r="CF36" i="20" s="1"/>
  <c r="CE36" i="20" s="1"/>
  <c r="CA36" i="20"/>
  <c r="BR36" i="20"/>
  <c r="BD36" i="20"/>
  <c r="BG36" i="20" s="1"/>
  <c r="BC36" i="20"/>
  <c r="BB36" i="20"/>
  <c r="AZ36" i="20"/>
  <c r="AY36" i="20"/>
  <c r="AX36" i="20"/>
  <c r="AW36" i="20"/>
  <c r="AV36" i="20"/>
  <c r="AU36" i="20"/>
  <c r="AS36" i="20"/>
  <c r="AR36" i="20"/>
  <c r="AT36" i="20" s="1"/>
  <c r="AP36" i="20"/>
  <c r="AN36" i="20"/>
  <c r="AK36" i="20"/>
  <c r="AJ36" i="20"/>
  <c r="CN36" i="20" s="1"/>
  <c r="AG36" i="20"/>
  <c r="AF36" i="20"/>
  <c r="AC36" i="20"/>
  <c r="AB36" i="20"/>
  <c r="AD36" i="20" s="1"/>
  <c r="Z36" i="20"/>
  <c r="Y36" i="20"/>
  <c r="X36" i="20" s="1"/>
  <c r="W36" i="20"/>
  <c r="V36" i="20"/>
  <c r="U36" i="20"/>
  <c r="T36" i="20"/>
  <c r="S36" i="20"/>
  <c r="R36" i="20"/>
  <c r="N36" i="20"/>
  <c r="BP36" i="20" s="1"/>
  <c r="M36" i="20"/>
  <c r="GJ35" i="20"/>
  <c r="FJ35" i="20"/>
  <c r="FD35" i="20" s="1"/>
  <c r="BL35" i="20" s="1"/>
  <c r="FG35" i="20"/>
  <c r="DR35" i="20"/>
  <c r="DM35" i="20"/>
  <c r="DK35" i="20"/>
  <c r="DI35" i="20"/>
  <c r="CW35" i="20"/>
  <c r="CT35" i="20"/>
  <c r="CQ35" i="20"/>
  <c r="CM35" i="20"/>
  <c r="CJ35" i="20"/>
  <c r="CI35" i="20"/>
  <c r="CA35" i="20"/>
  <c r="BQ35" i="20"/>
  <c r="BD35" i="20"/>
  <c r="BC35" i="20"/>
  <c r="BB35" i="20"/>
  <c r="AZ35" i="20"/>
  <c r="AY35" i="20"/>
  <c r="AX35" i="20"/>
  <c r="AW35" i="20"/>
  <c r="AS35" i="20" s="1"/>
  <c r="AV35" i="20"/>
  <c r="AU35" i="20"/>
  <c r="AT35" i="20"/>
  <c r="AR35" i="20"/>
  <c r="CD35" i="20" s="1"/>
  <c r="AQ35" i="20"/>
  <c r="AP35" i="20"/>
  <c r="CU35" i="20" s="1"/>
  <c r="AN35" i="20"/>
  <c r="AK35" i="20"/>
  <c r="AJ35" i="20"/>
  <c r="AH35" i="20"/>
  <c r="AI35" i="20" s="1"/>
  <c r="AG35" i="20"/>
  <c r="AF35" i="20"/>
  <c r="AD35" i="20"/>
  <c r="AC35" i="20"/>
  <c r="AB35" i="20"/>
  <c r="Z35" i="20"/>
  <c r="Y35" i="20"/>
  <c r="W35" i="20"/>
  <c r="V35" i="20"/>
  <c r="U35" i="20"/>
  <c r="T35" i="20"/>
  <c r="S35" i="20"/>
  <c r="R35" i="20"/>
  <c r="N35" i="20"/>
  <c r="M35" i="20"/>
  <c r="GJ34" i="20"/>
  <c r="FD34" i="20"/>
  <c r="DR34" i="20"/>
  <c r="DM34" i="20"/>
  <c r="DK34" i="20"/>
  <c r="DI34" i="20"/>
  <c r="CW34" i="20"/>
  <c r="CU34" i="20"/>
  <c r="CT34" i="20"/>
  <c r="CQ34" i="20"/>
  <c r="CM34" i="20"/>
  <c r="CJ34" i="20"/>
  <c r="CI34" i="20"/>
  <c r="CH34" i="20"/>
  <c r="CG34" i="20"/>
  <c r="CF34" i="20"/>
  <c r="CA34" i="20"/>
  <c r="BO34" i="20"/>
  <c r="BL34" i="20"/>
  <c r="BH34" i="20"/>
  <c r="BD34" i="20"/>
  <c r="BC34" i="20"/>
  <c r="BB34" i="20"/>
  <c r="AZ34" i="20"/>
  <c r="BG34" i="20" s="1"/>
  <c r="AY34" i="20"/>
  <c r="AX34" i="20"/>
  <c r="AW34" i="20"/>
  <c r="AS34" i="20" s="1"/>
  <c r="AV34" i="20"/>
  <c r="AU34" i="20"/>
  <c r="AT34" i="20"/>
  <c r="AR34" i="20"/>
  <c r="AQ34" i="20"/>
  <c r="AP34" i="20"/>
  <c r="AN34" i="20"/>
  <c r="AK34" i="20"/>
  <c r="AJ34" i="20"/>
  <c r="AH34" i="20"/>
  <c r="AI34" i="20" s="1"/>
  <c r="AG34" i="20"/>
  <c r="AF34" i="20"/>
  <c r="AD34" i="20"/>
  <c r="AC34" i="20"/>
  <c r="AB34" i="20"/>
  <c r="Z34" i="20"/>
  <c r="Y34" i="20"/>
  <c r="W34" i="20"/>
  <c r="V34" i="20"/>
  <c r="U34" i="20"/>
  <c r="T34" i="20"/>
  <c r="S34" i="20"/>
  <c r="R34" i="20"/>
  <c r="N34" i="20"/>
  <c r="BS34" i="20" s="1"/>
  <c r="M34" i="20"/>
  <c r="GJ33" i="20"/>
  <c r="FJ33" i="20"/>
  <c r="FG33" i="20"/>
  <c r="FD33" i="20" s="1"/>
  <c r="BL33" i="20" s="1"/>
  <c r="BH33" i="20" s="1"/>
  <c r="DR33" i="20"/>
  <c r="DM33" i="20"/>
  <c r="DK33" i="20"/>
  <c r="DI33" i="20"/>
  <c r="CW33" i="20"/>
  <c r="CT33" i="20"/>
  <c r="CQ33" i="20"/>
  <c r="CP33" i="20"/>
  <c r="CO33" i="20"/>
  <c r="CN33" i="20"/>
  <c r="CM33" i="20"/>
  <c r="CJ33" i="20"/>
  <c r="CI33" i="20"/>
  <c r="CH33" i="20"/>
  <c r="CG33" i="20"/>
  <c r="CF33" i="20"/>
  <c r="CA33" i="20"/>
  <c r="BP33" i="20"/>
  <c r="BO33" i="20" s="1"/>
  <c r="BD33" i="20"/>
  <c r="BC33" i="20"/>
  <c r="BB33" i="20"/>
  <c r="AZ33" i="20"/>
  <c r="AY33" i="20"/>
  <c r="AX33" i="20"/>
  <c r="AW33" i="20"/>
  <c r="AV33" i="20"/>
  <c r="AU33" i="20"/>
  <c r="AR33" i="20"/>
  <c r="AQ33" i="20" s="1"/>
  <c r="AP33" i="20"/>
  <c r="CU33" i="20" s="1"/>
  <c r="AN33" i="20"/>
  <c r="AL33" i="20"/>
  <c r="AK33" i="20"/>
  <c r="AJ33" i="20"/>
  <c r="AH33" i="20"/>
  <c r="CL33" i="20" s="1"/>
  <c r="AG33" i="20"/>
  <c r="AF33" i="20"/>
  <c r="AD33" i="20"/>
  <c r="AC33" i="20"/>
  <c r="AB33" i="20"/>
  <c r="Z33" i="20"/>
  <c r="Y33" i="20"/>
  <c r="W33" i="20"/>
  <c r="V33" i="20"/>
  <c r="U33" i="20"/>
  <c r="T33" i="20"/>
  <c r="S33" i="20"/>
  <c r="R33" i="20"/>
  <c r="N33" i="20"/>
  <c r="BT33" i="20" s="1"/>
  <c r="M33" i="20"/>
  <c r="GJ32" i="20"/>
  <c r="FD32" i="20"/>
  <c r="DM32" i="20"/>
  <c r="DK32" i="20"/>
  <c r="DI32" i="20"/>
  <c r="CW32" i="20"/>
  <c r="CT32" i="20"/>
  <c r="CQ32" i="20"/>
  <c r="CM32" i="20"/>
  <c r="CL32" i="20"/>
  <c r="CK32" i="20"/>
  <c r="CJ32" i="20"/>
  <c r="CI32" i="20"/>
  <c r="CH32" i="20"/>
  <c r="CG32" i="20"/>
  <c r="CF32" i="20"/>
  <c r="CA32" i="20"/>
  <c r="BR32" i="20"/>
  <c r="BL32" i="20"/>
  <c r="BG32" i="20"/>
  <c r="BD32" i="20"/>
  <c r="BC32" i="20"/>
  <c r="BB32" i="20"/>
  <c r="AZ32" i="20"/>
  <c r="AY32" i="20"/>
  <c r="AX32" i="20"/>
  <c r="AW32" i="20"/>
  <c r="AV32" i="20"/>
  <c r="AU32" i="20"/>
  <c r="AR32" i="20"/>
  <c r="AQ32" i="20"/>
  <c r="AP32" i="20"/>
  <c r="CU32" i="20" s="1"/>
  <c r="AO32" i="20"/>
  <c r="AN32" i="20"/>
  <c r="AL32" i="20"/>
  <c r="AM32" i="20" s="1"/>
  <c r="AK32" i="20"/>
  <c r="AJ32" i="20"/>
  <c r="CN32" i="20" s="1"/>
  <c r="AH32" i="20"/>
  <c r="AG32" i="20"/>
  <c r="AF32" i="20"/>
  <c r="AD32" i="20"/>
  <c r="AC32" i="20"/>
  <c r="AB32" i="20"/>
  <c r="Z32" i="20"/>
  <c r="Y32" i="20"/>
  <c r="X32" i="20"/>
  <c r="W32" i="20"/>
  <c r="V32" i="20"/>
  <c r="U32" i="20"/>
  <c r="AA32" i="20" s="1"/>
  <c r="T32" i="20"/>
  <c r="S32" i="20"/>
  <c r="R32" i="20"/>
  <c r="N32" i="20"/>
  <c r="M32" i="20"/>
  <c r="GJ31" i="20"/>
  <c r="FD31" i="20"/>
  <c r="BL31" i="20" s="1"/>
  <c r="DR31" i="20"/>
  <c r="DM31" i="20"/>
  <c r="DK31" i="20"/>
  <c r="DI31" i="20"/>
  <c r="CW31" i="20"/>
  <c r="CV31" i="20"/>
  <c r="CT31" i="20"/>
  <c r="CQ31" i="20"/>
  <c r="CM31" i="20"/>
  <c r="CI31" i="20"/>
  <c r="CH31" i="20"/>
  <c r="CG31" i="20"/>
  <c r="CF31" i="20"/>
  <c r="CC31" i="20"/>
  <c r="CA31" i="20"/>
  <c r="BS31" i="20"/>
  <c r="BD31" i="20"/>
  <c r="BC31" i="20"/>
  <c r="BB31" i="20"/>
  <c r="AZ31" i="20"/>
  <c r="AY31" i="20"/>
  <c r="AX31" i="20"/>
  <c r="AW31" i="20"/>
  <c r="AV31" i="20"/>
  <c r="AU31" i="20"/>
  <c r="AS31" i="20" s="1"/>
  <c r="AR31" i="20"/>
  <c r="AT31" i="20" s="1"/>
  <c r="AQ31" i="20"/>
  <c r="AP31" i="20"/>
  <c r="CU31" i="20" s="1"/>
  <c r="AO31" i="20"/>
  <c r="AN31" i="20"/>
  <c r="AK31" i="20"/>
  <c r="AJ31" i="20"/>
  <c r="AG31" i="20"/>
  <c r="AF31" i="20"/>
  <c r="AC31" i="20"/>
  <c r="AB31" i="20"/>
  <c r="Z31" i="20"/>
  <c r="Y31" i="20"/>
  <c r="W31" i="20"/>
  <c r="V31" i="20"/>
  <c r="X31" i="20" s="1"/>
  <c r="U31" i="20"/>
  <c r="T31" i="20"/>
  <c r="S31" i="20"/>
  <c r="BP31" i="20" s="1"/>
  <c r="R31" i="20"/>
  <c r="O31" i="20"/>
  <c r="CY31" i="20" s="1"/>
  <c r="N31" i="20"/>
  <c r="M31" i="20"/>
  <c r="GJ30" i="20"/>
  <c r="FM30" i="20"/>
  <c r="FL30" i="20"/>
  <c r="FK30" i="20"/>
  <c r="FJ30" i="20" s="1"/>
  <c r="FG30" i="20"/>
  <c r="DV30" i="20"/>
  <c r="DU30" i="20"/>
  <c r="DR30" i="20"/>
  <c r="DM30" i="20"/>
  <c r="DK30" i="20"/>
  <c r="DI30" i="20"/>
  <c r="CW30" i="20"/>
  <c r="CV30" i="20"/>
  <c r="CU30" i="20" s="1"/>
  <c r="CT30" i="20"/>
  <c r="CQ30" i="20"/>
  <c r="CN30" i="20"/>
  <c r="CM30" i="20"/>
  <c r="CJ30" i="20"/>
  <c r="CI30" i="20"/>
  <c r="CG30" i="20"/>
  <c r="CA30" i="20"/>
  <c r="BD30" i="20"/>
  <c r="BC30" i="20"/>
  <c r="BB30" i="20"/>
  <c r="AZ30" i="20"/>
  <c r="AY30" i="20"/>
  <c r="AX30" i="20"/>
  <c r="AW30" i="20"/>
  <c r="AV30" i="20"/>
  <c r="AU30" i="20"/>
  <c r="AR30" i="20"/>
  <c r="CD30" i="20" s="1"/>
  <c r="AQ30" i="20"/>
  <c r="AP30" i="20"/>
  <c r="AN30" i="20"/>
  <c r="AK30" i="20"/>
  <c r="AJ30" i="20"/>
  <c r="AH30" i="20"/>
  <c r="AI30" i="20" s="1"/>
  <c r="AG30" i="20"/>
  <c r="AF30" i="20"/>
  <c r="AD30" i="20"/>
  <c r="AC30" i="20"/>
  <c r="AB30" i="20"/>
  <c r="Z30" i="20"/>
  <c r="Y30" i="20"/>
  <c r="X30" i="20"/>
  <c r="W30" i="20"/>
  <c r="V30" i="20"/>
  <c r="U30" i="20"/>
  <c r="AA30" i="20" s="1"/>
  <c r="T30" i="20"/>
  <c r="S30" i="20"/>
  <c r="R30" i="20"/>
  <c r="N30" i="20"/>
  <c r="M30" i="20"/>
  <c r="GJ29" i="20"/>
  <c r="FM29" i="20"/>
  <c r="FL29" i="20"/>
  <c r="FK29" i="20"/>
  <c r="FJ29" i="20"/>
  <c r="FG29" i="20"/>
  <c r="DR29" i="20"/>
  <c r="DM29" i="20"/>
  <c r="DK29" i="20"/>
  <c r="DI29" i="20"/>
  <c r="CW29" i="20"/>
  <c r="CT29" i="20"/>
  <c r="CQ29" i="20"/>
  <c r="CN29" i="20"/>
  <c r="CM29" i="20"/>
  <c r="CI29" i="20"/>
  <c r="CG29" i="20"/>
  <c r="CA29" i="20"/>
  <c r="BS29" i="20"/>
  <c r="BD29" i="20"/>
  <c r="BC29" i="20"/>
  <c r="BB29" i="20"/>
  <c r="AZ29" i="20"/>
  <c r="AY29" i="20"/>
  <c r="AX29" i="20"/>
  <c r="AW29" i="20"/>
  <c r="AV29" i="20"/>
  <c r="AU29" i="20"/>
  <c r="AR29" i="20"/>
  <c r="CD29" i="20" s="1"/>
  <c r="AP29" i="20"/>
  <c r="AQ29" i="20" s="1"/>
  <c r="AO29" i="20"/>
  <c r="AN29" i="20"/>
  <c r="AL29" i="20"/>
  <c r="AK29" i="20"/>
  <c r="AJ29" i="20"/>
  <c r="AI29" i="20"/>
  <c r="AG29" i="20"/>
  <c r="AF29" i="20"/>
  <c r="AH29" i="20" s="1"/>
  <c r="AC29" i="20"/>
  <c r="AB29" i="20"/>
  <c r="Z29" i="20"/>
  <c r="Y29" i="20"/>
  <c r="W29" i="20"/>
  <c r="V29" i="20"/>
  <c r="U29" i="20"/>
  <c r="T29" i="20"/>
  <c r="S29" i="20"/>
  <c r="BP29" i="20" s="1"/>
  <c r="R29" i="20"/>
  <c r="O29" i="20"/>
  <c r="N29" i="20"/>
  <c r="BQ29" i="20" s="1"/>
  <c r="M29" i="20"/>
  <c r="GJ28" i="20"/>
  <c r="FJ28" i="20"/>
  <c r="FG28" i="20"/>
  <c r="FD28" i="20"/>
  <c r="BL28" i="20" s="1"/>
  <c r="EF28" i="20"/>
  <c r="DR28" i="20"/>
  <c r="DM28" i="20"/>
  <c r="DK28" i="20"/>
  <c r="DI28" i="20"/>
  <c r="CW28" i="20"/>
  <c r="CT28" i="20"/>
  <c r="CQ28" i="20"/>
  <c r="CN28" i="20"/>
  <c r="CM28" i="20"/>
  <c r="CJ28" i="20"/>
  <c r="CI28" i="20"/>
  <c r="CG28" i="20"/>
  <c r="CD28" i="20"/>
  <c r="CA28" i="20"/>
  <c r="BD28" i="20"/>
  <c r="BC28" i="20"/>
  <c r="BB28" i="20"/>
  <c r="AZ28" i="20"/>
  <c r="AY28" i="20"/>
  <c r="AX28" i="20"/>
  <c r="AW28" i="20"/>
  <c r="AV28" i="20"/>
  <c r="AU28" i="20"/>
  <c r="AT28" i="20" s="1"/>
  <c r="AR28" i="20"/>
  <c r="AP28" i="20"/>
  <c r="CU28" i="20" s="1"/>
  <c r="AN28" i="20"/>
  <c r="AK28" i="20"/>
  <c r="AJ28" i="20"/>
  <c r="AG28" i="20"/>
  <c r="AF28" i="20"/>
  <c r="AC28" i="20"/>
  <c r="AB28" i="20"/>
  <c r="Z28" i="20"/>
  <c r="Y28" i="20"/>
  <c r="W28" i="20"/>
  <c r="V28" i="20"/>
  <c r="U28" i="20"/>
  <c r="T28" i="20"/>
  <c r="S28" i="20"/>
  <c r="R28" i="20"/>
  <c r="N28" i="20"/>
  <c r="M28" i="20"/>
  <c r="GJ27" i="20"/>
  <c r="FJ27" i="20"/>
  <c r="FG27" i="20"/>
  <c r="FD27" i="20" s="1"/>
  <c r="BL27" i="20" s="1"/>
  <c r="DR27" i="20"/>
  <c r="DM27" i="20"/>
  <c r="DK27" i="20"/>
  <c r="DI27" i="20"/>
  <c r="CW27" i="20"/>
  <c r="CU27" i="20"/>
  <c r="CT27" i="20"/>
  <c r="CQ27" i="20"/>
  <c r="CM27" i="20"/>
  <c r="CK27" i="20"/>
  <c r="CJ27" i="20"/>
  <c r="CI27" i="20"/>
  <c r="CA27" i="20"/>
  <c r="BD27" i="20"/>
  <c r="BC27" i="20"/>
  <c r="BB27" i="20"/>
  <c r="AZ27" i="20"/>
  <c r="AY27" i="20"/>
  <c r="AX27" i="20"/>
  <c r="AW27" i="20"/>
  <c r="AS27" i="20" s="1"/>
  <c r="AV27" i="20"/>
  <c r="AU27" i="20"/>
  <c r="AT27" i="20"/>
  <c r="AR27" i="20"/>
  <c r="AQ27" i="20"/>
  <c r="AP27" i="20"/>
  <c r="AN27" i="20"/>
  <c r="AK27" i="20"/>
  <c r="AJ27" i="20"/>
  <c r="CN27" i="20" s="1"/>
  <c r="AH27" i="20"/>
  <c r="AI27" i="20" s="1"/>
  <c r="AG27" i="20"/>
  <c r="AF27" i="20"/>
  <c r="AC27" i="20"/>
  <c r="AB27" i="20"/>
  <c r="Z27" i="20"/>
  <c r="Y27" i="20"/>
  <c r="W27" i="20"/>
  <c r="V27" i="20"/>
  <c r="U27" i="20"/>
  <c r="T27" i="20"/>
  <c r="S27" i="20"/>
  <c r="R27" i="20"/>
  <c r="N27" i="20"/>
  <c r="M27" i="20"/>
  <c r="GJ26" i="20"/>
  <c r="FJ26" i="20"/>
  <c r="FD26" i="20" s="1"/>
  <c r="BL26" i="20" s="1"/>
  <c r="BH26" i="20" s="1"/>
  <c r="FG26" i="20"/>
  <c r="DR26" i="20"/>
  <c r="DM26" i="20"/>
  <c r="DK26" i="20"/>
  <c r="DI26" i="20"/>
  <c r="CW26" i="20"/>
  <c r="CT26" i="20"/>
  <c r="CQ26" i="20"/>
  <c r="CM26" i="20"/>
  <c r="CI26" i="20"/>
  <c r="CH26" i="20"/>
  <c r="CG26" i="20"/>
  <c r="CF26" i="20"/>
  <c r="CA26" i="20"/>
  <c r="BP26" i="20"/>
  <c r="BG26" i="20"/>
  <c r="BD26" i="20"/>
  <c r="BC26" i="20"/>
  <c r="BB26" i="20"/>
  <c r="AZ26" i="20"/>
  <c r="AY26" i="20"/>
  <c r="AX26" i="20"/>
  <c r="AW26" i="20"/>
  <c r="AV26" i="20"/>
  <c r="AU26" i="20"/>
  <c r="AR26" i="20"/>
  <c r="AQ26" i="20"/>
  <c r="AP26" i="20"/>
  <c r="AO26" i="20"/>
  <c r="AN26" i="20"/>
  <c r="AL26" i="20"/>
  <c r="AM26" i="20" s="1"/>
  <c r="AK26" i="20"/>
  <c r="AJ26" i="20"/>
  <c r="AG26" i="20"/>
  <c r="AF26" i="20"/>
  <c r="CJ26" i="20" s="1"/>
  <c r="Z26" i="20"/>
  <c r="Y26" i="20"/>
  <c r="X26" i="20" s="1"/>
  <c r="W26" i="20"/>
  <c r="V26" i="20"/>
  <c r="U26" i="20"/>
  <c r="T26" i="20"/>
  <c r="S26" i="20"/>
  <c r="R26" i="20"/>
  <c r="N26" i="20"/>
  <c r="BT26" i="20" s="1"/>
  <c r="M26" i="20"/>
  <c r="GJ25" i="20"/>
  <c r="FD25" i="20"/>
  <c r="DR25" i="20"/>
  <c r="DM25" i="20"/>
  <c r="DK25" i="20"/>
  <c r="DI25" i="20"/>
  <c r="DG25" i="20"/>
  <c r="DD25" i="20"/>
  <c r="DA25" i="20"/>
  <c r="CX25" i="20"/>
  <c r="CW25" i="20"/>
  <c r="CT25" i="20"/>
  <c r="CQ25" i="20"/>
  <c r="CN25" i="20"/>
  <c r="CM25" i="20"/>
  <c r="CL25" i="20"/>
  <c r="CK25" i="20"/>
  <c r="CJ25" i="20"/>
  <c r="CI25" i="20"/>
  <c r="CH25" i="20"/>
  <c r="CG25" i="20"/>
  <c r="CF25" i="20"/>
  <c r="CD25" i="20"/>
  <c r="CA25" i="20"/>
  <c r="BY25" i="20"/>
  <c r="BX25" i="20"/>
  <c r="BW25" i="20" s="1"/>
  <c r="BS25" i="20"/>
  <c r="BR25" i="20"/>
  <c r="BP25" i="20"/>
  <c r="BD25" i="20"/>
  <c r="BC25" i="20"/>
  <c r="BB25" i="20"/>
  <c r="AZ25" i="20"/>
  <c r="AY25" i="20"/>
  <c r="AX25" i="20"/>
  <c r="AW25" i="20"/>
  <c r="AV25" i="20"/>
  <c r="AU25" i="20"/>
  <c r="AT25" i="20"/>
  <c r="AR25" i="20"/>
  <c r="AS25" i="20" s="1"/>
  <c r="AQ25" i="20"/>
  <c r="AP25" i="20"/>
  <c r="AN25" i="20"/>
  <c r="AO25" i="20" s="1"/>
  <c r="AK25" i="20"/>
  <c r="AJ25" i="20"/>
  <c r="AG25" i="20"/>
  <c r="Z25" i="20"/>
  <c r="Y25" i="20"/>
  <c r="X25" i="20" s="1"/>
  <c r="W25" i="20"/>
  <c r="V25" i="20"/>
  <c r="U25" i="20"/>
  <c r="T25" i="20"/>
  <c r="S25" i="20"/>
  <c r="R25" i="20"/>
  <c r="O25" i="20"/>
  <c r="N25" i="20"/>
  <c r="BT25" i="20" s="1"/>
  <c r="M25" i="20"/>
  <c r="GJ24" i="20"/>
  <c r="FD24" i="20"/>
  <c r="DX24" i="20"/>
  <c r="AF25" i="20" s="1"/>
  <c r="DV24" i="20"/>
  <c r="AC24" i="20" s="1"/>
  <c r="DU24" i="20"/>
  <c r="DR24" i="20"/>
  <c r="DM24" i="20"/>
  <c r="DK24" i="20"/>
  <c r="DI24" i="20"/>
  <c r="CW24" i="20"/>
  <c r="CU24" i="20"/>
  <c r="CT24" i="20"/>
  <c r="CQ24" i="20"/>
  <c r="CO24" i="20"/>
  <c r="CN24" i="20"/>
  <c r="CM24" i="20"/>
  <c r="CL24" i="20"/>
  <c r="CK24" i="20"/>
  <c r="CJ24" i="20"/>
  <c r="CI24" i="20"/>
  <c r="CA24" i="20"/>
  <c r="BL24" i="20"/>
  <c r="BD24" i="20"/>
  <c r="BC24" i="20"/>
  <c r="BB24" i="20"/>
  <c r="AZ24" i="20"/>
  <c r="BG24" i="20" s="1"/>
  <c r="AY24" i="20"/>
  <c r="AX24" i="20"/>
  <c r="AW24" i="20"/>
  <c r="AV24" i="20"/>
  <c r="AU24" i="20"/>
  <c r="AT24" i="20"/>
  <c r="AS24" i="20"/>
  <c r="AR24" i="20"/>
  <c r="AP24" i="20"/>
  <c r="AQ24" i="20" s="1"/>
  <c r="CV24" i="20" s="1"/>
  <c r="AN24" i="20"/>
  <c r="AK24" i="20"/>
  <c r="AJ24" i="20"/>
  <c r="AL24" i="20" s="1"/>
  <c r="CP24" i="20" s="1"/>
  <c r="AG24" i="20"/>
  <c r="AF24" i="20"/>
  <c r="AB24" i="20"/>
  <c r="Z24" i="20"/>
  <c r="Y24" i="20"/>
  <c r="X24" i="20" s="1"/>
  <c r="W24" i="20"/>
  <c r="V24" i="20"/>
  <c r="U24" i="20"/>
  <c r="T24" i="20"/>
  <c r="S24" i="20"/>
  <c r="R24" i="20"/>
  <c r="N24" i="20"/>
  <c r="BQ24" i="20" s="1"/>
  <c r="M24" i="20"/>
  <c r="GJ23" i="20"/>
  <c r="FG23" i="20"/>
  <c r="FD23" i="20" s="1"/>
  <c r="BL23" i="20" s="1"/>
  <c r="DR23" i="20"/>
  <c r="DM23" i="20"/>
  <c r="DK23" i="20"/>
  <c r="DI23" i="20"/>
  <c r="DG23" i="20"/>
  <c r="DF23" i="20"/>
  <c r="DA23" i="20"/>
  <c r="CY23" i="20"/>
  <c r="CX23" i="20"/>
  <c r="CW23" i="20"/>
  <c r="CT23" i="20"/>
  <c r="CQ23" i="20"/>
  <c r="CM23" i="20"/>
  <c r="CL23" i="20"/>
  <c r="CK23" i="20"/>
  <c r="CJ23" i="20"/>
  <c r="CI23" i="20"/>
  <c r="CF23" i="20"/>
  <c r="CB23" i="20"/>
  <c r="CA23" i="20"/>
  <c r="BY23" i="20"/>
  <c r="BW23" i="20"/>
  <c r="BV23" i="20"/>
  <c r="BR23" i="20"/>
  <c r="BP23" i="20"/>
  <c r="BO23" i="20"/>
  <c r="BD23" i="20"/>
  <c r="DE23" i="20" s="1"/>
  <c r="BC23" i="20"/>
  <c r="BB23" i="20"/>
  <c r="AZ23" i="20"/>
  <c r="AY23" i="20"/>
  <c r="AX23" i="20"/>
  <c r="AW23" i="20"/>
  <c r="CZ23" i="20" s="1"/>
  <c r="AV23" i="20"/>
  <c r="AU23" i="20"/>
  <c r="AT23" i="20"/>
  <c r="AR23" i="20"/>
  <c r="CD23" i="20" s="1"/>
  <c r="AQ23" i="20"/>
  <c r="AP23" i="20"/>
  <c r="AN23" i="20"/>
  <c r="AK23" i="20"/>
  <c r="CO23" i="20" s="1"/>
  <c r="AJ23" i="20"/>
  <c r="AG23" i="20"/>
  <c r="AF23" i="20"/>
  <c r="AC23" i="20"/>
  <c r="AB23" i="20"/>
  <c r="Z23" i="20"/>
  <c r="BT23" i="20" s="1"/>
  <c r="Y23" i="20"/>
  <c r="X23" i="20"/>
  <c r="W23" i="20"/>
  <c r="V23" i="20"/>
  <c r="U23" i="20"/>
  <c r="T23" i="20"/>
  <c r="S23" i="20"/>
  <c r="R23" i="20"/>
  <c r="O23" i="20"/>
  <c r="DC23" i="20" s="1"/>
  <c r="DB23" i="20" s="1"/>
  <c r="N23" i="20"/>
  <c r="BS23" i="20" s="1"/>
  <c r="M23" i="20"/>
  <c r="GJ22" i="20"/>
  <c r="FD22" i="20"/>
  <c r="BL22" i="20" s="1"/>
  <c r="DR22" i="20"/>
  <c r="DM22" i="20"/>
  <c r="DK22" i="20"/>
  <c r="DI22" i="20"/>
  <c r="CW22" i="20"/>
  <c r="CT22" i="20"/>
  <c r="CS22" i="20"/>
  <c r="CR22" i="20"/>
  <c r="CQ22" i="20"/>
  <c r="CM22" i="20"/>
  <c r="CL22" i="20"/>
  <c r="CK22" i="20"/>
  <c r="CJ22" i="20"/>
  <c r="CI22" i="20"/>
  <c r="CG22" i="20"/>
  <c r="CA22" i="20"/>
  <c r="BO22" i="20"/>
  <c r="BD22" i="20"/>
  <c r="BC22" i="20"/>
  <c r="BB22" i="20"/>
  <c r="AZ22" i="20"/>
  <c r="AY22" i="20"/>
  <c r="AX22" i="20"/>
  <c r="AW22" i="20"/>
  <c r="AV22" i="20"/>
  <c r="AU22" i="20"/>
  <c r="AS22" i="20"/>
  <c r="AR22" i="20"/>
  <c r="AT22" i="20" s="1"/>
  <c r="AP22" i="20"/>
  <c r="AO22" i="20"/>
  <c r="AN22" i="20"/>
  <c r="AK22" i="20"/>
  <c r="AJ22" i="20"/>
  <c r="AG22" i="20"/>
  <c r="AF22" i="20"/>
  <c r="AH22" i="20" s="1"/>
  <c r="AC22" i="20"/>
  <c r="AB22" i="20"/>
  <c r="Z22" i="20"/>
  <c r="Y22" i="20"/>
  <c r="X22" i="20" s="1"/>
  <c r="W22" i="20"/>
  <c r="V22" i="20"/>
  <c r="U22" i="20"/>
  <c r="T22" i="20"/>
  <c r="S22" i="20"/>
  <c r="R22" i="20"/>
  <c r="AA22" i="20" s="1"/>
  <c r="N22" i="20"/>
  <c r="M22" i="20"/>
  <c r="GJ21" i="20"/>
  <c r="FD21" i="20"/>
  <c r="BL21" i="20" s="1"/>
  <c r="DR21" i="20"/>
  <c r="DP21" i="20"/>
  <c r="DM21" i="20"/>
  <c r="DK21" i="20"/>
  <c r="DI21" i="20"/>
  <c r="DH21" i="20"/>
  <c r="DB21" i="20"/>
  <c r="CW21" i="20"/>
  <c r="CV21" i="20"/>
  <c r="CU21" i="20"/>
  <c r="CT21" i="20"/>
  <c r="CQ21" i="20"/>
  <c r="CO21" i="20"/>
  <c r="CN21" i="20"/>
  <c r="CM21" i="20"/>
  <c r="CI21" i="20"/>
  <c r="CG21" i="20"/>
  <c r="CA21" i="20"/>
  <c r="BY21" i="20"/>
  <c r="BR21" i="20"/>
  <c r="BO21" i="20"/>
  <c r="BG21" i="20"/>
  <c r="BD21" i="20"/>
  <c r="BC21" i="20"/>
  <c r="BB21" i="20"/>
  <c r="AZ21" i="20"/>
  <c r="AY21" i="20"/>
  <c r="AX21" i="20"/>
  <c r="AW21" i="20"/>
  <c r="AV21" i="20"/>
  <c r="AU21" i="20"/>
  <c r="AR21" i="20"/>
  <c r="AQ21" i="20"/>
  <c r="AP21" i="20"/>
  <c r="AO21" i="20"/>
  <c r="AN21" i="20"/>
  <c r="AL21" i="20"/>
  <c r="AM21" i="20" s="1"/>
  <c r="AK21" i="20"/>
  <c r="AJ21" i="20"/>
  <c r="AG21" i="20"/>
  <c r="AF21" i="20"/>
  <c r="AC21" i="20"/>
  <c r="AB21" i="20"/>
  <c r="Z21" i="20"/>
  <c r="Y21" i="20"/>
  <c r="BS21" i="20" s="1"/>
  <c r="W21" i="20"/>
  <c r="V21" i="20"/>
  <c r="U21" i="20"/>
  <c r="T21" i="20"/>
  <c r="S21" i="20"/>
  <c r="AA21" i="20" s="1"/>
  <c r="R21" i="20"/>
  <c r="O21" i="20"/>
  <c r="DF21" i="20" s="1"/>
  <c r="N21" i="20"/>
  <c r="M21" i="20"/>
  <c r="GJ20" i="20"/>
  <c r="FM20" i="20"/>
  <c r="FL20" i="20"/>
  <c r="FK20" i="20"/>
  <c r="FJ20" i="20"/>
  <c r="FG20" i="20"/>
  <c r="FE20" i="20"/>
  <c r="DR20" i="20"/>
  <c r="DM20" i="20"/>
  <c r="DK20" i="20"/>
  <c r="DI20" i="20"/>
  <c r="CW20" i="20"/>
  <c r="CT20" i="20"/>
  <c r="CQ20" i="20"/>
  <c r="CO20" i="20"/>
  <c r="CN20" i="20"/>
  <c r="CM20" i="20"/>
  <c r="CI20" i="20"/>
  <c r="CG20" i="20"/>
  <c r="CA20" i="20"/>
  <c r="BD20" i="20"/>
  <c r="BC20" i="20"/>
  <c r="BB20" i="20"/>
  <c r="BG20" i="20" s="1"/>
  <c r="AZ20" i="20"/>
  <c r="AY20" i="20"/>
  <c r="AX20" i="20"/>
  <c r="AW20" i="20"/>
  <c r="AV20" i="20"/>
  <c r="AU20" i="20"/>
  <c r="AR20" i="20"/>
  <c r="CD20" i="20" s="1"/>
  <c r="AP20" i="20"/>
  <c r="AO20" i="20"/>
  <c r="AN20" i="20"/>
  <c r="AL20" i="20"/>
  <c r="AK20" i="20"/>
  <c r="AJ20" i="20"/>
  <c r="AI20" i="20"/>
  <c r="AG20" i="20"/>
  <c r="AF20" i="20"/>
  <c r="AH20" i="20" s="1"/>
  <c r="AC20" i="20"/>
  <c r="AB20" i="20"/>
  <c r="Z20" i="20"/>
  <c r="Y20" i="20"/>
  <c r="X20" i="20" s="1"/>
  <c r="W20" i="20"/>
  <c r="V20" i="20"/>
  <c r="U20" i="20"/>
  <c r="T20" i="20"/>
  <c r="S20" i="20"/>
  <c r="R20" i="20"/>
  <c r="AA20" i="20" s="1"/>
  <c r="N20" i="20"/>
  <c r="BT20" i="20" s="1"/>
  <c r="M20" i="20"/>
  <c r="GJ19" i="20"/>
  <c r="FM19" i="20"/>
  <c r="FM71" i="20" s="1"/>
  <c r="FM74" i="20" s="1"/>
  <c r="FL19" i="20"/>
  <c r="FL71" i="20" s="1"/>
  <c r="FL74" i="20" s="1"/>
  <c r="FK19" i="20"/>
  <c r="FJ19" i="20"/>
  <c r="FG19" i="20"/>
  <c r="FE19" i="20"/>
  <c r="DR19" i="20"/>
  <c r="DM19" i="20"/>
  <c r="DK19" i="20"/>
  <c r="DI19" i="20"/>
  <c r="CW19" i="20"/>
  <c r="CV19" i="20"/>
  <c r="CU19" i="20" s="1"/>
  <c r="CT19" i="20"/>
  <c r="CR19" i="20"/>
  <c r="CQ19" i="20"/>
  <c r="CN19" i="20"/>
  <c r="CM19" i="20"/>
  <c r="CJ19" i="20"/>
  <c r="CI19" i="20"/>
  <c r="CH19" i="20"/>
  <c r="CG19" i="20"/>
  <c r="CF19" i="20"/>
  <c r="CA19" i="20"/>
  <c r="BP19" i="20"/>
  <c r="BG19" i="20"/>
  <c r="BD19" i="20"/>
  <c r="BC19" i="20"/>
  <c r="BB19" i="20"/>
  <c r="AZ19" i="20"/>
  <c r="AY19" i="20"/>
  <c r="AX19" i="20"/>
  <c r="AW19" i="20"/>
  <c r="AV19" i="20"/>
  <c r="AU19" i="20"/>
  <c r="AR19" i="20"/>
  <c r="AQ19" i="20"/>
  <c r="AP19" i="20"/>
  <c r="AO19" i="20"/>
  <c r="AN19" i="20"/>
  <c r="AL19" i="20"/>
  <c r="AM19" i="20" s="1"/>
  <c r="AK19" i="20"/>
  <c r="AJ19" i="20"/>
  <c r="AG19" i="20"/>
  <c r="AF19" i="20"/>
  <c r="Z19" i="20"/>
  <c r="Y19" i="20"/>
  <c r="X19" i="20" s="1"/>
  <c r="W19" i="20"/>
  <c r="V19" i="20"/>
  <c r="U19" i="20"/>
  <c r="T19" i="20"/>
  <c r="S19" i="20"/>
  <c r="R19" i="20"/>
  <c r="N19" i="20"/>
  <c r="BT19" i="20" s="1"/>
  <c r="M19" i="20"/>
  <c r="GJ18" i="20"/>
  <c r="FJ18" i="20"/>
  <c r="FG18" i="20"/>
  <c r="FE18" i="20"/>
  <c r="DR18" i="20"/>
  <c r="DM18" i="20"/>
  <c r="DK18" i="20"/>
  <c r="DI18" i="20"/>
  <c r="DE18" i="20"/>
  <c r="CY18" i="20"/>
  <c r="CW18" i="20"/>
  <c r="CT18" i="20"/>
  <c r="CS18" i="20"/>
  <c r="CR18" i="20" s="1"/>
  <c r="CQ18" i="20"/>
  <c r="CM18" i="20"/>
  <c r="CL18" i="20"/>
  <c r="CK18" i="20"/>
  <c r="CJ18" i="20"/>
  <c r="CI18" i="20"/>
  <c r="CH18" i="20"/>
  <c r="CG18" i="20"/>
  <c r="CF18" i="20"/>
  <c r="CA18" i="20"/>
  <c r="BQ18" i="20"/>
  <c r="BO18" i="20"/>
  <c r="BD18" i="20"/>
  <c r="BG18" i="20" s="1"/>
  <c r="BC18" i="20"/>
  <c r="BB18" i="20"/>
  <c r="AZ18" i="20"/>
  <c r="AY18" i="20"/>
  <c r="AX18" i="20"/>
  <c r="AW18" i="20"/>
  <c r="AV18" i="20"/>
  <c r="AU18" i="20"/>
  <c r="AS18" i="20"/>
  <c r="AR18" i="20"/>
  <c r="AT18" i="20" s="1"/>
  <c r="AP18" i="20"/>
  <c r="AO18" i="20"/>
  <c r="AN18" i="20"/>
  <c r="AK18" i="20"/>
  <c r="AJ18" i="20"/>
  <c r="AG18" i="20"/>
  <c r="AF18" i="20"/>
  <c r="AH18" i="20" s="1"/>
  <c r="Z18" i="20"/>
  <c r="Y18" i="20"/>
  <c r="W18" i="20"/>
  <c r="V18" i="20"/>
  <c r="U18" i="20"/>
  <c r="T18" i="20"/>
  <c r="S18" i="20"/>
  <c r="BP18" i="20" s="1"/>
  <c r="R18" i="20"/>
  <c r="O18" i="20"/>
  <c r="CC18" i="20" s="1"/>
  <c r="N18" i="20"/>
  <c r="BS18" i="20" s="1"/>
  <c r="M18" i="20"/>
  <c r="GJ17" i="20"/>
  <c r="FJ17" i="20"/>
  <c r="FG17" i="20"/>
  <c r="FE17" i="20"/>
  <c r="DR17" i="20"/>
  <c r="DM17" i="20"/>
  <c r="DK17" i="20"/>
  <c r="DI17" i="20"/>
  <c r="DH17" i="20"/>
  <c r="DB17" i="20"/>
  <c r="CW17" i="20"/>
  <c r="CV17" i="20"/>
  <c r="CU17" i="20" s="1"/>
  <c r="CT17" i="20"/>
  <c r="CQ17" i="20"/>
  <c r="CO17" i="20"/>
  <c r="CN17" i="20"/>
  <c r="CM17" i="20"/>
  <c r="CI17" i="20"/>
  <c r="CH17" i="20"/>
  <c r="CG17" i="20"/>
  <c r="CF17" i="20"/>
  <c r="CA17" i="20"/>
  <c r="BX17" i="20"/>
  <c r="BT17" i="20"/>
  <c r="BQ17" i="20"/>
  <c r="BG17" i="20"/>
  <c r="BD17" i="20"/>
  <c r="BC17" i="20"/>
  <c r="BB17" i="20"/>
  <c r="AZ17" i="20"/>
  <c r="AY17" i="20"/>
  <c r="AX17" i="20"/>
  <c r="AW17" i="20"/>
  <c r="AV17" i="20"/>
  <c r="AU17" i="20"/>
  <c r="AR17" i="20"/>
  <c r="AQ17" i="20"/>
  <c r="AP17" i="20"/>
  <c r="AO17" i="20"/>
  <c r="CS17" i="20" s="1"/>
  <c r="CR17" i="20" s="1"/>
  <c r="AN17" i="20"/>
  <c r="AL17" i="20"/>
  <c r="AM17" i="20" s="1"/>
  <c r="AK17" i="20"/>
  <c r="AJ17" i="20"/>
  <c r="AG17" i="20"/>
  <c r="AF17" i="20"/>
  <c r="Z17" i="20"/>
  <c r="Y17" i="20"/>
  <c r="W17" i="20"/>
  <c r="V17" i="20"/>
  <c r="U17" i="20"/>
  <c r="T17" i="20"/>
  <c r="S17" i="20"/>
  <c r="AA17" i="20" s="1"/>
  <c r="R17" i="20"/>
  <c r="O17" i="20"/>
  <c r="DF17" i="20" s="1"/>
  <c r="N17" i="20"/>
  <c r="BO17" i="20" s="1"/>
  <c r="M17" i="20"/>
  <c r="GJ16" i="20"/>
  <c r="FJ16" i="20"/>
  <c r="FG16" i="20"/>
  <c r="FE16" i="20"/>
  <c r="DV16" i="20"/>
  <c r="DU16" i="20"/>
  <c r="DM16" i="20"/>
  <c r="DK16" i="20"/>
  <c r="DI16" i="20"/>
  <c r="CW16" i="20"/>
  <c r="CV16" i="20"/>
  <c r="CU16" i="20"/>
  <c r="CT16" i="20"/>
  <c r="CQ16" i="20"/>
  <c r="CO16" i="20"/>
  <c r="CN16" i="20"/>
  <c r="CM16" i="20"/>
  <c r="CI16" i="20"/>
  <c r="CH16" i="20"/>
  <c r="CG16" i="20"/>
  <c r="CF16" i="20"/>
  <c r="CA16" i="20"/>
  <c r="BG16" i="20"/>
  <c r="BD16" i="20"/>
  <c r="BC16" i="20"/>
  <c r="BB16" i="20"/>
  <c r="AZ16" i="20"/>
  <c r="AY16" i="20"/>
  <c r="AX16" i="20"/>
  <c r="AW16" i="20"/>
  <c r="AV16" i="20"/>
  <c r="AU16" i="20"/>
  <c r="AR16" i="20"/>
  <c r="AQ16" i="20"/>
  <c r="AP16" i="20"/>
  <c r="AO16" i="20"/>
  <c r="AN16" i="20"/>
  <c r="AL16" i="20"/>
  <c r="AM16" i="20" s="1"/>
  <c r="AK16" i="20"/>
  <c r="AJ16" i="20"/>
  <c r="AG16" i="20"/>
  <c r="AF16" i="20"/>
  <c r="AC16" i="20"/>
  <c r="AB16" i="20"/>
  <c r="Z16" i="20"/>
  <c r="Y16" i="20"/>
  <c r="W16" i="20"/>
  <c r="V16" i="20"/>
  <c r="X16" i="20" s="1"/>
  <c r="U16" i="20"/>
  <c r="T16" i="20"/>
  <c r="S16" i="20"/>
  <c r="AA16" i="20" s="1"/>
  <c r="R16" i="20"/>
  <c r="N16" i="20"/>
  <c r="BT16" i="20" s="1"/>
  <c r="M16" i="20"/>
  <c r="GJ15" i="20"/>
  <c r="FJ15" i="20"/>
  <c r="FG15" i="20"/>
  <c r="FE15" i="20"/>
  <c r="DR15" i="20"/>
  <c r="DM15" i="20"/>
  <c r="DK15" i="20"/>
  <c r="DI15" i="20"/>
  <c r="DG15" i="20"/>
  <c r="DF15" i="20"/>
  <c r="DE15" i="20"/>
  <c r="DB15" i="20"/>
  <c r="CY15" i="20"/>
  <c r="CW15" i="20"/>
  <c r="CT15" i="20"/>
  <c r="CS15" i="20"/>
  <c r="CR15" i="20" s="1"/>
  <c r="CQ15" i="20"/>
  <c r="CM15" i="20"/>
  <c r="CJ15" i="20"/>
  <c r="CI15" i="20"/>
  <c r="CB15" i="20"/>
  <c r="CA15" i="20"/>
  <c r="BT15" i="20"/>
  <c r="BD15" i="20"/>
  <c r="BC15" i="20"/>
  <c r="BB15" i="20"/>
  <c r="AZ15" i="20"/>
  <c r="AY15" i="20"/>
  <c r="AX15" i="20"/>
  <c r="DA15" i="20" s="1"/>
  <c r="AW15" i="20"/>
  <c r="CZ15" i="20" s="1"/>
  <c r="AV15" i="20"/>
  <c r="AU15" i="20"/>
  <c r="AS15" i="20"/>
  <c r="CC15" i="20" s="1"/>
  <c r="AR15" i="20"/>
  <c r="AT15" i="20" s="1"/>
  <c r="AP15" i="20"/>
  <c r="AO15" i="20"/>
  <c r="AN15" i="20"/>
  <c r="AK15" i="20"/>
  <c r="AJ15" i="20"/>
  <c r="AG15" i="20"/>
  <c r="AF15" i="20"/>
  <c r="AC15" i="20"/>
  <c r="AB15" i="20"/>
  <c r="Z15" i="20"/>
  <c r="Y15" i="20"/>
  <c r="BS15" i="20" s="1"/>
  <c r="X15" i="20"/>
  <c r="W15" i="20"/>
  <c r="V15" i="20"/>
  <c r="U15" i="20"/>
  <c r="T15" i="20"/>
  <c r="S15" i="20"/>
  <c r="BW15" i="20" s="1"/>
  <c r="R15" i="20"/>
  <c r="O15" i="20"/>
  <c r="DC15" i="20" s="1"/>
  <c r="N15" i="20"/>
  <c r="BR15" i="20" s="1"/>
  <c r="M15" i="20"/>
  <c r="GJ14" i="20"/>
  <c r="FJ14" i="20" s="1"/>
  <c r="FG14" i="20"/>
  <c r="FE14" i="20"/>
  <c r="DR14" i="20"/>
  <c r="DM14" i="20"/>
  <c r="DK14" i="20"/>
  <c r="DI14" i="20"/>
  <c r="DC14" i="20"/>
  <c r="CW14" i="20"/>
  <c r="CT14" i="20"/>
  <c r="CQ14" i="20"/>
  <c r="CO14" i="20"/>
  <c r="CM14" i="20"/>
  <c r="CK14" i="20"/>
  <c r="CI14" i="20"/>
  <c r="CA14" i="20"/>
  <c r="BT14" i="20"/>
  <c r="BQ14" i="20"/>
  <c r="BO14" i="20"/>
  <c r="BD14" i="20"/>
  <c r="BC14" i="20"/>
  <c r="BB14" i="20"/>
  <c r="AZ14" i="20"/>
  <c r="AY14" i="20"/>
  <c r="AY37" i="20" s="1"/>
  <c r="AX14" i="20"/>
  <c r="AW14" i="20"/>
  <c r="AV14" i="20"/>
  <c r="AU14" i="20"/>
  <c r="AR14" i="20"/>
  <c r="AP14" i="20"/>
  <c r="AO14" i="20"/>
  <c r="AN14" i="20"/>
  <c r="AL14" i="20"/>
  <c r="AK14" i="20"/>
  <c r="AJ14" i="20"/>
  <c r="AG14" i="20"/>
  <c r="AF14" i="20"/>
  <c r="AC14" i="20"/>
  <c r="AB14" i="20"/>
  <c r="Z14" i="20"/>
  <c r="Y14" i="20"/>
  <c r="W14" i="20"/>
  <c r="V14" i="20"/>
  <c r="U14" i="20"/>
  <c r="T14" i="20"/>
  <c r="S14" i="20"/>
  <c r="BP14" i="20" s="1"/>
  <c r="R14" i="20"/>
  <c r="O14" i="20"/>
  <c r="N14" i="20"/>
  <c r="BR14" i="20" s="1"/>
  <c r="M14" i="20"/>
  <c r="GB13" i="20"/>
  <c r="FJ13" i="20"/>
  <c r="FG13" i="20"/>
  <c r="FE13" i="20"/>
  <c r="DR13" i="20"/>
  <c r="DM13" i="20"/>
  <c r="DK13" i="20"/>
  <c r="DI13" i="20"/>
  <c r="CW13" i="20"/>
  <c r="CT13" i="20"/>
  <c r="CQ13" i="20"/>
  <c r="CO13" i="20"/>
  <c r="CM13" i="20"/>
  <c r="CL13" i="20"/>
  <c r="CK13" i="20"/>
  <c r="CJ13" i="20"/>
  <c r="CI13" i="20"/>
  <c r="CD13" i="20"/>
  <c r="CA13" i="20"/>
  <c r="BT13" i="20"/>
  <c r="BQ13" i="20"/>
  <c r="BG13" i="20"/>
  <c r="BD13" i="20"/>
  <c r="BC13" i="20"/>
  <c r="BB13" i="20"/>
  <c r="AZ13" i="20"/>
  <c r="AX13" i="20"/>
  <c r="AW13" i="20"/>
  <c r="AS13" i="20" s="1"/>
  <c r="AV13" i="20"/>
  <c r="AU13" i="20"/>
  <c r="AT13" i="20"/>
  <c r="AR13" i="20"/>
  <c r="AQ13" i="20"/>
  <c r="AP13" i="20"/>
  <c r="AN13" i="20"/>
  <c r="AK13" i="20"/>
  <c r="AJ13" i="20"/>
  <c r="CN13" i="20" s="1"/>
  <c r="AG13" i="20"/>
  <c r="AF13" i="20"/>
  <c r="AD13" i="20"/>
  <c r="AC13" i="20"/>
  <c r="AB13" i="20"/>
  <c r="Z13" i="20"/>
  <c r="Y13" i="20"/>
  <c r="X13" i="20"/>
  <c r="W13" i="20"/>
  <c r="V13" i="20"/>
  <c r="U13" i="20"/>
  <c r="T13" i="20"/>
  <c r="S13" i="20"/>
  <c r="R13" i="20"/>
  <c r="N13" i="20"/>
  <c r="BR13" i="20" s="1"/>
  <c r="M13" i="20"/>
  <c r="GJ12" i="20" s="1"/>
  <c r="GB12" i="20"/>
  <c r="FG12" i="20"/>
  <c r="FE12" i="20"/>
  <c r="DR12" i="20"/>
  <c r="DM12" i="20"/>
  <c r="DK12" i="20"/>
  <c r="DI12" i="20"/>
  <c r="CW12" i="20"/>
  <c r="CT12" i="20"/>
  <c r="CQ12" i="20"/>
  <c r="CO12" i="20"/>
  <c r="CM12" i="20"/>
  <c r="CL12" i="20"/>
  <c r="CK12" i="20"/>
  <c r="CJ12" i="20"/>
  <c r="CI12" i="20"/>
  <c r="CA12" i="20"/>
  <c r="BS12" i="20"/>
  <c r="BP12" i="20"/>
  <c r="BD12" i="20"/>
  <c r="BC12" i="20"/>
  <c r="BB12" i="20"/>
  <c r="AZ12" i="20"/>
  <c r="AX12" i="20"/>
  <c r="AW12" i="20"/>
  <c r="AS12" i="20" s="1"/>
  <c r="AV12" i="20"/>
  <c r="AU12" i="20"/>
  <c r="AT12" i="20"/>
  <c r="AR12" i="20"/>
  <c r="CD12" i="20" s="1"/>
  <c r="AN12" i="20"/>
  <c r="CR12" i="20" s="1"/>
  <c r="AK12" i="20"/>
  <c r="AJ12" i="20"/>
  <c r="CN12" i="20" s="1"/>
  <c r="AG12" i="20"/>
  <c r="AC12" i="20"/>
  <c r="Z12" i="20"/>
  <c r="Y12" i="20"/>
  <c r="W12" i="20"/>
  <c r="V12" i="20"/>
  <c r="U12" i="20"/>
  <c r="T12" i="20"/>
  <c r="S12" i="20"/>
  <c r="R12" i="20"/>
  <c r="N12" i="20"/>
  <c r="M12" i="20"/>
  <c r="GJ11" i="20" s="1"/>
  <c r="GB11" i="20"/>
  <c r="FG11" i="20"/>
  <c r="FE11" i="20"/>
  <c r="EP11" i="20"/>
  <c r="EG11" i="20"/>
  <c r="EE11" i="20"/>
  <c r="AO11" i="20" s="1"/>
  <c r="DR11" i="20"/>
  <c r="DM11" i="20"/>
  <c r="DK11" i="20"/>
  <c r="DI11" i="20"/>
  <c r="CW11" i="20"/>
  <c r="CV11" i="20"/>
  <c r="CU11" i="20"/>
  <c r="CT11" i="20"/>
  <c r="CR11" i="20"/>
  <c r="CQ11" i="20"/>
  <c r="CM11" i="20"/>
  <c r="CL11" i="20"/>
  <c r="CK11" i="20"/>
  <c r="CJ11" i="20"/>
  <c r="CI11" i="20"/>
  <c r="CH11" i="20"/>
  <c r="CG11" i="20"/>
  <c r="CF11" i="20"/>
  <c r="CD11" i="20"/>
  <c r="CA11" i="20"/>
  <c r="BG11" i="20"/>
  <c r="BD11" i="20"/>
  <c r="BC11" i="20"/>
  <c r="BB11" i="20"/>
  <c r="AZ11" i="20"/>
  <c r="AX11" i="20"/>
  <c r="AW11" i="20"/>
  <c r="AS11" i="20" s="1"/>
  <c r="AV11" i="20"/>
  <c r="AU11" i="20"/>
  <c r="AR11" i="20"/>
  <c r="AP11" i="20"/>
  <c r="AQ11" i="20" s="1"/>
  <c r="AN11" i="20"/>
  <c r="AM11" i="20"/>
  <c r="AK11" i="20"/>
  <c r="AJ11" i="20"/>
  <c r="AL11" i="20" s="1"/>
  <c r="CP11" i="20" s="1"/>
  <c r="AG11" i="20"/>
  <c r="AC11" i="20"/>
  <c r="Z11" i="20"/>
  <c r="Y11" i="20"/>
  <c r="V11" i="20"/>
  <c r="U11" i="20"/>
  <c r="T11" i="20"/>
  <c r="S11" i="20"/>
  <c r="R11" i="20"/>
  <c r="N11" i="20"/>
  <c r="BP11" i="20" s="1"/>
  <c r="M11" i="20"/>
  <c r="GJ10" i="20" s="1"/>
  <c r="GB10" i="20"/>
  <c r="FE10" i="20"/>
  <c r="DU10" i="20"/>
  <c r="DU11" i="20" s="1"/>
  <c r="DR10" i="20"/>
  <c r="DM10" i="20"/>
  <c r="DK10" i="20"/>
  <c r="DI10" i="20"/>
  <c r="CW10" i="20"/>
  <c r="CU10" i="20"/>
  <c r="CT10" i="20"/>
  <c r="CR10" i="20"/>
  <c r="CQ10" i="20"/>
  <c r="CN10" i="20"/>
  <c r="CM10" i="20"/>
  <c r="CL10" i="20" s="1"/>
  <c r="CK10" i="20"/>
  <c r="CJ10" i="20"/>
  <c r="CI10" i="20"/>
  <c r="CG10" i="20"/>
  <c r="CA10" i="20"/>
  <c r="BD10" i="20"/>
  <c r="BC10" i="20"/>
  <c r="BB10" i="20"/>
  <c r="BG10" i="20" s="1"/>
  <c r="AZ10" i="20"/>
  <c r="AX10" i="20"/>
  <c r="AW10" i="20"/>
  <c r="AV10" i="20"/>
  <c r="AU10" i="20"/>
  <c r="AT10" i="20"/>
  <c r="AR10" i="20"/>
  <c r="AQ10" i="20"/>
  <c r="AP10" i="20"/>
  <c r="AO10" i="20"/>
  <c r="CS10" i="20" s="1"/>
  <c r="AN10" i="20"/>
  <c r="AK10" i="20"/>
  <c r="AJ10" i="20"/>
  <c r="AG10" i="20"/>
  <c r="AC10" i="20"/>
  <c r="Z10" i="20"/>
  <c r="Y10" i="20"/>
  <c r="W10" i="20"/>
  <c r="V10" i="20"/>
  <c r="U10" i="20"/>
  <c r="AA10" i="20" s="1"/>
  <c r="T10" i="20"/>
  <c r="S10" i="20"/>
  <c r="R10" i="20"/>
  <c r="N10" i="20"/>
  <c r="M10" i="20"/>
  <c r="GJ9" i="20"/>
  <c r="FH9" i="20"/>
  <c r="FE9" i="20"/>
  <c r="DX9" i="20"/>
  <c r="AF9" i="20" s="1"/>
  <c r="DR9" i="20"/>
  <c r="DM9" i="20"/>
  <c r="DK9" i="20"/>
  <c r="DI9" i="20"/>
  <c r="CW9" i="20"/>
  <c r="CT9" i="20"/>
  <c r="CQ9" i="20"/>
  <c r="CM9" i="20"/>
  <c r="CJ9" i="20"/>
  <c r="CI9" i="20"/>
  <c r="CF9" i="20"/>
  <c r="CD9" i="20"/>
  <c r="CA9" i="20"/>
  <c r="BR9" i="20"/>
  <c r="BO9" i="20"/>
  <c r="BD9" i="20"/>
  <c r="BC9" i="20"/>
  <c r="BB9" i="20"/>
  <c r="AZ9" i="20"/>
  <c r="AX9" i="20"/>
  <c r="AW9" i="20"/>
  <c r="AV9" i="20"/>
  <c r="AU9" i="20"/>
  <c r="AT9" i="20" s="1"/>
  <c r="AR9" i="20"/>
  <c r="AQ9" i="20"/>
  <c r="AP9" i="20"/>
  <c r="AN9" i="20"/>
  <c r="CR9" i="20" s="1"/>
  <c r="AK9" i="20"/>
  <c r="AJ9" i="20"/>
  <c r="CN9" i="20" s="1"/>
  <c r="AG9" i="20"/>
  <c r="AH9" i="20" s="1"/>
  <c r="CL9" i="20" s="1"/>
  <c r="AC9" i="20"/>
  <c r="AB9" i="20"/>
  <c r="Z9" i="20"/>
  <c r="Y9" i="20"/>
  <c r="W9" i="20"/>
  <c r="V9" i="20"/>
  <c r="U9" i="20"/>
  <c r="T9" i="20"/>
  <c r="S9" i="20"/>
  <c r="R9" i="20"/>
  <c r="N9" i="20"/>
  <c r="BP9" i="20" s="1"/>
  <c r="M9" i="20"/>
  <c r="GJ8" i="20"/>
  <c r="FI8" i="20"/>
  <c r="FH8" i="20"/>
  <c r="FG8" i="20"/>
  <c r="FE8" i="20"/>
  <c r="DR8" i="20"/>
  <c r="DM8" i="20"/>
  <c r="DK8" i="20"/>
  <c r="DI8" i="20"/>
  <c r="DG8" i="20"/>
  <c r="DF8" i="20"/>
  <c r="DE8" i="20"/>
  <c r="CY8" i="20"/>
  <c r="CW8" i="20"/>
  <c r="CV8" i="20"/>
  <c r="CU8" i="20"/>
  <c r="CT8" i="20"/>
  <c r="CS8" i="20"/>
  <c r="CR8" i="20"/>
  <c r="CQ8" i="20"/>
  <c r="CO8" i="20"/>
  <c r="CN8" i="20"/>
  <c r="CM8" i="20"/>
  <c r="CL8" i="20"/>
  <c r="CK8" i="20"/>
  <c r="CJ8" i="20"/>
  <c r="CI8" i="20"/>
  <c r="CF8" i="20"/>
  <c r="CA8" i="20"/>
  <c r="BY8" i="20"/>
  <c r="BX8" i="20"/>
  <c r="BS8" i="20"/>
  <c r="BR8" i="20"/>
  <c r="BD8" i="20"/>
  <c r="BC8" i="20"/>
  <c r="BB8" i="20"/>
  <c r="AZ8" i="20"/>
  <c r="BG8" i="20" s="1"/>
  <c r="AX8" i="20"/>
  <c r="DA8" i="20" s="1"/>
  <c r="AW8" i="20"/>
  <c r="CZ8" i="20" s="1"/>
  <c r="AV8" i="20"/>
  <c r="AU8" i="20"/>
  <c r="AT8" i="20"/>
  <c r="AS8" i="20"/>
  <c r="AR8" i="20"/>
  <c r="AQ8" i="20"/>
  <c r="AP8" i="20"/>
  <c r="AN8" i="20"/>
  <c r="AL8" i="20"/>
  <c r="AM8" i="20" s="1"/>
  <c r="AK8" i="20"/>
  <c r="AJ8" i="20"/>
  <c r="AG8" i="20"/>
  <c r="AF8" i="20"/>
  <c r="AC8" i="20"/>
  <c r="AB8" i="20"/>
  <c r="Z8" i="20"/>
  <c r="BT8" i="20" s="1"/>
  <c r="Y8" i="20"/>
  <c r="X8" i="20"/>
  <c r="W8" i="20"/>
  <c r="V8" i="20"/>
  <c r="U8" i="20"/>
  <c r="T8" i="20"/>
  <c r="S8" i="20"/>
  <c r="BP8" i="20" s="1"/>
  <c r="R8" i="20"/>
  <c r="O8" i="20"/>
  <c r="DC8" i="20" s="1"/>
  <c r="N8" i="20"/>
  <c r="M8" i="20"/>
  <c r="GJ7" i="20"/>
  <c r="FI7" i="20"/>
  <c r="FH7" i="20"/>
  <c r="FG7" i="20"/>
  <c r="FE7" i="20"/>
  <c r="EE7" i="20"/>
  <c r="DR7" i="20"/>
  <c r="DM7" i="20"/>
  <c r="DK7" i="20"/>
  <c r="DI7" i="20"/>
  <c r="CW7" i="20"/>
  <c r="CT7" i="20"/>
  <c r="CR7" i="20"/>
  <c r="CQ7" i="20"/>
  <c r="CP7" i="20"/>
  <c r="CM7" i="20"/>
  <c r="CK7" i="20"/>
  <c r="CJ7" i="20"/>
  <c r="CI7" i="20"/>
  <c r="CA7" i="20"/>
  <c r="BT7" i="20"/>
  <c r="BP7" i="20"/>
  <c r="BG7" i="20"/>
  <c r="BD7" i="20"/>
  <c r="BC7" i="20"/>
  <c r="BB7" i="20"/>
  <c r="AZ7" i="20"/>
  <c r="AX7" i="20"/>
  <c r="AW7" i="20"/>
  <c r="AV7" i="20"/>
  <c r="AU7" i="20"/>
  <c r="AR7" i="20"/>
  <c r="AP7" i="20"/>
  <c r="CU7" i="20" s="1"/>
  <c r="AO7" i="20"/>
  <c r="CS7" i="20" s="1"/>
  <c r="AN7" i="20"/>
  <c r="AL7" i="20"/>
  <c r="AK7" i="20"/>
  <c r="AJ7" i="20"/>
  <c r="AH7" i="20"/>
  <c r="CL7" i="20" s="1"/>
  <c r="AG7" i="20"/>
  <c r="AF7" i="20"/>
  <c r="AC7" i="20"/>
  <c r="AB7" i="20"/>
  <c r="Z7" i="20"/>
  <c r="Y7" i="20"/>
  <c r="W7" i="20"/>
  <c r="V7" i="20"/>
  <c r="U7" i="20"/>
  <c r="T7" i="20"/>
  <c r="S7" i="20"/>
  <c r="R7" i="20"/>
  <c r="N7" i="20"/>
  <c r="BQ7" i="20" s="1"/>
  <c r="M7" i="20"/>
  <c r="GJ6" i="20"/>
  <c r="GB6" i="20"/>
  <c r="FI6" i="20"/>
  <c r="FH6" i="20"/>
  <c r="FE6" i="20"/>
  <c r="DR6" i="20"/>
  <c r="DM6" i="20"/>
  <c r="DK6" i="20"/>
  <c r="DI6" i="20"/>
  <c r="CW6" i="20"/>
  <c r="CU6" i="20"/>
  <c r="CT6" i="20"/>
  <c r="CQ6" i="20"/>
  <c r="CN6" i="20"/>
  <c r="CM6" i="20"/>
  <c r="CI6" i="20"/>
  <c r="CH6" i="20"/>
  <c r="CG6" i="20"/>
  <c r="CF6" i="20"/>
  <c r="CA6" i="20"/>
  <c r="BO6" i="20"/>
  <c r="BD6" i="20"/>
  <c r="BC6" i="20"/>
  <c r="BC37" i="20" s="1"/>
  <c r="BB6" i="20"/>
  <c r="AZ6" i="20"/>
  <c r="AX6" i="20"/>
  <c r="AW6" i="20"/>
  <c r="AV6" i="20"/>
  <c r="AV37" i="20" s="1"/>
  <c r="AU6" i="20"/>
  <c r="AU37" i="20" s="1"/>
  <c r="AR6" i="20"/>
  <c r="AT6" i="20" s="1"/>
  <c r="AP6" i="20"/>
  <c r="AN6" i="20"/>
  <c r="AO6" i="20" s="1"/>
  <c r="AK6" i="20"/>
  <c r="CO6" i="20" s="1"/>
  <c r="AJ6" i="20"/>
  <c r="AG6" i="20"/>
  <c r="AF6" i="20"/>
  <c r="AH6" i="20" s="1"/>
  <c r="AD6" i="20"/>
  <c r="AC6" i="20"/>
  <c r="AB6" i="20"/>
  <c r="AE6" i="20" s="1"/>
  <c r="Z6" i="20"/>
  <c r="Z37" i="20" s="1"/>
  <c r="Y6" i="20"/>
  <c r="Y37" i="20" s="1"/>
  <c r="X6" i="20"/>
  <c r="W6" i="20"/>
  <c r="V6" i="20"/>
  <c r="U6" i="20"/>
  <c r="T6" i="20"/>
  <c r="AA6" i="20" s="1"/>
  <c r="S6" i="20"/>
  <c r="R6" i="20"/>
  <c r="N6" i="20"/>
  <c r="M6" i="20"/>
  <c r="M37" i="20" s="1"/>
  <c r="DC3" i="20"/>
  <c r="DB3" i="20"/>
  <c r="DA3" i="20"/>
  <c r="CZ3" i="20"/>
  <c r="CY3" i="20"/>
  <c r="CX3" i="20"/>
  <c r="CW3" i="20"/>
  <c r="CV3" i="20"/>
  <c r="CU3" i="20"/>
  <c r="CT3" i="20"/>
  <c r="CS3" i="20"/>
  <c r="CR3" i="20"/>
  <c r="CQ3" i="20"/>
  <c r="CP3" i="20"/>
  <c r="CO3" i="20"/>
  <c r="CN3" i="20"/>
  <c r="CM3" i="20"/>
  <c r="CL3" i="20"/>
  <c r="CK3" i="20"/>
  <c r="CJ3" i="20"/>
  <c r="CI3" i="20"/>
  <c r="CH3" i="20"/>
  <c r="CG3" i="20"/>
  <c r="CF3" i="20"/>
  <c r="CE3" i="20"/>
  <c r="CD3" i="20"/>
  <c r="CC3" i="20"/>
  <c r="FJ40" i="20" l="1"/>
  <c r="FF42" i="20"/>
  <c r="FF8" i="20"/>
  <c r="CL6" i="20"/>
  <c r="CS6" i="20"/>
  <c r="DH8" i="20"/>
  <c r="AD14" i="20"/>
  <c r="CH14" i="20" s="1"/>
  <c r="AT21" i="20"/>
  <c r="AS21" i="20"/>
  <c r="AE24" i="20"/>
  <c r="AH24" i="20"/>
  <c r="X27" i="20"/>
  <c r="U37" i="20"/>
  <c r="BD37" i="20"/>
  <c r="CR6" i="20"/>
  <c r="BP10" i="20"/>
  <c r="BT10" i="20"/>
  <c r="BQ10" i="20"/>
  <c r="S37" i="20"/>
  <c r="AL6" i="20"/>
  <c r="BB37" i="20"/>
  <c r="AA7" i="20"/>
  <c r="BU7" i="20" s="1"/>
  <c r="X7" i="20"/>
  <c r="BO8" i="20"/>
  <c r="CG8" i="20"/>
  <c r="DB8" i="20"/>
  <c r="CV9" i="20"/>
  <c r="AS10" i="20"/>
  <c r="CO10" i="20"/>
  <c r="BQ12" i="20"/>
  <c r="CG12" i="20"/>
  <c r="CR13" i="20"/>
  <c r="AO13" i="20"/>
  <c r="CD14" i="20"/>
  <c r="AS14" i="20"/>
  <c r="CC14" i="20" s="1"/>
  <c r="AT16" i="20"/>
  <c r="AS16" i="20"/>
  <c r="AT17" i="20"/>
  <c r="AS17" i="20"/>
  <c r="BS22" i="20"/>
  <c r="BR22" i="20"/>
  <c r="BQ22" i="20"/>
  <c r="BP22" i="20"/>
  <c r="O22" i="20"/>
  <c r="BT22" i="20"/>
  <c r="BU22" i="20"/>
  <c r="DP23" i="20"/>
  <c r="BH23" i="20"/>
  <c r="AO27" i="20"/>
  <c r="DF29" i="20"/>
  <c r="CZ29" i="20"/>
  <c r="BX29" i="20"/>
  <c r="DE29" i="20"/>
  <c r="CY29" i="20"/>
  <c r="BW29" i="20"/>
  <c r="DD29" i="20"/>
  <c r="CX29" i="20"/>
  <c r="CB29" i="20"/>
  <c r="BV29" i="20"/>
  <c r="BU29" i="20" s="1"/>
  <c r="DC29" i="20"/>
  <c r="DG29" i="20"/>
  <c r="DA29" i="20"/>
  <c r="BY29" i="20"/>
  <c r="CS29" i="20"/>
  <c r="CR29" i="20" s="1"/>
  <c r="DB29" i="20"/>
  <c r="AT30" i="20"/>
  <c r="AS30" i="20"/>
  <c r="BG30" i="20"/>
  <c r="CG15" i="20"/>
  <c r="CF15" i="20" s="1"/>
  <c r="CE15" i="20" s="1"/>
  <c r="CD15" i="20" s="1"/>
  <c r="AD15" i="20"/>
  <c r="CS20" i="20"/>
  <c r="CR20" i="20" s="1"/>
  <c r="BQ30" i="20"/>
  <c r="BP30" i="20"/>
  <c r="BO30" i="20"/>
  <c r="BT30" i="20"/>
  <c r="O30" i="20"/>
  <c r="BR30" i="20"/>
  <c r="AG37" i="20"/>
  <c r="CK6" i="20"/>
  <c r="CV13" i="20"/>
  <c r="CU13" i="20" s="1"/>
  <c r="CU18" i="20"/>
  <c r="AQ18" i="20"/>
  <c r="AA19" i="20"/>
  <c r="CV23" i="20"/>
  <c r="CU23" i="20" s="1"/>
  <c r="AT26" i="20"/>
  <c r="CD26" i="20"/>
  <c r="AS26" i="20"/>
  <c r="BQ27" i="20"/>
  <c r="BP27" i="20"/>
  <c r="BO27" i="20"/>
  <c r="BT27" i="20"/>
  <c r="BR27" i="20"/>
  <c r="CR30" i="20"/>
  <c r="AO30" i="20"/>
  <c r="AL12" i="20"/>
  <c r="CP12" i="20" s="1"/>
  <c r="BR20" i="20"/>
  <c r="BQ20" i="20"/>
  <c r="BP20" i="20"/>
  <c r="BU20" i="20"/>
  <c r="BO20" i="20"/>
  <c r="O20" i="20"/>
  <c r="BS20" i="20"/>
  <c r="CG23" i="20"/>
  <c r="AD23" i="20"/>
  <c r="BS28" i="20"/>
  <c r="BR28" i="20"/>
  <c r="BQ28" i="20"/>
  <c r="BP28" i="20"/>
  <c r="BT28" i="20"/>
  <c r="AD8" i="20"/>
  <c r="CH8" i="20" s="1"/>
  <c r="AA9" i="20"/>
  <c r="CO9" i="20"/>
  <c r="AQ15" i="20"/>
  <c r="N37" i="20"/>
  <c r="BP6" i="20"/>
  <c r="V37" i="20"/>
  <c r="AQ6" i="20"/>
  <c r="AW37" i="20"/>
  <c r="BR6" i="20"/>
  <c r="CG7" i="20"/>
  <c r="AI7" i="20"/>
  <c r="CN7" i="20"/>
  <c r="AM7" i="20"/>
  <c r="AQ7" i="20"/>
  <c r="AA8" i="20"/>
  <c r="BZ8" i="20" s="1"/>
  <c r="AE8" i="20"/>
  <c r="AH8" i="20"/>
  <c r="AO8" i="20"/>
  <c r="BQ8" i="20"/>
  <c r="BG9" i="20"/>
  <c r="CE9" i="20"/>
  <c r="O10" i="20"/>
  <c r="BO10" i="20"/>
  <c r="CS11" i="20"/>
  <c r="AH13" i="20"/>
  <c r="X14" i="20"/>
  <c r="CJ14" i="20"/>
  <c r="AH14" i="20"/>
  <c r="BG14" i="20"/>
  <c r="CP15" i="20"/>
  <c r="AI16" i="20"/>
  <c r="AH16" i="20"/>
  <c r="CL16" i="20" s="1"/>
  <c r="CJ17" i="20"/>
  <c r="AH17" i="20"/>
  <c r="AI17" i="20" s="1"/>
  <c r="CE17" i="20"/>
  <c r="CD17" i="20" s="1"/>
  <c r="BR18" i="20"/>
  <c r="X18" i="20"/>
  <c r="AD22" i="20"/>
  <c r="CG24" i="20"/>
  <c r="AA26" i="20"/>
  <c r="AA27" i="20"/>
  <c r="BS27" i="20"/>
  <c r="CO28" i="20"/>
  <c r="AS28" i="20"/>
  <c r="CE28" i="20" s="1"/>
  <c r="AD29" i="20"/>
  <c r="CH29" i="20" s="1"/>
  <c r="CF29" i="20"/>
  <c r="BG29" i="20"/>
  <c r="CK31" i="20"/>
  <c r="CO34" i="20"/>
  <c r="CN34" i="20" s="1"/>
  <c r="T37" i="20"/>
  <c r="CJ6" i="20"/>
  <c r="AM6" i="20"/>
  <c r="AN37" i="20"/>
  <c r="AB12" i="20"/>
  <c r="AB11" i="20"/>
  <c r="CV25" i="20"/>
  <c r="CU25" i="20" s="1"/>
  <c r="CF7" i="20"/>
  <c r="AA11" i="20"/>
  <c r="O6" i="20"/>
  <c r="AR37" i="20"/>
  <c r="AX37" i="20"/>
  <c r="BS6" i="20"/>
  <c r="BR7" i="20"/>
  <c r="BS7" i="20"/>
  <c r="AD7" i="20"/>
  <c r="AE7" i="20" s="1"/>
  <c r="CO7" i="20"/>
  <c r="AS7" i="20"/>
  <c r="AT7" i="20"/>
  <c r="AT37" i="20" s="1"/>
  <c r="BO7" i="20"/>
  <c r="BS9" i="20"/>
  <c r="BQ9" i="20"/>
  <c r="O9" i="20"/>
  <c r="BT9" i="20"/>
  <c r="CG9" i="20"/>
  <c r="AO9" i="20"/>
  <c r="AS9" i="20"/>
  <c r="X10" i="20"/>
  <c r="BR10" i="20"/>
  <c r="AA12" i="20"/>
  <c r="BG12" i="20"/>
  <c r="AA13" i="20"/>
  <c r="DG14" i="20"/>
  <c r="DA14" i="20"/>
  <c r="BX14" i="20"/>
  <c r="DF14" i="20"/>
  <c r="CZ14" i="20"/>
  <c r="BW14" i="20"/>
  <c r="DE14" i="20"/>
  <c r="CY14" i="20"/>
  <c r="CB14" i="20"/>
  <c r="BV14" i="20"/>
  <c r="DD14" i="20"/>
  <c r="CX14" i="20"/>
  <c r="DH14" i="20"/>
  <c r="DB14" i="20"/>
  <c r="BY14" i="20"/>
  <c r="CS14" i="20"/>
  <c r="CR14" i="20" s="1"/>
  <c r="CN15" i="20"/>
  <c r="AM15" i="20"/>
  <c r="AL15" i="20"/>
  <c r="DC18" i="20"/>
  <c r="DH18" i="20"/>
  <c r="DB18" i="20"/>
  <c r="DG18" i="20"/>
  <c r="DA18" i="20"/>
  <c r="BY18" i="20"/>
  <c r="DF18" i="20"/>
  <c r="CZ18" i="20"/>
  <c r="BX18" i="20"/>
  <c r="DD18" i="20"/>
  <c r="CX18" i="20"/>
  <c r="CB18" i="20"/>
  <c r="AI18" i="20"/>
  <c r="CN18" i="20"/>
  <c r="AL18" i="20"/>
  <c r="CP18" i="20" s="1"/>
  <c r="CO18" i="20" s="1"/>
  <c r="BW18" i="20"/>
  <c r="BV18" i="20" s="1"/>
  <c r="AH19" i="20"/>
  <c r="CL19" i="20" s="1"/>
  <c r="AD20" i="20"/>
  <c r="AE20" i="20" s="1"/>
  <c r="CF20" i="20"/>
  <c r="BP21" i="20"/>
  <c r="CJ21" i="20"/>
  <c r="AI21" i="20"/>
  <c r="AH21" i="20"/>
  <c r="AA24" i="20"/>
  <c r="BS24" i="20"/>
  <c r="AH25" i="20"/>
  <c r="CO25" i="20"/>
  <c r="AL25" i="20"/>
  <c r="BG27" i="20"/>
  <c r="BO28" i="20"/>
  <c r="CV29" i="20"/>
  <c r="BS30" i="20"/>
  <c r="BT11" i="20"/>
  <c r="BR11" i="20"/>
  <c r="BQ11" i="20"/>
  <c r="O11" i="20"/>
  <c r="BO11" i="20"/>
  <c r="AT19" i="20"/>
  <c r="CD19" i="20"/>
  <c r="AS19" i="20"/>
  <c r="AI22" i="20"/>
  <c r="CN22" i="20"/>
  <c r="AL22" i="20"/>
  <c r="AM22" i="20" s="1"/>
  <c r="BG28" i="20"/>
  <c r="BQ6" i="20"/>
  <c r="AB10" i="20"/>
  <c r="R37" i="20"/>
  <c r="AK37" i="20"/>
  <c r="AS6" i="20"/>
  <c r="AZ37" i="20"/>
  <c r="BG6" i="20"/>
  <c r="BT6" i="20"/>
  <c r="FG6" i="20"/>
  <c r="CE8" i="20"/>
  <c r="CD8" i="20" s="1"/>
  <c r="CK9" i="20"/>
  <c r="BS10" i="20"/>
  <c r="CV10" i="20"/>
  <c r="BS11" i="20"/>
  <c r="CN11" i="20"/>
  <c r="AI14" i="20"/>
  <c r="BP16" i="20"/>
  <c r="AQ22" i="20"/>
  <c r="AL23" i="20"/>
  <c r="AM23" i="20" s="1"/>
  <c r="BU23" i="20"/>
  <c r="AM24" i="20"/>
  <c r="CS25" i="20"/>
  <c r="DV25" i="20"/>
  <c r="BL25" i="20"/>
  <c r="DP25" i="20" s="1"/>
  <c r="AH26" i="20"/>
  <c r="CL26" i="20" s="1"/>
  <c r="CP26" i="20"/>
  <c r="CF27" i="20"/>
  <c r="CE27" i="20" s="1"/>
  <c r="CD27" i="20" s="1"/>
  <c r="AD27" i="20"/>
  <c r="AE27" i="20" s="1"/>
  <c r="X29" i="20"/>
  <c r="FI43" i="20"/>
  <c r="FI9" i="20"/>
  <c r="FF7" i="20"/>
  <c r="FD7" i="20" s="1"/>
  <c r="AI8" i="20"/>
  <c r="BW8" i="20"/>
  <c r="CC8" i="20"/>
  <c r="CX8" i="20"/>
  <c r="DD8" i="20"/>
  <c r="CU9" i="20"/>
  <c r="BR12" i="20"/>
  <c r="BS13" i="20"/>
  <c r="CG13" i="20"/>
  <c r="AA14" i="20"/>
  <c r="AT14" i="20"/>
  <c r="BS14" i="20"/>
  <c r="CG14" i="20"/>
  <c r="CF14" i="20" s="1"/>
  <c r="CN14" i="20"/>
  <c r="CO15" i="20"/>
  <c r="CX15" i="20"/>
  <c r="DD15" i="20"/>
  <c r="AD16" i="20"/>
  <c r="AE16" i="20" s="1"/>
  <c r="BO16" i="20"/>
  <c r="CK16" i="20"/>
  <c r="CJ16" i="20" s="1"/>
  <c r="CS16" i="20"/>
  <c r="CR16" i="20" s="1"/>
  <c r="X17" i="20"/>
  <c r="BP17" i="20"/>
  <c r="BW17" i="20"/>
  <c r="CC17" i="20"/>
  <c r="CK17" i="20"/>
  <c r="DA17" i="20"/>
  <c r="DG17" i="20"/>
  <c r="AA18" i="20"/>
  <c r="BZ18" i="20" s="1"/>
  <c r="BT18" i="20"/>
  <c r="BO19" i="20"/>
  <c r="CP19" i="20"/>
  <c r="AT20" i="20"/>
  <c r="CL20" i="20"/>
  <c r="X21" i="20"/>
  <c r="AD21" i="20"/>
  <c r="CH21" i="20" s="1"/>
  <c r="BQ21" i="20"/>
  <c r="BX21" i="20"/>
  <c r="CF21" i="20"/>
  <c r="CE21" i="20" s="1"/>
  <c r="CD21" i="20" s="1"/>
  <c r="CL21" i="20"/>
  <c r="DA21" i="20"/>
  <c r="DG21" i="20"/>
  <c r="CO22" i="20"/>
  <c r="CH23" i="20"/>
  <c r="CN23" i="20"/>
  <c r="DD23" i="20"/>
  <c r="DJ23" i="20"/>
  <c r="AD24" i="20"/>
  <c r="BR24" i="20"/>
  <c r="AI25" i="20"/>
  <c r="BO25" i="20"/>
  <c r="BV25" i="20"/>
  <c r="CC25" i="20"/>
  <c r="DC25" i="20"/>
  <c r="BO26" i="20"/>
  <c r="CO26" i="20"/>
  <c r="CG27" i="20"/>
  <c r="CF28" i="20"/>
  <c r="CR28" i="20"/>
  <c r="AA29" i="20"/>
  <c r="BZ29" i="20" s="1"/>
  <c r="AT29" i="20"/>
  <c r="BR29" i="20"/>
  <c r="CL29" i="20"/>
  <c r="CU29" i="20"/>
  <c r="AM30" i="20"/>
  <c r="CF30" i="20"/>
  <c r="CE30" i="20" s="1"/>
  <c r="CL30" i="20"/>
  <c r="AA31" i="20"/>
  <c r="AH31" i="20"/>
  <c r="AI31" i="20" s="1"/>
  <c r="CB31" i="20"/>
  <c r="CJ31" i="20"/>
  <c r="CS32" i="20"/>
  <c r="CR32" i="20" s="1"/>
  <c r="AA36" i="20"/>
  <c r="CE11" i="20"/>
  <c r="BT12" i="20"/>
  <c r="BO13" i="20"/>
  <c r="BU13" i="20"/>
  <c r="CP13" i="20"/>
  <c r="CP14" i="20"/>
  <c r="BO15" i="20"/>
  <c r="BV15" i="20"/>
  <c r="CK15" i="20"/>
  <c r="BQ16" i="20"/>
  <c r="CE16" i="20"/>
  <c r="CD16" i="20" s="1"/>
  <c r="BR17" i="20"/>
  <c r="BY17" i="20"/>
  <c r="DC17" i="20"/>
  <c r="CE18" i="20"/>
  <c r="CD18" i="20" s="1"/>
  <c r="BQ19" i="20"/>
  <c r="CK19" i="20"/>
  <c r="CS19" i="20"/>
  <c r="FK71" i="20"/>
  <c r="FK74" i="20" s="1"/>
  <c r="BZ21" i="20"/>
  <c r="DC21" i="20"/>
  <c r="BG23" i="20"/>
  <c r="CP23" i="20"/>
  <c r="BT24" i="20"/>
  <c r="BG25" i="20"/>
  <c r="BQ25" i="20"/>
  <c r="CE25" i="20"/>
  <c r="CR25" i="20"/>
  <c r="CY25" i="20"/>
  <c r="DE25" i="20"/>
  <c r="BQ26" i="20"/>
  <c r="CK26" i="20"/>
  <c r="BT29" i="20"/>
  <c r="CO29" i="20"/>
  <c r="CO30" i="20"/>
  <c r="BQ31" i="20"/>
  <c r="BV31" i="20"/>
  <c r="BU31" i="20" s="1"/>
  <c r="CV35" i="20"/>
  <c r="P7" i="23"/>
  <c r="AI9" i="20"/>
  <c r="X11" i="20"/>
  <c r="W11" i="20" s="1"/>
  <c r="O12" i="20"/>
  <c r="AO12" i="20"/>
  <c r="BO12" i="20"/>
  <c r="AI13" i="20"/>
  <c r="BP13" i="20"/>
  <c r="AQ14" i="20"/>
  <c r="AE15" i="20"/>
  <c r="BG15" i="20"/>
  <c r="BP15" i="20"/>
  <c r="BR16" i="20"/>
  <c r="BS17" i="20"/>
  <c r="BZ17" i="20"/>
  <c r="CX17" i="20"/>
  <c r="DD17" i="20"/>
  <c r="BR19" i="20"/>
  <c r="CE19" i="20"/>
  <c r="AQ20" i="20"/>
  <c r="CP20" i="20"/>
  <c r="BT21" i="20"/>
  <c r="CP21" i="20"/>
  <c r="CX21" i="20"/>
  <c r="DD21" i="20"/>
  <c r="BG22" i="20"/>
  <c r="CD22" i="20"/>
  <c r="AE23" i="20"/>
  <c r="AS23" i="20"/>
  <c r="CC23" i="20" s="1"/>
  <c r="BQ23" i="20"/>
  <c r="BX23" i="20"/>
  <c r="AO24" i="20"/>
  <c r="BO24" i="20"/>
  <c r="CZ25" i="20"/>
  <c r="DF25" i="20"/>
  <c r="BR26" i="20"/>
  <c r="CE26" i="20"/>
  <c r="CS26" i="20"/>
  <c r="CR26" i="20" s="1"/>
  <c r="X28" i="20"/>
  <c r="BO29" i="20"/>
  <c r="CP29" i="20"/>
  <c r="CP30" i="20"/>
  <c r="BT31" i="20"/>
  <c r="CN31" i="20"/>
  <c r="BG31" i="20"/>
  <c r="BW31" i="20"/>
  <c r="CO31" i="20"/>
  <c r="BS32" i="20"/>
  <c r="BQ32" i="20"/>
  <c r="BP32" i="20"/>
  <c r="O32" i="20"/>
  <c r="BT32" i="20"/>
  <c r="AS32" i="20"/>
  <c r="CE32" i="20" s="1"/>
  <c r="CD32" i="20"/>
  <c r="AT32" i="20"/>
  <c r="BO32" i="20"/>
  <c r="FG42" i="20"/>
  <c r="FG9" i="20" s="1"/>
  <c r="FH43" i="20"/>
  <c r="BQ15" i="20"/>
  <c r="BX15" i="20"/>
  <c r="BS16" i="20"/>
  <c r="CP17" i="20"/>
  <c r="CY17" i="20"/>
  <c r="DE17" i="20"/>
  <c r="BS19" i="20"/>
  <c r="CJ20" i="20"/>
  <c r="BV21" i="20"/>
  <c r="BU21" i="20" s="1"/>
  <c r="CB21" i="20"/>
  <c r="CS21" i="20"/>
  <c r="CR21" i="20" s="1"/>
  <c r="CY21" i="20"/>
  <c r="DE21" i="20"/>
  <c r="AE22" i="20"/>
  <c r="CF22" i="20"/>
  <c r="CE22" i="20" s="1"/>
  <c r="CE23" i="20"/>
  <c r="AI24" i="20"/>
  <c r="BP24" i="20"/>
  <c r="AA25" i="20"/>
  <c r="BZ25" i="20" s="1"/>
  <c r="BS26" i="20"/>
  <c r="CL27" i="20"/>
  <c r="AO28" i="20"/>
  <c r="AE29" i="20"/>
  <c r="CJ29" i="20"/>
  <c r="DF31" i="20"/>
  <c r="CZ31" i="20"/>
  <c r="BX31" i="20"/>
  <c r="DD31" i="20"/>
  <c r="CX31" i="20"/>
  <c r="DC31" i="20"/>
  <c r="DG31" i="20"/>
  <c r="DA31" i="20"/>
  <c r="BY31" i="20"/>
  <c r="BR31" i="20"/>
  <c r="BZ31" i="20"/>
  <c r="DB31" i="20"/>
  <c r="DP31" i="20"/>
  <c r="BG33" i="20"/>
  <c r="CV34" i="20"/>
  <c r="BG35" i="20"/>
  <c r="AE36" i="20"/>
  <c r="AH36" i="20"/>
  <c r="AI36" i="20" s="1"/>
  <c r="DJ17" i="23"/>
  <c r="W37" i="20"/>
  <c r="AI6" i="20"/>
  <c r="AJ37" i="20"/>
  <c r="GB37" i="20"/>
  <c r="BV8" i="20"/>
  <c r="BU8" i="20" s="1"/>
  <c r="CB8" i="20"/>
  <c r="CP8" i="20"/>
  <c r="X9" i="20"/>
  <c r="X37" i="20" s="1"/>
  <c r="AD9" i="20"/>
  <c r="AE9" i="20" s="1"/>
  <c r="AL9" i="20"/>
  <c r="AM9" i="20" s="1"/>
  <c r="AL10" i="20"/>
  <c r="CP10" i="20" s="1"/>
  <c r="AT11" i="20"/>
  <c r="CO11" i="20"/>
  <c r="X12" i="20"/>
  <c r="AE13" i="20"/>
  <c r="AL13" i="20"/>
  <c r="AM13" i="20" s="1"/>
  <c r="CF13" i="20"/>
  <c r="CE13" i="20" s="1"/>
  <c r="GJ13" i="20"/>
  <c r="AM14" i="20"/>
  <c r="CL14" i="20"/>
  <c r="CU14" i="20"/>
  <c r="AA15" i="20"/>
  <c r="BZ15" i="20" s="1"/>
  <c r="AH15" i="20"/>
  <c r="CL15" i="20" s="1"/>
  <c r="BY15" i="20"/>
  <c r="CH15" i="20"/>
  <c r="CP16" i="20"/>
  <c r="BV17" i="20"/>
  <c r="BU17" i="20" s="1"/>
  <c r="CB17" i="20"/>
  <c r="CZ17" i="20"/>
  <c r="O19" i="20"/>
  <c r="CO19" i="20"/>
  <c r="AM20" i="20"/>
  <c r="AS20" i="20"/>
  <c r="CK20" i="20"/>
  <c r="BW21" i="20"/>
  <c r="CC21" i="20"/>
  <c r="CK21" i="20"/>
  <c r="CZ21" i="20"/>
  <c r="AA23" i="20"/>
  <c r="BZ23" i="20" s="1"/>
  <c r="AH23" i="20"/>
  <c r="AI23" i="20" s="1"/>
  <c r="AO23" i="20"/>
  <c r="O24" i="20"/>
  <c r="CF24" i="20"/>
  <c r="CE24" i="20" s="1"/>
  <c r="CD24" i="20" s="1"/>
  <c r="CB25" i="20"/>
  <c r="DB25" i="20"/>
  <c r="O26" i="20"/>
  <c r="CN26" i="20"/>
  <c r="CV26" i="20"/>
  <c r="CU26" i="20" s="1"/>
  <c r="AL27" i="20"/>
  <c r="CP27" i="20" s="1"/>
  <c r="CO27" i="20" s="1"/>
  <c r="CV27" i="20"/>
  <c r="AA28" i="20"/>
  <c r="BU28" i="20" s="1"/>
  <c r="AH28" i="20"/>
  <c r="CL28" i="20" s="1"/>
  <c r="AQ28" i="20"/>
  <c r="CK28" i="20"/>
  <c r="AM29" i="20"/>
  <c r="AS29" i="20"/>
  <c r="CC29" i="20" s="1"/>
  <c r="CK29" i="20"/>
  <c r="AE30" i="20"/>
  <c r="AL30" i="20"/>
  <c r="CK30" i="20"/>
  <c r="AD31" i="20"/>
  <c r="AE31" i="20" s="1"/>
  <c r="AL31" i="20"/>
  <c r="BO31" i="20"/>
  <c r="CS31" i="20"/>
  <c r="CR31" i="20" s="1"/>
  <c r="DE31" i="20"/>
  <c r="CP32" i="20"/>
  <c r="CO32" i="20" s="1"/>
  <c r="CO35" i="20"/>
  <c r="CV32" i="20"/>
  <c r="O33" i="20"/>
  <c r="AT33" i="20"/>
  <c r="O34" i="20"/>
  <c r="BT34" i="20"/>
  <c r="O35" i="20"/>
  <c r="BP35" i="20"/>
  <c r="CP35" i="20"/>
  <c r="AL36" i="20"/>
  <c r="AM36" i="20" s="1"/>
  <c r="BQ36" i="20"/>
  <c r="CD36" i="20"/>
  <c r="DQ37" i="20"/>
  <c r="CE37" i="23"/>
  <c r="AT37" i="32"/>
  <c r="AI32" i="20"/>
  <c r="X33" i="20"/>
  <c r="AE33" i="20"/>
  <c r="AM33" i="20"/>
  <c r="BQ33" i="20"/>
  <c r="X34" i="20"/>
  <c r="AE34" i="20"/>
  <c r="AL34" i="20"/>
  <c r="BP34" i="20"/>
  <c r="CK34" i="20"/>
  <c r="X35" i="20"/>
  <c r="AE35" i="20"/>
  <c r="AL35" i="20"/>
  <c r="AM35" i="20" s="1"/>
  <c r="BR35" i="20"/>
  <c r="CK35" i="20"/>
  <c r="BS36" i="20"/>
  <c r="BJ11" i="23"/>
  <c r="DJ11" i="23"/>
  <c r="DN12" i="23"/>
  <c r="BJ16" i="23"/>
  <c r="AO33" i="20"/>
  <c r="BR33" i="20"/>
  <c r="CD33" i="20"/>
  <c r="CV33" i="20"/>
  <c r="BQ34" i="20"/>
  <c r="CE34" i="20"/>
  <c r="CD34" i="20" s="1"/>
  <c r="CL34" i="20"/>
  <c r="BS35" i="20"/>
  <c r="CF35" i="20"/>
  <c r="CE35" i="20" s="1"/>
  <c r="CL35" i="20"/>
  <c r="AO36" i="20"/>
  <c r="BT36" i="20"/>
  <c r="CO36" i="20"/>
  <c r="CS37" i="23"/>
  <c r="BI13" i="23"/>
  <c r="DL13" i="23" s="1"/>
  <c r="DN13" i="23"/>
  <c r="BU37" i="23"/>
  <c r="AA33" i="20"/>
  <c r="BU33" i="20" s="1"/>
  <c r="BS33" i="20"/>
  <c r="CK33" i="20"/>
  <c r="AA34" i="20"/>
  <c r="BJ34" i="20" s="1"/>
  <c r="BI34" i="20" s="1"/>
  <c r="BR34" i="20"/>
  <c r="AA35" i="20"/>
  <c r="BU35" i="20" s="1"/>
  <c r="BT35" i="20"/>
  <c r="CG35" i="20"/>
  <c r="CN35" i="20"/>
  <c r="BO36" i="20"/>
  <c r="CP36" i="20"/>
  <c r="CE31" i="20"/>
  <c r="CD31" i="20" s="1"/>
  <c r="CL31" i="20"/>
  <c r="AE32" i="20"/>
  <c r="AI33" i="20"/>
  <c r="AS33" i="20"/>
  <c r="CE33" i="20" s="1"/>
  <c r="CR33" i="20"/>
  <c r="AO34" i="20"/>
  <c r="AO35" i="20"/>
  <c r="BO35" i="20"/>
  <c r="O36" i="20"/>
  <c r="AQ36" i="20"/>
  <c r="GJ37" i="20"/>
  <c r="CV37" i="23"/>
  <c r="BI9" i="23"/>
  <c r="DL9" i="23" s="1"/>
  <c r="DN9" i="23"/>
  <c r="DH15" i="20" l="1"/>
  <c r="CS13" i="20"/>
  <c r="CS35" i="20"/>
  <c r="CR35" i="20" s="1"/>
  <c r="DL34" i="20"/>
  <c r="BI16" i="23"/>
  <c r="DL16" i="23" s="1"/>
  <c r="DN16" i="23"/>
  <c r="AM34" i="20"/>
  <c r="CP34" i="20"/>
  <c r="AM10" i="20"/>
  <c r="FI44" i="20"/>
  <c r="FI10" i="20"/>
  <c r="CV22" i="20"/>
  <c r="CU22" i="20" s="1"/>
  <c r="AS37" i="20"/>
  <c r="CE6" i="20"/>
  <c r="CD6" i="20" s="1"/>
  <c r="DG11" i="20"/>
  <c r="DA11" i="20"/>
  <c r="CB11" i="20"/>
  <c r="DE11" i="20"/>
  <c r="CY11" i="20"/>
  <c r="BZ11" i="20"/>
  <c r="BY11" i="20" s="1"/>
  <c r="DD11" i="20"/>
  <c r="CX11" i="20"/>
  <c r="BX11" i="20"/>
  <c r="DH11" i="20"/>
  <c r="DB11" i="20"/>
  <c r="CC11" i="20"/>
  <c r="BV11" i="20"/>
  <c r="BU11" i="20" s="1"/>
  <c r="DF11" i="20"/>
  <c r="DC11" i="20"/>
  <c r="CZ11" i="20"/>
  <c r="BW11" i="20"/>
  <c r="AM25" i="20"/>
  <c r="CP25" i="20"/>
  <c r="AE21" i="20"/>
  <c r="CP22" i="20"/>
  <c r="AE14" i="20"/>
  <c r="AM12" i="20"/>
  <c r="CP9" i="20"/>
  <c r="BO37" i="20"/>
  <c r="BT37" i="20"/>
  <c r="BS37" i="20"/>
  <c r="BQ37" i="20"/>
  <c r="BR37" i="20"/>
  <c r="DF30" i="20"/>
  <c r="CZ30" i="20"/>
  <c r="BX30" i="20"/>
  <c r="DE30" i="20"/>
  <c r="CY30" i="20"/>
  <c r="CC30" i="20"/>
  <c r="BW30" i="20"/>
  <c r="DD30" i="20"/>
  <c r="CX30" i="20"/>
  <c r="CB30" i="20"/>
  <c r="BV30" i="20"/>
  <c r="BU30" i="20" s="1"/>
  <c r="DC30" i="20"/>
  <c r="CH30" i="20"/>
  <c r="DG30" i="20"/>
  <c r="DA30" i="20"/>
  <c r="BY30" i="20"/>
  <c r="DH30" i="20"/>
  <c r="BZ30" i="20"/>
  <c r="DB30" i="20"/>
  <c r="BJ23" i="20"/>
  <c r="CS36" i="20"/>
  <c r="CR36" i="20" s="1"/>
  <c r="FF6" i="20"/>
  <c r="FD6" i="20" s="1"/>
  <c r="CV15" i="20"/>
  <c r="CU15" i="20" s="1"/>
  <c r="AO37" i="20"/>
  <c r="CS34" i="20"/>
  <c r="CR34" i="20" s="1"/>
  <c r="CV28" i="20"/>
  <c r="CS24" i="20"/>
  <c r="CR24" i="20" s="1"/>
  <c r="CS12" i="20"/>
  <c r="DH23" i="20"/>
  <c r="BU15" i="20"/>
  <c r="BU25" i="20"/>
  <c r="AI15" i="20"/>
  <c r="BU14" i="20"/>
  <c r="BZ14" i="20"/>
  <c r="CF10" i="20"/>
  <c r="CE10" i="20" s="1"/>
  <c r="CD10" i="20" s="1"/>
  <c r="AD10" i="20"/>
  <c r="AI19" i="20"/>
  <c r="AM18" i="20"/>
  <c r="DF9" i="20"/>
  <c r="CZ9" i="20"/>
  <c r="BZ9" i="20"/>
  <c r="DD9" i="20"/>
  <c r="CX9" i="20"/>
  <c r="BX9" i="20"/>
  <c r="DG9" i="20"/>
  <c r="DA9" i="20"/>
  <c r="CH9" i="20"/>
  <c r="DE9" i="20"/>
  <c r="BV9" i="20"/>
  <c r="BU9" i="20" s="1"/>
  <c r="CC9" i="20"/>
  <c r="DC9" i="20"/>
  <c r="BY9" i="20"/>
  <c r="DB9" i="20"/>
  <c r="BW9" i="20"/>
  <c r="CY9" i="20"/>
  <c r="DH9" i="20"/>
  <c r="CB9" i="20"/>
  <c r="AD11" i="20"/>
  <c r="DH29" i="20"/>
  <c r="CV7" i="20"/>
  <c r="FJ41" i="20"/>
  <c r="FF43" i="20"/>
  <c r="FF9" i="20"/>
  <c r="DG36" i="20"/>
  <c r="CZ36" i="20"/>
  <c r="CC36" i="20"/>
  <c r="BW36" i="20"/>
  <c r="DF36" i="20"/>
  <c r="CY36" i="20"/>
  <c r="CB36" i="20"/>
  <c r="BV36" i="20"/>
  <c r="BU36" i="20" s="1"/>
  <c r="DE36" i="20"/>
  <c r="CX36" i="20"/>
  <c r="DD36" i="20"/>
  <c r="CH36" i="20"/>
  <c r="BZ36" i="20"/>
  <c r="DH36" i="20"/>
  <c r="DA36" i="20"/>
  <c r="BX36" i="20"/>
  <c r="DC36" i="20"/>
  <c r="DB36" i="20" s="1"/>
  <c r="BY36" i="20"/>
  <c r="CS33" i="20"/>
  <c r="BI11" i="23"/>
  <c r="DL11" i="23" s="1"/>
  <c r="DN11" i="23"/>
  <c r="DJ33" i="20"/>
  <c r="DD33" i="20"/>
  <c r="CX33" i="20"/>
  <c r="BZ33" i="20"/>
  <c r="DC33" i="20"/>
  <c r="BY33" i="20"/>
  <c r="DP33" i="20"/>
  <c r="DH33" i="20"/>
  <c r="DB33" i="20"/>
  <c r="BX33" i="20"/>
  <c r="DG33" i="20"/>
  <c r="DA33" i="20"/>
  <c r="CC33" i="20"/>
  <c r="BW33" i="20"/>
  <c r="DE33" i="20"/>
  <c r="CY33" i="20"/>
  <c r="DF33" i="20"/>
  <c r="CZ33" i="20"/>
  <c r="CB33" i="20"/>
  <c r="BV33" i="20"/>
  <c r="CP31" i="20"/>
  <c r="AM31" i="20"/>
  <c r="DP26" i="20"/>
  <c r="DH26" i="20"/>
  <c r="DB26" i="20"/>
  <c r="DG26" i="20"/>
  <c r="DA26" i="20"/>
  <c r="BZ26" i="20"/>
  <c r="DF26" i="20"/>
  <c r="CZ26" i="20"/>
  <c r="BY26" i="20"/>
  <c r="DE26" i="20"/>
  <c r="CY26" i="20"/>
  <c r="BX26" i="20"/>
  <c r="DC26" i="20"/>
  <c r="CB26" i="20"/>
  <c r="BV26" i="20"/>
  <c r="BU26" i="20" s="1"/>
  <c r="DD26" i="20"/>
  <c r="CC26" i="20"/>
  <c r="CX26" i="20"/>
  <c r="BW26" i="20"/>
  <c r="DJ26" i="20"/>
  <c r="CN37" i="20"/>
  <c r="BJ33" i="20"/>
  <c r="BI33" i="20" s="1"/>
  <c r="DL33" i="20" s="1"/>
  <c r="CV20" i="20"/>
  <c r="CU20" i="20" s="1"/>
  <c r="CV14" i="20"/>
  <c r="AM27" i="20"/>
  <c r="DU25" i="20"/>
  <c r="AC26" i="20"/>
  <c r="AC25" i="20"/>
  <c r="BG37" i="20"/>
  <c r="CL17" i="20"/>
  <c r="CE20" i="20"/>
  <c r="CE7" i="20"/>
  <c r="CD7" i="20" s="1"/>
  <c r="AD12" i="20"/>
  <c r="CH12" i="20" s="1"/>
  <c r="CF12" i="20"/>
  <c r="CE12" i="20" s="1"/>
  <c r="DH25" i="20"/>
  <c r="CS27" i="20"/>
  <c r="CR27" i="20" s="1"/>
  <c r="CP6" i="20"/>
  <c r="CV36" i="20"/>
  <c r="CU36" i="20" s="1"/>
  <c r="DC19" i="20"/>
  <c r="DH19" i="20"/>
  <c r="DB19" i="20"/>
  <c r="BZ19" i="20"/>
  <c r="DG19" i="20"/>
  <c r="DA19" i="20"/>
  <c r="BY19" i="20"/>
  <c r="DF19" i="20"/>
  <c r="CZ19" i="20"/>
  <c r="BX19" i="20"/>
  <c r="DD19" i="20"/>
  <c r="CX19" i="20"/>
  <c r="CB19" i="20"/>
  <c r="BV19" i="20"/>
  <c r="BU19" i="20" s="1"/>
  <c r="DE19" i="20"/>
  <c r="BW19" i="20"/>
  <c r="CY19" i="20"/>
  <c r="CC19" i="20"/>
  <c r="CO37" i="20"/>
  <c r="DP34" i="20"/>
  <c r="DH34" i="20"/>
  <c r="DB34" i="20"/>
  <c r="BZ34" i="20"/>
  <c r="DN34" i="20"/>
  <c r="DG34" i="20"/>
  <c r="DA34" i="20"/>
  <c r="BY34" i="20"/>
  <c r="DF34" i="20"/>
  <c r="CZ34" i="20"/>
  <c r="BX34" i="20"/>
  <c r="DE34" i="20"/>
  <c r="CY34" i="20"/>
  <c r="CC34" i="20"/>
  <c r="BW34" i="20"/>
  <c r="DC34" i="20"/>
  <c r="DJ34" i="20"/>
  <c r="DD34" i="20"/>
  <c r="CB34" i="20"/>
  <c r="CX34" i="20"/>
  <c r="BV34" i="20"/>
  <c r="BU34" i="20" s="1"/>
  <c r="DE24" i="20"/>
  <c r="CY24" i="20"/>
  <c r="BX24" i="20"/>
  <c r="DD24" i="20"/>
  <c r="CX24" i="20"/>
  <c r="CC24" i="20"/>
  <c r="BW24" i="20"/>
  <c r="DC24" i="20"/>
  <c r="CB24" i="20"/>
  <c r="BV24" i="20"/>
  <c r="BU24" i="20" s="1"/>
  <c r="DP24" i="20"/>
  <c r="DH24" i="20"/>
  <c r="DB24" i="20"/>
  <c r="DF24" i="20"/>
  <c r="CZ24" i="20"/>
  <c r="BY24" i="20"/>
  <c r="BZ24" i="20"/>
  <c r="CH24" i="20"/>
  <c r="DG24" i="20"/>
  <c r="DA24" i="20"/>
  <c r="DD12" i="20"/>
  <c r="CX12" i="20"/>
  <c r="BX12" i="20"/>
  <c r="DH12" i="20"/>
  <c r="DB12" i="20"/>
  <c r="CB12" i="20"/>
  <c r="BV12" i="20"/>
  <c r="BU12" i="20" s="1"/>
  <c r="DG12" i="20"/>
  <c r="DA12" i="20"/>
  <c r="DE12" i="20"/>
  <c r="CY12" i="20"/>
  <c r="BY12" i="20"/>
  <c r="CZ12" i="20"/>
  <c r="CC12" i="20"/>
  <c r="BW12" i="20"/>
  <c r="BZ12" i="20"/>
  <c r="DF12" i="20"/>
  <c r="DC12" i="20"/>
  <c r="CS9" i="20"/>
  <c r="CD37" i="20"/>
  <c r="CR37" i="20"/>
  <c r="CE29" i="20"/>
  <c r="DG20" i="20"/>
  <c r="DA20" i="20"/>
  <c r="BX20" i="20"/>
  <c r="DF20" i="20"/>
  <c r="CZ20" i="20"/>
  <c r="CC20" i="20"/>
  <c r="BW20" i="20"/>
  <c r="DE20" i="20"/>
  <c r="CY20" i="20"/>
  <c r="CB20" i="20"/>
  <c r="BV20" i="20"/>
  <c r="DD20" i="20"/>
  <c r="CX20" i="20"/>
  <c r="CH20" i="20"/>
  <c r="DH20" i="20"/>
  <c r="DB20" i="20"/>
  <c r="BY20" i="20"/>
  <c r="BZ20" i="20"/>
  <c r="DC20" i="20"/>
  <c r="CS30" i="20"/>
  <c r="CV18" i="20"/>
  <c r="CK37" i="20"/>
  <c r="DP22" i="20"/>
  <c r="DH22" i="20"/>
  <c r="DB22" i="20"/>
  <c r="CH22" i="20"/>
  <c r="BZ22" i="20"/>
  <c r="DG22" i="20"/>
  <c r="DA22" i="20"/>
  <c r="BY22" i="20"/>
  <c r="DF22" i="20"/>
  <c r="CZ22" i="20"/>
  <c r="BX22" i="20"/>
  <c r="BW22" i="20" s="1"/>
  <c r="DE22" i="20"/>
  <c r="CY22" i="20"/>
  <c r="CC22" i="20"/>
  <c r="BV22" i="20"/>
  <c r="DC22" i="20"/>
  <c r="DD22" i="20"/>
  <c r="CX22" i="20"/>
  <c r="CB22" i="20"/>
  <c r="BP37" i="20"/>
  <c r="CS23" i="20"/>
  <c r="CR23" i="20" s="1"/>
  <c r="DC35" i="20"/>
  <c r="CH35" i="20"/>
  <c r="DH35" i="20"/>
  <c r="DB35" i="20"/>
  <c r="BZ35" i="20"/>
  <c r="DG35" i="20"/>
  <c r="DA35" i="20"/>
  <c r="BY35" i="20"/>
  <c r="DF35" i="20"/>
  <c r="CZ35" i="20"/>
  <c r="BX35" i="20"/>
  <c r="DD35" i="20"/>
  <c r="CX35" i="20"/>
  <c r="CB35" i="20"/>
  <c r="BV35" i="20"/>
  <c r="CC35" i="20"/>
  <c r="BW35" i="20"/>
  <c r="DE35" i="20"/>
  <c r="CY35" i="20"/>
  <c r="CS28" i="20"/>
  <c r="FH44" i="20"/>
  <c r="FH10" i="20"/>
  <c r="DG32" i="20"/>
  <c r="DA32" i="20"/>
  <c r="BZ32" i="20"/>
  <c r="DF32" i="20"/>
  <c r="CZ32" i="20"/>
  <c r="DE32" i="20"/>
  <c r="CY32" i="20"/>
  <c r="BX32" i="20"/>
  <c r="DD32" i="20"/>
  <c r="CX32" i="20"/>
  <c r="CC32" i="20"/>
  <c r="BW32" i="20"/>
  <c r="DP32" i="20"/>
  <c r="DH32" i="20"/>
  <c r="DB32" i="20"/>
  <c r="BV32" i="20"/>
  <c r="BU32" i="20" s="1"/>
  <c r="DC32" i="20"/>
  <c r="CB32" i="20"/>
  <c r="BY32" i="20"/>
  <c r="DH31" i="20"/>
  <c r="AI28" i="20"/>
  <c r="CE14" i="20"/>
  <c r="AI26" i="20"/>
  <c r="AA37" i="20"/>
  <c r="BU37" i="20" s="1"/>
  <c r="BU18" i="20"/>
  <c r="DH6" i="20"/>
  <c r="DB6" i="20"/>
  <c r="CC6" i="20"/>
  <c r="BW6" i="20"/>
  <c r="P6" i="20"/>
  <c r="DC6" i="20"/>
  <c r="BX6" i="20"/>
  <c r="DD6" i="20"/>
  <c r="CY6" i="20"/>
  <c r="CX6" i="20"/>
  <c r="DA6" i="20"/>
  <c r="CB6" i="20"/>
  <c r="BY6" i="20"/>
  <c r="CZ6" i="20"/>
  <c r="BZ6" i="20"/>
  <c r="DE6" i="20"/>
  <c r="BV6" i="20"/>
  <c r="BU6" i="20" s="1"/>
  <c r="DG6" i="20"/>
  <c r="DF6" i="20"/>
  <c r="DE10" i="20"/>
  <c r="CY10" i="20"/>
  <c r="CC10" i="20"/>
  <c r="BW10" i="20"/>
  <c r="DC10" i="20"/>
  <c r="DF10" i="20"/>
  <c r="CZ10" i="20"/>
  <c r="BX10" i="20"/>
  <c r="DG10" i="20"/>
  <c r="BZ10" i="20"/>
  <c r="DD10" i="20"/>
  <c r="CB10" i="20"/>
  <c r="BY10" i="20"/>
  <c r="DB10" i="20"/>
  <c r="CX10" i="20"/>
  <c r="DA10" i="20"/>
  <c r="DH10" i="20"/>
  <c r="CH10" i="20"/>
  <c r="BV10" i="20"/>
  <c r="BU10" i="20" s="1"/>
  <c r="CV6" i="20"/>
  <c r="BI23" i="20" l="1"/>
  <c r="DL23" i="20" s="1"/>
  <c r="DN23" i="20"/>
  <c r="FG10" i="20"/>
  <c r="FG71" i="20" s="1"/>
  <c r="FF44" i="20"/>
  <c r="FF10" i="20"/>
  <c r="FI45" i="20"/>
  <c r="FI11" i="20"/>
  <c r="FH45" i="20"/>
  <c r="FH11" i="20"/>
  <c r="FJ42" i="20"/>
  <c r="FJ8" i="20"/>
  <c r="CE37" i="20"/>
  <c r="AE12" i="20"/>
  <c r="AB25" i="20"/>
  <c r="AB26" i="20"/>
  <c r="DN33" i="20"/>
  <c r="CS37" i="20"/>
  <c r="FG66" i="17"/>
  <c r="FG67" i="17" s="1"/>
  <c r="FF50" i="17"/>
  <c r="FJ46" i="17"/>
  <c r="FK44" i="17"/>
  <c r="FF43" i="17"/>
  <c r="FF40" i="17"/>
  <c r="FF41" i="17" s="1"/>
  <c r="FL40" i="17" s="1"/>
  <c r="FL39" i="17"/>
  <c r="FI39" i="17"/>
  <c r="FH39" i="17"/>
  <c r="FF39" i="17"/>
  <c r="GI37" i="17"/>
  <c r="GH37" i="17"/>
  <c r="GG37" i="17"/>
  <c r="GF37" i="17"/>
  <c r="GE37" i="17"/>
  <c r="GD37" i="17"/>
  <c r="GC37" i="17"/>
  <c r="GA37" i="17"/>
  <c r="FZ37" i="17"/>
  <c r="DR37" i="17"/>
  <c r="DM37" i="17"/>
  <c r="DK37" i="17"/>
  <c r="DI37" i="17"/>
  <c r="CW37" i="17"/>
  <c r="CT37" i="17"/>
  <c r="CQ37" i="17"/>
  <c r="CM37" i="17"/>
  <c r="CI37" i="17"/>
  <c r="CA37" i="17"/>
  <c r="BF37" i="17"/>
  <c r="BE37" i="17"/>
  <c r="BA37" i="17"/>
  <c r="Q37" i="17"/>
  <c r="L37" i="17"/>
  <c r="K37" i="17"/>
  <c r="J37" i="17"/>
  <c r="I37" i="17" s="1"/>
  <c r="H37" i="17"/>
  <c r="G37" i="17"/>
  <c r="E37" i="17"/>
  <c r="D37" i="17"/>
  <c r="GJ36" i="17"/>
  <c r="FE36" i="17"/>
  <c r="DM36" i="17"/>
  <c r="DK36" i="17"/>
  <c r="DI36" i="17"/>
  <c r="CW36" i="17"/>
  <c r="CT36" i="17"/>
  <c r="CR36" i="17"/>
  <c r="CQ36" i="17"/>
  <c r="CM36" i="17"/>
  <c r="CL36" i="17"/>
  <c r="CK36" i="17"/>
  <c r="CI36" i="17"/>
  <c r="CH36" i="17"/>
  <c r="CG36" i="17"/>
  <c r="CF36" i="17"/>
  <c r="CA36" i="17"/>
  <c r="BG36" i="17"/>
  <c r="BD36" i="17"/>
  <c r="BC36" i="17"/>
  <c r="BB36" i="17"/>
  <c r="AZ36" i="17"/>
  <c r="AY36" i="17"/>
  <c r="AX36" i="17"/>
  <c r="AW36" i="17"/>
  <c r="AV36" i="17"/>
  <c r="AU36" i="17"/>
  <c r="AR36" i="17"/>
  <c r="AP36" i="17"/>
  <c r="AN36" i="17"/>
  <c r="AK36" i="17"/>
  <c r="AJ36" i="17"/>
  <c r="AH36" i="17"/>
  <c r="AG36" i="17"/>
  <c r="AF36" i="17"/>
  <c r="AI36" i="17" s="1"/>
  <c r="AC36" i="17"/>
  <c r="AB36" i="17"/>
  <c r="Z36" i="17"/>
  <c r="Y36" i="17"/>
  <c r="W36" i="17"/>
  <c r="V36" i="17"/>
  <c r="U36" i="17"/>
  <c r="T36" i="17"/>
  <c r="S36" i="17"/>
  <c r="R36" i="17"/>
  <c r="N36" i="17"/>
  <c r="BP36" i="17" s="1"/>
  <c r="M36" i="17"/>
  <c r="GJ35" i="17"/>
  <c r="FE35" i="17"/>
  <c r="DR35" i="17"/>
  <c r="DM35" i="17"/>
  <c r="DK35" i="17"/>
  <c r="DI35" i="17"/>
  <c r="CW35" i="17"/>
  <c r="CU35" i="17"/>
  <c r="CT35" i="17"/>
  <c r="CQ35" i="17"/>
  <c r="CP35" i="17" s="1"/>
  <c r="CO35" i="17"/>
  <c r="CM35" i="17"/>
  <c r="CI35" i="17"/>
  <c r="CG35" i="17"/>
  <c r="CA35" i="17"/>
  <c r="BS35" i="17"/>
  <c r="BD35" i="17"/>
  <c r="BC35" i="17"/>
  <c r="BB35" i="17"/>
  <c r="AZ35" i="17"/>
  <c r="AY35" i="17"/>
  <c r="AX35" i="17"/>
  <c r="AW35" i="17"/>
  <c r="AV35" i="17"/>
  <c r="AU35" i="17"/>
  <c r="AS35" i="17" s="1"/>
  <c r="AR35" i="17"/>
  <c r="AQ35" i="17" s="1"/>
  <c r="AP35" i="17"/>
  <c r="AN35" i="17"/>
  <c r="AL35" i="17"/>
  <c r="AK35" i="17"/>
  <c r="AJ35" i="17"/>
  <c r="AH35" i="17"/>
  <c r="AI35" i="17" s="1"/>
  <c r="AG35" i="17"/>
  <c r="AF35" i="17"/>
  <c r="CJ35" i="17" s="1"/>
  <c r="AC35" i="17"/>
  <c r="AB35" i="17"/>
  <c r="AD35" i="17" s="1"/>
  <c r="Z35" i="17"/>
  <c r="Y35" i="17"/>
  <c r="W35" i="17"/>
  <c r="V35" i="17"/>
  <c r="U35" i="17"/>
  <c r="AA35" i="17" s="1"/>
  <c r="T35" i="17"/>
  <c r="S35" i="17"/>
  <c r="R35" i="17"/>
  <c r="N35" i="17"/>
  <c r="BQ35" i="17" s="1"/>
  <c r="M35" i="17"/>
  <c r="GJ34" i="17"/>
  <c r="FE34" i="17"/>
  <c r="DR34" i="17"/>
  <c r="DM34" i="17"/>
  <c r="DK34" i="17"/>
  <c r="DI34" i="17"/>
  <c r="DG34" i="17"/>
  <c r="DF34" i="17"/>
  <c r="DA34" i="17"/>
  <c r="CZ34" i="17"/>
  <c r="CW34" i="17"/>
  <c r="CT34" i="17"/>
  <c r="CR34" i="17"/>
  <c r="CQ34" i="17"/>
  <c r="CO34" i="17"/>
  <c r="CM34" i="17"/>
  <c r="CI34" i="17"/>
  <c r="CB34" i="17"/>
  <c r="CA34" i="17"/>
  <c r="BS34" i="17"/>
  <c r="BD34" i="17"/>
  <c r="BC34" i="17"/>
  <c r="BB34" i="17"/>
  <c r="AZ34" i="17"/>
  <c r="AY34" i="17"/>
  <c r="AX34" i="17"/>
  <c r="AW34" i="17"/>
  <c r="AV34" i="17"/>
  <c r="AU34" i="17"/>
  <c r="AT34" i="17" s="1"/>
  <c r="AR34" i="17"/>
  <c r="AQ34" i="17" s="1"/>
  <c r="AP34" i="17"/>
  <c r="CU34" i="17" s="1"/>
  <c r="AN34" i="17"/>
  <c r="AL34" i="17"/>
  <c r="AK34" i="17"/>
  <c r="AJ34" i="17"/>
  <c r="AG34" i="17"/>
  <c r="AF34" i="17"/>
  <c r="CJ34" i="17" s="1"/>
  <c r="AD34" i="17"/>
  <c r="AC34" i="17"/>
  <c r="AB34" i="17"/>
  <c r="Z34" i="17"/>
  <c r="BT34" i="17" s="1"/>
  <c r="Y34" i="17"/>
  <c r="W34" i="17"/>
  <c r="V34" i="17"/>
  <c r="U34" i="17"/>
  <c r="T34" i="17"/>
  <c r="S34" i="17"/>
  <c r="AA34" i="17" s="1"/>
  <c r="R34" i="17"/>
  <c r="O34" i="17"/>
  <c r="N34" i="17"/>
  <c r="BP34" i="17" s="1"/>
  <c r="M34" i="17"/>
  <c r="GJ33" i="17"/>
  <c r="FE33" i="17"/>
  <c r="DR33" i="17"/>
  <c r="DM33" i="17"/>
  <c r="DK33" i="17"/>
  <c r="DI33" i="17"/>
  <c r="CW33" i="17"/>
  <c r="CT33" i="17"/>
  <c r="CQ33" i="17"/>
  <c r="CP33" i="17"/>
  <c r="CO33" i="17"/>
  <c r="CN33" i="17"/>
  <c r="CM33" i="17"/>
  <c r="CJ33" i="17"/>
  <c r="CI33" i="17"/>
  <c r="CA33" i="17"/>
  <c r="BT33" i="17"/>
  <c r="BD33" i="17"/>
  <c r="BC33" i="17"/>
  <c r="BB33" i="17"/>
  <c r="AZ33" i="17"/>
  <c r="AY33" i="17"/>
  <c r="AX33" i="17"/>
  <c r="AW33" i="17"/>
  <c r="AS33" i="17" s="1"/>
  <c r="AV33" i="17"/>
  <c r="AU33" i="17"/>
  <c r="AR33" i="17"/>
  <c r="CD33" i="17" s="1"/>
  <c r="AP33" i="17"/>
  <c r="AO33" i="17"/>
  <c r="AN33" i="17"/>
  <c r="AL33" i="17"/>
  <c r="AK33" i="17"/>
  <c r="AJ33" i="17"/>
  <c r="AH33" i="17"/>
  <c r="AI33" i="17" s="1"/>
  <c r="AG33" i="17"/>
  <c r="AF33" i="17"/>
  <c r="AC33" i="17"/>
  <c r="AB33" i="17"/>
  <c r="Z33" i="17"/>
  <c r="Y33" i="17"/>
  <c r="W33" i="17"/>
  <c r="V33" i="17"/>
  <c r="U33" i="17"/>
  <c r="AA33" i="17" s="1"/>
  <c r="T33" i="17"/>
  <c r="S33" i="17"/>
  <c r="R33" i="17"/>
  <c r="N33" i="17"/>
  <c r="BR33" i="17" s="1"/>
  <c r="M33" i="17"/>
  <c r="GJ32" i="17"/>
  <c r="FG32" i="17"/>
  <c r="FE32" i="17"/>
  <c r="DM32" i="17"/>
  <c r="DK32" i="17"/>
  <c r="DI32" i="17"/>
  <c r="CW32" i="17"/>
  <c r="CV32" i="17" s="1"/>
  <c r="CT32" i="17"/>
  <c r="CQ32" i="17"/>
  <c r="CP32" i="17" s="1"/>
  <c r="CO32" i="17"/>
  <c r="CM32" i="17"/>
  <c r="CK32" i="17"/>
  <c r="CI32" i="17"/>
  <c r="CA32" i="17"/>
  <c r="BR32" i="17"/>
  <c r="BD32" i="17"/>
  <c r="BC32" i="17"/>
  <c r="BB32" i="17"/>
  <c r="AZ32" i="17"/>
  <c r="AY32" i="17"/>
  <c r="AX32" i="17"/>
  <c r="AW32" i="17"/>
  <c r="AV32" i="17"/>
  <c r="AU32" i="17"/>
  <c r="AT32" i="17"/>
  <c r="AR32" i="17"/>
  <c r="AS32" i="17" s="1"/>
  <c r="CE32" i="17" s="1"/>
  <c r="CD32" i="17" s="1"/>
  <c r="AQ32" i="17"/>
  <c r="AP32" i="17"/>
  <c r="AN32" i="17"/>
  <c r="AL32" i="17"/>
  <c r="AK32" i="17"/>
  <c r="AJ32" i="17"/>
  <c r="AH32" i="17"/>
  <c r="AI32" i="17" s="1"/>
  <c r="AG32" i="17"/>
  <c r="AF32" i="17"/>
  <c r="AC32" i="17"/>
  <c r="AB32" i="17"/>
  <c r="CF32" i="17" s="1"/>
  <c r="Z32" i="17"/>
  <c r="Y32" i="17"/>
  <c r="W32" i="17"/>
  <c r="V32" i="17"/>
  <c r="U32" i="17"/>
  <c r="T32" i="17"/>
  <c r="S32" i="17"/>
  <c r="R32" i="17"/>
  <c r="AA32" i="17" s="1"/>
  <c r="N32" i="17"/>
  <c r="M32" i="17"/>
  <c r="GJ31" i="17"/>
  <c r="FN31" i="17"/>
  <c r="FG31" i="17"/>
  <c r="FE31" i="17"/>
  <c r="DR31" i="17"/>
  <c r="DM31" i="17"/>
  <c r="DK31" i="17"/>
  <c r="DI31" i="17"/>
  <c r="CW31" i="17"/>
  <c r="CT31" i="17"/>
  <c r="CQ31" i="17"/>
  <c r="CM31" i="17"/>
  <c r="CI31" i="17"/>
  <c r="CG31" i="17"/>
  <c r="CA31" i="17"/>
  <c r="BT31" i="17"/>
  <c r="BQ31" i="17"/>
  <c r="BP31" i="17"/>
  <c r="BG31" i="17"/>
  <c r="BD31" i="17"/>
  <c r="BC31" i="17"/>
  <c r="BB31" i="17"/>
  <c r="AZ31" i="17"/>
  <c r="AY31" i="17"/>
  <c r="AX31" i="17"/>
  <c r="AW31" i="17"/>
  <c r="AV31" i="17"/>
  <c r="AU31" i="17"/>
  <c r="AR31" i="17"/>
  <c r="AP31" i="17"/>
  <c r="AQ31" i="17" s="1"/>
  <c r="AN31" i="17"/>
  <c r="AK31" i="17"/>
  <c r="AJ31" i="17"/>
  <c r="AG31" i="17"/>
  <c r="AF31" i="17"/>
  <c r="AD31" i="17"/>
  <c r="AC31" i="17"/>
  <c r="AB31" i="17"/>
  <c r="Z31" i="17"/>
  <c r="Y31" i="17"/>
  <c r="X31" i="17" s="1"/>
  <c r="W31" i="17"/>
  <c r="V31" i="17"/>
  <c r="U31" i="17"/>
  <c r="T31" i="17"/>
  <c r="S31" i="17"/>
  <c r="R31" i="17"/>
  <c r="N31" i="17"/>
  <c r="BR31" i="17" s="1"/>
  <c r="M31" i="17"/>
  <c r="GJ30" i="17"/>
  <c r="FG30" i="17"/>
  <c r="FE30" i="17"/>
  <c r="DR30" i="17"/>
  <c r="DM30" i="17"/>
  <c r="DK30" i="17"/>
  <c r="DI30" i="17"/>
  <c r="CW30" i="17"/>
  <c r="CT30" i="17"/>
  <c r="CQ30" i="17"/>
  <c r="CN30" i="17"/>
  <c r="CM30" i="17"/>
  <c r="CI30" i="17"/>
  <c r="CA30" i="17"/>
  <c r="BD30" i="17"/>
  <c r="BC30" i="17"/>
  <c r="BB30" i="17"/>
  <c r="AZ30" i="17"/>
  <c r="AY30" i="17"/>
  <c r="AX30" i="17"/>
  <c r="AW30" i="17"/>
  <c r="AV30" i="17"/>
  <c r="AU30" i="17"/>
  <c r="AS30" i="17" s="1"/>
  <c r="AR30" i="17"/>
  <c r="CD30" i="17" s="1"/>
  <c r="AP30" i="17"/>
  <c r="AO30" i="17"/>
  <c r="AN30" i="17"/>
  <c r="AK30" i="17"/>
  <c r="AJ30" i="17"/>
  <c r="AG30" i="17"/>
  <c r="AF30" i="17"/>
  <c r="CJ30" i="17" s="1"/>
  <c r="AC30" i="17"/>
  <c r="AB30" i="17"/>
  <c r="Z30" i="17"/>
  <c r="Y30" i="17"/>
  <c r="W30" i="17"/>
  <c r="V30" i="17"/>
  <c r="U30" i="17"/>
  <c r="T30" i="17"/>
  <c r="S30" i="17"/>
  <c r="R30" i="17"/>
  <c r="AA30" i="17" s="1"/>
  <c r="N30" i="17"/>
  <c r="M30" i="17"/>
  <c r="GJ29" i="17"/>
  <c r="FG29" i="17"/>
  <c r="FE29" i="17"/>
  <c r="DR29" i="17"/>
  <c r="DM29" i="17"/>
  <c r="DK29" i="17"/>
  <c r="DI29" i="17"/>
  <c r="DC29" i="17"/>
  <c r="DA29" i="17"/>
  <c r="CW29" i="17"/>
  <c r="CU29" i="17"/>
  <c r="CT29" i="17"/>
  <c r="CQ29" i="17"/>
  <c r="CM29" i="17"/>
  <c r="CI29" i="17"/>
  <c r="CF29" i="17"/>
  <c r="CD29" i="17"/>
  <c r="CA29" i="17"/>
  <c r="BY29" i="17"/>
  <c r="BX29" i="17"/>
  <c r="BR29" i="17"/>
  <c r="BQ29" i="17"/>
  <c r="BO29" i="17"/>
  <c r="BD29" i="17"/>
  <c r="BC29" i="17"/>
  <c r="BB29" i="17"/>
  <c r="AZ29" i="17"/>
  <c r="AY29" i="17"/>
  <c r="AX29" i="17"/>
  <c r="AW29" i="17"/>
  <c r="AV29" i="17"/>
  <c r="AU29" i="17"/>
  <c r="AT29" i="17"/>
  <c r="AS29" i="17"/>
  <c r="AR29" i="17"/>
  <c r="AQ29" i="17"/>
  <c r="AP29" i="17"/>
  <c r="AN29" i="17"/>
  <c r="AK29" i="17"/>
  <c r="CO29" i="17" s="1"/>
  <c r="AG29" i="17"/>
  <c r="AF29" i="17"/>
  <c r="AC29" i="17"/>
  <c r="AB29" i="17"/>
  <c r="Z29" i="17"/>
  <c r="BT29" i="17" s="1"/>
  <c r="Y29" i="17"/>
  <c r="W29" i="17"/>
  <c r="V29" i="17"/>
  <c r="U29" i="17"/>
  <c r="T29" i="17"/>
  <c r="S29" i="17"/>
  <c r="AA29" i="17" s="1"/>
  <c r="R29" i="17"/>
  <c r="O29" i="17"/>
  <c r="DF29" i="17" s="1"/>
  <c r="N29" i="17"/>
  <c r="BS29" i="17" s="1"/>
  <c r="M29" i="17"/>
  <c r="GJ28" i="17"/>
  <c r="FG28" i="17"/>
  <c r="FE28" i="17"/>
  <c r="EA28" i="17"/>
  <c r="AJ28" i="17" s="1"/>
  <c r="DR28" i="17"/>
  <c r="DM28" i="17"/>
  <c r="DK28" i="17"/>
  <c r="DI28" i="17"/>
  <c r="CW28" i="17"/>
  <c r="CT28" i="17"/>
  <c r="CS28" i="17"/>
  <c r="CR28" i="17"/>
  <c r="CQ28" i="17"/>
  <c r="CP28" i="17"/>
  <c r="CO28" i="17"/>
  <c r="CN28" i="17"/>
  <c r="CM28" i="17"/>
  <c r="CL28" i="17"/>
  <c r="CK28" i="17"/>
  <c r="CJ28" i="17"/>
  <c r="CI28" i="17"/>
  <c r="CG28" i="17"/>
  <c r="CD28" i="17"/>
  <c r="CA28" i="17"/>
  <c r="BS28" i="17"/>
  <c r="BD28" i="17"/>
  <c r="BC28" i="17"/>
  <c r="BB28" i="17"/>
  <c r="AZ28" i="17"/>
  <c r="AY28" i="17"/>
  <c r="AX28" i="17"/>
  <c r="AW28" i="17"/>
  <c r="AV28" i="17"/>
  <c r="AU28" i="17"/>
  <c r="AS28" i="17" s="1"/>
  <c r="AR28" i="17"/>
  <c r="AT28" i="17" s="1"/>
  <c r="AP28" i="17"/>
  <c r="AO28" i="17"/>
  <c r="AN28" i="17"/>
  <c r="AK28" i="17"/>
  <c r="AG28" i="17"/>
  <c r="AF28" i="17"/>
  <c r="AD28" i="17"/>
  <c r="AC28" i="17"/>
  <c r="AB28" i="17"/>
  <c r="CF28" i="17" s="1"/>
  <c r="Z28" i="17"/>
  <c r="BT28" i="17" s="1"/>
  <c r="Y28" i="17"/>
  <c r="X28" i="17"/>
  <c r="W28" i="17"/>
  <c r="V28" i="17"/>
  <c r="U28" i="17"/>
  <c r="T28" i="17"/>
  <c r="S28" i="17"/>
  <c r="R28" i="17"/>
  <c r="N28" i="17"/>
  <c r="M28" i="17"/>
  <c r="GJ27" i="17"/>
  <c r="FG27" i="17"/>
  <c r="FE27" i="17"/>
  <c r="EE27" i="17"/>
  <c r="DR27" i="17"/>
  <c r="DM27" i="17"/>
  <c r="DK27" i="17"/>
  <c r="DI27" i="17"/>
  <c r="CW27" i="17"/>
  <c r="CT27" i="17"/>
  <c r="CQ27" i="17"/>
  <c r="CM27" i="17"/>
  <c r="CL27" i="17"/>
  <c r="CK27" i="17"/>
  <c r="CJ27" i="17"/>
  <c r="CI27" i="17"/>
  <c r="CA27" i="17"/>
  <c r="BO27" i="17"/>
  <c r="BD27" i="17"/>
  <c r="BC27" i="17"/>
  <c r="BB27" i="17"/>
  <c r="AZ27" i="17"/>
  <c r="AY27" i="17"/>
  <c r="AX27" i="17"/>
  <c r="AW27" i="17"/>
  <c r="AS27" i="17" s="1"/>
  <c r="AV27" i="17"/>
  <c r="AU27" i="17"/>
  <c r="AT27" i="17"/>
  <c r="AR27" i="17"/>
  <c r="AP27" i="17"/>
  <c r="AO27" i="17"/>
  <c r="AN27" i="17"/>
  <c r="AK27" i="17"/>
  <c r="AJ27" i="17"/>
  <c r="AH27" i="17"/>
  <c r="AG27" i="17"/>
  <c r="AF27" i="17"/>
  <c r="AC27" i="17"/>
  <c r="AB27" i="17"/>
  <c r="Z27" i="17"/>
  <c r="Y27" i="17"/>
  <c r="W27" i="17"/>
  <c r="V27" i="17"/>
  <c r="U27" i="17"/>
  <c r="AA27" i="17" s="1"/>
  <c r="T27" i="17"/>
  <c r="S27" i="17"/>
  <c r="R27" i="17"/>
  <c r="O27" i="17"/>
  <c r="N27" i="17"/>
  <c r="M27" i="17"/>
  <c r="GJ26" i="17"/>
  <c r="FN26" i="17"/>
  <c r="FG26" i="17"/>
  <c r="FE26" i="17"/>
  <c r="DR26" i="17"/>
  <c r="DM26" i="17"/>
  <c r="DK26" i="17"/>
  <c r="DI26" i="17"/>
  <c r="CW26" i="17"/>
  <c r="CT26" i="17"/>
  <c r="CR26" i="17"/>
  <c r="CQ26" i="17"/>
  <c r="CM26" i="17"/>
  <c r="CL26" i="17"/>
  <c r="CK26" i="17"/>
  <c r="CJ26" i="17"/>
  <c r="CI26" i="17"/>
  <c r="CG26" i="17"/>
  <c r="CA26" i="17"/>
  <c r="BT26" i="17"/>
  <c r="BP26" i="17"/>
  <c r="BG26" i="17"/>
  <c r="BD26" i="17"/>
  <c r="BC26" i="17"/>
  <c r="BB26" i="17"/>
  <c r="AZ26" i="17"/>
  <c r="AY26" i="17"/>
  <c r="AX26" i="17"/>
  <c r="AW26" i="17"/>
  <c r="AV26" i="17"/>
  <c r="AU26" i="17"/>
  <c r="AR26" i="17"/>
  <c r="AP26" i="17"/>
  <c r="AN26" i="17"/>
  <c r="AK26" i="17"/>
  <c r="AJ26" i="17"/>
  <c r="AF26" i="17"/>
  <c r="AC26" i="17"/>
  <c r="AB26" i="17"/>
  <c r="Z26" i="17"/>
  <c r="Y26" i="17"/>
  <c r="X26" i="17" s="1"/>
  <c r="W26" i="17"/>
  <c r="V26" i="17"/>
  <c r="U26" i="17"/>
  <c r="T26" i="17"/>
  <c r="S26" i="17"/>
  <c r="R26" i="17"/>
  <c r="N26" i="17"/>
  <c r="BR26" i="17" s="1"/>
  <c r="M26" i="17"/>
  <c r="GJ25" i="17"/>
  <c r="FN25" i="17"/>
  <c r="FG25" i="17"/>
  <c r="FE25" i="17"/>
  <c r="DY25" i="17"/>
  <c r="DR25" i="17"/>
  <c r="DM25" i="17"/>
  <c r="DK25" i="17"/>
  <c r="DI25" i="17"/>
  <c r="DG25" i="17"/>
  <c r="DF25" i="17"/>
  <c r="DA25" i="17"/>
  <c r="CZ25" i="17"/>
  <c r="CW25" i="17"/>
  <c r="CT25" i="17"/>
  <c r="CQ25" i="17"/>
  <c r="CN25" i="17"/>
  <c r="CM25" i="17"/>
  <c r="CL25" i="17"/>
  <c r="CK25" i="17"/>
  <c r="CJ25" i="17"/>
  <c r="CI25" i="17"/>
  <c r="CD25" i="17"/>
  <c r="CC25" i="17"/>
  <c r="CA25" i="17"/>
  <c r="BX25" i="17"/>
  <c r="BQ25" i="17"/>
  <c r="BP25" i="17"/>
  <c r="BG25" i="17"/>
  <c r="BD25" i="17"/>
  <c r="BC25" i="17"/>
  <c r="BB25" i="17"/>
  <c r="AZ25" i="17"/>
  <c r="AY25" i="17"/>
  <c r="AX25" i="17"/>
  <c r="AW25" i="17"/>
  <c r="AS25" i="17" s="1"/>
  <c r="AV25" i="17"/>
  <c r="AU25" i="17"/>
  <c r="AT25" i="17" s="1"/>
  <c r="AR25" i="17"/>
  <c r="AP25" i="17"/>
  <c r="AN25" i="17"/>
  <c r="AL25" i="17"/>
  <c r="AK25" i="17"/>
  <c r="AJ25" i="17"/>
  <c r="AM25" i="17" s="1"/>
  <c r="AG25" i="17"/>
  <c r="AF25" i="17"/>
  <c r="AC25" i="17"/>
  <c r="AB25" i="17"/>
  <c r="Z25" i="17"/>
  <c r="BT25" i="17" s="1"/>
  <c r="Y25" i="17"/>
  <c r="X25" i="17" s="1"/>
  <c r="W25" i="17"/>
  <c r="V25" i="17"/>
  <c r="U25" i="17"/>
  <c r="T25" i="17"/>
  <c r="S25" i="17"/>
  <c r="BW25" i="17" s="1"/>
  <c r="R25" i="17"/>
  <c r="O25" i="17"/>
  <c r="DD25" i="17" s="1"/>
  <c r="N25" i="17"/>
  <c r="BS25" i="17" s="1"/>
  <c r="M25" i="17"/>
  <c r="GJ24" i="17"/>
  <c r="FN24" i="17"/>
  <c r="FK24" i="17"/>
  <c r="FG24" i="17"/>
  <c r="FE24" i="17"/>
  <c r="DR24" i="17"/>
  <c r="DM24" i="17"/>
  <c r="DK24" i="17"/>
  <c r="DI24" i="17"/>
  <c r="CW24" i="17"/>
  <c r="CT24" i="17"/>
  <c r="CR24" i="17"/>
  <c r="CQ24" i="17"/>
  <c r="CM24" i="17"/>
  <c r="CL24" i="17"/>
  <c r="CK24" i="17"/>
  <c r="CJ24" i="17"/>
  <c r="CI24" i="17"/>
  <c r="CA24" i="17"/>
  <c r="BS24" i="17"/>
  <c r="BQ24" i="17"/>
  <c r="BP24" i="17"/>
  <c r="BO24" i="17"/>
  <c r="BG24" i="17"/>
  <c r="BD24" i="17"/>
  <c r="BC24" i="17"/>
  <c r="BB24" i="17"/>
  <c r="AZ24" i="17"/>
  <c r="AY24" i="17"/>
  <c r="AX24" i="17"/>
  <c r="AW24" i="17"/>
  <c r="AV24" i="17"/>
  <c r="AU24" i="17"/>
  <c r="AR24" i="17"/>
  <c r="AQ24" i="17"/>
  <c r="AP24" i="17"/>
  <c r="AN24" i="17"/>
  <c r="AK24" i="17"/>
  <c r="AJ24" i="17"/>
  <c r="AG24" i="17"/>
  <c r="AF24" i="17"/>
  <c r="AH24" i="17" s="1"/>
  <c r="AI24" i="17" s="1"/>
  <c r="AC24" i="17"/>
  <c r="AB24" i="17"/>
  <c r="Z24" i="17"/>
  <c r="Y24" i="17"/>
  <c r="W24" i="17"/>
  <c r="V24" i="17"/>
  <c r="U24" i="17"/>
  <c r="T24" i="17"/>
  <c r="S24" i="17"/>
  <c r="R24" i="17"/>
  <c r="O24" i="17"/>
  <c r="N24" i="17"/>
  <c r="BT24" i="17" s="1"/>
  <c r="M24" i="17"/>
  <c r="GJ23" i="17"/>
  <c r="FN23" i="17"/>
  <c r="FG23" i="17"/>
  <c r="FE23" i="17"/>
  <c r="DR23" i="17"/>
  <c r="DM23" i="17"/>
  <c r="DK23" i="17"/>
  <c r="DI23" i="17"/>
  <c r="CW23" i="17"/>
  <c r="CT23" i="17"/>
  <c r="CQ23" i="17"/>
  <c r="CO23" i="17"/>
  <c r="CN23" i="17"/>
  <c r="CM23" i="17"/>
  <c r="CI23" i="17"/>
  <c r="CH23" i="17"/>
  <c r="CG23" i="17"/>
  <c r="CF23" i="17"/>
  <c r="CA23" i="17"/>
  <c r="BT23" i="17"/>
  <c r="BD23" i="17"/>
  <c r="BC23" i="17"/>
  <c r="BB23" i="17"/>
  <c r="AZ23" i="17"/>
  <c r="AY23" i="17"/>
  <c r="AX23" i="17"/>
  <c r="AW23" i="17"/>
  <c r="AV23" i="17"/>
  <c r="AU23" i="17"/>
  <c r="AT23" i="17" s="1"/>
  <c r="AR23" i="17"/>
  <c r="CD23" i="17" s="1"/>
  <c r="AP23" i="17"/>
  <c r="AN23" i="17"/>
  <c r="AK23" i="17"/>
  <c r="AJ23" i="17"/>
  <c r="AG23" i="17"/>
  <c r="AF23" i="17"/>
  <c r="AC23" i="17"/>
  <c r="Z23" i="17"/>
  <c r="Y23" i="17"/>
  <c r="X23" i="17" s="1"/>
  <c r="W23" i="17"/>
  <c r="V23" i="17"/>
  <c r="U23" i="17"/>
  <c r="T23" i="17"/>
  <c r="S23" i="17"/>
  <c r="R23" i="17"/>
  <c r="N23" i="17"/>
  <c r="BQ23" i="17" s="1"/>
  <c r="M23" i="17"/>
  <c r="GJ22" i="17"/>
  <c r="FN22" i="17"/>
  <c r="FG22" i="17"/>
  <c r="FE22" i="17"/>
  <c r="DV22" i="17"/>
  <c r="DU22" i="17"/>
  <c r="DR22" i="17"/>
  <c r="DM22" i="17"/>
  <c r="DK22" i="17"/>
  <c r="DI22" i="17"/>
  <c r="CW22" i="17"/>
  <c r="CT22" i="17"/>
  <c r="CR22" i="17"/>
  <c r="CQ22" i="17"/>
  <c r="CM22" i="17"/>
  <c r="CJ22" i="17"/>
  <c r="CI22" i="17"/>
  <c r="CH22" i="17"/>
  <c r="CG22" i="17"/>
  <c r="CF22" i="17"/>
  <c r="CA22" i="17"/>
  <c r="BD22" i="17"/>
  <c r="BC22" i="17"/>
  <c r="BG22" i="17" s="1"/>
  <c r="BB22" i="17"/>
  <c r="AZ22" i="17"/>
  <c r="AY22" i="17"/>
  <c r="AX22" i="17"/>
  <c r="AW22" i="17"/>
  <c r="AV22" i="17"/>
  <c r="AU22" i="17"/>
  <c r="AR22" i="17"/>
  <c r="AP22" i="17"/>
  <c r="AO22" i="17"/>
  <c r="AN22" i="17"/>
  <c r="AK22" i="17"/>
  <c r="AJ22" i="17"/>
  <c r="AI22" i="17"/>
  <c r="AG22" i="17"/>
  <c r="AF22" i="17"/>
  <c r="AH22" i="17" s="1"/>
  <c r="CL22" i="17" s="1"/>
  <c r="AB22" i="17"/>
  <c r="Z22" i="17"/>
  <c r="Y22" i="17"/>
  <c r="W22" i="17"/>
  <c r="V22" i="17"/>
  <c r="U22" i="17"/>
  <c r="T22" i="17"/>
  <c r="S22" i="17"/>
  <c r="R22" i="17"/>
  <c r="N22" i="17"/>
  <c r="M22" i="17"/>
  <c r="GJ21" i="17"/>
  <c r="FK21" i="17"/>
  <c r="FG21" i="17"/>
  <c r="FE21" i="17"/>
  <c r="DR21" i="17"/>
  <c r="DM21" i="17"/>
  <c r="DK21" i="17"/>
  <c r="DI21" i="17"/>
  <c r="CW21" i="17"/>
  <c r="CT21" i="17"/>
  <c r="CQ21" i="17"/>
  <c r="CM21" i="17"/>
  <c r="CJ21" i="17"/>
  <c r="CI21" i="17"/>
  <c r="CH21" i="17"/>
  <c r="CG21" i="17"/>
  <c r="CF21" i="17"/>
  <c r="CA21" i="17"/>
  <c r="BR21" i="17"/>
  <c r="BQ21" i="17"/>
  <c r="BG21" i="17"/>
  <c r="BD21" i="17"/>
  <c r="BC21" i="17"/>
  <c r="BB21" i="17"/>
  <c r="AZ21" i="17"/>
  <c r="AY21" i="17"/>
  <c r="AX21" i="17"/>
  <c r="AW21" i="17"/>
  <c r="AV21" i="17"/>
  <c r="AU21" i="17"/>
  <c r="AR21" i="17"/>
  <c r="AQ21" i="17"/>
  <c r="AP21" i="17"/>
  <c r="AN21" i="17"/>
  <c r="CR21" i="17" s="1"/>
  <c r="AK21" i="17"/>
  <c r="AJ21" i="17"/>
  <c r="AI21" i="17"/>
  <c r="AG21" i="17"/>
  <c r="AF21" i="17"/>
  <c r="AH21" i="17" s="1"/>
  <c r="AB21" i="17"/>
  <c r="Z21" i="17"/>
  <c r="Y21" i="17"/>
  <c r="W21" i="17"/>
  <c r="V21" i="17"/>
  <c r="U21" i="17"/>
  <c r="AA21" i="17" s="1"/>
  <c r="T21" i="17"/>
  <c r="S21" i="17"/>
  <c r="R21" i="17"/>
  <c r="O21" i="17"/>
  <c r="N21" i="17"/>
  <c r="I21" i="17"/>
  <c r="M21" i="17" s="1"/>
  <c r="F21" i="17"/>
  <c r="GJ20" i="17"/>
  <c r="FK20" i="17"/>
  <c r="FG20" i="17"/>
  <c r="FE20" i="17"/>
  <c r="DV20" i="17"/>
  <c r="AC21" i="17" s="1"/>
  <c r="DR20" i="17"/>
  <c r="DM20" i="17"/>
  <c r="DK20" i="17"/>
  <c r="DI20" i="17"/>
  <c r="CX20" i="17"/>
  <c r="CW20" i="17"/>
  <c r="CT20" i="17"/>
  <c r="CQ20" i="17"/>
  <c r="CM20" i="17"/>
  <c r="CJ20" i="17"/>
  <c r="CI20" i="17"/>
  <c r="CA20" i="17"/>
  <c r="BW20" i="17"/>
  <c r="BQ20" i="17"/>
  <c r="BP20" i="17"/>
  <c r="BG20" i="17"/>
  <c r="BD20" i="17"/>
  <c r="BC20" i="17"/>
  <c r="BB20" i="17"/>
  <c r="AZ20" i="17"/>
  <c r="AY20" i="17"/>
  <c r="AX20" i="17"/>
  <c r="AW20" i="17"/>
  <c r="AV20" i="17"/>
  <c r="AU20" i="17"/>
  <c r="AS20" i="17"/>
  <c r="AR20" i="17"/>
  <c r="AP20" i="17"/>
  <c r="AN20" i="17"/>
  <c r="AK20" i="17"/>
  <c r="AJ20" i="17"/>
  <c r="AG20" i="17"/>
  <c r="AF20" i="17"/>
  <c r="AH20" i="17" s="1"/>
  <c r="CL20" i="17" s="1"/>
  <c r="CK20" i="17" s="1"/>
  <c r="AB20" i="17"/>
  <c r="Z20" i="17"/>
  <c r="Y20" i="17"/>
  <c r="W20" i="17"/>
  <c r="V20" i="17"/>
  <c r="U20" i="17"/>
  <c r="AA20" i="17" s="1"/>
  <c r="T20" i="17"/>
  <c r="S20" i="17"/>
  <c r="R20" i="17"/>
  <c r="O20" i="17"/>
  <c r="N20" i="17"/>
  <c r="M20" i="17"/>
  <c r="GJ19" i="17"/>
  <c r="FL19" i="17"/>
  <c r="FK19" i="17"/>
  <c r="FG19" i="17"/>
  <c r="FE19" i="17"/>
  <c r="DR19" i="17"/>
  <c r="DM19" i="17"/>
  <c r="DK19" i="17"/>
  <c r="DI19" i="17"/>
  <c r="CW19" i="17"/>
  <c r="CV19" i="17" s="1"/>
  <c r="CT19" i="17"/>
  <c r="CQ19" i="17"/>
  <c r="CM19" i="17"/>
  <c r="CK19" i="17"/>
  <c r="CJ19" i="17"/>
  <c r="CI19" i="17"/>
  <c r="CA19" i="17"/>
  <c r="BQ19" i="17"/>
  <c r="BP19" i="17"/>
  <c r="BO19" i="17"/>
  <c r="BG19" i="17"/>
  <c r="BD19" i="17"/>
  <c r="BC19" i="17"/>
  <c r="BB19" i="17"/>
  <c r="AZ19" i="17"/>
  <c r="AY19" i="17"/>
  <c r="AX19" i="17"/>
  <c r="AW19" i="17"/>
  <c r="AV19" i="17"/>
  <c r="AU19" i="17"/>
  <c r="AR19" i="17"/>
  <c r="AQ19" i="17"/>
  <c r="AP19" i="17"/>
  <c r="AN19" i="17"/>
  <c r="AK19" i="17"/>
  <c r="AJ19" i="17"/>
  <c r="AG19" i="17"/>
  <c r="AF19" i="17"/>
  <c r="AD19" i="17"/>
  <c r="AE19" i="17" s="1"/>
  <c r="AC19" i="17"/>
  <c r="AB19" i="17"/>
  <c r="Z19" i="17"/>
  <c r="Y19" i="17"/>
  <c r="W19" i="17"/>
  <c r="V19" i="17"/>
  <c r="U19" i="17"/>
  <c r="T19" i="17"/>
  <c r="S19" i="17"/>
  <c r="R19" i="17"/>
  <c r="O19" i="17"/>
  <c r="DB19" i="17" s="1"/>
  <c r="N19" i="17"/>
  <c r="M19" i="17"/>
  <c r="GJ18" i="17"/>
  <c r="FL18" i="17"/>
  <c r="FG18" i="17"/>
  <c r="FE18" i="17"/>
  <c r="DR18" i="17"/>
  <c r="DM18" i="17"/>
  <c r="DK18" i="17"/>
  <c r="DI18" i="17"/>
  <c r="DF18" i="17"/>
  <c r="CZ18" i="17"/>
  <c r="CW18" i="17"/>
  <c r="CT18" i="17"/>
  <c r="CR18" i="17"/>
  <c r="CQ18" i="17"/>
  <c r="CM18" i="17"/>
  <c r="CL18" i="17"/>
  <c r="CK18" i="17"/>
  <c r="CJ18" i="17"/>
  <c r="CI18" i="17"/>
  <c r="CB18" i="17"/>
  <c r="CA18" i="17"/>
  <c r="BV18" i="17"/>
  <c r="BT18" i="17"/>
  <c r="BS18" i="17"/>
  <c r="BO18" i="17"/>
  <c r="BD18" i="17"/>
  <c r="DE18" i="17" s="1"/>
  <c r="BC18" i="17"/>
  <c r="BB18" i="17"/>
  <c r="AZ18" i="17"/>
  <c r="AY18" i="17"/>
  <c r="AX18" i="17"/>
  <c r="AW18" i="17"/>
  <c r="AV18" i="17"/>
  <c r="CY18" i="17" s="1"/>
  <c r="AU18" i="17"/>
  <c r="AT18" i="17" s="1"/>
  <c r="AR18" i="17"/>
  <c r="CD18" i="17" s="1"/>
  <c r="AP18" i="17"/>
  <c r="AN18" i="17"/>
  <c r="AM18" i="17"/>
  <c r="AK18" i="17"/>
  <c r="AJ18" i="17"/>
  <c r="AL18" i="17" s="1"/>
  <c r="CP18" i="17" s="1"/>
  <c r="AH18" i="17"/>
  <c r="AG18" i="17"/>
  <c r="AF18" i="17"/>
  <c r="AC18" i="17"/>
  <c r="AB18" i="17"/>
  <c r="Z18" i="17"/>
  <c r="Y18" i="17"/>
  <c r="X18" i="17" s="1"/>
  <c r="W18" i="17"/>
  <c r="V18" i="17"/>
  <c r="U18" i="17"/>
  <c r="T18" i="17"/>
  <c r="S18" i="17"/>
  <c r="R18" i="17"/>
  <c r="O18" i="17"/>
  <c r="N18" i="17"/>
  <c r="BP18" i="17" s="1"/>
  <c r="M18" i="17"/>
  <c r="GJ17" i="17"/>
  <c r="FG17" i="17"/>
  <c r="FF17" i="17"/>
  <c r="FE17" i="17"/>
  <c r="DR17" i="17"/>
  <c r="DM17" i="17"/>
  <c r="DK17" i="17"/>
  <c r="DI17" i="17"/>
  <c r="CW17" i="17"/>
  <c r="CT17" i="17"/>
  <c r="CQ17" i="17"/>
  <c r="CN17" i="17"/>
  <c r="CM17" i="17"/>
  <c r="CI17" i="17"/>
  <c r="CD17" i="17"/>
  <c r="CA17" i="17"/>
  <c r="BR17" i="17"/>
  <c r="BQ17" i="17"/>
  <c r="BG17" i="17"/>
  <c r="BD17" i="17"/>
  <c r="BC17" i="17"/>
  <c r="BB17" i="17"/>
  <c r="AZ17" i="17"/>
  <c r="AY17" i="17"/>
  <c r="AX17" i="17"/>
  <c r="AW17" i="17"/>
  <c r="AV17" i="17"/>
  <c r="AU17" i="17"/>
  <c r="AR17" i="17"/>
  <c r="AQ17" i="17" s="1"/>
  <c r="AP17" i="17"/>
  <c r="AO17" i="17"/>
  <c r="AN17" i="17"/>
  <c r="AK17" i="17"/>
  <c r="AJ17" i="17"/>
  <c r="AG17" i="17"/>
  <c r="AF17" i="17"/>
  <c r="AC17" i="17"/>
  <c r="Z17" i="17"/>
  <c r="Y17" i="17"/>
  <c r="X17" i="17" s="1"/>
  <c r="W17" i="17"/>
  <c r="V17" i="17"/>
  <c r="U17" i="17"/>
  <c r="T17" i="17"/>
  <c r="S17" i="17"/>
  <c r="R17" i="17"/>
  <c r="N17" i="17"/>
  <c r="M17" i="17"/>
  <c r="GJ16" i="17"/>
  <c r="FK16" i="17"/>
  <c r="FG16" i="17"/>
  <c r="FF16" i="17"/>
  <c r="FE16" i="17"/>
  <c r="DU16" i="17"/>
  <c r="AB17" i="17" s="1"/>
  <c r="DM16" i="17"/>
  <c r="DK16" i="17"/>
  <c r="DI16" i="17"/>
  <c r="CW16" i="17"/>
  <c r="CU16" i="17"/>
  <c r="CT16" i="17"/>
  <c r="CQ16" i="17"/>
  <c r="CN16" i="17"/>
  <c r="CM16" i="17"/>
  <c r="CK16" i="17"/>
  <c r="CI16" i="17"/>
  <c r="CG16" i="17"/>
  <c r="CA16" i="17"/>
  <c r="BS16" i="17"/>
  <c r="BR16" i="17"/>
  <c r="BQ16" i="17"/>
  <c r="BD16" i="17"/>
  <c r="BC16" i="17"/>
  <c r="BB16" i="17"/>
  <c r="AZ16" i="17"/>
  <c r="AY16" i="17"/>
  <c r="AX16" i="17"/>
  <c r="AW16" i="17"/>
  <c r="AV16" i="17"/>
  <c r="AU16" i="17"/>
  <c r="AR16" i="17"/>
  <c r="AQ16" i="17" s="1"/>
  <c r="AP16" i="17"/>
  <c r="AN16" i="17"/>
  <c r="AK16" i="17"/>
  <c r="AJ16" i="17"/>
  <c r="AH16" i="17"/>
  <c r="AG16" i="17"/>
  <c r="AF16" i="17"/>
  <c r="AC16" i="17"/>
  <c r="Z16" i="17"/>
  <c r="BT16" i="17" s="1"/>
  <c r="Y16" i="17"/>
  <c r="X16" i="17"/>
  <c r="W16" i="17"/>
  <c r="V16" i="17"/>
  <c r="U16" i="17"/>
  <c r="AA16" i="17" s="1"/>
  <c r="BU16" i="17" s="1"/>
  <c r="T16" i="17"/>
  <c r="S16" i="17"/>
  <c r="R16" i="17"/>
  <c r="N16" i="17"/>
  <c r="BP16" i="17" s="1"/>
  <c r="M16" i="17"/>
  <c r="GJ15" i="17"/>
  <c r="FG15" i="17"/>
  <c r="FE15" i="17"/>
  <c r="DR15" i="17"/>
  <c r="DM15" i="17"/>
  <c r="DK15" i="17"/>
  <c r="DI15" i="17"/>
  <c r="CW15" i="17"/>
  <c r="CU15" i="17"/>
  <c r="CT15" i="17"/>
  <c r="CQ15" i="17"/>
  <c r="CO15" i="17"/>
  <c r="CM15" i="17"/>
  <c r="CI15" i="17"/>
  <c r="CH15" i="17"/>
  <c r="CG15" i="17"/>
  <c r="CF15" i="17"/>
  <c r="CA15" i="17"/>
  <c r="BD15" i="17"/>
  <c r="BC15" i="17"/>
  <c r="BB15" i="17"/>
  <c r="AZ15" i="17"/>
  <c r="BG15" i="17" s="1"/>
  <c r="AY15" i="17"/>
  <c r="AX15" i="17"/>
  <c r="AW15" i="17"/>
  <c r="AV15" i="17"/>
  <c r="AU15" i="17"/>
  <c r="AR15" i="17"/>
  <c r="CD15" i="17" s="1"/>
  <c r="AQ15" i="17"/>
  <c r="AP15" i="17"/>
  <c r="AN15" i="17"/>
  <c r="AK15" i="17"/>
  <c r="AJ15" i="17"/>
  <c r="AH15" i="17"/>
  <c r="CL15" i="17" s="1"/>
  <c r="AG15" i="17"/>
  <c r="AF15" i="17"/>
  <c r="AC15" i="17"/>
  <c r="AA15" i="17"/>
  <c r="Z15" i="17"/>
  <c r="Y15" i="17"/>
  <c r="X15" i="17"/>
  <c r="W15" i="17"/>
  <c r="V15" i="17"/>
  <c r="U15" i="17"/>
  <c r="T15" i="17"/>
  <c r="S15" i="17"/>
  <c r="R15" i="17"/>
  <c r="N15" i="17"/>
  <c r="BS15" i="17" s="1"/>
  <c r="M15" i="17"/>
  <c r="GJ14" i="17"/>
  <c r="FG14" i="17"/>
  <c r="FE14" i="17"/>
  <c r="DR14" i="17"/>
  <c r="DM14" i="17"/>
  <c r="DK14" i="17"/>
  <c r="DI14" i="17"/>
  <c r="CW14" i="17"/>
  <c r="CU14" i="17"/>
  <c r="CT14" i="17"/>
  <c r="CS14" i="17"/>
  <c r="CR14" i="17"/>
  <c r="CQ14" i="17"/>
  <c r="CM14" i="17"/>
  <c r="CL14" i="17"/>
  <c r="CK14" i="17"/>
  <c r="CJ14" i="17"/>
  <c r="CI14" i="17"/>
  <c r="CH14" i="17"/>
  <c r="CG14" i="17"/>
  <c r="CF14" i="17"/>
  <c r="CA14" i="17"/>
  <c r="BD14" i="17"/>
  <c r="BC14" i="17"/>
  <c r="BB14" i="17"/>
  <c r="AZ14" i="17"/>
  <c r="BG14" i="17" s="1"/>
  <c r="AY14" i="17"/>
  <c r="AY37" i="17" s="1"/>
  <c r="AX14" i="17"/>
  <c r="AW14" i="17"/>
  <c r="AV14" i="17"/>
  <c r="AU14" i="17"/>
  <c r="AR14" i="17"/>
  <c r="AS14" i="17" s="1"/>
  <c r="AQ14" i="17"/>
  <c r="AP14" i="17"/>
  <c r="AO14" i="17"/>
  <c r="AN14" i="17"/>
  <c r="AK14" i="17"/>
  <c r="AJ14" i="17"/>
  <c r="AG14" i="17"/>
  <c r="AF14" i="17"/>
  <c r="AC14" i="17"/>
  <c r="Z14" i="17"/>
  <c r="Y14" i="17"/>
  <c r="X14" i="17"/>
  <c r="W14" i="17"/>
  <c r="V14" i="17"/>
  <c r="U14" i="17"/>
  <c r="AA14" i="17" s="1"/>
  <c r="T14" i="17"/>
  <c r="S14" i="17"/>
  <c r="R14" i="17"/>
  <c r="N14" i="17"/>
  <c r="BP14" i="17" s="1"/>
  <c r="M14" i="17"/>
  <c r="GB13" i="17"/>
  <c r="FJ13" i="17"/>
  <c r="FG13" i="17"/>
  <c r="FE13" i="17"/>
  <c r="EE13" i="17"/>
  <c r="DU13" i="17"/>
  <c r="AB13" i="17" s="1"/>
  <c r="DR13" i="17"/>
  <c r="DM13" i="17"/>
  <c r="DK13" i="17"/>
  <c r="DI13" i="17"/>
  <c r="DB13" i="17"/>
  <c r="DA13" i="17"/>
  <c r="CW13" i="17"/>
  <c r="CT13" i="17"/>
  <c r="CQ13" i="17"/>
  <c r="CN13" i="17"/>
  <c r="CM13" i="17"/>
  <c r="CI13" i="17"/>
  <c r="CD13" i="17"/>
  <c r="CB13" i="17"/>
  <c r="CA13" i="17"/>
  <c r="BS13" i="17"/>
  <c r="BQ13" i="17"/>
  <c r="BD13" i="17"/>
  <c r="BC13" i="17"/>
  <c r="BB13" i="17"/>
  <c r="AZ13" i="17"/>
  <c r="AX13" i="17"/>
  <c r="AW13" i="17"/>
  <c r="AV13" i="17"/>
  <c r="CY13" i="17" s="1"/>
  <c r="AU13" i="17"/>
  <c r="AT13" i="17"/>
  <c r="AR13" i="17"/>
  <c r="AP13" i="17"/>
  <c r="AN13" i="17"/>
  <c r="AL13" i="17"/>
  <c r="AK13" i="17"/>
  <c r="AJ13" i="17"/>
  <c r="AH13" i="17"/>
  <c r="AG13" i="17"/>
  <c r="AF13" i="17"/>
  <c r="AC13" i="17"/>
  <c r="Z13" i="17"/>
  <c r="BT13" i="17" s="1"/>
  <c r="Y13" i="17"/>
  <c r="W13" i="17"/>
  <c r="V13" i="17"/>
  <c r="U13" i="17"/>
  <c r="T13" i="17"/>
  <c r="S13" i="17"/>
  <c r="AA13" i="17" s="1"/>
  <c r="R13" i="17"/>
  <c r="O13" i="17"/>
  <c r="N13" i="17"/>
  <c r="M13" i="17"/>
  <c r="GB12" i="17"/>
  <c r="FJ12" i="17"/>
  <c r="FG12" i="17"/>
  <c r="FE12" i="17"/>
  <c r="DR12" i="17"/>
  <c r="DM12" i="17"/>
  <c r="DK12" i="17"/>
  <c r="DI12" i="17"/>
  <c r="DC12" i="17"/>
  <c r="CW12" i="17"/>
  <c r="CU12" i="17"/>
  <c r="CT12" i="17"/>
  <c r="CS12" i="17" s="1"/>
  <c r="CQ12" i="17"/>
  <c r="CM12" i="17"/>
  <c r="CK12" i="17"/>
  <c r="CJ12" i="17"/>
  <c r="CI12" i="17"/>
  <c r="CH12" i="17"/>
  <c r="CG12" i="17"/>
  <c r="CF12" i="17"/>
  <c r="CA12" i="17"/>
  <c r="BX12" i="17"/>
  <c r="BW12" i="17"/>
  <c r="BP12" i="17"/>
  <c r="BO12" i="17"/>
  <c r="BD12" i="17"/>
  <c r="BC12" i="17"/>
  <c r="BB12" i="17"/>
  <c r="AZ12" i="17"/>
  <c r="AX12" i="17"/>
  <c r="AW12" i="17"/>
  <c r="AV12" i="17"/>
  <c r="AU12" i="17"/>
  <c r="AR12" i="17"/>
  <c r="CD12" i="17" s="1"/>
  <c r="AP12" i="17"/>
  <c r="AO12" i="17"/>
  <c r="AN12" i="17"/>
  <c r="AK12" i="17"/>
  <c r="AJ12" i="17"/>
  <c r="AI12" i="17"/>
  <c r="AH12" i="17"/>
  <c r="AG12" i="17"/>
  <c r="AF12" i="17"/>
  <c r="AC12" i="17"/>
  <c r="AB12" i="17"/>
  <c r="Z12" i="17"/>
  <c r="Y12" i="17"/>
  <c r="X12" i="17"/>
  <c r="W12" i="17"/>
  <c r="V12" i="17"/>
  <c r="U12" i="17"/>
  <c r="T12" i="17"/>
  <c r="S12" i="17"/>
  <c r="R12" i="17"/>
  <c r="O12" i="17"/>
  <c r="N12" i="17"/>
  <c r="BT12" i="17" s="1"/>
  <c r="M12" i="17"/>
  <c r="GJ11" i="17" s="1"/>
  <c r="GB11" i="17"/>
  <c r="FN11" i="17"/>
  <c r="FK11" i="17"/>
  <c r="FJ11" i="17"/>
  <c r="FG11" i="17"/>
  <c r="FE11" i="17"/>
  <c r="DR11" i="17"/>
  <c r="DM11" i="17"/>
  <c r="DK11" i="17"/>
  <c r="DI11" i="17"/>
  <c r="DE11" i="17"/>
  <c r="DD11" i="17"/>
  <c r="CY11" i="17"/>
  <c r="CX11" i="17"/>
  <c r="CW11" i="17"/>
  <c r="CU11" i="17"/>
  <c r="CT11" i="17"/>
  <c r="CQ11" i="17"/>
  <c r="CP11" i="17" s="1"/>
  <c r="CN11" i="17"/>
  <c r="CM11" i="17"/>
  <c r="CI11" i="17"/>
  <c r="CH11" i="17"/>
  <c r="CG11" i="17"/>
  <c r="CA11" i="17"/>
  <c r="BY11" i="17"/>
  <c r="BR11" i="17"/>
  <c r="BD11" i="17"/>
  <c r="BC11" i="17"/>
  <c r="BB11" i="17"/>
  <c r="DC11" i="17" s="1"/>
  <c r="AZ11" i="17"/>
  <c r="AX11" i="17"/>
  <c r="AW11" i="17"/>
  <c r="AV11" i="17"/>
  <c r="AU11" i="17"/>
  <c r="AS11" i="17" s="1"/>
  <c r="AT11" i="17"/>
  <c r="AR11" i="17"/>
  <c r="AQ11" i="17"/>
  <c r="CV11" i="17" s="1"/>
  <c r="AP11" i="17"/>
  <c r="AN11" i="17"/>
  <c r="AM11" i="17"/>
  <c r="AL11" i="17"/>
  <c r="AK11" i="17"/>
  <c r="AJ11" i="17"/>
  <c r="AG11" i="17"/>
  <c r="AF11" i="17"/>
  <c r="AH11" i="17" s="1"/>
  <c r="CL11" i="17" s="1"/>
  <c r="AD11" i="17"/>
  <c r="AC11" i="17"/>
  <c r="AB11" i="17"/>
  <c r="Z11" i="17"/>
  <c r="BT11" i="17" s="1"/>
  <c r="Y11" i="17"/>
  <c r="X11" i="17" s="1"/>
  <c r="W11" i="17"/>
  <c r="V11" i="17"/>
  <c r="U11" i="17"/>
  <c r="T11" i="17"/>
  <c r="S11" i="17"/>
  <c r="R11" i="17"/>
  <c r="O11" i="17"/>
  <c r="N11" i="17"/>
  <c r="BQ11" i="17" s="1"/>
  <c r="M11" i="17"/>
  <c r="GB10" i="17"/>
  <c r="FK10" i="17"/>
  <c r="FJ10" i="17"/>
  <c r="FG10" i="17"/>
  <c r="FF10" i="17"/>
  <c r="FE10" i="17"/>
  <c r="DR10" i="17"/>
  <c r="DM10" i="17"/>
  <c r="DK10" i="17"/>
  <c r="DI10" i="17"/>
  <c r="DF10" i="17"/>
  <c r="DE10" i="17"/>
  <c r="DD10" i="17"/>
  <c r="CZ10" i="17"/>
  <c r="CY10" i="17"/>
  <c r="CX10" i="17"/>
  <c r="CW10" i="17"/>
  <c r="CT10" i="17"/>
  <c r="CQ10" i="17"/>
  <c r="CM10" i="17"/>
  <c r="CI10" i="17"/>
  <c r="CD10" i="17"/>
  <c r="CA10" i="17"/>
  <c r="BY10" i="17"/>
  <c r="BX10" i="17"/>
  <c r="BR10" i="17"/>
  <c r="BQ10" i="17"/>
  <c r="BD10" i="17"/>
  <c r="BC10" i="17"/>
  <c r="BB10" i="17"/>
  <c r="AZ10" i="17"/>
  <c r="BG10" i="17" s="1"/>
  <c r="AX10" i="17"/>
  <c r="AW10" i="17"/>
  <c r="AV10" i="17"/>
  <c r="AU10" i="17"/>
  <c r="AR10" i="17"/>
  <c r="AS10" i="17" s="1"/>
  <c r="CC10" i="17" s="1"/>
  <c r="AQ10" i="17"/>
  <c r="AP10" i="17"/>
  <c r="AO10" i="17"/>
  <c r="AN10" i="17"/>
  <c r="AK10" i="17"/>
  <c r="AL10" i="17" s="1"/>
  <c r="CP10" i="17" s="1"/>
  <c r="CO10" i="17" s="1"/>
  <c r="AJ10" i="17"/>
  <c r="AM10" i="17" s="1"/>
  <c r="AG10" i="17"/>
  <c r="AF10" i="17"/>
  <c r="AD10" i="17"/>
  <c r="CH10" i="17" s="1"/>
  <c r="AC10" i="17"/>
  <c r="AB10" i="17"/>
  <c r="Z10" i="17"/>
  <c r="Y10" i="17"/>
  <c r="BS10" i="17" s="1"/>
  <c r="X10" i="17"/>
  <c r="W10" i="17"/>
  <c r="V10" i="17"/>
  <c r="U10" i="17"/>
  <c r="T10" i="17"/>
  <c r="S10" i="17"/>
  <c r="BP10" i="17" s="1"/>
  <c r="R10" i="17"/>
  <c r="O10" i="17"/>
  <c r="DC10" i="17" s="1"/>
  <c r="N10" i="17"/>
  <c r="M10" i="17"/>
  <c r="GJ9" i="17"/>
  <c r="FJ9" i="17"/>
  <c r="FG9" i="17"/>
  <c r="FF9" i="17"/>
  <c r="FE9" i="17"/>
  <c r="EP9" i="17"/>
  <c r="DR9" i="17"/>
  <c r="DM9" i="17"/>
  <c r="DK9" i="17"/>
  <c r="DI9" i="17"/>
  <c r="DG9" i="17"/>
  <c r="DF9" i="17"/>
  <c r="DB9" i="17"/>
  <c r="DA9" i="17"/>
  <c r="CZ9" i="17"/>
  <c r="CW9" i="17"/>
  <c r="CT9" i="17"/>
  <c r="CS9" i="17"/>
  <c r="CR9" i="17"/>
  <c r="CQ9" i="17"/>
  <c r="CM9" i="17"/>
  <c r="CK9" i="17"/>
  <c r="CI9" i="17"/>
  <c r="CA9" i="17"/>
  <c r="BY9" i="17"/>
  <c r="BT9" i="17"/>
  <c r="BS9" i="17"/>
  <c r="BR9" i="17"/>
  <c r="BD9" i="17"/>
  <c r="BC9" i="17"/>
  <c r="BB9" i="17"/>
  <c r="AZ9" i="17"/>
  <c r="AX9" i="17"/>
  <c r="AW9" i="17"/>
  <c r="AV9" i="17"/>
  <c r="AU9" i="17"/>
  <c r="AS9" i="17" s="1"/>
  <c r="AT9" i="17"/>
  <c r="AR9" i="17"/>
  <c r="AQ9" i="17"/>
  <c r="AP9" i="17"/>
  <c r="AN9" i="17"/>
  <c r="AM9" i="17"/>
  <c r="AL9" i="17"/>
  <c r="AK9" i="17"/>
  <c r="AJ9" i="17"/>
  <c r="AH9" i="17"/>
  <c r="CL9" i="17" s="1"/>
  <c r="AG9" i="17"/>
  <c r="AF9" i="17"/>
  <c r="AC9" i="17"/>
  <c r="AB9" i="17"/>
  <c r="CF9" i="17" s="1"/>
  <c r="CE9" i="17" s="1"/>
  <c r="CD9" i="17" s="1"/>
  <c r="Z9" i="17"/>
  <c r="Y9" i="17"/>
  <c r="X9" i="17" s="1"/>
  <c r="W9" i="17" s="1"/>
  <c r="V9" i="17"/>
  <c r="U9" i="17"/>
  <c r="T9" i="17"/>
  <c r="S9" i="17"/>
  <c r="BP9" i="17" s="1"/>
  <c r="R9" i="17"/>
  <c r="O9" i="17"/>
  <c r="DE9" i="17" s="1"/>
  <c r="N9" i="17"/>
  <c r="BO9" i="17" s="1"/>
  <c r="M9" i="17"/>
  <c r="GJ8" i="17"/>
  <c r="FK8" i="17"/>
  <c r="FJ8" i="17"/>
  <c r="FG8" i="17"/>
  <c r="FF8" i="17"/>
  <c r="FE8" i="17"/>
  <c r="DR8" i="17"/>
  <c r="DM8" i="17"/>
  <c r="DK8" i="17"/>
  <c r="DI8" i="17"/>
  <c r="CW8" i="17"/>
  <c r="CT8" i="17"/>
  <c r="CS8" i="17" s="1"/>
  <c r="CR8" i="17"/>
  <c r="CQ8" i="17"/>
  <c r="CM8" i="17"/>
  <c r="CL8" i="17"/>
  <c r="CK8" i="17" s="1"/>
  <c r="CI8" i="17"/>
  <c r="CH8" i="17"/>
  <c r="CG8" i="17"/>
  <c r="CF8" i="17"/>
  <c r="CD8" i="17"/>
  <c r="CA8" i="17"/>
  <c r="BG8" i="17"/>
  <c r="BD8" i="17"/>
  <c r="BC8" i="17"/>
  <c r="BB8" i="17"/>
  <c r="AZ8" i="17"/>
  <c r="AX8" i="17"/>
  <c r="AW8" i="17"/>
  <c r="AS8" i="17" s="1"/>
  <c r="CE8" i="17" s="1"/>
  <c r="AV8" i="17"/>
  <c r="AU8" i="17"/>
  <c r="AT8" i="17" s="1"/>
  <c r="AR8" i="17"/>
  <c r="AP8" i="17"/>
  <c r="CU8" i="17" s="1"/>
  <c r="AO8" i="17"/>
  <c r="AN8" i="17"/>
  <c r="AK8" i="17"/>
  <c r="AJ8" i="17"/>
  <c r="AL8" i="17" s="1"/>
  <c r="CP8" i="17" s="1"/>
  <c r="AH8" i="17"/>
  <c r="AG8" i="17"/>
  <c r="AF8" i="17"/>
  <c r="AC8" i="17"/>
  <c r="Z8" i="17"/>
  <c r="Y8" i="17"/>
  <c r="W8" i="17"/>
  <c r="V8" i="17"/>
  <c r="U8" i="17"/>
  <c r="AA8" i="17" s="1"/>
  <c r="T8" i="17"/>
  <c r="S8" i="17"/>
  <c r="R8" i="17"/>
  <c r="N8" i="17"/>
  <c r="BT8" i="17" s="1"/>
  <c r="M8" i="17"/>
  <c r="GJ7" i="17"/>
  <c r="FL7" i="17" s="1"/>
  <c r="FJ7" i="17"/>
  <c r="FG7" i="17"/>
  <c r="FF7" i="17"/>
  <c r="FE7" i="17"/>
  <c r="DR7" i="17"/>
  <c r="DP7" i="17"/>
  <c r="DN7" i="17"/>
  <c r="DM7" i="17"/>
  <c r="DK7" i="17"/>
  <c r="DI7" i="17"/>
  <c r="DH7" i="17"/>
  <c r="DG7" i="17"/>
  <c r="DC7" i="17"/>
  <c r="DB7" i="17"/>
  <c r="DA7" i="17"/>
  <c r="CW7" i="17"/>
  <c r="CV7" i="17"/>
  <c r="CU7" i="17"/>
  <c r="CT7" i="17"/>
  <c r="CS7" i="17"/>
  <c r="CR7" i="17"/>
  <c r="CQ7" i="17"/>
  <c r="CP7" i="17"/>
  <c r="CO7" i="17"/>
  <c r="CN7" i="17"/>
  <c r="CM7" i="17"/>
  <c r="CL7" i="17"/>
  <c r="CK7" i="17"/>
  <c r="CJ7" i="17"/>
  <c r="CI7" i="17"/>
  <c r="CH7" i="17"/>
  <c r="CG7" i="17"/>
  <c r="CF7" i="17"/>
  <c r="CD7" i="17"/>
  <c r="CC7" i="17"/>
  <c r="CB7" i="17"/>
  <c r="CA7" i="17"/>
  <c r="BX7" i="17"/>
  <c r="BW7" i="17"/>
  <c r="BV7" i="17"/>
  <c r="BU7" i="17"/>
  <c r="BR7" i="17"/>
  <c r="BP7" i="17"/>
  <c r="BO7" i="17"/>
  <c r="BG7" i="17"/>
  <c r="BD7" i="17"/>
  <c r="BC7" i="17"/>
  <c r="BB7" i="17"/>
  <c r="AZ7" i="17"/>
  <c r="AX7" i="17"/>
  <c r="AW7" i="17"/>
  <c r="AS7" i="17" s="1"/>
  <c r="AV7" i="17"/>
  <c r="AU7" i="17"/>
  <c r="AT7" i="17" s="1"/>
  <c r="AR7" i="17"/>
  <c r="AN7" i="17"/>
  <c r="AL7" i="17"/>
  <c r="AK7" i="17"/>
  <c r="AJ7" i="17"/>
  <c r="AG7" i="17"/>
  <c r="AF7" i="17"/>
  <c r="AC7" i="17"/>
  <c r="Z7" i="17"/>
  <c r="Y7" i="17"/>
  <c r="X7" i="17" s="1"/>
  <c r="W7" i="17"/>
  <c r="V7" i="17"/>
  <c r="U7" i="17"/>
  <c r="T7" i="17"/>
  <c r="S7" i="17"/>
  <c r="R7" i="17"/>
  <c r="O7" i="17"/>
  <c r="DL7" i="17" s="1"/>
  <c r="N7" i="17"/>
  <c r="BT7" i="17" s="1"/>
  <c r="M7" i="17"/>
  <c r="GB6" i="17"/>
  <c r="GB37" i="17" s="1"/>
  <c r="FL6" i="17"/>
  <c r="FJ6" i="17"/>
  <c r="FI6" i="17"/>
  <c r="FH6" i="17"/>
  <c r="FG6" i="17"/>
  <c r="FF6" i="17" s="1"/>
  <c r="FE6" i="17"/>
  <c r="EG6" i="17"/>
  <c r="AP6" i="17" s="1"/>
  <c r="DU6" i="17"/>
  <c r="DR6" i="17"/>
  <c r="DM6" i="17"/>
  <c r="DK6" i="17"/>
  <c r="DI6" i="17"/>
  <c r="CW6" i="17"/>
  <c r="CT6" i="17"/>
  <c r="CQ6" i="17"/>
  <c r="CP6" i="17"/>
  <c r="CO6" i="17"/>
  <c r="CN6" i="17"/>
  <c r="CM6" i="17"/>
  <c r="CI6" i="17"/>
  <c r="CD6" i="17"/>
  <c r="CA6" i="17"/>
  <c r="BG6" i="17"/>
  <c r="BD6" i="17"/>
  <c r="BC6" i="17"/>
  <c r="BB6" i="17"/>
  <c r="AZ6" i="17"/>
  <c r="AX6" i="17"/>
  <c r="AW6" i="17"/>
  <c r="AW37" i="17" s="1"/>
  <c r="AV6" i="17"/>
  <c r="AU6" i="17"/>
  <c r="AT6" i="17" s="1"/>
  <c r="AR6" i="17"/>
  <c r="AO6" i="17"/>
  <c r="AN6" i="17"/>
  <c r="AL6" i="17"/>
  <c r="AK6" i="17"/>
  <c r="AJ6" i="17"/>
  <c r="AG6" i="17"/>
  <c r="AF6" i="17"/>
  <c r="AC6" i="17"/>
  <c r="AB6" i="17"/>
  <c r="AA6" i="17"/>
  <c r="Z6" i="17"/>
  <c r="Y6" i="17"/>
  <c r="W6" i="17"/>
  <c r="V6" i="17"/>
  <c r="V37" i="17" s="1"/>
  <c r="U6" i="17"/>
  <c r="T6" i="17"/>
  <c r="BQ6" i="17" s="1"/>
  <c r="S6" i="17"/>
  <c r="R6" i="17"/>
  <c r="N6" i="17"/>
  <c r="M6" i="17"/>
  <c r="M37" i="17" s="1"/>
  <c r="DC3" i="17"/>
  <c r="DB3" i="17"/>
  <c r="DA3" i="17"/>
  <c r="CZ3" i="17"/>
  <c r="CY3" i="17"/>
  <c r="CX3" i="17"/>
  <c r="CW3" i="17"/>
  <c r="CV3" i="17"/>
  <c r="CU3" i="17"/>
  <c r="CT3" i="17"/>
  <c r="CS3" i="17"/>
  <c r="CR3" i="17"/>
  <c r="CQ3" i="17"/>
  <c r="CP3" i="17"/>
  <c r="CO3" i="17"/>
  <c r="CN3" i="17"/>
  <c r="CM3" i="17"/>
  <c r="CL3" i="17"/>
  <c r="CK3" i="17"/>
  <c r="CJ3" i="17"/>
  <c r="CI3" i="17"/>
  <c r="CH3" i="17"/>
  <c r="CG3" i="17"/>
  <c r="CF3" i="17"/>
  <c r="CE3" i="17"/>
  <c r="CD3" i="17"/>
  <c r="CC3" i="17"/>
  <c r="BE1" i="17"/>
  <c r="BE2" i="17" s="1"/>
  <c r="CG10" i="17" l="1"/>
  <c r="CO18" i="17"/>
  <c r="CU6" i="17"/>
  <c r="CF13" i="17"/>
  <c r="BP8" i="17"/>
  <c r="AL12" i="17"/>
  <c r="CP12" i="17" s="1"/>
  <c r="BT14" i="17"/>
  <c r="CD14" i="17"/>
  <c r="CD16" i="17"/>
  <c r="AA17" i="17"/>
  <c r="BS17" i="17"/>
  <c r="DH21" i="17"/>
  <c r="DB21" i="17"/>
  <c r="CB21" i="17"/>
  <c r="BV21" i="17"/>
  <c r="BU21" i="17" s="1"/>
  <c r="DG21" i="17"/>
  <c r="DA21" i="17"/>
  <c r="DF21" i="17"/>
  <c r="CZ21" i="17"/>
  <c r="BZ21" i="17"/>
  <c r="DC21" i="17"/>
  <c r="BW21" i="17"/>
  <c r="BW24" i="17"/>
  <c r="AO25" i="17"/>
  <c r="CU25" i="17"/>
  <c r="N37" i="17"/>
  <c r="BQ8" i="17"/>
  <c r="AI9" i="17"/>
  <c r="S37" i="17"/>
  <c r="Z37" i="17"/>
  <c r="AF37" i="17"/>
  <c r="AM6" i="17"/>
  <c r="AN37" i="17"/>
  <c r="AV37" i="17"/>
  <c r="BD37" i="17"/>
  <c r="BP6" i="17"/>
  <c r="CS6" i="17"/>
  <c r="BO8" i="17"/>
  <c r="BW10" i="17"/>
  <c r="CN10" i="17"/>
  <c r="DE12" i="17"/>
  <c r="CY12" i="17"/>
  <c r="BV12" i="17"/>
  <c r="CB12" i="17"/>
  <c r="CR12" i="17"/>
  <c r="DB12" i="17"/>
  <c r="BR14" i="17"/>
  <c r="CK15" i="17"/>
  <c r="CN15" i="17"/>
  <c r="CL16" i="17"/>
  <c r="BQ18" i="17"/>
  <c r="AA18" i="17"/>
  <c r="BZ18" i="17" s="1"/>
  <c r="BG18" i="17"/>
  <c r="BR19" i="17"/>
  <c r="AM19" i="17"/>
  <c r="CN19" i="17"/>
  <c r="AL19" i="17"/>
  <c r="CU19" i="17"/>
  <c r="DG20" i="17"/>
  <c r="DA20" i="17"/>
  <c r="DF20" i="17"/>
  <c r="CZ20" i="17"/>
  <c r="BZ20" i="17"/>
  <c r="DE20" i="17"/>
  <c r="CY20" i="17"/>
  <c r="BY20" i="17"/>
  <c r="DH20" i="17"/>
  <c r="DB20" i="17"/>
  <c r="CB20" i="17"/>
  <c r="BV20" i="17"/>
  <c r="BU20" i="17" s="1"/>
  <c r="BO21" i="17"/>
  <c r="BT21" i="17"/>
  <c r="BS21" i="17"/>
  <c r="BP21" i="17"/>
  <c r="X21" i="17"/>
  <c r="DD21" i="17"/>
  <c r="BS22" i="17"/>
  <c r="BR22" i="17"/>
  <c r="BQ22" i="17"/>
  <c r="O22" i="17"/>
  <c r="BT22" i="17"/>
  <c r="CU22" i="17"/>
  <c r="BP22" i="17"/>
  <c r="AA23" i="17"/>
  <c r="BO23" i="17"/>
  <c r="BG23" i="17"/>
  <c r="CG24" i="17"/>
  <c r="BV24" i="17"/>
  <c r="CN26" i="17"/>
  <c r="AL26" i="17"/>
  <c r="AM26" i="17" s="1"/>
  <c r="BS27" i="17"/>
  <c r="BR27" i="17"/>
  <c r="BQ27" i="17"/>
  <c r="BT27" i="17"/>
  <c r="X27" i="17"/>
  <c r="DA27" i="17"/>
  <c r="AQ28" i="17"/>
  <c r="BR30" i="17"/>
  <c r="BQ30" i="17"/>
  <c r="BP30" i="17"/>
  <c r="BU30" i="17"/>
  <c r="BO30" i="17"/>
  <c r="O30" i="17"/>
  <c r="BS30" i="17"/>
  <c r="BT30" i="17"/>
  <c r="BG33" i="17"/>
  <c r="CP34" i="17"/>
  <c r="AM34" i="17"/>
  <c r="AO35" i="17"/>
  <c r="CJ36" i="17"/>
  <c r="DG19" i="17"/>
  <c r="DF19" i="17" s="1"/>
  <c r="CZ19" i="17"/>
  <c r="CH19" i="17"/>
  <c r="CG19" i="17" s="1"/>
  <c r="DE19" i="17"/>
  <c r="CY19" i="17"/>
  <c r="BY19" i="17"/>
  <c r="DD19" i="17"/>
  <c r="CX19" i="17"/>
  <c r="BX19" i="17"/>
  <c r="DH19" i="17"/>
  <c r="DA19" i="17"/>
  <c r="AH6" i="17"/>
  <c r="AO13" i="17"/>
  <c r="AL14" i="17"/>
  <c r="CP14" i="17" s="1"/>
  <c r="BU18" i="17"/>
  <c r="DD18" i="17"/>
  <c r="BW19" i="17"/>
  <c r="DC19" i="17"/>
  <c r="AT21" i="17"/>
  <c r="AS21" i="17"/>
  <c r="CE21" i="17" s="1"/>
  <c r="CD21" i="17" s="1"/>
  <c r="CN22" i="17"/>
  <c r="AM22" i="17"/>
  <c r="AL22" i="17"/>
  <c r="CP22" i="17" s="1"/>
  <c r="DA24" i="17"/>
  <c r="AA26" i="17"/>
  <c r="CC27" i="17"/>
  <c r="DG27" i="17"/>
  <c r="AA28" i="17"/>
  <c r="AH28" i="17"/>
  <c r="AI28" i="17" s="1"/>
  <c r="BG28" i="17"/>
  <c r="BG30" i="17"/>
  <c r="AI34" i="17"/>
  <c r="AH34" i="17"/>
  <c r="FI40" i="17"/>
  <c r="FL41" i="17"/>
  <c r="T37" i="17"/>
  <c r="AM7" i="17"/>
  <c r="BS11" i="17"/>
  <c r="AQ12" i="17"/>
  <c r="AS12" i="17"/>
  <c r="CC12" i="17" s="1"/>
  <c r="DE27" i="17"/>
  <c r="CY27" i="17"/>
  <c r="BZ27" i="17"/>
  <c r="DD27" i="17"/>
  <c r="CX27" i="17"/>
  <c r="BY27" i="17"/>
  <c r="DC27" i="17"/>
  <c r="BX27" i="17"/>
  <c r="DF27" i="17"/>
  <c r="CZ27" i="17"/>
  <c r="DB27" i="17"/>
  <c r="AI29" i="17"/>
  <c r="AH29" i="17"/>
  <c r="CL29" i="17" s="1"/>
  <c r="BZ30" i="17"/>
  <c r="CO31" i="17"/>
  <c r="AL31" i="17"/>
  <c r="AM31" i="17" s="1"/>
  <c r="U37" i="17"/>
  <c r="BR6" i="17"/>
  <c r="AQ8" i="17"/>
  <c r="CJ8" i="17"/>
  <c r="AE10" i="17"/>
  <c r="CR11" i="17"/>
  <c r="FN37" i="17"/>
  <c r="DD12" i="17"/>
  <c r="CE14" i="17"/>
  <c r="BT15" i="17"/>
  <c r="BP15" i="17"/>
  <c r="O15" i="17"/>
  <c r="AS15" i="17"/>
  <c r="CE15" i="17" s="1"/>
  <c r="AS16" i="17"/>
  <c r="O6" i="17"/>
  <c r="AI6" i="17"/>
  <c r="AQ6" i="17"/>
  <c r="AR37" i="17"/>
  <c r="AZ37" i="17"/>
  <c r="BS6" i="17"/>
  <c r="GJ6" i="17"/>
  <c r="AA7" i="17"/>
  <c r="AH7" i="17"/>
  <c r="BS7" i="17"/>
  <c r="BY7" i="17"/>
  <c r="CE7" i="17"/>
  <c r="CX7" i="17"/>
  <c r="DD7" i="17"/>
  <c r="DJ7" i="17"/>
  <c r="X8" i="17"/>
  <c r="BR8" i="17"/>
  <c r="BV9" i="17"/>
  <c r="CB9" i="17"/>
  <c r="CV9" i="17"/>
  <c r="CU9" i="17" s="1"/>
  <c r="DC9" i="17"/>
  <c r="BT10" i="17"/>
  <c r="CS10" i="17"/>
  <c r="CR10" i="17" s="1"/>
  <c r="DA10" i="17"/>
  <c r="DG10" i="17"/>
  <c r="GJ10" i="17"/>
  <c r="AA11" i="17"/>
  <c r="BZ11" i="17" s="1"/>
  <c r="AO11" i="17"/>
  <c r="CS11" i="17" s="1"/>
  <c r="BO11" i="17"/>
  <c r="BV11" i="17"/>
  <c r="BU11" i="17" s="1"/>
  <c r="CB11" i="17"/>
  <c r="CK11" i="17"/>
  <c r="CZ11" i="17"/>
  <c r="DF11" i="17"/>
  <c r="BQ12" i="17"/>
  <c r="BY12" i="17"/>
  <c r="CE12" i="17"/>
  <c r="CL12" i="17"/>
  <c r="CX12" i="17"/>
  <c r="DF12" i="17"/>
  <c r="GJ12" i="17"/>
  <c r="AI13" i="17"/>
  <c r="AQ13" i="17"/>
  <c r="BV13" i="17"/>
  <c r="BU13" i="17" s="1"/>
  <c r="CR13" i="17"/>
  <c r="DC13" i="17"/>
  <c r="AL15" i="17"/>
  <c r="CP15" i="17" s="1"/>
  <c r="BO15" i="17"/>
  <c r="CO16" i="17"/>
  <c r="AT16" i="17"/>
  <c r="BO16" i="17"/>
  <c r="AL17" i="17"/>
  <c r="AM17" i="17" s="1"/>
  <c r="AS17" i="17"/>
  <c r="CV17" i="17"/>
  <c r="AA19" i="17"/>
  <c r="BZ19" i="17" s="1"/>
  <c r="X19" i="17"/>
  <c r="BS19" i="17"/>
  <c r="AO19" i="17"/>
  <c r="BX20" i="17"/>
  <c r="DC20" i="17"/>
  <c r="AL21" i="17"/>
  <c r="CP21" i="17" s="1"/>
  <c r="CO21" i="17" s="1"/>
  <c r="BX21" i="17"/>
  <c r="AA22" i="17"/>
  <c r="CR23" i="17"/>
  <c r="AT24" i="17"/>
  <c r="AS24" i="17"/>
  <c r="CC24" i="17" s="1"/>
  <c r="CB24" i="17"/>
  <c r="DB24" i="17"/>
  <c r="AA25" i="17"/>
  <c r="CR25" i="17"/>
  <c r="AD26" i="17"/>
  <c r="CF26" i="17"/>
  <c r="CU26" i="17"/>
  <c r="BP27" i="17"/>
  <c r="CS27" i="17"/>
  <c r="CE28" i="17"/>
  <c r="CS29" i="17"/>
  <c r="CF30" i="17"/>
  <c r="AD30" i="17"/>
  <c r="X32" i="17"/>
  <c r="CR32" i="17"/>
  <c r="AO32" i="17"/>
  <c r="BG35" i="17"/>
  <c r="AD36" i="17"/>
  <c r="AI8" i="17"/>
  <c r="AA9" i="17"/>
  <c r="BZ9" i="17" s="1"/>
  <c r="AE11" i="17"/>
  <c r="DE21" i="17"/>
  <c r="BR24" i="17"/>
  <c r="X24" i="17"/>
  <c r="BG32" i="17"/>
  <c r="CN36" i="17"/>
  <c r="AL36" i="17"/>
  <c r="AM36" i="17" s="1"/>
  <c r="AX37" i="17"/>
  <c r="FD6" i="17"/>
  <c r="AO7" i="17"/>
  <c r="AO37" i="17" s="1"/>
  <c r="AO9" i="17"/>
  <c r="CJ9" i="17"/>
  <c r="AT12" i="17"/>
  <c r="AT37" i="17" s="1"/>
  <c r="BG16" i="17"/>
  <c r="CF17" i="17"/>
  <c r="W37" i="17"/>
  <c r="AD6" i="17"/>
  <c r="AK37" i="17"/>
  <c r="AS6" i="17"/>
  <c r="BB37" i="17"/>
  <c r="BT6" i="17"/>
  <c r="AI7" i="17"/>
  <c r="BZ7" i="17"/>
  <c r="CY7" i="17"/>
  <c r="DE7" i="17"/>
  <c r="AM8" i="17"/>
  <c r="BS8" i="17"/>
  <c r="CO8" i="17"/>
  <c r="CV8" i="17"/>
  <c r="AD9" i="17"/>
  <c r="CH9" i="17" s="1"/>
  <c r="BG9" i="17"/>
  <c r="DH9" i="17" s="1"/>
  <c r="BW9" i="17"/>
  <c r="CC9" i="17"/>
  <c r="CX9" i="17"/>
  <c r="DD9" i="17"/>
  <c r="AA10" i="17"/>
  <c r="BZ10" i="17" s="1"/>
  <c r="AH10" i="17"/>
  <c r="AT10" i="17"/>
  <c r="BO10" i="17"/>
  <c r="CJ10" i="17"/>
  <c r="CU10" i="17"/>
  <c r="DB10" i="17"/>
  <c r="DH10" i="17"/>
  <c r="AI11" i="17"/>
  <c r="BG11" i="17"/>
  <c r="DH11" i="17" s="1"/>
  <c r="BP11" i="17"/>
  <c r="BW11" i="17"/>
  <c r="CC11" i="17"/>
  <c r="DA11" i="17"/>
  <c r="DG11" i="17"/>
  <c r="BG12" i="17"/>
  <c r="BR12" i="17"/>
  <c r="CN12" i="17"/>
  <c r="CZ12" i="17"/>
  <c r="DG12" i="17"/>
  <c r="BP13" i="17"/>
  <c r="BR13" i="17"/>
  <c r="AM13" i="17"/>
  <c r="AS13" i="17"/>
  <c r="BX13" i="17"/>
  <c r="CS13" i="17"/>
  <c r="DE13" i="17"/>
  <c r="CO14" i="17"/>
  <c r="AI15" i="17"/>
  <c r="CR15" i="17"/>
  <c r="BQ15" i="17"/>
  <c r="CJ15" i="17"/>
  <c r="AL16" i="17"/>
  <c r="AM16" i="17" s="1"/>
  <c r="AD17" i="17"/>
  <c r="AT17" i="17"/>
  <c r="AO18" i="17"/>
  <c r="CU18" i="17"/>
  <c r="AQ18" i="17"/>
  <c r="CB19" i="17"/>
  <c r="DD20" i="17"/>
  <c r="BY21" i="17"/>
  <c r="CX21" i="17"/>
  <c r="CK23" i="17"/>
  <c r="CN24" i="17"/>
  <c r="AL24" i="17"/>
  <c r="CP24" i="17" s="1"/>
  <c r="DG24" i="17"/>
  <c r="CS25" i="17"/>
  <c r="AQ26" i="17"/>
  <c r="AT26" i="17"/>
  <c r="AS26" i="17"/>
  <c r="BQ26" i="17"/>
  <c r="CD26" i="17"/>
  <c r="AI27" i="17"/>
  <c r="AM27" i="17"/>
  <c r="AL27" i="17"/>
  <c r="CP27" i="17" s="1"/>
  <c r="CN27" i="17"/>
  <c r="BG27" i="17"/>
  <c r="DH27" i="17" s="1"/>
  <c r="BV27" i="17"/>
  <c r="BU27" i="17" s="1"/>
  <c r="CU27" i="17"/>
  <c r="BQ28" i="17"/>
  <c r="BP28" i="17"/>
  <c r="BO28" i="17"/>
  <c r="O28" i="17"/>
  <c r="BR28" i="17"/>
  <c r="AT31" i="17"/>
  <c r="AS31" i="17"/>
  <c r="CE31" i="17" s="1"/>
  <c r="CD31" i="17" s="1"/>
  <c r="BP32" i="17"/>
  <c r="BO32" i="17"/>
  <c r="BT32" i="17"/>
  <c r="BS32" i="17"/>
  <c r="BQ32" i="17"/>
  <c r="BG34" i="17"/>
  <c r="CU36" i="17"/>
  <c r="AU37" i="17"/>
  <c r="FG34" i="17"/>
  <c r="FG68" i="17"/>
  <c r="CO11" i="17"/>
  <c r="BS14" i="17"/>
  <c r="BO14" i="17"/>
  <c r="O14" i="17"/>
  <c r="BV19" i="17"/>
  <c r="BU19" i="17" s="1"/>
  <c r="AI20" i="17"/>
  <c r="AL20" i="17"/>
  <c r="CP20" i="17" s="1"/>
  <c r="CO20" i="17" s="1"/>
  <c r="DE24" i="17"/>
  <c r="CY24" i="17"/>
  <c r="DD24" i="17"/>
  <c r="CX24" i="17"/>
  <c r="BY24" i="17"/>
  <c r="DC24" i="17"/>
  <c r="BX24" i="17"/>
  <c r="DF24" i="17"/>
  <c r="CZ24" i="17"/>
  <c r="CB27" i="17"/>
  <c r="AL28" i="17"/>
  <c r="AD32" i="17"/>
  <c r="AE32" i="17" s="1"/>
  <c r="BQ7" i="17"/>
  <c r="AD12" i="17"/>
  <c r="AE12" i="17" s="1"/>
  <c r="CV12" i="17"/>
  <c r="R37" i="17"/>
  <c r="X6" i="17"/>
  <c r="Y37" i="17"/>
  <c r="AE6" i="17"/>
  <c r="BC37" i="17"/>
  <c r="BO6" i="17"/>
  <c r="CK6" i="17"/>
  <c r="CZ7" i="17"/>
  <c r="DF7" i="17"/>
  <c r="AE9" i="17"/>
  <c r="BQ9" i="17"/>
  <c r="BX9" i="17"/>
  <c r="CP9" i="17"/>
  <c r="CY9" i="17"/>
  <c r="AI10" i="17"/>
  <c r="BV10" i="17"/>
  <c r="CB10" i="17"/>
  <c r="CL10" i="17"/>
  <c r="CV10" i="17"/>
  <c r="BX11" i="17"/>
  <c r="CF11" i="17"/>
  <c r="CE11" i="17" s="1"/>
  <c r="CD11" i="17" s="1"/>
  <c r="DB11" i="17"/>
  <c r="AA12" i="17"/>
  <c r="BZ12" i="17" s="1"/>
  <c r="BS12" i="17"/>
  <c r="DA12" i="17"/>
  <c r="DH12" i="17"/>
  <c r="DD13" i="17"/>
  <c r="CX13" i="17"/>
  <c r="CC13" i="17"/>
  <c r="BW13" i="17"/>
  <c r="DF13" i="17"/>
  <c r="CZ13" i="17"/>
  <c r="BY13" i="17"/>
  <c r="BG13" i="17"/>
  <c r="DH13" i="17" s="1"/>
  <c r="BO13" i="17"/>
  <c r="BZ13" i="17"/>
  <c r="CJ13" i="17"/>
  <c r="CV13" i="17"/>
  <c r="DG13" i="17"/>
  <c r="BQ14" i="17"/>
  <c r="BR15" i="17"/>
  <c r="CV15" i="17"/>
  <c r="CJ16" i="17"/>
  <c r="AI16" i="17"/>
  <c r="CR16" i="17"/>
  <c r="CV16" i="17"/>
  <c r="BU17" i="17"/>
  <c r="AE17" i="17"/>
  <c r="AH17" i="17"/>
  <c r="CL17" i="17" s="1"/>
  <c r="CJ17" i="17"/>
  <c r="CX18" i="17"/>
  <c r="AS19" i="17"/>
  <c r="CC19" i="17" s="1"/>
  <c r="CS19" i="17"/>
  <c r="BT20" i="17"/>
  <c r="BS20" i="17"/>
  <c r="BR20" i="17"/>
  <c r="BO20" i="17"/>
  <c r="X20" i="17"/>
  <c r="AQ20" i="17"/>
  <c r="CV20" i="17" s="1"/>
  <c r="AT20" i="17"/>
  <c r="CC20" i="17"/>
  <c r="CL21" i="17"/>
  <c r="CY21" i="17"/>
  <c r="CK22" i="17"/>
  <c r="BO22" i="17"/>
  <c r="AH23" i="17"/>
  <c r="BS23" i="17"/>
  <c r="AD24" i="17"/>
  <c r="CH24" i="17" s="1"/>
  <c r="DH24" i="17"/>
  <c r="AD27" i="17"/>
  <c r="CH27" i="17" s="1"/>
  <c r="BW27" i="17"/>
  <c r="BT36" i="17"/>
  <c r="BS36" i="17"/>
  <c r="BR36" i="17"/>
  <c r="BQ36" i="17"/>
  <c r="BO36" i="17"/>
  <c r="X13" i="17"/>
  <c r="CP13" i="17"/>
  <c r="AH14" i="17"/>
  <c r="AI14" i="17" s="1"/>
  <c r="CV14" i="17"/>
  <c r="AO15" i="17"/>
  <c r="CS15" i="17" s="1"/>
  <c r="AB16" i="17"/>
  <c r="AO16" i="17"/>
  <c r="CS16" i="17" s="1"/>
  <c r="O17" i="17"/>
  <c r="BP17" i="17"/>
  <c r="CU17" i="17"/>
  <c r="AD18" i="17"/>
  <c r="CH18" i="17" s="1"/>
  <c r="AS18" i="17"/>
  <c r="BR18" i="17"/>
  <c r="BY18" i="17"/>
  <c r="CF18" i="17"/>
  <c r="CV18" i="17"/>
  <c r="DC18" i="17"/>
  <c r="AH19" i="17"/>
  <c r="AI19" i="17" s="1"/>
  <c r="BT19" i="17"/>
  <c r="CR19" i="17"/>
  <c r="AO20" i="17"/>
  <c r="CU20" i="17"/>
  <c r="AO21" i="17"/>
  <c r="CK21" i="17"/>
  <c r="CV21" i="17"/>
  <c r="O23" i="17"/>
  <c r="AL23" i="17"/>
  <c r="AM23" i="17" s="1"/>
  <c r="AS23" i="17"/>
  <c r="CE23" i="17" s="1"/>
  <c r="BR23" i="17"/>
  <c r="AA24" i="17"/>
  <c r="BZ24" i="17" s="1"/>
  <c r="AO24" i="17"/>
  <c r="CS24" i="17" s="1"/>
  <c r="AD25" i="17"/>
  <c r="AE25" i="17" s="1"/>
  <c r="BO25" i="17"/>
  <c r="BV25" i="17"/>
  <c r="BU25" i="17" s="1"/>
  <c r="CB25" i="17"/>
  <c r="CP25" i="17"/>
  <c r="CY25" i="17"/>
  <c r="DE25" i="17"/>
  <c r="AO26" i="17"/>
  <c r="CS26" i="17" s="1"/>
  <c r="BO26" i="17"/>
  <c r="CP26" i="17"/>
  <c r="CR27" i="17"/>
  <c r="AE28" i="17"/>
  <c r="AM28" i="17"/>
  <c r="X29" i="17"/>
  <c r="BG29" i="17"/>
  <c r="DH29" i="17" s="1"/>
  <c r="BP29" i="17"/>
  <c r="BW29" i="17"/>
  <c r="CC29" i="17"/>
  <c r="CK29" i="17"/>
  <c r="CR29" i="17"/>
  <c r="CZ29" i="17"/>
  <c r="DG29" i="17"/>
  <c r="AH30" i="17"/>
  <c r="AT30" i="17"/>
  <c r="CG30" i="17"/>
  <c r="BO31" i="17"/>
  <c r="CR31" i="17"/>
  <c r="AM32" i="17"/>
  <c r="CN32" i="17"/>
  <c r="AM33" i="17"/>
  <c r="AT33" i="17"/>
  <c r="BS33" i="17"/>
  <c r="X34" i="17"/>
  <c r="AE34" i="17"/>
  <c r="AS34" i="17"/>
  <c r="BR34" i="17"/>
  <c r="BZ34" i="17"/>
  <c r="CY34" i="17"/>
  <c r="DE34" i="17"/>
  <c r="AM35" i="17"/>
  <c r="AT35" i="17"/>
  <c r="BR35" i="17"/>
  <c r="CF35" i="17"/>
  <c r="CE35" i="17" s="1"/>
  <c r="CD35" i="17" s="1"/>
  <c r="CN35" i="17"/>
  <c r="AO36" i="17"/>
  <c r="CP36" i="17"/>
  <c r="FH46" i="20"/>
  <c r="FH12" i="20"/>
  <c r="FF45" i="20"/>
  <c r="FF11" i="20"/>
  <c r="CE29" i="17"/>
  <c r="DB29" i="17"/>
  <c r="CP30" i="17"/>
  <c r="AE31" i="17"/>
  <c r="CV31" i="17"/>
  <c r="BO33" i="17"/>
  <c r="CL34" i="17"/>
  <c r="BT35" i="17"/>
  <c r="AQ36" i="17"/>
  <c r="CD36" i="17"/>
  <c r="CS36" i="17"/>
  <c r="FD8" i="20"/>
  <c r="CD19" i="17"/>
  <c r="CL19" i="17"/>
  <c r="AQ22" i="17"/>
  <c r="CD22" i="17"/>
  <c r="CS22" i="17"/>
  <c r="AO23" i="17"/>
  <c r="CP23" i="17"/>
  <c r="CV24" i="17"/>
  <c r="AQ25" i="17"/>
  <c r="BR25" i="17"/>
  <c r="BY25" i="17"/>
  <c r="CF25" i="17"/>
  <c r="DB25" i="17"/>
  <c r="DH25" i="17"/>
  <c r="AQ27" i="17"/>
  <c r="CV27" i="17"/>
  <c r="CV28" i="17"/>
  <c r="AO29" i="17"/>
  <c r="BZ29" i="17"/>
  <c r="CG29" i="17"/>
  <c r="CV29" i="17"/>
  <c r="DD29" i="17"/>
  <c r="AQ30" i="17"/>
  <c r="CS30" i="17"/>
  <c r="DH30" i="17"/>
  <c r="CF31" i="17"/>
  <c r="CN31" i="17"/>
  <c r="CJ32" i="17"/>
  <c r="AQ33" i="17"/>
  <c r="BP33" i="17"/>
  <c r="CK33" i="17"/>
  <c r="CS33" i="17"/>
  <c r="CR33" i="17" s="1"/>
  <c r="BO34" i="17"/>
  <c r="BW34" i="17"/>
  <c r="BV34" i="17" s="1"/>
  <c r="BU34" i="17" s="1"/>
  <c r="CC34" i="17"/>
  <c r="CN34" i="17"/>
  <c r="DB34" i="17"/>
  <c r="DH34" i="17"/>
  <c r="BO35" i="17"/>
  <c r="BU35" i="17"/>
  <c r="CS35" i="17"/>
  <c r="X36" i="17"/>
  <c r="AE36" i="17"/>
  <c r="AS36" i="17"/>
  <c r="CE36" i="17"/>
  <c r="GJ37" i="17"/>
  <c r="FJ43" i="20"/>
  <c r="FJ9" i="20"/>
  <c r="FD9" i="20" s="1"/>
  <c r="CL13" i="17"/>
  <c r="GJ13" i="17"/>
  <c r="AT14" i="17"/>
  <c r="AT15" i="17"/>
  <c r="BT17" i="17"/>
  <c r="CP17" i="17"/>
  <c r="AI18" i="17"/>
  <c r="BW18" i="17"/>
  <c r="CC18" i="17"/>
  <c r="CS18" i="17"/>
  <c r="DA18" i="17"/>
  <c r="DG18" i="17"/>
  <c r="CF19" i="17"/>
  <c r="CR20" i="17"/>
  <c r="AS22" i="17"/>
  <c r="CE22" i="17" s="1"/>
  <c r="AQ23" i="17"/>
  <c r="CV23" i="17" s="1"/>
  <c r="BP23" i="17"/>
  <c r="BZ25" i="17"/>
  <c r="CG25" i="17"/>
  <c r="CV25" i="17"/>
  <c r="DC25" i="17"/>
  <c r="BS26" i="17"/>
  <c r="CV26" i="17"/>
  <c r="CX29" i="17"/>
  <c r="DE29" i="17"/>
  <c r="X30" i="17"/>
  <c r="AE30" i="17"/>
  <c r="AL30" i="17"/>
  <c r="AM30" i="17" s="1"/>
  <c r="CK30" i="17"/>
  <c r="CU30" i="17"/>
  <c r="AA31" i="17"/>
  <c r="BU31" i="17" s="1"/>
  <c r="AH31" i="17"/>
  <c r="CL31" i="17" s="1"/>
  <c r="BS31" i="17"/>
  <c r="CS32" i="17"/>
  <c r="X33" i="17"/>
  <c r="AD33" i="17"/>
  <c r="BQ33" i="17"/>
  <c r="CL33" i="17"/>
  <c r="CV33" i="17"/>
  <c r="CU33" i="17" s="1"/>
  <c r="AO34" i="17"/>
  <c r="CS34" i="17" s="1"/>
  <c r="BX34" i="17"/>
  <c r="CD34" i="17"/>
  <c r="CV34" i="17"/>
  <c r="DC34" i="17"/>
  <c r="X35" i="17"/>
  <c r="BP35" i="17"/>
  <c r="AT36" i="17"/>
  <c r="CV36" i="17"/>
  <c r="DQ37" i="17"/>
  <c r="AD26" i="20"/>
  <c r="BJ26" i="20" s="1"/>
  <c r="FI46" i="20"/>
  <c r="FI12" i="20"/>
  <c r="CP16" i="17"/>
  <c r="BO17" i="17"/>
  <c r="CS17" i="17"/>
  <c r="BX18" i="17"/>
  <c r="DB18" i="17"/>
  <c r="DH18" i="17"/>
  <c r="AT19" i="17"/>
  <c r="CP19" i="17"/>
  <c r="CS20" i="17"/>
  <c r="AM21" i="17"/>
  <c r="CS21" i="17"/>
  <c r="X22" i="17"/>
  <c r="AT22" i="17"/>
  <c r="CV22" i="17"/>
  <c r="AB23" i="17"/>
  <c r="CS23" i="17"/>
  <c r="AM24" i="17"/>
  <c r="CH25" i="17"/>
  <c r="CX25" i="17"/>
  <c r="AE26" i="17"/>
  <c r="AE27" i="17"/>
  <c r="AJ29" i="17"/>
  <c r="BV29" i="17"/>
  <c r="BU29" i="17" s="1"/>
  <c r="CB29" i="17"/>
  <c r="CY29" i="17"/>
  <c r="CV30" i="17"/>
  <c r="AI31" i="17"/>
  <c r="AO31" i="17"/>
  <c r="CS31" i="17" s="1"/>
  <c r="CP31" i="17"/>
  <c r="CL32" i="17"/>
  <c r="CU32" i="17"/>
  <c r="AE33" i="17"/>
  <c r="CF33" i="17"/>
  <c r="CE33" i="17" s="1"/>
  <c r="BQ34" i="17"/>
  <c r="BY34" i="17"/>
  <c r="CH34" i="17"/>
  <c r="CG34" i="17" s="1"/>
  <c r="CX34" i="17"/>
  <c r="DD34" i="17"/>
  <c r="AE35" i="17"/>
  <c r="CL35" i="17"/>
  <c r="CV35" i="17"/>
  <c r="AA36" i="17"/>
  <c r="CO36" i="17"/>
  <c r="F37" i="17"/>
  <c r="AE25" i="20"/>
  <c r="AD25" i="20"/>
  <c r="FG74" i="20"/>
  <c r="CG27" i="17" l="1"/>
  <c r="CU23" i="17"/>
  <c r="CS37" i="17"/>
  <c r="CR30" i="17"/>
  <c r="CO30" i="17"/>
  <c r="CR17" i="17"/>
  <c r="DH23" i="17"/>
  <c r="DB23" i="17"/>
  <c r="BX23" i="17"/>
  <c r="DG23" i="17"/>
  <c r="DA23" i="17"/>
  <c r="CC23" i="17"/>
  <c r="BW23" i="17"/>
  <c r="DF23" i="17"/>
  <c r="CZ23" i="17"/>
  <c r="CB23" i="17"/>
  <c r="BV23" i="17"/>
  <c r="BU23" i="17" s="1"/>
  <c r="DC23" i="17"/>
  <c r="BY23" i="17"/>
  <c r="DE23" i="17"/>
  <c r="BZ23" i="17"/>
  <c r="DD23" i="17"/>
  <c r="CY23" i="17"/>
  <c r="CX23" i="17"/>
  <c r="AI17" i="17"/>
  <c r="CK10" i="17"/>
  <c r="CJ6" i="17"/>
  <c r="CJ23" i="17"/>
  <c r="CN8" i="17"/>
  <c r="BU10" i="17"/>
  <c r="FI13" i="20"/>
  <c r="FI47" i="20"/>
  <c r="BU12" i="17"/>
  <c r="CF34" i="17"/>
  <c r="CK13" i="17"/>
  <c r="CE25" i="17"/>
  <c r="CE18" i="17"/>
  <c r="AA37" i="17"/>
  <c r="CN20" i="17"/>
  <c r="DG14" i="17"/>
  <c r="DA14" i="17"/>
  <c r="BZ14" i="17"/>
  <c r="DC14" i="17"/>
  <c r="CB14" i="17"/>
  <c r="BV14" i="17"/>
  <c r="BU14" i="17" s="1"/>
  <c r="DF14" i="17"/>
  <c r="CX14" i="17"/>
  <c r="DE14" i="17"/>
  <c r="BY14" i="17"/>
  <c r="DB14" i="17"/>
  <c r="DD14" i="17"/>
  <c r="BX14" i="17"/>
  <c r="BW14" i="17"/>
  <c r="DH14" i="17"/>
  <c r="CY14" i="17"/>
  <c r="CC14" i="17"/>
  <c r="CZ14" i="17"/>
  <c r="FG35" i="17"/>
  <c r="FG69" i="17"/>
  <c r="DE28" i="17"/>
  <c r="CY28" i="17"/>
  <c r="BX28" i="17"/>
  <c r="DD28" i="17"/>
  <c r="CX28" i="17"/>
  <c r="CC28" i="17"/>
  <c r="BW28" i="17"/>
  <c r="DC28" i="17"/>
  <c r="CB28" i="17"/>
  <c r="BV28" i="17"/>
  <c r="BU28" i="17" s="1"/>
  <c r="DF28" i="17"/>
  <c r="CZ28" i="17"/>
  <c r="BY28" i="17"/>
  <c r="DG28" i="17"/>
  <c r="DB28" i="17"/>
  <c r="DA28" i="17"/>
  <c r="BZ28" i="17"/>
  <c r="CH28" i="17"/>
  <c r="DH28" i="17"/>
  <c r="AS37" i="17"/>
  <c r="CE6" i="17"/>
  <c r="CE17" i="17"/>
  <c r="AE18" i="17"/>
  <c r="BU9" i="17"/>
  <c r="CF10" i="17"/>
  <c r="CN29" i="17"/>
  <c r="AL29" i="17"/>
  <c r="CP29" i="17" s="1"/>
  <c r="AM29" i="17"/>
  <c r="CK31" i="17"/>
  <c r="CR35" i="17"/>
  <c r="CU24" i="17"/>
  <c r="CK34" i="17"/>
  <c r="FF46" i="20"/>
  <c r="FF12" i="20"/>
  <c r="CO26" i="17"/>
  <c r="AD16" i="17"/>
  <c r="AE16" i="17" s="1"/>
  <c r="CF16" i="17"/>
  <c r="CO13" i="17"/>
  <c r="CU13" i="17"/>
  <c r="AM20" i="17"/>
  <c r="CN14" i="17"/>
  <c r="AJ37" i="17"/>
  <c r="CO37" i="17"/>
  <c r="CN21" i="17"/>
  <c r="CJ11" i="17"/>
  <c r="FL42" i="17"/>
  <c r="FL8" i="17"/>
  <c r="CR6" i="17"/>
  <c r="CJ37" i="17"/>
  <c r="AM15" i="17"/>
  <c r="CE13" i="17"/>
  <c r="CG18" i="17"/>
  <c r="X37" i="17"/>
  <c r="CR37" i="17"/>
  <c r="CO12" i="17"/>
  <c r="CN18" i="17"/>
  <c r="CK35" i="17"/>
  <c r="AE26" i="20"/>
  <c r="AE24" i="17"/>
  <c r="CO17" i="17"/>
  <c r="AM14" i="17"/>
  <c r="CU31" i="17"/>
  <c r="CL30" i="17"/>
  <c r="AI30" i="17"/>
  <c r="CJ29" i="17"/>
  <c r="CO25" i="17"/>
  <c r="CU21" i="17"/>
  <c r="AL37" i="17"/>
  <c r="CP37" i="17" s="1"/>
  <c r="CO27" i="17"/>
  <c r="CO24" i="17"/>
  <c r="CG9" i="17"/>
  <c r="CE26" i="17"/>
  <c r="CD37" i="17"/>
  <c r="DD15" i="17"/>
  <c r="CX15" i="17"/>
  <c r="CB15" i="17"/>
  <c r="DF15" i="17"/>
  <c r="CZ15" i="17"/>
  <c r="BW15" i="17"/>
  <c r="DG15" i="17"/>
  <c r="CC15" i="17"/>
  <c r="DE15" i="17"/>
  <c r="DC15" i="17"/>
  <c r="BZ15" i="17"/>
  <c r="BY15" i="17" s="1"/>
  <c r="BX15" i="17"/>
  <c r="BV15" i="17"/>
  <c r="BU15" i="17" s="1"/>
  <c r="DB15" i="17"/>
  <c r="DH15" i="17"/>
  <c r="CY15" i="17"/>
  <c r="DA15" i="17"/>
  <c r="FH40" i="17"/>
  <c r="FI41" i="17"/>
  <c r="FI7" i="17"/>
  <c r="CL6" i="17"/>
  <c r="BU24" i="17"/>
  <c r="BT37" i="17"/>
  <c r="BS37" i="17"/>
  <c r="BR37" i="17"/>
  <c r="BQ37" i="17"/>
  <c r="BO37" i="17"/>
  <c r="CC21" i="17"/>
  <c r="BG37" i="17"/>
  <c r="CO19" i="17"/>
  <c r="BI26" i="20"/>
  <c r="DL26" i="20" s="1"/>
  <c r="DN26" i="20"/>
  <c r="CE19" i="17"/>
  <c r="FJ44" i="20"/>
  <c r="FJ10" i="20"/>
  <c r="FD10" i="20" s="1"/>
  <c r="CU28" i="17"/>
  <c r="FH47" i="20"/>
  <c r="FH13" i="20"/>
  <c r="DG17" i="17"/>
  <c r="DA17" i="17"/>
  <c r="DF17" i="17"/>
  <c r="CZ17" i="17"/>
  <c r="CH17" i="17"/>
  <c r="BZ17" i="17"/>
  <c r="DH17" i="17"/>
  <c r="DB17" i="17"/>
  <c r="CB17" i="17"/>
  <c r="BV17" i="17"/>
  <c r="CY17" i="17"/>
  <c r="CX17" i="17"/>
  <c r="BY17" i="17"/>
  <c r="DE17" i="17"/>
  <c r="DD17" i="17"/>
  <c r="BX17" i="17"/>
  <c r="BW17" i="17"/>
  <c r="DC17" i="17"/>
  <c r="CC17" i="17"/>
  <c r="CL23" i="17"/>
  <c r="AI23" i="17"/>
  <c r="CK17" i="17"/>
  <c r="CO9" i="17"/>
  <c r="CE30" i="17"/>
  <c r="AM12" i="17"/>
  <c r="CV6" i="17"/>
  <c r="DD6" i="17"/>
  <c r="CX6" i="17"/>
  <c r="CB6" i="17"/>
  <c r="BV6" i="17"/>
  <c r="BU6" i="17" s="1"/>
  <c r="DA6" i="17"/>
  <c r="DC6" i="17"/>
  <c r="P6" i="17"/>
  <c r="DF6" i="17"/>
  <c r="CZ6" i="17"/>
  <c r="DH6" i="17"/>
  <c r="DB6" i="17"/>
  <c r="CH6" i="17"/>
  <c r="BZ6" i="17"/>
  <c r="DG6" i="17"/>
  <c r="BY6" i="17"/>
  <c r="BX6" i="17"/>
  <c r="DE6" i="17"/>
  <c r="CY6" i="17"/>
  <c r="CC6" i="17"/>
  <c r="BW6" i="17"/>
  <c r="CO22" i="17"/>
  <c r="DD30" i="17"/>
  <c r="BX30" i="17"/>
  <c r="DC30" i="17"/>
  <c r="BW30" i="17"/>
  <c r="DB30" i="17"/>
  <c r="CC30" i="17"/>
  <c r="BV30" i="17"/>
  <c r="DG30" i="17"/>
  <c r="DA30" i="17"/>
  <c r="CB30" i="17"/>
  <c r="DE30" i="17"/>
  <c r="CY30" i="17"/>
  <c r="CX30" i="17" s="1"/>
  <c r="BY30" i="17"/>
  <c r="DF30" i="17"/>
  <c r="CZ30" i="17"/>
  <c r="CH30" i="17"/>
  <c r="CF24" i="17"/>
  <c r="DC22" i="17"/>
  <c r="BZ22" i="17"/>
  <c r="DH22" i="17"/>
  <c r="DB22" i="17"/>
  <c r="BY22" i="17"/>
  <c r="DG22" i="17"/>
  <c r="DA22" i="17"/>
  <c r="BX22" i="17"/>
  <c r="DD22" i="17"/>
  <c r="CX22" i="17"/>
  <c r="CZ22" i="17"/>
  <c r="CC22" i="17"/>
  <c r="CY22" i="17"/>
  <c r="CB22" i="17"/>
  <c r="BW22" i="17"/>
  <c r="DF22" i="17"/>
  <c r="BV22" i="17"/>
  <c r="BU22" i="17" s="1"/>
  <c r="DE22" i="17"/>
  <c r="BP37" i="17"/>
  <c r="FI42" i="17" l="1"/>
  <c r="FI8" i="17"/>
  <c r="FD12" i="20"/>
  <c r="CJ31" i="17"/>
  <c r="CE37" i="17"/>
  <c r="CE24" i="17"/>
  <c r="CD24" i="17" s="1"/>
  <c r="CN37" i="17"/>
  <c r="CE10" i="17"/>
  <c r="FL43" i="17"/>
  <c r="FL9" i="17"/>
  <c r="CE16" i="17"/>
  <c r="CF27" i="17"/>
  <c r="FH41" i="17"/>
  <c r="FH7" i="17"/>
  <c r="FD7" i="17" s="1"/>
  <c r="DU7" i="17" s="1"/>
  <c r="FF47" i="20"/>
  <c r="FF13" i="20"/>
  <c r="FD13" i="20" s="1"/>
  <c r="CG17" i="17"/>
  <c r="DX10" i="20"/>
  <c r="BL10" i="20"/>
  <c r="CE34" i="17"/>
  <c r="CG6" i="17"/>
  <c r="P7" i="17"/>
  <c r="CN9" i="17"/>
  <c r="FH48" i="20"/>
  <c r="FH14" i="20"/>
  <c r="FJ12" i="20"/>
  <c r="FJ11" i="20"/>
  <c r="FD11" i="20" s="1"/>
  <c r="AM37" i="17"/>
  <c r="FI48" i="20"/>
  <c r="FI14" i="20"/>
  <c r="FK68" i="14"/>
  <c r="FK66" i="14"/>
  <c r="FM60" i="14"/>
  <c r="FK60" i="14"/>
  <c r="FJ60" i="14"/>
  <c r="FG60" i="14"/>
  <c r="FE60" i="14"/>
  <c r="FF59" i="14"/>
  <c r="FF58" i="14"/>
  <c r="FL56" i="14"/>
  <c r="FL50" i="14"/>
  <c r="FL51" i="14" s="1"/>
  <c r="FJ50" i="14"/>
  <c r="FJ17" i="14" s="1"/>
  <c r="FG50" i="14"/>
  <c r="FL48" i="14"/>
  <c r="FL45" i="14"/>
  <c r="FL46" i="14" s="1"/>
  <c r="FL44" i="14"/>
  <c r="FH43" i="14"/>
  <c r="FH44" i="14" s="1"/>
  <c r="FO42" i="14"/>
  <c r="FO41" i="14"/>
  <c r="FO40" i="14"/>
  <c r="FL39" i="14"/>
  <c r="FL40" i="14" s="1"/>
  <c r="FI39" i="14"/>
  <c r="FH39" i="14"/>
  <c r="FO38" i="14"/>
  <c r="FN38" i="14"/>
  <c r="GI37" i="14"/>
  <c r="GH37" i="14"/>
  <c r="GG37" i="14"/>
  <c r="GF37" i="14"/>
  <c r="GE37" i="14"/>
  <c r="GD37" i="14"/>
  <c r="GC37" i="14"/>
  <c r="GA37" i="14"/>
  <c r="FZ37" i="14"/>
  <c r="DR37" i="14"/>
  <c r="DM37" i="14"/>
  <c r="DK37" i="14"/>
  <c r="DI37" i="14"/>
  <c r="CW37" i="14"/>
  <c r="CT37" i="14"/>
  <c r="CQ37" i="14"/>
  <c r="CM37" i="14"/>
  <c r="CI37" i="14"/>
  <c r="CA37" i="14"/>
  <c r="BF37" i="14"/>
  <c r="BE37" i="14"/>
  <c r="BA37" i="14"/>
  <c r="Q37" i="14"/>
  <c r="L37" i="14"/>
  <c r="K37" i="14"/>
  <c r="J37" i="14"/>
  <c r="H37" i="14"/>
  <c r="F37" i="14"/>
  <c r="E37" i="14"/>
  <c r="D37" i="14"/>
  <c r="GJ36" i="14"/>
  <c r="FN36" i="14"/>
  <c r="DM36" i="14"/>
  <c r="DK36" i="14"/>
  <c r="DI36" i="14"/>
  <c r="CW36" i="14"/>
  <c r="CV36" i="14"/>
  <c r="CU36" i="14"/>
  <c r="CT36" i="14"/>
  <c r="CS36" i="14"/>
  <c r="CR36" i="14"/>
  <c r="CQ36" i="14"/>
  <c r="CP36" i="14"/>
  <c r="CO36" i="14"/>
  <c r="CN36" i="14"/>
  <c r="CM36" i="14"/>
  <c r="CL36" i="14"/>
  <c r="CK36" i="14"/>
  <c r="CJ36" i="14"/>
  <c r="CI36" i="14"/>
  <c r="CH36" i="14"/>
  <c r="CG36" i="14"/>
  <c r="CF36" i="14"/>
  <c r="CA36" i="14"/>
  <c r="BL36" i="14"/>
  <c r="BI36" i="14"/>
  <c r="BH36" i="14" s="1"/>
  <c r="BD36" i="14"/>
  <c r="BC36" i="14"/>
  <c r="BB36" i="14"/>
  <c r="AZ36" i="14"/>
  <c r="AY36" i="14"/>
  <c r="AX36" i="14"/>
  <c r="AW36" i="14"/>
  <c r="AV36" i="14"/>
  <c r="AU36" i="14"/>
  <c r="AR36" i="14"/>
  <c r="CD36" i="14" s="1"/>
  <c r="AP36" i="14"/>
  <c r="AN36" i="14"/>
  <c r="AO36" i="14" s="1"/>
  <c r="AK36" i="14"/>
  <c r="AJ36" i="14"/>
  <c r="AI36" i="14"/>
  <c r="AH36" i="14"/>
  <c r="AG36" i="14"/>
  <c r="AF36" i="14"/>
  <c r="AC36" i="14"/>
  <c r="AB36" i="14"/>
  <c r="Z36" i="14"/>
  <c r="Y36" i="14"/>
  <c r="W36" i="14"/>
  <c r="V36" i="14"/>
  <c r="U36" i="14"/>
  <c r="T36" i="14"/>
  <c r="S36" i="14"/>
  <c r="R36" i="14"/>
  <c r="AA36" i="14" s="1"/>
  <c r="N36" i="14"/>
  <c r="M36" i="14"/>
  <c r="GJ35" i="14"/>
  <c r="FM35" i="14"/>
  <c r="FJ35" i="14"/>
  <c r="FG35" i="14"/>
  <c r="FE35" i="14"/>
  <c r="DR35" i="14"/>
  <c r="DM35" i="14"/>
  <c r="DK35" i="14"/>
  <c r="DI35" i="14"/>
  <c r="DG35" i="14"/>
  <c r="DF35" i="14"/>
  <c r="CW35" i="14"/>
  <c r="CU35" i="14"/>
  <c r="CT35" i="14"/>
  <c r="CR35" i="14"/>
  <c r="CQ35" i="14"/>
  <c r="CM35" i="14"/>
  <c r="CK35" i="14"/>
  <c r="CI35" i="14"/>
  <c r="CF35" i="14"/>
  <c r="CA35" i="14"/>
  <c r="BX35" i="14"/>
  <c r="BW35" i="14"/>
  <c r="BQ35" i="14"/>
  <c r="BP35" i="14"/>
  <c r="BG35" i="14"/>
  <c r="BD35" i="14"/>
  <c r="BC35" i="14"/>
  <c r="BB35" i="14"/>
  <c r="AZ35" i="14"/>
  <c r="AY35" i="14"/>
  <c r="AX35" i="14"/>
  <c r="DA35" i="14" s="1"/>
  <c r="AW35" i="14"/>
  <c r="CZ35" i="14" s="1"/>
  <c r="AV35" i="14"/>
  <c r="AU35" i="14"/>
  <c r="AR35" i="14"/>
  <c r="AT35" i="14" s="1"/>
  <c r="AQ35" i="14"/>
  <c r="AP35" i="14"/>
  <c r="AN35" i="14"/>
  <c r="AK35" i="14"/>
  <c r="AJ35" i="14"/>
  <c r="AG35" i="14"/>
  <c r="AF35" i="14"/>
  <c r="CJ35" i="14" s="1"/>
  <c r="AC35" i="14"/>
  <c r="AB35" i="14"/>
  <c r="Z35" i="14"/>
  <c r="Y35" i="14"/>
  <c r="X35" i="14"/>
  <c r="W35" i="14"/>
  <c r="V35" i="14"/>
  <c r="U35" i="14"/>
  <c r="T35" i="14"/>
  <c r="S35" i="14"/>
  <c r="R35" i="14"/>
  <c r="O35" i="14"/>
  <c r="N35" i="14"/>
  <c r="BT35" i="14" s="1"/>
  <c r="M35" i="14"/>
  <c r="GJ34" i="14"/>
  <c r="FJ34" i="14"/>
  <c r="FG34" i="14"/>
  <c r="FE34" i="14"/>
  <c r="DR34" i="14"/>
  <c r="DM34" i="14"/>
  <c r="DK34" i="14"/>
  <c r="DI34" i="14"/>
  <c r="CW34" i="14"/>
  <c r="CT34" i="14"/>
  <c r="CQ34" i="14"/>
  <c r="CO34" i="14"/>
  <c r="CN34" i="14"/>
  <c r="CM34" i="14"/>
  <c r="CL34" i="14"/>
  <c r="CK34" i="14"/>
  <c r="CJ34" i="14"/>
  <c r="CI34" i="14"/>
  <c r="CA34" i="14"/>
  <c r="BT34" i="14"/>
  <c r="BS34" i="14"/>
  <c r="BD34" i="14"/>
  <c r="BC34" i="14"/>
  <c r="BB34" i="14"/>
  <c r="AZ34" i="14"/>
  <c r="AY34" i="14"/>
  <c r="AX34" i="14"/>
  <c r="AW34" i="14"/>
  <c r="AV34" i="14"/>
  <c r="AU34" i="14"/>
  <c r="AR34" i="14"/>
  <c r="AP34" i="14"/>
  <c r="CU34" i="14" s="1"/>
  <c r="AN34" i="14"/>
  <c r="AK34" i="14"/>
  <c r="AJ34" i="14"/>
  <c r="AH34" i="14"/>
  <c r="AI34" i="14" s="1"/>
  <c r="AG34" i="14"/>
  <c r="AF34" i="14"/>
  <c r="AC34" i="14"/>
  <c r="AB34" i="14"/>
  <c r="Z34" i="14"/>
  <c r="Y34" i="14"/>
  <c r="W34" i="14"/>
  <c r="V34" i="14"/>
  <c r="U34" i="14"/>
  <c r="T34" i="14"/>
  <c r="S34" i="14"/>
  <c r="R34" i="14"/>
  <c r="O34" i="14"/>
  <c r="N34" i="14"/>
  <c r="BQ34" i="14" s="1"/>
  <c r="M34" i="14"/>
  <c r="GJ33" i="14"/>
  <c r="FG33" i="14"/>
  <c r="FD33" i="14" s="1"/>
  <c r="DR33" i="14"/>
  <c r="DM33" i="14"/>
  <c r="DK33" i="14"/>
  <c r="DI33" i="14"/>
  <c r="CW33" i="14"/>
  <c r="CU33" i="14"/>
  <c r="CT33" i="14"/>
  <c r="CQ33" i="14"/>
  <c r="CM33" i="14"/>
  <c r="CL33" i="14"/>
  <c r="CK33" i="14"/>
  <c r="CJ33" i="14"/>
  <c r="CI33" i="14"/>
  <c r="CA33" i="14"/>
  <c r="BD33" i="14"/>
  <c r="BC33" i="14"/>
  <c r="BB33" i="14"/>
  <c r="AZ33" i="14"/>
  <c r="AY33" i="14"/>
  <c r="AX33" i="14"/>
  <c r="AW33" i="14"/>
  <c r="AV33" i="14"/>
  <c r="AU33" i="14"/>
  <c r="AR33" i="14"/>
  <c r="AT33" i="14" s="1"/>
  <c r="AP33" i="14"/>
  <c r="AQ33" i="14" s="1"/>
  <c r="AN33" i="14"/>
  <c r="AO33" i="14" s="1"/>
  <c r="AK33" i="14"/>
  <c r="AJ33" i="14"/>
  <c r="AG33" i="14"/>
  <c r="AF33" i="14"/>
  <c r="AH33" i="14" s="1"/>
  <c r="AC33" i="14"/>
  <c r="AB33" i="14"/>
  <c r="Z33" i="14"/>
  <c r="Y33" i="14"/>
  <c r="W33" i="14"/>
  <c r="V33" i="14"/>
  <c r="U33" i="14"/>
  <c r="T33" i="14"/>
  <c r="S33" i="14"/>
  <c r="R33" i="14"/>
  <c r="I33" i="14"/>
  <c r="I37" i="14" s="1"/>
  <c r="G33" i="14"/>
  <c r="N33" i="14" s="1"/>
  <c r="GJ32" i="14"/>
  <c r="FO32" i="14"/>
  <c r="FN32" i="14"/>
  <c r="FK32" i="14"/>
  <c r="FJ32" i="14"/>
  <c r="FG32" i="14"/>
  <c r="FE32" i="14"/>
  <c r="ET32" i="14"/>
  <c r="DM32" i="14"/>
  <c r="DK32" i="14"/>
  <c r="DI32" i="14"/>
  <c r="DG32" i="14"/>
  <c r="DA32" i="14"/>
  <c r="CZ32" i="14"/>
  <c r="CW32" i="14"/>
  <c r="CT32" i="14"/>
  <c r="CQ32" i="14"/>
  <c r="CO32" i="14"/>
  <c r="CM32" i="14"/>
  <c r="CI32" i="14"/>
  <c r="CA32" i="14"/>
  <c r="BY32" i="14"/>
  <c r="BX32" i="14"/>
  <c r="BR32" i="14"/>
  <c r="BD32" i="14"/>
  <c r="BC32" i="14"/>
  <c r="BB32" i="14"/>
  <c r="AZ32" i="14"/>
  <c r="AY32" i="14"/>
  <c r="AX32" i="14"/>
  <c r="AW32" i="14"/>
  <c r="AV32" i="14"/>
  <c r="AU32" i="14"/>
  <c r="AP32" i="14"/>
  <c r="AN32" i="14"/>
  <c r="AL32" i="14"/>
  <c r="CP32" i="14" s="1"/>
  <c r="AK32" i="14"/>
  <c r="AJ32" i="14"/>
  <c r="AG32" i="14"/>
  <c r="CK32" i="14" s="1"/>
  <c r="AD32" i="14"/>
  <c r="AC32" i="14"/>
  <c r="AB32" i="14"/>
  <c r="Z32" i="14"/>
  <c r="Y32" i="14"/>
  <c r="BS32" i="14" s="1"/>
  <c r="X32" i="14"/>
  <c r="W32" i="14"/>
  <c r="V32" i="14"/>
  <c r="U32" i="14"/>
  <c r="T32" i="14"/>
  <c r="S32" i="14"/>
  <c r="R32" i="14"/>
  <c r="O32" i="14"/>
  <c r="DD32" i="14" s="1"/>
  <c r="N32" i="14"/>
  <c r="BP32" i="14" s="1"/>
  <c r="M32" i="14"/>
  <c r="GJ31" i="14"/>
  <c r="FN31" i="14"/>
  <c r="FM31" i="14"/>
  <c r="FK31" i="14"/>
  <c r="FJ31" i="14"/>
  <c r="FG31" i="14"/>
  <c r="FE31" i="14"/>
  <c r="DX31" i="14"/>
  <c r="DR31" i="14"/>
  <c r="DM31" i="14"/>
  <c r="DK31" i="14"/>
  <c r="DI31" i="14"/>
  <c r="CW31" i="14"/>
  <c r="CT31" i="14"/>
  <c r="CR31" i="14"/>
  <c r="CQ31" i="14"/>
  <c r="CO31" i="14"/>
  <c r="CN31" i="14"/>
  <c r="CM31" i="14"/>
  <c r="CK31" i="14"/>
  <c r="CI31" i="14"/>
  <c r="CA31" i="14"/>
  <c r="BT31" i="14"/>
  <c r="BO31" i="14"/>
  <c r="BD31" i="14"/>
  <c r="BC31" i="14"/>
  <c r="BB31" i="14"/>
  <c r="AZ31" i="14"/>
  <c r="BG31" i="14" s="1"/>
  <c r="AY31" i="14"/>
  <c r="AX31" i="14"/>
  <c r="AW31" i="14"/>
  <c r="AS31" i="14" s="1"/>
  <c r="CE31" i="14" s="1"/>
  <c r="AV31" i="14"/>
  <c r="AU31" i="14"/>
  <c r="AR31" i="14"/>
  <c r="CD31" i="14" s="1"/>
  <c r="AP31" i="14"/>
  <c r="AQ31" i="14" s="1"/>
  <c r="AO31" i="14"/>
  <c r="AN31" i="14"/>
  <c r="AL31" i="14"/>
  <c r="CP31" i="14" s="1"/>
  <c r="AK31" i="14"/>
  <c r="AJ31" i="14"/>
  <c r="AI31" i="14"/>
  <c r="AH31" i="14"/>
  <c r="AG31" i="14"/>
  <c r="AF31" i="14"/>
  <c r="CJ31" i="14" s="1"/>
  <c r="Z31" i="14"/>
  <c r="Y31" i="14"/>
  <c r="W31" i="14"/>
  <c r="V31" i="14"/>
  <c r="U31" i="14"/>
  <c r="AA31" i="14" s="1"/>
  <c r="T31" i="14"/>
  <c r="S31" i="14"/>
  <c r="R31" i="14"/>
  <c r="N31" i="14"/>
  <c r="M31" i="14"/>
  <c r="GJ30" i="14"/>
  <c r="FN30" i="14"/>
  <c r="FM30" i="14"/>
  <c r="FJ30" i="14"/>
  <c r="FG30" i="14"/>
  <c r="FE30" i="14"/>
  <c r="DV30" i="14"/>
  <c r="AC31" i="14" s="1"/>
  <c r="DU30" i="14"/>
  <c r="AB31" i="14" s="1"/>
  <c r="DR30" i="14"/>
  <c r="DM30" i="14"/>
  <c r="DK30" i="14"/>
  <c r="DI30" i="14"/>
  <c r="CW30" i="14"/>
  <c r="CU30" i="14"/>
  <c r="CT30" i="14"/>
  <c r="CS30" i="14"/>
  <c r="CR30" i="14"/>
  <c r="CQ30" i="14"/>
  <c r="CN30" i="14"/>
  <c r="CM30" i="14"/>
  <c r="CL30" i="14"/>
  <c r="CK30" i="14"/>
  <c r="CJ30" i="14"/>
  <c r="CI30" i="14"/>
  <c r="CA30" i="14"/>
  <c r="BG30" i="14"/>
  <c r="BD30" i="14"/>
  <c r="BC30" i="14"/>
  <c r="BB30" i="14"/>
  <c r="AZ30" i="14"/>
  <c r="AY30" i="14"/>
  <c r="AX30" i="14"/>
  <c r="AW30" i="14"/>
  <c r="AV30" i="14"/>
  <c r="AU30" i="14"/>
  <c r="AR30" i="14"/>
  <c r="AQ30" i="14"/>
  <c r="AP30" i="14"/>
  <c r="AO30" i="14"/>
  <c r="AN30" i="14"/>
  <c r="AK30" i="14"/>
  <c r="AJ30" i="14"/>
  <c r="AH30" i="14"/>
  <c r="AG30" i="14"/>
  <c r="AF30" i="14"/>
  <c r="AC30" i="14"/>
  <c r="Z30" i="14"/>
  <c r="Y30" i="14"/>
  <c r="W30" i="14"/>
  <c r="V30" i="14"/>
  <c r="U30" i="14"/>
  <c r="T30" i="14"/>
  <c r="S30" i="14"/>
  <c r="R30" i="14"/>
  <c r="AA30" i="14" s="1"/>
  <c r="N30" i="14"/>
  <c r="M30" i="14"/>
  <c r="GJ29" i="14"/>
  <c r="FN29" i="14"/>
  <c r="FM29" i="14"/>
  <c r="FK29" i="14"/>
  <c r="FJ29" i="14"/>
  <c r="FG29" i="14"/>
  <c r="FE29" i="14"/>
  <c r="DR29" i="14"/>
  <c r="DM29" i="14"/>
  <c r="DK29" i="14"/>
  <c r="DI29" i="14"/>
  <c r="CW29" i="14"/>
  <c r="CT29" i="14"/>
  <c r="CQ29" i="14"/>
  <c r="CM29" i="14"/>
  <c r="CJ29" i="14"/>
  <c r="CI29" i="14"/>
  <c r="CF29" i="14"/>
  <c r="CA29" i="14"/>
  <c r="BT29" i="14"/>
  <c r="BS29" i="14"/>
  <c r="BD29" i="14"/>
  <c r="BC29" i="14"/>
  <c r="BB29" i="14"/>
  <c r="AZ29" i="14"/>
  <c r="BG29" i="14" s="1"/>
  <c r="AY29" i="14"/>
  <c r="AX29" i="14"/>
  <c r="AW29" i="14"/>
  <c r="AV29" i="14"/>
  <c r="AU29" i="14"/>
  <c r="AS29" i="14" s="1"/>
  <c r="AR29" i="14"/>
  <c r="AT29" i="14" s="1"/>
  <c r="AP29" i="14"/>
  <c r="AO29" i="14"/>
  <c r="AN29" i="14"/>
  <c r="CR29" i="14" s="1"/>
  <c r="AK29" i="14"/>
  <c r="AJ29" i="14"/>
  <c r="AI29" i="14"/>
  <c r="AG29" i="14"/>
  <c r="AF29" i="14"/>
  <c r="AH29" i="14" s="1"/>
  <c r="AC29" i="14"/>
  <c r="AB29" i="14"/>
  <c r="Z29" i="14"/>
  <c r="Y29" i="14"/>
  <c r="X29" i="14"/>
  <c r="W29" i="14"/>
  <c r="V29" i="14"/>
  <c r="U29" i="14"/>
  <c r="T29" i="14"/>
  <c r="S29" i="14"/>
  <c r="R29" i="14"/>
  <c r="N29" i="14"/>
  <c r="BQ29" i="14" s="1"/>
  <c r="M29" i="14"/>
  <c r="GJ28" i="14"/>
  <c r="FN28" i="14"/>
  <c r="FM28" i="14" s="1"/>
  <c r="DR28" i="14"/>
  <c r="DM28" i="14"/>
  <c r="DK28" i="14"/>
  <c r="DI28" i="14"/>
  <c r="CW28" i="14"/>
  <c r="CU28" i="14"/>
  <c r="CT28" i="14"/>
  <c r="CQ28" i="14"/>
  <c r="CM28" i="14"/>
  <c r="CJ28" i="14"/>
  <c r="CI28" i="14"/>
  <c r="CA28" i="14"/>
  <c r="BS28" i="14"/>
  <c r="BR28" i="14"/>
  <c r="BD28" i="14"/>
  <c r="BC28" i="14"/>
  <c r="BB28" i="14"/>
  <c r="AZ28" i="14"/>
  <c r="AY28" i="14"/>
  <c r="AX28" i="14"/>
  <c r="AW28" i="14"/>
  <c r="AV28" i="14"/>
  <c r="AU28" i="14"/>
  <c r="AT28" i="14" s="1"/>
  <c r="AR28" i="14"/>
  <c r="CD28" i="14" s="1"/>
  <c r="AQ28" i="14"/>
  <c r="AP28" i="14"/>
  <c r="AN28" i="14"/>
  <c r="AK28" i="14"/>
  <c r="AJ28" i="14"/>
  <c r="AG28" i="14"/>
  <c r="AF28" i="14"/>
  <c r="AC28" i="14"/>
  <c r="AB28" i="14"/>
  <c r="Z28" i="14"/>
  <c r="Y28" i="14"/>
  <c r="X28" i="14" s="1"/>
  <c r="W28" i="14"/>
  <c r="V28" i="14"/>
  <c r="U28" i="14"/>
  <c r="T28" i="14"/>
  <c r="S28" i="14"/>
  <c r="R28" i="14"/>
  <c r="N28" i="14"/>
  <c r="BP28" i="14" s="1"/>
  <c r="M28" i="14"/>
  <c r="GJ27" i="14"/>
  <c r="FD27" i="14"/>
  <c r="DR27" i="14"/>
  <c r="DM27" i="14"/>
  <c r="DK27" i="14"/>
  <c r="DI27" i="14"/>
  <c r="CW27" i="14"/>
  <c r="CT27" i="14"/>
  <c r="CQ27" i="14"/>
  <c r="CM27" i="14"/>
  <c r="CJ27" i="14"/>
  <c r="CI27" i="14"/>
  <c r="CA27" i="14"/>
  <c r="BP27" i="14"/>
  <c r="BO27" i="14"/>
  <c r="BD27" i="14"/>
  <c r="BC27" i="14"/>
  <c r="BB27" i="14"/>
  <c r="AZ27" i="14"/>
  <c r="AY27" i="14"/>
  <c r="AX27" i="14"/>
  <c r="AW27" i="14"/>
  <c r="AV27" i="14"/>
  <c r="AU27" i="14"/>
  <c r="AT27" i="14"/>
  <c r="AR27" i="14"/>
  <c r="AS27" i="14" s="1"/>
  <c r="AQ27" i="14"/>
  <c r="AP27" i="14"/>
  <c r="AN27" i="14"/>
  <c r="AK27" i="14"/>
  <c r="AJ27" i="14"/>
  <c r="CN27" i="14" s="1"/>
  <c r="AH27" i="14"/>
  <c r="AI27" i="14" s="1"/>
  <c r="AG27" i="14"/>
  <c r="AF27" i="14"/>
  <c r="AD27" i="14"/>
  <c r="AC27" i="14"/>
  <c r="AB27" i="14"/>
  <c r="Z27" i="14"/>
  <c r="Y27" i="14"/>
  <c r="X27" i="14"/>
  <c r="W27" i="14"/>
  <c r="V27" i="14"/>
  <c r="U27" i="14"/>
  <c r="AA27" i="14" s="1"/>
  <c r="BU27" i="14" s="1"/>
  <c r="T27" i="14"/>
  <c r="S27" i="14"/>
  <c r="R27" i="14"/>
  <c r="N27" i="14"/>
  <c r="BS27" i="14" s="1"/>
  <c r="M27" i="14"/>
  <c r="GJ26" i="14"/>
  <c r="FO26" i="14"/>
  <c r="FN27" i="14" s="1"/>
  <c r="FN26" i="14"/>
  <c r="FM26" i="14"/>
  <c r="FK26" i="14"/>
  <c r="FJ26" i="14"/>
  <c r="FG26" i="14"/>
  <c r="FE26" i="14"/>
  <c r="DR26" i="14"/>
  <c r="DM26" i="14"/>
  <c r="DK26" i="14"/>
  <c r="DI26" i="14"/>
  <c r="DC26" i="14"/>
  <c r="DB26" i="14"/>
  <c r="CW26" i="14"/>
  <c r="CU26" i="14"/>
  <c r="CT26" i="14"/>
  <c r="CQ26" i="14"/>
  <c r="CN26" i="14"/>
  <c r="CM26" i="14"/>
  <c r="CI26" i="14"/>
  <c r="CC26" i="14"/>
  <c r="CA26" i="14"/>
  <c r="BG26" i="14"/>
  <c r="BD26" i="14"/>
  <c r="BC26" i="14"/>
  <c r="BB26" i="14"/>
  <c r="AZ26" i="14"/>
  <c r="AY26" i="14"/>
  <c r="AX26" i="14"/>
  <c r="AW26" i="14"/>
  <c r="AV26" i="14"/>
  <c r="AU26" i="14"/>
  <c r="AR26" i="14"/>
  <c r="AS26" i="14" s="1"/>
  <c r="AQ26" i="14"/>
  <c r="AP26" i="14"/>
  <c r="AO26" i="14"/>
  <c r="AN26" i="14"/>
  <c r="CR26" i="14" s="1"/>
  <c r="AK26" i="14"/>
  <c r="AJ26" i="14"/>
  <c r="AG26" i="14"/>
  <c r="AF26" i="14"/>
  <c r="AC26" i="14"/>
  <c r="AB26" i="14"/>
  <c r="Z26" i="14"/>
  <c r="Y26" i="14"/>
  <c r="W26" i="14"/>
  <c r="V26" i="14"/>
  <c r="U26" i="14"/>
  <c r="T26" i="14"/>
  <c r="S26" i="14"/>
  <c r="BW26" i="14" s="1"/>
  <c r="R26" i="14"/>
  <c r="O26" i="14"/>
  <c r="N26" i="14"/>
  <c r="M26" i="14"/>
  <c r="GJ25" i="14"/>
  <c r="FN25" i="14"/>
  <c r="FM25" i="14"/>
  <c r="FK25" i="14"/>
  <c r="FJ25" i="14"/>
  <c r="FG25" i="14"/>
  <c r="FF25" i="14"/>
  <c r="FE25" i="14"/>
  <c r="DR25" i="14"/>
  <c r="DM25" i="14"/>
  <c r="DK25" i="14"/>
  <c r="DI25" i="14"/>
  <c r="CW25" i="14"/>
  <c r="CV25" i="14" s="1"/>
  <c r="CU25" i="14"/>
  <c r="CT25" i="14"/>
  <c r="CR25" i="14"/>
  <c r="CQ25" i="14"/>
  <c r="CM25" i="14"/>
  <c r="CI25" i="14"/>
  <c r="CF25" i="14"/>
  <c r="CA25" i="14"/>
  <c r="BP25" i="14"/>
  <c r="BG25" i="14"/>
  <c r="BD25" i="14"/>
  <c r="BC25" i="14"/>
  <c r="BB25" i="14"/>
  <c r="AZ25" i="14"/>
  <c r="AY25" i="14"/>
  <c r="AX25" i="14"/>
  <c r="AW25" i="14"/>
  <c r="AV25" i="14"/>
  <c r="AU25" i="14"/>
  <c r="AS25" i="14"/>
  <c r="AR25" i="14"/>
  <c r="AT25" i="14" s="1"/>
  <c r="AP25" i="14"/>
  <c r="AQ25" i="14" s="1"/>
  <c r="AO25" i="14"/>
  <c r="AN25" i="14"/>
  <c r="AL25" i="14"/>
  <c r="AM25" i="14" s="1"/>
  <c r="AK25" i="14"/>
  <c r="AJ25" i="14"/>
  <c r="AG25" i="14"/>
  <c r="AF25" i="14"/>
  <c r="AC25" i="14"/>
  <c r="AB25" i="14"/>
  <c r="Z25" i="14"/>
  <c r="Y25" i="14"/>
  <c r="W25" i="14"/>
  <c r="V25" i="14"/>
  <c r="X25" i="14" s="1"/>
  <c r="U25" i="14"/>
  <c r="T25" i="14"/>
  <c r="S25" i="14"/>
  <c r="R25" i="14"/>
  <c r="N25" i="14"/>
  <c r="M25" i="14"/>
  <c r="GJ24" i="14"/>
  <c r="FN24" i="14"/>
  <c r="FM24" i="14"/>
  <c r="FK24" i="14"/>
  <c r="FJ24" i="14"/>
  <c r="FG24" i="14"/>
  <c r="FF24" i="14"/>
  <c r="FE24" i="14"/>
  <c r="DR24" i="14"/>
  <c r="DM24" i="14"/>
  <c r="DK24" i="14"/>
  <c r="DI24" i="14"/>
  <c r="CW24" i="14"/>
  <c r="CU24" i="14"/>
  <c r="CT24" i="14"/>
  <c r="CQ24" i="14"/>
  <c r="CM24" i="14"/>
  <c r="CK24" i="14"/>
  <c r="CJ24" i="14" s="1"/>
  <c r="CI24" i="14"/>
  <c r="CH24" i="14"/>
  <c r="CG24" i="14"/>
  <c r="CF24" i="14"/>
  <c r="CA24" i="14"/>
  <c r="BG24" i="14"/>
  <c r="BD24" i="14"/>
  <c r="BC24" i="14"/>
  <c r="BB24" i="14"/>
  <c r="AZ24" i="14"/>
  <c r="AY24" i="14"/>
  <c r="AX24" i="14"/>
  <c r="AW24" i="14"/>
  <c r="AV24" i="14"/>
  <c r="AU24" i="14"/>
  <c r="AR24" i="14"/>
  <c r="AS24" i="14" s="1"/>
  <c r="AQ24" i="14"/>
  <c r="AP24" i="14"/>
  <c r="AN24" i="14"/>
  <c r="AK24" i="14"/>
  <c r="AJ24" i="14"/>
  <c r="AG24" i="14"/>
  <c r="AF24" i="14"/>
  <c r="AD24" i="14"/>
  <c r="AC24" i="14"/>
  <c r="AB24" i="14"/>
  <c r="Z24" i="14"/>
  <c r="Y24" i="14"/>
  <c r="W24" i="14"/>
  <c r="V24" i="14"/>
  <c r="U24" i="14"/>
  <c r="T24" i="14"/>
  <c r="S24" i="14"/>
  <c r="R24" i="14"/>
  <c r="N24" i="14"/>
  <c r="M24" i="14"/>
  <c r="GJ23" i="14"/>
  <c r="FN23" i="14"/>
  <c r="FM23" i="14"/>
  <c r="FL23" i="14"/>
  <c r="FK23" i="14"/>
  <c r="FJ23" i="14"/>
  <c r="FG23" i="14"/>
  <c r="FF23" i="14"/>
  <c r="FE23" i="14"/>
  <c r="DR23" i="14"/>
  <c r="DM23" i="14"/>
  <c r="DK23" i="14"/>
  <c r="DI23" i="14"/>
  <c r="CW23" i="14"/>
  <c r="CT23" i="14"/>
  <c r="CS23" i="14"/>
  <c r="CR23" i="14"/>
  <c r="CQ23" i="14"/>
  <c r="CM23" i="14"/>
  <c r="CI23" i="14"/>
  <c r="CH23" i="14"/>
  <c r="CG23" i="14"/>
  <c r="CF23" i="14"/>
  <c r="CA23" i="14"/>
  <c r="BT23" i="14"/>
  <c r="BD23" i="14"/>
  <c r="BC23" i="14"/>
  <c r="BB23" i="14"/>
  <c r="AZ23" i="14"/>
  <c r="BG23" i="14" s="1"/>
  <c r="AY23" i="14"/>
  <c r="AX23" i="14"/>
  <c r="AW23" i="14"/>
  <c r="AV23" i="14"/>
  <c r="AU23" i="14"/>
  <c r="AR23" i="14"/>
  <c r="AP23" i="14"/>
  <c r="AO23" i="14"/>
  <c r="AN23" i="14"/>
  <c r="AK23" i="14"/>
  <c r="AJ23" i="14"/>
  <c r="AI23" i="14"/>
  <c r="AG23" i="14"/>
  <c r="AF23" i="14"/>
  <c r="AH23" i="14" s="1"/>
  <c r="AC23" i="14"/>
  <c r="AB23" i="14"/>
  <c r="Z23" i="14"/>
  <c r="Y23" i="14"/>
  <c r="W23" i="14"/>
  <c r="V23" i="14"/>
  <c r="U23" i="14"/>
  <c r="T23" i="14"/>
  <c r="S23" i="14"/>
  <c r="R23" i="14"/>
  <c r="N23" i="14"/>
  <c r="M23" i="14"/>
  <c r="GJ22" i="14"/>
  <c r="FN22" i="14"/>
  <c r="FM22" i="14"/>
  <c r="FK22" i="14"/>
  <c r="FJ22" i="14"/>
  <c r="FG22" i="14"/>
  <c r="FF22" i="14"/>
  <c r="FE22" i="14"/>
  <c r="DR22" i="14"/>
  <c r="DM22" i="14"/>
  <c r="DK22" i="14"/>
  <c r="DI22" i="14"/>
  <c r="CW22" i="14"/>
  <c r="CU22" i="14"/>
  <c r="CT22" i="14"/>
  <c r="CQ22" i="14"/>
  <c r="CO22" i="14"/>
  <c r="CN22" i="14"/>
  <c r="CM22" i="14"/>
  <c r="CK22" i="14"/>
  <c r="CI22" i="14"/>
  <c r="CG22" i="14"/>
  <c r="CA22" i="14"/>
  <c r="BT22" i="14"/>
  <c r="BD22" i="14"/>
  <c r="BC22" i="14"/>
  <c r="BB22" i="14"/>
  <c r="AZ22" i="14"/>
  <c r="AY22" i="14"/>
  <c r="AX22" i="14"/>
  <c r="AW22" i="14"/>
  <c r="AV22" i="14"/>
  <c r="AU22" i="14"/>
  <c r="AR22" i="14"/>
  <c r="AQ22" i="14" s="1"/>
  <c r="AP22" i="14"/>
  <c r="AO22" i="14"/>
  <c r="AN22" i="14"/>
  <c r="AK22" i="14"/>
  <c r="AJ22" i="14"/>
  <c r="AI22" i="14"/>
  <c r="AH22" i="14"/>
  <c r="AG22" i="14"/>
  <c r="AF22" i="14"/>
  <c r="CJ22" i="14" s="1"/>
  <c r="AC22" i="14"/>
  <c r="AB22" i="14"/>
  <c r="Z22" i="14"/>
  <c r="Y22" i="14"/>
  <c r="W22" i="14"/>
  <c r="V22" i="14"/>
  <c r="U22" i="14"/>
  <c r="AA22" i="14" s="1"/>
  <c r="T22" i="14"/>
  <c r="S22" i="14"/>
  <c r="R22" i="14"/>
  <c r="N22" i="14"/>
  <c r="BS22" i="14" s="1"/>
  <c r="M22" i="14"/>
  <c r="GJ21" i="14"/>
  <c r="FM21" i="14"/>
  <c r="FK21" i="14"/>
  <c r="FJ21" i="14"/>
  <c r="FG21" i="14"/>
  <c r="FF21" i="14"/>
  <c r="FE21" i="14"/>
  <c r="DR21" i="14"/>
  <c r="DM21" i="14"/>
  <c r="DK21" i="14"/>
  <c r="DI21" i="14"/>
  <c r="CW21" i="14"/>
  <c r="CU21" i="14"/>
  <c r="CT21" i="14"/>
  <c r="CR21" i="14"/>
  <c r="CQ21" i="14"/>
  <c r="CM21" i="14"/>
  <c r="CK21" i="14"/>
  <c r="CI21" i="14"/>
  <c r="CA21" i="14"/>
  <c r="BQ21" i="14"/>
  <c r="BP21" i="14"/>
  <c r="BG21" i="14"/>
  <c r="BD21" i="14"/>
  <c r="BC21" i="14"/>
  <c r="BB21" i="14"/>
  <c r="AZ21" i="14"/>
  <c r="AY21" i="14"/>
  <c r="AX21" i="14"/>
  <c r="AW21" i="14"/>
  <c r="AV21" i="14"/>
  <c r="AU21" i="14"/>
  <c r="AR21" i="14"/>
  <c r="AQ21" i="14"/>
  <c r="AP21" i="14"/>
  <c r="AN21" i="14"/>
  <c r="AK21" i="14"/>
  <c r="AL21" i="14" s="1"/>
  <c r="AJ21" i="14"/>
  <c r="AG21" i="14"/>
  <c r="AF21" i="14"/>
  <c r="AD21" i="14"/>
  <c r="AC21" i="14"/>
  <c r="AB21" i="14"/>
  <c r="Z21" i="14"/>
  <c r="Y21" i="14"/>
  <c r="X21" i="14" s="1"/>
  <c r="W21" i="14"/>
  <c r="V21" i="14"/>
  <c r="U21" i="14"/>
  <c r="T21" i="14"/>
  <c r="S21" i="14"/>
  <c r="R21" i="14"/>
  <c r="N21" i="14"/>
  <c r="BT21" i="14" s="1"/>
  <c r="M21" i="14"/>
  <c r="GJ20" i="14"/>
  <c r="FM20" i="14"/>
  <c r="FK20" i="14"/>
  <c r="FJ20" i="14"/>
  <c r="FG20" i="14"/>
  <c r="FF20" i="14"/>
  <c r="FE20" i="14"/>
  <c r="DR20" i="14"/>
  <c r="DM20" i="14"/>
  <c r="DK20" i="14"/>
  <c r="DI20" i="14"/>
  <c r="CW20" i="14"/>
  <c r="CT20" i="14"/>
  <c r="CQ20" i="14"/>
  <c r="CN20" i="14"/>
  <c r="CM20" i="14"/>
  <c r="CL20" i="14"/>
  <c r="CK20" i="14"/>
  <c r="CJ20" i="14"/>
  <c r="CI20" i="14"/>
  <c r="CG20" i="14"/>
  <c r="CA20" i="14"/>
  <c r="BS20" i="14"/>
  <c r="BD20" i="14"/>
  <c r="BC20" i="14"/>
  <c r="BB20" i="14"/>
  <c r="AZ20" i="14"/>
  <c r="AY20" i="14"/>
  <c r="AX20" i="14"/>
  <c r="AW20" i="14"/>
  <c r="AV20" i="14"/>
  <c r="AU20" i="14"/>
  <c r="AR20" i="14"/>
  <c r="CD20" i="14" s="1"/>
  <c r="AP20" i="14"/>
  <c r="AQ20" i="14" s="1"/>
  <c r="AO20" i="14"/>
  <c r="AN20" i="14"/>
  <c r="CR20" i="14" s="1"/>
  <c r="AK20" i="14"/>
  <c r="AJ20" i="14"/>
  <c r="AH20" i="14"/>
  <c r="AG20" i="14"/>
  <c r="AF20" i="14"/>
  <c r="AC20" i="14"/>
  <c r="AB20" i="14"/>
  <c r="Z20" i="14"/>
  <c r="Y20" i="14"/>
  <c r="X20" i="14" s="1"/>
  <c r="W20" i="14"/>
  <c r="V20" i="14"/>
  <c r="U20" i="14"/>
  <c r="T20" i="14"/>
  <c r="S20" i="14"/>
  <c r="R20" i="14"/>
  <c r="N20" i="14"/>
  <c r="M20" i="14"/>
  <c r="GJ19" i="14"/>
  <c r="FM19" i="14"/>
  <c r="FK19" i="14"/>
  <c r="FJ19" i="14"/>
  <c r="FG19" i="14"/>
  <c r="FF19" i="14"/>
  <c r="FE19" i="14"/>
  <c r="DR19" i="14"/>
  <c r="DM19" i="14"/>
  <c r="DK19" i="14"/>
  <c r="DI19" i="14"/>
  <c r="DF19" i="14"/>
  <c r="CY19" i="14"/>
  <c r="CW19" i="14"/>
  <c r="CT19" i="14"/>
  <c r="CQ19" i="14"/>
  <c r="CM19" i="14"/>
  <c r="CJ19" i="14"/>
  <c r="CI19" i="14"/>
  <c r="CF19" i="14"/>
  <c r="CC19" i="14"/>
  <c r="CA19" i="14"/>
  <c r="BW19" i="14"/>
  <c r="BP19" i="14"/>
  <c r="BO19" i="14"/>
  <c r="BG19" i="14"/>
  <c r="BD19" i="14"/>
  <c r="BC19" i="14"/>
  <c r="BB19" i="14"/>
  <c r="AZ19" i="14"/>
  <c r="AY19" i="14"/>
  <c r="AX19" i="14"/>
  <c r="AW19" i="14"/>
  <c r="AS19" i="14" s="1"/>
  <c r="AV19" i="14"/>
  <c r="AU19" i="14"/>
  <c r="AT19" i="14" s="1"/>
  <c r="AR19" i="14"/>
  <c r="CD19" i="14" s="1"/>
  <c r="AQ19" i="14"/>
  <c r="AP19" i="14"/>
  <c r="AN19" i="14"/>
  <c r="AK19" i="14"/>
  <c r="AJ19" i="14"/>
  <c r="AG19" i="14"/>
  <c r="AF19" i="14"/>
  <c r="AC19" i="14"/>
  <c r="AB19" i="14"/>
  <c r="Z19" i="14"/>
  <c r="Y19" i="14"/>
  <c r="W19" i="14"/>
  <c r="V19" i="14"/>
  <c r="U19" i="14"/>
  <c r="T19" i="14"/>
  <c r="S19" i="14"/>
  <c r="AA19" i="14" s="1"/>
  <c r="R19" i="14"/>
  <c r="O19" i="14"/>
  <c r="BV19" i="14" s="1"/>
  <c r="BU19" i="14" s="1"/>
  <c r="N19" i="14"/>
  <c r="BS19" i="14" s="1"/>
  <c r="M19" i="14"/>
  <c r="GJ18" i="14"/>
  <c r="FM18" i="14"/>
  <c r="FK18" i="14"/>
  <c r="FF18" i="14"/>
  <c r="FE18" i="14"/>
  <c r="DR18" i="14"/>
  <c r="DM18" i="14"/>
  <c r="DK18" i="14"/>
  <c r="DI18" i="14"/>
  <c r="CW18" i="14"/>
  <c r="CV18" i="14"/>
  <c r="CU18" i="14"/>
  <c r="CT18" i="14"/>
  <c r="CQ18" i="14"/>
  <c r="CN18" i="14"/>
  <c r="CM18" i="14"/>
  <c r="CK18" i="14"/>
  <c r="CI18" i="14"/>
  <c r="CG18" i="14"/>
  <c r="CA18" i="14"/>
  <c r="BR18" i="14"/>
  <c r="BP18" i="14"/>
  <c r="BG18" i="14"/>
  <c r="BD18" i="14"/>
  <c r="BC18" i="14"/>
  <c r="BB18" i="14"/>
  <c r="AZ18" i="14"/>
  <c r="AY18" i="14"/>
  <c r="AX18" i="14"/>
  <c r="AW18" i="14"/>
  <c r="AV18" i="14"/>
  <c r="AU18" i="14"/>
  <c r="AR18" i="14"/>
  <c r="AQ18" i="14"/>
  <c r="AP18" i="14"/>
  <c r="AN18" i="14"/>
  <c r="AL18" i="14"/>
  <c r="CP18" i="14" s="1"/>
  <c r="AK18" i="14"/>
  <c r="AJ18" i="14"/>
  <c r="AG18" i="14"/>
  <c r="AF18" i="14"/>
  <c r="AD18" i="14"/>
  <c r="AC18" i="14"/>
  <c r="AB18" i="14"/>
  <c r="Z18" i="14"/>
  <c r="Y18" i="14"/>
  <c r="X18" i="14" s="1"/>
  <c r="W18" i="14"/>
  <c r="V18" i="14"/>
  <c r="U18" i="14"/>
  <c r="T18" i="14"/>
  <c r="S18" i="14"/>
  <c r="R18" i="14"/>
  <c r="N18" i="14"/>
  <c r="M18" i="14"/>
  <c r="GJ17" i="14"/>
  <c r="FM17" i="14"/>
  <c r="FL17" i="14" s="1"/>
  <c r="FK17" i="14"/>
  <c r="FG17" i="14"/>
  <c r="FF17" i="14"/>
  <c r="FE17" i="14"/>
  <c r="DR17" i="14"/>
  <c r="DM17" i="14"/>
  <c r="DK17" i="14"/>
  <c r="DI17" i="14"/>
  <c r="CW17" i="14"/>
  <c r="CT17" i="14"/>
  <c r="CR17" i="14"/>
  <c r="CQ17" i="14"/>
  <c r="CM17" i="14"/>
  <c r="CK17" i="14"/>
  <c r="CJ17" i="14"/>
  <c r="CI17" i="14"/>
  <c r="CH17" i="14"/>
  <c r="CG17" i="14"/>
  <c r="CF17" i="14"/>
  <c r="CD17" i="14"/>
  <c r="CA17" i="14"/>
  <c r="BP17" i="14"/>
  <c r="BO17" i="14"/>
  <c r="BG17" i="14"/>
  <c r="BD17" i="14"/>
  <c r="BC17" i="14"/>
  <c r="BB17" i="14"/>
  <c r="AZ17" i="14"/>
  <c r="AY17" i="14"/>
  <c r="AX17" i="14"/>
  <c r="AW17" i="14"/>
  <c r="AS17" i="14" s="1"/>
  <c r="AV17" i="14"/>
  <c r="AU17" i="14"/>
  <c r="AT17" i="14" s="1"/>
  <c r="AR17" i="14"/>
  <c r="AQ17" i="14"/>
  <c r="AP17" i="14"/>
  <c r="AN17" i="14"/>
  <c r="AK17" i="14"/>
  <c r="AJ17" i="14"/>
  <c r="AH17" i="14"/>
  <c r="CL17" i="14" s="1"/>
  <c r="AG17" i="14"/>
  <c r="AF17" i="14"/>
  <c r="AC17" i="14"/>
  <c r="AB17" i="14"/>
  <c r="Z17" i="14"/>
  <c r="Y17" i="14"/>
  <c r="X17" i="14" s="1"/>
  <c r="W17" i="14"/>
  <c r="V17" i="14"/>
  <c r="U17" i="14"/>
  <c r="T17" i="14"/>
  <c r="S17" i="14"/>
  <c r="R17" i="14"/>
  <c r="N17" i="14"/>
  <c r="M17" i="14"/>
  <c r="B17" i="14"/>
  <c r="GJ16" i="14"/>
  <c r="FM16" i="14"/>
  <c r="FL16" i="14" s="1"/>
  <c r="FK16" i="14"/>
  <c r="FJ16" i="14"/>
  <c r="FG16" i="14"/>
  <c r="FF16" i="14"/>
  <c r="FE16" i="14"/>
  <c r="DM16" i="14"/>
  <c r="DK16" i="14"/>
  <c r="DI16" i="14"/>
  <c r="CY16" i="14"/>
  <c r="CW16" i="14"/>
  <c r="CT16" i="14"/>
  <c r="CS16" i="14"/>
  <c r="CR16" i="14"/>
  <c r="CQ16" i="14"/>
  <c r="CM16" i="14"/>
  <c r="CL16" i="14"/>
  <c r="CK16" i="14"/>
  <c r="CJ16" i="14"/>
  <c r="CI16" i="14"/>
  <c r="CH16" i="14"/>
  <c r="CG16" i="14"/>
  <c r="CF16" i="14"/>
  <c r="CD16" i="14"/>
  <c r="CA16" i="14"/>
  <c r="BX16" i="14"/>
  <c r="BS16" i="14"/>
  <c r="BQ16" i="14"/>
  <c r="BP16" i="14"/>
  <c r="BG16" i="14"/>
  <c r="BD16" i="14"/>
  <c r="BC16" i="14"/>
  <c r="BB16" i="14"/>
  <c r="AZ16" i="14"/>
  <c r="AY16" i="14"/>
  <c r="AX16" i="14"/>
  <c r="AW16" i="14"/>
  <c r="AV16" i="14"/>
  <c r="AU16" i="14"/>
  <c r="AR16" i="14"/>
  <c r="AT16" i="14" s="1"/>
  <c r="AP16" i="14"/>
  <c r="AQ16" i="14" s="1"/>
  <c r="AN16" i="14"/>
  <c r="AK16" i="14"/>
  <c r="AJ16" i="14"/>
  <c r="AG16" i="14"/>
  <c r="AF16" i="14"/>
  <c r="AD16" i="14"/>
  <c r="AC16" i="14"/>
  <c r="AB16" i="14"/>
  <c r="Z16" i="14"/>
  <c r="Y16" i="14"/>
  <c r="W16" i="14"/>
  <c r="V16" i="14"/>
  <c r="U16" i="14"/>
  <c r="T16" i="14"/>
  <c r="S16" i="14"/>
  <c r="AA16" i="14" s="1"/>
  <c r="R16" i="14"/>
  <c r="O16" i="14"/>
  <c r="N16" i="14"/>
  <c r="BT16" i="14" s="1"/>
  <c r="M16" i="14"/>
  <c r="GJ15" i="14"/>
  <c r="FM15" i="14"/>
  <c r="FL15" i="14"/>
  <c r="FK15" i="14"/>
  <c r="FJ15" i="14"/>
  <c r="FG15" i="14"/>
  <c r="FF15" i="14"/>
  <c r="FE15" i="14"/>
  <c r="DR15" i="14"/>
  <c r="DM15" i="14"/>
  <c r="DK15" i="14"/>
  <c r="DI15" i="14"/>
  <c r="CW15" i="14"/>
  <c r="CT15" i="14"/>
  <c r="CQ15" i="14"/>
  <c r="CM15" i="14"/>
  <c r="CJ15" i="14"/>
  <c r="CI15" i="14"/>
  <c r="CA15" i="14"/>
  <c r="BT15" i="14"/>
  <c r="BQ15" i="14"/>
  <c r="BO15" i="14"/>
  <c r="BD15" i="14"/>
  <c r="BC15" i="14"/>
  <c r="BB15" i="14"/>
  <c r="AZ15" i="14"/>
  <c r="BG15" i="14" s="1"/>
  <c r="AY15" i="14"/>
  <c r="AX15" i="14"/>
  <c r="AW15" i="14"/>
  <c r="AS15" i="14" s="1"/>
  <c r="CE15" i="14" s="1"/>
  <c r="CD15" i="14" s="1"/>
  <c r="AV15" i="14"/>
  <c r="AU15" i="14"/>
  <c r="AT15" i="14"/>
  <c r="AR15" i="14"/>
  <c r="AP15" i="14"/>
  <c r="CU15" i="14" s="1"/>
  <c r="AN15" i="14"/>
  <c r="AO15" i="14" s="1"/>
  <c r="AK15" i="14"/>
  <c r="AJ15" i="14"/>
  <c r="AG15" i="14"/>
  <c r="AF15" i="14"/>
  <c r="AH15" i="14" s="1"/>
  <c r="AI15" i="14" s="1"/>
  <c r="AC15" i="14"/>
  <c r="AB15" i="14"/>
  <c r="Z15" i="14"/>
  <c r="Y15" i="14"/>
  <c r="W15" i="14"/>
  <c r="V15" i="14"/>
  <c r="U15" i="14"/>
  <c r="T15" i="14"/>
  <c r="S15" i="14"/>
  <c r="R15" i="14"/>
  <c r="O15" i="14"/>
  <c r="N15" i="14"/>
  <c r="M15" i="14"/>
  <c r="GJ14" i="14"/>
  <c r="FO14" i="14"/>
  <c r="FN14" i="14"/>
  <c r="FM14" i="14"/>
  <c r="FK14" i="14"/>
  <c r="FJ14" i="14"/>
  <c r="FG14" i="14"/>
  <c r="FF14" i="14"/>
  <c r="FE14" i="14"/>
  <c r="DR14" i="14"/>
  <c r="DM14" i="14"/>
  <c r="DK14" i="14"/>
  <c r="DI14" i="14"/>
  <c r="CW14" i="14"/>
  <c r="CT14" i="14"/>
  <c r="CS14" i="14"/>
  <c r="CR14" i="14"/>
  <c r="CQ14" i="14"/>
  <c r="CN14" i="14"/>
  <c r="CM14" i="14"/>
  <c r="CK14" i="14"/>
  <c r="CJ14" i="14"/>
  <c r="CI14" i="14"/>
  <c r="CA14" i="14"/>
  <c r="BQ14" i="14"/>
  <c r="BP14" i="14"/>
  <c r="BG14" i="14"/>
  <c r="BD14" i="14"/>
  <c r="BC14" i="14"/>
  <c r="BB14" i="14"/>
  <c r="AZ14" i="14"/>
  <c r="AY14" i="14"/>
  <c r="AX14" i="14"/>
  <c r="AW14" i="14"/>
  <c r="AV14" i="14"/>
  <c r="AU14" i="14"/>
  <c r="AS14" i="14"/>
  <c r="CE14" i="14" s="1"/>
  <c r="AR14" i="14"/>
  <c r="AP14" i="14"/>
  <c r="AO14" i="14"/>
  <c r="AN14" i="14"/>
  <c r="AL14" i="14"/>
  <c r="CP14" i="14" s="1"/>
  <c r="AK14" i="14"/>
  <c r="AJ14" i="14"/>
  <c r="AG14" i="14"/>
  <c r="AF14" i="14"/>
  <c r="AD14" i="14"/>
  <c r="AC14" i="14"/>
  <c r="AB14" i="14"/>
  <c r="Z14" i="14"/>
  <c r="Y14" i="14"/>
  <c r="W14" i="14"/>
  <c r="V14" i="14"/>
  <c r="U14" i="14"/>
  <c r="T14" i="14"/>
  <c r="S14" i="14"/>
  <c r="R14" i="14"/>
  <c r="N14" i="14"/>
  <c r="BT14" i="14" s="1"/>
  <c r="M14" i="14"/>
  <c r="GB13" i="14"/>
  <c r="FN13" i="14"/>
  <c r="FM13" i="14"/>
  <c r="FK13" i="14"/>
  <c r="FJ13" i="14"/>
  <c r="FG13" i="14"/>
  <c r="FF13" i="14"/>
  <c r="FE13" i="14"/>
  <c r="DR13" i="14"/>
  <c r="DM13" i="14"/>
  <c r="DK13" i="14"/>
  <c r="DI13" i="14"/>
  <c r="CW13" i="14"/>
  <c r="CT13" i="14"/>
  <c r="CS13" i="14"/>
  <c r="CR13" i="14"/>
  <c r="CQ13" i="14"/>
  <c r="CM13" i="14"/>
  <c r="CI13" i="14"/>
  <c r="CG13" i="14"/>
  <c r="CF13" i="14"/>
  <c r="CA13" i="14"/>
  <c r="BS13" i="14"/>
  <c r="BR13" i="14"/>
  <c r="BD13" i="14"/>
  <c r="BC13" i="14"/>
  <c r="BB13" i="14"/>
  <c r="AZ13" i="14"/>
  <c r="AX13" i="14"/>
  <c r="AW13" i="14"/>
  <c r="AV13" i="14"/>
  <c r="AU13" i="14"/>
  <c r="AR13" i="14"/>
  <c r="AQ13" i="14"/>
  <c r="AP13" i="14"/>
  <c r="CU13" i="14" s="1"/>
  <c r="AN13" i="14"/>
  <c r="AK13" i="14"/>
  <c r="AJ13" i="14"/>
  <c r="AG13" i="14"/>
  <c r="AF13" i="14"/>
  <c r="AD13" i="14"/>
  <c r="AC13" i="14"/>
  <c r="AB13" i="14"/>
  <c r="Z13" i="14"/>
  <c r="Y13" i="14"/>
  <c r="X13" i="14" s="1"/>
  <c r="W13" i="14"/>
  <c r="V13" i="14"/>
  <c r="U13" i="14"/>
  <c r="T13" i="14"/>
  <c r="S13" i="14"/>
  <c r="R13" i="14"/>
  <c r="N13" i="14"/>
  <c r="BP13" i="14" s="1"/>
  <c r="M13" i="14"/>
  <c r="GB12" i="14"/>
  <c r="FN12" i="14"/>
  <c r="FM12" i="14"/>
  <c r="FL12" i="14"/>
  <c r="FK12" i="14"/>
  <c r="FJ12" i="14"/>
  <c r="FG12" i="14"/>
  <c r="FF12" i="14"/>
  <c r="FE12" i="14"/>
  <c r="DR12" i="14"/>
  <c r="DM12" i="14"/>
  <c r="DK12" i="14"/>
  <c r="DI12" i="14"/>
  <c r="DF12" i="14"/>
  <c r="CW12" i="14"/>
  <c r="CT12" i="14"/>
  <c r="CS12" i="14"/>
  <c r="CR12" i="14"/>
  <c r="CQ12" i="14"/>
  <c r="CM12" i="14"/>
  <c r="CJ12" i="14"/>
  <c r="CI12" i="14"/>
  <c r="CA12" i="14"/>
  <c r="BT12" i="14"/>
  <c r="BD12" i="14"/>
  <c r="BC12" i="14"/>
  <c r="BB12" i="14"/>
  <c r="AZ12" i="14"/>
  <c r="AX12" i="14"/>
  <c r="AW12" i="14"/>
  <c r="AV12" i="14"/>
  <c r="AU12" i="14"/>
  <c r="AT12" i="14"/>
  <c r="AR12" i="14"/>
  <c r="AQ12" i="14"/>
  <c r="AP12" i="14"/>
  <c r="AN12" i="14"/>
  <c r="AO12" i="14" s="1"/>
  <c r="AK12" i="14"/>
  <c r="AJ12" i="14"/>
  <c r="AI12" i="14"/>
  <c r="AH12" i="14"/>
  <c r="AG12" i="14"/>
  <c r="AF12" i="14"/>
  <c r="AC12" i="14"/>
  <c r="AB12" i="14"/>
  <c r="CF12" i="14" s="1"/>
  <c r="Z12" i="14"/>
  <c r="Y12" i="14"/>
  <c r="W12" i="14"/>
  <c r="V12" i="14"/>
  <c r="U12" i="14"/>
  <c r="T12" i="14"/>
  <c r="S12" i="14"/>
  <c r="R12" i="14"/>
  <c r="O12" i="14"/>
  <c r="CY12" i="14" s="1"/>
  <c r="N12" i="14"/>
  <c r="BQ12" i="14" s="1"/>
  <c r="M12" i="14"/>
  <c r="GB11" i="14"/>
  <c r="FN11" i="14"/>
  <c r="FM11" i="14"/>
  <c r="FL11" i="14"/>
  <c r="FK11" i="14"/>
  <c r="FJ11" i="14"/>
  <c r="FH11" i="14"/>
  <c r="FG11" i="14"/>
  <c r="FF11" i="14"/>
  <c r="FE11" i="14"/>
  <c r="DR11" i="14"/>
  <c r="DM11" i="14"/>
  <c r="DK11" i="14"/>
  <c r="DI11" i="14"/>
  <c r="DC11" i="14"/>
  <c r="CW11" i="14"/>
  <c r="CV11" i="14" s="1"/>
  <c r="CU11" i="14"/>
  <c r="CT11" i="14"/>
  <c r="CR11" i="14"/>
  <c r="CQ11" i="14"/>
  <c r="CO11" i="14"/>
  <c r="CN11" i="14"/>
  <c r="CM11" i="14"/>
  <c r="CK11" i="14"/>
  <c r="CI11" i="14"/>
  <c r="CG11" i="14"/>
  <c r="CA11" i="14"/>
  <c r="BD11" i="14"/>
  <c r="BC11" i="14"/>
  <c r="BB11" i="14"/>
  <c r="AZ11" i="14"/>
  <c r="AX11" i="14"/>
  <c r="AW11" i="14"/>
  <c r="AV11" i="14"/>
  <c r="AU11" i="14"/>
  <c r="AS11" i="14"/>
  <c r="AR11" i="14"/>
  <c r="AQ11" i="14" s="1"/>
  <c r="AP11" i="14"/>
  <c r="AO11" i="14"/>
  <c r="AN11" i="14"/>
  <c r="AL11" i="14"/>
  <c r="CP11" i="14" s="1"/>
  <c r="AK11" i="14"/>
  <c r="AJ11" i="14"/>
  <c r="AG11" i="14"/>
  <c r="AF11" i="14"/>
  <c r="AC11" i="14"/>
  <c r="AB11" i="14"/>
  <c r="Z11" i="14"/>
  <c r="Y11" i="14"/>
  <c r="BS11" i="14" s="1"/>
  <c r="W11" i="14"/>
  <c r="V11" i="14"/>
  <c r="U11" i="14"/>
  <c r="T11" i="14"/>
  <c r="S11" i="14"/>
  <c r="BP11" i="14" s="1"/>
  <c r="R11" i="14"/>
  <c r="O11" i="14"/>
  <c r="N11" i="14"/>
  <c r="BQ11" i="14" s="1"/>
  <c r="M11" i="14"/>
  <c r="GB10" i="14"/>
  <c r="FM10" i="14"/>
  <c r="FL10" i="14"/>
  <c r="FK10" i="14"/>
  <c r="FJ10" i="14"/>
  <c r="FG10" i="14"/>
  <c r="FF10" i="14"/>
  <c r="FE10" i="14"/>
  <c r="DR10" i="14"/>
  <c r="DM10" i="14"/>
  <c r="DK10" i="14"/>
  <c r="DI10" i="14"/>
  <c r="CW10" i="14"/>
  <c r="CT10" i="14"/>
  <c r="CS10" i="14" s="1"/>
  <c r="CR10" i="14"/>
  <c r="CQ10" i="14"/>
  <c r="CM10" i="14"/>
  <c r="CK10" i="14"/>
  <c r="CI10" i="14"/>
  <c r="CH10" i="14"/>
  <c r="CG10" i="14"/>
  <c r="CF10" i="14"/>
  <c r="CA10" i="14"/>
  <c r="BP10" i="14"/>
  <c r="BD10" i="14"/>
  <c r="BC10" i="14"/>
  <c r="BB10" i="14"/>
  <c r="AZ10" i="14"/>
  <c r="BG10" i="14" s="1"/>
  <c r="AX10" i="14"/>
  <c r="AW10" i="14"/>
  <c r="AV10" i="14"/>
  <c r="AU10" i="14"/>
  <c r="AS10" i="14"/>
  <c r="AR10" i="14"/>
  <c r="AT10" i="14" s="1"/>
  <c r="AP10" i="14"/>
  <c r="CU10" i="14" s="1"/>
  <c r="AO10" i="14"/>
  <c r="AN10" i="14"/>
  <c r="AK10" i="14"/>
  <c r="AJ10" i="14"/>
  <c r="AL10" i="14" s="1"/>
  <c r="AG10" i="14"/>
  <c r="AF10" i="14"/>
  <c r="CJ10" i="14" s="1"/>
  <c r="AC10" i="14"/>
  <c r="AB10" i="14"/>
  <c r="Z10" i="14"/>
  <c r="Y10" i="14"/>
  <c r="BS10" i="14" s="1"/>
  <c r="W10" i="14"/>
  <c r="V10" i="14"/>
  <c r="U10" i="14"/>
  <c r="T10" i="14"/>
  <c r="S10" i="14"/>
  <c r="AA10" i="14" s="1"/>
  <c r="R10" i="14"/>
  <c r="O10" i="14"/>
  <c r="DE10" i="14" s="1"/>
  <c r="N10" i="14"/>
  <c r="BT10" i="14" s="1"/>
  <c r="M10" i="14"/>
  <c r="GJ9" i="14"/>
  <c r="FM9" i="14"/>
  <c r="FK9" i="14"/>
  <c r="FJ9" i="14"/>
  <c r="FG9" i="14"/>
  <c r="FF9" i="14"/>
  <c r="FE9" i="14"/>
  <c r="DR9" i="14"/>
  <c r="DM9" i="14"/>
  <c r="DK9" i="14"/>
  <c r="DI9" i="14"/>
  <c r="CW9" i="14"/>
  <c r="CV9" i="14"/>
  <c r="CU9" i="14"/>
  <c r="CT9" i="14"/>
  <c r="CS9" i="14"/>
  <c r="CR9" i="14"/>
  <c r="CQ9" i="14"/>
  <c r="CO9" i="14"/>
  <c r="CM9" i="14"/>
  <c r="CL9" i="14"/>
  <c r="CK9" i="14"/>
  <c r="CJ9" i="14"/>
  <c r="CI9" i="14"/>
  <c r="CH9" i="14"/>
  <c r="CG9" i="14"/>
  <c r="CF9" i="14"/>
  <c r="CA9" i="14"/>
  <c r="BR9" i="14"/>
  <c r="BD9" i="14"/>
  <c r="BC9" i="14"/>
  <c r="BB9" i="14"/>
  <c r="AZ9" i="14"/>
  <c r="AX9" i="14"/>
  <c r="AW9" i="14"/>
  <c r="AV9" i="14"/>
  <c r="AU9" i="14"/>
  <c r="AS9" i="14"/>
  <c r="AR9" i="14"/>
  <c r="AT9" i="14" s="1"/>
  <c r="AP9" i="14"/>
  <c r="AN9" i="14"/>
  <c r="AO9" i="14" s="1"/>
  <c r="AK9" i="14"/>
  <c r="AJ9" i="14"/>
  <c r="CN9" i="14" s="1"/>
  <c r="AG9" i="14"/>
  <c r="AF9" i="14"/>
  <c r="AH9" i="14" s="1"/>
  <c r="AC9" i="14"/>
  <c r="AB9" i="14"/>
  <c r="Z9" i="14"/>
  <c r="Y9" i="14"/>
  <c r="X9" i="14" s="1"/>
  <c r="W9" i="14"/>
  <c r="V9" i="14"/>
  <c r="U9" i="14"/>
  <c r="T9" i="14"/>
  <c r="S9" i="14"/>
  <c r="R9" i="14"/>
  <c r="N9" i="14"/>
  <c r="BP9" i="14" s="1"/>
  <c r="M9" i="14"/>
  <c r="GJ8" i="14"/>
  <c r="FM8" i="14"/>
  <c r="FK8" i="14"/>
  <c r="FJ8" i="14"/>
  <c r="FF8" i="14"/>
  <c r="FE8" i="14"/>
  <c r="DR8" i="14"/>
  <c r="DM8" i="14"/>
  <c r="DK8" i="14"/>
  <c r="DI8" i="14"/>
  <c r="DF8" i="14"/>
  <c r="DC8" i="14"/>
  <c r="CZ8" i="14"/>
  <c r="CW8" i="14"/>
  <c r="CV8" i="14" s="1"/>
  <c r="CU8" i="14"/>
  <c r="CT8" i="14"/>
  <c r="CS8" i="14"/>
  <c r="CR8" i="14"/>
  <c r="CQ8" i="14"/>
  <c r="CM8" i="14"/>
  <c r="CL8" i="14" s="1"/>
  <c r="CK8" i="14"/>
  <c r="CI8" i="14"/>
  <c r="CF8" i="14"/>
  <c r="CA8" i="14"/>
  <c r="BY8" i="14"/>
  <c r="BX8" i="14" s="1"/>
  <c r="BT8" i="14"/>
  <c r="BQ8" i="14"/>
  <c r="BP8" i="14"/>
  <c r="BD8" i="14"/>
  <c r="BC8" i="14"/>
  <c r="BB8" i="14"/>
  <c r="AZ8" i="14"/>
  <c r="AX8" i="14"/>
  <c r="AW8" i="14"/>
  <c r="AV8" i="14"/>
  <c r="AU8" i="14"/>
  <c r="AR8" i="14"/>
  <c r="CB8" i="14" s="1"/>
  <c r="AQ8" i="14"/>
  <c r="AP8" i="14"/>
  <c r="AO8" i="14"/>
  <c r="AN8" i="14"/>
  <c r="AK8" i="14"/>
  <c r="AJ8" i="14"/>
  <c r="CN8" i="14" s="1"/>
  <c r="AH8" i="14"/>
  <c r="AG8" i="14"/>
  <c r="AF8" i="14"/>
  <c r="AD8" i="14"/>
  <c r="AC8" i="14"/>
  <c r="AB8" i="14"/>
  <c r="Z8" i="14"/>
  <c r="Y8" i="14"/>
  <c r="W8" i="14"/>
  <c r="V8" i="14"/>
  <c r="U8" i="14"/>
  <c r="T8" i="14"/>
  <c r="S8" i="14"/>
  <c r="R8" i="14"/>
  <c r="O8" i="14"/>
  <c r="N8" i="14"/>
  <c r="BO8" i="14" s="1"/>
  <c r="M8" i="14"/>
  <c r="GJ7" i="14"/>
  <c r="FM7" i="14"/>
  <c r="FL7" i="14"/>
  <c r="FK7" i="14"/>
  <c r="FJ7" i="14"/>
  <c r="FF7" i="14"/>
  <c r="FE7" i="14"/>
  <c r="DR7" i="14"/>
  <c r="DM7" i="14"/>
  <c r="DK7" i="14"/>
  <c r="DI7" i="14"/>
  <c r="CW7" i="14"/>
  <c r="CT7" i="14"/>
  <c r="CR7" i="14"/>
  <c r="CQ7" i="14"/>
  <c r="CO7" i="14"/>
  <c r="CM7" i="14"/>
  <c r="CL7" i="14"/>
  <c r="CK7" i="14"/>
  <c r="CJ7" i="14"/>
  <c r="CI7" i="14"/>
  <c r="CA7" i="14"/>
  <c r="BR7" i="14"/>
  <c r="BO7" i="14"/>
  <c r="BD7" i="14"/>
  <c r="BC7" i="14"/>
  <c r="BB7" i="14"/>
  <c r="AZ7" i="14"/>
  <c r="BG7" i="14" s="1"/>
  <c r="AX7" i="14"/>
  <c r="AW7" i="14"/>
  <c r="AV7" i="14"/>
  <c r="AU7" i="14"/>
  <c r="AS7" i="14"/>
  <c r="AR7" i="14"/>
  <c r="AT7" i="14" s="1"/>
  <c r="AP7" i="14"/>
  <c r="CU7" i="14" s="1"/>
  <c r="AO7" i="14"/>
  <c r="AN7" i="14"/>
  <c r="AK7" i="14"/>
  <c r="AJ7" i="14"/>
  <c r="AG7" i="14"/>
  <c r="AF7" i="14"/>
  <c r="AH7" i="14" s="1"/>
  <c r="AC7" i="14"/>
  <c r="AB7" i="14"/>
  <c r="Z7" i="14"/>
  <c r="Y7" i="14"/>
  <c r="W7" i="14"/>
  <c r="V7" i="14"/>
  <c r="U7" i="14"/>
  <c r="T7" i="14"/>
  <c r="S7" i="14"/>
  <c r="R7" i="14"/>
  <c r="N7" i="14"/>
  <c r="BS7" i="14" s="1"/>
  <c r="M7" i="14"/>
  <c r="B7" i="14"/>
  <c r="GJ6" i="14" s="1"/>
  <c r="GB6" i="14"/>
  <c r="GB37" i="14" s="1"/>
  <c r="FO6" i="14"/>
  <c r="FN6" i="14"/>
  <c r="FM6" i="14"/>
  <c r="FL6" i="14"/>
  <c r="FK6" i="14"/>
  <c r="FJ6" i="14"/>
  <c r="FI6" i="14"/>
  <c r="FH6" i="14"/>
  <c r="FD6" i="14" s="1"/>
  <c r="FF6" i="14"/>
  <c r="FE6" i="14"/>
  <c r="DR6" i="14"/>
  <c r="DM6" i="14"/>
  <c r="DK6" i="14"/>
  <c r="DI6" i="14"/>
  <c r="CW6" i="14"/>
  <c r="CV6" i="14"/>
  <c r="CU6" i="14"/>
  <c r="CT6" i="14"/>
  <c r="CR6" i="14"/>
  <c r="CQ6" i="14"/>
  <c r="CO6" i="14"/>
  <c r="CN6" i="14"/>
  <c r="CM6" i="14"/>
  <c r="CL6" i="14"/>
  <c r="CK6" i="14"/>
  <c r="CJ6" i="14"/>
  <c r="CI6" i="14"/>
  <c r="CA6" i="14"/>
  <c r="BS6" i="14"/>
  <c r="BP6" i="14"/>
  <c r="BD6" i="14"/>
  <c r="BC6" i="14"/>
  <c r="BB6" i="14"/>
  <c r="AZ6" i="14"/>
  <c r="AX6" i="14"/>
  <c r="AW6" i="14"/>
  <c r="AS6" i="14" s="1"/>
  <c r="AV6" i="14"/>
  <c r="AV37" i="14" s="1"/>
  <c r="AU6" i="14"/>
  <c r="AT6" i="14"/>
  <c r="AR6" i="14"/>
  <c r="AQ6" i="14"/>
  <c r="AP6" i="14"/>
  <c r="AP37" i="14" s="1"/>
  <c r="AN6" i="14"/>
  <c r="AL6" i="14"/>
  <c r="CP6" i="14" s="1"/>
  <c r="AK6" i="14"/>
  <c r="AJ6" i="14"/>
  <c r="AH6" i="14"/>
  <c r="AG6" i="14"/>
  <c r="AF6" i="14"/>
  <c r="AD6" i="14"/>
  <c r="AC6" i="14"/>
  <c r="AB6" i="14"/>
  <c r="Z6" i="14"/>
  <c r="Y6" i="14"/>
  <c r="W6" i="14"/>
  <c r="W37" i="14" s="1"/>
  <c r="V6" i="14"/>
  <c r="U6" i="14"/>
  <c r="T6" i="14"/>
  <c r="S6" i="14"/>
  <c r="R6" i="14"/>
  <c r="N6" i="14"/>
  <c r="M6" i="14"/>
  <c r="DC3" i="14"/>
  <c r="DB3" i="14"/>
  <c r="DA3" i="14"/>
  <c r="CZ3" i="14"/>
  <c r="CY3" i="14"/>
  <c r="CX3" i="14"/>
  <c r="CW3" i="14"/>
  <c r="CV3" i="14"/>
  <c r="CU3" i="14"/>
  <c r="CT3" i="14"/>
  <c r="CS3" i="14"/>
  <c r="CR3" i="14"/>
  <c r="CQ3" i="14"/>
  <c r="CP3" i="14"/>
  <c r="CO3" i="14"/>
  <c r="CN3" i="14"/>
  <c r="CM3" i="14"/>
  <c r="CL3" i="14"/>
  <c r="CK3" i="14"/>
  <c r="CJ3" i="14"/>
  <c r="CI3" i="14"/>
  <c r="CH3" i="14"/>
  <c r="CG3" i="14"/>
  <c r="CF3" i="14"/>
  <c r="CE3" i="14"/>
  <c r="CD3" i="14"/>
  <c r="CC3" i="14"/>
  <c r="FO1" i="14" s="1"/>
  <c r="CU37" i="14" l="1"/>
  <c r="AD31" i="14"/>
  <c r="CF31" i="14"/>
  <c r="DA10" i="14"/>
  <c r="CO13" i="14"/>
  <c r="AA18" i="14"/>
  <c r="BU18" i="14" s="1"/>
  <c r="BO18" i="14"/>
  <c r="BG22" i="14"/>
  <c r="AD33" i="14"/>
  <c r="N37" i="14"/>
  <c r="AK37" i="14"/>
  <c r="AZ37" i="14"/>
  <c r="BR6" i="14"/>
  <c r="BT7" i="14"/>
  <c r="BG8" i="14"/>
  <c r="DH8" i="14" s="1"/>
  <c r="BW8" i="14"/>
  <c r="CD8" i="14"/>
  <c r="CY8" i="14"/>
  <c r="DE8" i="14"/>
  <c r="AD9" i="14"/>
  <c r="AL9" i="14"/>
  <c r="AM9" i="14" s="1"/>
  <c r="BQ9" i="14"/>
  <c r="CE9" i="14"/>
  <c r="CD9" i="14" s="1"/>
  <c r="AH10" i="14"/>
  <c r="CL10" i="14" s="1"/>
  <c r="BO10" i="14"/>
  <c r="BU10" i="14"/>
  <c r="CB10" i="14"/>
  <c r="CZ10" i="14"/>
  <c r="DF10" i="14"/>
  <c r="X11" i="14"/>
  <c r="AD11" i="14"/>
  <c r="CH11" i="14" s="1"/>
  <c r="BR11" i="14"/>
  <c r="BY11" i="14"/>
  <c r="CF11" i="14"/>
  <c r="CE11" i="14" s="1"/>
  <c r="DB11" i="14"/>
  <c r="X12" i="14"/>
  <c r="AD12" i="14"/>
  <c r="AL12" i="14"/>
  <c r="CO12" i="14"/>
  <c r="DE12" i="14"/>
  <c r="AS13" i="14"/>
  <c r="CD13" i="14"/>
  <c r="CO14" i="14"/>
  <c r="BR15" i="14"/>
  <c r="CG15" i="14"/>
  <c r="BW15" i="14"/>
  <c r="BV15" i="14" s="1"/>
  <c r="CZ15" i="14"/>
  <c r="DH16" i="14"/>
  <c r="DB16" i="14"/>
  <c r="DG16" i="14"/>
  <c r="DA16" i="14"/>
  <c r="BZ16" i="14"/>
  <c r="DF16" i="14"/>
  <c r="CZ16" i="14"/>
  <c r="BY16" i="14"/>
  <c r="DC16" i="14"/>
  <c r="CB16" i="14"/>
  <c r="BV16" i="14"/>
  <c r="BU16" i="14" s="1"/>
  <c r="BW16" i="14"/>
  <c r="CX16" i="14"/>
  <c r="AE18" i="14"/>
  <c r="AI18" i="14"/>
  <c r="AH18" i="14"/>
  <c r="AM19" i="14"/>
  <c r="AL19" i="14"/>
  <c r="CN19" i="14"/>
  <c r="BQ20" i="14"/>
  <c r="BP20" i="14"/>
  <c r="BO20" i="14"/>
  <c r="O20" i="14"/>
  <c r="BR20" i="14"/>
  <c r="CD21" i="14"/>
  <c r="AS21" i="14"/>
  <c r="AD23" i="14"/>
  <c r="BT24" i="14"/>
  <c r="BS24" i="14"/>
  <c r="BR24" i="14"/>
  <c r="BO24" i="14"/>
  <c r="AD28" i="14"/>
  <c r="AE28" i="14" s="1"/>
  <c r="AS28" i="14"/>
  <c r="CE28" i="14" s="1"/>
  <c r="BG28" i="14"/>
  <c r="CF28" i="14"/>
  <c r="AA29" i="14"/>
  <c r="CG31" i="14"/>
  <c r="DA34" i="14"/>
  <c r="BX34" i="14"/>
  <c r="DG34" i="14"/>
  <c r="CZ34" i="14"/>
  <c r="BW34" i="14"/>
  <c r="DF34" i="14"/>
  <c r="DE34" i="14" s="1"/>
  <c r="CY34" i="14"/>
  <c r="CB34" i="14"/>
  <c r="BV34" i="14"/>
  <c r="DD34" i="14"/>
  <c r="CX34" i="14"/>
  <c r="DB34" i="14"/>
  <c r="BY34" i="14"/>
  <c r="AS34" i="14"/>
  <c r="CC34" i="14" s="1"/>
  <c r="CO35" i="14"/>
  <c r="AL35" i="14"/>
  <c r="AM35" i="14" s="1"/>
  <c r="AC37" i="14"/>
  <c r="AI7" i="14"/>
  <c r="DC15" i="14"/>
  <c r="DB15" i="14"/>
  <c r="BY15" i="14"/>
  <c r="DG15" i="14"/>
  <c r="DA15" i="14"/>
  <c r="BX15" i="14"/>
  <c r="DD15" i="14"/>
  <c r="CX15" i="14"/>
  <c r="CH15" i="14"/>
  <c r="DE15" i="14"/>
  <c r="CE25" i="14"/>
  <c r="CD25" i="14" s="1"/>
  <c r="M33" i="14"/>
  <c r="BO33" i="14"/>
  <c r="BT33" i="14"/>
  <c r="BS33" i="14"/>
  <c r="BR33" i="14"/>
  <c r="BP33" i="14"/>
  <c r="BQ33" i="14"/>
  <c r="AJ37" i="14"/>
  <c r="R37" i="14"/>
  <c r="X6" i="14"/>
  <c r="Y37" i="14"/>
  <c r="AE6" i="14"/>
  <c r="AM6" i="14"/>
  <c r="AN37" i="14"/>
  <c r="AU37" i="14"/>
  <c r="BC37" i="14"/>
  <c r="BT6" i="14"/>
  <c r="X7" i="14"/>
  <c r="AD7" i="14"/>
  <c r="AE7" i="14" s="1"/>
  <c r="AQ7" i="14"/>
  <c r="BP7" i="14"/>
  <c r="X8" i="14"/>
  <c r="AE8" i="14"/>
  <c r="AL8" i="14"/>
  <c r="CP8" i="14" s="1"/>
  <c r="AS8" i="14"/>
  <c r="BR8" i="14"/>
  <c r="CG8" i="14"/>
  <c r="DA8" i="14"/>
  <c r="DG8" i="14"/>
  <c r="BS9" i="14"/>
  <c r="AQ10" i="14"/>
  <c r="BQ10" i="14"/>
  <c r="BW10" i="14"/>
  <c r="CE10" i="14"/>
  <c r="CD10" i="14" s="1"/>
  <c r="DB10" i="14"/>
  <c r="DH10" i="14"/>
  <c r="AM11" i="14"/>
  <c r="AT11" i="14"/>
  <c r="BT11" i="14"/>
  <c r="CX11" i="14"/>
  <c r="DD11" i="14"/>
  <c r="BV12" i="14"/>
  <c r="AL13" i="14"/>
  <c r="AM13" i="14" s="1"/>
  <c r="AQ15" i="14"/>
  <c r="CB15" i="14"/>
  <c r="DF15" i="14"/>
  <c r="DD16" i="14"/>
  <c r="AA17" i="14"/>
  <c r="AI17" i="14"/>
  <c r="AM17" i="14"/>
  <c r="AL17" i="14"/>
  <c r="AT18" i="14"/>
  <c r="AS18" i="14"/>
  <c r="CG19" i="14"/>
  <c r="CZ19" i="14"/>
  <c r="CJ21" i="14"/>
  <c r="BQ22" i="14"/>
  <c r="BP22" i="14"/>
  <c r="BO22" i="14"/>
  <c r="BR22" i="14"/>
  <c r="X22" i="14"/>
  <c r="BP24" i="14"/>
  <c r="CD24" i="14"/>
  <c r="BQ25" i="14"/>
  <c r="CO26" i="14"/>
  <c r="BP26" i="14"/>
  <c r="CD26" i="14"/>
  <c r="BG27" i="14"/>
  <c r="AO28" i="14"/>
  <c r="CS28" i="14" s="1"/>
  <c r="CR28" i="14"/>
  <c r="DC34" i="14"/>
  <c r="CG35" i="14"/>
  <c r="AD35" i="14"/>
  <c r="BS36" i="14"/>
  <c r="BR36" i="14"/>
  <c r="BQ36" i="14"/>
  <c r="BP36" i="14"/>
  <c r="O36" i="14"/>
  <c r="BT36" i="14"/>
  <c r="FF26" i="14"/>
  <c r="BV10" i="14"/>
  <c r="DG10" i="14"/>
  <c r="AE11" i="14"/>
  <c r="AD22" i="14"/>
  <c r="AE22" i="14" s="1"/>
  <c r="CF22" i="14"/>
  <c r="BT30" i="14"/>
  <c r="BS30" i="14"/>
  <c r="BR30" i="14"/>
  <c r="BU30" i="14"/>
  <c r="BO30" i="14"/>
  <c r="AM32" i="14"/>
  <c r="AO32" i="14"/>
  <c r="BG34" i="14"/>
  <c r="DH34" i="14" s="1"/>
  <c r="S37" i="14"/>
  <c r="Z37" i="14"/>
  <c r="AG37" i="14"/>
  <c r="AO6" i="14"/>
  <c r="BD37" i="14"/>
  <c r="BO6" i="14"/>
  <c r="AL7" i="14"/>
  <c r="CP7" i="14" s="1"/>
  <c r="BQ7" i="14"/>
  <c r="CF7" i="14"/>
  <c r="CE7" i="14" s="1"/>
  <c r="CD7" i="14" s="1"/>
  <c r="CS7" i="14"/>
  <c r="AM8" i="14"/>
  <c r="AT8" i="14"/>
  <c r="BS8" i="14"/>
  <c r="CH8" i="14"/>
  <c r="CO8" i="14"/>
  <c r="DB8" i="14"/>
  <c r="AA9" i="14"/>
  <c r="BT9" i="14"/>
  <c r="X10" i="14"/>
  <c r="AD10" i="14"/>
  <c r="BR10" i="14"/>
  <c r="BX10" i="14"/>
  <c r="CV10" i="14"/>
  <c r="DC10" i="14"/>
  <c r="AA11" i="14"/>
  <c r="BZ11" i="14" s="1"/>
  <c r="AH11" i="14"/>
  <c r="BO11" i="14"/>
  <c r="BV11" i="14"/>
  <c r="BU11" i="14" s="1"/>
  <c r="CB11" i="14"/>
  <c r="CJ11" i="14"/>
  <c r="CY11" i="14"/>
  <c r="DE11" i="14"/>
  <c r="BR12" i="14"/>
  <c r="BP12" i="14"/>
  <c r="BS12" i="14"/>
  <c r="AA12" i="14"/>
  <c r="BG12" i="14"/>
  <c r="DH12" i="14" s="1"/>
  <c r="BX12" i="14"/>
  <c r="CL12" i="14"/>
  <c r="BO13" i="14"/>
  <c r="AE13" i="14"/>
  <c r="CJ13" i="14"/>
  <c r="AE14" i="14"/>
  <c r="AH14" i="14"/>
  <c r="AI14" i="14" s="1"/>
  <c r="CC15" i="14"/>
  <c r="AS16" i="14"/>
  <c r="CC16" i="14"/>
  <c r="DE16" i="14"/>
  <c r="AD17" i="14"/>
  <c r="CO18" i="14"/>
  <c r="DC19" i="14"/>
  <c r="BZ19" i="14"/>
  <c r="DH19" i="14"/>
  <c r="DB19" i="14"/>
  <c r="BY19" i="14"/>
  <c r="DG19" i="14"/>
  <c r="DA19" i="14"/>
  <c r="BX19" i="14"/>
  <c r="DD19" i="14"/>
  <c r="CX19" i="14"/>
  <c r="CH19" i="14"/>
  <c r="AD19" i="14"/>
  <c r="CU19" i="14"/>
  <c r="CB19" i="14"/>
  <c r="CO19" i="14"/>
  <c r="DE19" i="14"/>
  <c r="AA20" i="14"/>
  <c r="AI20" i="14"/>
  <c r="AM20" i="14"/>
  <c r="AL20" i="14"/>
  <c r="BG20" i="14"/>
  <c r="BT20" i="14"/>
  <c r="O22" i="14"/>
  <c r="BR23" i="14"/>
  <c r="BQ23" i="14"/>
  <c r="BP23" i="14"/>
  <c r="BS23" i="14"/>
  <c r="CU23" i="14"/>
  <c r="AQ23" i="14"/>
  <c r="BO23" i="14"/>
  <c r="AA24" i="14"/>
  <c r="BU24" i="14" s="1"/>
  <c r="AL24" i="14"/>
  <c r="CP24" i="14" s="1"/>
  <c r="BQ24" i="14"/>
  <c r="AH25" i="14"/>
  <c r="AI25" i="14" s="1"/>
  <c r="CJ25" i="14"/>
  <c r="CK25" i="14"/>
  <c r="AL26" i="14"/>
  <c r="BQ26" i="14"/>
  <c r="CV26" i="14"/>
  <c r="CK28" i="14"/>
  <c r="CN29" i="14"/>
  <c r="AL29" i="14"/>
  <c r="CP29" i="14" s="1"/>
  <c r="AA32" i="14"/>
  <c r="AF32" i="14"/>
  <c r="BG32" i="14"/>
  <c r="DH32" i="14" s="1"/>
  <c r="O33" i="14"/>
  <c r="X33" i="14"/>
  <c r="CF34" i="14"/>
  <c r="CE34" i="14" s="1"/>
  <c r="CD34" i="14" s="1"/>
  <c r="AE34" i="14"/>
  <c r="AD34" i="14"/>
  <c r="CH34" i="14" s="1"/>
  <c r="BG36" i="14"/>
  <c r="BO36" i="14"/>
  <c r="FL18" i="14"/>
  <c r="FL52" i="14"/>
  <c r="AF10" i="20"/>
  <c r="DX11" i="20"/>
  <c r="CC10" i="14"/>
  <c r="CO21" i="14"/>
  <c r="CU29" i="14"/>
  <c r="AQ29" i="14"/>
  <c r="T37" i="14"/>
  <c r="AA6" i="14"/>
  <c r="BU6" i="14" s="1"/>
  <c r="AW37" i="14"/>
  <c r="BG6" i="14"/>
  <c r="AM7" i="14"/>
  <c r="CG7" i="14"/>
  <c r="B8" i="14"/>
  <c r="B9" i="14" s="1"/>
  <c r="B10" i="14" s="1"/>
  <c r="B11" i="14" s="1"/>
  <c r="AA8" i="14"/>
  <c r="BZ8" i="14" s="1"/>
  <c r="AI9" i="14"/>
  <c r="BO9" i="14"/>
  <c r="CP9" i="14"/>
  <c r="AE10" i="14"/>
  <c r="AM10" i="14"/>
  <c r="BY10" i="14"/>
  <c r="CN10" i="14"/>
  <c r="CX10" i="14"/>
  <c r="DD10" i="14"/>
  <c r="AI11" i="14"/>
  <c r="BW11" i="14"/>
  <c r="CC11" i="14"/>
  <c r="CZ11" i="14"/>
  <c r="DF11" i="14"/>
  <c r="DC12" i="14"/>
  <c r="BY12" i="14"/>
  <c r="DG12" i="14"/>
  <c r="DA12" i="14"/>
  <c r="BW12" i="14"/>
  <c r="DD12" i="14"/>
  <c r="CX12" i="14"/>
  <c r="CH12" i="14"/>
  <c r="BZ12" i="14"/>
  <c r="CP12" i="14"/>
  <c r="CZ12" i="14"/>
  <c r="CE13" i="14"/>
  <c r="AA14" i="14"/>
  <c r="BU14" i="14" s="1"/>
  <c r="X14" i="14"/>
  <c r="BS14" i="14"/>
  <c r="CN15" i="14"/>
  <c r="AL15" i="14"/>
  <c r="CP15" i="14" s="1"/>
  <c r="CO16" i="14"/>
  <c r="CP19" i="14"/>
  <c r="AD20" i="14"/>
  <c r="CF20" i="14"/>
  <c r="CU20" i="14"/>
  <c r="AE21" i="14"/>
  <c r="AH21" i="14"/>
  <c r="CL21" i="14" s="1"/>
  <c r="CP21" i="14"/>
  <c r="AA23" i="14"/>
  <c r="AS23" i="14"/>
  <c r="CE23" i="14" s="1"/>
  <c r="CO24" i="14"/>
  <c r="CN24" i="14" s="1"/>
  <c r="BT25" i="14"/>
  <c r="CL25" i="14"/>
  <c r="BT26" i="14"/>
  <c r="CR27" i="14"/>
  <c r="AH28" i="14"/>
  <c r="AB30" i="14"/>
  <c r="CG30" i="14"/>
  <c r="CO30" i="14"/>
  <c r="CD30" i="14"/>
  <c r="AS30" i="14"/>
  <c r="BP30" i="14"/>
  <c r="X31" i="14"/>
  <c r="CU31" i="14"/>
  <c r="CR32" i="14"/>
  <c r="CF33" i="14"/>
  <c r="CR34" i="14"/>
  <c r="BU36" i="14"/>
  <c r="FI40" i="14"/>
  <c r="FL41" i="14"/>
  <c r="FL14" i="14"/>
  <c r="FL13" i="14"/>
  <c r="FH15" i="20"/>
  <c r="FH49" i="20"/>
  <c r="CE8" i="14"/>
  <c r="AE9" i="14"/>
  <c r="X15" i="14"/>
  <c r="M37" i="14"/>
  <c r="U37" i="14"/>
  <c r="AI6" i="14"/>
  <c r="AX37" i="14"/>
  <c r="BQ6" i="14"/>
  <c r="CS6" i="14"/>
  <c r="AA7" i="14"/>
  <c r="BU7" i="14" s="1"/>
  <c r="CN7" i="14"/>
  <c r="CV7" i="14"/>
  <c r="AI8" i="14"/>
  <c r="BV8" i="14"/>
  <c r="BU8" i="14" s="1"/>
  <c r="CC8" i="14"/>
  <c r="CJ8" i="14"/>
  <c r="CX8" i="14"/>
  <c r="DD8" i="14"/>
  <c r="O9" i="14"/>
  <c r="AQ9" i="14"/>
  <c r="AQ37" i="14" s="1"/>
  <c r="BG9" i="14"/>
  <c r="BZ10" i="14"/>
  <c r="CP10" i="14"/>
  <c r="CO10" i="14" s="1"/>
  <c r="CY10" i="14"/>
  <c r="BG11" i="14"/>
  <c r="DH11" i="14" s="1"/>
  <c r="BX11" i="14"/>
  <c r="CD11" i="14"/>
  <c r="CL11" i="14"/>
  <c r="CS11" i="14"/>
  <c r="DA11" i="14"/>
  <c r="DG11" i="14"/>
  <c r="AS12" i="14"/>
  <c r="CE12" i="14" s="1"/>
  <c r="CD12" i="14" s="1"/>
  <c r="BO12" i="14"/>
  <c r="CB12" i="14"/>
  <c r="DB12" i="14"/>
  <c r="AA13" i="14"/>
  <c r="AH13" i="14"/>
  <c r="CL13" i="14" s="1"/>
  <c r="BG13" i="14"/>
  <c r="CD14" i="14"/>
  <c r="AT14" i="14"/>
  <c r="AY37" i="14"/>
  <c r="CF15" i="14"/>
  <c r="AD15" i="14"/>
  <c r="CY15" i="14"/>
  <c r="AL16" i="14"/>
  <c r="AM16" i="14" s="1"/>
  <c r="BS17" i="14"/>
  <c r="BR17" i="14"/>
  <c r="BQ17" i="14"/>
  <c r="O17" i="14"/>
  <c r="BT17" i="14"/>
  <c r="AO17" i="14"/>
  <c r="CS17" i="14" s="1"/>
  <c r="CU17" i="14"/>
  <c r="BS18" i="14"/>
  <c r="CJ18" i="14"/>
  <c r="CV20" i="14"/>
  <c r="AA21" i="14"/>
  <c r="CN23" i="14"/>
  <c r="AM23" i="14"/>
  <c r="AL23" i="14"/>
  <c r="CP23" i="14" s="1"/>
  <c r="CJ26" i="14"/>
  <c r="AI26" i="14"/>
  <c r="AH26" i="14"/>
  <c r="CL26" i="14" s="1"/>
  <c r="BX26" i="14"/>
  <c r="CK27" i="14"/>
  <c r="AA28" i="14"/>
  <c r="AD29" i="14"/>
  <c r="AE29" i="14" s="1"/>
  <c r="AL30" i="14"/>
  <c r="AM30" i="14" s="1"/>
  <c r="BQ30" i="14"/>
  <c r="CP30" i="14"/>
  <c r="BR31" i="14"/>
  <c r="BQ31" i="14"/>
  <c r="BP31" i="14"/>
  <c r="BS31" i="14"/>
  <c r="CV31" i="14"/>
  <c r="AA33" i="14"/>
  <c r="AI33" i="14"/>
  <c r="CN33" i="14"/>
  <c r="AL33" i="14"/>
  <c r="CP33" i="14" s="1"/>
  <c r="BG33" i="14"/>
  <c r="X34" i="14"/>
  <c r="AE36" i="14"/>
  <c r="AD36" i="14"/>
  <c r="V37" i="14"/>
  <c r="BB37" i="14"/>
  <c r="CE27" i="17"/>
  <c r="CD27" i="17" s="1"/>
  <c r="AM12" i="14"/>
  <c r="BQ13" i="14"/>
  <c r="CK13" i="14"/>
  <c r="O14" i="14"/>
  <c r="AQ14" i="14"/>
  <c r="CV14" i="14" s="1"/>
  <c r="CU14" i="14" s="1"/>
  <c r="BO14" i="14"/>
  <c r="AA15" i="14"/>
  <c r="BZ15" i="14" s="1"/>
  <c r="BS15" i="14"/>
  <c r="CO15" i="14"/>
  <c r="BO16" i="14"/>
  <c r="CV16" i="14"/>
  <c r="CP17" i="14"/>
  <c r="BT18" i="14"/>
  <c r="AO19" i="14"/>
  <c r="BT19" i="14"/>
  <c r="AT20" i="14"/>
  <c r="CS20" i="14"/>
  <c r="O21" i="14"/>
  <c r="BO21" i="14"/>
  <c r="BU21" i="14"/>
  <c r="AT22" i="14"/>
  <c r="CL22" i="14"/>
  <c r="CV22" i="14"/>
  <c r="AT23" i="14"/>
  <c r="CO23" i="14"/>
  <c r="CV23" i="14"/>
  <c r="AO24" i="14"/>
  <c r="CS24" i="14" s="1"/>
  <c r="CR24" i="14"/>
  <c r="AD25" i="14"/>
  <c r="AE25" i="14" s="1"/>
  <c r="BO25" i="14"/>
  <c r="CS25" i="14"/>
  <c r="X26" i="14"/>
  <c r="AD26" i="14"/>
  <c r="AE26" i="14" s="1"/>
  <c r="BO26" i="14"/>
  <c r="BV26" i="14"/>
  <c r="CB26" i="14"/>
  <c r="CK26" i="14"/>
  <c r="CS26" i="14"/>
  <c r="DA26" i="14"/>
  <c r="DH26" i="14"/>
  <c r="AE27" i="14"/>
  <c r="AL27" i="14"/>
  <c r="BT27" i="14"/>
  <c r="AL28" i="14"/>
  <c r="AM28" i="14" s="1"/>
  <c r="BQ28" i="14"/>
  <c r="O29" i="14"/>
  <c r="BR29" i="14"/>
  <c r="CO29" i="14"/>
  <c r="CV29" i="14"/>
  <c r="AI30" i="14"/>
  <c r="CV30" i="14"/>
  <c r="AM31" i="14"/>
  <c r="AT31" i="14"/>
  <c r="CL31" i="14"/>
  <c r="CS31" i="14"/>
  <c r="BQ32" i="14"/>
  <c r="BW32" i="14"/>
  <c r="CY32" i="14"/>
  <c r="DF32" i="14"/>
  <c r="DE32" i="14" s="1"/>
  <c r="CS33" i="14"/>
  <c r="CR33" i="14" s="1"/>
  <c r="AA34" i="14"/>
  <c r="BZ34" i="14" s="1"/>
  <c r="AT34" i="14"/>
  <c r="BR34" i="14"/>
  <c r="CG34" i="14"/>
  <c r="BO35" i="14"/>
  <c r="BV35" i="14"/>
  <c r="CB35" i="14"/>
  <c r="CP35" i="14"/>
  <c r="CY35" i="14"/>
  <c r="DE35" i="14"/>
  <c r="AM36" i="14"/>
  <c r="AT36" i="14"/>
  <c r="AS36" i="14" s="1"/>
  <c r="BJ36" i="14"/>
  <c r="BH10" i="20"/>
  <c r="FL44" i="17"/>
  <c r="FL10" i="17"/>
  <c r="CG33" i="14"/>
  <c r="CV33" i="14"/>
  <c r="AO34" i="14"/>
  <c r="FI49" i="20"/>
  <c r="FI15" i="20"/>
  <c r="FF48" i="20"/>
  <c r="FF14" i="20"/>
  <c r="FD14" i="20" s="1"/>
  <c r="CK12" i="14"/>
  <c r="BT13" i="14"/>
  <c r="CN13" i="14"/>
  <c r="AM14" i="14"/>
  <c r="BR14" i="14"/>
  <c r="CL14" i="14"/>
  <c r="BP15" i="14"/>
  <c r="CK15" i="14"/>
  <c r="CS15" i="14"/>
  <c r="CR15" i="14" s="1"/>
  <c r="X16" i="14"/>
  <c r="AE16" i="14"/>
  <c r="BR16" i="14"/>
  <c r="CE16" i="14"/>
  <c r="CE17" i="14"/>
  <c r="AM18" i="14"/>
  <c r="BQ18" i="14"/>
  <c r="CF18" i="14"/>
  <c r="CE18" i="14" s="1"/>
  <c r="CD18" i="14" s="1"/>
  <c r="CL18" i="14"/>
  <c r="X19" i="14"/>
  <c r="AE19" i="14"/>
  <c r="BQ19" i="14"/>
  <c r="CK19" i="14"/>
  <c r="CS19" i="14"/>
  <c r="CR19" i="14" s="1"/>
  <c r="CO20" i="14"/>
  <c r="AM21" i="14"/>
  <c r="BR21" i="14"/>
  <c r="CK23" i="14"/>
  <c r="CJ23" i="14" s="1"/>
  <c r="X24" i="14"/>
  <c r="AE24" i="14"/>
  <c r="CE24" i="14"/>
  <c r="CV24" i="14"/>
  <c r="AA25" i="14"/>
  <c r="BR25" i="14"/>
  <c r="CG25" i="14"/>
  <c r="CO25" i="14"/>
  <c r="CN25" i="14" s="1"/>
  <c r="AA26" i="14"/>
  <c r="AM26" i="14"/>
  <c r="BR26" i="14"/>
  <c r="BY26" i="14"/>
  <c r="CG26" i="14"/>
  <c r="CF26" i="14" s="1"/>
  <c r="CE26" i="14" s="1"/>
  <c r="CX26" i="14"/>
  <c r="DD26" i="14"/>
  <c r="AO27" i="14"/>
  <c r="CS27" i="14" s="1"/>
  <c r="BQ27" i="14"/>
  <c r="BT28" i="14"/>
  <c r="CG28" i="14"/>
  <c r="CN28" i="14"/>
  <c r="CV28" i="14"/>
  <c r="BO29" i="14"/>
  <c r="CK29" i="14"/>
  <c r="BT32" i="14"/>
  <c r="BZ32" i="14"/>
  <c r="CF32" i="14"/>
  <c r="CS32" i="14"/>
  <c r="DB32" i="14"/>
  <c r="AQ34" i="14"/>
  <c r="CV34" i="14" s="1"/>
  <c r="BO34" i="14"/>
  <c r="AE35" i="14"/>
  <c r="AS35" i="14"/>
  <c r="CC35" i="14" s="1"/>
  <c r="BR35" i="14"/>
  <c r="BY35" i="14"/>
  <c r="DB35" i="14"/>
  <c r="DH35" i="14"/>
  <c r="GJ37" i="14"/>
  <c r="CF6" i="17"/>
  <c r="FJ71" i="20"/>
  <c r="AT13" i="14"/>
  <c r="CV13" i="14"/>
  <c r="AE15" i="14"/>
  <c r="CL15" i="14"/>
  <c r="DH15" i="14"/>
  <c r="FO15" i="14"/>
  <c r="CV17" i="14"/>
  <c r="FJ18" i="14"/>
  <c r="BR19" i="14"/>
  <c r="CE19" i="14"/>
  <c r="CP20" i="14"/>
  <c r="AT21" i="14"/>
  <c r="BS21" i="14"/>
  <c r="CF21" i="14"/>
  <c r="CE21" i="14" s="1"/>
  <c r="CS22" i="14"/>
  <c r="CR22" i="14" s="1"/>
  <c r="X23" i="14"/>
  <c r="AE23" i="14"/>
  <c r="CD23" i="14"/>
  <c r="CL23" i="14"/>
  <c r="AT24" i="14"/>
  <c r="BS25" i="14"/>
  <c r="CP25" i="14"/>
  <c r="AT26" i="14"/>
  <c r="BS26" i="14"/>
  <c r="BZ26" i="14"/>
  <c r="CH26" i="14"/>
  <c r="CP26" i="14"/>
  <c r="CY26" i="14"/>
  <c r="DE26" i="14"/>
  <c r="BR27" i="14"/>
  <c r="CF27" i="14"/>
  <c r="CE27" i="14" s="1"/>
  <c r="CD27" i="14" s="1"/>
  <c r="CL27" i="14"/>
  <c r="CU27" i="14"/>
  <c r="BO28" i="14"/>
  <c r="BU28" i="14"/>
  <c r="CO28" i="14"/>
  <c r="BP29" i="14"/>
  <c r="CL29" i="14"/>
  <c r="CS29" i="14"/>
  <c r="X30" i="14"/>
  <c r="AT30" i="14"/>
  <c r="BO32" i="14"/>
  <c r="BU32" i="14"/>
  <c r="CG32" i="14"/>
  <c r="CN32" i="14"/>
  <c r="DC32" i="14"/>
  <c r="AE33" i="14"/>
  <c r="AS33" i="14"/>
  <c r="CO33" i="14"/>
  <c r="FO33" i="14"/>
  <c r="FO34" i="14" s="1"/>
  <c r="FO35" i="14" s="1"/>
  <c r="FO37" i="14" s="1"/>
  <c r="BP34" i="14"/>
  <c r="BS35" i="14"/>
  <c r="CH35" i="14"/>
  <c r="CN35" i="14"/>
  <c r="CV35" i="14"/>
  <c r="DC35" i="14"/>
  <c r="X36" i="14"/>
  <c r="AQ36" i="14"/>
  <c r="DQ37" i="14"/>
  <c r="FL57" i="14"/>
  <c r="FL24" i="14" s="1"/>
  <c r="AB7" i="17"/>
  <c r="AB8" i="17"/>
  <c r="AE12" i="14"/>
  <c r="CG12" i="14"/>
  <c r="CN12" i="14"/>
  <c r="CV12" i="14"/>
  <c r="CU12" i="14" s="1"/>
  <c r="AO13" i="14"/>
  <c r="CP13" i="14"/>
  <c r="AM15" i="14"/>
  <c r="CV15" i="14"/>
  <c r="AH16" i="14"/>
  <c r="AI16" i="14" s="1"/>
  <c r="AO16" i="14"/>
  <c r="CN16" i="14"/>
  <c r="CU16" i="14"/>
  <c r="AE17" i="14"/>
  <c r="CO17" i="14"/>
  <c r="CN17" i="14" s="1"/>
  <c r="B18" i="14"/>
  <c r="AO18" i="14"/>
  <c r="CS18" i="14" s="1"/>
  <c r="CR18" i="14" s="1"/>
  <c r="B19" i="14"/>
  <c r="B20" i="14" s="1"/>
  <c r="B21" i="14" s="1"/>
  <c r="B22" i="14" s="1"/>
  <c r="B23" i="14" s="1"/>
  <c r="B24" i="14" s="1"/>
  <c r="B25" i="14" s="1"/>
  <c r="B26" i="14" s="1"/>
  <c r="B27" i="14" s="1"/>
  <c r="B28" i="14" s="1"/>
  <c r="B29" i="14" s="1"/>
  <c r="B30" i="14" s="1"/>
  <c r="B31" i="14" s="1"/>
  <c r="B32" i="14" s="1"/>
  <c r="B33" i="14" s="1"/>
  <c r="B34" i="14" s="1"/>
  <c r="B35" i="14" s="1"/>
  <c r="B36" i="14" s="1"/>
  <c r="AH19" i="14"/>
  <c r="CL19" i="14" s="1"/>
  <c r="CV19" i="14"/>
  <c r="AE20" i="14"/>
  <c r="AS20" i="14"/>
  <c r="AO21" i="14"/>
  <c r="CS21" i="14" s="1"/>
  <c r="CG21" i="14"/>
  <c r="CN21" i="14"/>
  <c r="CV21" i="14"/>
  <c r="AL22" i="14"/>
  <c r="AM22" i="14" s="1"/>
  <c r="AS22" i="14"/>
  <c r="CD22" i="14"/>
  <c r="AH24" i="14"/>
  <c r="CL24" i="14" s="1"/>
  <c r="CZ26" i="14"/>
  <c r="DG26" i="14"/>
  <c r="DF26" i="14" s="1"/>
  <c r="CG27" i="14"/>
  <c r="CV27" i="14"/>
  <c r="CP28" i="14"/>
  <c r="CE29" i="14"/>
  <c r="CD29" i="14" s="1"/>
  <c r="AE31" i="14"/>
  <c r="AQ32" i="14"/>
  <c r="CV32" i="14" s="1"/>
  <c r="CU32" i="14" s="1"/>
  <c r="BV32" i="14"/>
  <c r="CH32" i="14"/>
  <c r="CX32" i="14"/>
  <c r="AL34" i="14"/>
  <c r="AM34" i="14" s="1"/>
  <c r="CS34" i="14"/>
  <c r="AA35" i="14"/>
  <c r="BZ35" i="14" s="1"/>
  <c r="AH35" i="14"/>
  <c r="CL35" i="14" s="1"/>
  <c r="AO35" i="14"/>
  <c r="CS35" i="14" s="1"/>
  <c r="CX35" i="14"/>
  <c r="DD35" i="14"/>
  <c r="AL36" i="14"/>
  <c r="CE36" i="14"/>
  <c r="G37" i="14"/>
  <c r="FF60" i="14"/>
  <c r="FH42" i="17"/>
  <c r="FH8" i="17"/>
  <c r="FD8" i="17" s="1"/>
  <c r="FI43" i="17"/>
  <c r="FI9" i="17"/>
  <c r="FL75" i="11"/>
  <c r="FL76" i="11" s="1"/>
  <c r="FL77" i="11" s="1"/>
  <c r="FJ75" i="11"/>
  <c r="FJ76" i="11" s="1"/>
  <c r="FG75" i="11"/>
  <c r="FL74" i="11" s="1"/>
  <c r="FL73" i="11"/>
  <c r="FJ73" i="11"/>
  <c r="FJ74" i="11" s="1"/>
  <c r="FG73" i="11"/>
  <c r="FL68" i="11"/>
  <c r="FJ68" i="11"/>
  <c r="FG68" i="11"/>
  <c r="FH62" i="11"/>
  <c r="FH63" i="11" s="1"/>
  <c r="FL60" i="11"/>
  <c r="FL56" i="11"/>
  <c r="FJ56" i="11"/>
  <c r="FI56" i="11"/>
  <c r="FH56" i="11"/>
  <c r="FH57" i="11" s="1"/>
  <c r="FG56" i="11"/>
  <c r="FF56" i="11"/>
  <c r="M40" i="11"/>
  <c r="L40" i="11"/>
  <c r="K40" i="11"/>
  <c r="J40" i="11"/>
  <c r="I40" i="11"/>
  <c r="H40" i="11"/>
  <c r="G40" i="11"/>
  <c r="F40" i="11"/>
  <c r="GI37" i="11"/>
  <c r="GH37" i="11"/>
  <c r="GG37" i="11"/>
  <c r="GF37" i="11"/>
  <c r="GE37" i="11"/>
  <c r="GD37" i="11"/>
  <c r="GC37" i="11"/>
  <c r="GA37" i="11"/>
  <c r="FZ37" i="11"/>
  <c r="DR37" i="11"/>
  <c r="DM37" i="11"/>
  <c r="DK37" i="11"/>
  <c r="DI37" i="11"/>
  <c r="CW37" i="11"/>
  <c r="CT37" i="11"/>
  <c r="CQ37" i="11"/>
  <c r="CM37" i="11"/>
  <c r="CI37" i="11"/>
  <c r="CA37" i="11"/>
  <c r="BF37" i="11"/>
  <c r="BE37" i="11"/>
  <c r="BA37" i="11"/>
  <c r="Q37" i="11"/>
  <c r="L37" i="11"/>
  <c r="K37" i="11"/>
  <c r="J37" i="11"/>
  <c r="I37" i="11"/>
  <c r="H37" i="11"/>
  <c r="G37" i="11"/>
  <c r="F37" i="11"/>
  <c r="E37" i="11"/>
  <c r="D37" i="11"/>
  <c r="GJ36" i="11"/>
  <c r="FN36" i="11"/>
  <c r="FM36" i="11"/>
  <c r="FL36" i="11" s="1"/>
  <c r="FK36" i="11"/>
  <c r="FJ36" i="11"/>
  <c r="FF36" i="11"/>
  <c r="FE36" i="11"/>
  <c r="DM36" i="11"/>
  <c r="DK36" i="11"/>
  <c r="DI36" i="11"/>
  <c r="CW36" i="11"/>
  <c r="CT36" i="11"/>
  <c r="CQ36" i="11"/>
  <c r="CM36" i="11"/>
  <c r="CK36" i="11"/>
  <c r="CJ36" i="11" s="1"/>
  <c r="CI36" i="11"/>
  <c r="CA36" i="11"/>
  <c r="BT36" i="11"/>
  <c r="BO36" i="11"/>
  <c r="BD36" i="11"/>
  <c r="BC36" i="11"/>
  <c r="BB36" i="11"/>
  <c r="AZ36" i="11"/>
  <c r="BG36" i="11" s="1"/>
  <c r="AY36" i="11"/>
  <c r="AX36" i="11"/>
  <c r="AW36" i="11"/>
  <c r="AV36" i="11"/>
  <c r="AU36" i="11"/>
  <c r="AT36" i="11" s="1"/>
  <c r="AR36" i="11"/>
  <c r="CD36" i="11" s="1"/>
  <c r="AP36" i="11"/>
  <c r="AQ36" i="11" s="1"/>
  <c r="AN36" i="11"/>
  <c r="AO36" i="11" s="1"/>
  <c r="AL36" i="11"/>
  <c r="AK36" i="11"/>
  <c r="AJ36" i="11"/>
  <c r="AH36" i="11"/>
  <c r="AI36" i="11" s="1"/>
  <c r="AG36" i="11"/>
  <c r="AF36" i="11"/>
  <c r="AC36" i="11"/>
  <c r="AB36" i="11"/>
  <c r="AD36" i="11" s="1"/>
  <c r="Z36" i="11"/>
  <c r="Y36" i="11"/>
  <c r="X36" i="11" s="1"/>
  <c r="W36" i="11"/>
  <c r="V36" i="11"/>
  <c r="U36" i="11"/>
  <c r="T36" i="11"/>
  <c r="AA36" i="11" s="1"/>
  <c r="S36" i="11"/>
  <c r="R36" i="11"/>
  <c r="N36" i="11"/>
  <c r="BR36" i="11" s="1"/>
  <c r="M36" i="11"/>
  <c r="GJ35" i="11"/>
  <c r="FN35" i="11"/>
  <c r="FM35" i="11"/>
  <c r="FL35" i="11"/>
  <c r="FK35" i="11"/>
  <c r="FJ35" i="11" s="1"/>
  <c r="FF35" i="11"/>
  <c r="FE35" i="11"/>
  <c r="DR35" i="11"/>
  <c r="DM35" i="11"/>
  <c r="DK35" i="11"/>
  <c r="DI35" i="11"/>
  <c r="CW35" i="11"/>
  <c r="CV35" i="11" s="1"/>
  <c r="CU35" i="11"/>
  <c r="CT35" i="11"/>
  <c r="CQ35" i="11"/>
  <c r="CM35" i="11"/>
  <c r="CK35" i="11"/>
  <c r="CI35" i="11"/>
  <c r="CD35" i="11"/>
  <c r="CA35" i="11"/>
  <c r="BR35" i="11"/>
  <c r="BQ35" i="11"/>
  <c r="BD35" i="11"/>
  <c r="BC35" i="11"/>
  <c r="BB35" i="11"/>
  <c r="BG35" i="11" s="1"/>
  <c r="AZ35" i="11"/>
  <c r="AY35" i="11"/>
  <c r="AX35" i="11"/>
  <c r="AW35" i="11"/>
  <c r="AV35" i="11"/>
  <c r="AU35" i="11"/>
  <c r="AT35" i="11" s="1"/>
  <c r="AR35" i="11"/>
  <c r="AQ35" i="11" s="1"/>
  <c r="AP35" i="11"/>
  <c r="AO35" i="11" s="1"/>
  <c r="AN35" i="11"/>
  <c r="CR35" i="11" s="1"/>
  <c r="AL35" i="11"/>
  <c r="AM35" i="11" s="1"/>
  <c r="AK35" i="11"/>
  <c r="AJ35" i="11"/>
  <c r="AG35" i="11"/>
  <c r="AF35" i="11"/>
  <c r="CJ35" i="11" s="1"/>
  <c r="AC35" i="11"/>
  <c r="AB35" i="11"/>
  <c r="Z35" i="11"/>
  <c r="Y35" i="11"/>
  <c r="X35" i="11" s="1"/>
  <c r="W35" i="11"/>
  <c r="V35" i="11"/>
  <c r="U35" i="11"/>
  <c r="T35" i="11"/>
  <c r="S35" i="11"/>
  <c r="R35" i="11"/>
  <c r="AA35" i="11" s="1"/>
  <c r="N35" i="11"/>
  <c r="M35" i="11"/>
  <c r="GJ34" i="11"/>
  <c r="FM34" i="11"/>
  <c r="FL34" i="11"/>
  <c r="FK34" i="11"/>
  <c r="FJ34" i="11"/>
  <c r="FG34" i="11"/>
  <c r="FF34" i="11"/>
  <c r="FE34" i="11"/>
  <c r="DR34" i="11"/>
  <c r="DM34" i="11"/>
  <c r="DK34" i="11"/>
  <c r="DI34" i="11"/>
  <c r="CW34" i="11"/>
  <c r="CT34" i="11"/>
  <c r="CQ34" i="11"/>
  <c r="CM34" i="11"/>
  <c r="CK34" i="11"/>
  <c r="CJ34" i="11"/>
  <c r="CI34" i="11"/>
  <c r="CH34" i="11"/>
  <c r="CG34" i="11"/>
  <c r="CF34" i="11"/>
  <c r="CA34" i="11"/>
  <c r="BP34" i="11"/>
  <c r="BG34" i="11"/>
  <c r="BD34" i="11"/>
  <c r="BC34" i="11"/>
  <c r="BB34" i="11"/>
  <c r="AZ34" i="11"/>
  <c r="AY34" i="11"/>
  <c r="AX34" i="11"/>
  <c r="AW34" i="11"/>
  <c r="AV34" i="11"/>
  <c r="AU34" i="11"/>
  <c r="AR34" i="11"/>
  <c r="AT34" i="11" s="1"/>
  <c r="AP34" i="11"/>
  <c r="AO34" i="11" s="1"/>
  <c r="AN34" i="11"/>
  <c r="CR34" i="11" s="1"/>
  <c r="AK34" i="11"/>
  <c r="AJ34" i="11"/>
  <c r="CN34" i="11" s="1"/>
  <c r="AG34" i="11"/>
  <c r="AF34" i="11"/>
  <c r="AD34" i="11"/>
  <c r="AC34" i="11"/>
  <c r="AB34" i="11"/>
  <c r="Z34" i="11"/>
  <c r="Y34" i="11"/>
  <c r="X34" i="11" s="1"/>
  <c r="W34" i="11"/>
  <c r="V34" i="11"/>
  <c r="U34" i="11"/>
  <c r="T34" i="11"/>
  <c r="S34" i="11"/>
  <c r="R34" i="11"/>
  <c r="AA34" i="11" s="1"/>
  <c r="N34" i="11"/>
  <c r="BT34" i="11" s="1"/>
  <c r="M34" i="11"/>
  <c r="GJ33" i="11"/>
  <c r="FM33" i="11"/>
  <c r="FL33" i="11"/>
  <c r="FK33" i="11"/>
  <c r="FJ33" i="11"/>
  <c r="FG33" i="11"/>
  <c r="FF33" i="11"/>
  <c r="FE33" i="11"/>
  <c r="DR33" i="11"/>
  <c r="DM33" i="11"/>
  <c r="DK33" i="11"/>
  <c r="DI33" i="11"/>
  <c r="CW33" i="11"/>
  <c r="CT33" i="11"/>
  <c r="CQ33" i="11"/>
  <c r="CM33" i="11"/>
  <c r="CL33" i="11"/>
  <c r="CK33" i="11"/>
  <c r="CJ33" i="11"/>
  <c r="CI33" i="11"/>
  <c r="CH33" i="11"/>
  <c r="CG33" i="11"/>
  <c r="CF33" i="11"/>
  <c r="CD33" i="11"/>
  <c r="CA33" i="11"/>
  <c r="BT33" i="11"/>
  <c r="BR33" i="11"/>
  <c r="BD33" i="11"/>
  <c r="BC33" i="11"/>
  <c r="BB33" i="11"/>
  <c r="AZ33" i="11"/>
  <c r="BG33" i="11" s="1"/>
  <c r="AY33" i="11"/>
  <c r="AX33" i="11"/>
  <c r="AW33" i="11"/>
  <c r="AS33" i="11" s="1"/>
  <c r="AV33" i="11"/>
  <c r="AU33" i="11"/>
  <c r="AR33" i="11"/>
  <c r="AP33" i="11"/>
  <c r="AQ33" i="11" s="1"/>
  <c r="AO33" i="11"/>
  <c r="AN33" i="11"/>
  <c r="AK33" i="11"/>
  <c r="AJ33" i="11"/>
  <c r="AH33" i="11"/>
  <c r="AG33" i="11"/>
  <c r="AF33" i="11"/>
  <c r="AC33" i="11"/>
  <c r="AB33" i="11"/>
  <c r="Z33" i="11"/>
  <c r="Y33" i="11"/>
  <c r="X33" i="11" s="1"/>
  <c r="W33" i="11"/>
  <c r="V33" i="11"/>
  <c r="U33" i="11"/>
  <c r="T33" i="11"/>
  <c r="AA33" i="11" s="1"/>
  <c r="BU33" i="11" s="1"/>
  <c r="S33" i="11"/>
  <c r="R33" i="11"/>
  <c r="BO33" i="11" s="1"/>
  <c r="N33" i="11"/>
  <c r="BQ33" i="11" s="1"/>
  <c r="M33" i="11"/>
  <c r="GJ32" i="11"/>
  <c r="FM32" i="11"/>
  <c r="FL32" i="11"/>
  <c r="FK32" i="11"/>
  <c r="FJ32" i="11"/>
  <c r="FG32" i="11"/>
  <c r="FF32" i="11"/>
  <c r="FE32" i="11"/>
  <c r="DM32" i="11"/>
  <c r="DK32" i="11"/>
  <c r="DI32" i="11"/>
  <c r="CW32" i="11"/>
  <c r="CT32" i="11"/>
  <c r="CQ32" i="11"/>
  <c r="CM32" i="11"/>
  <c r="CI32" i="11"/>
  <c r="CH32" i="11"/>
  <c r="CG32" i="11"/>
  <c r="CF32" i="11"/>
  <c r="CA32" i="11"/>
  <c r="BD32" i="11"/>
  <c r="BC32" i="11"/>
  <c r="BB32" i="11"/>
  <c r="AZ32" i="11"/>
  <c r="BG32" i="11" s="1"/>
  <c r="AY32" i="11"/>
  <c r="AX32" i="11"/>
  <c r="AW32" i="11"/>
  <c r="AS32" i="11" s="1"/>
  <c r="AV32" i="11"/>
  <c r="AU32" i="11"/>
  <c r="AR32" i="11"/>
  <c r="CD32" i="11" s="1"/>
  <c r="AP32" i="11"/>
  <c r="AQ32" i="11" s="1"/>
  <c r="AO32" i="11"/>
  <c r="AN32" i="11"/>
  <c r="AK32" i="11"/>
  <c r="AJ32" i="11"/>
  <c r="AG32" i="11"/>
  <c r="AF32" i="11"/>
  <c r="AH32" i="11" s="1"/>
  <c r="AC32" i="11"/>
  <c r="AB32" i="11"/>
  <c r="Z32" i="11"/>
  <c r="Y32" i="11"/>
  <c r="W32" i="11"/>
  <c r="V32" i="11"/>
  <c r="U32" i="11"/>
  <c r="T32" i="11"/>
  <c r="S32" i="11"/>
  <c r="R32" i="11"/>
  <c r="AA32" i="11" s="1"/>
  <c r="N32" i="11"/>
  <c r="BR32" i="11" s="1"/>
  <c r="M32" i="11"/>
  <c r="GJ31" i="11"/>
  <c r="FN31" i="11"/>
  <c r="FM31" i="11"/>
  <c r="FL31" i="11"/>
  <c r="FK31" i="11"/>
  <c r="FJ31" i="11"/>
  <c r="FG31" i="11"/>
  <c r="FF31" i="11"/>
  <c r="FE31" i="11"/>
  <c r="DR31" i="11"/>
  <c r="DM31" i="11"/>
  <c r="DK31" i="11"/>
  <c r="DI31" i="11"/>
  <c r="CW31" i="11"/>
  <c r="CU31" i="11"/>
  <c r="CT31" i="11"/>
  <c r="CQ31" i="11"/>
  <c r="CN31" i="11"/>
  <c r="CM31" i="11"/>
  <c r="CJ31" i="11"/>
  <c r="CI31" i="11"/>
  <c r="CH31" i="11"/>
  <c r="CG31" i="11"/>
  <c r="CF31" i="11"/>
  <c r="CA31" i="11"/>
  <c r="BS31" i="11"/>
  <c r="BD31" i="11"/>
  <c r="BC31" i="11"/>
  <c r="BB31" i="11"/>
  <c r="AZ31" i="11"/>
  <c r="BG31" i="11" s="1"/>
  <c r="AY31" i="11"/>
  <c r="AX31" i="11"/>
  <c r="AW31" i="11"/>
  <c r="AV31" i="11"/>
  <c r="AU31" i="11"/>
  <c r="AT31" i="11" s="1"/>
  <c r="AR31" i="11"/>
  <c r="AQ31" i="11" s="1"/>
  <c r="AP31" i="11"/>
  <c r="AN31" i="11"/>
  <c r="AO31" i="11" s="1"/>
  <c r="AK31" i="11"/>
  <c r="AJ31" i="11"/>
  <c r="AG31" i="11"/>
  <c r="AF31" i="11"/>
  <c r="AD31" i="11"/>
  <c r="AC31" i="11"/>
  <c r="AB31" i="11"/>
  <c r="Z31" i="11"/>
  <c r="BT31" i="11" s="1"/>
  <c r="Y31" i="11"/>
  <c r="W31" i="11"/>
  <c r="V31" i="11"/>
  <c r="U31" i="11"/>
  <c r="T31" i="11"/>
  <c r="S31" i="11"/>
  <c r="AA31" i="11" s="1"/>
  <c r="R31" i="11"/>
  <c r="N31" i="11"/>
  <c r="BQ31" i="11" s="1"/>
  <c r="M31" i="11"/>
  <c r="GJ30" i="11"/>
  <c r="FN30" i="11"/>
  <c r="FM30" i="11"/>
  <c r="FL30" i="11"/>
  <c r="FK30" i="11"/>
  <c r="FJ30" i="11"/>
  <c r="FG30" i="11"/>
  <c r="FF30" i="11"/>
  <c r="FE30" i="11"/>
  <c r="DR30" i="11"/>
  <c r="DM30" i="11"/>
  <c r="DK30" i="11"/>
  <c r="DI30" i="11"/>
  <c r="CW30" i="11"/>
  <c r="CU30" i="11"/>
  <c r="CT30" i="11"/>
  <c r="CR30" i="11"/>
  <c r="CQ30" i="11"/>
  <c r="CN30" i="11"/>
  <c r="CM30" i="11"/>
  <c r="CI30" i="11"/>
  <c r="CA30" i="11"/>
  <c r="BP30" i="11"/>
  <c r="BG30" i="11"/>
  <c r="BD30" i="11"/>
  <c r="BC30" i="11"/>
  <c r="BB30" i="11"/>
  <c r="AZ30" i="11"/>
  <c r="AY30" i="11"/>
  <c r="AX30" i="11"/>
  <c r="AW30" i="11"/>
  <c r="AV30" i="11"/>
  <c r="AU30" i="11"/>
  <c r="AR30" i="11"/>
  <c r="AT30" i="11" s="1"/>
  <c r="AP30" i="11"/>
  <c r="AO30" i="11" s="1"/>
  <c r="AN30" i="11"/>
  <c r="AK30" i="11"/>
  <c r="AJ30" i="11"/>
  <c r="AG30" i="11"/>
  <c r="AF30" i="11"/>
  <c r="AD30" i="11"/>
  <c r="AC30" i="11"/>
  <c r="AB30" i="11"/>
  <c r="CF30" i="11" s="1"/>
  <c r="Z30" i="11"/>
  <c r="Y30" i="11"/>
  <c r="X30" i="11" s="1"/>
  <c r="W30" i="11"/>
  <c r="V30" i="11"/>
  <c r="U30" i="11"/>
  <c r="T30" i="11"/>
  <c r="S30" i="11"/>
  <c r="R30" i="11"/>
  <c r="AA30" i="11" s="1"/>
  <c r="N30" i="11"/>
  <c r="BT30" i="11" s="1"/>
  <c r="M30" i="11"/>
  <c r="GJ29" i="11"/>
  <c r="FN29" i="11"/>
  <c r="FM29" i="11"/>
  <c r="FL29" i="11"/>
  <c r="FK29" i="11"/>
  <c r="FJ29" i="11"/>
  <c r="FG29" i="11"/>
  <c r="FF29" i="11"/>
  <c r="FE29" i="11"/>
  <c r="DR29" i="11"/>
  <c r="DM29" i="11"/>
  <c r="DK29" i="11"/>
  <c r="DI29" i="11"/>
  <c r="CW29" i="11"/>
  <c r="CT29" i="11"/>
  <c r="CR29" i="11"/>
  <c r="CQ29" i="11"/>
  <c r="CM29" i="11"/>
  <c r="CI29" i="11"/>
  <c r="CA29" i="11"/>
  <c r="BD29" i="11"/>
  <c r="BC29" i="11"/>
  <c r="BB29" i="11"/>
  <c r="AZ29" i="11"/>
  <c r="AY29" i="11"/>
  <c r="AX29" i="11"/>
  <c r="AW29" i="11"/>
  <c r="AV29" i="11"/>
  <c r="AU29" i="11"/>
  <c r="AS29" i="11" s="1"/>
  <c r="AR29" i="11"/>
  <c r="AT29" i="11" s="1"/>
  <c r="AP29" i="11"/>
  <c r="AQ29" i="11" s="1"/>
  <c r="AO29" i="11"/>
  <c r="AN29" i="11"/>
  <c r="AK29" i="11"/>
  <c r="AJ29" i="11"/>
  <c r="AG29" i="11"/>
  <c r="AF29" i="11"/>
  <c r="AC29" i="11"/>
  <c r="AB29" i="11"/>
  <c r="Z29" i="11"/>
  <c r="Y29" i="11"/>
  <c r="W29" i="11"/>
  <c r="V29" i="11"/>
  <c r="U29" i="11"/>
  <c r="T29" i="11"/>
  <c r="S29" i="11"/>
  <c r="R29" i="11"/>
  <c r="N29" i="11"/>
  <c r="M29" i="11"/>
  <c r="GJ28" i="11"/>
  <c r="FN28" i="11"/>
  <c r="FM28" i="11"/>
  <c r="FL28" i="11"/>
  <c r="FK28" i="11"/>
  <c r="FJ28" i="11"/>
  <c r="FH28" i="11"/>
  <c r="FG28" i="11"/>
  <c r="FF28" i="11"/>
  <c r="FE28" i="11"/>
  <c r="DR28" i="11"/>
  <c r="DM28" i="11"/>
  <c r="DK28" i="11"/>
  <c r="DI28" i="11"/>
  <c r="CW28" i="11"/>
  <c r="CT28" i="11"/>
  <c r="CQ28" i="11"/>
  <c r="CN28" i="11"/>
  <c r="CM28" i="11"/>
  <c r="CI28" i="11"/>
  <c r="CA28" i="11"/>
  <c r="BT28" i="11"/>
  <c r="BD28" i="11"/>
  <c r="BC28" i="11"/>
  <c r="BB28" i="11"/>
  <c r="AZ28" i="11"/>
  <c r="BG28" i="11" s="1"/>
  <c r="AY28" i="11"/>
  <c r="AX28" i="11"/>
  <c r="AW28" i="11"/>
  <c r="AV28" i="11"/>
  <c r="AU28" i="11"/>
  <c r="AT28" i="11" s="1"/>
  <c r="AR28" i="11"/>
  <c r="CD28" i="11" s="1"/>
  <c r="AP28" i="11"/>
  <c r="AQ28" i="11" s="1"/>
  <c r="AN28" i="11"/>
  <c r="AK28" i="11"/>
  <c r="AJ28" i="11"/>
  <c r="AG28" i="11"/>
  <c r="AF28" i="11"/>
  <c r="AC28" i="11"/>
  <c r="AB28" i="11"/>
  <c r="Z28" i="11"/>
  <c r="Y28" i="11"/>
  <c r="W28" i="11"/>
  <c r="V28" i="11"/>
  <c r="X28" i="11" s="1"/>
  <c r="U28" i="11"/>
  <c r="AA28" i="11" s="1"/>
  <c r="T28" i="11"/>
  <c r="S28" i="11"/>
  <c r="R28" i="11"/>
  <c r="N28" i="11"/>
  <c r="BR28" i="11" s="1"/>
  <c r="M28" i="11"/>
  <c r="GJ27" i="11"/>
  <c r="FN27" i="11"/>
  <c r="FM27" i="11"/>
  <c r="FL27" i="11" s="1"/>
  <c r="FK27" i="11"/>
  <c r="FJ27" i="11"/>
  <c r="FG27" i="11"/>
  <c r="FF27" i="11"/>
  <c r="FE27" i="11"/>
  <c r="DR27" i="11"/>
  <c r="DM27" i="11"/>
  <c r="DK27" i="11"/>
  <c r="DI27" i="11"/>
  <c r="CW27" i="11"/>
  <c r="CU27" i="11"/>
  <c r="CT27" i="11"/>
  <c r="CS27" i="11" s="1"/>
  <c r="CR27" i="11" s="1"/>
  <c r="CQ27" i="11"/>
  <c r="CM27" i="11"/>
  <c r="CL27" i="11"/>
  <c r="CK27" i="11"/>
  <c r="CJ27" i="11"/>
  <c r="CI27" i="11"/>
  <c r="CF27" i="11"/>
  <c r="CD27" i="11"/>
  <c r="CA27" i="11"/>
  <c r="BP27" i="11"/>
  <c r="BG27" i="11"/>
  <c r="BD27" i="11"/>
  <c r="BC27" i="11"/>
  <c r="BB27" i="11"/>
  <c r="AZ27" i="11"/>
  <c r="AY27" i="11"/>
  <c r="AX27" i="11"/>
  <c r="AW27" i="11"/>
  <c r="AV27" i="11"/>
  <c r="AU27" i="11"/>
  <c r="AR27" i="11"/>
  <c r="AS27" i="11" s="1"/>
  <c r="AQ27" i="11"/>
  <c r="AP27" i="11"/>
  <c r="AO27" i="11"/>
  <c r="AN27" i="11"/>
  <c r="AK27" i="11"/>
  <c r="AJ27" i="11"/>
  <c r="AH27" i="11"/>
  <c r="AG27" i="11"/>
  <c r="AF27" i="11"/>
  <c r="AC27" i="11"/>
  <c r="AB27" i="11"/>
  <c r="Z27" i="11"/>
  <c r="Y27" i="11"/>
  <c r="W27" i="11"/>
  <c r="V27" i="11"/>
  <c r="U27" i="11"/>
  <c r="T27" i="11"/>
  <c r="S27" i="11"/>
  <c r="R27" i="11"/>
  <c r="O27" i="11"/>
  <c r="N27" i="11"/>
  <c r="BT27" i="11" s="1"/>
  <c r="M27" i="11"/>
  <c r="GJ26" i="11"/>
  <c r="FM26" i="11"/>
  <c r="FL26" i="11"/>
  <c r="FK26" i="11"/>
  <c r="FJ26" i="11"/>
  <c r="FG26" i="11"/>
  <c r="FF26" i="11"/>
  <c r="FE26" i="11"/>
  <c r="DR26" i="11"/>
  <c r="DM26" i="11"/>
  <c r="DK26" i="11"/>
  <c r="DI26" i="11"/>
  <c r="CW26" i="11"/>
  <c r="CT26" i="11"/>
  <c r="CS26" i="11"/>
  <c r="CR26" i="11"/>
  <c r="CQ26" i="11"/>
  <c r="CM26" i="11"/>
  <c r="CL26" i="11"/>
  <c r="CK26" i="11"/>
  <c r="CJ26" i="11"/>
  <c r="CI26" i="11"/>
  <c r="CA26" i="11"/>
  <c r="BO26" i="11"/>
  <c r="BG26" i="11"/>
  <c r="BD26" i="11"/>
  <c r="BC26" i="11"/>
  <c r="BB26" i="11"/>
  <c r="AZ26" i="11"/>
  <c r="AY26" i="11"/>
  <c r="AX26" i="11"/>
  <c r="AW26" i="11"/>
  <c r="AV26" i="11"/>
  <c r="AU26" i="11"/>
  <c r="AR26" i="11"/>
  <c r="AT26" i="11" s="1"/>
  <c r="AQ26" i="11"/>
  <c r="AP26" i="11"/>
  <c r="AO26" i="11" s="1"/>
  <c r="AN26" i="11"/>
  <c r="AK26" i="11"/>
  <c r="CO26" i="11" s="1"/>
  <c r="AJ26" i="11"/>
  <c r="AH26" i="11"/>
  <c r="AG26" i="11"/>
  <c r="AF26" i="11"/>
  <c r="AC26" i="11"/>
  <c r="CG26" i="11" s="1"/>
  <c r="AB26" i="11"/>
  <c r="Z26" i="11"/>
  <c r="Y26" i="11"/>
  <c r="W26" i="11"/>
  <c r="V26" i="11"/>
  <c r="X26" i="11" s="1"/>
  <c r="U26" i="11"/>
  <c r="T26" i="11"/>
  <c r="S26" i="11"/>
  <c r="R26" i="11"/>
  <c r="O26" i="11"/>
  <c r="CZ26" i="11" s="1"/>
  <c r="N26" i="11"/>
  <c r="BS26" i="11" s="1"/>
  <c r="M26" i="11"/>
  <c r="GJ25" i="11"/>
  <c r="FM25" i="11"/>
  <c r="FK25" i="11"/>
  <c r="FJ25" i="11"/>
  <c r="FG25" i="11"/>
  <c r="FF25" i="11"/>
  <c r="FE25" i="11"/>
  <c r="DR25" i="11"/>
  <c r="DM25" i="11"/>
  <c r="DK25" i="11"/>
  <c r="DI25" i="11"/>
  <c r="DG25" i="11"/>
  <c r="DA25" i="11"/>
  <c r="CW25" i="11"/>
  <c r="CU25" i="11"/>
  <c r="CT25" i="11"/>
  <c r="CS25" i="11" s="1"/>
  <c r="CR25" i="11"/>
  <c r="CQ25" i="11"/>
  <c r="CM25" i="11"/>
  <c r="CL25" i="11"/>
  <c r="CK25" i="11"/>
  <c r="CJ25" i="11"/>
  <c r="CI25" i="11"/>
  <c r="CF25" i="11"/>
  <c r="CA25" i="11"/>
  <c r="BY25" i="11"/>
  <c r="BR25" i="11"/>
  <c r="BQ25" i="11"/>
  <c r="BD25" i="11"/>
  <c r="BC25" i="11"/>
  <c r="BB25" i="11"/>
  <c r="AZ25" i="11"/>
  <c r="BG25" i="11" s="1"/>
  <c r="AY25" i="11"/>
  <c r="AX25" i="11"/>
  <c r="AW25" i="11"/>
  <c r="AV25" i="11"/>
  <c r="AU25" i="11"/>
  <c r="AS25" i="11"/>
  <c r="AR25" i="11"/>
  <c r="CD25" i="11" s="1"/>
  <c r="AQ25" i="11"/>
  <c r="AP25" i="11"/>
  <c r="AO25" i="11" s="1"/>
  <c r="AN25" i="11"/>
  <c r="AL25" i="11"/>
  <c r="AM25" i="11" s="1"/>
  <c r="AK25" i="11"/>
  <c r="AJ25" i="11"/>
  <c r="AG25" i="11"/>
  <c r="AF25" i="11"/>
  <c r="AD25" i="11"/>
  <c r="AC25" i="11"/>
  <c r="CG25" i="11" s="1"/>
  <c r="AB25" i="11"/>
  <c r="Z25" i="11"/>
  <c r="Y25" i="11"/>
  <c r="W25" i="11"/>
  <c r="V25" i="11"/>
  <c r="U25" i="11"/>
  <c r="T25" i="11"/>
  <c r="S25" i="11"/>
  <c r="R25" i="11"/>
  <c r="AA25" i="11" s="1"/>
  <c r="O25" i="11"/>
  <c r="DE25" i="11" s="1"/>
  <c r="N25" i="11"/>
  <c r="BP25" i="11" s="1"/>
  <c r="M25" i="11"/>
  <c r="GJ24" i="11"/>
  <c r="FO24" i="11"/>
  <c r="FO25" i="11" s="1"/>
  <c r="FN24" i="11"/>
  <c r="FM24" i="11"/>
  <c r="FL24" i="11" s="1"/>
  <c r="FK24" i="11"/>
  <c r="FJ24" i="11"/>
  <c r="FG24" i="11"/>
  <c r="FF24" i="11"/>
  <c r="FE24" i="11"/>
  <c r="DR24" i="11"/>
  <c r="DM24" i="11"/>
  <c r="DK24" i="11"/>
  <c r="DI24" i="11"/>
  <c r="CW24" i="11"/>
  <c r="CT24" i="11"/>
  <c r="CR24" i="11"/>
  <c r="CQ24" i="11"/>
  <c r="CM24" i="11"/>
  <c r="CK24" i="11"/>
  <c r="CJ24" i="11" s="1"/>
  <c r="CI24" i="11"/>
  <c r="CA24" i="11"/>
  <c r="BW24" i="11"/>
  <c r="BP24" i="11"/>
  <c r="BD24" i="11"/>
  <c r="BC24" i="11"/>
  <c r="BG24" i="11" s="1"/>
  <c r="BB24" i="11"/>
  <c r="AZ24" i="11"/>
  <c r="AY24" i="11"/>
  <c r="AX24" i="11"/>
  <c r="AW24" i="11"/>
  <c r="AV24" i="11"/>
  <c r="AU24" i="11"/>
  <c r="AR24" i="11"/>
  <c r="AP24" i="11"/>
  <c r="CU24" i="11" s="1"/>
  <c r="AO24" i="11"/>
  <c r="AN24" i="11"/>
  <c r="AK24" i="11"/>
  <c r="AJ24" i="11"/>
  <c r="AI24" i="11"/>
  <c r="AH24" i="11"/>
  <c r="AG24" i="11"/>
  <c r="AF24" i="11"/>
  <c r="AC24" i="11"/>
  <c r="AB24" i="11"/>
  <c r="CF24" i="11" s="1"/>
  <c r="Z24" i="11"/>
  <c r="Y24" i="11"/>
  <c r="W24" i="11"/>
  <c r="V24" i="11"/>
  <c r="U24" i="11"/>
  <c r="T24" i="11"/>
  <c r="S24" i="11"/>
  <c r="R24" i="11"/>
  <c r="O24" i="11"/>
  <c r="N24" i="11"/>
  <c r="BT24" i="11" s="1"/>
  <c r="M24" i="11"/>
  <c r="GJ23" i="11"/>
  <c r="FN23" i="11"/>
  <c r="FM23" i="11"/>
  <c r="FL23" i="11"/>
  <c r="FK23" i="11"/>
  <c r="FJ23" i="11"/>
  <c r="FI23" i="11"/>
  <c r="FH23" i="11"/>
  <c r="FG23" i="11"/>
  <c r="FF23" i="11" s="1"/>
  <c r="FE23" i="11"/>
  <c r="FD23" i="11" s="1"/>
  <c r="DR23" i="11"/>
  <c r="DM23" i="11"/>
  <c r="DK23" i="11"/>
  <c r="DI23" i="11"/>
  <c r="CW23" i="11"/>
  <c r="CT23" i="11"/>
  <c r="CR23" i="11"/>
  <c r="CQ23" i="11"/>
  <c r="CM23" i="11"/>
  <c r="CI23" i="11"/>
  <c r="CG23" i="11"/>
  <c r="CA23" i="11"/>
  <c r="BD23" i="11"/>
  <c r="BC23" i="11"/>
  <c r="BB23" i="11"/>
  <c r="AZ23" i="11"/>
  <c r="BG23" i="11" s="1"/>
  <c r="AY23" i="11"/>
  <c r="AX23" i="11"/>
  <c r="AW23" i="11"/>
  <c r="AV23" i="11"/>
  <c r="AU23" i="11"/>
  <c r="AT23" i="11"/>
  <c r="AS23" i="11"/>
  <c r="AR23" i="11"/>
  <c r="CD23" i="11" s="1"/>
  <c r="AP23" i="11"/>
  <c r="AN23" i="11"/>
  <c r="AM23" i="11"/>
  <c r="AL23" i="11"/>
  <c r="AK23" i="11"/>
  <c r="AJ23" i="11"/>
  <c r="AG23" i="11"/>
  <c r="AF23" i="11"/>
  <c r="AE23" i="11" s="1"/>
  <c r="AD23" i="11"/>
  <c r="AC23" i="11"/>
  <c r="AB23" i="11"/>
  <c r="CF23" i="11" s="1"/>
  <c r="CE23" i="11" s="1"/>
  <c r="Z23" i="11"/>
  <c r="BT23" i="11" s="1"/>
  <c r="Y23" i="11"/>
  <c r="X23" i="11" s="1"/>
  <c r="W23" i="11"/>
  <c r="V23" i="11"/>
  <c r="U23" i="11"/>
  <c r="T23" i="11"/>
  <c r="S23" i="11"/>
  <c r="R23" i="11"/>
  <c r="N23" i="11"/>
  <c r="BR23" i="11" s="1"/>
  <c r="M23" i="11"/>
  <c r="GJ22" i="11"/>
  <c r="FN22" i="11"/>
  <c r="FM22" i="11"/>
  <c r="FL22" i="11"/>
  <c r="FK22" i="11"/>
  <c r="FJ22" i="11"/>
  <c r="FH22" i="11"/>
  <c r="FG22" i="11"/>
  <c r="FF22" i="11"/>
  <c r="FD22" i="11" s="1"/>
  <c r="FE22" i="11"/>
  <c r="DR22" i="11"/>
  <c r="DM22" i="11"/>
  <c r="DK22" i="11"/>
  <c r="DI22" i="11"/>
  <c r="CW22" i="11"/>
  <c r="CT22" i="11"/>
  <c r="CS22" i="11" s="1"/>
  <c r="CR22" i="11" s="1"/>
  <c r="CQ22" i="11"/>
  <c r="CM22" i="11"/>
  <c r="CK22" i="11"/>
  <c r="CJ22" i="11" s="1"/>
  <c r="CI22" i="11"/>
  <c r="CA22" i="11"/>
  <c r="BD22" i="11"/>
  <c r="BC22" i="11"/>
  <c r="BG22" i="11" s="1"/>
  <c r="BB22" i="11"/>
  <c r="AZ22" i="11"/>
  <c r="AY22" i="11"/>
  <c r="AX22" i="11"/>
  <c r="AW22" i="11"/>
  <c r="AV22" i="11"/>
  <c r="AU22" i="11"/>
  <c r="AT22" i="11" s="1"/>
  <c r="AR22" i="11"/>
  <c r="AP22" i="11"/>
  <c r="AO22" i="11"/>
  <c r="AN22" i="11"/>
  <c r="AK22" i="11"/>
  <c r="CO22" i="11" s="1"/>
  <c r="AJ22" i="11"/>
  <c r="AI22" i="11"/>
  <c r="AH22" i="11"/>
  <c r="AG22" i="11"/>
  <c r="AF22" i="11"/>
  <c r="AC22" i="11"/>
  <c r="AB22" i="11"/>
  <c r="CF22" i="11" s="1"/>
  <c r="Z22" i="11"/>
  <c r="Y22" i="11"/>
  <c r="W22" i="11"/>
  <c r="V22" i="11"/>
  <c r="U22" i="11"/>
  <c r="T22" i="11"/>
  <c r="S22" i="11"/>
  <c r="R22" i="11"/>
  <c r="N22" i="11"/>
  <c r="BP22" i="11" s="1"/>
  <c r="M22" i="11"/>
  <c r="GJ21" i="11"/>
  <c r="FN21" i="11"/>
  <c r="FM21" i="11"/>
  <c r="FL21" i="11"/>
  <c r="FK21" i="11"/>
  <c r="FJ21" i="11"/>
  <c r="FH21" i="11"/>
  <c r="FG21" i="11"/>
  <c r="FF21" i="11"/>
  <c r="FE21" i="11"/>
  <c r="FD21" i="11"/>
  <c r="DR21" i="11"/>
  <c r="DM21" i="11"/>
  <c r="DK21" i="11"/>
  <c r="DI21" i="11"/>
  <c r="CW21" i="11"/>
  <c r="CT21" i="11"/>
  <c r="CS21" i="11" s="1"/>
  <c r="CQ21" i="11"/>
  <c r="CM21" i="11"/>
  <c r="CK21" i="11"/>
  <c r="CI21" i="11"/>
  <c r="CA21" i="11"/>
  <c r="BD21" i="11"/>
  <c r="BC21" i="11"/>
  <c r="BB21" i="11"/>
  <c r="AZ21" i="11"/>
  <c r="AY21" i="11"/>
  <c r="AX21" i="11"/>
  <c r="AW21" i="11"/>
  <c r="AV21" i="11"/>
  <c r="AU21" i="11"/>
  <c r="AT21" i="11"/>
  <c r="AR21" i="11"/>
  <c r="AS21" i="11" s="1"/>
  <c r="AP21" i="11"/>
  <c r="AQ21" i="11" s="1"/>
  <c r="AO21" i="11"/>
  <c r="AN21" i="11"/>
  <c r="CR21" i="11" s="1"/>
  <c r="AK21" i="11"/>
  <c r="AJ21" i="11"/>
  <c r="AI21" i="11"/>
  <c r="AH21" i="11"/>
  <c r="AG21" i="11"/>
  <c r="AF21" i="11"/>
  <c r="CJ21" i="11" s="1"/>
  <c r="AC21" i="11"/>
  <c r="AB21" i="11"/>
  <c r="CF21" i="11" s="1"/>
  <c r="CE21" i="11" s="1"/>
  <c r="CD21" i="11" s="1"/>
  <c r="Z21" i="11"/>
  <c r="Y21" i="11"/>
  <c r="W21" i="11"/>
  <c r="V21" i="11"/>
  <c r="U21" i="11"/>
  <c r="T21" i="11"/>
  <c r="S21" i="11"/>
  <c r="R21" i="11"/>
  <c r="N21" i="11"/>
  <c r="M21" i="11"/>
  <c r="GJ20" i="11"/>
  <c r="FN20" i="11"/>
  <c r="FM20" i="11"/>
  <c r="FL20" i="11"/>
  <c r="FK20" i="11"/>
  <c r="FJ20" i="11"/>
  <c r="FH20" i="11"/>
  <c r="FG20" i="11"/>
  <c r="FF20" i="11"/>
  <c r="FE20" i="11"/>
  <c r="FD20" i="11"/>
  <c r="DR20" i="11"/>
  <c r="DM20" i="11"/>
  <c r="DK20" i="11"/>
  <c r="DI20" i="11"/>
  <c r="DE20" i="11"/>
  <c r="CY20" i="11"/>
  <c r="CW20" i="11"/>
  <c r="CT20" i="11"/>
  <c r="CQ20" i="11"/>
  <c r="CP20" i="11"/>
  <c r="CM20" i="11"/>
  <c r="CL20" i="11"/>
  <c r="CK20" i="11"/>
  <c r="CJ20" i="11"/>
  <c r="CI20" i="11"/>
  <c r="CB20" i="11"/>
  <c r="CA20" i="11"/>
  <c r="BD20" i="11"/>
  <c r="BC20" i="11"/>
  <c r="BB20" i="11"/>
  <c r="AZ20" i="11"/>
  <c r="BG20" i="11" s="1"/>
  <c r="AY20" i="11"/>
  <c r="AX20" i="11"/>
  <c r="AW20" i="11"/>
  <c r="AV20" i="11"/>
  <c r="AU20" i="11"/>
  <c r="AT20" i="11"/>
  <c r="AS20" i="11"/>
  <c r="AR20" i="11"/>
  <c r="AQ20" i="11" s="1"/>
  <c r="AP20" i="11"/>
  <c r="CU20" i="11" s="1"/>
  <c r="AN20" i="11"/>
  <c r="AO20" i="11" s="1"/>
  <c r="AM20" i="11"/>
  <c r="AL20" i="11"/>
  <c r="AK20" i="11"/>
  <c r="AJ20" i="11"/>
  <c r="AG20" i="11"/>
  <c r="AF20" i="11"/>
  <c r="AD20" i="11"/>
  <c r="AC20" i="11"/>
  <c r="CG20" i="11" s="1"/>
  <c r="AB20" i="11"/>
  <c r="CF20" i="11" s="1"/>
  <c r="CE20" i="11" s="1"/>
  <c r="CD20" i="11" s="1"/>
  <c r="Z20" i="11"/>
  <c r="Y20" i="11"/>
  <c r="X20" i="11" s="1"/>
  <c r="W20" i="11"/>
  <c r="V20" i="11"/>
  <c r="U20" i="11"/>
  <c r="T20" i="11"/>
  <c r="S20" i="11"/>
  <c r="R20" i="11"/>
  <c r="AA20" i="11" s="1"/>
  <c r="O20" i="11"/>
  <c r="DC20" i="11" s="1"/>
  <c r="N20" i="11"/>
  <c r="M20" i="11"/>
  <c r="GJ19" i="11"/>
  <c r="FN19" i="11"/>
  <c r="FM19" i="11"/>
  <c r="FL19" i="11"/>
  <c r="FK19" i="11"/>
  <c r="FJ19" i="11"/>
  <c r="FH19" i="11"/>
  <c r="FG19" i="11"/>
  <c r="FF19" i="11"/>
  <c r="FE19" i="11"/>
  <c r="DR19" i="11"/>
  <c r="DM19" i="11"/>
  <c r="DK19" i="11"/>
  <c r="DI19" i="11"/>
  <c r="CW19" i="11"/>
  <c r="CT19" i="11"/>
  <c r="CQ19" i="11"/>
  <c r="CN19" i="11"/>
  <c r="CM19" i="11"/>
  <c r="CI19" i="11"/>
  <c r="CF19" i="11"/>
  <c r="CA19" i="11"/>
  <c r="BR19" i="11"/>
  <c r="BQ19" i="11" s="1"/>
  <c r="BG19" i="11"/>
  <c r="BD19" i="11"/>
  <c r="BC19" i="11"/>
  <c r="BB19" i="11"/>
  <c r="AZ19" i="11"/>
  <c r="AY19" i="11"/>
  <c r="AX19" i="11"/>
  <c r="AW19" i="11"/>
  <c r="AV19" i="11"/>
  <c r="AU19" i="11"/>
  <c r="AR19" i="11"/>
  <c r="AQ19" i="11"/>
  <c r="AP19" i="11"/>
  <c r="AN19" i="11"/>
  <c r="AO19" i="11" s="1"/>
  <c r="AL19" i="11"/>
  <c r="AK19" i="11"/>
  <c r="AJ19" i="11"/>
  <c r="AM19" i="11" s="1"/>
  <c r="AG19" i="11"/>
  <c r="CK19" i="11" s="1"/>
  <c r="CJ19" i="11" s="1"/>
  <c r="AF19" i="11"/>
  <c r="AD19" i="11"/>
  <c r="AC19" i="11"/>
  <c r="AB19" i="11"/>
  <c r="Z19" i="11"/>
  <c r="Y19" i="11"/>
  <c r="X19" i="11" s="1"/>
  <c r="W19" i="11"/>
  <c r="V19" i="11"/>
  <c r="U19" i="11"/>
  <c r="T19" i="11"/>
  <c r="S19" i="11"/>
  <c r="R19" i="11"/>
  <c r="AA19" i="11" s="1"/>
  <c r="N19" i="11"/>
  <c r="M19" i="11"/>
  <c r="GJ18" i="11"/>
  <c r="FN18" i="11"/>
  <c r="FM18" i="11"/>
  <c r="FL18" i="11"/>
  <c r="FK18" i="11"/>
  <c r="FJ18" i="11"/>
  <c r="FH18" i="11"/>
  <c r="FG18" i="11"/>
  <c r="FF18" i="11"/>
  <c r="FE18" i="11"/>
  <c r="FD18" i="11" s="1"/>
  <c r="DR18" i="11"/>
  <c r="DM18" i="11"/>
  <c r="DK18" i="11"/>
  <c r="DI18" i="11"/>
  <c r="CW18" i="11"/>
  <c r="CT18" i="11"/>
  <c r="CQ18" i="11"/>
  <c r="CN18" i="11"/>
  <c r="CM18" i="11"/>
  <c r="CI18" i="11"/>
  <c r="CF18" i="11"/>
  <c r="CA18" i="11"/>
  <c r="BR18" i="11"/>
  <c r="BG18" i="11"/>
  <c r="BD18" i="11"/>
  <c r="BC18" i="11"/>
  <c r="BB18" i="11"/>
  <c r="AZ18" i="11"/>
  <c r="AY18" i="11"/>
  <c r="AX18" i="11"/>
  <c r="AW18" i="11"/>
  <c r="AV18" i="11"/>
  <c r="AU18" i="11"/>
  <c r="AS18" i="11"/>
  <c r="CE18" i="11" s="1"/>
  <c r="AR18" i="11"/>
  <c r="CD18" i="11" s="1"/>
  <c r="AQ18" i="11"/>
  <c r="AP18" i="11"/>
  <c r="AO18" i="11"/>
  <c r="AN18" i="11"/>
  <c r="AK18" i="11"/>
  <c r="CO18" i="11" s="1"/>
  <c r="AJ18" i="11"/>
  <c r="AG18" i="11"/>
  <c r="CK18" i="11" s="1"/>
  <c r="AF18" i="11"/>
  <c r="AD18" i="11"/>
  <c r="AC18" i="11"/>
  <c r="AB18" i="11"/>
  <c r="Z18" i="11"/>
  <c r="Y18" i="11"/>
  <c r="X18" i="11" s="1"/>
  <c r="W18" i="11"/>
  <c r="V18" i="11"/>
  <c r="U18" i="11"/>
  <c r="T18" i="11"/>
  <c r="S18" i="11"/>
  <c r="R18" i="11"/>
  <c r="AA18" i="11" s="1"/>
  <c r="N18" i="11"/>
  <c r="BP18" i="11" s="1"/>
  <c r="M18" i="11"/>
  <c r="GJ17" i="11"/>
  <c r="FN17" i="11"/>
  <c r="FM17" i="11"/>
  <c r="FL17" i="11"/>
  <c r="FK17" i="11"/>
  <c r="FJ17" i="11"/>
  <c r="FH17" i="11"/>
  <c r="FG17" i="11"/>
  <c r="FF17" i="11"/>
  <c r="FE17" i="11"/>
  <c r="DR17" i="11"/>
  <c r="DM17" i="11"/>
  <c r="DK17" i="11"/>
  <c r="DI17" i="11"/>
  <c r="DG17" i="11"/>
  <c r="CW17" i="11"/>
  <c r="CT17" i="11"/>
  <c r="CQ17" i="11"/>
  <c r="CM17" i="11"/>
  <c r="CI17" i="11"/>
  <c r="CG17" i="11"/>
  <c r="CA17" i="11"/>
  <c r="BW17" i="11"/>
  <c r="BP17" i="11"/>
  <c r="BD17" i="11"/>
  <c r="BC17" i="11"/>
  <c r="BB17" i="11"/>
  <c r="AZ17" i="11"/>
  <c r="BG17" i="11" s="1"/>
  <c r="AY17" i="11"/>
  <c r="AX17" i="11"/>
  <c r="AW17" i="11"/>
  <c r="AS17" i="11" s="1"/>
  <c r="AV17" i="11"/>
  <c r="AU17" i="11"/>
  <c r="AR17" i="11"/>
  <c r="AP17" i="11"/>
  <c r="AN17" i="11"/>
  <c r="CR17" i="11" s="1"/>
  <c r="AK17" i="11"/>
  <c r="CO17" i="11" s="1"/>
  <c r="AJ17" i="11"/>
  <c r="AH17" i="11"/>
  <c r="CL17" i="11" s="1"/>
  <c r="AG17" i="11"/>
  <c r="CK17" i="11" s="1"/>
  <c r="AF17" i="11"/>
  <c r="CJ17" i="11" s="1"/>
  <c r="AC17" i="11"/>
  <c r="AB17" i="11"/>
  <c r="Z17" i="11"/>
  <c r="Y17" i="11"/>
  <c r="W17" i="11"/>
  <c r="V17" i="11"/>
  <c r="X17" i="11" s="1"/>
  <c r="U17" i="11"/>
  <c r="T17" i="11"/>
  <c r="S17" i="11"/>
  <c r="R17" i="11"/>
  <c r="O17" i="11"/>
  <c r="N17" i="11"/>
  <c r="BT17" i="11" s="1"/>
  <c r="M17" i="11"/>
  <c r="GJ16" i="11"/>
  <c r="FN16" i="11"/>
  <c r="FM16" i="11"/>
  <c r="FL16" i="11"/>
  <c r="FK16" i="11"/>
  <c r="FJ16" i="11"/>
  <c r="FH16" i="11"/>
  <c r="FG16" i="11"/>
  <c r="FF16" i="11"/>
  <c r="FE16" i="11"/>
  <c r="FD16" i="11" s="1"/>
  <c r="DM16" i="11"/>
  <c r="DK16" i="11"/>
  <c r="DI16" i="11"/>
  <c r="CW16" i="11"/>
  <c r="CT16" i="11"/>
  <c r="CQ16" i="11"/>
  <c r="CN16" i="11"/>
  <c r="CM16" i="11"/>
  <c r="CI16" i="11"/>
  <c r="CH16" i="11"/>
  <c r="CG16" i="11"/>
  <c r="CF16" i="11"/>
  <c r="CA16" i="11"/>
  <c r="BR16" i="11"/>
  <c r="BG16" i="11"/>
  <c r="BD16" i="11"/>
  <c r="BC16" i="11"/>
  <c r="BB16" i="11"/>
  <c r="AZ16" i="11"/>
  <c r="AY16" i="11"/>
  <c r="AX16" i="11"/>
  <c r="AW16" i="11"/>
  <c r="AV16" i="11"/>
  <c r="AU16" i="11"/>
  <c r="AS16" i="11"/>
  <c r="AR16" i="11"/>
  <c r="AT16" i="11" s="1"/>
  <c r="AQ16" i="11"/>
  <c r="AP16" i="11"/>
  <c r="AO16" i="11"/>
  <c r="AN16" i="11"/>
  <c r="CR16" i="11" s="1"/>
  <c r="AM16" i="11"/>
  <c r="AL16" i="11"/>
  <c r="AK16" i="11"/>
  <c r="AJ16" i="11"/>
  <c r="AG16" i="11"/>
  <c r="AF16" i="11"/>
  <c r="AC16" i="11"/>
  <c r="AB16" i="11"/>
  <c r="AD16" i="11" s="1"/>
  <c r="Z16" i="11"/>
  <c r="Y16" i="11"/>
  <c r="X16" i="11" s="1"/>
  <c r="W16" i="11"/>
  <c r="V16" i="11"/>
  <c r="U16" i="11"/>
  <c r="T16" i="11"/>
  <c r="BQ16" i="11" s="1"/>
  <c r="S16" i="11"/>
  <c r="R16" i="11"/>
  <c r="AA16" i="11" s="1"/>
  <c r="N16" i="11"/>
  <c r="BP16" i="11" s="1"/>
  <c r="M16" i="11"/>
  <c r="GJ15" i="11"/>
  <c r="FN15" i="11"/>
  <c r="FM15" i="11"/>
  <c r="FL15" i="11"/>
  <c r="FK15" i="11"/>
  <c r="FJ15" i="11"/>
  <c r="FG15" i="11"/>
  <c r="FF15" i="11"/>
  <c r="FE15" i="11"/>
  <c r="FD15" i="11" s="1"/>
  <c r="DR15" i="11"/>
  <c r="DM15" i="11"/>
  <c r="DK15" i="11"/>
  <c r="DI15" i="11"/>
  <c r="CW15" i="11"/>
  <c r="CT15" i="11"/>
  <c r="CQ15" i="11"/>
  <c r="CM15" i="11"/>
  <c r="CI15" i="11"/>
  <c r="CH15" i="11"/>
  <c r="CG15" i="11"/>
  <c r="CF15" i="11"/>
  <c r="CA15" i="11"/>
  <c r="BQ15" i="11"/>
  <c r="BD15" i="11"/>
  <c r="BC15" i="11"/>
  <c r="BB15" i="11"/>
  <c r="BG15" i="11" s="1"/>
  <c r="AZ15" i="11"/>
  <c r="AY15" i="11"/>
  <c r="AX15" i="11"/>
  <c r="AW15" i="11"/>
  <c r="AS15" i="11" s="1"/>
  <c r="AV15" i="11"/>
  <c r="AU15" i="11"/>
  <c r="AR15" i="11"/>
  <c r="AT15" i="11" s="1"/>
  <c r="AQ15" i="11"/>
  <c r="AP15" i="11"/>
  <c r="AO15" i="11"/>
  <c r="AN15" i="11"/>
  <c r="AK15" i="11"/>
  <c r="AJ15" i="11"/>
  <c r="AG15" i="11"/>
  <c r="AF15" i="11"/>
  <c r="AD15" i="11"/>
  <c r="AC15" i="11"/>
  <c r="AB15" i="11"/>
  <c r="Z15" i="11"/>
  <c r="Y15" i="11"/>
  <c r="W15" i="11"/>
  <c r="V15" i="11"/>
  <c r="U15" i="11"/>
  <c r="T15" i="11"/>
  <c r="S15" i="11"/>
  <c r="R15" i="11"/>
  <c r="AA15" i="11" s="1"/>
  <c r="N15" i="11"/>
  <c r="BU15" i="11" s="1"/>
  <c r="M15" i="11"/>
  <c r="GJ14" i="11"/>
  <c r="FN14" i="11"/>
  <c r="FM14" i="11"/>
  <c r="FL14" i="11"/>
  <c r="FK14" i="11"/>
  <c r="FJ14" i="11"/>
  <c r="FH14" i="11"/>
  <c r="FG14" i="11"/>
  <c r="FF14" i="11"/>
  <c r="FE14" i="11"/>
  <c r="FD14" i="11" s="1"/>
  <c r="DR14" i="11"/>
  <c r="DM14" i="11"/>
  <c r="DK14" i="11"/>
  <c r="DI14" i="11"/>
  <c r="CW14" i="11"/>
  <c r="CT14" i="11"/>
  <c r="CQ14" i="11"/>
  <c r="CM14" i="11"/>
  <c r="CI14" i="11"/>
  <c r="CH14" i="11"/>
  <c r="CG14" i="11"/>
  <c r="CF14" i="11"/>
  <c r="CB14" i="11"/>
  <c r="CA14" i="11"/>
  <c r="BV14" i="11"/>
  <c r="BS14" i="11"/>
  <c r="BR14" i="11"/>
  <c r="BD14" i="11"/>
  <c r="BC14" i="11"/>
  <c r="BB14" i="11"/>
  <c r="AZ14" i="11"/>
  <c r="BG14" i="11" s="1"/>
  <c r="AY14" i="11"/>
  <c r="AX14" i="11"/>
  <c r="AW14" i="11"/>
  <c r="AV14" i="11"/>
  <c r="AU14" i="11"/>
  <c r="AT14" i="11"/>
  <c r="AR14" i="11"/>
  <c r="AS14" i="11" s="1"/>
  <c r="AP14" i="11"/>
  <c r="CU14" i="11" s="1"/>
  <c r="AN14" i="11"/>
  <c r="AO14" i="11" s="1"/>
  <c r="AK14" i="11"/>
  <c r="AJ14" i="11"/>
  <c r="CN14" i="11" s="1"/>
  <c r="AG14" i="11"/>
  <c r="AF14" i="11"/>
  <c r="AC14" i="11"/>
  <c r="AB14" i="11"/>
  <c r="Z14" i="11"/>
  <c r="Y14" i="11"/>
  <c r="X14" i="11" s="1"/>
  <c r="W14" i="11"/>
  <c r="V14" i="11"/>
  <c r="U14" i="11"/>
  <c r="T14" i="11"/>
  <c r="BQ14" i="11" s="1"/>
  <c r="S14" i="11"/>
  <c r="AA14" i="11" s="1"/>
  <c r="R14" i="11"/>
  <c r="BO14" i="11" s="1"/>
  <c r="O14" i="11"/>
  <c r="CZ14" i="11" s="1"/>
  <c r="N14" i="11"/>
  <c r="M14" i="11"/>
  <c r="GB13" i="11"/>
  <c r="FN13" i="11"/>
  <c r="FM13" i="11"/>
  <c r="FL13" i="11"/>
  <c r="FK13" i="11"/>
  <c r="FJ13" i="11"/>
  <c r="FH13" i="11"/>
  <c r="FG13" i="11"/>
  <c r="FD13" i="11" s="1"/>
  <c r="FF13" i="11"/>
  <c r="FE13" i="11"/>
  <c r="DR13" i="11"/>
  <c r="DM13" i="11"/>
  <c r="DK13" i="11"/>
  <c r="DI13" i="11"/>
  <c r="CW13" i="11"/>
  <c r="CT13" i="11"/>
  <c r="CQ13" i="11"/>
  <c r="CM13" i="11"/>
  <c r="CL13" i="11" s="1"/>
  <c r="CK13" i="11"/>
  <c r="CI13" i="11"/>
  <c r="CH13" i="11"/>
  <c r="CG13" i="11"/>
  <c r="CF13" i="11"/>
  <c r="CA13" i="11"/>
  <c r="BD13" i="11"/>
  <c r="BC13" i="11"/>
  <c r="BB13" i="11"/>
  <c r="AZ13" i="11"/>
  <c r="BG13" i="11" s="1"/>
  <c r="AX13" i="11"/>
  <c r="AW13" i="11"/>
  <c r="AV13" i="11"/>
  <c r="AU13" i="11"/>
  <c r="AR13" i="11"/>
  <c r="AP13" i="11"/>
  <c r="AO13" i="11" s="1"/>
  <c r="AN13" i="11"/>
  <c r="CR13" i="11" s="1"/>
  <c r="AK13" i="11"/>
  <c r="AJ13" i="11"/>
  <c r="AI13" i="11"/>
  <c r="AH13" i="11"/>
  <c r="AG13" i="11"/>
  <c r="AF13" i="11"/>
  <c r="AC13" i="11"/>
  <c r="AB13" i="11"/>
  <c r="Z13" i="11"/>
  <c r="Y13" i="11"/>
  <c r="W13" i="11"/>
  <c r="V13" i="11"/>
  <c r="U13" i="11"/>
  <c r="T13" i="11"/>
  <c r="AA13" i="11" s="1"/>
  <c r="S13" i="11"/>
  <c r="R13" i="11"/>
  <c r="N13" i="11"/>
  <c r="BP13" i="11" s="1"/>
  <c r="M13" i="11"/>
  <c r="GJ12" i="11" s="1"/>
  <c r="GB12" i="11"/>
  <c r="FN12" i="11"/>
  <c r="FM12" i="11"/>
  <c r="FL12" i="11"/>
  <c r="FK12" i="11"/>
  <c r="FD12" i="11" s="1"/>
  <c r="FJ12" i="11"/>
  <c r="FH12" i="11"/>
  <c r="FG12" i="11"/>
  <c r="FF12" i="11"/>
  <c r="FE12" i="11"/>
  <c r="DR12" i="11"/>
  <c r="DM12" i="11"/>
  <c r="DK12" i="11"/>
  <c r="DI12" i="11"/>
  <c r="CW12" i="11"/>
  <c r="CU12" i="11"/>
  <c r="CT12" i="11"/>
  <c r="CS12" i="11"/>
  <c r="CR12" i="11"/>
  <c r="CQ12" i="11"/>
  <c r="CM12" i="11"/>
  <c r="CL12" i="11"/>
  <c r="CK12" i="11"/>
  <c r="CJ12" i="11"/>
  <c r="CI12" i="11"/>
  <c r="CH12" i="11"/>
  <c r="CG12" i="11"/>
  <c r="CF12" i="11"/>
  <c r="CA12" i="11"/>
  <c r="BP12" i="11"/>
  <c r="BO12" i="11"/>
  <c r="BD12" i="11"/>
  <c r="BC12" i="11"/>
  <c r="BB12" i="11"/>
  <c r="AZ12" i="11"/>
  <c r="BG12" i="11" s="1"/>
  <c r="AX12" i="11"/>
  <c r="AW12" i="11"/>
  <c r="AV12" i="11"/>
  <c r="AU12" i="11"/>
  <c r="AT12" i="11"/>
  <c r="AS12" i="11"/>
  <c r="AR12" i="11"/>
  <c r="AQ12" i="11" s="1"/>
  <c r="AP12" i="11"/>
  <c r="AN12" i="11"/>
  <c r="AK12" i="11"/>
  <c r="AJ12" i="11"/>
  <c r="AG12" i="11"/>
  <c r="AF12" i="11"/>
  <c r="AC12" i="11"/>
  <c r="AB12" i="11"/>
  <c r="Z12" i="11"/>
  <c r="Y12" i="11"/>
  <c r="W12" i="11"/>
  <c r="V12" i="11"/>
  <c r="U12" i="11"/>
  <c r="T12" i="11"/>
  <c r="S12" i="11"/>
  <c r="R12" i="11"/>
  <c r="AA12" i="11" s="1"/>
  <c r="O12" i="11"/>
  <c r="DC12" i="11" s="1"/>
  <c r="N12" i="11"/>
  <c r="BS12" i="11" s="1"/>
  <c r="M12" i="11"/>
  <c r="GB11" i="11"/>
  <c r="FN11" i="11"/>
  <c r="FM11" i="11"/>
  <c r="FL11" i="11"/>
  <c r="FK11" i="11"/>
  <c r="FJ11" i="11"/>
  <c r="FH11" i="11"/>
  <c r="FG11" i="11"/>
  <c r="FF11" i="11"/>
  <c r="FE11" i="11"/>
  <c r="FD11" i="11" s="1"/>
  <c r="DR11" i="11"/>
  <c r="DM11" i="11"/>
  <c r="DK11" i="11"/>
  <c r="DI11" i="11"/>
  <c r="CW11" i="11"/>
  <c r="CT11" i="11"/>
  <c r="CQ11" i="11"/>
  <c r="CM11" i="11"/>
  <c r="CK11" i="11"/>
  <c r="CJ11" i="11"/>
  <c r="CI11" i="11"/>
  <c r="CD11" i="11"/>
  <c r="CA11" i="11"/>
  <c r="BP11" i="11"/>
  <c r="BD11" i="11"/>
  <c r="BC11" i="11"/>
  <c r="BB11" i="11"/>
  <c r="AZ11" i="11"/>
  <c r="BG11" i="11" s="1"/>
  <c r="AX11" i="11"/>
  <c r="AW11" i="11"/>
  <c r="AV11" i="11"/>
  <c r="AU11" i="11"/>
  <c r="AS11" i="11" s="1"/>
  <c r="AT11" i="11"/>
  <c r="AR11" i="11"/>
  <c r="AP11" i="11"/>
  <c r="AQ11" i="11" s="1"/>
  <c r="AN11" i="11"/>
  <c r="AO11" i="11" s="1"/>
  <c r="AK11" i="11"/>
  <c r="AJ11" i="11"/>
  <c r="AH11" i="11"/>
  <c r="AI11" i="11" s="1"/>
  <c r="AG11" i="11"/>
  <c r="AF11" i="11"/>
  <c r="AC11" i="11"/>
  <c r="AB11" i="11"/>
  <c r="AA11" i="11"/>
  <c r="Z11" i="11"/>
  <c r="Y11" i="11"/>
  <c r="W11" i="11"/>
  <c r="V11" i="11"/>
  <c r="U11" i="11"/>
  <c r="T11" i="11"/>
  <c r="S11" i="11"/>
  <c r="R11" i="11"/>
  <c r="N11" i="11"/>
  <c r="BT11" i="11" s="1"/>
  <c r="M11" i="11"/>
  <c r="GJ10" i="11" s="1"/>
  <c r="GB10" i="11"/>
  <c r="FN10" i="11"/>
  <c r="FM10" i="11"/>
  <c r="FL10" i="11"/>
  <c r="FK10" i="11"/>
  <c r="FJ10" i="11"/>
  <c r="FD10" i="11" s="1"/>
  <c r="FH10" i="11"/>
  <c r="FG10" i="11"/>
  <c r="FF10" i="11"/>
  <c r="FE10" i="11"/>
  <c r="DR10" i="11"/>
  <c r="DM10" i="11"/>
  <c r="DK10" i="11"/>
  <c r="DI10" i="11"/>
  <c r="DE10" i="11"/>
  <c r="DD10" i="11"/>
  <c r="CY10" i="11"/>
  <c r="CX10" i="11"/>
  <c r="CW10" i="11"/>
  <c r="CT10" i="11"/>
  <c r="CQ10" i="11"/>
  <c r="CM10" i="11"/>
  <c r="CI10" i="11"/>
  <c r="CA10" i="11"/>
  <c r="BT10" i="11"/>
  <c r="BS10" i="11"/>
  <c r="BG10" i="11"/>
  <c r="BD10" i="11"/>
  <c r="BC10" i="11"/>
  <c r="BB10" i="11"/>
  <c r="AZ10" i="11"/>
  <c r="AX10" i="11"/>
  <c r="AW10" i="11"/>
  <c r="AV10" i="11"/>
  <c r="AU10" i="11"/>
  <c r="AR10" i="11"/>
  <c r="AT10" i="11" s="1"/>
  <c r="AQ10" i="11"/>
  <c r="AP10" i="11"/>
  <c r="CU10" i="11" s="1"/>
  <c r="AN10" i="11"/>
  <c r="AO10" i="11" s="1"/>
  <c r="AK10" i="11"/>
  <c r="AJ10" i="11"/>
  <c r="AG10" i="11"/>
  <c r="AF10" i="11"/>
  <c r="AH10" i="11" s="1"/>
  <c r="AD10" i="11"/>
  <c r="CH10" i="11" s="1"/>
  <c r="AC10" i="11"/>
  <c r="AB10" i="11"/>
  <c r="Z10" i="11"/>
  <c r="Y10" i="11"/>
  <c r="X10" i="11" s="1"/>
  <c r="W10" i="11"/>
  <c r="V10" i="11"/>
  <c r="BR10" i="11" s="1"/>
  <c r="U10" i="11"/>
  <c r="T10" i="11"/>
  <c r="S10" i="11"/>
  <c r="R10" i="11"/>
  <c r="AA10" i="11" s="1"/>
  <c r="BZ10" i="11" s="1"/>
  <c r="O10" i="11"/>
  <c r="N10" i="11"/>
  <c r="BQ10" i="11" s="1"/>
  <c r="M10" i="11"/>
  <c r="GJ9" i="11"/>
  <c r="FN9" i="11"/>
  <c r="FD9" i="11"/>
  <c r="BL9" i="11" s="1"/>
  <c r="DR9" i="11"/>
  <c r="DM9" i="11"/>
  <c r="DK9" i="11"/>
  <c r="DI9" i="11"/>
  <c r="DF9" i="11"/>
  <c r="DE9" i="11"/>
  <c r="CZ9" i="11"/>
  <c r="CY9" i="11"/>
  <c r="CW9" i="11"/>
  <c r="CT9" i="11"/>
  <c r="CQ9" i="11"/>
  <c r="CM9" i="11"/>
  <c r="CI9" i="11"/>
  <c r="CA9" i="11"/>
  <c r="BT9" i="11"/>
  <c r="BS9" i="11"/>
  <c r="BD9" i="11"/>
  <c r="BC9" i="11"/>
  <c r="BB9" i="11"/>
  <c r="AZ9" i="11"/>
  <c r="BG9" i="11" s="1"/>
  <c r="AX9" i="11"/>
  <c r="AW9" i="11"/>
  <c r="AV9" i="11"/>
  <c r="AU9" i="11"/>
  <c r="AR9" i="11"/>
  <c r="AQ9" i="11" s="1"/>
  <c r="AP9" i="11"/>
  <c r="CU9" i="11" s="1"/>
  <c r="AN9" i="11"/>
  <c r="AO9" i="11" s="1"/>
  <c r="AK9" i="11"/>
  <c r="AJ9" i="11"/>
  <c r="AG9" i="11"/>
  <c r="AF9" i="11"/>
  <c r="AH9" i="11" s="1"/>
  <c r="AD9" i="11"/>
  <c r="CH9" i="11" s="1"/>
  <c r="AC9" i="11"/>
  <c r="AB9" i="11"/>
  <c r="Z9" i="11"/>
  <c r="Y9" i="11"/>
  <c r="X9" i="11" s="1"/>
  <c r="W9" i="11"/>
  <c r="V9" i="11"/>
  <c r="BR9" i="11" s="1"/>
  <c r="U9" i="11"/>
  <c r="T9" i="11"/>
  <c r="S9" i="11"/>
  <c r="R9" i="11"/>
  <c r="AA9" i="11" s="1"/>
  <c r="BZ9" i="11" s="1"/>
  <c r="O9" i="11"/>
  <c r="DC9" i="11" s="1"/>
  <c r="N9" i="11"/>
  <c r="BQ9" i="11" s="1"/>
  <c r="M9" i="11"/>
  <c r="GJ8" i="11"/>
  <c r="FN8" i="11"/>
  <c r="FM8" i="11"/>
  <c r="FL8" i="11"/>
  <c r="FK8" i="11"/>
  <c r="FJ8" i="11"/>
  <c r="FI8" i="11"/>
  <c r="FH8" i="11"/>
  <c r="FG8" i="11"/>
  <c r="FF8" i="11"/>
  <c r="FE8" i="11"/>
  <c r="FD8" i="11" s="1"/>
  <c r="DR8" i="11"/>
  <c r="DM8" i="11"/>
  <c r="DK8" i="11"/>
  <c r="DI8" i="11"/>
  <c r="CW8" i="11"/>
  <c r="CT8" i="11"/>
  <c r="CS8" i="11"/>
  <c r="CR8" i="11"/>
  <c r="CQ8" i="11"/>
  <c r="CM8" i="11"/>
  <c r="CI8" i="11"/>
  <c r="CD8" i="11"/>
  <c r="CA8" i="11"/>
  <c r="BO8" i="11"/>
  <c r="BD8" i="11"/>
  <c r="BC8" i="11"/>
  <c r="BB8" i="11"/>
  <c r="BG8" i="11" s="1"/>
  <c r="AZ8" i="11"/>
  <c r="AX8" i="11"/>
  <c r="AW8" i="11"/>
  <c r="AV8" i="11"/>
  <c r="AU8" i="11"/>
  <c r="AT8" i="11" s="1"/>
  <c r="AR8" i="11"/>
  <c r="AP8" i="11"/>
  <c r="CU8" i="11" s="1"/>
  <c r="AN8" i="11"/>
  <c r="AL8" i="11"/>
  <c r="AM8" i="11" s="1"/>
  <c r="AK8" i="11"/>
  <c r="AJ8" i="11"/>
  <c r="AG8" i="11"/>
  <c r="AF8" i="11"/>
  <c r="AC8" i="11"/>
  <c r="AB8" i="11"/>
  <c r="Z8" i="11"/>
  <c r="BT8" i="11" s="1"/>
  <c r="Y8" i="11"/>
  <c r="X8" i="11" s="1"/>
  <c r="W8" i="11"/>
  <c r="V8" i="11"/>
  <c r="U8" i="11"/>
  <c r="T8" i="11"/>
  <c r="S8" i="11"/>
  <c r="BP8" i="11" s="1"/>
  <c r="R8" i="11"/>
  <c r="N8" i="11"/>
  <c r="BS8" i="11" s="1"/>
  <c r="M8" i="11"/>
  <c r="GJ7" i="11"/>
  <c r="FN7" i="11"/>
  <c r="FM7" i="11"/>
  <c r="FL7" i="11"/>
  <c r="FK7" i="11"/>
  <c r="FJ7" i="11"/>
  <c r="FI7" i="11"/>
  <c r="FH7" i="11"/>
  <c r="FG7" i="11"/>
  <c r="FD7" i="11" s="1"/>
  <c r="FF7" i="11"/>
  <c r="FE7" i="11"/>
  <c r="DR7" i="11"/>
  <c r="DM7" i="11"/>
  <c r="DK7" i="11"/>
  <c r="DI7" i="11"/>
  <c r="CW7" i="11"/>
  <c r="CT7" i="11"/>
  <c r="CS7" i="11"/>
  <c r="CR7" i="11"/>
  <c r="CQ7" i="11"/>
  <c r="CM7" i="11"/>
  <c r="CI7" i="11"/>
  <c r="CH7" i="11"/>
  <c r="CG7" i="11"/>
  <c r="CF7" i="11"/>
  <c r="CA7" i="11"/>
  <c r="BS7" i="11"/>
  <c r="BG7" i="11"/>
  <c r="BD7" i="11"/>
  <c r="BC7" i="11"/>
  <c r="BB7" i="11"/>
  <c r="AZ7" i="11"/>
  <c r="AX7" i="11"/>
  <c r="AW7" i="11"/>
  <c r="AV7" i="11"/>
  <c r="AU7" i="11"/>
  <c r="AR7" i="11"/>
  <c r="AT7" i="11" s="1"/>
  <c r="AQ7" i="11"/>
  <c r="AP7" i="11"/>
  <c r="AO7" i="11" s="1"/>
  <c r="AN7" i="11"/>
  <c r="AK7" i="11"/>
  <c r="AJ7" i="11"/>
  <c r="AG7" i="11"/>
  <c r="AF7" i="11"/>
  <c r="AC7" i="11"/>
  <c r="AB7" i="11"/>
  <c r="Z7" i="11"/>
  <c r="Y7" i="11"/>
  <c r="W7" i="11"/>
  <c r="V7" i="11"/>
  <c r="BR7" i="11" s="1"/>
  <c r="U7" i="11"/>
  <c r="T7" i="11"/>
  <c r="S7" i="11"/>
  <c r="R7" i="11"/>
  <c r="AA7" i="11" s="1"/>
  <c r="O7" i="11"/>
  <c r="N7" i="11"/>
  <c r="BP7" i="11" s="1"/>
  <c r="M7" i="11"/>
  <c r="GB6" i="11"/>
  <c r="FN6" i="11"/>
  <c r="FM6" i="11"/>
  <c r="FL6" i="11"/>
  <c r="FK6" i="11"/>
  <c r="FJ6" i="11"/>
  <c r="FI6" i="11"/>
  <c r="FH6" i="11"/>
  <c r="FG6" i="11"/>
  <c r="FF6" i="11"/>
  <c r="FE6" i="11"/>
  <c r="FD6" i="11" s="1"/>
  <c r="DR6" i="11"/>
  <c r="DM6" i="11"/>
  <c r="DK6" i="11"/>
  <c r="DI6" i="11"/>
  <c r="CW6" i="11"/>
  <c r="CT6" i="11"/>
  <c r="CS6" i="11"/>
  <c r="CR6" i="11"/>
  <c r="CQ6" i="11"/>
  <c r="CO6" i="11"/>
  <c r="CN6" i="11"/>
  <c r="CM6" i="11"/>
  <c r="CL6" i="11"/>
  <c r="CK6" i="11"/>
  <c r="CJ6" i="11"/>
  <c r="CI6" i="11"/>
  <c r="CH6" i="11"/>
  <c r="CG6" i="11"/>
  <c r="CF6" i="11"/>
  <c r="CA6" i="11"/>
  <c r="BP6" i="11"/>
  <c r="BO6" i="11"/>
  <c r="BG6" i="11"/>
  <c r="BD6" i="11"/>
  <c r="BD37" i="11" s="1"/>
  <c r="BC6" i="11"/>
  <c r="BB6" i="11"/>
  <c r="AZ6" i="11"/>
  <c r="AX6" i="11"/>
  <c r="AW6" i="11"/>
  <c r="AV6" i="11"/>
  <c r="AV37" i="11" s="1"/>
  <c r="AU6" i="11"/>
  <c r="AR6" i="11"/>
  <c r="CD6" i="11" s="1"/>
  <c r="AP6" i="11"/>
  <c r="CU6" i="11" s="1"/>
  <c r="AO6" i="11"/>
  <c r="AN6" i="11"/>
  <c r="AK6" i="11"/>
  <c r="AJ6" i="11"/>
  <c r="AH6" i="11"/>
  <c r="AG6" i="11"/>
  <c r="AF6" i="11"/>
  <c r="AC6" i="11"/>
  <c r="AB6" i="11"/>
  <c r="AA6" i="11"/>
  <c r="BU6" i="11" s="1"/>
  <c r="Z6" i="11"/>
  <c r="Y6" i="11"/>
  <c r="W6" i="11"/>
  <c r="V6" i="11"/>
  <c r="U6" i="11"/>
  <c r="T6" i="11"/>
  <c r="T37" i="11" s="1"/>
  <c r="S6" i="11"/>
  <c r="R6" i="11"/>
  <c r="N6" i="11"/>
  <c r="M6" i="11"/>
  <c r="CV7" i="11" l="1"/>
  <c r="CU7" i="11" s="1"/>
  <c r="CY12" i="11"/>
  <c r="M37" i="11"/>
  <c r="BZ7" i="11"/>
  <c r="AA8" i="11"/>
  <c r="BU8" i="11" s="1"/>
  <c r="AL10" i="11"/>
  <c r="CP10" i="11" s="1"/>
  <c r="AL12" i="11"/>
  <c r="CC12" i="11"/>
  <c r="CZ12" i="11"/>
  <c r="AQ13" i="11"/>
  <c r="BS13" i="11"/>
  <c r="S37" i="11"/>
  <c r="Z37" i="11"/>
  <c r="AG37" i="11"/>
  <c r="AN37" i="11"/>
  <c r="AT6" i="11"/>
  <c r="AU37" i="11"/>
  <c r="BC37" i="11"/>
  <c r="BT6" i="11"/>
  <c r="BQ7" i="11"/>
  <c r="BX7" i="11"/>
  <c r="CD7" i="11"/>
  <c r="DB7" i="11"/>
  <c r="DH7" i="11"/>
  <c r="AS8" i="11"/>
  <c r="BY9" i="11"/>
  <c r="CG9" i="11"/>
  <c r="CN9" i="11"/>
  <c r="CX9" i="11"/>
  <c r="DD9" i="11"/>
  <c r="BY10" i="11"/>
  <c r="CG10" i="11"/>
  <c r="CN10" i="11"/>
  <c r="CV10" i="11"/>
  <c r="DC10" i="11"/>
  <c r="BO11" i="11"/>
  <c r="BT12" i="11"/>
  <c r="CP12" i="11"/>
  <c r="CX12" i="11"/>
  <c r="DD12" i="11"/>
  <c r="BQ13" i="11"/>
  <c r="CD13" i="11"/>
  <c r="CS13" i="11"/>
  <c r="AE14" i="11"/>
  <c r="CJ14" i="11"/>
  <c r="CE15" i="11"/>
  <c r="CD15" i="11" s="1"/>
  <c r="FD17" i="11"/>
  <c r="BO19" i="11"/>
  <c r="AE19" i="11"/>
  <c r="AI19" i="11"/>
  <c r="AH19" i="11"/>
  <c r="FD19" i="11"/>
  <c r="AE20" i="11"/>
  <c r="AH20" i="11"/>
  <c r="AA21" i="11"/>
  <c r="AM21" i="11"/>
  <c r="CN21" i="11"/>
  <c r="AL21" i="11"/>
  <c r="CP21" i="11" s="1"/>
  <c r="CO21" i="11" s="1"/>
  <c r="BG21" i="11"/>
  <c r="BG37" i="11" s="1"/>
  <c r="AA23" i="11"/>
  <c r="CK23" i="11"/>
  <c r="DD24" i="11"/>
  <c r="CX24" i="11"/>
  <c r="DC24" i="11"/>
  <c r="DH24" i="11"/>
  <c r="DB24" i="11"/>
  <c r="BY24" i="11"/>
  <c r="DG24" i="11"/>
  <c r="DA24" i="11"/>
  <c r="BX24" i="11"/>
  <c r="DE24" i="11"/>
  <c r="CY24" i="11"/>
  <c r="CB24" i="11"/>
  <c r="BV24" i="11"/>
  <c r="BU24" i="11" s="1"/>
  <c r="DF24" i="11"/>
  <c r="FO26" i="11"/>
  <c r="FN26" i="11" s="1"/>
  <c r="FN25" i="11"/>
  <c r="AO28" i="11"/>
  <c r="CS28" i="11" s="1"/>
  <c r="CR28" i="11" s="1"/>
  <c r="FH24" i="11"/>
  <c r="FH58" i="11"/>
  <c r="BY7" i="11"/>
  <c r="CR11" i="11"/>
  <c r="CB12" i="11"/>
  <c r="CK14" i="11"/>
  <c r="FG76" i="11"/>
  <c r="FJ77" i="11"/>
  <c r="AW37" i="11"/>
  <c r="CO7" i="11"/>
  <c r="AH14" i="11"/>
  <c r="AI14" i="11" s="1"/>
  <c r="BU14" i="11"/>
  <c r="AT19" i="11"/>
  <c r="AS19" i="11"/>
  <c r="CD19" i="11"/>
  <c r="BO20" i="11"/>
  <c r="CU22" i="11"/>
  <c r="AQ22" i="11"/>
  <c r="BV26" i="11"/>
  <c r="BQ29" i="11"/>
  <c r="BP29" i="11"/>
  <c r="BO29" i="11"/>
  <c r="BT29" i="11"/>
  <c r="O29" i="11"/>
  <c r="BS29" i="11"/>
  <c r="BR29" i="11"/>
  <c r="CE7" i="11"/>
  <c r="CJ8" i="11"/>
  <c r="CO10" i="11"/>
  <c r="BR13" i="11"/>
  <c r="DE27" i="11"/>
  <c r="CY27" i="11"/>
  <c r="DD27" i="11"/>
  <c r="CX27" i="11"/>
  <c r="DC27" i="11"/>
  <c r="BY27" i="11"/>
  <c r="DH27" i="11"/>
  <c r="DB27" i="11"/>
  <c r="BX27" i="11"/>
  <c r="DF27" i="11"/>
  <c r="CZ27" i="11"/>
  <c r="CC27" i="11"/>
  <c r="CB27" i="11" s="1"/>
  <c r="BV27" i="11"/>
  <c r="BU27" i="11" s="1"/>
  <c r="U37" i="11"/>
  <c r="AI6" i="11"/>
  <c r="AJ37" i="11"/>
  <c r="BQ11" i="11"/>
  <c r="AD12" i="11"/>
  <c r="N37" i="11"/>
  <c r="V37" i="11"/>
  <c r="AC37" i="11"/>
  <c r="AK37" i="11"/>
  <c r="AQ6" i="11"/>
  <c r="AX37" i="11"/>
  <c r="BQ6" i="11"/>
  <c r="GB37" i="11"/>
  <c r="X7" i="11"/>
  <c r="AL7" i="11"/>
  <c r="CP7" i="11" s="1"/>
  <c r="AS7" i="11"/>
  <c r="BT7" i="11"/>
  <c r="CY7" i="11"/>
  <c r="DE7" i="11"/>
  <c r="AH8" i="11"/>
  <c r="CL8" i="11" s="1"/>
  <c r="CK8" i="11" s="1"/>
  <c r="BQ8" i="11"/>
  <c r="AM9" i="11"/>
  <c r="AT9" i="11"/>
  <c r="BO9" i="11"/>
  <c r="BV9" i="11"/>
  <c r="BU9" i="11" s="1"/>
  <c r="CB9" i="11"/>
  <c r="CJ9" i="11"/>
  <c r="CS9" i="11"/>
  <c r="CR9" i="11" s="1"/>
  <c r="DA9" i="11"/>
  <c r="DG9" i="11"/>
  <c r="AM10" i="11"/>
  <c r="AS10" i="11"/>
  <c r="CC10" i="11" s="1"/>
  <c r="BO10" i="11"/>
  <c r="BV10" i="11"/>
  <c r="BU10" i="11" s="1"/>
  <c r="CB10" i="11"/>
  <c r="CJ10" i="11"/>
  <c r="CZ10" i="11"/>
  <c r="DF10" i="11"/>
  <c r="O11" i="11"/>
  <c r="BR11" i="11"/>
  <c r="CF11" i="11"/>
  <c r="CE11" i="11" s="1"/>
  <c r="CL11" i="11"/>
  <c r="CU11" i="11"/>
  <c r="X12" i="11"/>
  <c r="AE12" i="11"/>
  <c r="AM12" i="11"/>
  <c r="BQ12" i="11"/>
  <c r="BX12" i="11"/>
  <c r="CE12" i="11"/>
  <c r="CD12" i="11" s="1"/>
  <c r="DA12" i="11"/>
  <c r="DG12" i="11"/>
  <c r="AD13" i="11"/>
  <c r="AS13" i="11"/>
  <c r="CE13" i="11" s="1"/>
  <c r="BT13" i="11"/>
  <c r="CO13" i="11"/>
  <c r="BP14" i="11"/>
  <c r="AQ14" i="11"/>
  <c r="CV14" i="11" s="1"/>
  <c r="BY14" i="11"/>
  <c r="AO17" i="11"/>
  <c r="CU17" i="11"/>
  <c r="CS17" i="11"/>
  <c r="BV20" i="11"/>
  <c r="BU20" i="11" s="1"/>
  <c r="BS21" i="11"/>
  <c r="BR21" i="11"/>
  <c r="BQ21" i="11"/>
  <c r="BP21" i="11"/>
  <c r="BT21" i="11"/>
  <c r="AS22" i="11"/>
  <c r="AA24" i="11"/>
  <c r="BZ24" i="11" s="1"/>
  <c r="AM24" i="11"/>
  <c r="CN24" i="11"/>
  <c r="AL24" i="11"/>
  <c r="CP24" i="11" s="1"/>
  <c r="AI26" i="11"/>
  <c r="CN26" i="11"/>
  <c r="AL26" i="11"/>
  <c r="AM26" i="11" s="1"/>
  <c r="BW27" i="11"/>
  <c r="AH28" i="11"/>
  <c r="CK28" i="11"/>
  <c r="CJ28" i="11" s="1"/>
  <c r="AA29" i="11"/>
  <c r="BG29" i="11"/>
  <c r="BU35" i="11"/>
  <c r="CV37" i="14"/>
  <c r="AE17" i="11"/>
  <c r="AD17" i="11"/>
  <c r="BT22" i="11"/>
  <c r="BS22" i="11"/>
  <c r="BR22" i="11"/>
  <c r="BQ22" i="11"/>
  <c r="BO22" i="11"/>
  <c r="DD26" i="11"/>
  <c r="CX26" i="11"/>
  <c r="BZ26" i="11"/>
  <c r="DC26" i="11"/>
  <c r="BY26" i="11"/>
  <c r="DH26" i="11"/>
  <c r="DB26" i="11"/>
  <c r="BX26" i="11"/>
  <c r="DG26" i="11"/>
  <c r="DA26" i="11"/>
  <c r="CC26" i="11"/>
  <c r="BW26" i="11"/>
  <c r="DE26" i="11"/>
  <c r="CY26" i="11"/>
  <c r="AB37" i="11"/>
  <c r="AD7" i="11"/>
  <c r="AE7" i="11" s="1"/>
  <c r="CX7" i="11"/>
  <c r="AL9" i="11"/>
  <c r="CP9" i="11" s="1"/>
  <c r="CO9" i="11" s="1"/>
  <c r="O13" i="11"/>
  <c r="CN13" i="11"/>
  <c r="GJ13" i="11"/>
  <c r="W37" i="11"/>
  <c r="AD6" i="11"/>
  <c r="AL6" i="11"/>
  <c r="AR37" i="11"/>
  <c r="AZ37" i="11"/>
  <c r="BR6" i="11"/>
  <c r="GJ6" i="11"/>
  <c r="BO7" i="11"/>
  <c r="BV7" i="11"/>
  <c r="BU7" i="11" s="1"/>
  <c r="CB7" i="11"/>
  <c r="CZ7" i="11"/>
  <c r="DF7" i="11"/>
  <c r="AO8" i="11"/>
  <c r="BR8" i="11"/>
  <c r="CF8" i="11"/>
  <c r="CE8" i="11" s="1"/>
  <c r="CO8" i="11"/>
  <c r="CN8" i="11" s="1"/>
  <c r="BP9" i="11"/>
  <c r="BW9" i="11"/>
  <c r="CC9" i="11"/>
  <c r="CK9" i="11"/>
  <c r="DB9" i="11"/>
  <c r="DH9" i="11"/>
  <c r="DP9" i="11"/>
  <c r="BP10" i="11"/>
  <c r="BW10" i="11"/>
  <c r="CK10" i="11"/>
  <c r="CS10" i="11"/>
  <c r="CR10" i="11" s="1"/>
  <c r="DA10" i="11"/>
  <c r="DG10" i="11"/>
  <c r="AD11" i="11"/>
  <c r="BS11" i="11"/>
  <c r="CG11" i="11"/>
  <c r="CN11" i="11"/>
  <c r="CV11" i="11"/>
  <c r="BR12" i="11"/>
  <c r="BY12" i="11"/>
  <c r="DB12" i="11"/>
  <c r="DH12" i="11"/>
  <c r="X13" i="11"/>
  <c r="AE13" i="11"/>
  <c r="AL13" i="11"/>
  <c r="AT13" i="11"/>
  <c r="BO13" i="11"/>
  <c r="CP13" i="11"/>
  <c r="DD14" i="11"/>
  <c r="CX14" i="11"/>
  <c r="BX14" i="11"/>
  <c r="DC14" i="11"/>
  <c r="CC14" i="11"/>
  <c r="BW14" i="11"/>
  <c r="DH14" i="11"/>
  <c r="DB14" i="11"/>
  <c r="DG14" i="11"/>
  <c r="DA14" i="11"/>
  <c r="DE14" i="11"/>
  <c r="CY14" i="11"/>
  <c r="BZ14" i="11"/>
  <c r="DF14" i="11"/>
  <c r="DE17" i="11"/>
  <c r="CY17" i="11"/>
  <c r="DD17" i="11"/>
  <c r="CX17" i="11"/>
  <c r="DC17" i="11"/>
  <c r="BY17" i="11"/>
  <c r="DH17" i="11"/>
  <c r="DB17" i="11"/>
  <c r="CH17" i="11"/>
  <c r="BX17" i="11"/>
  <c r="DF17" i="11"/>
  <c r="CZ17" i="11"/>
  <c r="CC17" i="11"/>
  <c r="CB17" i="11" s="1"/>
  <c r="BV17" i="11"/>
  <c r="CE19" i="11"/>
  <c r="BO21" i="11"/>
  <c r="AA22" i="11"/>
  <c r="CE22" i="11"/>
  <c r="AM22" i="11"/>
  <c r="CN22" i="11"/>
  <c r="AL22" i="11"/>
  <c r="CP22" i="11" s="1"/>
  <c r="CG24" i="11"/>
  <c r="AD26" i="11"/>
  <c r="CH26" i="11" s="1"/>
  <c r="CB26" i="11"/>
  <c r="DF26" i="11"/>
  <c r="AA27" i="11"/>
  <c r="BZ27" i="11" s="1"/>
  <c r="CO27" i="11"/>
  <c r="AL27" i="11"/>
  <c r="DA27" i="11"/>
  <c r="CL28" i="11"/>
  <c r="CL32" i="11"/>
  <c r="AI32" i="11"/>
  <c r="CN7" i="11"/>
  <c r="DC7" i="11"/>
  <c r="BV12" i="11"/>
  <c r="BU12" i="11" s="1"/>
  <c r="DE12" i="11"/>
  <c r="CU13" i="11"/>
  <c r="CK16" i="11"/>
  <c r="AP37" i="11"/>
  <c r="DD7" i="11"/>
  <c r="AE9" i="11"/>
  <c r="AS9" i="11"/>
  <c r="AE10" i="11"/>
  <c r="CS11" i="11"/>
  <c r="BW12" i="11"/>
  <c r="DF12" i="11"/>
  <c r="CV13" i="11"/>
  <c r="R37" i="11"/>
  <c r="X6" i="11"/>
  <c r="Y37" i="11"/>
  <c r="AE6" i="11"/>
  <c r="AF37" i="11"/>
  <c r="AS6" i="11"/>
  <c r="BB37" i="11"/>
  <c r="BS6" i="11"/>
  <c r="AH7" i="11"/>
  <c r="AI7" i="11" s="1"/>
  <c r="BW7" i="11"/>
  <c r="CC7" i="11"/>
  <c r="CJ7" i="11"/>
  <c r="DA7" i="11"/>
  <c r="DG7" i="11"/>
  <c r="AD8" i="11"/>
  <c r="AE8" i="11" s="1"/>
  <c r="AQ8" i="11"/>
  <c r="CV8" i="11" s="1"/>
  <c r="CG8" i="11"/>
  <c r="CP8" i="11"/>
  <c r="AI9" i="11"/>
  <c r="BX9" i="11"/>
  <c r="CF9" i="11"/>
  <c r="CE9" i="11" s="1"/>
  <c r="CD9" i="11" s="1"/>
  <c r="CL9" i="11"/>
  <c r="CV9" i="11"/>
  <c r="AI10" i="11"/>
  <c r="BX10" i="11"/>
  <c r="CF10" i="11"/>
  <c r="CL10" i="11"/>
  <c r="DB10" i="11"/>
  <c r="DH10" i="11"/>
  <c r="X11" i="11"/>
  <c r="AE11" i="11"/>
  <c r="AL11" i="11"/>
  <c r="AM11" i="11" s="1"/>
  <c r="CO11" i="11"/>
  <c r="GJ11" i="11"/>
  <c r="AH12" i="11"/>
  <c r="AI12" i="11" s="1"/>
  <c r="AO12" i="11"/>
  <c r="BZ12" i="11"/>
  <c r="CN12" i="11"/>
  <c r="CV12" i="11"/>
  <c r="AM13" i="11"/>
  <c r="CJ13" i="11"/>
  <c r="AD14" i="11"/>
  <c r="AL14" i="11"/>
  <c r="AM14" i="11" s="1"/>
  <c r="AY37" i="11"/>
  <c r="AM15" i="11"/>
  <c r="AA17" i="11"/>
  <c r="BZ17" i="11" s="1"/>
  <c r="CF17" i="11"/>
  <c r="CE17" i="11" s="1"/>
  <c r="CD17" i="11" s="1"/>
  <c r="DA17" i="11"/>
  <c r="AE18" i="11"/>
  <c r="CJ18" i="11"/>
  <c r="AI18" i="11"/>
  <c r="AH18" i="11"/>
  <c r="BS20" i="11"/>
  <c r="CG22" i="11"/>
  <c r="CZ24" i="11"/>
  <c r="CE25" i="11"/>
  <c r="AA26" i="11"/>
  <c r="CF26" i="11"/>
  <c r="CE26" i="11" s="1"/>
  <c r="CD26" i="11" s="1"/>
  <c r="CG27" i="11"/>
  <c r="AD27" i="11"/>
  <c r="CH27" i="11" s="1"/>
  <c r="DG27" i="11"/>
  <c r="CF29" i="11"/>
  <c r="CE29" i="11" s="1"/>
  <c r="CD29" i="11" s="1"/>
  <c r="AD29" i="11"/>
  <c r="FH64" i="11"/>
  <c r="FH30" i="11"/>
  <c r="GJ10" i="14"/>
  <c r="B12" i="14"/>
  <c r="BP15" i="11"/>
  <c r="CK15" i="11"/>
  <c r="CV15" i="11"/>
  <c r="CU15" i="11" s="1"/>
  <c r="AE16" i="11"/>
  <c r="CE16" i="11"/>
  <c r="CD16" i="11" s="1"/>
  <c r="CV16" i="11"/>
  <c r="CU16" i="11" s="1"/>
  <c r="BO17" i="11"/>
  <c r="BQ18" i="11"/>
  <c r="CL18" i="11"/>
  <c r="CV18" i="11"/>
  <c r="CU18" i="11" s="1"/>
  <c r="BP19" i="11"/>
  <c r="CL19" i="11"/>
  <c r="BT20" i="11"/>
  <c r="CO20" i="11"/>
  <c r="CX20" i="11"/>
  <c r="DD20" i="11"/>
  <c r="BS23" i="11"/>
  <c r="CP23" i="11"/>
  <c r="CO23" i="11" s="1"/>
  <c r="CN23" i="11" s="1"/>
  <c r="BO24" i="11"/>
  <c r="BX25" i="11"/>
  <c r="CZ25" i="11"/>
  <c r="DF25" i="11"/>
  <c r="BT26" i="11"/>
  <c r="CP26" i="11"/>
  <c r="AI27" i="11"/>
  <c r="BO27" i="11"/>
  <c r="CP27" i="11"/>
  <c r="AL28" i="11"/>
  <c r="CP28" i="11" s="1"/>
  <c r="AS28" i="11"/>
  <c r="CE28" i="11" s="1"/>
  <c r="BS28" i="11"/>
  <c r="CV28" i="11"/>
  <c r="CU28" i="11" s="1"/>
  <c r="AH29" i="11"/>
  <c r="AI29" i="11" s="1"/>
  <c r="CG29" i="11"/>
  <c r="CP29" i="11"/>
  <c r="O30" i="11"/>
  <c r="AQ30" i="11"/>
  <c r="BO30" i="11"/>
  <c r="CK30" i="11"/>
  <c r="CS30" i="11"/>
  <c r="X31" i="11"/>
  <c r="AE31" i="11"/>
  <c r="AL31" i="11"/>
  <c r="AM31" i="11" s="1"/>
  <c r="AS31" i="11"/>
  <c r="BR31" i="11"/>
  <c r="CD31" i="11"/>
  <c r="CK31" i="11"/>
  <c r="CV31" i="11"/>
  <c r="AT32" i="11"/>
  <c r="BS32" i="11"/>
  <c r="AT33" i="11"/>
  <c r="BS33" i="11"/>
  <c r="CE33" i="11"/>
  <c r="O34" i="11"/>
  <c r="AQ34" i="11"/>
  <c r="BO34" i="11"/>
  <c r="CO34" i="11"/>
  <c r="AD35" i="11"/>
  <c r="AS35" i="11"/>
  <c r="BP35" i="11"/>
  <c r="CS35" i="11"/>
  <c r="AM36" i="11"/>
  <c r="AS36" i="11"/>
  <c r="BS36" i="11"/>
  <c r="CV36" i="11"/>
  <c r="CU36" i="11" s="1"/>
  <c r="FO16" i="14"/>
  <c r="FN15" i="14"/>
  <c r="CP34" i="14"/>
  <c r="CP22" i="14"/>
  <c r="FI50" i="20"/>
  <c r="FI16" i="20"/>
  <c r="CE35" i="14"/>
  <c r="CD35" i="14" s="1"/>
  <c r="DJ10" i="20"/>
  <c r="AI35" i="14"/>
  <c r="DC21" i="14"/>
  <c r="BZ21" i="14"/>
  <c r="DH21" i="14"/>
  <c r="DB21" i="14"/>
  <c r="BY21" i="14"/>
  <c r="DG21" i="14"/>
  <c r="DA21" i="14"/>
  <c r="BX21" i="14"/>
  <c r="DD21" i="14"/>
  <c r="CX21" i="14"/>
  <c r="CH21" i="14"/>
  <c r="DE21" i="14"/>
  <c r="CB21" i="14"/>
  <c r="CZ21" i="14"/>
  <c r="CY21" i="14"/>
  <c r="BW21" i="14"/>
  <c r="BV21" i="14"/>
  <c r="DF21" i="14"/>
  <c r="CC21" i="14"/>
  <c r="FH50" i="20"/>
  <c r="FH16" i="20"/>
  <c r="CC12" i="14"/>
  <c r="CP16" i="14"/>
  <c r="AE10" i="20"/>
  <c r="AI10" i="20"/>
  <c r="AH10" i="20"/>
  <c r="CE22" i="14"/>
  <c r="CE31" i="11"/>
  <c r="BT32" i="11"/>
  <c r="AE35" i="11"/>
  <c r="FH43" i="17"/>
  <c r="FH9" i="17"/>
  <c r="FD9" i="17" s="1"/>
  <c r="AD7" i="17"/>
  <c r="AE7" i="17"/>
  <c r="CF30" i="14"/>
  <c r="CE30" i="14" s="1"/>
  <c r="FL53" i="14"/>
  <c r="FL19" i="14"/>
  <c r="DH22" i="14"/>
  <c r="DB22" i="14"/>
  <c r="BX22" i="14"/>
  <c r="DG22" i="14"/>
  <c r="DA22" i="14"/>
  <c r="CC22" i="14"/>
  <c r="BW22" i="14"/>
  <c r="DF22" i="14"/>
  <c r="CZ22" i="14"/>
  <c r="CB22" i="14"/>
  <c r="BV22" i="14"/>
  <c r="BU22" i="14" s="1"/>
  <c r="DC22" i="14"/>
  <c r="BY22" i="14"/>
  <c r="DD22" i="14"/>
  <c r="CH22" i="14"/>
  <c r="CY22" i="14"/>
  <c r="CX22" i="14"/>
  <c r="BZ22" i="14"/>
  <c r="DE22" i="14"/>
  <c r="BP37" i="14"/>
  <c r="BU34" i="14"/>
  <c r="CO37" i="14"/>
  <c r="BT14" i="11"/>
  <c r="CS14" i="11"/>
  <c r="CR14" i="11" s="1"/>
  <c r="X15" i="11"/>
  <c r="AE15" i="11"/>
  <c r="AL15" i="11"/>
  <c r="CP15" i="11" s="1"/>
  <c r="CO15" i="11" s="1"/>
  <c r="BR15" i="11"/>
  <c r="CN15" i="11"/>
  <c r="AH16" i="11"/>
  <c r="AH37" i="11" s="1"/>
  <c r="CL37" i="11" s="1"/>
  <c r="BS16" i="11"/>
  <c r="CO16" i="11"/>
  <c r="AI17" i="11"/>
  <c r="AQ17" i="11"/>
  <c r="BQ17" i="11"/>
  <c r="CN17" i="11"/>
  <c r="AT18" i="11"/>
  <c r="BS18" i="11"/>
  <c r="BS19" i="11"/>
  <c r="CG19" i="11"/>
  <c r="CP19" i="11"/>
  <c r="BP20" i="11"/>
  <c r="BW20" i="11"/>
  <c r="CC20" i="11"/>
  <c r="CZ20" i="11"/>
  <c r="DF20" i="11"/>
  <c r="AD21" i="11"/>
  <c r="CL21" i="11"/>
  <c r="CV21" i="11"/>
  <c r="CU21" i="11" s="1"/>
  <c r="AD22" i="11"/>
  <c r="AE22" i="11" s="1"/>
  <c r="CD22" i="11"/>
  <c r="CL22" i="11"/>
  <c r="AH23" i="11"/>
  <c r="BO23" i="11"/>
  <c r="AD24" i="11"/>
  <c r="CH24" i="11" s="1"/>
  <c r="AQ24" i="11"/>
  <c r="BQ24" i="11"/>
  <c r="CD24" i="11"/>
  <c r="CL24" i="11"/>
  <c r="CS24" i="11"/>
  <c r="X25" i="11"/>
  <c r="AE25" i="11"/>
  <c r="AT25" i="11"/>
  <c r="BS25" i="11"/>
  <c r="BZ25" i="11"/>
  <c r="DB25" i="11"/>
  <c r="DH25" i="11"/>
  <c r="BP26" i="11"/>
  <c r="BQ27" i="11"/>
  <c r="CE27" i="11"/>
  <c r="BO28" i="11"/>
  <c r="CS29" i="11"/>
  <c r="FH29" i="11"/>
  <c r="AE30" i="11"/>
  <c r="AL30" i="11"/>
  <c r="AS30" i="11"/>
  <c r="CE30" i="11" s="1"/>
  <c r="CD30" i="11" s="1"/>
  <c r="BQ30" i="11"/>
  <c r="CV30" i="11"/>
  <c r="AH31" i="11"/>
  <c r="AI31" i="11" s="1"/>
  <c r="O32" i="11"/>
  <c r="BO32" i="11"/>
  <c r="CS32" i="11"/>
  <c r="CR32" i="11" s="1"/>
  <c r="AI33" i="11"/>
  <c r="CN33" i="11"/>
  <c r="AE34" i="11"/>
  <c r="AL34" i="11"/>
  <c r="CP34" i="11" s="1"/>
  <c r="AS34" i="11"/>
  <c r="CE34" i="11" s="1"/>
  <c r="BQ34" i="11"/>
  <c r="CD34" i="11"/>
  <c r="CL36" i="11"/>
  <c r="FI44" i="17"/>
  <c r="FI10" i="17"/>
  <c r="BU35" i="14"/>
  <c r="AI10" i="14"/>
  <c r="AM29" i="14"/>
  <c r="AM24" i="14"/>
  <c r="DJ36" i="14"/>
  <c r="DD36" i="14"/>
  <c r="CX36" i="14"/>
  <c r="BY36" i="14"/>
  <c r="DP36" i="14"/>
  <c r="DC36" i="14"/>
  <c r="BX36" i="14"/>
  <c r="DN36" i="14"/>
  <c r="DH36" i="14"/>
  <c r="DB36" i="14"/>
  <c r="CC36" i="14"/>
  <c r="BW36" i="14"/>
  <c r="DG36" i="14"/>
  <c r="DA36" i="14"/>
  <c r="CB36" i="14"/>
  <c r="BV36" i="14"/>
  <c r="DE36" i="14"/>
  <c r="CY36" i="14"/>
  <c r="BZ36" i="14"/>
  <c r="DL36" i="14"/>
  <c r="DF36" i="14"/>
  <c r="CZ36" i="14"/>
  <c r="CN37" i="14"/>
  <c r="BS15" i="11"/>
  <c r="AI16" i="11"/>
  <c r="BT16" i="11"/>
  <c r="CP16" i="11"/>
  <c r="BR17" i="11"/>
  <c r="CV17" i="11"/>
  <c r="BT18" i="11"/>
  <c r="BT19" i="11"/>
  <c r="CS19" i="11"/>
  <c r="CR19" i="11" s="1"/>
  <c r="BQ20" i="11"/>
  <c r="BX20" i="11"/>
  <c r="CS20" i="11"/>
  <c r="CR20" i="11" s="1"/>
  <c r="DA20" i="11"/>
  <c r="DG20" i="11"/>
  <c r="X21" i="11"/>
  <c r="AE21" i="11"/>
  <c r="X22" i="11"/>
  <c r="CV22" i="11"/>
  <c r="AI23" i="11"/>
  <c r="AO23" i="11"/>
  <c r="CS23" i="11" s="1"/>
  <c r="BP23" i="11"/>
  <c r="CJ23" i="11"/>
  <c r="CU23" i="11"/>
  <c r="X24" i="11"/>
  <c r="AS24" i="11"/>
  <c r="CE24" i="11" s="1"/>
  <c r="BR24" i="11"/>
  <c r="BT25" i="11"/>
  <c r="CH25" i="11"/>
  <c r="CN25" i="11"/>
  <c r="CV25" i="11"/>
  <c r="DC25" i="11"/>
  <c r="AS26" i="11"/>
  <c r="BQ26" i="11"/>
  <c r="X27" i="11"/>
  <c r="AE27" i="11"/>
  <c r="AM27" i="11"/>
  <c r="BR27" i="11"/>
  <c r="CV27" i="11"/>
  <c r="AI28" i="11"/>
  <c r="BP28" i="11"/>
  <c r="CK29" i="11"/>
  <c r="CJ29" i="11" s="1"/>
  <c r="CV29" i="11"/>
  <c r="CU29" i="11" s="1"/>
  <c r="AM30" i="11"/>
  <c r="BR30" i="11"/>
  <c r="CO30" i="11"/>
  <c r="BO31" i="11"/>
  <c r="BU31" i="11"/>
  <c r="CP31" i="11"/>
  <c r="AD32" i="11"/>
  <c r="BP32" i="11"/>
  <c r="CK32" i="11"/>
  <c r="CJ32" i="11" s="1"/>
  <c r="CV32" i="11"/>
  <c r="CU32" i="11" s="1"/>
  <c r="BP33" i="11"/>
  <c r="BR34" i="11"/>
  <c r="AH35" i="11"/>
  <c r="AI35" i="11" s="1"/>
  <c r="BS35" i="11"/>
  <c r="CG35" i="11"/>
  <c r="CF35" i="11" s="1"/>
  <c r="CN35" i="11"/>
  <c r="BP36" i="11"/>
  <c r="CN36" i="11"/>
  <c r="GJ37" i="11"/>
  <c r="FF49" i="20"/>
  <c r="FF15" i="20"/>
  <c r="FD15" i="20" s="1"/>
  <c r="DH29" i="14"/>
  <c r="DB29" i="14"/>
  <c r="BX29" i="14"/>
  <c r="DG29" i="14"/>
  <c r="DA29" i="14"/>
  <c r="CC29" i="14"/>
  <c r="BW29" i="14"/>
  <c r="DF29" i="14"/>
  <c r="CZ29" i="14"/>
  <c r="CB29" i="14"/>
  <c r="BV29" i="14"/>
  <c r="BU29" i="14" s="1"/>
  <c r="DC29" i="14"/>
  <c r="CH29" i="14"/>
  <c r="CG29" i="14" s="1"/>
  <c r="BY29" i="14"/>
  <c r="DE29" i="14"/>
  <c r="DD29" i="14"/>
  <c r="BZ29" i="14"/>
  <c r="CY29" i="14"/>
  <c r="CX29" i="14"/>
  <c r="CP27" i="14"/>
  <c r="CO27" i="14" s="1"/>
  <c r="AM27" i="14"/>
  <c r="AM33" i="14"/>
  <c r="DD17" i="14"/>
  <c r="CX17" i="14"/>
  <c r="DC17" i="14"/>
  <c r="BZ17" i="14"/>
  <c r="DH17" i="14"/>
  <c r="DB17" i="14"/>
  <c r="BY17" i="14"/>
  <c r="DE17" i="14"/>
  <c r="CY17" i="14"/>
  <c r="CB17" i="14"/>
  <c r="CC17" i="14"/>
  <c r="DG17" i="14"/>
  <c r="BX17" i="14"/>
  <c r="DA17" i="14"/>
  <c r="DF17" i="14"/>
  <c r="BW17" i="14"/>
  <c r="BV17" i="14" s="1"/>
  <c r="BU17" i="14" s="1"/>
  <c r="CZ17" i="14"/>
  <c r="AI28" i="14"/>
  <c r="CL28" i="14"/>
  <c r="AI19" i="14"/>
  <c r="AE32" i="14"/>
  <c r="AH32" i="14"/>
  <c r="CL32" i="14" s="1"/>
  <c r="CJ32" i="14"/>
  <c r="AI13" i="14"/>
  <c r="AO37" i="14"/>
  <c r="BU12" i="14"/>
  <c r="CR37" i="14"/>
  <c r="X37" i="14"/>
  <c r="DF20" i="14"/>
  <c r="CZ20" i="14"/>
  <c r="BX20" i="14"/>
  <c r="DE20" i="14"/>
  <c r="CY20" i="14"/>
  <c r="CC20" i="14"/>
  <c r="BW20" i="14"/>
  <c r="DD20" i="14"/>
  <c r="CX20" i="14"/>
  <c r="CB20" i="14"/>
  <c r="BV20" i="14"/>
  <c r="BU20" i="14" s="1"/>
  <c r="DG20" i="14"/>
  <c r="DA20" i="14"/>
  <c r="BY20" i="14"/>
  <c r="BZ20" i="14"/>
  <c r="CH20" i="14"/>
  <c r="DH20" i="14"/>
  <c r="DB20" i="14"/>
  <c r="DC20" i="14"/>
  <c r="BU15" i="14"/>
  <c r="AH15" i="11"/>
  <c r="AI15" i="11" s="1"/>
  <c r="BT15" i="11"/>
  <c r="BO16" i="11"/>
  <c r="BU16" i="11"/>
  <c r="CJ16" i="11"/>
  <c r="AL17" i="11"/>
  <c r="AT17" i="11"/>
  <c r="BS17" i="11"/>
  <c r="BO18" i="11"/>
  <c r="CV19" i="11"/>
  <c r="CU19" i="11" s="1"/>
  <c r="AI20" i="11"/>
  <c r="BR20" i="11"/>
  <c r="BY20" i="11"/>
  <c r="DB20" i="11"/>
  <c r="DH20" i="11"/>
  <c r="O23" i="11"/>
  <c r="AQ23" i="11"/>
  <c r="CV23" i="11" s="1"/>
  <c r="BQ23" i="11"/>
  <c r="AT24" i="11"/>
  <c r="BS24" i="11"/>
  <c r="CO24" i="11"/>
  <c r="CV24" i="11"/>
  <c r="AH25" i="11"/>
  <c r="BO25" i="11"/>
  <c r="BV25" i="11"/>
  <c r="BU25" i="11" s="1"/>
  <c r="CB25" i="11"/>
  <c r="CO25" i="11"/>
  <c r="CX25" i="11"/>
  <c r="DD25" i="11"/>
  <c r="AE26" i="11"/>
  <c r="BR26" i="11"/>
  <c r="CV26" i="11"/>
  <c r="CU26" i="11" s="1"/>
  <c r="AT27" i="11"/>
  <c r="BS27" i="11"/>
  <c r="CN27" i="11"/>
  <c r="AD28" i="11"/>
  <c r="AE28" i="11" s="1"/>
  <c r="BQ28" i="11"/>
  <c r="X29" i="11"/>
  <c r="AE29" i="11"/>
  <c r="AL29" i="11"/>
  <c r="CL29" i="11"/>
  <c r="AH30" i="11"/>
  <c r="CL30" i="11" s="1"/>
  <c r="BS30" i="11"/>
  <c r="CP30" i="11"/>
  <c r="BP31" i="11"/>
  <c r="CS31" i="11"/>
  <c r="CR31" i="11" s="1"/>
  <c r="X32" i="11"/>
  <c r="AE32" i="11"/>
  <c r="AL32" i="11"/>
  <c r="CP32" i="11" s="1"/>
  <c r="CO32" i="11" s="1"/>
  <c r="CN32" i="11" s="1"/>
  <c r="BQ32" i="11"/>
  <c r="AD33" i="11"/>
  <c r="AL33" i="11"/>
  <c r="CP33" i="11" s="1"/>
  <c r="CS33" i="11"/>
  <c r="CR33" i="11" s="1"/>
  <c r="AH34" i="11"/>
  <c r="CL34" i="11" s="1"/>
  <c r="BS34" i="11"/>
  <c r="CS34" i="11"/>
  <c r="BT35" i="11"/>
  <c r="CP35" i="11"/>
  <c r="BQ36" i="11"/>
  <c r="CP36" i="11"/>
  <c r="DQ37" i="11"/>
  <c r="FL45" i="17"/>
  <c r="FL11" i="17"/>
  <c r="DD14" i="14"/>
  <c r="CH14" i="14"/>
  <c r="CG14" i="14" s="1"/>
  <c r="CF14" i="14" s="1"/>
  <c r="BZ14" i="14"/>
  <c r="DC14" i="14"/>
  <c r="BY14" i="14"/>
  <c r="DH14" i="14"/>
  <c r="DB14" i="14"/>
  <c r="BX14" i="14"/>
  <c r="DE14" i="14"/>
  <c r="CY14" i="14"/>
  <c r="CX14" i="14" s="1"/>
  <c r="CZ14" i="14"/>
  <c r="CB14" i="14"/>
  <c r="DF14" i="14"/>
  <c r="BW14" i="14"/>
  <c r="DG14" i="14"/>
  <c r="BV14" i="14"/>
  <c r="DA14" i="14"/>
  <c r="CC14" i="14"/>
  <c r="DD9" i="14"/>
  <c r="CX9" i="14"/>
  <c r="CC9" i="14"/>
  <c r="BW9" i="14"/>
  <c r="BY9" i="14"/>
  <c r="DC9" i="14"/>
  <c r="CB9" i="14"/>
  <c r="BV9" i="14"/>
  <c r="BU9" i="14" s="1"/>
  <c r="DH9" i="14"/>
  <c r="DB9" i="14"/>
  <c r="DF9" i="14"/>
  <c r="DG9" i="14"/>
  <c r="DA9" i="14"/>
  <c r="BZ9" i="14"/>
  <c r="DE9" i="14"/>
  <c r="CY9" i="14"/>
  <c r="BX9" i="14"/>
  <c r="CZ9" i="14"/>
  <c r="FI41" i="14"/>
  <c r="FL8" i="14"/>
  <c r="FL9" i="14"/>
  <c r="CE20" i="14"/>
  <c r="BG37" i="14"/>
  <c r="AL37" i="14"/>
  <c r="CP37" i="14" s="1"/>
  <c r="AF37" i="14"/>
  <c r="CK37" i="14"/>
  <c r="AA37" i="14"/>
  <c r="AB37" i="14"/>
  <c r="AI24" i="14"/>
  <c r="CE14" i="11"/>
  <c r="CD14" i="11" s="1"/>
  <c r="BO15" i="11"/>
  <c r="CJ15" i="11"/>
  <c r="CS15" i="11"/>
  <c r="CR15" i="11" s="1"/>
  <c r="CS16" i="11"/>
  <c r="CS18" i="11"/>
  <c r="CR18" i="11" s="1"/>
  <c r="BZ20" i="11"/>
  <c r="CH20" i="11"/>
  <c r="CN20" i="11"/>
  <c r="CV20" i="11"/>
  <c r="CL23" i="11"/>
  <c r="AI25" i="11"/>
  <c r="BW25" i="11"/>
  <c r="CC25" i="11"/>
  <c r="CP25" i="11"/>
  <c r="CY25" i="11"/>
  <c r="AM29" i="11"/>
  <c r="CN29" i="11"/>
  <c r="AI30" i="11"/>
  <c r="CJ30" i="11"/>
  <c r="AM32" i="11"/>
  <c r="CE32" i="11"/>
  <c r="AE33" i="11"/>
  <c r="CV33" i="11"/>
  <c r="CU33" i="11" s="1"/>
  <c r="AI34" i="11"/>
  <c r="CV34" i="11"/>
  <c r="CU34" i="11" s="1"/>
  <c r="BO35" i="11"/>
  <c r="AE36" i="11"/>
  <c r="CS36" i="11"/>
  <c r="CR36" i="11" s="1"/>
  <c r="FJ74" i="20"/>
  <c r="BU26" i="14"/>
  <c r="FH40" i="14"/>
  <c r="FI7" i="14"/>
  <c r="CE33" i="14"/>
  <c r="CD33" i="14" s="1"/>
  <c r="AI21" i="14"/>
  <c r="AF11" i="20"/>
  <c r="AF37" i="20" s="1"/>
  <c r="AF12" i="20"/>
  <c r="DG33" i="14"/>
  <c r="DA33" i="14"/>
  <c r="CB33" i="14"/>
  <c r="BV33" i="14"/>
  <c r="BU33" i="14" s="1"/>
  <c r="DF33" i="14"/>
  <c r="CZ33" i="14"/>
  <c r="DE33" i="14"/>
  <c r="CY33" i="14"/>
  <c r="CX33" i="14" s="1"/>
  <c r="CH33" i="14"/>
  <c r="BZ33" i="14"/>
  <c r="DD33" i="14"/>
  <c r="BY33" i="14"/>
  <c r="DH33" i="14"/>
  <c r="DB33" i="14"/>
  <c r="CC33" i="14"/>
  <c r="BW33" i="14"/>
  <c r="DC33" i="14"/>
  <c r="BX33" i="14"/>
  <c r="FL58" i="14"/>
  <c r="BO37" i="14"/>
  <c r="BT37" i="14"/>
  <c r="BS37" i="14"/>
  <c r="BR37" i="14"/>
  <c r="BQ37" i="14"/>
  <c r="CO33" i="11" l="1"/>
  <c r="CJ37" i="20"/>
  <c r="CF37" i="11"/>
  <c r="AM17" i="11"/>
  <c r="CP17" i="11"/>
  <c r="AE24" i="11"/>
  <c r="DC34" i="11"/>
  <c r="DB34" i="11"/>
  <c r="BZ34" i="11"/>
  <c r="DH34" i="11"/>
  <c r="DG34" i="11" s="1"/>
  <c r="DA34" i="11"/>
  <c r="BY34" i="11"/>
  <c r="DF34" i="11"/>
  <c r="CZ34" i="11"/>
  <c r="BX34" i="11"/>
  <c r="DE34" i="11"/>
  <c r="CY34" i="11"/>
  <c r="CC34" i="11"/>
  <c r="BW34" i="11"/>
  <c r="DD34" i="11"/>
  <c r="CX34" i="11"/>
  <c r="CB34" i="11"/>
  <c r="BV34" i="11"/>
  <c r="BU34" i="11" s="1"/>
  <c r="CP6" i="11"/>
  <c r="AM28" i="11"/>
  <c r="AM37" i="14"/>
  <c r="CF37" i="14"/>
  <c r="CJ37" i="14"/>
  <c r="FL46" i="17"/>
  <c r="FL12" i="17"/>
  <c r="DE32" i="11"/>
  <c r="CY32" i="11"/>
  <c r="BY32" i="11"/>
  <c r="DD32" i="11"/>
  <c r="CX32" i="11"/>
  <c r="BX32" i="11"/>
  <c r="DC32" i="11"/>
  <c r="CC32" i="11"/>
  <c r="BW32" i="11"/>
  <c r="DH32" i="11"/>
  <c r="DB32" i="11"/>
  <c r="CB32" i="11"/>
  <c r="BV32" i="11"/>
  <c r="BU32" i="11" s="1"/>
  <c r="DG32" i="11"/>
  <c r="DA32" i="11"/>
  <c r="DF32" i="11"/>
  <c r="CZ32" i="11"/>
  <c r="BZ32" i="11"/>
  <c r="CL31" i="11"/>
  <c r="AI37" i="20"/>
  <c r="DF30" i="11"/>
  <c r="CZ30" i="11"/>
  <c r="DE30" i="11"/>
  <c r="CY30" i="11"/>
  <c r="BZ30" i="11"/>
  <c r="DD30" i="11"/>
  <c r="CX30" i="11"/>
  <c r="CH30" i="11"/>
  <c r="CG30" i="11" s="1"/>
  <c r="BY30" i="11"/>
  <c r="DC30" i="11"/>
  <c r="BX30" i="11"/>
  <c r="DH30" i="11"/>
  <c r="DB30" i="11"/>
  <c r="CC30" i="11"/>
  <c r="BW30" i="11"/>
  <c r="DG30" i="11"/>
  <c r="DA30" i="11"/>
  <c r="CB30" i="11"/>
  <c r="BV30" i="11"/>
  <c r="BU30" i="11" s="1"/>
  <c r="CJ37" i="11"/>
  <c r="BU17" i="11"/>
  <c r="DB37" i="11"/>
  <c r="DD11" i="11"/>
  <c r="CX11" i="11"/>
  <c r="CH11" i="11"/>
  <c r="CZ11" i="11"/>
  <c r="DC11" i="11"/>
  <c r="BZ11" i="11"/>
  <c r="DF11" i="11"/>
  <c r="CC11" i="11"/>
  <c r="DH11" i="11"/>
  <c r="DB11" i="11"/>
  <c r="BY11" i="11"/>
  <c r="DG11" i="11"/>
  <c r="DA11" i="11"/>
  <c r="BX11" i="11"/>
  <c r="BW11" i="11"/>
  <c r="DE11" i="11"/>
  <c r="CY11" i="11"/>
  <c r="CB11" i="11"/>
  <c r="BV11" i="11"/>
  <c r="BU11" i="11" s="1"/>
  <c r="CG37" i="11"/>
  <c r="CP11" i="11"/>
  <c r="CR37" i="11"/>
  <c r="CO19" i="11"/>
  <c r="CD37" i="11"/>
  <c r="DD23" i="11"/>
  <c r="CX23" i="11"/>
  <c r="BY23" i="11"/>
  <c r="DC23" i="11"/>
  <c r="BX23" i="11"/>
  <c r="DH23" i="11"/>
  <c r="DB23" i="11"/>
  <c r="CC23" i="11"/>
  <c r="BW23" i="11"/>
  <c r="DG23" i="11"/>
  <c r="DA23" i="11"/>
  <c r="CB23" i="11"/>
  <c r="BV23" i="11"/>
  <c r="BU23" i="11" s="1"/>
  <c r="DE23" i="11"/>
  <c r="CY23" i="11"/>
  <c r="BZ23" i="11"/>
  <c r="CH23" i="11"/>
  <c r="DF23" i="11"/>
  <c r="CZ23" i="11"/>
  <c r="FI45" i="17"/>
  <c r="FI11" i="17"/>
  <c r="FH44" i="17"/>
  <c r="FH10" i="17"/>
  <c r="FD10" i="17" s="1"/>
  <c r="CO28" i="11"/>
  <c r="CN37" i="11"/>
  <c r="CO12" i="11"/>
  <c r="CK37" i="11"/>
  <c r="CO35" i="11"/>
  <c r="CS37" i="14"/>
  <c r="AH37" i="14"/>
  <c r="CL37" i="14" s="1"/>
  <c r="FH51" i="20"/>
  <c r="FH17" i="20"/>
  <c r="FO17" i="14"/>
  <c r="FN16" i="14"/>
  <c r="CL16" i="11"/>
  <c r="FH31" i="11"/>
  <c r="FH65" i="11"/>
  <c r="DC37" i="11"/>
  <c r="CU37" i="11"/>
  <c r="AM7" i="11"/>
  <c r="AD37" i="11"/>
  <c r="CH37" i="11" s="1"/>
  <c r="CC24" i="11"/>
  <c r="AQ37" i="11"/>
  <c r="CV6" i="11"/>
  <c r="BR37" i="11"/>
  <c r="O37" i="11"/>
  <c r="DH37" i="11" s="1"/>
  <c r="BQ37" i="11"/>
  <c r="BO37" i="11"/>
  <c r="BT37" i="11"/>
  <c r="BS37" i="11"/>
  <c r="DE29" i="11"/>
  <c r="CY29" i="11"/>
  <c r="BX29" i="11"/>
  <c r="DD29" i="11"/>
  <c r="CX29" i="11"/>
  <c r="CC29" i="11"/>
  <c r="BW29" i="11"/>
  <c r="DC29" i="11"/>
  <c r="CB29" i="11"/>
  <c r="BV29" i="11"/>
  <c r="BU29" i="11" s="1"/>
  <c r="DH29" i="11"/>
  <c r="DB29" i="11"/>
  <c r="DG29" i="11"/>
  <c r="DA29" i="11"/>
  <c r="CH29" i="11"/>
  <c r="BZ29" i="11"/>
  <c r="DF29" i="11"/>
  <c r="CZ29" i="11"/>
  <c r="BY29" i="11"/>
  <c r="FI57" i="11"/>
  <c r="FH25" i="11"/>
  <c r="FH59" i="11"/>
  <c r="CP14" i="11"/>
  <c r="CL7" i="11"/>
  <c r="DD37" i="11"/>
  <c r="AI8" i="11"/>
  <c r="CO36" i="11"/>
  <c r="AO37" i="11"/>
  <c r="FI51" i="20"/>
  <c r="FI17" i="20"/>
  <c r="AH12" i="20"/>
  <c r="AI12" i="20"/>
  <c r="CL14" i="11"/>
  <c r="AM34" i="11"/>
  <c r="CL35" i="11"/>
  <c r="GJ11" i="14"/>
  <c r="B13" i="14"/>
  <c r="CE10" i="11"/>
  <c r="CD10" i="11" s="1"/>
  <c r="AS37" i="11"/>
  <c r="CE6" i="11"/>
  <c r="X37" i="11"/>
  <c r="CO37" i="11"/>
  <c r="AI37" i="11"/>
  <c r="BU26" i="11"/>
  <c r="BP37" i="11"/>
  <c r="BW37" i="11"/>
  <c r="BV37" i="11" s="1"/>
  <c r="FL20" i="14"/>
  <c r="FL54" i="14"/>
  <c r="DG13" i="11"/>
  <c r="DA13" i="11"/>
  <c r="CC13" i="11"/>
  <c r="BW13" i="11"/>
  <c r="DF13" i="11"/>
  <c r="CZ13" i="11"/>
  <c r="CY13" i="11" s="1"/>
  <c r="CB13" i="11"/>
  <c r="BV13" i="11"/>
  <c r="BU13" i="11" s="1"/>
  <c r="BY13" i="11"/>
  <c r="DE13" i="11"/>
  <c r="CX13" i="11"/>
  <c r="DH13" i="11"/>
  <c r="DB13" i="11"/>
  <c r="BX13" i="11"/>
  <c r="DD13" i="11"/>
  <c r="BZ13" i="11"/>
  <c r="DC13" i="11"/>
  <c r="FL25" i="14"/>
  <c r="FL59" i="14"/>
  <c r="FO39" i="14"/>
  <c r="FO7" i="14" s="1"/>
  <c r="FH7" i="14"/>
  <c r="FD7" i="14" s="1"/>
  <c r="CO29" i="11"/>
  <c r="AE11" i="20"/>
  <c r="AH11" i="20"/>
  <c r="AI11" i="20"/>
  <c r="AM33" i="11"/>
  <c r="FH41" i="14"/>
  <c r="FH9" i="14" s="1"/>
  <c r="FI8" i="14"/>
  <c r="FI42" i="14"/>
  <c r="AI32" i="14"/>
  <c r="FF50" i="20"/>
  <c r="FF16" i="20"/>
  <c r="CE35" i="11"/>
  <c r="CO31" i="11"/>
  <c r="AH37" i="20"/>
  <c r="CL37" i="20" s="1"/>
  <c r="BJ10" i="20"/>
  <c r="AM6" i="11"/>
  <c r="AA37" i="11"/>
  <c r="CL15" i="11"/>
  <c r="AT37" i="11"/>
  <c r="FH8" i="14" l="1"/>
  <c r="FD8" i="14" s="1"/>
  <c r="FN7" i="14"/>
  <c r="FO8" i="14"/>
  <c r="FH66" i="11"/>
  <c r="FH32" i="11"/>
  <c r="FF44" i="17"/>
  <c r="FF11" i="17" s="1"/>
  <c r="FD11" i="17" s="1"/>
  <c r="FH45" i="17"/>
  <c r="FH11" i="17"/>
  <c r="BY37" i="11"/>
  <c r="FL60" i="14"/>
  <c r="FL26" i="14"/>
  <c r="CE37" i="11"/>
  <c r="CS37" i="11"/>
  <c r="FI46" i="17"/>
  <c r="FI12" i="17"/>
  <c r="FL47" i="17"/>
  <c r="FL13" i="17"/>
  <c r="FH52" i="20"/>
  <c r="FH18" i="20"/>
  <c r="FD16" i="20"/>
  <c r="FI52" i="20"/>
  <c r="FI18" i="20"/>
  <c r="CK7" i="11"/>
  <c r="CV37" i="11"/>
  <c r="BI10" i="20"/>
  <c r="DL10" i="20" s="1"/>
  <c r="DN10" i="20"/>
  <c r="FF51" i="20"/>
  <c r="FF17" i="20"/>
  <c r="FD17" i="20" s="1"/>
  <c r="DV17" i="20" s="1"/>
  <c r="BU37" i="11"/>
  <c r="GJ12" i="14"/>
  <c r="B14" i="14"/>
  <c r="CO14" i="11"/>
  <c r="AI37" i="14"/>
  <c r="FI24" i="11"/>
  <c r="FD24" i="11" s="1"/>
  <c r="FI58" i="11"/>
  <c r="BZ37" i="11"/>
  <c r="FI43" i="14"/>
  <c r="FI9" i="14"/>
  <c r="FD9" i="14" s="1"/>
  <c r="FL22" i="14"/>
  <c r="FL21" i="14"/>
  <c r="FH26" i="11"/>
  <c r="FH27" i="11"/>
  <c r="DA37" i="11"/>
  <c r="CZ37" i="11"/>
  <c r="CY37" i="11"/>
  <c r="CX37" i="11"/>
  <c r="CC37" i="11"/>
  <c r="CB37" i="11"/>
  <c r="DG37" i="11"/>
  <c r="DF37" i="11"/>
  <c r="DE37" i="11"/>
  <c r="BX37" i="11"/>
  <c r="FP18" i="14"/>
  <c r="FO18" i="14"/>
  <c r="FN17" i="14"/>
  <c r="AE37" i="11"/>
  <c r="FE78" i="8"/>
  <c r="FE76" i="8"/>
  <c r="FE74" i="8"/>
  <c r="FJ66" i="8"/>
  <c r="L40" i="8"/>
  <c r="K40" i="8"/>
  <c r="J40" i="8"/>
  <c r="I40" i="8"/>
  <c r="H40" i="8"/>
  <c r="G40" i="8"/>
  <c r="F40" i="8"/>
  <c r="GI37" i="8"/>
  <c r="GH37" i="8"/>
  <c r="GG37" i="8"/>
  <c r="GF37" i="8"/>
  <c r="GE37" i="8"/>
  <c r="GD37" i="8"/>
  <c r="GC37" i="8"/>
  <c r="GA37" i="8"/>
  <c r="FZ37" i="8"/>
  <c r="DR37" i="8"/>
  <c r="DM37" i="8"/>
  <c r="DK37" i="8"/>
  <c r="DI37" i="8"/>
  <c r="CW37" i="8"/>
  <c r="CT37" i="8"/>
  <c r="CQ37" i="8"/>
  <c r="CM37" i="8"/>
  <c r="CI37" i="8"/>
  <c r="CA37" i="8"/>
  <c r="BF37" i="8"/>
  <c r="BE37" i="8"/>
  <c r="BA37" i="8"/>
  <c r="Q37" i="8"/>
  <c r="L37" i="8"/>
  <c r="K37" i="8"/>
  <c r="J37" i="8"/>
  <c r="I37" i="8"/>
  <c r="H37" i="8"/>
  <c r="G37" i="8"/>
  <c r="F37" i="8"/>
  <c r="E37" i="8"/>
  <c r="D37" i="8"/>
  <c r="GJ36" i="8"/>
  <c r="FN36" i="8"/>
  <c r="DM36" i="8"/>
  <c r="DK36" i="8"/>
  <c r="DI36" i="8"/>
  <c r="CW36" i="8"/>
  <c r="CV36" i="8"/>
  <c r="CU36" i="8"/>
  <c r="CT36" i="8"/>
  <c r="CS36" i="8"/>
  <c r="CR36" i="8"/>
  <c r="CQ36" i="8"/>
  <c r="CP36" i="8"/>
  <c r="CO36" i="8"/>
  <c r="CN36" i="8"/>
  <c r="CM36" i="8"/>
  <c r="CL36" i="8"/>
  <c r="CK36" i="8"/>
  <c r="CJ36" i="8"/>
  <c r="CI36" i="8"/>
  <c r="CH36" i="8"/>
  <c r="CG36" i="8"/>
  <c r="CF36" i="8"/>
  <c r="CA36" i="8"/>
  <c r="BS36" i="8"/>
  <c r="BQ36" i="8"/>
  <c r="BI36" i="8"/>
  <c r="BG36" i="8"/>
  <c r="BD36" i="8"/>
  <c r="BC36" i="8"/>
  <c r="BB36" i="8"/>
  <c r="AZ36" i="8"/>
  <c r="AY36" i="8"/>
  <c r="AX36" i="8"/>
  <c r="AW36" i="8"/>
  <c r="AV36" i="8"/>
  <c r="AU36" i="8"/>
  <c r="AR36" i="8"/>
  <c r="CD36" i="8" s="1"/>
  <c r="AP36" i="8"/>
  <c r="AO36" i="8" s="1"/>
  <c r="AN36" i="8"/>
  <c r="AM36" i="8" s="1"/>
  <c r="AL36" i="8"/>
  <c r="AK36" i="8"/>
  <c r="AJ36" i="8"/>
  <c r="AH36" i="8"/>
  <c r="AG36" i="8"/>
  <c r="AF36" i="8"/>
  <c r="AE36" i="8" s="1"/>
  <c r="AD36" i="8"/>
  <c r="AC36" i="8"/>
  <c r="AB36" i="8"/>
  <c r="Z36" i="8"/>
  <c r="Y36" i="8"/>
  <c r="X36" i="8" s="1"/>
  <c r="W36" i="8"/>
  <c r="V36" i="8"/>
  <c r="U36" i="8"/>
  <c r="T36" i="8"/>
  <c r="AA36" i="8" s="1"/>
  <c r="S36" i="8"/>
  <c r="R36" i="8"/>
  <c r="N36" i="8"/>
  <c r="BP36" i="8" s="1"/>
  <c r="M36" i="8"/>
  <c r="GJ35" i="8"/>
  <c r="FN35" i="8"/>
  <c r="FM35" i="8"/>
  <c r="FL35" i="8"/>
  <c r="FK35" i="8"/>
  <c r="FI35" i="8"/>
  <c r="FH35" i="8"/>
  <c r="FG35" i="8"/>
  <c r="FF35" i="8"/>
  <c r="FE35" i="8"/>
  <c r="DR35" i="8"/>
  <c r="DM35" i="8"/>
  <c r="DK35" i="8"/>
  <c r="DI35" i="8"/>
  <c r="DC35" i="8"/>
  <c r="CW35" i="8"/>
  <c r="CV35" i="8" s="1"/>
  <c r="CU35" i="8" s="1"/>
  <c r="CT35" i="8"/>
  <c r="CQ35" i="8"/>
  <c r="CM35" i="8"/>
  <c r="CI35" i="8"/>
  <c r="CF35" i="8"/>
  <c r="CA35" i="8"/>
  <c r="BR35" i="8"/>
  <c r="BD35" i="8"/>
  <c r="BC35" i="8"/>
  <c r="BG35" i="8" s="1"/>
  <c r="BB35" i="8"/>
  <c r="AZ35" i="8"/>
  <c r="AY35" i="8"/>
  <c r="AX35" i="8"/>
  <c r="AW35" i="8"/>
  <c r="AV35" i="8"/>
  <c r="AU35" i="8"/>
  <c r="AS35" i="8"/>
  <c r="AR35" i="8"/>
  <c r="CD35" i="8" s="1"/>
  <c r="AQ35" i="8"/>
  <c r="AP35" i="8"/>
  <c r="AO35" i="8"/>
  <c r="AN35" i="8"/>
  <c r="AK35" i="8"/>
  <c r="AJ35" i="8"/>
  <c r="AG35" i="8"/>
  <c r="AF35" i="8"/>
  <c r="AD35" i="8"/>
  <c r="AC35" i="8"/>
  <c r="AB35" i="8"/>
  <c r="Z35" i="8"/>
  <c r="BT35" i="8" s="1"/>
  <c r="Y35" i="8"/>
  <c r="W35" i="8"/>
  <c r="V35" i="8"/>
  <c r="U35" i="8"/>
  <c r="T35" i="8"/>
  <c r="S35" i="8"/>
  <c r="R35" i="8"/>
  <c r="AA35" i="8" s="1"/>
  <c r="O35" i="8"/>
  <c r="N35" i="8"/>
  <c r="BQ35" i="8" s="1"/>
  <c r="M35" i="8"/>
  <c r="GJ34" i="8"/>
  <c r="FM34" i="8"/>
  <c r="FL34" i="8"/>
  <c r="FK34" i="8"/>
  <c r="FI34" i="8"/>
  <c r="FH34" i="8"/>
  <c r="FG34" i="8"/>
  <c r="FF34" i="8"/>
  <c r="FE34" i="8"/>
  <c r="DR34" i="8"/>
  <c r="DM34" i="8"/>
  <c r="DK34" i="8"/>
  <c r="DI34" i="8"/>
  <c r="CW34" i="8"/>
  <c r="CU34" i="8"/>
  <c r="CT34" i="8"/>
  <c r="CR34" i="8"/>
  <c r="CQ34" i="8"/>
  <c r="CM34" i="8"/>
  <c r="CI34" i="8"/>
  <c r="CA34" i="8"/>
  <c r="BT34" i="8"/>
  <c r="BR34" i="8"/>
  <c r="BD34" i="8"/>
  <c r="BC34" i="8"/>
  <c r="BB34" i="8"/>
  <c r="BG34" i="8" s="1"/>
  <c r="AZ34" i="8"/>
  <c r="AY34" i="8"/>
  <c r="AX34" i="8"/>
  <c r="AW34" i="8"/>
  <c r="AV34" i="8"/>
  <c r="AU34" i="8"/>
  <c r="AS34" i="8" s="1"/>
  <c r="AR34" i="8"/>
  <c r="CD34" i="8" s="1"/>
  <c r="AP34" i="8"/>
  <c r="AQ34" i="8" s="1"/>
  <c r="AO34" i="8"/>
  <c r="AN34" i="8"/>
  <c r="AM34" i="8"/>
  <c r="AL34" i="8"/>
  <c r="AK34" i="8"/>
  <c r="AJ34" i="8"/>
  <c r="AG34" i="8"/>
  <c r="AF34" i="8"/>
  <c r="AH34" i="8" s="1"/>
  <c r="AI34" i="8" s="1"/>
  <c r="AC34" i="8"/>
  <c r="AB34" i="8"/>
  <c r="Z34" i="8"/>
  <c r="Y34" i="8"/>
  <c r="X34" i="8" s="1"/>
  <c r="W34" i="8"/>
  <c r="V34" i="8"/>
  <c r="U34" i="8"/>
  <c r="T34" i="8"/>
  <c r="S34" i="8"/>
  <c r="R34" i="8"/>
  <c r="AA34" i="8" s="1"/>
  <c r="N34" i="8"/>
  <c r="BQ34" i="8" s="1"/>
  <c r="M34" i="8"/>
  <c r="GJ33" i="8"/>
  <c r="FM33" i="8"/>
  <c r="FL33" i="8"/>
  <c r="FK33" i="8"/>
  <c r="FJ33" i="8"/>
  <c r="FI33" i="8"/>
  <c r="FH33" i="8"/>
  <c r="FG33" i="8"/>
  <c r="FF33" i="8"/>
  <c r="FE33" i="8"/>
  <c r="FD33" i="8" s="1"/>
  <c r="DR33" i="8"/>
  <c r="DM33" i="8"/>
  <c r="DK33" i="8"/>
  <c r="DI33" i="8"/>
  <c r="DE33" i="8"/>
  <c r="CW33" i="8"/>
  <c r="CT33" i="8"/>
  <c r="CQ33" i="8"/>
  <c r="CO33" i="8"/>
  <c r="CM33" i="8"/>
  <c r="CI33" i="8"/>
  <c r="CF33" i="8"/>
  <c r="CA33" i="8"/>
  <c r="BY33" i="8"/>
  <c r="BT33" i="8"/>
  <c r="BR33" i="8"/>
  <c r="BD33" i="8"/>
  <c r="BC33" i="8"/>
  <c r="BB33" i="8"/>
  <c r="AZ33" i="8"/>
  <c r="BG33" i="8" s="1"/>
  <c r="AY33" i="8"/>
  <c r="AX33" i="8"/>
  <c r="AW33" i="8"/>
  <c r="AV33" i="8"/>
  <c r="CY33" i="8" s="1"/>
  <c r="AU33" i="8"/>
  <c r="AS33" i="8"/>
  <c r="AR33" i="8"/>
  <c r="CD33" i="8" s="1"/>
  <c r="AP33" i="8"/>
  <c r="AN33" i="8"/>
  <c r="CR33" i="8" s="1"/>
  <c r="AL33" i="8"/>
  <c r="AM33" i="8" s="1"/>
  <c r="AK33" i="8"/>
  <c r="AJ33" i="8"/>
  <c r="AH33" i="8"/>
  <c r="CL33" i="8" s="1"/>
  <c r="AG33" i="8"/>
  <c r="AF33" i="8"/>
  <c r="AE33" i="8" s="1"/>
  <c r="AD33" i="8"/>
  <c r="AC33" i="8"/>
  <c r="AB33" i="8"/>
  <c r="Z33" i="8"/>
  <c r="Y33" i="8"/>
  <c r="X33" i="8" s="1"/>
  <c r="W33" i="8"/>
  <c r="V33" i="8"/>
  <c r="U33" i="8"/>
  <c r="T33" i="8"/>
  <c r="AA33" i="8" s="1"/>
  <c r="S33" i="8"/>
  <c r="R33" i="8"/>
  <c r="O33" i="8"/>
  <c r="DC33" i="8" s="1"/>
  <c r="N33" i="8"/>
  <c r="BQ33" i="8" s="1"/>
  <c r="M33" i="8"/>
  <c r="GJ32" i="8"/>
  <c r="FM32" i="8"/>
  <c r="FL32" i="8"/>
  <c r="FK32" i="8"/>
  <c r="FJ32" i="8"/>
  <c r="FI32" i="8"/>
  <c r="FH32" i="8"/>
  <c r="FG32" i="8"/>
  <c r="FF32" i="8"/>
  <c r="FE32" i="8"/>
  <c r="FD32" i="8" s="1"/>
  <c r="DM32" i="8"/>
  <c r="DK32" i="8"/>
  <c r="DI32" i="8"/>
  <c r="CW32" i="8"/>
  <c r="CT32" i="8"/>
  <c r="CQ32" i="8"/>
  <c r="CN32" i="8"/>
  <c r="CM32" i="8"/>
  <c r="CK32" i="8"/>
  <c r="CI32" i="8"/>
  <c r="CA32" i="8"/>
  <c r="BQ32" i="8"/>
  <c r="BG32" i="8"/>
  <c r="BD32" i="8"/>
  <c r="BC32" i="8"/>
  <c r="BB32" i="8"/>
  <c r="AZ32" i="8"/>
  <c r="AY32" i="8"/>
  <c r="AX32" i="8"/>
  <c r="AW32" i="8"/>
  <c r="AV32" i="8"/>
  <c r="AU32" i="8"/>
  <c r="AR32" i="8"/>
  <c r="AT32" i="8" s="1"/>
  <c r="AP32" i="8"/>
  <c r="AO32" i="8" s="1"/>
  <c r="AN32" i="8"/>
  <c r="CR32" i="8" s="1"/>
  <c r="AK32" i="8"/>
  <c r="AJ32" i="8"/>
  <c r="AI32" i="8"/>
  <c r="AH32" i="8"/>
  <c r="AG32" i="8"/>
  <c r="AF32" i="8"/>
  <c r="AC32" i="8"/>
  <c r="AB32" i="8"/>
  <c r="Z32" i="8"/>
  <c r="Y32" i="8"/>
  <c r="X32" i="8" s="1"/>
  <c r="W32" i="8"/>
  <c r="V32" i="8"/>
  <c r="U32" i="8"/>
  <c r="T32" i="8"/>
  <c r="S32" i="8"/>
  <c r="R32" i="8"/>
  <c r="AA32" i="8" s="1"/>
  <c r="N32" i="8"/>
  <c r="M32" i="8"/>
  <c r="GJ31" i="8"/>
  <c r="FM31" i="8"/>
  <c r="FL31" i="8"/>
  <c r="FK31" i="8"/>
  <c r="FJ31" i="8"/>
  <c r="FI31" i="8"/>
  <c r="FH31" i="8"/>
  <c r="FG31" i="8"/>
  <c r="FF31" i="8"/>
  <c r="FE31" i="8"/>
  <c r="FD31" i="8" s="1"/>
  <c r="DR31" i="8"/>
  <c r="DM31" i="8"/>
  <c r="DK31" i="8"/>
  <c r="DI31" i="8"/>
  <c r="CW31" i="8"/>
  <c r="CT31" i="8"/>
  <c r="CR31" i="8"/>
  <c r="CQ31" i="8"/>
  <c r="CM31" i="8"/>
  <c r="CK31" i="8"/>
  <c r="CI31" i="8"/>
  <c r="CD31" i="8"/>
  <c r="CA31" i="8"/>
  <c r="BQ31" i="8"/>
  <c r="BO31" i="8"/>
  <c r="BG31" i="8"/>
  <c r="BD31" i="8"/>
  <c r="BC31" i="8"/>
  <c r="BB31" i="8"/>
  <c r="AZ31" i="8"/>
  <c r="AY31" i="8"/>
  <c r="AX31" i="8"/>
  <c r="AW31" i="8"/>
  <c r="AS31" i="8" s="1"/>
  <c r="AV31" i="8"/>
  <c r="AU31" i="8"/>
  <c r="AT31" i="8" s="1"/>
  <c r="AR31" i="8"/>
  <c r="AQ31" i="8"/>
  <c r="AP31" i="8"/>
  <c r="AN31" i="8"/>
  <c r="AK31" i="8"/>
  <c r="AJ31" i="8"/>
  <c r="AH31" i="8"/>
  <c r="AI31" i="8" s="1"/>
  <c r="AG31" i="8"/>
  <c r="AF31" i="8"/>
  <c r="CJ31" i="8" s="1"/>
  <c r="AC31" i="8"/>
  <c r="AB31" i="8"/>
  <c r="CF31" i="8" s="1"/>
  <c r="Z31" i="8"/>
  <c r="Y31" i="8"/>
  <c r="W31" i="8"/>
  <c r="V31" i="8"/>
  <c r="U31" i="8"/>
  <c r="T31" i="8"/>
  <c r="AA31" i="8" s="1"/>
  <c r="S31" i="8"/>
  <c r="R31" i="8"/>
  <c r="O31" i="8"/>
  <c r="DE31" i="8" s="1"/>
  <c r="N31" i="8"/>
  <c r="BT31" i="8" s="1"/>
  <c r="M31" i="8"/>
  <c r="GJ30" i="8"/>
  <c r="FM30" i="8"/>
  <c r="FL30" i="8"/>
  <c r="FK30" i="8"/>
  <c r="FJ30" i="8"/>
  <c r="FI30" i="8"/>
  <c r="FH30" i="8"/>
  <c r="FG30" i="8"/>
  <c r="FF30" i="8"/>
  <c r="FE30" i="8"/>
  <c r="FD30" i="8" s="1"/>
  <c r="DR30" i="8"/>
  <c r="DM30" i="8"/>
  <c r="DK30" i="8"/>
  <c r="DI30" i="8"/>
  <c r="CW30" i="8"/>
  <c r="CT30" i="8"/>
  <c r="CQ30" i="8"/>
  <c r="CM30" i="8"/>
  <c r="CL30" i="8"/>
  <c r="CJ30" i="8"/>
  <c r="CI30" i="8"/>
  <c r="CF30" i="8"/>
  <c r="CA30" i="8"/>
  <c r="BD30" i="8"/>
  <c r="BC30" i="8"/>
  <c r="BB30" i="8"/>
  <c r="AZ30" i="8"/>
  <c r="BG30" i="8" s="1"/>
  <c r="AY30" i="8"/>
  <c r="AX30" i="8"/>
  <c r="AW30" i="8"/>
  <c r="AV30" i="8"/>
  <c r="AU30" i="8"/>
  <c r="AT30" i="8" s="1"/>
  <c r="AR30" i="8"/>
  <c r="AS30" i="8" s="1"/>
  <c r="AP30" i="8"/>
  <c r="AQ30" i="8" s="1"/>
  <c r="AN30" i="8"/>
  <c r="AO30" i="8" s="1"/>
  <c r="AK30" i="8"/>
  <c r="AJ30" i="8"/>
  <c r="AH30" i="8"/>
  <c r="AG30" i="8"/>
  <c r="AF30" i="8"/>
  <c r="AI30" i="8" s="1"/>
  <c r="AC30" i="8"/>
  <c r="AB30" i="8"/>
  <c r="Z30" i="8"/>
  <c r="Y30" i="8"/>
  <c r="W30" i="8"/>
  <c r="V30" i="8"/>
  <c r="BR30" i="8" s="1"/>
  <c r="U30" i="8"/>
  <c r="T30" i="8"/>
  <c r="AA30" i="8" s="1"/>
  <c r="S30" i="8"/>
  <c r="BP30" i="8" s="1"/>
  <c r="R30" i="8"/>
  <c r="O30" i="8"/>
  <c r="DF30" i="8" s="1"/>
  <c r="N30" i="8"/>
  <c r="BO30" i="8" s="1"/>
  <c r="M30" i="8"/>
  <c r="GJ29" i="8"/>
  <c r="FO29" i="8"/>
  <c r="FN29" i="8" s="1"/>
  <c r="FM29" i="8"/>
  <c r="FL29" i="8"/>
  <c r="FK29" i="8"/>
  <c r="FJ29" i="8"/>
  <c r="FI29" i="8"/>
  <c r="FH29" i="8"/>
  <c r="FG29" i="8"/>
  <c r="FF29" i="8"/>
  <c r="FD29" i="8" s="1"/>
  <c r="FE29" i="8"/>
  <c r="DR29" i="8"/>
  <c r="DM29" i="8"/>
  <c r="DK29" i="8"/>
  <c r="DI29" i="8"/>
  <c r="CW29" i="8"/>
  <c r="CT29" i="8"/>
  <c r="CQ29" i="8"/>
  <c r="CO29" i="8"/>
  <c r="CM29" i="8"/>
  <c r="CI29" i="8"/>
  <c r="CA29" i="8"/>
  <c r="BS29" i="8"/>
  <c r="BO29" i="8"/>
  <c r="BD29" i="8"/>
  <c r="BC29" i="8"/>
  <c r="BB29" i="8"/>
  <c r="AZ29" i="8"/>
  <c r="BG29" i="8" s="1"/>
  <c r="AY29" i="8"/>
  <c r="AX29" i="8"/>
  <c r="AW29" i="8"/>
  <c r="AV29" i="8"/>
  <c r="AU29" i="8"/>
  <c r="AT29" i="8"/>
  <c r="AS29" i="8"/>
  <c r="AR29" i="8"/>
  <c r="AP29" i="8"/>
  <c r="AQ29" i="8" s="1"/>
  <c r="AN29" i="8"/>
  <c r="CR29" i="8" s="1"/>
  <c r="AK29" i="8"/>
  <c r="AJ29" i="8"/>
  <c r="AH29" i="8"/>
  <c r="AG29" i="8"/>
  <c r="AF29" i="8"/>
  <c r="AD29" i="8"/>
  <c r="AC29" i="8"/>
  <c r="AB29" i="8"/>
  <c r="Z29" i="8"/>
  <c r="Y29" i="8"/>
  <c r="X29" i="8" s="1"/>
  <c r="W29" i="8"/>
  <c r="V29" i="8"/>
  <c r="U29" i="8"/>
  <c r="T29" i="8"/>
  <c r="AA29" i="8" s="1"/>
  <c r="S29" i="8"/>
  <c r="R29" i="8"/>
  <c r="N29" i="8"/>
  <c r="BR29" i="8" s="1"/>
  <c r="M29" i="8"/>
  <c r="GJ28" i="8"/>
  <c r="FN28" i="8"/>
  <c r="FM28" i="8"/>
  <c r="FL28" i="8"/>
  <c r="FK28" i="8"/>
  <c r="FJ28" i="8"/>
  <c r="FI28" i="8"/>
  <c r="FH28" i="8"/>
  <c r="FG28" i="8"/>
  <c r="FF28" i="8"/>
  <c r="FD28" i="8" s="1"/>
  <c r="FE28" i="8"/>
  <c r="DR28" i="8"/>
  <c r="DM28" i="8"/>
  <c r="DK28" i="8"/>
  <c r="DI28" i="8"/>
  <c r="CW28" i="8"/>
  <c r="CT28" i="8"/>
  <c r="CS28" i="8"/>
  <c r="CR28" i="8"/>
  <c r="CQ28" i="8"/>
  <c r="CM28" i="8"/>
  <c r="CL28" i="8"/>
  <c r="CK28" i="8"/>
  <c r="CJ28" i="8"/>
  <c r="CI28" i="8"/>
  <c r="CH28" i="8"/>
  <c r="CG28" i="8"/>
  <c r="CF28" i="8"/>
  <c r="CD28" i="8"/>
  <c r="CA28" i="8"/>
  <c r="BS28" i="8"/>
  <c r="BG28" i="8"/>
  <c r="BD28" i="8"/>
  <c r="BC28" i="8"/>
  <c r="BB28" i="8"/>
  <c r="AZ28" i="8"/>
  <c r="AY28" i="8"/>
  <c r="AX28" i="8"/>
  <c r="AW28" i="8"/>
  <c r="AV28" i="8"/>
  <c r="AU28" i="8"/>
  <c r="AT28" i="8" s="1"/>
  <c r="AR28" i="8"/>
  <c r="AS28" i="8" s="1"/>
  <c r="AQ28" i="8"/>
  <c r="AP28" i="8"/>
  <c r="AN28" i="8"/>
  <c r="AM28" i="8" s="1"/>
  <c r="AL28" i="8"/>
  <c r="CP28" i="8" s="1"/>
  <c r="CO28" i="8" s="1"/>
  <c r="AK28" i="8"/>
  <c r="AJ28" i="8"/>
  <c r="AH28" i="8"/>
  <c r="AG28" i="8"/>
  <c r="AF28" i="8"/>
  <c r="AD28" i="8"/>
  <c r="AC28" i="8"/>
  <c r="AB28" i="8"/>
  <c r="Z28" i="8"/>
  <c r="Y28" i="8"/>
  <c r="X28" i="8" s="1"/>
  <c r="W28" i="8"/>
  <c r="V28" i="8"/>
  <c r="U28" i="8"/>
  <c r="T28" i="8"/>
  <c r="AA28" i="8" s="1"/>
  <c r="S28" i="8"/>
  <c r="R28" i="8"/>
  <c r="N28" i="8"/>
  <c r="BQ28" i="8" s="1"/>
  <c r="M28" i="8"/>
  <c r="GJ27" i="8"/>
  <c r="FN27" i="8"/>
  <c r="FM27" i="8"/>
  <c r="FL27" i="8"/>
  <c r="FK27" i="8"/>
  <c r="FJ27" i="8"/>
  <c r="FI27" i="8"/>
  <c r="FH27" i="8"/>
  <c r="FG27" i="8"/>
  <c r="FF27" i="8"/>
  <c r="FE27" i="8"/>
  <c r="FD27" i="8"/>
  <c r="DR27" i="8"/>
  <c r="DM27" i="8"/>
  <c r="DK27" i="8"/>
  <c r="DI27" i="8"/>
  <c r="CW27" i="8"/>
  <c r="CV27" i="8" s="1"/>
  <c r="CT27" i="8"/>
  <c r="CS27" i="8"/>
  <c r="CR27" i="8"/>
  <c r="CQ27" i="8"/>
  <c r="CO27" i="8"/>
  <c r="CM27" i="8"/>
  <c r="CI27" i="8"/>
  <c r="CA27" i="8"/>
  <c r="BD27" i="8"/>
  <c r="BC27" i="8"/>
  <c r="BB27" i="8"/>
  <c r="AZ27" i="8"/>
  <c r="BG27" i="8" s="1"/>
  <c r="AY27" i="8"/>
  <c r="AX27" i="8"/>
  <c r="AW27" i="8"/>
  <c r="AV27" i="8"/>
  <c r="AU27" i="8"/>
  <c r="AT27" i="8"/>
  <c r="AR27" i="8"/>
  <c r="AQ27" i="8" s="1"/>
  <c r="AP27" i="8"/>
  <c r="AO27" i="8" s="1"/>
  <c r="AN27" i="8"/>
  <c r="AL27" i="8"/>
  <c r="AK27" i="8"/>
  <c r="AJ27" i="8"/>
  <c r="AM27" i="8" s="1"/>
  <c r="AG27" i="8"/>
  <c r="AF27" i="8"/>
  <c r="AC27" i="8"/>
  <c r="AB27" i="8"/>
  <c r="Z27" i="8"/>
  <c r="Y27" i="8"/>
  <c r="X27" i="8" s="1"/>
  <c r="W27" i="8"/>
  <c r="V27" i="8"/>
  <c r="U27" i="8"/>
  <c r="T27" i="8"/>
  <c r="S27" i="8"/>
  <c r="R27" i="8"/>
  <c r="AA27" i="8" s="1"/>
  <c r="N27" i="8"/>
  <c r="BQ27" i="8" s="1"/>
  <c r="M27" i="8"/>
  <c r="GJ26" i="8"/>
  <c r="FM26" i="8"/>
  <c r="FL26" i="8"/>
  <c r="FK26" i="8"/>
  <c r="FJ26" i="8"/>
  <c r="FI26" i="8"/>
  <c r="FH26" i="8"/>
  <c r="FG26" i="8"/>
  <c r="FF26" i="8"/>
  <c r="FD26" i="8" s="1"/>
  <c r="FE26" i="8"/>
  <c r="DR26" i="8"/>
  <c r="DM26" i="8"/>
  <c r="DK26" i="8"/>
  <c r="DI26" i="8"/>
  <c r="DG26" i="8"/>
  <c r="DA26" i="8"/>
  <c r="CW26" i="8"/>
  <c r="CT26" i="8"/>
  <c r="CS26" i="8"/>
  <c r="CR26" i="8"/>
  <c r="CQ26" i="8"/>
  <c r="CP26" i="8"/>
  <c r="CO26" i="8"/>
  <c r="CN26" i="8"/>
  <c r="CM26" i="8"/>
  <c r="CI26" i="8"/>
  <c r="CA26" i="8"/>
  <c r="BW26" i="8"/>
  <c r="BS26" i="8"/>
  <c r="BP26" i="8"/>
  <c r="BD26" i="8"/>
  <c r="BC26" i="8"/>
  <c r="BB26" i="8"/>
  <c r="AZ26" i="8"/>
  <c r="BG26" i="8" s="1"/>
  <c r="AY26" i="8"/>
  <c r="AX26" i="8"/>
  <c r="AW26" i="8"/>
  <c r="AS26" i="8" s="1"/>
  <c r="AV26" i="8"/>
  <c r="AU26" i="8"/>
  <c r="AT26" i="8"/>
  <c r="AR26" i="8"/>
  <c r="AP26" i="8"/>
  <c r="AO26" i="8" s="1"/>
  <c r="AN26" i="8"/>
  <c r="AK26" i="8"/>
  <c r="AJ26" i="8"/>
  <c r="AL26" i="8" s="1"/>
  <c r="AH26" i="8"/>
  <c r="AG26" i="8"/>
  <c r="AF26" i="8"/>
  <c r="AI26" i="8" s="1"/>
  <c r="AD26" i="8"/>
  <c r="AC26" i="8"/>
  <c r="AB26" i="8"/>
  <c r="Z26" i="8"/>
  <c r="Y26" i="8"/>
  <c r="W26" i="8"/>
  <c r="V26" i="8"/>
  <c r="U26" i="8"/>
  <c r="T26" i="8"/>
  <c r="AA26" i="8" s="1"/>
  <c r="BZ26" i="8" s="1"/>
  <c r="S26" i="8"/>
  <c r="R26" i="8"/>
  <c r="O26" i="8"/>
  <c r="DE26" i="8" s="1"/>
  <c r="N26" i="8"/>
  <c r="BT26" i="8" s="1"/>
  <c r="M26" i="8"/>
  <c r="GJ25" i="8"/>
  <c r="FO25" i="8"/>
  <c r="FN25" i="8"/>
  <c r="FM25" i="8"/>
  <c r="FL25" i="8"/>
  <c r="FK25" i="8"/>
  <c r="FJ25" i="8"/>
  <c r="FI25" i="8"/>
  <c r="FH25" i="8"/>
  <c r="FG25" i="8"/>
  <c r="FF25" i="8"/>
  <c r="FE25" i="8"/>
  <c r="FD25" i="8" s="1"/>
  <c r="BL25" i="8" s="1"/>
  <c r="BH25" i="8" s="1"/>
  <c r="DR25" i="8"/>
  <c r="DM25" i="8"/>
  <c r="DK25" i="8"/>
  <c r="DI25" i="8"/>
  <c r="CX25" i="8"/>
  <c r="CW25" i="8"/>
  <c r="CT25" i="8"/>
  <c r="CS25" i="8"/>
  <c r="CR25" i="8"/>
  <c r="CQ25" i="8"/>
  <c r="CP25" i="8"/>
  <c r="CO25" i="8"/>
  <c r="CN25" i="8"/>
  <c r="CM25" i="8"/>
  <c r="CJ25" i="8"/>
  <c r="CI25" i="8"/>
  <c r="CF25" i="8"/>
  <c r="CB25" i="8"/>
  <c r="CA25" i="8"/>
  <c r="BO25" i="8"/>
  <c r="BD25" i="8"/>
  <c r="BC25" i="8"/>
  <c r="DD25" i="8" s="1"/>
  <c r="BB25" i="8"/>
  <c r="AZ25" i="8"/>
  <c r="BG25" i="8" s="1"/>
  <c r="AY25" i="8"/>
  <c r="AX25" i="8"/>
  <c r="AW25" i="8"/>
  <c r="AV25" i="8"/>
  <c r="AU25" i="8"/>
  <c r="AR25" i="8"/>
  <c r="AS25" i="8" s="1"/>
  <c r="AQ25" i="8"/>
  <c r="AP25" i="8"/>
  <c r="AN25" i="8"/>
  <c r="AK25" i="8"/>
  <c r="AJ25" i="8"/>
  <c r="AG25" i="8"/>
  <c r="AF25" i="8"/>
  <c r="AC25" i="8"/>
  <c r="AB25" i="8"/>
  <c r="Z25" i="8"/>
  <c r="Y25" i="8"/>
  <c r="W25" i="8"/>
  <c r="V25" i="8"/>
  <c r="BR25" i="8" s="1"/>
  <c r="U25" i="8"/>
  <c r="T25" i="8"/>
  <c r="S25" i="8"/>
  <c r="R25" i="8"/>
  <c r="AA25" i="8" s="1"/>
  <c r="BU25" i="8" s="1"/>
  <c r="O25" i="8"/>
  <c r="DH25" i="8" s="1"/>
  <c r="N25" i="8"/>
  <c r="BS25" i="8" s="1"/>
  <c r="M25" i="8"/>
  <c r="GJ24" i="8"/>
  <c r="FN24" i="8"/>
  <c r="FM24" i="8"/>
  <c r="FL24" i="8"/>
  <c r="FK24" i="8"/>
  <c r="FJ24" i="8"/>
  <c r="FI24" i="8"/>
  <c r="FH24" i="8"/>
  <c r="FG24" i="8"/>
  <c r="FF24" i="8"/>
  <c r="FE24" i="8"/>
  <c r="FD24" i="8" s="1"/>
  <c r="DR24" i="8"/>
  <c r="DM24" i="8"/>
  <c r="DK24" i="8"/>
  <c r="DI24" i="8"/>
  <c r="CW24" i="8"/>
  <c r="CU24" i="8"/>
  <c r="CT24" i="8"/>
  <c r="CS24" i="8"/>
  <c r="CR24" i="8"/>
  <c r="CQ24" i="8"/>
  <c r="CM24" i="8"/>
  <c r="CL24" i="8" s="1"/>
  <c r="CI24" i="8"/>
  <c r="CF24" i="8"/>
  <c r="CA24" i="8"/>
  <c r="BR24" i="8"/>
  <c r="BG24" i="8"/>
  <c r="BD24" i="8"/>
  <c r="BC24" i="8"/>
  <c r="BB24" i="8"/>
  <c r="AZ24" i="8"/>
  <c r="AY24" i="8"/>
  <c r="AX24" i="8"/>
  <c r="AW24" i="8"/>
  <c r="AV24" i="8"/>
  <c r="AU24" i="8"/>
  <c r="AR24" i="8"/>
  <c r="AT24" i="8" s="1"/>
  <c r="AP24" i="8"/>
  <c r="AQ24" i="8" s="1"/>
  <c r="AN24" i="8"/>
  <c r="AK24" i="8"/>
  <c r="AJ24" i="8"/>
  <c r="AH24" i="8"/>
  <c r="AI24" i="8" s="1"/>
  <c r="AG24" i="8"/>
  <c r="AF24" i="8"/>
  <c r="AC24" i="8"/>
  <c r="AB24" i="8"/>
  <c r="Z24" i="8"/>
  <c r="Y24" i="8"/>
  <c r="X24" i="8" s="1"/>
  <c r="W24" i="8"/>
  <c r="V24" i="8"/>
  <c r="U24" i="8"/>
  <c r="T24" i="8"/>
  <c r="S24" i="8"/>
  <c r="R24" i="8"/>
  <c r="BO24" i="8" s="1"/>
  <c r="N24" i="8"/>
  <c r="BP24" i="8" s="1"/>
  <c r="M24" i="8"/>
  <c r="GJ23" i="8"/>
  <c r="FN23" i="8"/>
  <c r="FM23" i="8"/>
  <c r="FL23" i="8"/>
  <c r="FK23" i="8"/>
  <c r="FJ23" i="8"/>
  <c r="FI23" i="8"/>
  <c r="FH23" i="8"/>
  <c r="FG23" i="8"/>
  <c r="FD23" i="8" s="1"/>
  <c r="FF23" i="8"/>
  <c r="FE23" i="8"/>
  <c r="DR23" i="8"/>
  <c r="DM23" i="8"/>
  <c r="DK23" i="8"/>
  <c r="DI23" i="8"/>
  <c r="CW23" i="8"/>
  <c r="CV23" i="8"/>
  <c r="CU23" i="8"/>
  <c r="CT23" i="8"/>
  <c r="CS23" i="8"/>
  <c r="CR23" i="8"/>
  <c r="CQ23" i="8"/>
  <c r="CM23" i="8"/>
  <c r="CI23" i="8"/>
  <c r="CD23" i="8"/>
  <c r="CA23" i="8"/>
  <c r="BG23" i="8"/>
  <c r="BD23" i="8"/>
  <c r="BC23" i="8"/>
  <c r="BB23" i="8"/>
  <c r="AZ23" i="8"/>
  <c r="AY23" i="8"/>
  <c r="AX23" i="8"/>
  <c r="AW23" i="8"/>
  <c r="AV23" i="8"/>
  <c r="AU23" i="8"/>
  <c r="AT23" i="8" s="1"/>
  <c r="AR23" i="8"/>
  <c r="AP23" i="8"/>
  <c r="AO23" i="8" s="1"/>
  <c r="AN23" i="8"/>
  <c r="AL23" i="8"/>
  <c r="AM23" i="8" s="1"/>
  <c r="AK23" i="8"/>
  <c r="AJ23" i="8"/>
  <c r="AG23" i="8"/>
  <c r="AF23" i="8"/>
  <c r="AC23" i="8"/>
  <c r="AB23" i="8"/>
  <c r="Z23" i="8"/>
  <c r="Y23" i="8"/>
  <c r="W23" i="8"/>
  <c r="V23" i="8"/>
  <c r="U23" i="8"/>
  <c r="T23" i="8"/>
  <c r="S23" i="8"/>
  <c r="R23" i="8"/>
  <c r="AA23" i="8" s="1"/>
  <c r="N23" i="8"/>
  <c r="BO23" i="8" s="1"/>
  <c r="M23" i="8"/>
  <c r="GJ22" i="8"/>
  <c r="FP22" i="8"/>
  <c r="FN22" i="8"/>
  <c r="FM22" i="8"/>
  <c r="FL22" i="8"/>
  <c r="FK22" i="8"/>
  <c r="FJ22" i="8"/>
  <c r="FI22" i="8"/>
  <c r="FH22" i="8"/>
  <c r="FG22" i="8"/>
  <c r="FF22" i="8"/>
  <c r="FD22" i="8" s="1"/>
  <c r="FE22" i="8"/>
  <c r="DR22" i="8"/>
  <c r="DM22" i="8"/>
  <c r="DK22" i="8"/>
  <c r="DI22" i="8"/>
  <c r="CW22" i="8"/>
  <c r="CT22" i="8"/>
  <c r="CS22" i="8"/>
  <c r="CR22" i="8"/>
  <c r="CQ22" i="8"/>
  <c r="CM22" i="8"/>
  <c r="CJ22" i="8"/>
  <c r="CI22" i="8"/>
  <c r="CG22" i="8"/>
  <c r="CA22" i="8"/>
  <c r="BS22" i="8"/>
  <c r="BP22" i="8"/>
  <c r="BD22" i="8"/>
  <c r="BC22" i="8"/>
  <c r="BB22" i="8"/>
  <c r="BG22" i="8" s="1"/>
  <c r="AZ22" i="8"/>
  <c r="AY22" i="8"/>
  <c r="AX22" i="8"/>
  <c r="AW22" i="8"/>
  <c r="AV22" i="8"/>
  <c r="AU22" i="8"/>
  <c r="AR22" i="8"/>
  <c r="AS22" i="8" s="1"/>
  <c r="AQ22" i="8"/>
  <c r="AP22" i="8"/>
  <c r="AN22" i="8"/>
  <c r="AK22" i="8"/>
  <c r="AJ22" i="8"/>
  <c r="AL22" i="8" s="1"/>
  <c r="AH22" i="8"/>
  <c r="AI22" i="8" s="1"/>
  <c r="AG22" i="8"/>
  <c r="AF22" i="8"/>
  <c r="AD22" i="8"/>
  <c r="AC22" i="8"/>
  <c r="AB22" i="8"/>
  <c r="Z22" i="8"/>
  <c r="Y22" i="8"/>
  <c r="W22" i="8"/>
  <c r="V22" i="8"/>
  <c r="U22" i="8"/>
  <c r="T22" i="8"/>
  <c r="AA22" i="8" s="1"/>
  <c r="S22" i="8"/>
  <c r="R22" i="8"/>
  <c r="N22" i="8"/>
  <c r="BT22" i="8" s="1"/>
  <c r="M22" i="8"/>
  <c r="GJ21" i="8"/>
  <c r="FP21" i="8"/>
  <c r="FN21" i="8"/>
  <c r="FM21" i="8"/>
  <c r="FL21" i="8"/>
  <c r="FK21" i="8"/>
  <c r="FJ21" i="8"/>
  <c r="FI21" i="8"/>
  <c r="FH21" i="8"/>
  <c r="FG21" i="8"/>
  <c r="FF21" i="8"/>
  <c r="FE21" i="8"/>
  <c r="FD21" i="8" s="1"/>
  <c r="DR21" i="8"/>
  <c r="DM21" i="8"/>
  <c r="DK21" i="8"/>
  <c r="DI21" i="8"/>
  <c r="DF21" i="8"/>
  <c r="DC21" i="8"/>
  <c r="CW21" i="8"/>
  <c r="CT21" i="8"/>
  <c r="CS21" i="8"/>
  <c r="CR21" i="8"/>
  <c r="CQ21" i="8"/>
  <c r="CM21" i="8"/>
  <c r="CL21" i="8"/>
  <c r="CK21" i="8"/>
  <c r="CJ21" i="8"/>
  <c r="CI21" i="8"/>
  <c r="CH21" i="8"/>
  <c r="CG21" i="8"/>
  <c r="CF21" i="8"/>
  <c r="CB21" i="8"/>
  <c r="CA21" i="8"/>
  <c r="BY21" i="8"/>
  <c r="BV21" i="8"/>
  <c r="BR21" i="8"/>
  <c r="BO21" i="8"/>
  <c r="BD21" i="8"/>
  <c r="BC21" i="8"/>
  <c r="BB21" i="8"/>
  <c r="AZ21" i="8"/>
  <c r="BG21" i="8" s="1"/>
  <c r="AY21" i="8"/>
  <c r="AX21" i="8"/>
  <c r="AW21" i="8"/>
  <c r="AS21" i="8" s="1"/>
  <c r="AV21" i="8"/>
  <c r="AU21" i="8"/>
  <c r="AR21" i="8"/>
  <c r="CD21" i="8" s="1"/>
  <c r="AP21" i="8"/>
  <c r="AO21" i="8" s="1"/>
  <c r="AN21" i="8"/>
  <c r="AL21" i="8"/>
  <c r="CP21" i="8" s="1"/>
  <c r="AK21" i="8"/>
  <c r="AJ21" i="8"/>
  <c r="AH21" i="8"/>
  <c r="AG21" i="8"/>
  <c r="AF21" i="8"/>
  <c r="AD21" i="8"/>
  <c r="AC21" i="8"/>
  <c r="AB21" i="8"/>
  <c r="Z21" i="8"/>
  <c r="Y21" i="8"/>
  <c r="W21" i="8"/>
  <c r="V21" i="8"/>
  <c r="U21" i="8"/>
  <c r="T21" i="8"/>
  <c r="AA21" i="8" s="1"/>
  <c r="S21" i="8"/>
  <c r="R21" i="8"/>
  <c r="O21" i="8"/>
  <c r="N21" i="8"/>
  <c r="BP21" i="8" s="1"/>
  <c r="M21" i="8"/>
  <c r="GJ20" i="8"/>
  <c r="FM20" i="8"/>
  <c r="FL20" i="8"/>
  <c r="FK20" i="8"/>
  <c r="FJ20" i="8"/>
  <c r="FI20" i="8"/>
  <c r="FH20" i="8"/>
  <c r="FG20" i="8"/>
  <c r="FF20" i="8"/>
  <c r="FE20" i="8"/>
  <c r="FD20" i="8"/>
  <c r="DR20" i="8"/>
  <c r="DM20" i="8"/>
  <c r="DK20" i="8"/>
  <c r="DI20" i="8"/>
  <c r="CW20" i="8"/>
  <c r="CT20" i="8"/>
  <c r="CS20" i="8"/>
  <c r="CR20" i="8"/>
  <c r="CQ20" i="8"/>
  <c r="CN20" i="8"/>
  <c r="CM20" i="8"/>
  <c r="CL20" i="8"/>
  <c r="CK20" i="8"/>
  <c r="CJ20" i="8"/>
  <c r="CI20" i="8"/>
  <c r="CH20" i="8"/>
  <c r="CG20" i="8"/>
  <c r="CF20" i="8"/>
  <c r="CA20" i="8"/>
  <c r="BS20" i="8"/>
  <c r="BP20" i="8"/>
  <c r="BD20" i="8"/>
  <c r="BC20" i="8"/>
  <c r="BB20" i="8"/>
  <c r="AZ20" i="8"/>
  <c r="BG20" i="8" s="1"/>
  <c r="AY20" i="8"/>
  <c r="AX20" i="8"/>
  <c r="AW20" i="8"/>
  <c r="AV20" i="8"/>
  <c r="AU20" i="8"/>
  <c r="AT20" i="8"/>
  <c r="AR20" i="8"/>
  <c r="AP20" i="8"/>
  <c r="AO20" i="8" s="1"/>
  <c r="AN20" i="8"/>
  <c r="AL20" i="8"/>
  <c r="AK20" i="8"/>
  <c r="AJ20" i="8"/>
  <c r="AH20" i="8"/>
  <c r="AG20" i="8"/>
  <c r="AF20" i="8"/>
  <c r="AD20" i="8"/>
  <c r="AC20" i="8"/>
  <c r="AB20" i="8"/>
  <c r="Z20" i="8"/>
  <c r="Y20" i="8"/>
  <c r="W20" i="8"/>
  <c r="V20" i="8"/>
  <c r="U20" i="8"/>
  <c r="T20" i="8"/>
  <c r="AA20" i="8" s="1"/>
  <c r="S20" i="8"/>
  <c r="R20" i="8"/>
  <c r="N20" i="8"/>
  <c r="BT20" i="8" s="1"/>
  <c r="M20" i="8"/>
  <c r="GJ19" i="8"/>
  <c r="FM19" i="8"/>
  <c r="FL19" i="8"/>
  <c r="FK19" i="8"/>
  <c r="FJ19" i="8"/>
  <c r="FI19" i="8"/>
  <c r="FH19" i="8"/>
  <c r="FG19" i="8"/>
  <c r="FF19" i="8"/>
  <c r="FE19" i="8"/>
  <c r="FD19" i="8" s="1"/>
  <c r="DR19" i="8"/>
  <c r="DM19" i="8"/>
  <c r="DK19" i="8"/>
  <c r="DI19" i="8"/>
  <c r="CW19" i="8"/>
  <c r="CU19" i="8"/>
  <c r="CT19" i="8"/>
  <c r="CR19" i="8"/>
  <c r="CQ19" i="8"/>
  <c r="CM19" i="8"/>
  <c r="CL19" i="8"/>
  <c r="CK19" i="8"/>
  <c r="CJ19" i="8"/>
  <c r="CI19" i="8"/>
  <c r="CG19" i="8"/>
  <c r="CA19" i="8"/>
  <c r="BP19" i="8"/>
  <c r="BD19" i="8"/>
  <c r="BC19" i="8"/>
  <c r="BB19" i="8"/>
  <c r="AZ19" i="8"/>
  <c r="BG19" i="8" s="1"/>
  <c r="AY19" i="8"/>
  <c r="AX19" i="8"/>
  <c r="AW19" i="8"/>
  <c r="AS19" i="8" s="1"/>
  <c r="AV19" i="8"/>
  <c r="AU19" i="8"/>
  <c r="AT19" i="8"/>
  <c r="AR19" i="8"/>
  <c r="AQ19" i="8"/>
  <c r="AP19" i="8"/>
  <c r="AN19" i="8"/>
  <c r="AK19" i="8"/>
  <c r="AJ19" i="8"/>
  <c r="AG19" i="8"/>
  <c r="AF19" i="8"/>
  <c r="AH19" i="8" s="1"/>
  <c r="AC19" i="8"/>
  <c r="AB19" i="8"/>
  <c r="Z19" i="8"/>
  <c r="Y19" i="8"/>
  <c r="X19" i="8" s="1"/>
  <c r="W19" i="8"/>
  <c r="V19" i="8"/>
  <c r="U19" i="8"/>
  <c r="T19" i="8"/>
  <c r="S19" i="8"/>
  <c r="R19" i="8"/>
  <c r="AA19" i="8" s="1"/>
  <c r="N19" i="8"/>
  <c r="BT19" i="8" s="1"/>
  <c r="M19" i="8"/>
  <c r="GJ18" i="8"/>
  <c r="FM18" i="8"/>
  <c r="FL18" i="8"/>
  <c r="FK18" i="8"/>
  <c r="FJ18" i="8"/>
  <c r="FI18" i="8"/>
  <c r="FH18" i="8"/>
  <c r="FG18" i="8"/>
  <c r="FF18" i="8"/>
  <c r="FE18" i="8"/>
  <c r="FD18" i="8" s="1"/>
  <c r="DR18" i="8"/>
  <c r="DM18" i="8"/>
  <c r="DK18" i="8"/>
  <c r="DI18" i="8"/>
  <c r="DE18" i="8"/>
  <c r="DD18" i="8" s="1"/>
  <c r="CW18" i="8"/>
  <c r="CT18" i="8"/>
  <c r="CR18" i="8"/>
  <c r="CQ18" i="8"/>
  <c r="CM18" i="8"/>
  <c r="CK18" i="8"/>
  <c r="CI18" i="8"/>
  <c r="CH18" i="8"/>
  <c r="CA18" i="8"/>
  <c r="BT18" i="8"/>
  <c r="BD18" i="8"/>
  <c r="BC18" i="8"/>
  <c r="BB18" i="8"/>
  <c r="BG18" i="8" s="1"/>
  <c r="DH18" i="8" s="1"/>
  <c r="AZ18" i="8"/>
  <c r="AY18" i="8"/>
  <c r="AX18" i="8"/>
  <c r="DA18" i="8" s="1"/>
  <c r="AW18" i="8"/>
  <c r="AV18" i="8"/>
  <c r="AU18" i="8"/>
  <c r="CX18" i="8" s="1"/>
  <c r="AR18" i="8"/>
  <c r="AS18" i="8" s="1"/>
  <c r="AQ18" i="8"/>
  <c r="AP18" i="8"/>
  <c r="CU18" i="8" s="1"/>
  <c r="AO18" i="8"/>
  <c r="AN18" i="8"/>
  <c r="AK18" i="8"/>
  <c r="AJ18" i="8"/>
  <c r="AL18" i="8" s="1"/>
  <c r="CP18" i="8" s="1"/>
  <c r="CO18" i="8" s="1"/>
  <c r="AH18" i="8"/>
  <c r="AI18" i="8" s="1"/>
  <c r="AG18" i="8"/>
  <c r="AF18" i="8"/>
  <c r="CJ18" i="8" s="1"/>
  <c r="AD18" i="8"/>
  <c r="AC18" i="8"/>
  <c r="AB18" i="8"/>
  <c r="Z18" i="8"/>
  <c r="Y18" i="8"/>
  <c r="W18" i="8"/>
  <c r="V18" i="8"/>
  <c r="U18" i="8"/>
  <c r="T18" i="8"/>
  <c r="BX18" i="8" s="1"/>
  <c r="S18" i="8"/>
  <c r="R18" i="8"/>
  <c r="O18" i="8"/>
  <c r="DB18" i="8" s="1"/>
  <c r="N18" i="8"/>
  <c r="BR18" i="8" s="1"/>
  <c r="M18" i="8"/>
  <c r="GJ17" i="8"/>
  <c r="FO17" i="8"/>
  <c r="FN17" i="8" s="1"/>
  <c r="FM17" i="8"/>
  <c r="FL17" i="8"/>
  <c r="FK17" i="8"/>
  <c r="FJ17" i="8"/>
  <c r="FI17" i="8"/>
  <c r="FH17" i="8"/>
  <c r="FG17" i="8"/>
  <c r="FF17" i="8"/>
  <c r="FE17" i="8"/>
  <c r="FD17" i="8"/>
  <c r="DR17" i="8"/>
  <c r="DM17" i="8"/>
  <c r="DK17" i="8"/>
  <c r="DI17" i="8"/>
  <c r="CW17" i="8"/>
  <c r="CV17" i="8" s="1"/>
  <c r="CT17" i="8"/>
  <c r="CQ17" i="8"/>
  <c r="CM17" i="8"/>
  <c r="CI17" i="8"/>
  <c r="CD17" i="8"/>
  <c r="CA17" i="8"/>
  <c r="BD17" i="8"/>
  <c r="BC17" i="8"/>
  <c r="BB17" i="8"/>
  <c r="AZ17" i="8"/>
  <c r="BG17" i="8" s="1"/>
  <c r="AY17" i="8"/>
  <c r="AX17" i="8"/>
  <c r="AW17" i="8"/>
  <c r="AS17" i="8" s="1"/>
  <c r="AV17" i="8"/>
  <c r="AU17" i="8"/>
  <c r="AR17" i="8"/>
  <c r="AQ17" i="8" s="1"/>
  <c r="AP17" i="8"/>
  <c r="CU17" i="8" s="1"/>
  <c r="AO17" i="8"/>
  <c r="AN17" i="8"/>
  <c r="AL17" i="8"/>
  <c r="AK17" i="8"/>
  <c r="AJ17" i="8"/>
  <c r="AG17" i="8"/>
  <c r="AF17" i="8"/>
  <c r="AC17" i="8"/>
  <c r="AB17" i="8"/>
  <c r="Z17" i="8"/>
  <c r="Y17" i="8"/>
  <c r="W17" i="8"/>
  <c r="V17" i="8"/>
  <c r="U17" i="8"/>
  <c r="T17" i="8"/>
  <c r="S17" i="8"/>
  <c r="R17" i="8"/>
  <c r="AA17" i="8" s="1"/>
  <c r="N17" i="8"/>
  <c r="M17" i="8"/>
  <c r="GJ16" i="8"/>
  <c r="FM16" i="8"/>
  <c r="FL16" i="8"/>
  <c r="FK16" i="8"/>
  <c r="FJ16" i="8"/>
  <c r="FI16" i="8"/>
  <c r="FH16" i="8"/>
  <c r="FG16" i="8"/>
  <c r="FF16" i="8"/>
  <c r="FE16" i="8"/>
  <c r="FD16" i="8"/>
  <c r="DM16" i="8"/>
  <c r="DK16" i="8"/>
  <c r="DI16" i="8"/>
  <c r="CW16" i="8"/>
  <c r="CT16" i="8"/>
  <c r="CQ16" i="8"/>
  <c r="CM16" i="8"/>
  <c r="CI16" i="8"/>
  <c r="CF16" i="8"/>
  <c r="CA16" i="8"/>
  <c r="BR16" i="8"/>
  <c r="BG16" i="8"/>
  <c r="BD16" i="8"/>
  <c r="BC16" i="8"/>
  <c r="BB16" i="8"/>
  <c r="AZ16" i="8"/>
  <c r="AY16" i="8"/>
  <c r="AX16" i="8"/>
  <c r="AW16" i="8"/>
  <c r="AV16" i="8"/>
  <c r="AU16" i="8"/>
  <c r="AR16" i="8"/>
  <c r="AQ16" i="8" s="1"/>
  <c r="AP16" i="8"/>
  <c r="CU16" i="8" s="1"/>
  <c r="AN16" i="8"/>
  <c r="AO16" i="8" s="1"/>
  <c r="AK16" i="8"/>
  <c r="AJ16" i="8"/>
  <c r="AH16" i="8"/>
  <c r="CL16" i="8" s="1"/>
  <c r="CK16" i="8" s="1"/>
  <c r="AG16" i="8"/>
  <c r="AF16" i="8"/>
  <c r="AD16" i="8"/>
  <c r="AC16" i="8"/>
  <c r="AB16" i="8"/>
  <c r="Z16" i="8"/>
  <c r="Y16" i="8"/>
  <c r="X16" i="8"/>
  <c r="W16" i="8"/>
  <c r="V16" i="8"/>
  <c r="U16" i="8"/>
  <c r="T16" i="8"/>
  <c r="S16" i="8"/>
  <c r="R16" i="8"/>
  <c r="AA16" i="8" s="1"/>
  <c r="N16" i="8"/>
  <c r="BP16" i="8" s="1"/>
  <c r="M16" i="8"/>
  <c r="GJ15" i="8"/>
  <c r="FO15" i="8"/>
  <c r="FN15" i="8" s="1"/>
  <c r="FM15" i="8"/>
  <c r="FL15" i="8"/>
  <c r="FK15" i="8"/>
  <c r="FJ15" i="8"/>
  <c r="FI15" i="8"/>
  <c r="FH15" i="8"/>
  <c r="FG15" i="8"/>
  <c r="FF15" i="8"/>
  <c r="FE15" i="8"/>
  <c r="FD15" i="8" s="1"/>
  <c r="DR15" i="8"/>
  <c r="DM15" i="8"/>
  <c r="DK15" i="8"/>
  <c r="DI15" i="8"/>
  <c r="DG15" i="8"/>
  <c r="DD15" i="8"/>
  <c r="CW15" i="8"/>
  <c r="CV15" i="8"/>
  <c r="CU15" i="8"/>
  <c r="CT15" i="8"/>
  <c r="CQ15" i="8"/>
  <c r="CM15" i="8"/>
  <c r="CK15" i="8"/>
  <c r="CJ15" i="8"/>
  <c r="CI15" i="8"/>
  <c r="CH15" i="8"/>
  <c r="CG15" i="8"/>
  <c r="CF15" i="8"/>
  <c r="CB15" i="8"/>
  <c r="CA15" i="8"/>
  <c r="BY15" i="8"/>
  <c r="BV15" i="8"/>
  <c r="BR15" i="8"/>
  <c r="BO15" i="8"/>
  <c r="BD15" i="8"/>
  <c r="BC15" i="8"/>
  <c r="BB15" i="8"/>
  <c r="BG15" i="8" s="1"/>
  <c r="AZ15" i="8"/>
  <c r="AY15" i="8"/>
  <c r="AX15" i="8"/>
  <c r="DA15" i="8" s="1"/>
  <c r="AW15" i="8"/>
  <c r="AV15" i="8"/>
  <c r="AU15" i="8"/>
  <c r="CX15" i="8" s="1"/>
  <c r="AR15" i="8"/>
  <c r="AQ15" i="8" s="1"/>
  <c r="AP15" i="8"/>
  <c r="AN15" i="8"/>
  <c r="CR15" i="8" s="1"/>
  <c r="AK15" i="8"/>
  <c r="AJ15" i="8"/>
  <c r="AH15" i="8"/>
  <c r="CL15" i="8" s="1"/>
  <c r="AG15" i="8"/>
  <c r="AF15" i="8"/>
  <c r="AD15" i="8"/>
  <c r="AC15" i="8"/>
  <c r="AB15" i="8"/>
  <c r="Z15" i="8"/>
  <c r="Y15" i="8"/>
  <c r="W15" i="8"/>
  <c r="V15" i="8"/>
  <c r="U15" i="8"/>
  <c r="T15" i="8"/>
  <c r="BQ15" i="8" s="1"/>
  <c r="S15" i="8"/>
  <c r="R15" i="8"/>
  <c r="O15" i="8"/>
  <c r="N15" i="8"/>
  <c r="BS15" i="8" s="1"/>
  <c r="M15" i="8"/>
  <c r="GJ14" i="8"/>
  <c r="FN14" i="8"/>
  <c r="FM14" i="8"/>
  <c r="FL14" i="8"/>
  <c r="FK14" i="8"/>
  <c r="FJ14" i="8"/>
  <c r="FI14" i="8"/>
  <c r="FH14" i="8"/>
  <c r="FG14" i="8"/>
  <c r="FF14" i="8"/>
  <c r="FE14" i="8"/>
  <c r="FD14" i="8"/>
  <c r="DR14" i="8"/>
  <c r="DM14" i="8"/>
  <c r="DK14" i="8"/>
  <c r="DI14" i="8"/>
  <c r="CW14" i="8"/>
  <c r="CV14" i="8"/>
  <c r="CU14" i="8"/>
  <c r="CT14" i="8"/>
  <c r="CS14" i="8"/>
  <c r="CR14" i="8"/>
  <c r="CQ14" i="8"/>
  <c r="CM14" i="8"/>
  <c r="CL14" i="8"/>
  <c r="CK14" i="8"/>
  <c r="CJ14" i="8"/>
  <c r="CI14" i="8"/>
  <c r="CH14" i="8"/>
  <c r="CG14" i="8"/>
  <c r="CF14" i="8"/>
  <c r="CA14" i="8"/>
  <c r="BG14" i="8"/>
  <c r="BD14" i="8"/>
  <c r="BC14" i="8"/>
  <c r="BB14" i="8"/>
  <c r="AZ14" i="8"/>
  <c r="AY14" i="8"/>
  <c r="AX14" i="8"/>
  <c r="AW14" i="8"/>
  <c r="AV14" i="8"/>
  <c r="AU14" i="8"/>
  <c r="AR14" i="8"/>
  <c r="AQ14" i="8" s="1"/>
  <c r="AP14" i="8"/>
  <c r="AO14" i="8" s="1"/>
  <c r="AN14" i="8"/>
  <c r="AK14" i="8"/>
  <c r="AJ14" i="8"/>
  <c r="AG14" i="8"/>
  <c r="AF14" i="8"/>
  <c r="AH14" i="8" s="1"/>
  <c r="AC14" i="8"/>
  <c r="AB14" i="8"/>
  <c r="Z14" i="8"/>
  <c r="Y14" i="8"/>
  <c r="W14" i="8"/>
  <c r="V14" i="8"/>
  <c r="X14" i="8" s="1"/>
  <c r="U14" i="8"/>
  <c r="T14" i="8"/>
  <c r="S14" i="8"/>
  <c r="R14" i="8"/>
  <c r="AA14" i="8" s="1"/>
  <c r="N14" i="8"/>
  <c r="BP14" i="8" s="1"/>
  <c r="M14" i="8"/>
  <c r="GJ13" i="8" s="1"/>
  <c r="GB13" i="8"/>
  <c r="FN13" i="8"/>
  <c r="FM13" i="8"/>
  <c r="FL13" i="8"/>
  <c r="FK13" i="8"/>
  <c r="FJ13" i="8"/>
  <c r="FI13" i="8"/>
  <c r="FH13" i="8"/>
  <c r="FG13" i="8"/>
  <c r="FF13" i="8"/>
  <c r="FE13" i="8"/>
  <c r="FD13" i="8" s="1"/>
  <c r="DR13" i="8"/>
  <c r="DM13" i="8"/>
  <c r="DK13" i="8"/>
  <c r="DI13" i="8"/>
  <c r="CW13" i="8"/>
  <c r="CV13" i="8"/>
  <c r="CU13" i="8"/>
  <c r="CT13" i="8"/>
  <c r="CR13" i="8"/>
  <c r="CQ13" i="8"/>
  <c r="CO13" i="8"/>
  <c r="CM13" i="8"/>
  <c r="CI13" i="8"/>
  <c r="CA13" i="8"/>
  <c r="BT13" i="8"/>
  <c r="BQ13" i="8"/>
  <c r="BD13" i="8"/>
  <c r="BC13" i="8"/>
  <c r="BB13" i="8"/>
  <c r="BG13" i="8" s="1"/>
  <c r="AZ13" i="8"/>
  <c r="AY13" i="8"/>
  <c r="AX13" i="8"/>
  <c r="AW13" i="8"/>
  <c r="AV13" i="8"/>
  <c r="AU13" i="8"/>
  <c r="AR13" i="8"/>
  <c r="AQ13" i="8" s="1"/>
  <c r="AP13" i="8"/>
  <c r="AO13" i="8" s="1"/>
  <c r="AN13" i="8"/>
  <c r="AK13" i="8"/>
  <c r="AJ13" i="8"/>
  <c r="AG13" i="8"/>
  <c r="AF13" i="8"/>
  <c r="AD13" i="8"/>
  <c r="AC13" i="8"/>
  <c r="AB13" i="8"/>
  <c r="Z13" i="8"/>
  <c r="Y13" i="8"/>
  <c r="X13" i="8"/>
  <c r="W13" i="8"/>
  <c r="V13" i="8"/>
  <c r="U13" i="8"/>
  <c r="AA13" i="8" s="1"/>
  <c r="T13" i="8"/>
  <c r="S13" i="8"/>
  <c r="R13" i="8"/>
  <c r="N13" i="8"/>
  <c r="BR13" i="8" s="1"/>
  <c r="M13" i="8"/>
  <c r="GJ12" i="8" s="1"/>
  <c r="GB12" i="8"/>
  <c r="FM12" i="8"/>
  <c r="FL12" i="8"/>
  <c r="FK12" i="8"/>
  <c r="FJ12" i="8"/>
  <c r="FI12" i="8"/>
  <c r="FH12" i="8"/>
  <c r="FG12" i="8"/>
  <c r="FF12" i="8"/>
  <c r="FE12" i="8"/>
  <c r="FD12" i="8"/>
  <c r="DR12" i="8"/>
  <c r="DM12" i="8"/>
  <c r="DK12" i="8"/>
  <c r="DI12" i="8"/>
  <c r="CW12" i="8"/>
  <c r="CV12" i="8"/>
  <c r="CU12" i="8"/>
  <c r="CT12" i="8"/>
  <c r="CQ12" i="8"/>
  <c r="CM12" i="8"/>
  <c r="CK12" i="8"/>
  <c r="CI12" i="8"/>
  <c r="CA12" i="8"/>
  <c r="BD12" i="8"/>
  <c r="BC12" i="8"/>
  <c r="BB12" i="8"/>
  <c r="AZ12" i="8"/>
  <c r="BG12" i="8" s="1"/>
  <c r="AY12" i="8"/>
  <c r="AX12" i="8"/>
  <c r="AW12" i="8"/>
  <c r="AS12" i="8" s="1"/>
  <c r="AV12" i="8"/>
  <c r="AU12" i="8"/>
  <c r="AT12" i="8"/>
  <c r="AR12" i="8"/>
  <c r="AP12" i="8"/>
  <c r="AN12" i="8"/>
  <c r="CR12" i="8" s="1"/>
  <c r="AK12" i="8"/>
  <c r="AJ12" i="8"/>
  <c r="AG12" i="8"/>
  <c r="AF12" i="8"/>
  <c r="CJ12" i="8" s="1"/>
  <c r="AC12" i="8"/>
  <c r="AB12" i="8"/>
  <c r="Z12" i="8"/>
  <c r="Y12" i="8"/>
  <c r="W12" i="8"/>
  <c r="V12" i="8"/>
  <c r="U12" i="8"/>
  <c r="T12" i="8"/>
  <c r="S12" i="8"/>
  <c r="R12" i="8"/>
  <c r="AA12" i="8" s="1"/>
  <c r="N12" i="8"/>
  <c r="M12" i="8"/>
  <c r="GJ11" i="8" s="1"/>
  <c r="GB11" i="8"/>
  <c r="FM11" i="8"/>
  <c r="FL11" i="8"/>
  <c r="FK11" i="8"/>
  <c r="FJ11" i="8"/>
  <c r="FI11" i="8"/>
  <c r="FH11" i="8"/>
  <c r="FG11" i="8"/>
  <c r="FF11" i="8"/>
  <c r="FE11" i="8"/>
  <c r="FD11" i="8" s="1"/>
  <c r="DR11" i="8"/>
  <c r="DM11" i="8"/>
  <c r="DK11" i="8"/>
  <c r="DI11" i="8"/>
  <c r="CW11" i="8"/>
  <c r="CV11" i="8"/>
  <c r="CU11" i="8"/>
  <c r="CT11" i="8"/>
  <c r="CQ11" i="8"/>
  <c r="CM11" i="8"/>
  <c r="CJ11" i="8"/>
  <c r="CI11" i="8"/>
  <c r="CG11" i="8"/>
  <c r="CA11" i="8"/>
  <c r="BG11" i="8"/>
  <c r="BD11" i="8"/>
  <c r="BC11" i="8"/>
  <c r="BB11" i="8"/>
  <c r="AZ11" i="8"/>
  <c r="AY11" i="8"/>
  <c r="AX11" i="8"/>
  <c r="AW11" i="8"/>
  <c r="AV11" i="8"/>
  <c r="AU11" i="8"/>
  <c r="AT11" i="8" s="1"/>
  <c r="AR11" i="8"/>
  <c r="AP11" i="8"/>
  <c r="AN11" i="8"/>
  <c r="AO11" i="8" s="1"/>
  <c r="AL11" i="8"/>
  <c r="CP11" i="8" s="1"/>
  <c r="CO11" i="8" s="1"/>
  <c r="AK11" i="8"/>
  <c r="AJ11" i="8"/>
  <c r="CN11" i="8" s="1"/>
  <c r="AI11" i="8"/>
  <c r="AG11" i="8"/>
  <c r="AF11" i="8"/>
  <c r="AH11" i="8" s="1"/>
  <c r="AC11" i="8"/>
  <c r="AB11" i="8"/>
  <c r="Z11" i="8"/>
  <c r="Y11" i="8"/>
  <c r="X11" i="8" s="1"/>
  <c r="W11" i="8"/>
  <c r="V11" i="8"/>
  <c r="U11" i="8"/>
  <c r="T11" i="8"/>
  <c r="S11" i="8"/>
  <c r="R11" i="8"/>
  <c r="AA11" i="8" s="1"/>
  <c r="N11" i="8"/>
  <c r="M11" i="8"/>
  <c r="GB10" i="8"/>
  <c r="FM10" i="8"/>
  <c r="FL10" i="8"/>
  <c r="FK10" i="8"/>
  <c r="FJ10" i="8"/>
  <c r="FI10" i="8"/>
  <c r="FH10" i="8"/>
  <c r="FG10" i="8"/>
  <c r="FF10" i="8"/>
  <c r="FD10" i="8" s="1"/>
  <c r="FE10" i="8"/>
  <c r="DR10" i="8"/>
  <c r="DM10" i="8"/>
  <c r="DK10" i="8"/>
  <c r="DI10" i="8"/>
  <c r="CW10" i="8"/>
  <c r="CT10" i="8"/>
  <c r="CR10" i="8"/>
  <c r="CQ10" i="8"/>
  <c r="CM10" i="8"/>
  <c r="CL10" i="8"/>
  <c r="CK10" i="8"/>
  <c r="CJ10" i="8"/>
  <c r="CI10" i="8"/>
  <c r="CG10" i="8"/>
  <c r="CA10" i="8"/>
  <c r="BP10" i="8"/>
  <c r="BD10" i="8"/>
  <c r="BC10" i="8"/>
  <c r="BB10" i="8"/>
  <c r="AZ10" i="8"/>
  <c r="BG10" i="8" s="1"/>
  <c r="AY10" i="8"/>
  <c r="AX10" i="8"/>
  <c r="AW10" i="8"/>
  <c r="AS10" i="8" s="1"/>
  <c r="AV10" i="8"/>
  <c r="AU10" i="8"/>
  <c r="AR10" i="8"/>
  <c r="CD10" i="8" s="1"/>
  <c r="AP10" i="8"/>
  <c r="AN10" i="8"/>
  <c r="AL10" i="8"/>
  <c r="AK10" i="8"/>
  <c r="AJ10" i="8"/>
  <c r="AH10" i="8"/>
  <c r="AG10" i="8"/>
  <c r="AF10" i="8"/>
  <c r="AD10" i="8"/>
  <c r="AC10" i="8"/>
  <c r="AB10" i="8"/>
  <c r="CF10" i="8" s="1"/>
  <c r="CE10" i="8" s="1"/>
  <c r="Z10" i="8"/>
  <c r="Y10" i="8"/>
  <c r="X10" i="8"/>
  <c r="W10" i="8"/>
  <c r="V10" i="8"/>
  <c r="U10" i="8"/>
  <c r="AA10" i="8" s="1"/>
  <c r="T10" i="8"/>
  <c r="S10" i="8"/>
  <c r="R10" i="8"/>
  <c r="N10" i="8"/>
  <c r="M10" i="8"/>
  <c r="GJ9" i="8"/>
  <c r="FM9" i="8"/>
  <c r="FL9" i="8"/>
  <c r="FK9" i="8"/>
  <c r="FJ9" i="8"/>
  <c r="FI9" i="8"/>
  <c r="FH9" i="8"/>
  <c r="FG9" i="8"/>
  <c r="FF9" i="8"/>
  <c r="FE9" i="8"/>
  <c r="FD9" i="8" s="1"/>
  <c r="DR9" i="8"/>
  <c r="DM9" i="8"/>
  <c r="DK9" i="8"/>
  <c r="DI9" i="8"/>
  <c r="DE9" i="8"/>
  <c r="CY9" i="8"/>
  <c r="CW9" i="8"/>
  <c r="CU9" i="8"/>
  <c r="CT9" i="8"/>
  <c r="CQ9" i="8"/>
  <c r="CO9" i="8"/>
  <c r="CM9" i="8"/>
  <c r="CL9" i="8"/>
  <c r="CK9" i="8"/>
  <c r="CJ9" i="8"/>
  <c r="CI9" i="8"/>
  <c r="CA9" i="8"/>
  <c r="BQ9" i="8"/>
  <c r="BD9" i="8"/>
  <c r="BC9" i="8"/>
  <c r="BG9" i="8" s="1"/>
  <c r="BB9" i="8"/>
  <c r="AZ9" i="8"/>
  <c r="AY9" i="8"/>
  <c r="AX9" i="8"/>
  <c r="AW9" i="8"/>
  <c r="AV9" i="8"/>
  <c r="AU9" i="8"/>
  <c r="AR9" i="8"/>
  <c r="AQ9" i="8" s="1"/>
  <c r="AP9" i="8"/>
  <c r="AN9" i="8"/>
  <c r="AO9" i="8" s="1"/>
  <c r="AK9" i="8"/>
  <c r="AJ9" i="8"/>
  <c r="CN9" i="8" s="1"/>
  <c r="AG9" i="8"/>
  <c r="AF9" i="8"/>
  <c r="AC9" i="8"/>
  <c r="AB9" i="8"/>
  <c r="Z9" i="8"/>
  <c r="BT9" i="8" s="1"/>
  <c r="Y9" i="8"/>
  <c r="W9" i="8"/>
  <c r="V9" i="8"/>
  <c r="U9" i="8"/>
  <c r="T9" i="8"/>
  <c r="S9" i="8"/>
  <c r="R9" i="8"/>
  <c r="O9" i="8"/>
  <c r="DC9" i="8" s="1"/>
  <c r="N9" i="8"/>
  <c r="BR9" i="8" s="1"/>
  <c r="M9" i="8"/>
  <c r="GJ8" i="8"/>
  <c r="FO8" i="8"/>
  <c r="FN8" i="8"/>
  <c r="FM8" i="8"/>
  <c r="FL8" i="8"/>
  <c r="FK8" i="8"/>
  <c r="FJ8" i="8"/>
  <c r="FI8" i="8"/>
  <c r="FH8" i="8"/>
  <c r="FG8" i="8"/>
  <c r="FF8" i="8"/>
  <c r="FE8" i="8"/>
  <c r="FD8" i="8"/>
  <c r="BL8" i="8" s="1"/>
  <c r="BH8" i="8" s="1"/>
  <c r="DR8" i="8"/>
  <c r="DM8" i="8"/>
  <c r="DK8" i="8"/>
  <c r="DI8" i="8"/>
  <c r="CW8" i="8"/>
  <c r="CT8" i="8"/>
  <c r="CR8" i="8"/>
  <c r="CQ8" i="8"/>
  <c r="CN8" i="8"/>
  <c r="CM8" i="8"/>
  <c r="CL8" i="8"/>
  <c r="CK8" i="8"/>
  <c r="CJ8" i="8"/>
  <c r="CI8" i="8"/>
  <c r="CF8" i="8"/>
  <c r="CA8" i="8"/>
  <c r="BT8" i="8"/>
  <c r="BQ8" i="8"/>
  <c r="BD8" i="8"/>
  <c r="BC8" i="8"/>
  <c r="BB8" i="8"/>
  <c r="AZ8" i="8"/>
  <c r="BG8" i="8" s="1"/>
  <c r="AY8" i="8"/>
  <c r="AX8" i="8"/>
  <c r="AW8" i="8"/>
  <c r="AV8" i="8"/>
  <c r="AU8" i="8"/>
  <c r="AT8" i="8"/>
  <c r="AS8" i="8"/>
  <c r="AR8" i="8"/>
  <c r="AP8" i="8"/>
  <c r="CU8" i="8" s="1"/>
  <c r="AO8" i="8"/>
  <c r="AN8" i="8"/>
  <c r="AL8" i="8"/>
  <c r="AK8" i="8"/>
  <c r="AJ8" i="8"/>
  <c r="AM8" i="8" s="1"/>
  <c r="AH8" i="8"/>
  <c r="AG8" i="8"/>
  <c r="AF8" i="8"/>
  <c r="AC8" i="8"/>
  <c r="AB8" i="8"/>
  <c r="AD8" i="8" s="1"/>
  <c r="AE8" i="8" s="1"/>
  <c r="Z8" i="8"/>
  <c r="Y8" i="8"/>
  <c r="X8" i="8" s="1"/>
  <c r="W8" i="8"/>
  <c r="V8" i="8"/>
  <c r="U8" i="8"/>
  <c r="T8" i="8"/>
  <c r="S8" i="8"/>
  <c r="R8" i="8"/>
  <c r="AA8" i="8" s="1"/>
  <c r="N8" i="8"/>
  <c r="BO8" i="8" s="1"/>
  <c r="M8" i="8"/>
  <c r="GJ7" i="8"/>
  <c r="FN7" i="8"/>
  <c r="FM7" i="8"/>
  <c r="FL7" i="8"/>
  <c r="FK7" i="8"/>
  <c r="FJ7" i="8"/>
  <c r="FI7" i="8"/>
  <c r="FH7" i="8"/>
  <c r="FG7" i="8"/>
  <c r="FF7" i="8"/>
  <c r="FE7" i="8"/>
  <c r="FD7" i="8"/>
  <c r="DR7" i="8"/>
  <c r="DM7" i="8"/>
  <c r="DK7" i="8"/>
  <c r="DI7" i="8"/>
  <c r="CW7" i="8"/>
  <c r="CT7" i="8"/>
  <c r="CS7" i="8"/>
  <c r="CR7" i="8"/>
  <c r="CQ7" i="8"/>
  <c r="CM7" i="8"/>
  <c r="CI7" i="8"/>
  <c r="CH7" i="8"/>
  <c r="CG7" i="8"/>
  <c r="CF7" i="8"/>
  <c r="CE7" i="8"/>
  <c r="CD7" i="8" s="1"/>
  <c r="CA7" i="8"/>
  <c r="BD7" i="8"/>
  <c r="BC7" i="8"/>
  <c r="BB7" i="8"/>
  <c r="AZ7" i="8"/>
  <c r="AY7" i="8"/>
  <c r="AX7" i="8" s="1"/>
  <c r="AW7" i="8"/>
  <c r="AV7" i="8" s="1"/>
  <c r="AU7" i="8"/>
  <c r="AT7" i="8"/>
  <c r="AS7" i="8"/>
  <c r="AR7" i="8"/>
  <c r="AQ7" i="8"/>
  <c r="AP7" i="8"/>
  <c r="AO7" i="8" s="1"/>
  <c r="AN7" i="8"/>
  <c r="AK7" i="8"/>
  <c r="AJ7" i="8"/>
  <c r="AG7" i="8"/>
  <c r="AF7" i="8"/>
  <c r="AC7" i="8"/>
  <c r="AB7" i="8"/>
  <c r="Z7" i="8"/>
  <c r="BT7" i="8" s="1"/>
  <c r="Y7" i="8"/>
  <c r="W7" i="8"/>
  <c r="V7" i="8"/>
  <c r="X7" i="8" s="1"/>
  <c r="U7" i="8"/>
  <c r="T7" i="8"/>
  <c r="BQ7" i="8" s="1"/>
  <c r="S7" i="8"/>
  <c r="R7" i="8"/>
  <c r="N7" i="8"/>
  <c r="BO7" i="8" s="1"/>
  <c r="M7" i="8"/>
  <c r="GB6" i="8"/>
  <c r="GB37" i="8" s="1"/>
  <c r="FN6" i="8"/>
  <c r="FM6" i="8"/>
  <c r="FL6" i="8"/>
  <c r="FK6" i="8"/>
  <c r="FJ6" i="8"/>
  <c r="FI6" i="8"/>
  <c r="FH6" i="8"/>
  <c r="FG6" i="8"/>
  <c r="FF6" i="8"/>
  <c r="FE6" i="8"/>
  <c r="DR6" i="8"/>
  <c r="DM6" i="8"/>
  <c r="DK6" i="8"/>
  <c r="DI6" i="8"/>
  <c r="CW6" i="8"/>
  <c r="CT6" i="8"/>
  <c r="CS6" i="8"/>
  <c r="CR6" i="8"/>
  <c r="CQ6" i="8"/>
  <c r="CM6" i="8"/>
  <c r="CJ6" i="8"/>
  <c r="CI6" i="8"/>
  <c r="CG6" i="8"/>
  <c r="CA6" i="8"/>
  <c r="BD6" i="8"/>
  <c r="BD37" i="8" s="1"/>
  <c r="BC6" i="8"/>
  <c r="BC37" i="8" s="1"/>
  <c r="BB6" i="8"/>
  <c r="BB37" i="8" s="1"/>
  <c r="AZ6" i="8"/>
  <c r="AY6" i="8"/>
  <c r="AX6" i="8" s="1"/>
  <c r="AX37" i="8" s="1"/>
  <c r="AW6" i="8"/>
  <c r="AU6" i="8"/>
  <c r="AU37" i="8" s="1"/>
  <c r="AR6" i="8"/>
  <c r="AP6" i="8"/>
  <c r="AO6" i="8" s="1"/>
  <c r="AN6" i="8"/>
  <c r="AK6" i="8"/>
  <c r="AJ6" i="8"/>
  <c r="AG6" i="8"/>
  <c r="AF6" i="8"/>
  <c r="AF37" i="8" s="1"/>
  <c r="AC6" i="8"/>
  <c r="AB6" i="8"/>
  <c r="AB37" i="8" s="1"/>
  <c r="Z6" i="8"/>
  <c r="Y6" i="8"/>
  <c r="Y37" i="8" s="1"/>
  <c r="W6" i="8"/>
  <c r="W37" i="8" s="1"/>
  <c r="V6" i="8"/>
  <c r="V37" i="8" s="1"/>
  <c r="U6" i="8"/>
  <c r="T6" i="8"/>
  <c r="S6" i="8"/>
  <c r="R6" i="8"/>
  <c r="AA6" i="8" s="1"/>
  <c r="N6" i="8"/>
  <c r="M6" i="8"/>
  <c r="FE76" i="6"/>
  <c r="FE74" i="6"/>
  <c r="GI37" i="6"/>
  <c r="GJ37" i="6" s="1"/>
  <c r="GH37" i="6"/>
  <c r="GG37" i="6"/>
  <c r="GF37" i="6"/>
  <c r="GE37" i="6"/>
  <c r="GD37" i="6"/>
  <c r="GC37" i="6"/>
  <c r="GB37" i="6"/>
  <c r="GA37" i="6"/>
  <c r="FZ37" i="6"/>
  <c r="DR37" i="6"/>
  <c r="DM37" i="6"/>
  <c r="DK37" i="6"/>
  <c r="DI37" i="6"/>
  <c r="CW37" i="6"/>
  <c r="CT37" i="6"/>
  <c r="CQ37" i="6"/>
  <c r="CM37" i="6"/>
  <c r="CI37" i="6"/>
  <c r="CA37" i="6"/>
  <c r="BF37" i="6"/>
  <c r="BE37" i="6"/>
  <c r="BA37" i="6"/>
  <c r="AR37" i="6"/>
  <c r="Q37" i="6"/>
  <c r="L37" i="6"/>
  <c r="K37" i="6"/>
  <c r="J37" i="6"/>
  <c r="I37" i="6"/>
  <c r="H37" i="6"/>
  <c r="G37" i="6"/>
  <c r="F37" i="6"/>
  <c r="E37" i="6"/>
  <c r="D37" i="6"/>
  <c r="GJ36" i="6"/>
  <c r="FN36" i="6"/>
  <c r="FM36" i="6"/>
  <c r="FL36" i="6"/>
  <c r="FK36" i="6"/>
  <c r="FJ36" i="6"/>
  <c r="FI36" i="6"/>
  <c r="FH36" i="6"/>
  <c r="FG36" i="6"/>
  <c r="FF36" i="6"/>
  <c r="FE36" i="6"/>
  <c r="DM36" i="6"/>
  <c r="DK36" i="6"/>
  <c r="DI36" i="6"/>
  <c r="DB36" i="6"/>
  <c r="CW36" i="6"/>
  <c r="CT36" i="6"/>
  <c r="CR36" i="6"/>
  <c r="CQ36" i="6"/>
  <c r="CM36" i="6"/>
  <c r="CJ36" i="6"/>
  <c r="CI36" i="6"/>
  <c r="CB36" i="6"/>
  <c r="CA36" i="6"/>
  <c r="BV36" i="6"/>
  <c r="BO36" i="6"/>
  <c r="BD36" i="6"/>
  <c r="BC36" i="6"/>
  <c r="BB36" i="6"/>
  <c r="AZ36" i="6"/>
  <c r="AY36" i="6"/>
  <c r="AX36" i="6"/>
  <c r="AW36" i="6"/>
  <c r="AV36" i="6"/>
  <c r="AU36" i="6"/>
  <c r="AT36" i="6" s="1"/>
  <c r="AR36" i="6"/>
  <c r="CD36" i="6" s="1"/>
  <c r="AQ36" i="6"/>
  <c r="AP36" i="6"/>
  <c r="AN36" i="6"/>
  <c r="AK36" i="6"/>
  <c r="AJ36" i="6"/>
  <c r="CN36" i="6" s="1"/>
  <c r="AG36" i="6"/>
  <c r="AH36" i="6" s="1"/>
  <c r="AF36" i="6"/>
  <c r="AC36" i="6"/>
  <c r="CG36" i="6" s="1"/>
  <c r="CF36" i="6" s="1"/>
  <c r="AB36" i="6"/>
  <c r="Z36" i="6"/>
  <c r="BT36" i="6" s="1"/>
  <c r="Y36" i="6"/>
  <c r="W36" i="6"/>
  <c r="V36" i="6"/>
  <c r="U36" i="6"/>
  <c r="T36" i="6"/>
  <c r="BQ36" i="6" s="1"/>
  <c r="S36" i="6"/>
  <c r="AA36" i="6" s="1"/>
  <c r="R36" i="6"/>
  <c r="O36" i="6"/>
  <c r="DF36" i="6" s="1"/>
  <c r="N36" i="6"/>
  <c r="BR36" i="6" s="1"/>
  <c r="M36" i="6"/>
  <c r="GJ35" i="6"/>
  <c r="FN35" i="6"/>
  <c r="FM35" i="6"/>
  <c r="FL35" i="6"/>
  <c r="FK35" i="6"/>
  <c r="FJ35" i="6"/>
  <c r="FI35" i="6"/>
  <c r="FD35" i="6" s="1"/>
  <c r="FH35" i="6"/>
  <c r="FG35" i="6"/>
  <c r="FF35" i="6"/>
  <c r="FE35" i="6"/>
  <c r="DR35" i="6"/>
  <c r="DM35" i="6"/>
  <c r="DK35" i="6"/>
  <c r="DI35" i="6"/>
  <c r="CW35" i="6"/>
  <c r="CT35" i="6"/>
  <c r="CQ35" i="6"/>
  <c r="CM35" i="6"/>
  <c r="CI35" i="6"/>
  <c r="CA35" i="6"/>
  <c r="BT35" i="6"/>
  <c r="BO35" i="6"/>
  <c r="BD35" i="6"/>
  <c r="BC35" i="6"/>
  <c r="BB35" i="6"/>
  <c r="AZ35" i="6"/>
  <c r="BG35" i="6" s="1"/>
  <c r="AY35" i="6"/>
  <c r="AX35" i="6"/>
  <c r="AW35" i="6"/>
  <c r="AV35" i="6"/>
  <c r="AU35" i="6"/>
  <c r="AR35" i="6"/>
  <c r="CD35" i="6" s="1"/>
  <c r="AP35" i="6"/>
  <c r="CU35" i="6" s="1"/>
  <c r="AN35" i="6"/>
  <c r="CR35" i="6" s="1"/>
  <c r="AM35" i="6"/>
  <c r="AL35" i="6"/>
  <c r="AK35" i="6"/>
  <c r="AJ35" i="6"/>
  <c r="AG35" i="6"/>
  <c r="AH35" i="6" s="1"/>
  <c r="CL35" i="6" s="1"/>
  <c r="CK35" i="6" s="1"/>
  <c r="CJ35" i="6" s="1"/>
  <c r="AF35" i="6"/>
  <c r="AC35" i="6"/>
  <c r="AB35" i="6"/>
  <c r="CF35" i="6" s="1"/>
  <c r="Z35" i="6"/>
  <c r="Y35" i="6"/>
  <c r="X35" i="6" s="1"/>
  <c r="W35" i="6"/>
  <c r="V35" i="6"/>
  <c r="U35" i="6"/>
  <c r="T35" i="6"/>
  <c r="AA35" i="6" s="1"/>
  <c r="S35" i="6"/>
  <c r="R35" i="6"/>
  <c r="N35" i="6"/>
  <c r="BR35" i="6" s="1"/>
  <c r="M35" i="6"/>
  <c r="GJ34" i="6"/>
  <c r="FN34" i="6"/>
  <c r="FM34" i="6"/>
  <c r="FL34" i="6"/>
  <c r="FK34" i="6"/>
  <c r="FJ34" i="6"/>
  <c r="FI34" i="6"/>
  <c r="FD34" i="6" s="1"/>
  <c r="FH34" i="6"/>
  <c r="FG34" i="6"/>
  <c r="FF34" i="6"/>
  <c r="FE34" i="6"/>
  <c r="DR34" i="6"/>
  <c r="DM34" i="6"/>
  <c r="DK34" i="6"/>
  <c r="DI34" i="6"/>
  <c r="CW34" i="6"/>
  <c r="CT34" i="6"/>
  <c r="CQ34" i="6"/>
  <c r="CM34" i="6"/>
  <c r="CK34" i="6"/>
  <c r="CI34" i="6"/>
  <c r="CA34" i="6"/>
  <c r="BG34" i="6"/>
  <c r="BD34" i="6"/>
  <c r="BC34" i="6"/>
  <c r="BB34" i="6"/>
  <c r="AZ34" i="6"/>
  <c r="AY34" i="6"/>
  <c r="AX34" i="6"/>
  <c r="AW34" i="6"/>
  <c r="AV34" i="6"/>
  <c r="AU34" i="6"/>
  <c r="AR34" i="6"/>
  <c r="AQ34" i="6"/>
  <c r="AP34" i="6"/>
  <c r="AO34" i="6"/>
  <c r="AN34" i="6"/>
  <c r="AL34" i="6"/>
  <c r="AM34" i="6" s="1"/>
  <c r="AK34" i="6"/>
  <c r="AJ34" i="6"/>
  <c r="AG34" i="6"/>
  <c r="AF34" i="6"/>
  <c r="AD34" i="6"/>
  <c r="AC34" i="6"/>
  <c r="AB34" i="6"/>
  <c r="Z34" i="6"/>
  <c r="BT34" i="6" s="1"/>
  <c r="Y34" i="6"/>
  <c r="W34" i="6"/>
  <c r="V34" i="6"/>
  <c r="U34" i="6"/>
  <c r="T34" i="6"/>
  <c r="S34" i="6"/>
  <c r="R34" i="6"/>
  <c r="AA34" i="6" s="1"/>
  <c r="N34" i="6"/>
  <c r="BQ34" i="6" s="1"/>
  <c r="M34" i="6"/>
  <c r="GJ33" i="6"/>
  <c r="FN33" i="6"/>
  <c r="FM33" i="6"/>
  <c r="FL33" i="6"/>
  <c r="FK33" i="6"/>
  <c r="FJ33" i="6"/>
  <c r="FI33" i="6"/>
  <c r="FH33" i="6"/>
  <c r="FG33" i="6"/>
  <c r="FF33" i="6"/>
  <c r="FE33" i="6"/>
  <c r="FD33" i="6" s="1"/>
  <c r="DR33" i="6"/>
  <c r="DM33" i="6"/>
  <c r="DK33" i="6"/>
  <c r="DI33" i="6"/>
  <c r="CW33" i="6"/>
  <c r="CT33" i="6"/>
  <c r="CS33" i="6" s="1"/>
  <c r="CR33" i="6" s="1"/>
  <c r="CQ33" i="6"/>
  <c r="CM33" i="6"/>
  <c r="CI33" i="6"/>
  <c r="CF33" i="6"/>
  <c r="CA33" i="6"/>
  <c r="BR33" i="6"/>
  <c r="BQ33" i="6"/>
  <c r="BG33" i="6"/>
  <c r="BD33" i="6"/>
  <c r="BC33" i="6"/>
  <c r="BB33" i="6"/>
  <c r="AZ33" i="6"/>
  <c r="AY33" i="6"/>
  <c r="AX33" i="6"/>
  <c r="AW33" i="6"/>
  <c r="AV33" i="6"/>
  <c r="AU33" i="6"/>
  <c r="AR33" i="6"/>
  <c r="AP33" i="6"/>
  <c r="AQ33" i="6" s="1"/>
  <c r="AO33" i="6"/>
  <c r="AN33" i="6"/>
  <c r="AK33" i="6"/>
  <c r="AL33" i="6" s="1"/>
  <c r="CP33" i="6" s="1"/>
  <c r="CO33" i="6" s="1"/>
  <c r="CN33" i="6" s="1"/>
  <c r="AJ33" i="6"/>
  <c r="AG33" i="6"/>
  <c r="AF33" i="6"/>
  <c r="AC33" i="6"/>
  <c r="AB33" i="6"/>
  <c r="AD33" i="6" s="1"/>
  <c r="AE33" i="6" s="1"/>
  <c r="Z33" i="6"/>
  <c r="Y33" i="6"/>
  <c r="W33" i="6"/>
  <c r="V33" i="6"/>
  <c r="X33" i="6" s="1"/>
  <c r="U33" i="6"/>
  <c r="T33" i="6"/>
  <c r="S33" i="6"/>
  <c r="R33" i="6"/>
  <c r="AA33" i="6" s="1"/>
  <c r="N33" i="6"/>
  <c r="BU33" i="6" s="1"/>
  <c r="M33" i="6"/>
  <c r="GJ32" i="6"/>
  <c r="FN32" i="6"/>
  <c r="FM32" i="6"/>
  <c r="FL32" i="6"/>
  <c r="FK32" i="6"/>
  <c r="FJ32" i="6"/>
  <c r="FI32" i="6"/>
  <c r="FH32" i="6"/>
  <c r="FG32" i="6"/>
  <c r="FF32" i="6"/>
  <c r="FE32" i="6"/>
  <c r="FD32" i="6" s="1"/>
  <c r="DM32" i="6"/>
  <c r="DK32" i="6"/>
  <c r="DI32" i="6"/>
  <c r="CW32" i="6"/>
  <c r="CT32" i="6"/>
  <c r="CS32" i="6" s="1"/>
  <c r="CQ32" i="6"/>
  <c r="CM32" i="6"/>
  <c r="CI32" i="6"/>
  <c r="CH32" i="6"/>
  <c r="CG32" i="6"/>
  <c r="CF32" i="6"/>
  <c r="CA32" i="6"/>
  <c r="BO32" i="6"/>
  <c r="BD32" i="6"/>
  <c r="BC32" i="6"/>
  <c r="BB32" i="6"/>
  <c r="AZ32" i="6"/>
  <c r="BG32" i="6" s="1"/>
  <c r="AY32" i="6"/>
  <c r="AX32" i="6"/>
  <c r="AW32" i="6"/>
  <c r="AV32" i="6"/>
  <c r="AU32" i="6"/>
  <c r="AT32" i="6" s="1"/>
  <c r="AS32" i="6"/>
  <c r="AR32" i="6"/>
  <c r="CD32" i="6" s="1"/>
  <c r="AP32" i="6"/>
  <c r="AO32" i="6" s="1"/>
  <c r="AN32" i="6"/>
  <c r="CR32" i="6" s="1"/>
  <c r="AL32" i="6"/>
  <c r="AM32" i="6" s="1"/>
  <c r="AK32" i="6"/>
  <c r="AJ32" i="6"/>
  <c r="CN32" i="6" s="1"/>
  <c r="AG32" i="6"/>
  <c r="AF32" i="6"/>
  <c r="AD32" i="6"/>
  <c r="AC32" i="6"/>
  <c r="AB32" i="6"/>
  <c r="Z32" i="6"/>
  <c r="Y32" i="6"/>
  <c r="X32" i="6" s="1"/>
  <c r="W32" i="6"/>
  <c r="V32" i="6"/>
  <c r="U32" i="6"/>
  <c r="T32" i="6"/>
  <c r="S32" i="6"/>
  <c r="BP32" i="6" s="1"/>
  <c r="R32" i="6"/>
  <c r="AA32" i="6" s="1"/>
  <c r="N32" i="6"/>
  <c r="BS32" i="6" s="1"/>
  <c r="M32" i="6"/>
  <c r="GJ31" i="6"/>
  <c r="FN31" i="6"/>
  <c r="FM31" i="6"/>
  <c r="FL31" i="6"/>
  <c r="FK31" i="6"/>
  <c r="FJ31" i="6"/>
  <c r="FI31" i="6"/>
  <c r="FH31" i="6"/>
  <c r="FG31" i="6"/>
  <c r="FF31" i="6"/>
  <c r="FE31" i="6"/>
  <c r="FD31" i="6" s="1"/>
  <c r="DR31" i="6"/>
  <c r="DM31" i="6"/>
  <c r="DK31" i="6"/>
  <c r="DI31" i="6"/>
  <c r="CW31" i="6"/>
  <c r="CT31" i="6"/>
  <c r="CS31" i="6"/>
  <c r="CR31" i="6"/>
  <c r="CQ31" i="6"/>
  <c r="CM31" i="6"/>
  <c r="CL31" i="6"/>
  <c r="CK31" i="6"/>
  <c r="CJ31" i="6"/>
  <c r="CI31" i="6"/>
  <c r="CH31" i="6"/>
  <c r="CG31" i="6"/>
  <c r="CF31" i="6"/>
  <c r="CA31" i="6"/>
  <c r="BP31" i="6"/>
  <c r="BD31" i="6"/>
  <c r="BG31" i="6" s="1"/>
  <c r="BC31" i="6"/>
  <c r="BB31" i="6"/>
  <c r="AZ31" i="6"/>
  <c r="AY31" i="6"/>
  <c r="AX31" i="6"/>
  <c r="AW31" i="6"/>
  <c r="AV31" i="6"/>
  <c r="AU31" i="6"/>
  <c r="AR31" i="6"/>
  <c r="AT31" i="6" s="1"/>
  <c r="AQ31" i="6"/>
  <c r="AP31" i="6"/>
  <c r="AO31" i="6" s="1"/>
  <c r="AN31" i="6"/>
  <c r="AK31" i="6"/>
  <c r="AJ31" i="6"/>
  <c r="AH31" i="6"/>
  <c r="AG31" i="6"/>
  <c r="AF31" i="6"/>
  <c r="AC31" i="6"/>
  <c r="AB31" i="6"/>
  <c r="AD31" i="6" s="1"/>
  <c r="Z31" i="6"/>
  <c r="Y31" i="6"/>
  <c r="W31" i="6"/>
  <c r="V31" i="6"/>
  <c r="X31" i="6" s="1"/>
  <c r="U31" i="6"/>
  <c r="T31" i="6"/>
  <c r="S31" i="6"/>
  <c r="R31" i="6"/>
  <c r="N31" i="6"/>
  <c r="M31" i="6"/>
  <c r="GJ30" i="6"/>
  <c r="FN30" i="6"/>
  <c r="FM30" i="6"/>
  <c r="FL30" i="6"/>
  <c r="FK30" i="6"/>
  <c r="FJ30" i="6"/>
  <c r="FI30" i="6"/>
  <c r="FH30" i="6"/>
  <c r="FG30" i="6"/>
  <c r="FF30" i="6"/>
  <c r="FE30" i="6"/>
  <c r="FD30" i="6" s="1"/>
  <c r="DR30" i="6"/>
  <c r="DM30" i="6"/>
  <c r="DK30" i="6"/>
  <c r="DI30" i="6"/>
  <c r="CW30" i="6"/>
  <c r="CT30" i="6"/>
  <c r="CR30" i="6"/>
  <c r="CQ30" i="6"/>
  <c r="CM30" i="6"/>
  <c r="CI30" i="6"/>
  <c r="CG30" i="6"/>
  <c r="CA30" i="6"/>
  <c r="BD30" i="6"/>
  <c r="BC30" i="6"/>
  <c r="BB30" i="6"/>
  <c r="AZ30" i="6"/>
  <c r="AY30" i="6"/>
  <c r="AX30" i="6"/>
  <c r="AW30" i="6"/>
  <c r="AS30" i="6" s="1"/>
  <c r="AV30" i="6"/>
  <c r="AU30" i="6"/>
  <c r="AT30" i="6"/>
  <c r="AR30" i="6"/>
  <c r="AP30" i="6"/>
  <c r="AN30" i="6"/>
  <c r="AK30" i="6"/>
  <c r="AJ30" i="6"/>
  <c r="AI30" i="6"/>
  <c r="AH30" i="6"/>
  <c r="AG30" i="6"/>
  <c r="AF30" i="6"/>
  <c r="AC30" i="6"/>
  <c r="AB30" i="6"/>
  <c r="AD30" i="6" s="1"/>
  <c r="Z30" i="6"/>
  <c r="Y30" i="6"/>
  <c r="W30" i="6"/>
  <c r="V30" i="6"/>
  <c r="U30" i="6"/>
  <c r="T30" i="6"/>
  <c r="S30" i="6"/>
  <c r="R30" i="6"/>
  <c r="N30" i="6"/>
  <c r="M30" i="6"/>
  <c r="GJ29" i="6"/>
  <c r="FN29" i="6"/>
  <c r="FM29" i="6"/>
  <c r="FL29" i="6"/>
  <c r="FK29" i="6"/>
  <c r="FJ29" i="6"/>
  <c r="FI29" i="6"/>
  <c r="FH29" i="6"/>
  <c r="FG29" i="6"/>
  <c r="FF29" i="6"/>
  <c r="FE29" i="6"/>
  <c r="FD29" i="6" s="1"/>
  <c r="DR29" i="6"/>
  <c r="DM29" i="6"/>
  <c r="DK29" i="6"/>
  <c r="DI29" i="6"/>
  <c r="CW29" i="6"/>
  <c r="CT29" i="6"/>
  <c r="CQ29" i="6"/>
  <c r="CP29" i="6" s="1"/>
  <c r="CO29" i="6" s="1"/>
  <c r="CN29" i="6"/>
  <c r="CM29" i="6"/>
  <c r="CI29" i="6"/>
  <c r="CD29" i="6"/>
  <c r="CA29" i="6"/>
  <c r="BP29" i="6"/>
  <c r="BD29" i="6"/>
  <c r="BC29" i="6"/>
  <c r="BB29" i="6"/>
  <c r="AZ29" i="6"/>
  <c r="BG29" i="6" s="1"/>
  <c r="AY29" i="6"/>
  <c r="AX29" i="6"/>
  <c r="AW29" i="6"/>
  <c r="AV29" i="6"/>
  <c r="AU29" i="6"/>
  <c r="AT29" i="6" s="1"/>
  <c r="AR29" i="6"/>
  <c r="AS29" i="6" s="1"/>
  <c r="AQ29" i="6"/>
  <c r="AP29" i="6"/>
  <c r="CU29" i="6" s="1"/>
  <c r="AN29" i="6"/>
  <c r="AO29" i="6" s="1"/>
  <c r="AL29" i="6"/>
  <c r="AM29" i="6" s="1"/>
  <c r="AK29" i="6"/>
  <c r="AJ29" i="6"/>
  <c r="AH29" i="6"/>
  <c r="AI29" i="6" s="1"/>
  <c r="AG29" i="6"/>
  <c r="CK29" i="6" s="1"/>
  <c r="CJ29" i="6" s="1"/>
  <c r="AF29" i="6"/>
  <c r="AC29" i="6"/>
  <c r="AB29" i="6"/>
  <c r="Z29" i="6"/>
  <c r="Y29" i="6"/>
  <c r="W29" i="6"/>
  <c r="V29" i="6"/>
  <c r="U29" i="6"/>
  <c r="T29" i="6"/>
  <c r="S29" i="6"/>
  <c r="R29" i="6"/>
  <c r="AA29" i="6" s="1"/>
  <c r="N29" i="6"/>
  <c r="BT29" i="6" s="1"/>
  <c r="M29" i="6"/>
  <c r="GJ28" i="6"/>
  <c r="FN28" i="6"/>
  <c r="FM28" i="6"/>
  <c r="FL28" i="6"/>
  <c r="FK28" i="6"/>
  <c r="FJ28" i="6"/>
  <c r="FI28" i="6"/>
  <c r="FH28" i="6"/>
  <c r="FG28" i="6"/>
  <c r="FF28" i="6"/>
  <c r="FE28" i="6"/>
  <c r="FD28" i="6"/>
  <c r="DR28" i="6"/>
  <c r="DM28" i="6"/>
  <c r="DK28" i="6"/>
  <c r="DI28" i="6"/>
  <c r="DD28" i="6"/>
  <c r="CW28" i="6"/>
  <c r="CT28" i="6"/>
  <c r="CQ28" i="6"/>
  <c r="CM28" i="6"/>
  <c r="CI28" i="6"/>
  <c r="CA28" i="6"/>
  <c r="BW28" i="6"/>
  <c r="BQ28" i="6"/>
  <c r="BD28" i="6"/>
  <c r="BG28" i="6" s="1"/>
  <c r="BC28" i="6"/>
  <c r="BB28" i="6"/>
  <c r="AZ28" i="6"/>
  <c r="AY28" i="6"/>
  <c r="AX28" i="6"/>
  <c r="AW28" i="6"/>
  <c r="AV28" i="6"/>
  <c r="AU28" i="6"/>
  <c r="AR28" i="6"/>
  <c r="AP28" i="6"/>
  <c r="AN28" i="6"/>
  <c r="CR28" i="6" s="1"/>
  <c r="AK28" i="6"/>
  <c r="AJ28" i="6"/>
  <c r="AG28" i="6"/>
  <c r="CK28" i="6" s="1"/>
  <c r="CJ28" i="6" s="1"/>
  <c r="AF28" i="6"/>
  <c r="AC28" i="6"/>
  <c r="AB28" i="6"/>
  <c r="Z28" i="6"/>
  <c r="Y28" i="6"/>
  <c r="W28" i="6"/>
  <c r="V28" i="6"/>
  <c r="U28" i="6"/>
  <c r="T28" i="6"/>
  <c r="S28" i="6"/>
  <c r="R28" i="6"/>
  <c r="O28" i="6"/>
  <c r="N28" i="6"/>
  <c r="M28" i="6"/>
  <c r="GJ27" i="6"/>
  <c r="FN27" i="6"/>
  <c r="FM27" i="6"/>
  <c r="FL27" i="6"/>
  <c r="FK27" i="6"/>
  <c r="FJ27" i="6"/>
  <c r="FI27" i="6"/>
  <c r="FH27" i="6"/>
  <c r="FG27" i="6"/>
  <c r="FF27" i="6"/>
  <c r="FD27" i="6" s="1"/>
  <c r="FE27" i="6"/>
  <c r="DR27" i="6"/>
  <c r="DM27" i="6"/>
  <c r="DK27" i="6"/>
  <c r="DI27" i="6"/>
  <c r="CW27" i="6"/>
  <c r="CT27" i="6"/>
  <c r="CR27" i="6"/>
  <c r="CQ27" i="6"/>
  <c r="CM27" i="6"/>
  <c r="CI27" i="6"/>
  <c r="CA27" i="6"/>
  <c r="BD27" i="6"/>
  <c r="BC27" i="6"/>
  <c r="BB27" i="6"/>
  <c r="AZ27" i="6"/>
  <c r="AY27" i="6"/>
  <c r="AX27" i="6"/>
  <c r="AW27" i="6"/>
  <c r="AS27" i="6" s="1"/>
  <c r="AV27" i="6"/>
  <c r="AU27" i="6"/>
  <c r="AT27" i="6"/>
  <c r="AR27" i="6"/>
  <c r="CD27" i="6" s="1"/>
  <c r="AP27" i="6"/>
  <c r="AQ27" i="6" s="1"/>
  <c r="AN27" i="6"/>
  <c r="AO27" i="6" s="1"/>
  <c r="AK27" i="6"/>
  <c r="AJ27" i="6"/>
  <c r="AL27" i="6" s="1"/>
  <c r="CP27" i="6" s="1"/>
  <c r="CO27" i="6" s="1"/>
  <c r="CN27" i="6" s="1"/>
  <c r="AG27" i="6"/>
  <c r="AF27" i="6"/>
  <c r="CJ27" i="6" s="1"/>
  <c r="AC27" i="6"/>
  <c r="AB27" i="6"/>
  <c r="AD27" i="6" s="1"/>
  <c r="Z27" i="6"/>
  <c r="Y27" i="6"/>
  <c r="W27" i="6"/>
  <c r="V27" i="6"/>
  <c r="U27" i="6"/>
  <c r="T27" i="6"/>
  <c r="S27" i="6"/>
  <c r="R27" i="6"/>
  <c r="N27" i="6"/>
  <c r="BQ27" i="6" s="1"/>
  <c r="M27" i="6"/>
  <c r="GJ26" i="6"/>
  <c r="FM26" i="6"/>
  <c r="FL26" i="6"/>
  <c r="FK26" i="6"/>
  <c r="FJ26" i="6"/>
  <c r="FI26" i="6"/>
  <c r="FH26" i="6"/>
  <c r="FG26" i="6"/>
  <c r="FF26" i="6"/>
  <c r="FE26" i="6"/>
  <c r="FD26" i="6" s="1"/>
  <c r="DR26" i="6"/>
  <c r="DM26" i="6"/>
  <c r="DK26" i="6"/>
  <c r="DI26" i="6"/>
  <c r="CW26" i="6"/>
  <c r="CT26" i="6"/>
  <c r="CQ26" i="6"/>
  <c r="CO26" i="6"/>
  <c r="CN26" i="6" s="1"/>
  <c r="CM26" i="6"/>
  <c r="CJ26" i="6"/>
  <c r="CI26" i="6"/>
  <c r="CF26" i="6"/>
  <c r="CA26" i="6"/>
  <c r="BX26" i="6"/>
  <c r="BQ26" i="6"/>
  <c r="BD26" i="6"/>
  <c r="BG26" i="6" s="1"/>
  <c r="BC26" i="6"/>
  <c r="BB26" i="6"/>
  <c r="AZ26" i="6"/>
  <c r="AY26" i="6"/>
  <c r="AX26" i="6"/>
  <c r="AW26" i="6"/>
  <c r="AV26" i="6"/>
  <c r="AU26" i="6"/>
  <c r="AR26" i="6"/>
  <c r="AT26" i="6" s="1"/>
  <c r="AQ26" i="6"/>
  <c r="AP26" i="6"/>
  <c r="AN26" i="6"/>
  <c r="AO26" i="6" s="1"/>
  <c r="AK26" i="6"/>
  <c r="AL26" i="6" s="1"/>
  <c r="AJ26" i="6"/>
  <c r="AG26" i="6"/>
  <c r="AH26" i="6" s="1"/>
  <c r="CL26" i="6" s="1"/>
  <c r="CK26" i="6" s="1"/>
  <c r="AF26" i="6"/>
  <c r="AC26" i="6"/>
  <c r="AD26" i="6" s="1"/>
  <c r="AB26" i="6"/>
  <c r="Z26" i="6"/>
  <c r="Y26" i="6"/>
  <c r="W26" i="6"/>
  <c r="V26" i="6"/>
  <c r="BR26" i="6" s="1"/>
  <c r="U26" i="6"/>
  <c r="T26" i="6"/>
  <c r="S26" i="6"/>
  <c r="R26" i="6"/>
  <c r="O26" i="6"/>
  <c r="DE26" i="6" s="1"/>
  <c r="N26" i="6"/>
  <c r="BO26" i="6" s="1"/>
  <c r="M26" i="6"/>
  <c r="GJ25" i="6"/>
  <c r="FO25" i="6"/>
  <c r="FO26" i="6" s="1"/>
  <c r="FN26" i="6" s="1"/>
  <c r="FN25" i="6"/>
  <c r="FM25" i="6"/>
  <c r="FL25" i="6"/>
  <c r="FK25" i="6"/>
  <c r="FJ25" i="6"/>
  <c r="FI25" i="6"/>
  <c r="FH25" i="6"/>
  <c r="FG25" i="6"/>
  <c r="FD25" i="6" s="1"/>
  <c r="BL25" i="6" s="1"/>
  <c r="DP25" i="6" s="1"/>
  <c r="FF25" i="6"/>
  <c r="FE25" i="6"/>
  <c r="DR25" i="6"/>
  <c r="DM25" i="6"/>
  <c r="DK25" i="6"/>
  <c r="DI25" i="6"/>
  <c r="DB25" i="6"/>
  <c r="CW25" i="6"/>
  <c r="CV25" i="6" s="1"/>
  <c r="CU25" i="6"/>
  <c r="CT25" i="6"/>
  <c r="CQ25" i="6"/>
  <c r="CM25" i="6"/>
  <c r="CI25" i="6"/>
  <c r="CH25" i="6"/>
  <c r="CG25" i="6"/>
  <c r="CF25" i="6"/>
  <c r="CB25" i="6"/>
  <c r="CA25" i="6"/>
  <c r="BV25" i="6"/>
  <c r="BO25" i="6"/>
  <c r="BD25" i="6"/>
  <c r="BC25" i="6"/>
  <c r="BB25" i="6"/>
  <c r="AZ25" i="6"/>
  <c r="AY25" i="6"/>
  <c r="AX25" i="6"/>
  <c r="AW25" i="6"/>
  <c r="AV25" i="6"/>
  <c r="AU25" i="6"/>
  <c r="AR25" i="6"/>
  <c r="AQ25" i="6" s="1"/>
  <c r="AP25" i="6"/>
  <c r="AN25" i="6"/>
  <c r="CR25" i="6" s="1"/>
  <c r="AK25" i="6"/>
  <c r="AJ25" i="6"/>
  <c r="CN25" i="6" s="1"/>
  <c r="AG25" i="6"/>
  <c r="AH25" i="6" s="1"/>
  <c r="AI25" i="6" s="1"/>
  <c r="AF25" i="6"/>
  <c r="AC25" i="6"/>
  <c r="AD25" i="6" s="1"/>
  <c r="AB25" i="6"/>
  <c r="Z25" i="6"/>
  <c r="Y25" i="6"/>
  <c r="W25" i="6"/>
  <c r="V25" i="6"/>
  <c r="U25" i="6"/>
  <c r="T25" i="6"/>
  <c r="S25" i="6"/>
  <c r="R25" i="6"/>
  <c r="O25" i="6"/>
  <c r="DF25" i="6" s="1"/>
  <c r="N25" i="6"/>
  <c r="BS25" i="6" s="1"/>
  <c r="M25" i="6"/>
  <c r="GJ24" i="6"/>
  <c r="FN24" i="6"/>
  <c r="FM24" i="6"/>
  <c r="FL24" i="6"/>
  <c r="FK24" i="6"/>
  <c r="FJ24" i="6"/>
  <c r="FI24" i="6"/>
  <c r="FD24" i="6" s="1"/>
  <c r="BL24" i="6" s="1"/>
  <c r="BH24" i="6" s="1"/>
  <c r="FH24" i="6"/>
  <c r="FG24" i="6"/>
  <c r="FF24" i="6"/>
  <c r="FE24" i="6"/>
  <c r="DR24" i="6"/>
  <c r="DM24" i="6"/>
  <c r="DK24" i="6"/>
  <c r="DI24" i="6"/>
  <c r="CW24" i="6"/>
  <c r="CT24" i="6"/>
  <c r="CS24" i="6"/>
  <c r="CR24" i="6"/>
  <c r="CQ24" i="6"/>
  <c r="CM24" i="6"/>
  <c r="CL24" i="6"/>
  <c r="CK24" i="6"/>
  <c r="CJ24" i="6"/>
  <c r="CI24" i="6"/>
  <c r="CH24" i="6"/>
  <c r="CG24" i="6"/>
  <c r="CF24" i="6"/>
  <c r="CA24" i="6"/>
  <c r="BP24" i="6"/>
  <c r="BO24" i="6"/>
  <c r="BD24" i="6"/>
  <c r="BG24" i="6" s="1"/>
  <c r="BC24" i="6"/>
  <c r="BB24" i="6"/>
  <c r="AZ24" i="6"/>
  <c r="AY24" i="6"/>
  <c r="AX24" i="6"/>
  <c r="AW24" i="6"/>
  <c r="AV24" i="6"/>
  <c r="AU24" i="6"/>
  <c r="AR24" i="6"/>
  <c r="AT24" i="6" s="1"/>
  <c r="AQ24" i="6"/>
  <c r="AP24" i="6"/>
  <c r="AO24" i="6" s="1"/>
  <c r="AN24" i="6"/>
  <c r="AK24" i="6"/>
  <c r="CO24" i="6" s="1"/>
  <c r="AJ24" i="6"/>
  <c r="AG24" i="6"/>
  <c r="AF24" i="6"/>
  <c r="AH24" i="6" s="1"/>
  <c r="AC24" i="6"/>
  <c r="AD24" i="6" s="1"/>
  <c r="AB24" i="6"/>
  <c r="Z24" i="6"/>
  <c r="Y24" i="6"/>
  <c r="W24" i="6"/>
  <c r="V24" i="6"/>
  <c r="U24" i="6"/>
  <c r="T24" i="6"/>
  <c r="S24" i="6"/>
  <c r="AA24" i="6" s="1"/>
  <c r="BU24" i="6" s="1"/>
  <c r="R24" i="6"/>
  <c r="O24" i="6"/>
  <c r="N24" i="6"/>
  <c r="BS24" i="6" s="1"/>
  <c r="M24" i="6"/>
  <c r="GJ23" i="6"/>
  <c r="FM23" i="6"/>
  <c r="FL23" i="6"/>
  <c r="FK23" i="6"/>
  <c r="FJ23" i="6"/>
  <c r="FI23" i="6"/>
  <c r="FH23" i="6"/>
  <c r="FG23" i="6"/>
  <c r="FF23" i="6"/>
  <c r="FE23" i="6"/>
  <c r="DR23" i="6"/>
  <c r="DM23" i="6"/>
  <c r="DK23" i="6"/>
  <c r="DI23" i="6"/>
  <c r="CW23" i="6"/>
  <c r="CT23" i="6"/>
  <c r="CS23" i="6"/>
  <c r="CR23" i="6"/>
  <c r="CQ23" i="6"/>
  <c r="CM23" i="6"/>
  <c r="CJ23" i="6"/>
  <c r="CI23" i="6"/>
  <c r="CA23" i="6"/>
  <c r="BU23" i="6"/>
  <c r="BO23" i="6"/>
  <c r="BD23" i="6"/>
  <c r="BC23" i="6"/>
  <c r="BB23" i="6"/>
  <c r="AZ23" i="6"/>
  <c r="BG23" i="6" s="1"/>
  <c r="AY23" i="6"/>
  <c r="AX23" i="6"/>
  <c r="AW23" i="6"/>
  <c r="AV23" i="6"/>
  <c r="AU23" i="6"/>
  <c r="AR23" i="6"/>
  <c r="AQ23" i="6" s="1"/>
  <c r="AP23" i="6"/>
  <c r="AN23" i="6"/>
  <c r="AK23" i="6"/>
  <c r="AJ23" i="6"/>
  <c r="CN23" i="6" s="1"/>
  <c r="AG23" i="6"/>
  <c r="AH23" i="6" s="1"/>
  <c r="AF23" i="6"/>
  <c r="AC23" i="6"/>
  <c r="CG23" i="6" s="1"/>
  <c r="CF23" i="6" s="1"/>
  <c r="AB23" i="6"/>
  <c r="AD23" i="6" s="1"/>
  <c r="Z23" i="6"/>
  <c r="Y23" i="6"/>
  <c r="W23" i="6"/>
  <c r="V23" i="6"/>
  <c r="X23" i="6" s="1"/>
  <c r="U23" i="6"/>
  <c r="T23" i="6"/>
  <c r="AA23" i="6" s="1"/>
  <c r="S23" i="6"/>
  <c r="R23" i="6"/>
  <c r="N23" i="6"/>
  <c r="BS23" i="6" s="1"/>
  <c r="M23" i="6"/>
  <c r="GJ22" i="6"/>
  <c r="FM22" i="6"/>
  <c r="FL22" i="6"/>
  <c r="FK22" i="6"/>
  <c r="FJ22" i="6"/>
  <c r="FI22" i="6"/>
  <c r="FH22" i="6"/>
  <c r="FG22" i="6"/>
  <c r="FF22" i="6"/>
  <c r="FE22" i="6"/>
  <c r="FD22" i="6" s="1"/>
  <c r="DR22" i="6"/>
  <c r="DM22" i="6"/>
  <c r="DK22" i="6"/>
  <c r="DI22" i="6"/>
  <c r="CW22" i="6"/>
  <c r="CT22" i="6"/>
  <c r="CR22" i="6"/>
  <c r="CQ22" i="6"/>
  <c r="CP22" i="6"/>
  <c r="CO22" i="6"/>
  <c r="CN22" i="6"/>
  <c r="CM22" i="6"/>
  <c r="CJ22" i="6"/>
  <c r="CI22" i="6"/>
  <c r="CA22" i="6"/>
  <c r="BD22" i="6"/>
  <c r="BG22" i="6" s="1"/>
  <c r="BC22" i="6"/>
  <c r="BB22" i="6"/>
  <c r="AZ22" i="6"/>
  <c r="AY22" i="6"/>
  <c r="AX22" i="6"/>
  <c r="AW22" i="6"/>
  <c r="AV22" i="6"/>
  <c r="AU22" i="6"/>
  <c r="AR22" i="6"/>
  <c r="AT22" i="6" s="1"/>
  <c r="AQ22" i="6"/>
  <c r="AP22" i="6"/>
  <c r="AO22" i="6" s="1"/>
  <c r="AN22" i="6"/>
  <c r="AK22" i="6"/>
  <c r="AJ22" i="6"/>
  <c r="AL22" i="6" s="1"/>
  <c r="AI22" i="6"/>
  <c r="AH22" i="6"/>
  <c r="AG22" i="6"/>
  <c r="AF22" i="6"/>
  <c r="AC22" i="6"/>
  <c r="AB22" i="6"/>
  <c r="Z22" i="6"/>
  <c r="Y22" i="6"/>
  <c r="W22" i="6"/>
  <c r="V22" i="6"/>
  <c r="X22" i="6" s="1"/>
  <c r="U22" i="6"/>
  <c r="T22" i="6"/>
  <c r="S22" i="6"/>
  <c r="R22" i="6"/>
  <c r="N22" i="6"/>
  <c r="M22" i="6"/>
  <c r="GJ21" i="6"/>
  <c r="FM21" i="6"/>
  <c r="FL21" i="6"/>
  <c r="FK21" i="6"/>
  <c r="FJ21" i="6"/>
  <c r="FI21" i="6"/>
  <c r="FH21" i="6"/>
  <c r="FG21" i="6"/>
  <c r="FF21" i="6"/>
  <c r="FE21" i="6"/>
  <c r="FD21" i="6" s="1"/>
  <c r="DR21" i="6"/>
  <c r="DM21" i="6"/>
  <c r="DK21" i="6"/>
  <c r="DI21" i="6"/>
  <c r="DH21" i="6"/>
  <c r="DC21" i="6"/>
  <c r="DB21" i="6"/>
  <c r="CW21" i="6"/>
  <c r="CU21" i="6"/>
  <c r="CT21" i="6"/>
  <c r="CQ21" i="6"/>
  <c r="CP21" i="6"/>
  <c r="CO21" i="6"/>
  <c r="CN21" i="6"/>
  <c r="CM21" i="6"/>
  <c r="CI21" i="6"/>
  <c r="CA21" i="6"/>
  <c r="BP21" i="6"/>
  <c r="BO21" i="6"/>
  <c r="BD21" i="6"/>
  <c r="BG21" i="6" s="1"/>
  <c r="BC21" i="6"/>
  <c r="BB21" i="6"/>
  <c r="AZ21" i="6"/>
  <c r="AY21" i="6"/>
  <c r="AX21" i="6"/>
  <c r="AW21" i="6"/>
  <c r="AV21" i="6"/>
  <c r="AU21" i="6"/>
  <c r="AR21" i="6"/>
  <c r="CD21" i="6" s="1"/>
  <c r="AQ21" i="6"/>
  <c r="AP21" i="6"/>
  <c r="AN21" i="6"/>
  <c r="AK21" i="6"/>
  <c r="AJ21" i="6"/>
  <c r="AL21" i="6" s="1"/>
  <c r="AG21" i="6"/>
  <c r="AF21" i="6"/>
  <c r="AH21" i="6" s="1"/>
  <c r="AI21" i="6" s="1"/>
  <c r="AD21" i="6"/>
  <c r="AE21" i="6" s="1"/>
  <c r="AC21" i="6"/>
  <c r="CG21" i="6" s="1"/>
  <c r="AB21" i="6"/>
  <c r="CF21" i="6" s="1"/>
  <c r="Z21" i="6"/>
  <c r="Y21" i="6"/>
  <c r="X21" i="6" s="1"/>
  <c r="W21" i="6"/>
  <c r="V21" i="6"/>
  <c r="U21" i="6"/>
  <c r="T21" i="6"/>
  <c r="S21" i="6"/>
  <c r="R21" i="6"/>
  <c r="AA21" i="6" s="1"/>
  <c r="BU21" i="6" s="1"/>
  <c r="O21" i="6"/>
  <c r="N21" i="6"/>
  <c r="BS21" i="6" s="1"/>
  <c r="M21" i="6"/>
  <c r="GJ20" i="6"/>
  <c r="FM20" i="6"/>
  <c r="FL20" i="6"/>
  <c r="FK20" i="6"/>
  <c r="FJ20" i="6"/>
  <c r="FI20" i="6"/>
  <c r="FH20" i="6"/>
  <c r="FG20" i="6"/>
  <c r="FF20" i="6"/>
  <c r="FE20" i="6"/>
  <c r="DR20" i="6"/>
  <c r="DM20" i="6"/>
  <c r="DK20" i="6"/>
  <c r="DI20" i="6"/>
  <c r="DB20" i="6"/>
  <c r="CW20" i="6"/>
  <c r="CV20" i="6"/>
  <c r="CU20" i="6"/>
  <c r="CT20" i="6"/>
  <c r="CQ20" i="6"/>
  <c r="CP20" i="6"/>
  <c r="CO20" i="6"/>
  <c r="CN20" i="6"/>
  <c r="CM20" i="6"/>
  <c r="CI20" i="6"/>
  <c r="CA20" i="6"/>
  <c r="BQ20" i="6"/>
  <c r="BG20" i="6"/>
  <c r="BD20" i="6"/>
  <c r="BC20" i="6"/>
  <c r="BB20" i="6"/>
  <c r="AZ20" i="6"/>
  <c r="AY20" i="6"/>
  <c r="AX20" i="6"/>
  <c r="AW20" i="6"/>
  <c r="AV20" i="6"/>
  <c r="AU20" i="6"/>
  <c r="AR20" i="6"/>
  <c r="AP20" i="6"/>
  <c r="AO20" i="6" s="1"/>
  <c r="AN20" i="6"/>
  <c r="AK20" i="6"/>
  <c r="AJ20" i="6"/>
  <c r="AL20" i="6" s="1"/>
  <c r="AH20" i="6"/>
  <c r="AI20" i="6" s="1"/>
  <c r="AG20" i="6"/>
  <c r="AF20" i="6"/>
  <c r="AC20" i="6"/>
  <c r="AB20" i="6"/>
  <c r="Z20" i="6"/>
  <c r="Y20" i="6"/>
  <c r="W20" i="6"/>
  <c r="V20" i="6"/>
  <c r="U20" i="6"/>
  <c r="T20" i="6"/>
  <c r="S20" i="6"/>
  <c r="R20" i="6"/>
  <c r="O20" i="6"/>
  <c r="N20" i="6"/>
  <c r="M20" i="6"/>
  <c r="GJ19" i="6"/>
  <c r="FM19" i="6"/>
  <c r="FL19" i="6"/>
  <c r="FK19" i="6"/>
  <c r="FJ19" i="6"/>
  <c r="FI19" i="6"/>
  <c r="FH19" i="6"/>
  <c r="FG19" i="6"/>
  <c r="FF19" i="6"/>
  <c r="FD19" i="6" s="1"/>
  <c r="FE19" i="6"/>
  <c r="DR19" i="6"/>
  <c r="DM19" i="6"/>
  <c r="DK19" i="6"/>
  <c r="DI19" i="6"/>
  <c r="CW19" i="6"/>
  <c r="CV19" i="6"/>
  <c r="CU19" i="6"/>
  <c r="CT19" i="6"/>
  <c r="CQ19" i="6"/>
  <c r="CP19" i="6"/>
  <c r="CO19" i="6"/>
  <c r="CN19" i="6"/>
  <c r="CM19" i="6"/>
  <c r="CI19" i="6"/>
  <c r="CA19" i="6"/>
  <c r="BP19" i="6"/>
  <c r="BO19" i="6"/>
  <c r="BD19" i="6"/>
  <c r="BC19" i="6"/>
  <c r="BB19" i="6"/>
  <c r="AZ19" i="6"/>
  <c r="BG19" i="6" s="1"/>
  <c r="AY19" i="6"/>
  <c r="AX19" i="6"/>
  <c r="AW19" i="6"/>
  <c r="AV19" i="6"/>
  <c r="AU19" i="6"/>
  <c r="AT19" i="6"/>
  <c r="AR19" i="6"/>
  <c r="AP19" i="6"/>
  <c r="AN19" i="6"/>
  <c r="AK19" i="6"/>
  <c r="AL19" i="6" s="1"/>
  <c r="AJ19" i="6"/>
  <c r="AG19" i="6"/>
  <c r="AH19" i="6" s="1"/>
  <c r="AF19" i="6"/>
  <c r="AD19" i="6"/>
  <c r="AC19" i="6"/>
  <c r="AB19" i="6"/>
  <c r="Z19" i="6"/>
  <c r="Y19" i="6"/>
  <c r="X19" i="6"/>
  <c r="W19" i="6"/>
  <c r="V19" i="6"/>
  <c r="U19" i="6"/>
  <c r="T19" i="6"/>
  <c r="AA19" i="6" s="1"/>
  <c r="S19" i="6"/>
  <c r="R19" i="6"/>
  <c r="N19" i="6"/>
  <c r="BT19" i="6" s="1"/>
  <c r="M19" i="6"/>
  <c r="GJ18" i="6"/>
  <c r="FM18" i="6"/>
  <c r="FL18" i="6"/>
  <c r="FK18" i="6"/>
  <c r="FJ18" i="6"/>
  <c r="FI18" i="6"/>
  <c r="FH18" i="6"/>
  <c r="FG18" i="6"/>
  <c r="FF18" i="6"/>
  <c r="FE18" i="6"/>
  <c r="FD18" i="6"/>
  <c r="DR18" i="6"/>
  <c r="DM18" i="6"/>
  <c r="DK18" i="6"/>
  <c r="DI18" i="6"/>
  <c r="DF18" i="6"/>
  <c r="DE18" i="6"/>
  <c r="CZ18" i="6"/>
  <c r="CY18" i="6"/>
  <c r="CW18" i="6"/>
  <c r="CT18" i="6"/>
  <c r="CQ18" i="6"/>
  <c r="CM18" i="6"/>
  <c r="CI18" i="6"/>
  <c r="CH18" i="6"/>
  <c r="CG18" i="6"/>
  <c r="CF18" i="6"/>
  <c r="CA18" i="6"/>
  <c r="BY18" i="6"/>
  <c r="BR18" i="6"/>
  <c r="BD18" i="6"/>
  <c r="BC18" i="6"/>
  <c r="BB18" i="6"/>
  <c r="AZ18" i="6"/>
  <c r="BG18" i="6" s="1"/>
  <c r="AY18" i="6"/>
  <c r="AX18" i="6"/>
  <c r="AW18" i="6"/>
  <c r="AV18" i="6"/>
  <c r="AU18" i="6"/>
  <c r="AT18" i="6"/>
  <c r="AS18" i="6"/>
  <c r="AR18" i="6"/>
  <c r="AQ18" i="6"/>
  <c r="AP18" i="6"/>
  <c r="CU18" i="6" s="1"/>
  <c r="AN18" i="6"/>
  <c r="AL18" i="6"/>
  <c r="CP18" i="6" s="1"/>
  <c r="CO18" i="6" s="1"/>
  <c r="CN18" i="6" s="1"/>
  <c r="AK18" i="6"/>
  <c r="AJ18" i="6"/>
  <c r="AG18" i="6"/>
  <c r="CK18" i="6" s="1"/>
  <c r="AF18" i="6"/>
  <c r="AC18" i="6"/>
  <c r="AD18" i="6" s="1"/>
  <c r="AB18" i="6"/>
  <c r="Z18" i="6"/>
  <c r="Y18" i="6"/>
  <c r="W18" i="6"/>
  <c r="V18" i="6"/>
  <c r="U18" i="6"/>
  <c r="T18" i="6"/>
  <c r="S18" i="6"/>
  <c r="R18" i="6"/>
  <c r="AA18" i="6" s="1"/>
  <c r="BZ18" i="6" s="1"/>
  <c r="O18" i="6"/>
  <c r="DC18" i="6" s="1"/>
  <c r="N18" i="6"/>
  <c r="BP18" i="6" s="1"/>
  <c r="M18" i="6"/>
  <c r="GJ17" i="6"/>
  <c r="FM17" i="6"/>
  <c r="FL17" i="6"/>
  <c r="FK17" i="6"/>
  <c r="FJ17" i="6"/>
  <c r="FI17" i="6"/>
  <c r="FD17" i="6" s="1"/>
  <c r="FH17" i="6"/>
  <c r="FG17" i="6"/>
  <c r="FF17" i="6"/>
  <c r="FE17" i="6"/>
  <c r="DR17" i="6"/>
  <c r="DM17" i="6"/>
  <c r="DK17" i="6"/>
  <c r="DI17" i="6"/>
  <c r="CW17" i="6"/>
  <c r="CT17" i="6"/>
  <c r="CS17" i="6"/>
  <c r="CR17" i="6"/>
  <c r="CQ17" i="6"/>
  <c r="CM17" i="6"/>
  <c r="CL17" i="6" s="1"/>
  <c r="CK17" i="6" s="1"/>
  <c r="CJ17" i="6" s="1"/>
  <c r="CI17" i="6"/>
  <c r="CH17" i="6"/>
  <c r="CG17" i="6"/>
  <c r="CF17" i="6"/>
  <c r="CA17" i="6"/>
  <c r="BQ17" i="6"/>
  <c r="BG17" i="6"/>
  <c r="BD17" i="6"/>
  <c r="BC17" i="6"/>
  <c r="BB17" i="6"/>
  <c r="AZ17" i="6"/>
  <c r="AY17" i="6"/>
  <c r="AX17" i="6"/>
  <c r="AW17" i="6"/>
  <c r="AV17" i="6"/>
  <c r="AU17" i="6"/>
  <c r="AR17" i="6"/>
  <c r="AP17" i="6"/>
  <c r="AO17" i="6" s="1"/>
  <c r="AN17" i="6"/>
  <c r="AK17" i="6"/>
  <c r="AJ17" i="6"/>
  <c r="AI17" i="6"/>
  <c r="AG17" i="6"/>
  <c r="AF17" i="6"/>
  <c r="AH17" i="6" s="1"/>
  <c r="AC17" i="6"/>
  <c r="AB17" i="6"/>
  <c r="AD17" i="6" s="1"/>
  <c r="Z17" i="6"/>
  <c r="Y17" i="6"/>
  <c r="W17" i="6"/>
  <c r="V17" i="6"/>
  <c r="X17" i="6" s="1"/>
  <c r="U17" i="6"/>
  <c r="T17" i="6"/>
  <c r="S17" i="6"/>
  <c r="R17" i="6"/>
  <c r="AA17" i="6" s="1"/>
  <c r="N17" i="6"/>
  <c r="M17" i="6"/>
  <c r="GJ16" i="6"/>
  <c r="FM16" i="6"/>
  <c r="FL16" i="6"/>
  <c r="FK16" i="6"/>
  <c r="FJ16" i="6"/>
  <c r="FI16" i="6"/>
  <c r="FH16" i="6"/>
  <c r="FG16" i="6"/>
  <c r="FF16" i="6"/>
  <c r="FD16" i="6" s="1"/>
  <c r="FE16" i="6"/>
  <c r="DM16" i="6"/>
  <c r="DK16" i="6"/>
  <c r="DI16" i="6"/>
  <c r="CW16" i="6"/>
  <c r="CT16" i="6"/>
  <c r="CS16" i="6" s="1"/>
  <c r="CR16" i="6" s="1"/>
  <c r="CQ16" i="6"/>
  <c r="CM16" i="6"/>
  <c r="CI16" i="6"/>
  <c r="CD16" i="6"/>
  <c r="CA16" i="6"/>
  <c r="BR16" i="6"/>
  <c r="BQ16" i="6"/>
  <c r="BG16" i="6"/>
  <c r="BD16" i="6"/>
  <c r="BC16" i="6"/>
  <c r="BB16" i="6"/>
  <c r="AZ16" i="6"/>
  <c r="AY16" i="6"/>
  <c r="AX16" i="6"/>
  <c r="AW16" i="6"/>
  <c r="AV16" i="6"/>
  <c r="AU16" i="6"/>
  <c r="AR16" i="6"/>
  <c r="AS16" i="6" s="1"/>
  <c r="AQ16" i="6"/>
  <c r="AP16" i="6"/>
  <c r="CU16" i="6" s="1"/>
  <c r="AO16" i="6"/>
  <c r="AN16" i="6"/>
  <c r="AK16" i="6"/>
  <c r="AL16" i="6" s="1"/>
  <c r="CP16" i="6" s="1"/>
  <c r="CO16" i="6" s="1"/>
  <c r="CN16" i="6" s="1"/>
  <c r="AJ16" i="6"/>
  <c r="AM16" i="6" s="1"/>
  <c r="AG16" i="6"/>
  <c r="AF16" i="6"/>
  <c r="AD16" i="6"/>
  <c r="AC16" i="6"/>
  <c r="AB16" i="6"/>
  <c r="Z16" i="6"/>
  <c r="Y16" i="6"/>
  <c r="X16" i="6" s="1"/>
  <c r="W16" i="6"/>
  <c r="V16" i="6"/>
  <c r="U16" i="6"/>
  <c r="T16" i="6"/>
  <c r="S16" i="6"/>
  <c r="R16" i="6"/>
  <c r="AA16" i="6" s="1"/>
  <c r="N16" i="6"/>
  <c r="BO16" i="6" s="1"/>
  <c r="M16" i="6"/>
  <c r="GJ15" i="6"/>
  <c r="FM15" i="6"/>
  <c r="FL15" i="6"/>
  <c r="FK15" i="6"/>
  <c r="FJ15" i="6"/>
  <c r="FI15" i="6"/>
  <c r="FH15" i="6"/>
  <c r="FG15" i="6"/>
  <c r="FF15" i="6"/>
  <c r="FD15" i="6" s="1"/>
  <c r="FE15" i="6"/>
  <c r="DR15" i="6"/>
  <c r="DM15" i="6"/>
  <c r="DK15" i="6"/>
  <c r="DI15" i="6"/>
  <c r="CW15" i="6"/>
  <c r="CT15" i="6"/>
  <c r="CQ15" i="6"/>
  <c r="CM15" i="6"/>
  <c r="CI15" i="6"/>
  <c r="CF15" i="6"/>
  <c r="CE15" i="6" s="1"/>
  <c r="CD15" i="6" s="1"/>
  <c r="CA15" i="6"/>
  <c r="BQ15" i="6"/>
  <c r="BD15" i="6"/>
  <c r="BC15" i="6"/>
  <c r="BB15" i="6"/>
  <c r="AZ15" i="6"/>
  <c r="BG15" i="6" s="1"/>
  <c r="AY15" i="6"/>
  <c r="AX15" i="6"/>
  <c r="AW15" i="6"/>
  <c r="AS15" i="6" s="1"/>
  <c r="AV15" i="6"/>
  <c r="AU15" i="6"/>
  <c r="AR15" i="6"/>
  <c r="AP15" i="6"/>
  <c r="CU15" i="6" s="1"/>
  <c r="AO15" i="6"/>
  <c r="AN15" i="6"/>
  <c r="AK15" i="6"/>
  <c r="AJ15" i="6"/>
  <c r="AI15" i="6"/>
  <c r="AG15" i="6"/>
  <c r="AF15" i="6"/>
  <c r="AH15" i="6" s="1"/>
  <c r="AC15" i="6"/>
  <c r="AB15" i="6"/>
  <c r="AD15" i="6" s="1"/>
  <c r="Z15" i="6"/>
  <c r="Y15" i="6"/>
  <c r="W15" i="6"/>
  <c r="V15" i="6"/>
  <c r="U15" i="6"/>
  <c r="T15" i="6"/>
  <c r="S15" i="6"/>
  <c r="R15" i="6"/>
  <c r="AA15" i="6" s="1"/>
  <c r="N15" i="6"/>
  <c r="M15" i="6"/>
  <c r="GJ14" i="6"/>
  <c r="FM14" i="6"/>
  <c r="FL14" i="6"/>
  <c r="FK14" i="6"/>
  <c r="FJ14" i="6"/>
  <c r="FI14" i="6"/>
  <c r="FH14" i="6"/>
  <c r="FG14" i="6"/>
  <c r="FF14" i="6"/>
  <c r="FE14" i="6"/>
  <c r="FD14" i="6" s="1"/>
  <c r="DR14" i="6"/>
  <c r="DM14" i="6"/>
  <c r="DK14" i="6"/>
  <c r="DI14" i="6"/>
  <c r="CW14" i="6"/>
  <c r="CT14" i="6"/>
  <c r="CQ14" i="6"/>
  <c r="CN14" i="6"/>
  <c r="CM14" i="6"/>
  <c r="CI14" i="6"/>
  <c r="CA14" i="6"/>
  <c r="BP14" i="6"/>
  <c r="BO14" i="6"/>
  <c r="BD14" i="6"/>
  <c r="BC14" i="6"/>
  <c r="BB14" i="6"/>
  <c r="AZ14" i="6"/>
  <c r="BG14" i="6" s="1"/>
  <c r="AY14" i="6"/>
  <c r="AX14" i="6"/>
  <c r="AW14" i="6"/>
  <c r="AV14" i="6"/>
  <c r="AU14" i="6"/>
  <c r="AR14" i="6"/>
  <c r="AQ14" i="6" s="1"/>
  <c r="AP14" i="6"/>
  <c r="AN14" i="6"/>
  <c r="CR14" i="6" s="1"/>
  <c r="AM14" i="6"/>
  <c r="AK14" i="6"/>
  <c r="AJ14" i="6"/>
  <c r="AL14" i="6" s="1"/>
  <c r="AG14" i="6"/>
  <c r="AF14" i="6"/>
  <c r="AH14" i="6" s="1"/>
  <c r="CL14" i="6" s="1"/>
  <c r="CK14" i="6" s="1"/>
  <c r="CJ14" i="6" s="1"/>
  <c r="AC14" i="6"/>
  <c r="AD14" i="6" s="1"/>
  <c r="AB14" i="6"/>
  <c r="AE14" i="6" s="1"/>
  <c r="Z14" i="6"/>
  <c r="Y14" i="6"/>
  <c r="X14" i="6"/>
  <c r="W14" i="6"/>
  <c r="V14" i="6"/>
  <c r="U14" i="6"/>
  <c r="T14" i="6"/>
  <c r="AA14" i="6" s="1"/>
  <c r="S14" i="6"/>
  <c r="R14" i="6"/>
  <c r="N14" i="6"/>
  <c r="BS14" i="6" s="1"/>
  <c r="M14" i="6"/>
  <c r="GJ13" i="6"/>
  <c r="FL13" i="6"/>
  <c r="FK13" i="6"/>
  <c r="FJ13" i="6"/>
  <c r="FI13" i="6"/>
  <c r="FD13" i="6" s="1"/>
  <c r="FH13" i="6"/>
  <c r="FG13" i="6"/>
  <c r="FF13" i="6"/>
  <c r="FE13" i="6"/>
  <c r="DR13" i="6"/>
  <c r="DM13" i="6"/>
  <c r="DK13" i="6"/>
  <c r="DI13" i="6"/>
  <c r="CW13" i="6"/>
  <c r="CT13" i="6"/>
  <c r="CQ13" i="6"/>
  <c r="CM13" i="6"/>
  <c r="CI13" i="6"/>
  <c r="CA13" i="6"/>
  <c r="BD13" i="6"/>
  <c r="BC13" i="6"/>
  <c r="BB13" i="6"/>
  <c r="AZ13" i="6"/>
  <c r="AY13" i="6"/>
  <c r="AX13" i="6"/>
  <c r="AW13" i="6"/>
  <c r="AS13" i="6" s="1"/>
  <c r="AV13" i="6"/>
  <c r="AU13" i="6"/>
  <c r="AT13" i="6"/>
  <c r="AR13" i="6"/>
  <c r="AP13" i="6"/>
  <c r="AQ13" i="6" s="1"/>
  <c r="AN13" i="6"/>
  <c r="AO13" i="6" s="1"/>
  <c r="AK13" i="6"/>
  <c r="AJ13" i="6"/>
  <c r="AG13" i="6"/>
  <c r="AH13" i="6" s="1"/>
  <c r="AF13" i="6"/>
  <c r="CJ13" i="6" s="1"/>
  <c r="AD13" i="6"/>
  <c r="AE13" i="6" s="1"/>
  <c r="AC13" i="6"/>
  <c r="AB13" i="6"/>
  <c r="Z13" i="6"/>
  <c r="Y13" i="6"/>
  <c r="X13" i="6"/>
  <c r="W13" i="6"/>
  <c r="V13" i="6"/>
  <c r="U13" i="6"/>
  <c r="T13" i="6"/>
  <c r="S13" i="6"/>
  <c r="BP13" i="6" s="1"/>
  <c r="R13" i="6"/>
  <c r="AA13" i="6" s="1"/>
  <c r="N13" i="6"/>
  <c r="BS13" i="6" s="1"/>
  <c r="M13" i="6"/>
  <c r="GJ12" i="6"/>
  <c r="FO12" i="6"/>
  <c r="FO13" i="6" s="1"/>
  <c r="FN13" i="6" s="1"/>
  <c r="FM12" i="6"/>
  <c r="FL12" i="6"/>
  <c r="FK12" i="6"/>
  <c r="FJ12" i="6"/>
  <c r="FI12" i="6"/>
  <c r="FH12" i="6"/>
  <c r="FG12" i="6"/>
  <c r="FF12" i="6"/>
  <c r="FE12" i="6"/>
  <c r="FD12" i="6" s="1"/>
  <c r="DR12" i="6"/>
  <c r="DM12" i="6"/>
  <c r="DK12" i="6"/>
  <c r="DI12" i="6"/>
  <c r="DC12" i="6"/>
  <c r="CW12" i="6"/>
  <c r="CT12" i="6"/>
  <c r="CQ12" i="6"/>
  <c r="CO12" i="6"/>
  <c r="CM12" i="6"/>
  <c r="CI12" i="6"/>
  <c r="CA12" i="6"/>
  <c r="BW12" i="6"/>
  <c r="BQ12" i="6"/>
  <c r="BP12" i="6"/>
  <c r="BD12" i="6"/>
  <c r="BG12" i="6" s="1"/>
  <c r="BC12" i="6"/>
  <c r="BB12" i="6"/>
  <c r="AZ12" i="6"/>
  <c r="AY12" i="6"/>
  <c r="AX12" i="6"/>
  <c r="AW12" i="6"/>
  <c r="AV12" i="6"/>
  <c r="AU12" i="6"/>
  <c r="AR12" i="6"/>
  <c r="AP12" i="6"/>
  <c r="CU12" i="6" s="1"/>
  <c r="AN12" i="6"/>
  <c r="CR12" i="6" s="1"/>
  <c r="AK12" i="6"/>
  <c r="AJ12" i="6"/>
  <c r="AG12" i="6"/>
  <c r="AF12" i="6"/>
  <c r="AH12" i="6" s="1"/>
  <c r="CL12" i="6" s="1"/>
  <c r="CK12" i="6" s="1"/>
  <c r="CJ12" i="6" s="1"/>
  <c r="AC12" i="6"/>
  <c r="AB12" i="6"/>
  <c r="Z12" i="6"/>
  <c r="Y12" i="6"/>
  <c r="W12" i="6"/>
  <c r="V12" i="6"/>
  <c r="X12" i="6" s="1"/>
  <c r="U12" i="6"/>
  <c r="T12" i="6"/>
  <c r="S12" i="6"/>
  <c r="AA12" i="6" s="1"/>
  <c r="R12" i="6"/>
  <c r="O12" i="6"/>
  <c r="N12" i="6"/>
  <c r="BT12" i="6" s="1"/>
  <c r="M12" i="6"/>
  <c r="GJ11" i="6"/>
  <c r="FM11" i="6"/>
  <c r="FL11" i="6"/>
  <c r="FK11" i="6"/>
  <c r="FJ11" i="6"/>
  <c r="FI11" i="6"/>
  <c r="FH11" i="6"/>
  <c r="FG11" i="6"/>
  <c r="FD11" i="6" s="1"/>
  <c r="FF11" i="6"/>
  <c r="FE11" i="6"/>
  <c r="DR11" i="6"/>
  <c r="DM11" i="6"/>
  <c r="DK11" i="6"/>
  <c r="DI11" i="6"/>
  <c r="CW11" i="6"/>
  <c r="CU11" i="6"/>
  <c r="CT11" i="6"/>
  <c r="CQ11" i="6"/>
  <c r="CM11" i="6"/>
  <c r="CI11" i="6"/>
  <c r="CH11" i="6"/>
  <c r="CG11" i="6"/>
  <c r="CF11" i="6"/>
  <c r="CA11" i="6"/>
  <c r="BT11" i="6"/>
  <c r="BD11" i="6"/>
  <c r="BC11" i="6"/>
  <c r="BB11" i="6"/>
  <c r="AZ11" i="6"/>
  <c r="BG11" i="6" s="1"/>
  <c r="AY11" i="6"/>
  <c r="AX11" i="6"/>
  <c r="AW11" i="6"/>
  <c r="AS11" i="6" s="1"/>
  <c r="AV11" i="6"/>
  <c r="AU11" i="6"/>
  <c r="AT11" i="6"/>
  <c r="AR11" i="6"/>
  <c r="AP11" i="6"/>
  <c r="AN11" i="6"/>
  <c r="CR11" i="6" s="1"/>
  <c r="AK11" i="6"/>
  <c r="AL11" i="6" s="1"/>
  <c r="AJ11" i="6"/>
  <c r="CN11" i="6" s="1"/>
  <c r="AH11" i="6"/>
  <c r="AI11" i="6" s="1"/>
  <c r="AG11" i="6"/>
  <c r="AF11" i="6"/>
  <c r="AC11" i="6"/>
  <c r="AB11" i="6"/>
  <c r="AD11" i="6" s="1"/>
  <c r="Z11" i="6"/>
  <c r="Y11" i="6"/>
  <c r="X11" i="6" s="1"/>
  <c r="W11" i="6"/>
  <c r="V11" i="6"/>
  <c r="U11" i="6"/>
  <c r="T11" i="6"/>
  <c r="AA11" i="6" s="1"/>
  <c r="S11" i="6"/>
  <c r="R11" i="6"/>
  <c r="N11" i="6"/>
  <c r="BR11" i="6" s="1"/>
  <c r="M11" i="6"/>
  <c r="GJ10" i="6"/>
  <c r="FM10" i="6"/>
  <c r="FL10" i="6"/>
  <c r="FK10" i="6"/>
  <c r="FJ10" i="6"/>
  <c r="FI10" i="6"/>
  <c r="FH10" i="6"/>
  <c r="FG10" i="6"/>
  <c r="FF10" i="6"/>
  <c r="FE10" i="6"/>
  <c r="FD10" i="6" s="1"/>
  <c r="DR10" i="6"/>
  <c r="DM10" i="6"/>
  <c r="DK10" i="6"/>
  <c r="DI10" i="6"/>
  <c r="CW10" i="6"/>
  <c r="CT10" i="6"/>
  <c r="CS10" i="6"/>
  <c r="CR10" i="6"/>
  <c r="CQ10" i="6"/>
  <c r="CM10" i="6"/>
  <c r="CL10" i="6"/>
  <c r="CK10" i="6"/>
  <c r="CJ10" i="6"/>
  <c r="CI10" i="6"/>
  <c r="CH10" i="6"/>
  <c r="CG10" i="6"/>
  <c r="CF10" i="6"/>
  <c r="CA10" i="6"/>
  <c r="BO10" i="6"/>
  <c r="BD10" i="6"/>
  <c r="BG10" i="6" s="1"/>
  <c r="BC10" i="6"/>
  <c r="BB10" i="6"/>
  <c r="AZ10" i="6"/>
  <c r="AY10" i="6"/>
  <c r="AX10" i="6"/>
  <c r="AW10" i="6"/>
  <c r="AV10" i="6"/>
  <c r="AU10" i="6"/>
  <c r="AR10" i="6"/>
  <c r="AT10" i="6" s="1"/>
  <c r="AQ10" i="6"/>
  <c r="AP10" i="6"/>
  <c r="AN10" i="6"/>
  <c r="AK10" i="6"/>
  <c r="AJ10" i="6"/>
  <c r="AH10" i="6"/>
  <c r="AG10" i="6"/>
  <c r="AF10" i="6"/>
  <c r="AC10" i="6"/>
  <c r="AB10" i="6"/>
  <c r="AD10" i="6" s="1"/>
  <c r="Z10" i="6"/>
  <c r="Y10" i="6"/>
  <c r="X10" i="6" s="1"/>
  <c r="W10" i="6"/>
  <c r="V10" i="6"/>
  <c r="U10" i="6"/>
  <c r="T10" i="6"/>
  <c r="AA10" i="6" s="1"/>
  <c r="S10" i="6"/>
  <c r="R10" i="6"/>
  <c r="N10" i="6"/>
  <c r="BS10" i="6" s="1"/>
  <c r="M10" i="6"/>
  <c r="GJ9" i="6"/>
  <c r="FM9" i="6"/>
  <c r="FL9" i="6"/>
  <c r="FK9" i="6"/>
  <c r="FJ9" i="6"/>
  <c r="FI9" i="6"/>
  <c r="FH9" i="6"/>
  <c r="FG9" i="6"/>
  <c r="FF9" i="6"/>
  <c r="FE9" i="6"/>
  <c r="FD9" i="6" s="1"/>
  <c r="DR9" i="6"/>
  <c r="DM9" i="6"/>
  <c r="DK9" i="6"/>
  <c r="DI9" i="6"/>
  <c r="DG9" i="6"/>
  <c r="DF9" i="6"/>
  <c r="DA9" i="6"/>
  <c r="CZ9" i="6"/>
  <c r="CW9" i="6"/>
  <c r="CT9" i="6"/>
  <c r="CS9" i="6"/>
  <c r="CR9" i="6"/>
  <c r="CQ9" i="6"/>
  <c r="CM9" i="6"/>
  <c r="CL9" i="6"/>
  <c r="CK9" i="6"/>
  <c r="CJ9" i="6"/>
  <c r="CI9" i="6"/>
  <c r="CA9" i="6"/>
  <c r="BS9" i="6"/>
  <c r="BD9" i="6"/>
  <c r="BC9" i="6"/>
  <c r="BB9" i="6"/>
  <c r="AZ9" i="6"/>
  <c r="AY9" i="6"/>
  <c r="AX9" i="6"/>
  <c r="AW9" i="6"/>
  <c r="AV9" i="6"/>
  <c r="AU9" i="6"/>
  <c r="AS9" i="6" s="1"/>
  <c r="AT9" i="6"/>
  <c r="AR9" i="6"/>
  <c r="AP9" i="6"/>
  <c r="AN9" i="6"/>
  <c r="AL9" i="6"/>
  <c r="AM9" i="6" s="1"/>
  <c r="AK9" i="6"/>
  <c r="AJ9" i="6"/>
  <c r="AG9" i="6"/>
  <c r="AH9" i="6" s="1"/>
  <c r="AF9" i="6"/>
  <c r="AD9" i="6"/>
  <c r="AC9" i="6"/>
  <c r="AB9" i="6"/>
  <c r="CF9" i="6" s="1"/>
  <c r="CE9" i="6" s="1"/>
  <c r="CD9" i="6" s="1"/>
  <c r="Z9" i="6"/>
  <c r="BT9" i="6" s="1"/>
  <c r="Y9" i="6"/>
  <c r="X9" i="6" s="1"/>
  <c r="W9" i="6"/>
  <c r="V9" i="6"/>
  <c r="U9" i="6"/>
  <c r="T9" i="6"/>
  <c r="S9" i="6"/>
  <c r="AA9" i="6" s="1"/>
  <c r="BZ9" i="6" s="1"/>
  <c r="R9" i="6"/>
  <c r="O9" i="6"/>
  <c r="N9" i="6"/>
  <c r="BQ9" i="6" s="1"/>
  <c r="M9" i="6"/>
  <c r="GJ8" i="6"/>
  <c r="FM8" i="6"/>
  <c r="FL8" i="6"/>
  <c r="FK8" i="6"/>
  <c r="FJ8" i="6"/>
  <c r="FI8" i="6"/>
  <c r="FH8" i="6"/>
  <c r="FG8" i="6"/>
  <c r="FF8" i="6"/>
  <c r="FE8" i="6"/>
  <c r="FD8" i="6"/>
  <c r="DR8" i="6"/>
  <c r="DM8" i="6"/>
  <c r="DK8" i="6"/>
  <c r="DI8" i="6"/>
  <c r="DE8" i="6"/>
  <c r="CW8" i="6"/>
  <c r="CT8" i="6"/>
  <c r="CR8" i="6"/>
  <c r="CQ8" i="6"/>
  <c r="CM8" i="6"/>
  <c r="CI8" i="6"/>
  <c r="CD8" i="6"/>
  <c r="CA8" i="6"/>
  <c r="BQ8" i="6"/>
  <c r="BD8" i="6"/>
  <c r="BC8" i="6"/>
  <c r="BB8" i="6"/>
  <c r="AZ8" i="6"/>
  <c r="BG8" i="6" s="1"/>
  <c r="AY8" i="6"/>
  <c r="AX8" i="6"/>
  <c r="AW8" i="6"/>
  <c r="AV8" i="6"/>
  <c r="AU8" i="6"/>
  <c r="AR8" i="6"/>
  <c r="AP8" i="6"/>
  <c r="AN8" i="6"/>
  <c r="AK8" i="6"/>
  <c r="AJ8" i="6"/>
  <c r="AH8" i="6"/>
  <c r="AI8" i="6" s="1"/>
  <c r="AG8" i="6"/>
  <c r="AF8" i="6"/>
  <c r="AC8" i="6"/>
  <c r="AD8" i="6" s="1"/>
  <c r="AB8" i="6"/>
  <c r="Z8" i="6"/>
  <c r="Y8" i="6"/>
  <c r="W8" i="6"/>
  <c r="V8" i="6"/>
  <c r="BR8" i="6" s="1"/>
  <c r="U8" i="6"/>
  <c r="T8" i="6"/>
  <c r="S8" i="6"/>
  <c r="R8" i="6"/>
  <c r="O8" i="6"/>
  <c r="N8" i="6"/>
  <c r="BO8" i="6" s="1"/>
  <c r="M8" i="6"/>
  <c r="GJ7" i="6"/>
  <c r="FM7" i="6"/>
  <c r="FL7" i="6"/>
  <c r="FK7" i="6"/>
  <c r="FJ7" i="6"/>
  <c r="FI7" i="6"/>
  <c r="FH7" i="6"/>
  <c r="FG7" i="6"/>
  <c r="FF7" i="6"/>
  <c r="FE7" i="6"/>
  <c r="DR7" i="6"/>
  <c r="DM7" i="6"/>
  <c r="DK7" i="6"/>
  <c r="DI7" i="6"/>
  <c r="CW7" i="6"/>
  <c r="CV7" i="6" s="1"/>
  <c r="CU7" i="6"/>
  <c r="CT7" i="6"/>
  <c r="CQ7" i="6"/>
  <c r="CM7" i="6"/>
  <c r="CI7" i="6"/>
  <c r="CA7" i="6"/>
  <c r="BT7" i="6"/>
  <c r="BO7" i="6"/>
  <c r="BD7" i="6"/>
  <c r="BC7" i="6"/>
  <c r="BB7" i="6"/>
  <c r="AZ7" i="6"/>
  <c r="BG7" i="6" s="1"/>
  <c r="AY7" i="6"/>
  <c r="AW7" i="6"/>
  <c r="AU7" i="6"/>
  <c r="AS7" i="6" s="1"/>
  <c r="AT7" i="6"/>
  <c r="AR7" i="6"/>
  <c r="AQ7" i="6" s="1"/>
  <c r="AP7" i="6"/>
  <c r="AN7" i="6"/>
  <c r="AL7" i="6"/>
  <c r="CP7" i="6" s="1"/>
  <c r="CO7" i="6" s="1"/>
  <c r="CN7" i="6" s="1"/>
  <c r="AK7" i="6"/>
  <c r="AJ7" i="6"/>
  <c r="AG7" i="6"/>
  <c r="AF7" i="6"/>
  <c r="AD7" i="6"/>
  <c r="AE7" i="6" s="1"/>
  <c r="AC7" i="6"/>
  <c r="AB7" i="6"/>
  <c r="CF7" i="6" s="1"/>
  <c r="CE7" i="6" s="1"/>
  <c r="Z7" i="6"/>
  <c r="Y7" i="6"/>
  <c r="X7" i="6" s="1"/>
  <c r="W7" i="6"/>
  <c r="V7" i="6"/>
  <c r="U7" i="6"/>
  <c r="T7" i="6"/>
  <c r="S7" i="6"/>
  <c r="AA7" i="6" s="1"/>
  <c r="R7" i="6"/>
  <c r="N7" i="6"/>
  <c r="BR7" i="6" s="1"/>
  <c r="M7" i="6"/>
  <c r="GJ6" i="6"/>
  <c r="FO6" i="6"/>
  <c r="FN6" i="6" s="1"/>
  <c r="FM6" i="6"/>
  <c r="FL6" i="6"/>
  <c r="FK6" i="6"/>
  <c r="FJ6" i="6"/>
  <c r="FI6" i="6"/>
  <c r="FD6" i="6" s="1"/>
  <c r="FH6" i="6"/>
  <c r="FG6" i="6"/>
  <c r="FF6" i="6"/>
  <c r="FE6" i="6"/>
  <c r="DR6" i="6"/>
  <c r="DM6" i="6"/>
  <c r="DK6" i="6"/>
  <c r="DI6" i="6"/>
  <c r="CW6" i="6"/>
  <c r="CT6" i="6"/>
  <c r="CR6" i="6"/>
  <c r="CQ6" i="6"/>
  <c r="CP6" i="6"/>
  <c r="CO6" i="6"/>
  <c r="CN6" i="6"/>
  <c r="CM6" i="6"/>
  <c r="CK6" i="6"/>
  <c r="CI6" i="6"/>
  <c r="CH6" i="6"/>
  <c r="CG6" i="6"/>
  <c r="CF6" i="6"/>
  <c r="CD6" i="6"/>
  <c r="CA6" i="6"/>
  <c r="BR6" i="6"/>
  <c r="BQ6" i="6"/>
  <c r="BD6" i="6"/>
  <c r="BD37" i="6" s="1"/>
  <c r="BC6" i="6"/>
  <c r="BC37" i="6" s="1"/>
  <c r="BB6" i="6"/>
  <c r="AZ6" i="6"/>
  <c r="AZ37" i="6" s="1"/>
  <c r="AY6" i="6"/>
  <c r="AW6" i="6"/>
  <c r="AU6" i="6"/>
  <c r="AR6" i="6"/>
  <c r="AQ6" i="6" s="1"/>
  <c r="CV6" i="6" s="1"/>
  <c r="AP6" i="6"/>
  <c r="AN6" i="6"/>
  <c r="AL6" i="6"/>
  <c r="AK6" i="6"/>
  <c r="AK37" i="6" s="1"/>
  <c r="AJ6" i="6"/>
  <c r="AG6" i="6"/>
  <c r="AG37" i="6" s="1"/>
  <c r="AF6" i="6"/>
  <c r="AD6" i="6"/>
  <c r="AC6" i="6"/>
  <c r="AC37" i="6" s="1"/>
  <c r="AB6" i="6"/>
  <c r="Z6" i="6"/>
  <c r="Y6" i="6"/>
  <c r="W6" i="6"/>
  <c r="W37" i="6" s="1"/>
  <c r="V6" i="6"/>
  <c r="U6" i="6"/>
  <c r="T6" i="6"/>
  <c r="S6" i="6"/>
  <c r="R6" i="6"/>
  <c r="N6" i="6"/>
  <c r="BT6" i="6" s="1"/>
  <c r="M6" i="6"/>
  <c r="FD68" i="4"/>
  <c r="FB36" i="4"/>
  <c r="GJ34" i="4"/>
  <c r="GI34" i="4"/>
  <c r="GH34" i="4"/>
  <c r="GG34" i="4"/>
  <c r="GF34" i="4"/>
  <c r="GE34" i="4"/>
  <c r="GD34" i="4"/>
  <c r="GC34" i="4"/>
  <c r="GB34" i="4"/>
  <c r="GA34" i="4"/>
  <c r="FZ34" i="4"/>
  <c r="DR34" i="4"/>
  <c r="DQ34" i="4" s="1"/>
  <c r="DM34" i="4"/>
  <c r="DK34" i="4"/>
  <c r="DI34" i="4"/>
  <c r="CW34" i="4"/>
  <c r="CU34" i="4"/>
  <c r="CT34" i="4"/>
  <c r="CQ34" i="4"/>
  <c r="CM34" i="4"/>
  <c r="CI34" i="4"/>
  <c r="CA34" i="4"/>
  <c r="BF34" i="4"/>
  <c r="BE34" i="4"/>
  <c r="BA34" i="4"/>
  <c r="Q34" i="4"/>
  <c r="L34" i="4"/>
  <c r="K34" i="4"/>
  <c r="J34" i="4"/>
  <c r="I34" i="4"/>
  <c r="H34" i="4"/>
  <c r="G34" i="4"/>
  <c r="F34" i="4"/>
  <c r="E34" i="4"/>
  <c r="D34" i="4"/>
  <c r="GJ33" i="4"/>
  <c r="FM33" i="4"/>
  <c r="FL33" i="4"/>
  <c r="FK33" i="4"/>
  <c r="FJ33" i="4"/>
  <c r="FI33" i="4"/>
  <c r="FH33" i="4"/>
  <c r="FG33" i="4"/>
  <c r="FF33" i="4"/>
  <c r="FE33" i="4"/>
  <c r="DR33" i="4"/>
  <c r="DM33" i="4"/>
  <c r="DK33" i="4"/>
  <c r="DI33" i="4"/>
  <c r="CW33" i="4"/>
  <c r="CV33" i="4" s="1"/>
  <c r="CU33" i="4" s="1"/>
  <c r="CT33" i="4"/>
  <c r="CQ33" i="4"/>
  <c r="CM33" i="4"/>
  <c r="CI33" i="4"/>
  <c r="CH33" i="4"/>
  <c r="CG33" i="4"/>
  <c r="CF33" i="4"/>
  <c r="CA33" i="4"/>
  <c r="BT33" i="4"/>
  <c r="BS33" i="4"/>
  <c r="BG33" i="4"/>
  <c r="BD33" i="4"/>
  <c r="BC33" i="4"/>
  <c r="BB33" i="4"/>
  <c r="AZ33" i="4"/>
  <c r="AY33" i="4"/>
  <c r="AX33" i="4"/>
  <c r="AW33" i="4"/>
  <c r="AV33" i="4"/>
  <c r="AU33" i="4"/>
  <c r="AR33" i="4"/>
  <c r="AP33" i="4"/>
  <c r="AQ33" i="4" s="1"/>
  <c r="AN33" i="4"/>
  <c r="AK33" i="4"/>
  <c r="AL33" i="4" s="1"/>
  <c r="CP33" i="4" s="1"/>
  <c r="CO33" i="4" s="1"/>
  <c r="CN33" i="4" s="1"/>
  <c r="AJ33" i="4"/>
  <c r="AG33" i="4"/>
  <c r="AF33" i="4"/>
  <c r="AD33" i="4"/>
  <c r="AC33" i="4"/>
  <c r="AB33" i="4"/>
  <c r="Z33" i="4"/>
  <c r="Y33" i="4"/>
  <c r="X33" i="4" s="1"/>
  <c r="W33" i="4"/>
  <c r="V33" i="4"/>
  <c r="T33" i="4"/>
  <c r="BQ33" i="4" s="1"/>
  <c r="S33" i="4"/>
  <c r="R33" i="4"/>
  <c r="AA33" i="4" s="1"/>
  <c r="O33" i="4"/>
  <c r="DC33" i="4" s="1"/>
  <c r="N33" i="4"/>
  <c r="BP33" i="4" s="1"/>
  <c r="M33" i="4"/>
  <c r="GJ32" i="4"/>
  <c r="FP32" i="4"/>
  <c r="FM32" i="4"/>
  <c r="FL32" i="4"/>
  <c r="FK32" i="4"/>
  <c r="FJ32" i="4"/>
  <c r="FI32" i="4"/>
  <c r="FH32" i="4"/>
  <c r="FG32" i="4"/>
  <c r="FF32" i="4"/>
  <c r="FD32" i="4" s="1"/>
  <c r="FE32" i="4"/>
  <c r="DM32" i="4"/>
  <c r="DK32" i="4"/>
  <c r="DI32" i="4"/>
  <c r="CW32" i="4"/>
  <c r="CT32" i="4"/>
  <c r="CS32" i="4" s="1"/>
  <c r="CR32" i="4"/>
  <c r="CQ32" i="4"/>
  <c r="CM32" i="4"/>
  <c r="CI32" i="4"/>
  <c r="CH32" i="4"/>
  <c r="CG32" i="4"/>
  <c r="CF32" i="4"/>
  <c r="CA32" i="4"/>
  <c r="BT32" i="4"/>
  <c r="BD32" i="4"/>
  <c r="BC32" i="4"/>
  <c r="BB32" i="4"/>
  <c r="AZ32" i="4"/>
  <c r="BG32" i="4" s="1"/>
  <c r="AY32" i="4"/>
  <c r="AX32" i="4"/>
  <c r="AW32" i="4"/>
  <c r="AV32" i="4"/>
  <c r="AU32" i="4"/>
  <c r="AT32" i="4"/>
  <c r="AS32" i="4"/>
  <c r="AR32" i="4"/>
  <c r="AQ32" i="4"/>
  <c r="AP32" i="4"/>
  <c r="AO32" i="4" s="1"/>
  <c r="AN32" i="4"/>
  <c r="AL32" i="4"/>
  <c r="AK32" i="4"/>
  <c r="AJ32" i="4"/>
  <c r="CN32" i="4" s="1"/>
  <c r="AG32" i="4"/>
  <c r="AF32" i="4"/>
  <c r="AC32" i="4"/>
  <c r="AD32" i="4" s="1"/>
  <c r="AB32" i="4"/>
  <c r="Z32" i="4"/>
  <c r="Y32" i="4"/>
  <c r="X32" i="4" s="1"/>
  <c r="W32" i="4"/>
  <c r="V32" i="4"/>
  <c r="T32" i="4"/>
  <c r="S32" i="4"/>
  <c r="R32" i="4"/>
  <c r="AA32" i="4" s="1"/>
  <c r="N32" i="4"/>
  <c r="BR32" i="4" s="1"/>
  <c r="M32" i="4"/>
  <c r="GJ31" i="4"/>
  <c r="FM31" i="4"/>
  <c r="FL31" i="4"/>
  <c r="FK31" i="4"/>
  <c r="FJ31" i="4"/>
  <c r="FI31" i="4"/>
  <c r="FH31" i="4"/>
  <c r="FG31" i="4"/>
  <c r="FF31" i="4"/>
  <c r="FD31" i="4" s="1"/>
  <c r="FE31" i="4"/>
  <c r="DR31" i="4"/>
  <c r="DM31" i="4"/>
  <c r="DK31" i="4"/>
  <c r="DI31" i="4"/>
  <c r="CW31" i="4"/>
  <c r="CT31" i="4"/>
  <c r="CS31" i="4"/>
  <c r="CR31" i="4"/>
  <c r="CQ31" i="4"/>
  <c r="CM31" i="4"/>
  <c r="CL31" i="4"/>
  <c r="CK31" i="4"/>
  <c r="CJ31" i="4"/>
  <c r="CI31" i="4"/>
  <c r="CH31" i="4"/>
  <c r="CG31" i="4"/>
  <c r="CF31" i="4"/>
  <c r="CA31" i="4"/>
  <c r="BS31" i="4"/>
  <c r="BR31" i="4"/>
  <c r="BD31" i="4"/>
  <c r="BG31" i="4" s="1"/>
  <c r="BC31" i="4"/>
  <c r="BB31" i="4"/>
  <c r="AZ31" i="4"/>
  <c r="AY31" i="4"/>
  <c r="AX31" i="4"/>
  <c r="AW31" i="4"/>
  <c r="AV31" i="4"/>
  <c r="AU31" i="4"/>
  <c r="AR31" i="4"/>
  <c r="CD31" i="4" s="1"/>
  <c r="AP31" i="4"/>
  <c r="AN31" i="4"/>
  <c r="AK31" i="4"/>
  <c r="AJ31" i="4"/>
  <c r="AH31" i="4"/>
  <c r="AG31" i="4"/>
  <c r="AF31" i="4"/>
  <c r="AC31" i="4"/>
  <c r="AB31" i="4"/>
  <c r="AD31" i="4" s="1"/>
  <c r="Z31" i="4"/>
  <c r="Y31" i="4"/>
  <c r="X31" i="4" s="1"/>
  <c r="W31" i="4"/>
  <c r="V31" i="4"/>
  <c r="T31" i="4"/>
  <c r="S31" i="4"/>
  <c r="BP31" i="4" s="1"/>
  <c r="R31" i="4"/>
  <c r="N31" i="4"/>
  <c r="BO31" i="4" s="1"/>
  <c r="M31" i="4"/>
  <c r="GJ30" i="4"/>
  <c r="FP30" i="4"/>
  <c r="FM30" i="4"/>
  <c r="FL30" i="4"/>
  <c r="FK30" i="4"/>
  <c r="FJ30" i="4"/>
  <c r="FI30" i="4"/>
  <c r="FD30" i="4" s="1"/>
  <c r="FH30" i="4"/>
  <c r="FG30" i="4"/>
  <c r="FF30" i="4"/>
  <c r="FE30" i="4"/>
  <c r="DR30" i="4"/>
  <c r="DM30" i="4"/>
  <c r="DK30" i="4"/>
  <c r="DI30" i="4"/>
  <c r="CW30" i="4"/>
  <c r="CV30" i="4" s="1"/>
  <c r="CU30" i="4"/>
  <c r="CT30" i="4"/>
  <c r="CS30" i="4"/>
  <c r="CR30" i="4"/>
  <c r="CQ30" i="4"/>
  <c r="CM30" i="4"/>
  <c r="CI30" i="4"/>
  <c r="CF30" i="4"/>
  <c r="CA30" i="4"/>
  <c r="BS30" i="4"/>
  <c r="BD30" i="4"/>
  <c r="BC30" i="4"/>
  <c r="BB30" i="4"/>
  <c r="AZ30" i="4"/>
  <c r="BG30" i="4" s="1"/>
  <c r="AY30" i="4"/>
  <c r="AX30" i="4"/>
  <c r="AW30" i="4"/>
  <c r="AV30" i="4"/>
  <c r="AU30" i="4"/>
  <c r="AT30" i="4"/>
  <c r="AR30" i="4"/>
  <c r="AQ30" i="4" s="1"/>
  <c r="AP30" i="4"/>
  <c r="AO30" i="4" s="1"/>
  <c r="AN30" i="4"/>
  <c r="AL30" i="4"/>
  <c r="AM30" i="4" s="1"/>
  <c r="AK30" i="4"/>
  <c r="AJ30" i="4"/>
  <c r="AG30" i="4"/>
  <c r="AF30" i="4"/>
  <c r="AD30" i="4"/>
  <c r="AC30" i="4"/>
  <c r="AB30" i="4"/>
  <c r="AE30" i="4" s="1"/>
  <c r="Z30" i="4"/>
  <c r="BT30" i="4" s="1"/>
  <c r="Y30" i="4"/>
  <c r="X30" i="4" s="1"/>
  <c r="W30" i="4"/>
  <c r="V30" i="4"/>
  <c r="T30" i="4"/>
  <c r="S30" i="4"/>
  <c r="R30" i="4"/>
  <c r="AA30" i="4" s="1"/>
  <c r="N30" i="4"/>
  <c r="BQ30" i="4" s="1"/>
  <c r="M30" i="4"/>
  <c r="GJ29" i="4"/>
  <c r="FM29" i="4"/>
  <c r="FL29" i="4"/>
  <c r="FK29" i="4"/>
  <c r="FJ29" i="4"/>
  <c r="FI29" i="4"/>
  <c r="FH29" i="4"/>
  <c r="FG29" i="4"/>
  <c r="FF29" i="4"/>
  <c r="FD29" i="4" s="1"/>
  <c r="FE29" i="4"/>
  <c r="DR29" i="4"/>
  <c r="DM29" i="4"/>
  <c r="DK29" i="4"/>
  <c r="DI29" i="4"/>
  <c r="DG29" i="4"/>
  <c r="DA29" i="4"/>
  <c r="CW29" i="4"/>
  <c r="CT29" i="4"/>
  <c r="CS29" i="4"/>
  <c r="CR29" i="4"/>
  <c r="CQ29" i="4"/>
  <c r="CM29" i="4"/>
  <c r="CI29" i="4"/>
  <c r="CA29" i="4"/>
  <c r="BT29" i="4"/>
  <c r="BS29" i="4"/>
  <c r="BG29" i="4"/>
  <c r="BD29" i="4"/>
  <c r="BC29" i="4"/>
  <c r="BB29" i="4"/>
  <c r="AZ29" i="4"/>
  <c r="AY29" i="4"/>
  <c r="AX29" i="4"/>
  <c r="AW29" i="4"/>
  <c r="AV29" i="4"/>
  <c r="AU29" i="4"/>
  <c r="AR29" i="4"/>
  <c r="AP29" i="4"/>
  <c r="AO29" i="4" s="1"/>
  <c r="AN29" i="4"/>
  <c r="AK29" i="4"/>
  <c r="AL29" i="4" s="1"/>
  <c r="AJ29" i="4"/>
  <c r="AG29" i="4"/>
  <c r="AF29" i="4"/>
  <c r="AD29" i="4"/>
  <c r="AC29" i="4"/>
  <c r="AB29" i="4"/>
  <c r="CF29" i="4" s="1"/>
  <c r="Z29" i="4"/>
  <c r="Y29" i="4"/>
  <c r="X29" i="4" s="1"/>
  <c r="W29" i="4"/>
  <c r="V29" i="4"/>
  <c r="T29" i="4"/>
  <c r="BQ29" i="4" s="1"/>
  <c r="S29" i="4"/>
  <c r="R29" i="4"/>
  <c r="AA29" i="4" s="1"/>
  <c r="O29" i="4"/>
  <c r="N29" i="4"/>
  <c r="BP29" i="4" s="1"/>
  <c r="M29" i="4"/>
  <c r="GJ28" i="4"/>
  <c r="FP28" i="4"/>
  <c r="FM28" i="4"/>
  <c r="FL28" i="4"/>
  <c r="FK28" i="4"/>
  <c r="FJ28" i="4"/>
  <c r="FI28" i="4"/>
  <c r="FH28" i="4"/>
  <c r="FG28" i="4"/>
  <c r="FF28" i="4"/>
  <c r="FE28" i="4"/>
  <c r="FD28" i="4" s="1"/>
  <c r="DR28" i="4"/>
  <c r="DM28" i="4"/>
  <c r="DK28" i="4"/>
  <c r="DI28" i="4"/>
  <c r="DG28" i="4"/>
  <c r="DB28" i="4"/>
  <c r="DA28" i="4"/>
  <c r="CW28" i="4"/>
  <c r="CU28" i="4"/>
  <c r="CT28" i="4"/>
  <c r="CQ28" i="4"/>
  <c r="CM28" i="4"/>
  <c r="CI28" i="4"/>
  <c r="CB28" i="4"/>
  <c r="CA28" i="4"/>
  <c r="BR28" i="4"/>
  <c r="BD28" i="4"/>
  <c r="BC28" i="4"/>
  <c r="BB28" i="4"/>
  <c r="AZ28" i="4"/>
  <c r="BG28" i="4" s="1"/>
  <c r="DH28" i="4" s="1"/>
  <c r="AY28" i="4"/>
  <c r="AX28" i="4"/>
  <c r="AW28" i="4"/>
  <c r="AV28" i="4"/>
  <c r="AU28" i="4"/>
  <c r="AS28" i="4" s="1"/>
  <c r="AT28" i="4"/>
  <c r="AR28" i="4"/>
  <c r="AP28" i="4"/>
  <c r="AN28" i="4"/>
  <c r="CR28" i="4" s="1"/>
  <c r="AK28" i="4"/>
  <c r="AL28" i="4" s="1"/>
  <c r="AM28" i="4" s="1"/>
  <c r="AJ28" i="4"/>
  <c r="CN28" i="4" s="1"/>
  <c r="AG28" i="4"/>
  <c r="AH28" i="4" s="1"/>
  <c r="CL28" i="4" s="1"/>
  <c r="AF28" i="4"/>
  <c r="AD28" i="4"/>
  <c r="AC28" i="4"/>
  <c r="AB28" i="4"/>
  <c r="CF28" i="4" s="1"/>
  <c r="CE28" i="4" s="1"/>
  <c r="CD28" i="4" s="1"/>
  <c r="Z28" i="4"/>
  <c r="BT28" i="4" s="1"/>
  <c r="Y28" i="4"/>
  <c r="X28" i="4" s="1"/>
  <c r="W28" i="4"/>
  <c r="V28" i="4"/>
  <c r="T28" i="4"/>
  <c r="S28" i="4"/>
  <c r="R28" i="4"/>
  <c r="O28" i="4"/>
  <c r="DE28" i="4" s="1"/>
  <c r="N28" i="4"/>
  <c r="BQ28" i="4" s="1"/>
  <c r="M28" i="4"/>
  <c r="GJ27" i="4"/>
  <c r="FM27" i="4"/>
  <c r="FL27" i="4"/>
  <c r="FK27" i="4"/>
  <c r="FJ27" i="4"/>
  <c r="FI27" i="4"/>
  <c r="FD27" i="4" s="1"/>
  <c r="FH27" i="4"/>
  <c r="FG27" i="4"/>
  <c r="FF27" i="4"/>
  <c r="FE27" i="4"/>
  <c r="DR27" i="4"/>
  <c r="DM27" i="4"/>
  <c r="DK27" i="4"/>
  <c r="DI27" i="4"/>
  <c r="CW27" i="4"/>
  <c r="CT27" i="4"/>
  <c r="CQ27" i="4"/>
  <c r="CM27" i="4"/>
  <c r="CJ27" i="4"/>
  <c r="CI27" i="4"/>
  <c r="CA27" i="4"/>
  <c r="BS27" i="4"/>
  <c r="BD27" i="4"/>
  <c r="BC27" i="4"/>
  <c r="BB27" i="4"/>
  <c r="AZ27" i="4"/>
  <c r="BG27" i="4" s="1"/>
  <c r="AY27" i="4"/>
  <c r="AX27" i="4"/>
  <c r="AW27" i="4"/>
  <c r="AV27" i="4"/>
  <c r="AU27" i="4"/>
  <c r="AT27" i="4"/>
  <c r="AR27" i="4"/>
  <c r="AS27" i="4" s="1"/>
  <c r="CE27" i="4" s="1"/>
  <c r="CD27" i="4" s="1"/>
  <c r="AP27" i="4"/>
  <c r="AN27" i="4"/>
  <c r="CR27" i="4" s="1"/>
  <c r="AK27" i="4"/>
  <c r="AJ27" i="4"/>
  <c r="AL27" i="4" s="1"/>
  <c r="AM27" i="4" s="1"/>
  <c r="AG27" i="4"/>
  <c r="AH27" i="4" s="1"/>
  <c r="AF27" i="4"/>
  <c r="AD27" i="4"/>
  <c r="AC27" i="4"/>
  <c r="AB27" i="4"/>
  <c r="Z27" i="4"/>
  <c r="BT27" i="4" s="1"/>
  <c r="Y27" i="4"/>
  <c r="X27" i="4"/>
  <c r="W27" i="4"/>
  <c r="V27" i="4"/>
  <c r="T27" i="4"/>
  <c r="BQ27" i="4" s="1"/>
  <c r="S27" i="4"/>
  <c r="AA27" i="4" s="1"/>
  <c r="R27" i="4"/>
  <c r="N27" i="4"/>
  <c r="BP27" i="4" s="1"/>
  <c r="M27" i="4"/>
  <c r="GJ26" i="4"/>
  <c r="FP26" i="4"/>
  <c r="FM26" i="4"/>
  <c r="FL26" i="4"/>
  <c r="FK26" i="4"/>
  <c r="FJ26" i="4"/>
  <c r="FI26" i="4"/>
  <c r="FD26" i="4" s="1"/>
  <c r="FH26" i="4"/>
  <c r="FG26" i="4"/>
  <c r="FF26" i="4"/>
  <c r="FE26" i="4"/>
  <c r="DR26" i="4"/>
  <c r="DM26" i="4"/>
  <c r="DK26" i="4"/>
  <c r="DI26" i="4"/>
  <c r="DE26" i="4"/>
  <c r="DD26" i="4"/>
  <c r="CY26" i="4"/>
  <c r="CX26" i="4"/>
  <c r="CW26" i="4"/>
  <c r="CU26" i="4"/>
  <c r="CT26" i="4"/>
  <c r="CQ26" i="4"/>
  <c r="CN26" i="4"/>
  <c r="CM26" i="4"/>
  <c r="CI26" i="4"/>
  <c r="CB26" i="4"/>
  <c r="CA26" i="4"/>
  <c r="BV26" i="4"/>
  <c r="BR26" i="4"/>
  <c r="BD26" i="4"/>
  <c r="BC26" i="4"/>
  <c r="BB26" i="4"/>
  <c r="AZ26" i="4"/>
  <c r="BG26" i="4" s="1"/>
  <c r="AY26" i="4"/>
  <c r="AX26" i="4"/>
  <c r="AW26" i="4"/>
  <c r="AV26" i="4"/>
  <c r="AU26" i="4"/>
  <c r="AT26" i="4"/>
  <c r="AR26" i="4"/>
  <c r="AS26" i="4" s="1"/>
  <c r="CC26" i="4" s="1"/>
  <c r="AQ26" i="4"/>
  <c r="AP26" i="4"/>
  <c r="AN26" i="4"/>
  <c r="CR26" i="4" s="1"/>
  <c r="AM26" i="4"/>
  <c r="AK26" i="4"/>
  <c r="AJ26" i="4"/>
  <c r="AL26" i="4" s="1"/>
  <c r="AG26" i="4"/>
  <c r="AH26" i="4" s="1"/>
  <c r="CL26" i="4" s="1"/>
  <c r="CK26" i="4" s="1"/>
  <c r="CJ26" i="4" s="1"/>
  <c r="AF26" i="4"/>
  <c r="AD26" i="4"/>
  <c r="AC26" i="4"/>
  <c r="AB26" i="4"/>
  <c r="Z26" i="4"/>
  <c r="Y26" i="4"/>
  <c r="X26" i="4" s="1"/>
  <c r="W26" i="4"/>
  <c r="V26" i="4"/>
  <c r="T26" i="4"/>
  <c r="S26" i="4"/>
  <c r="BW26" i="4" s="1"/>
  <c r="R26" i="4"/>
  <c r="O26" i="4"/>
  <c r="N26" i="4"/>
  <c r="BQ26" i="4" s="1"/>
  <c r="M26" i="4"/>
  <c r="GJ25" i="4"/>
  <c r="FO25" i="4"/>
  <c r="FN25" i="4" s="1"/>
  <c r="FM25" i="4"/>
  <c r="FL25" i="4"/>
  <c r="FK25" i="4"/>
  <c r="FJ25" i="4"/>
  <c r="FI25" i="4"/>
  <c r="FD25" i="4" s="1"/>
  <c r="FH25" i="4"/>
  <c r="FG25" i="4"/>
  <c r="FF25" i="4"/>
  <c r="FE25" i="4"/>
  <c r="DR25" i="4"/>
  <c r="DM25" i="4"/>
  <c r="DK25" i="4"/>
  <c r="DI25" i="4"/>
  <c r="CX25" i="4"/>
  <c r="CW25" i="4"/>
  <c r="CU25" i="4"/>
  <c r="CT25" i="4"/>
  <c r="CQ25" i="4"/>
  <c r="CM25" i="4"/>
  <c r="CI25" i="4"/>
  <c r="CG25" i="4"/>
  <c r="CF25" i="4" s="1"/>
  <c r="CE25" i="4"/>
  <c r="CD25" i="4"/>
  <c r="CA25" i="4"/>
  <c r="BY25" i="4"/>
  <c r="BR25" i="4"/>
  <c r="BP25" i="4"/>
  <c r="BD25" i="4"/>
  <c r="BG25" i="4" s="1"/>
  <c r="BC25" i="4"/>
  <c r="BB25" i="4"/>
  <c r="AZ25" i="4"/>
  <c r="AY25" i="4"/>
  <c r="AX25" i="4"/>
  <c r="AW25" i="4"/>
  <c r="AV25" i="4"/>
  <c r="AU25" i="4"/>
  <c r="AQ25" i="4" s="1"/>
  <c r="AP25" i="4"/>
  <c r="AN25" i="4"/>
  <c r="AK25" i="4"/>
  <c r="AJ25" i="4"/>
  <c r="AG25" i="4"/>
  <c r="AF25" i="4"/>
  <c r="AD25" i="4"/>
  <c r="AC25" i="4"/>
  <c r="AB25" i="4"/>
  <c r="Z25" i="4"/>
  <c r="Y25" i="4"/>
  <c r="X25" i="4" s="1"/>
  <c r="W25" i="4"/>
  <c r="V25" i="4"/>
  <c r="T25" i="4"/>
  <c r="S25" i="4"/>
  <c r="R25" i="4"/>
  <c r="AA25" i="4" s="1"/>
  <c r="O25" i="4"/>
  <c r="DD25" i="4" s="1"/>
  <c r="N25" i="4"/>
  <c r="BO25" i="4" s="1"/>
  <c r="M25" i="4"/>
  <c r="GJ24" i="4"/>
  <c r="FP24" i="4"/>
  <c r="FN24" i="4"/>
  <c r="FM24" i="4"/>
  <c r="FL24" i="4"/>
  <c r="FK24" i="4"/>
  <c r="FJ24" i="4"/>
  <c r="FI24" i="4"/>
  <c r="FH24" i="4"/>
  <c r="FG24" i="4"/>
  <c r="FF24" i="4"/>
  <c r="FE24" i="4"/>
  <c r="FD24" i="4" s="1"/>
  <c r="BL24" i="4" s="1"/>
  <c r="DR24" i="4"/>
  <c r="DM24" i="4"/>
  <c r="DK24" i="4"/>
  <c r="DI24" i="4"/>
  <c r="CW24" i="4"/>
  <c r="CU24" i="4"/>
  <c r="CT24" i="4"/>
  <c r="CS24" i="4"/>
  <c r="CR24" i="4"/>
  <c r="CQ24" i="4"/>
  <c r="CM24" i="4"/>
  <c r="CL24" i="4"/>
  <c r="CK24" i="4"/>
  <c r="CJ24" i="4"/>
  <c r="CI24" i="4"/>
  <c r="CH24" i="4"/>
  <c r="CG24" i="4"/>
  <c r="CF24" i="4"/>
  <c r="CE24" i="4"/>
  <c r="CD24" i="4"/>
  <c r="CA24" i="4"/>
  <c r="BR24" i="4"/>
  <c r="BP24" i="4"/>
  <c r="BG24" i="4"/>
  <c r="BD24" i="4"/>
  <c r="BC24" i="4"/>
  <c r="BB24" i="4"/>
  <c r="AZ24" i="4"/>
  <c r="AY24" i="4"/>
  <c r="AX24" i="4"/>
  <c r="AW24" i="4"/>
  <c r="AV24" i="4"/>
  <c r="AU24" i="4"/>
  <c r="AP24" i="4"/>
  <c r="AN24" i="4"/>
  <c r="AM24" i="4"/>
  <c r="AK24" i="4"/>
  <c r="AL24" i="4" s="1"/>
  <c r="AJ24" i="4"/>
  <c r="AG24" i="4"/>
  <c r="AF24" i="4"/>
  <c r="AC24" i="4"/>
  <c r="AB24" i="4"/>
  <c r="AD24" i="4" s="1"/>
  <c r="Z24" i="4"/>
  <c r="Y24" i="4"/>
  <c r="W24" i="4"/>
  <c r="V24" i="4"/>
  <c r="T24" i="4"/>
  <c r="S24" i="4"/>
  <c r="R24" i="4"/>
  <c r="AA24" i="4" s="1"/>
  <c r="N24" i="4"/>
  <c r="BO24" i="4" s="1"/>
  <c r="M24" i="4"/>
  <c r="GJ23" i="4"/>
  <c r="FO23" i="4"/>
  <c r="FN23" i="4" s="1"/>
  <c r="FM23" i="4"/>
  <c r="FL23" i="4"/>
  <c r="FK23" i="4"/>
  <c r="FJ23" i="4"/>
  <c r="FI23" i="4"/>
  <c r="FH23" i="4"/>
  <c r="FG23" i="4"/>
  <c r="FF23" i="4"/>
  <c r="FD23" i="4" s="1"/>
  <c r="FE23" i="4"/>
  <c r="DR23" i="4"/>
  <c r="DM23" i="4"/>
  <c r="DK23" i="4"/>
  <c r="DI23" i="4"/>
  <c r="CW23" i="4"/>
  <c r="CU23" i="4"/>
  <c r="CT23" i="4"/>
  <c r="CQ23" i="4"/>
  <c r="CO23" i="4"/>
  <c r="CM23" i="4"/>
  <c r="CI23" i="4"/>
  <c r="CF23" i="4"/>
  <c r="CA23" i="4"/>
  <c r="BT23" i="4"/>
  <c r="BD23" i="4"/>
  <c r="BC23" i="4"/>
  <c r="BB23" i="4"/>
  <c r="AZ23" i="4"/>
  <c r="BG23" i="4" s="1"/>
  <c r="AY23" i="4"/>
  <c r="AX23" i="4"/>
  <c r="AW23" i="4"/>
  <c r="AV23" i="4"/>
  <c r="AU23" i="4"/>
  <c r="AR23" i="4"/>
  <c r="AP23" i="4"/>
  <c r="AQ23" i="4" s="1"/>
  <c r="AN23" i="4"/>
  <c r="AO23" i="4" s="1"/>
  <c r="AL23" i="4"/>
  <c r="AM23" i="4" s="1"/>
  <c r="AK23" i="4"/>
  <c r="AJ23" i="4"/>
  <c r="AG23" i="4"/>
  <c r="CK23" i="4" s="1"/>
  <c r="AF23" i="4"/>
  <c r="AC23" i="4"/>
  <c r="AB23" i="4"/>
  <c r="AD23" i="4" s="1"/>
  <c r="Z23" i="4"/>
  <c r="Y23" i="4"/>
  <c r="X23" i="4" s="1"/>
  <c r="W23" i="4"/>
  <c r="V23" i="4"/>
  <c r="T23" i="4"/>
  <c r="S23" i="4"/>
  <c r="R23" i="4"/>
  <c r="AA23" i="4" s="1"/>
  <c r="N23" i="4"/>
  <c r="BR23" i="4" s="1"/>
  <c r="M23" i="4"/>
  <c r="GJ22" i="4"/>
  <c r="FP22" i="4"/>
  <c r="FM22" i="4"/>
  <c r="FL22" i="4"/>
  <c r="FK22" i="4"/>
  <c r="FJ22" i="4"/>
  <c r="FI22" i="4"/>
  <c r="FH22" i="4"/>
  <c r="FG22" i="4"/>
  <c r="FF22" i="4"/>
  <c r="FE22" i="4"/>
  <c r="FD22" i="4" s="1"/>
  <c r="DR22" i="4"/>
  <c r="DM22" i="4"/>
  <c r="DK22" i="4"/>
  <c r="DI22" i="4"/>
  <c r="CW22" i="4"/>
  <c r="CV22" i="4" s="1"/>
  <c r="CU22" i="4"/>
  <c r="CT22" i="4"/>
  <c r="CQ22" i="4"/>
  <c r="CM22" i="4"/>
  <c r="CL22" i="4"/>
  <c r="CK22" i="4"/>
  <c r="CJ22" i="4"/>
  <c r="CI22" i="4"/>
  <c r="CA22" i="4"/>
  <c r="BP22" i="4"/>
  <c r="BO22" i="4"/>
  <c r="BD22" i="4"/>
  <c r="BC22" i="4"/>
  <c r="BB22" i="4"/>
  <c r="AZ22" i="4"/>
  <c r="BG22" i="4" s="1"/>
  <c r="AY22" i="4"/>
  <c r="AX22" i="4"/>
  <c r="AW22" i="4"/>
  <c r="AV22" i="4"/>
  <c r="AU22" i="4"/>
  <c r="AT22" i="4"/>
  <c r="AR22" i="4"/>
  <c r="AQ22" i="4" s="1"/>
  <c r="AP22" i="4"/>
  <c r="AN22" i="4"/>
  <c r="CR22" i="4" s="1"/>
  <c r="AK22" i="4"/>
  <c r="AJ22" i="4"/>
  <c r="CN22" i="4" s="1"/>
  <c r="AG22" i="4"/>
  <c r="AF22" i="4"/>
  <c r="AC22" i="4"/>
  <c r="AB22" i="4"/>
  <c r="AD22" i="4" s="1"/>
  <c r="Z22" i="4"/>
  <c r="Y22" i="4"/>
  <c r="X22" i="4" s="1"/>
  <c r="W22" i="4"/>
  <c r="V22" i="4"/>
  <c r="T22" i="4"/>
  <c r="S22" i="4"/>
  <c r="R22" i="4"/>
  <c r="AA22" i="4" s="1"/>
  <c r="N22" i="4"/>
  <c r="BS22" i="4" s="1"/>
  <c r="M22" i="4"/>
  <c r="GJ21" i="4"/>
  <c r="FO21" i="4"/>
  <c r="FN21" i="4"/>
  <c r="FM21" i="4"/>
  <c r="FL21" i="4"/>
  <c r="FK21" i="4"/>
  <c r="FJ21" i="4"/>
  <c r="FI21" i="4"/>
  <c r="FH21" i="4"/>
  <c r="FG21" i="4"/>
  <c r="FF21" i="4"/>
  <c r="FD21" i="4" s="1"/>
  <c r="FE21" i="4"/>
  <c r="DR21" i="4"/>
  <c r="DM21" i="4"/>
  <c r="DK21" i="4"/>
  <c r="DI21" i="4"/>
  <c r="CW21" i="4"/>
  <c r="CT21" i="4"/>
  <c r="CQ21" i="4"/>
  <c r="CM21" i="4"/>
  <c r="CL21" i="4"/>
  <c r="CK21" i="4"/>
  <c r="CJ21" i="4"/>
  <c r="CI21" i="4"/>
  <c r="CA21" i="4"/>
  <c r="BO21" i="4"/>
  <c r="BD21" i="4"/>
  <c r="BC21" i="4"/>
  <c r="BB21" i="4"/>
  <c r="AZ21" i="4"/>
  <c r="BG21" i="4" s="1"/>
  <c r="AY21" i="4"/>
  <c r="AX21" i="4"/>
  <c r="AW21" i="4"/>
  <c r="AV21" i="4"/>
  <c r="AU21" i="4"/>
  <c r="AT21" i="4"/>
  <c r="AR21" i="4"/>
  <c r="AS21" i="4" s="1"/>
  <c r="AP21" i="4"/>
  <c r="AN21" i="4"/>
  <c r="AO21" i="4" s="1"/>
  <c r="AK21" i="4"/>
  <c r="AJ21" i="4"/>
  <c r="AH21" i="4"/>
  <c r="AG21" i="4"/>
  <c r="AF21" i="4"/>
  <c r="AC21" i="4"/>
  <c r="AB21" i="4"/>
  <c r="CF21" i="4" s="1"/>
  <c r="Z21" i="4"/>
  <c r="Y21" i="4"/>
  <c r="X21" i="4" s="1"/>
  <c r="W21" i="4"/>
  <c r="V21" i="4"/>
  <c r="T21" i="4"/>
  <c r="S21" i="4"/>
  <c r="BP21" i="4" s="1"/>
  <c r="R21" i="4"/>
  <c r="N21" i="4"/>
  <c r="BR21" i="4" s="1"/>
  <c r="M21" i="4"/>
  <c r="GJ20" i="4"/>
  <c r="FP20" i="4"/>
  <c r="FM20" i="4"/>
  <c r="FL20" i="4"/>
  <c r="FK20" i="4"/>
  <c r="FJ20" i="4"/>
  <c r="FI20" i="4"/>
  <c r="FH20" i="4"/>
  <c r="FG20" i="4"/>
  <c r="FF20" i="4"/>
  <c r="FE20" i="4"/>
  <c r="FD20" i="4" s="1"/>
  <c r="DR20" i="4"/>
  <c r="DM20" i="4"/>
  <c r="DK20" i="4"/>
  <c r="DI20" i="4"/>
  <c r="DC20" i="4"/>
  <c r="CW20" i="4"/>
  <c r="CT20" i="4"/>
  <c r="CQ20" i="4"/>
  <c r="CM20" i="4"/>
  <c r="CI20" i="4"/>
  <c r="CA20" i="4"/>
  <c r="BT20" i="4"/>
  <c r="BR20" i="4"/>
  <c r="BD20" i="4"/>
  <c r="BC20" i="4"/>
  <c r="DD20" i="4" s="1"/>
  <c r="BB20" i="4"/>
  <c r="AZ20" i="4"/>
  <c r="BG20" i="4" s="1"/>
  <c r="AY20" i="4"/>
  <c r="AX20" i="4"/>
  <c r="AW20" i="4"/>
  <c r="AV20" i="4"/>
  <c r="AU20" i="4"/>
  <c r="AT20" i="4" s="1"/>
  <c r="AR20" i="4"/>
  <c r="CD20" i="4" s="1"/>
  <c r="AP20" i="4"/>
  <c r="AN20" i="4"/>
  <c r="CR20" i="4" s="1"/>
  <c r="AK20" i="4"/>
  <c r="AL20" i="4" s="1"/>
  <c r="AM20" i="4" s="1"/>
  <c r="AJ20" i="4"/>
  <c r="CN20" i="4" s="1"/>
  <c r="AG20" i="4"/>
  <c r="AH20" i="4" s="1"/>
  <c r="CL20" i="4" s="1"/>
  <c r="CK20" i="4" s="1"/>
  <c r="CJ20" i="4" s="1"/>
  <c r="AF20" i="4"/>
  <c r="AD20" i="4"/>
  <c r="AC20" i="4"/>
  <c r="AB20" i="4"/>
  <c r="Z20" i="4"/>
  <c r="Y20" i="4"/>
  <c r="X20" i="4" s="1"/>
  <c r="W20" i="4"/>
  <c r="V20" i="4"/>
  <c r="T20" i="4"/>
  <c r="S20" i="4"/>
  <c r="R20" i="4"/>
  <c r="O20" i="4"/>
  <c r="N20" i="4"/>
  <c r="BQ20" i="4" s="1"/>
  <c r="M20" i="4"/>
  <c r="GJ19" i="4"/>
  <c r="FM19" i="4"/>
  <c r="FL19" i="4"/>
  <c r="FK19" i="4"/>
  <c r="FJ19" i="4"/>
  <c r="FI19" i="4"/>
  <c r="FH19" i="4"/>
  <c r="FG19" i="4"/>
  <c r="FF19" i="4"/>
  <c r="FE19" i="4"/>
  <c r="DR19" i="4"/>
  <c r="DM19" i="4"/>
  <c r="DK19" i="4"/>
  <c r="DI19" i="4"/>
  <c r="CW19" i="4"/>
  <c r="CU19" i="4"/>
  <c r="CT19" i="4"/>
  <c r="CQ19" i="4"/>
  <c r="CM19" i="4"/>
  <c r="CL19" i="4" s="1"/>
  <c r="CK19" i="4" s="1"/>
  <c r="CJ19" i="4"/>
  <c r="CI19" i="4"/>
  <c r="CA19" i="4"/>
  <c r="BO19" i="4"/>
  <c r="BD19" i="4"/>
  <c r="BC19" i="4"/>
  <c r="BB19" i="4"/>
  <c r="AZ19" i="4"/>
  <c r="BG19" i="4" s="1"/>
  <c r="AY19" i="4"/>
  <c r="AX19" i="4"/>
  <c r="AW19" i="4"/>
  <c r="AS19" i="4" s="1"/>
  <c r="CE19" i="4" s="1"/>
  <c r="AV19" i="4"/>
  <c r="AU19" i="4"/>
  <c r="AT19" i="4"/>
  <c r="AR19" i="4"/>
  <c r="CD19" i="4" s="1"/>
  <c r="AP19" i="4"/>
  <c r="AQ19" i="4" s="1"/>
  <c r="AN19" i="4"/>
  <c r="CR19" i="4" s="1"/>
  <c r="AK19" i="4"/>
  <c r="AJ19" i="4"/>
  <c r="AH19" i="4"/>
  <c r="AG19" i="4"/>
  <c r="AF19" i="4"/>
  <c r="AI19" i="4" s="1"/>
  <c r="AC19" i="4"/>
  <c r="AD19" i="4" s="1"/>
  <c r="AB19" i="4"/>
  <c r="Z19" i="4"/>
  <c r="Y19" i="4"/>
  <c r="W19" i="4"/>
  <c r="V19" i="4"/>
  <c r="T19" i="4"/>
  <c r="S19" i="4"/>
  <c r="AA19" i="4" s="1"/>
  <c r="R19" i="4"/>
  <c r="N19" i="4"/>
  <c r="BS19" i="4" s="1"/>
  <c r="M19" i="4"/>
  <c r="GJ18" i="4"/>
  <c r="FP18" i="4"/>
  <c r="FM18" i="4"/>
  <c r="FL18" i="4"/>
  <c r="FK18" i="4"/>
  <c r="FJ18" i="4"/>
  <c r="FI18" i="4"/>
  <c r="FH18" i="4"/>
  <c r="FG18" i="4"/>
  <c r="FF18" i="4"/>
  <c r="FD18" i="4" s="1"/>
  <c r="FE18" i="4"/>
  <c r="DR18" i="4"/>
  <c r="DM18" i="4"/>
  <c r="DK18" i="4"/>
  <c r="DI18" i="4"/>
  <c r="CW18" i="4"/>
  <c r="CT18" i="4"/>
  <c r="CR18" i="4"/>
  <c r="CQ18" i="4"/>
  <c r="CM18" i="4"/>
  <c r="CI18" i="4"/>
  <c r="CH18" i="4"/>
  <c r="CG18" i="4"/>
  <c r="CF18" i="4"/>
  <c r="CA18" i="4"/>
  <c r="BT18" i="4"/>
  <c r="BR18" i="4"/>
  <c r="BO18" i="4"/>
  <c r="BD18" i="4"/>
  <c r="BC18" i="4"/>
  <c r="BB18" i="4"/>
  <c r="AZ18" i="4"/>
  <c r="AY18" i="4"/>
  <c r="AX18" i="4"/>
  <c r="AW18" i="4"/>
  <c r="AS18" i="4" s="1"/>
  <c r="CE18" i="4" s="1"/>
  <c r="CD18" i="4" s="1"/>
  <c r="AV18" i="4"/>
  <c r="AU18" i="4"/>
  <c r="AT18" i="4"/>
  <c r="AR18" i="4"/>
  <c r="AP18" i="4"/>
  <c r="CU18" i="4" s="1"/>
  <c r="AO18" i="4"/>
  <c r="AN18" i="4"/>
  <c r="AL18" i="4"/>
  <c r="CP18" i="4" s="1"/>
  <c r="CO18" i="4" s="1"/>
  <c r="CN18" i="4" s="1"/>
  <c r="AK18" i="4"/>
  <c r="AJ18" i="4"/>
  <c r="AH18" i="4"/>
  <c r="AI18" i="4" s="1"/>
  <c r="AG18" i="4"/>
  <c r="AF18" i="4"/>
  <c r="CJ18" i="4" s="1"/>
  <c r="AC18" i="4"/>
  <c r="AB18" i="4"/>
  <c r="AD18" i="4" s="1"/>
  <c r="Z18" i="4"/>
  <c r="Y18" i="4"/>
  <c r="X18" i="4" s="1"/>
  <c r="W18" i="4"/>
  <c r="V18" i="4"/>
  <c r="T18" i="4"/>
  <c r="S18" i="4"/>
  <c r="AA18" i="4" s="1"/>
  <c r="BU18" i="4" s="1"/>
  <c r="R18" i="4"/>
  <c r="N18" i="4"/>
  <c r="BQ18" i="4" s="1"/>
  <c r="M18" i="4"/>
  <c r="GJ17" i="4"/>
  <c r="FM17" i="4"/>
  <c r="FL17" i="4"/>
  <c r="FK17" i="4"/>
  <c r="FJ17" i="4"/>
  <c r="FI17" i="4"/>
  <c r="FH17" i="4"/>
  <c r="FG17" i="4"/>
  <c r="FF17" i="4"/>
  <c r="FE17" i="4"/>
  <c r="FD17" i="4" s="1"/>
  <c r="DR17" i="4"/>
  <c r="DM17" i="4"/>
  <c r="DK17" i="4"/>
  <c r="DI17" i="4"/>
  <c r="CW17" i="4"/>
  <c r="CV17" i="4" s="1"/>
  <c r="CU17" i="4" s="1"/>
  <c r="CT17" i="4"/>
  <c r="CQ17" i="4"/>
  <c r="CM17" i="4"/>
  <c r="CL17" i="4"/>
  <c r="CK17" i="4"/>
  <c r="CJ17" i="4"/>
  <c r="CI17" i="4"/>
  <c r="CH17" i="4"/>
  <c r="CG17" i="4"/>
  <c r="CF17" i="4"/>
  <c r="CA17" i="4"/>
  <c r="BQ17" i="4"/>
  <c r="BG17" i="4"/>
  <c r="BD17" i="4"/>
  <c r="BC17" i="4"/>
  <c r="BB17" i="4"/>
  <c r="AZ17" i="4"/>
  <c r="AY17" i="4"/>
  <c r="AX17" i="4"/>
  <c r="AW17" i="4"/>
  <c r="AV17" i="4"/>
  <c r="AU17" i="4"/>
  <c r="AR17" i="4"/>
  <c r="AQ17" i="4"/>
  <c r="AP17" i="4"/>
  <c r="AN17" i="4"/>
  <c r="CR17" i="4" s="1"/>
  <c r="AK17" i="4"/>
  <c r="AJ17" i="4"/>
  <c r="AG17" i="4"/>
  <c r="AH17" i="4" s="1"/>
  <c r="AF17" i="4"/>
  <c r="AC17" i="4"/>
  <c r="AB17" i="4"/>
  <c r="Z17" i="4"/>
  <c r="Y17" i="4"/>
  <c r="W17" i="4"/>
  <c r="V17" i="4"/>
  <c r="T17" i="4"/>
  <c r="S17" i="4"/>
  <c r="R17" i="4"/>
  <c r="N17" i="4"/>
  <c r="BP17" i="4" s="1"/>
  <c r="M17" i="4"/>
  <c r="GJ16" i="4"/>
  <c r="FP16" i="4"/>
  <c r="FM16" i="4"/>
  <c r="FL16" i="4"/>
  <c r="FK16" i="4"/>
  <c r="FJ16" i="4"/>
  <c r="FI16" i="4"/>
  <c r="FH16" i="4"/>
  <c r="FG16" i="4"/>
  <c r="FF16" i="4"/>
  <c r="FD16" i="4" s="1"/>
  <c r="FE16" i="4"/>
  <c r="DM16" i="4"/>
  <c r="DK16" i="4"/>
  <c r="DI16" i="4"/>
  <c r="CW16" i="4"/>
  <c r="CT16" i="4"/>
  <c r="CR16" i="4"/>
  <c r="CQ16" i="4"/>
  <c r="CM16" i="4"/>
  <c r="CL16" i="4"/>
  <c r="CK16" i="4"/>
  <c r="CJ16" i="4"/>
  <c r="CI16" i="4"/>
  <c r="CA16" i="4"/>
  <c r="BD16" i="4"/>
  <c r="BC16" i="4"/>
  <c r="BB16" i="4"/>
  <c r="AZ16" i="4"/>
  <c r="BG16" i="4" s="1"/>
  <c r="AY16" i="4"/>
  <c r="AX16" i="4"/>
  <c r="AW16" i="4"/>
  <c r="AV16" i="4"/>
  <c r="AU16" i="4"/>
  <c r="AT16" i="4"/>
  <c r="AS16" i="4"/>
  <c r="AR16" i="4"/>
  <c r="AQ16" i="4"/>
  <c r="AP16" i="4"/>
  <c r="AN16" i="4"/>
  <c r="AK16" i="4"/>
  <c r="AL16" i="4" s="1"/>
  <c r="CP16" i="4" s="1"/>
  <c r="CO16" i="4" s="1"/>
  <c r="CN16" i="4" s="1"/>
  <c r="AJ16" i="4"/>
  <c r="AH16" i="4"/>
  <c r="AG16" i="4"/>
  <c r="AF16" i="4"/>
  <c r="AC16" i="4"/>
  <c r="AD16" i="4" s="1"/>
  <c r="AB16" i="4"/>
  <c r="Z16" i="4"/>
  <c r="Y16" i="4"/>
  <c r="W16" i="4"/>
  <c r="V16" i="4"/>
  <c r="T16" i="4"/>
  <c r="S16" i="4"/>
  <c r="AA16" i="4" s="1"/>
  <c r="R16" i="4"/>
  <c r="N16" i="4"/>
  <c r="BR16" i="4" s="1"/>
  <c r="M16" i="4"/>
  <c r="GJ15" i="4"/>
  <c r="FO15" i="4"/>
  <c r="FN15" i="4" s="1"/>
  <c r="FM15" i="4"/>
  <c r="FL15" i="4"/>
  <c r="FK15" i="4"/>
  <c r="FJ15" i="4"/>
  <c r="FI15" i="4"/>
  <c r="FH15" i="4"/>
  <c r="FG15" i="4"/>
  <c r="FF15" i="4"/>
  <c r="FE15" i="4"/>
  <c r="FD15" i="4" s="1"/>
  <c r="DR15" i="4"/>
  <c r="DM15" i="4"/>
  <c r="DK15" i="4"/>
  <c r="DI15" i="4"/>
  <c r="CW15" i="4"/>
  <c r="CU15" i="4"/>
  <c r="CT15" i="4"/>
  <c r="CQ15" i="4"/>
  <c r="CN15" i="4"/>
  <c r="CM15" i="4"/>
  <c r="CL15" i="4"/>
  <c r="CK15" i="4"/>
  <c r="CJ15" i="4"/>
  <c r="CI15" i="4"/>
  <c r="CG15" i="4"/>
  <c r="CF15" i="4" s="1"/>
  <c r="CA15" i="4"/>
  <c r="BR15" i="4"/>
  <c r="BG15" i="4"/>
  <c r="BD15" i="4"/>
  <c r="BC15" i="4"/>
  <c r="BB15" i="4"/>
  <c r="AZ15" i="4"/>
  <c r="AY15" i="4"/>
  <c r="AX15" i="4"/>
  <c r="AW15" i="4"/>
  <c r="AV15" i="4"/>
  <c r="AU15" i="4"/>
  <c r="AR15" i="4"/>
  <c r="AP15" i="4"/>
  <c r="AO15" i="4"/>
  <c r="AN15" i="4"/>
  <c r="AK15" i="4"/>
  <c r="AL15" i="4" s="1"/>
  <c r="AJ15" i="4"/>
  <c r="AH15" i="4"/>
  <c r="AG15" i="4"/>
  <c r="AF15" i="4"/>
  <c r="AD15" i="4"/>
  <c r="AE15" i="4" s="1"/>
  <c r="AC15" i="4"/>
  <c r="AB15" i="4"/>
  <c r="Z15" i="4"/>
  <c r="Y15" i="4"/>
  <c r="X15" i="4" s="1"/>
  <c r="W15" i="4"/>
  <c r="V15" i="4"/>
  <c r="T15" i="4"/>
  <c r="S15" i="4"/>
  <c r="R15" i="4"/>
  <c r="AA15" i="4" s="1"/>
  <c r="N15" i="4"/>
  <c r="M15" i="4"/>
  <c r="GJ14" i="4"/>
  <c r="FP14" i="4"/>
  <c r="FN14" i="4"/>
  <c r="FM14" i="4"/>
  <c r="FL14" i="4"/>
  <c r="FK14" i="4"/>
  <c r="FJ14" i="4"/>
  <c r="FI14" i="4"/>
  <c r="FH14" i="4"/>
  <c r="FG14" i="4"/>
  <c r="FF14" i="4"/>
  <c r="FE14" i="4"/>
  <c r="DR14" i="4"/>
  <c r="DM14" i="4"/>
  <c r="DK14" i="4"/>
  <c r="DI14" i="4"/>
  <c r="CW14" i="4"/>
  <c r="CU14" i="4"/>
  <c r="CT14" i="4"/>
  <c r="CS14" i="4"/>
  <c r="CR14" i="4"/>
  <c r="CQ14" i="4"/>
  <c r="CM14" i="4"/>
  <c r="CI14" i="4"/>
  <c r="CD14" i="4"/>
  <c r="CA14" i="4"/>
  <c r="BR14" i="4"/>
  <c r="BQ14" i="4"/>
  <c r="BG14" i="4"/>
  <c r="BD14" i="4"/>
  <c r="BC14" i="4"/>
  <c r="BB14" i="4"/>
  <c r="AZ14" i="4"/>
  <c r="AY14" i="4"/>
  <c r="AX14" i="4"/>
  <c r="AW14" i="4"/>
  <c r="AV14" i="4"/>
  <c r="AU14" i="4"/>
  <c r="AR14" i="4"/>
  <c r="AS14" i="4" s="1"/>
  <c r="AQ14" i="4"/>
  <c r="AP14" i="4"/>
  <c r="AN14" i="4"/>
  <c r="AK14" i="4"/>
  <c r="AJ14" i="4"/>
  <c r="AH14" i="4"/>
  <c r="AI14" i="4" s="1"/>
  <c r="AG14" i="4"/>
  <c r="AF14" i="4"/>
  <c r="AC14" i="4"/>
  <c r="AD14" i="4" s="1"/>
  <c r="AB14" i="4"/>
  <c r="Z14" i="4"/>
  <c r="Y14" i="4"/>
  <c r="X14" i="4"/>
  <c r="W14" i="4"/>
  <c r="V14" i="4"/>
  <c r="T14" i="4"/>
  <c r="AA14" i="4" s="1"/>
  <c r="S14" i="4"/>
  <c r="R14" i="4"/>
  <c r="N14" i="4"/>
  <c r="M14" i="4"/>
  <c r="GJ13" i="4"/>
  <c r="FN13" i="4"/>
  <c r="FM13" i="4"/>
  <c r="FL13" i="4"/>
  <c r="FK13" i="4"/>
  <c r="FJ13" i="4"/>
  <c r="FI13" i="4"/>
  <c r="FH13" i="4"/>
  <c r="FG13" i="4"/>
  <c r="FF13" i="4"/>
  <c r="FE13" i="4"/>
  <c r="DR13" i="4"/>
  <c r="DM13" i="4"/>
  <c r="DK13" i="4"/>
  <c r="DI13" i="4"/>
  <c r="DF13" i="4"/>
  <c r="DA13" i="4"/>
  <c r="CZ13" i="4"/>
  <c r="CW13" i="4"/>
  <c r="CT13" i="4"/>
  <c r="CQ13" i="4"/>
  <c r="CP13" i="4"/>
  <c r="CO13" i="4"/>
  <c r="CN13" i="4"/>
  <c r="CM13" i="4"/>
  <c r="CJ13" i="4"/>
  <c r="CI13" i="4"/>
  <c r="CA13" i="4"/>
  <c r="BT13" i="4"/>
  <c r="BG13" i="4"/>
  <c r="BD13" i="4"/>
  <c r="BC13" i="4"/>
  <c r="BB13" i="4"/>
  <c r="AZ13" i="4"/>
  <c r="AY13" i="4"/>
  <c r="AX13" i="4"/>
  <c r="AW13" i="4"/>
  <c r="AV13" i="4"/>
  <c r="AU13" i="4"/>
  <c r="AR13" i="4"/>
  <c r="AT13" i="4" s="1"/>
  <c r="AP13" i="4"/>
  <c r="CU13" i="4" s="1"/>
  <c r="AN13" i="4"/>
  <c r="AK13" i="4"/>
  <c r="AL13" i="4" s="1"/>
  <c r="AJ13" i="4"/>
  <c r="AG13" i="4"/>
  <c r="AF13" i="4"/>
  <c r="AD13" i="4"/>
  <c r="AC13" i="4"/>
  <c r="AB13" i="4"/>
  <c r="CF13" i="4" s="1"/>
  <c r="Z13" i="4"/>
  <c r="Y13" i="4"/>
  <c r="X13" i="4" s="1"/>
  <c r="W13" i="4"/>
  <c r="V13" i="4"/>
  <c r="T13" i="4"/>
  <c r="BQ13" i="4" s="1"/>
  <c r="S13" i="4"/>
  <c r="R13" i="4"/>
  <c r="AA13" i="4" s="1"/>
  <c r="BZ13" i="4" s="1"/>
  <c r="O13" i="4"/>
  <c r="N13" i="4"/>
  <c r="BP13" i="4" s="1"/>
  <c r="M13" i="4"/>
  <c r="GJ12" i="4"/>
  <c r="FN12" i="4"/>
  <c r="FM12" i="4"/>
  <c r="FL12" i="4"/>
  <c r="FK12" i="4"/>
  <c r="FJ12" i="4"/>
  <c r="FI12" i="4"/>
  <c r="FH12" i="4"/>
  <c r="FG12" i="4"/>
  <c r="FF12" i="4"/>
  <c r="FE12" i="4"/>
  <c r="DR12" i="4"/>
  <c r="DM12" i="4"/>
  <c r="DK12" i="4"/>
  <c r="DI12" i="4"/>
  <c r="CW12" i="4"/>
  <c r="CT12" i="4"/>
  <c r="CQ12" i="4"/>
  <c r="CN12" i="4"/>
  <c r="CM12" i="4"/>
  <c r="CJ12" i="4"/>
  <c r="CI12" i="4"/>
  <c r="CD12" i="4"/>
  <c r="CA12" i="4"/>
  <c r="BD12" i="4"/>
  <c r="BG12" i="4" s="1"/>
  <c r="BC12" i="4"/>
  <c r="BB12" i="4"/>
  <c r="AZ12" i="4"/>
  <c r="AY12" i="4"/>
  <c r="AX12" i="4"/>
  <c r="AW12" i="4"/>
  <c r="AV12" i="4"/>
  <c r="AU12" i="4"/>
  <c r="AT12" i="4" s="1"/>
  <c r="AR12" i="4"/>
  <c r="AP12" i="4"/>
  <c r="CU12" i="4" s="1"/>
  <c r="AN12" i="4"/>
  <c r="AO12" i="4" s="1"/>
  <c r="AK12" i="4"/>
  <c r="AJ12" i="4"/>
  <c r="AH12" i="4"/>
  <c r="AI12" i="4" s="1"/>
  <c r="AG12" i="4"/>
  <c r="AF12" i="4"/>
  <c r="AC12" i="4"/>
  <c r="CG12" i="4" s="1"/>
  <c r="CF12" i="4" s="1"/>
  <c r="AB12" i="4"/>
  <c r="Z12" i="4"/>
  <c r="Y12" i="4"/>
  <c r="W12" i="4"/>
  <c r="V12" i="4"/>
  <c r="BR12" i="4" s="1"/>
  <c r="T12" i="4"/>
  <c r="S12" i="4"/>
  <c r="R12" i="4"/>
  <c r="N12" i="4"/>
  <c r="M12" i="4"/>
  <c r="GJ11" i="4"/>
  <c r="FN11" i="4"/>
  <c r="FM11" i="4"/>
  <c r="FL11" i="4"/>
  <c r="FK11" i="4"/>
  <c r="FJ11" i="4"/>
  <c r="FI11" i="4"/>
  <c r="FH11" i="4"/>
  <c r="FG11" i="4"/>
  <c r="FF11" i="4"/>
  <c r="FE11" i="4"/>
  <c r="FD11" i="4"/>
  <c r="DR11" i="4"/>
  <c r="DM11" i="4"/>
  <c r="DK11" i="4"/>
  <c r="DI11" i="4"/>
  <c r="CW11" i="4"/>
  <c r="CT11" i="4"/>
  <c r="CR11" i="4"/>
  <c r="CQ11" i="4"/>
  <c r="CM11" i="4"/>
  <c r="CL11" i="4"/>
  <c r="CK11" i="4"/>
  <c r="CJ11" i="4"/>
  <c r="CI11" i="4"/>
  <c r="CH11" i="4"/>
  <c r="CG11" i="4"/>
  <c r="CF11" i="4"/>
  <c r="CA11" i="4"/>
  <c r="BS11" i="4"/>
  <c r="BG11" i="4"/>
  <c r="BD11" i="4"/>
  <c r="BC11" i="4"/>
  <c r="BB11" i="4"/>
  <c r="AZ11" i="4"/>
  <c r="AY11" i="4"/>
  <c r="AX11" i="4"/>
  <c r="AW11" i="4"/>
  <c r="AV11" i="4"/>
  <c r="AU11" i="4"/>
  <c r="AR11" i="4"/>
  <c r="AP11" i="4"/>
  <c r="AN11" i="4"/>
  <c r="AK11" i="4"/>
  <c r="AJ11" i="4"/>
  <c r="AG11" i="4"/>
  <c r="AH11" i="4" s="1"/>
  <c r="AF11" i="4"/>
  <c r="AC11" i="4"/>
  <c r="AB11" i="4"/>
  <c r="Z11" i="4"/>
  <c r="Y11" i="4"/>
  <c r="W11" i="4"/>
  <c r="V11" i="4"/>
  <c r="T11" i="4"/>
  <c r="S11" i="4"/>
  <c r="R11" i="4"/>
  <c r="N11" i="4"/>
  <c r="M11" i="4"/>
  <c r="GJ10" i="4"/>
  <c r="FN10" i="4"/>
  <c r="FM10" i="4"/>
  <c r="FL10" i="4"/>
  <c r="FK10" i="4"/>
  <c r="FJ10" i="4"/>
  <c r="FI10" i="4"/>
  <c r="FH10" i="4"/>
  <c r="FG10" i="4"/>
  <c r="FF10" i="4"/>
  <c r="FE10" i="4"/>
  <c r="FD10" i="4"/>
  <c r="DR10" i="4"/>
  <c r="DM10" i="4"/>
  <c r="DK10" i="4"/>
  <c r="DI10" i="4"/>
  <c r="CW10" i="4"/>
  <c r="CT10" i="4"/>
  <c r="CS10" i="4"/>
  <c r="CR10" i="4"/>
  <c r="CQ10" i="4"/>
  <c r="CM10" i="4"/>
  <c r="CL10" i="4"/>
  <c r="CK10" i="4"/>
  <c r="CJ10" i="4"/>
  <c r="CI10" i="4"/>
  <c r="CH10" i="4"/>
  <c r="CG10" i="4"/>
  <c r="CF10" i="4"/>
  <c r="CE10" i="4"/>
  <c r="CD10" i="4"/>
  <c r="CA10" i="4"/>
  <c r="BP10" i="4"/>
  <c r="BD10" i="4"/>
  <c r="BC10" i="4"/>
  <c r="BB10" i="4"/>
  <c r="AZ10" i="4"/>
  <c r="BG10" i="4" s="1"/>
  <c r="AY10" i="4"/>
  <c r="AX10" i="4"/>
  <c r="AW10" i="4"/>
  <c r="AS10" i="4" s="1"/>
  <c r="AV10" i="4"/>
  <c r="AU10" i="4"/>
  <c r="AT10" i="4"/>
  <c r="AR10" i="4"/>
  <c r="AQ10" i="4"/>
  <c r="AP10" i="4"/>
  <c r="AO10" i="4" s="1"/>
  <c r="AN10" i="4"/>
  <c r="AK10" i="4"/>
  <c r="AJ10" i="4"/>
  <c r="AH10" i="4"/>
  <c r="AG10" i="4"/>
  <c r="AF10" i="4"/>
  <c r="AC10" i="4"/>
  <c r="AB10" i="4"/>
  <c r="AD10" i="4" s="1"/>
  <c r="Z10" i="4"/>
  <c r="Y10" i="4"/>
  <c r="X10" i="4" s="1"/>
  <c r="W10" i="4"/>
  <c r="V10" i="4"/>
  <c r="U10" i="4"/>
  <c r="T10" i="4"/>
  <c r="AA10" i="4" s="1"/>
  <c r="S10" i="4"/>
  <c r="R10" i="4"/>
  <c r="N10" i="4"/>
  <c r="BQ10" i="4" s="1"/>
  <c r="M10" i="4"/>
  <c r="GJ9" i="4"/>
  <c r="FN9" i="4"/>
  <c r="FM9" i="4"/>
  <c r="FL9" i="4"/>
  <c r="FK9" i="4"/>
  <c r="FJ9" i="4"/>
  <c r="FI9" i="4"/>
  <c r="FH9" i="4"/>
  <c r="FG9" i="4"/>
  <c r="FF9" i="4"/>
  <c r="FE9" i="4"/>
  <c r="FD9" i="4"/>
  <c r="DR9" i="4"/>
  <c r="DM9" i="4"/>
  <c r="DK9" i="4"/>
  <c r="DI9" i="4"/>
  <c r="CW9" i="4"/>
  <c r="CT9" i="4"/>
  <c r="CR9" i="4"/>
  <c r="CQ9" i="4"/>
  <c r="CN9" i="4"/>
  <c r="CM9" i="4"/>
  <c r="CL9" i="4"/>
  <c r="CK9" i="4"/>
  <c r="CJ9" i="4"/>
  <c r="CI9" i="4"/>
  <c r="CA9" i="4"/>
  <c r="BP9" i="4"/>
  <c r="BO9" i="4"/>
  <c r="BD9" i="4"/>
  <c r="BC9" i="4"/>
  <c r="BB9" i="4"/>
  <c r="AZ9" i="4"/>
  <c r="BG9" i="4" s="1"/>
  <c r="AY9" i="4"/>
  <c r="AX9" i="4"/>
  <c r="AW9" i="4"/>
  <c r="AS9" i="4" s="1"/>
  <c r="AV9" i="4"/>
  <c r="AU9" i="4"/>
  <c r="AT9" i="4"/>
  <c r="AR9" i="4"/>
  <c r="AQ9" i="4"/>
  <c r="AP9" i="4"/>
  <c r="AN9" i="4"/>
  <c r="AO9" i="4" s="1"/>
  <c r="AK9" i="4"/>
  <c r="AJ9" i="4"/>
  <c r="AG9" i="4"/>
  <c r="AF9" i="4"/>
  <c r="AH9" i="4" s="1"/>
  <c r="AC9" i="4"/>
  <c r="AD9" i="4" s="1"/>
  <c r="AB9" i="4"/>
  <c r="Z9" i="4"/>
  <c r="Y9" i="4"/>
  <c r="W9" i="4"/>
  <c r="V9" i="4"/>
  <c r="U9" i="4"/>
  <c r="T9" i="4"/>
  <c r="S9" i="4"/>
  <c r="AA9" i="4" s="1"/>
  <c r="R9" i="4"/>
  <c r="N9" i="4"/>
  <c r="M9" i="4"/>
  <c r="GJ8" i="4"/>
  <c r="FN8" i="4"/>
  <c r="FM8" i="4"/>
  <c r="FL8" i="4"/>
  <c r="FK8" i="4"/>
  <c r="FJ8" i="4"/>
  <c r="FI8" i="4"/>
  <c r="FH8" i="4"/>
  <c r="FG8" i="4"/>
  <c r="FF8" i="4"/>
  <c r="FE8" i="4"/>
  <c r="DR8" i="4"/>
  <c r="DM8" i="4"/>
  <c r="DK8" i="4"/>
  <c r="DI8" i="4"/>
  <c r="DG8" i="4"/>
  <c r="DF8" i="4"/>
  <c r="DA8" i="4"/>
  <c r="CZ8" i="4"/>
  <c r="CW8" i="4"/>
  <c r="CT8" i="4"/>
  <c r="CR8" i="4"/>
  <c r="CQ8" i="4"/>
  <c r="CM8" i="4"/>
  <c r="CL8" i="4"/>
  <c r="CK8" i="4"/>
  <c r="CJ8" i="4"/>
  <c r="CI8" i="4"/>
  <c r="CD8" i="4"/>
  <c r="CB8" i="4"/>
  <c r="CA8" i="4"/>
  <c r="BV8" i="4"/>
  <c r="BU8" i="4" s="1"/>
  <c r="BT8" i="4"/>
  <c r="BD8" i="4"/>
  <c r="BC8" i="4"/>
  <c r="BB8" i="4"/>
  <c r="DC8" i="4" s="1"/>
  <c r="AZ8" i="4"/>
  <c r="BG8" i="4" s="1"/>
  <c r="AY8" i="4"/>
  <c r="AX8" i="4"/>
  <c r="AW8" i="4"/>
  <c r="AV8" i="4"/>
  <c r="AU8" i="4"/>
  <c r="AT8" i="4" s="1"/>
  <c r="AS8" i="4"/>
  <c r="AR8" i="4"/>
  <c r="AP8" i="4"/>
  <c r="AO8" i="4" s="1"/>
  <c r="AN8" i="4"/>
  <c r="AK8" i="4"/>
  <c r="AL8" i="4" s="1"/>
  <c r="CP8" i="4" s="1"/>
  <c r="CO8" i="4" s="1"/>
  <c r="CN8" i="4" s="1"/>
  <c r="AJ8" i="4"/>
  <c r="AG8" i="4"/>
  <c r="AF8" i="4"/>
  <c r="AH8" i="4" s="1"/>
  <c r="AD8" i="4"/>
  <c r="AE8" i="4" s="1"/>
  <c r="AC8" i="4"/>
  <c r="AB8" i="4"/>
  <c r="CF8" i="4" s="1"/>
  <c r="CE8" i="4" s="1"/>
  <c r="Z8" i="4"/>
  <c r="Y8" i="4"/>
  <c r="X8" i="4" s="1"/>
  <c r="W8" i="4"/>
  <c r="V8" i="4"/>
  <c r="U8" i="4"/>
  <c r="T8" i="4"/>
  <c r="BX8" i="4" s="1"/>
  <c r="S8" i="4"/>
  <c r="R8" i="4"/>
  <c r="AA8" i="4" s="1"/>
  <c r="O8" i="4"/>
  <c r="N8" i="4"/>
  <c r="BR8" i="4" s="1"/>
  <c r="M8" i="4"/>
  <c r="GJ7" i="4"/>
  <c r="FN7" i="4"/>
  <c r="FM7" i="4"/>
  <c r="FL7" i="4"/>
  <c r="FK7" i="4"/>
  <c r="FJ7" i="4"/>
  <c r="FI7" i="4"/>
  <c r="FH7" i="4"/>
  <c r="FG7" i="4"/>
  <c r="FF7" i="4"/>
  <c r="FE7" i="4"/>
  <c r="DR7" i="4"/>
  <c r="DM7" i="4"/>
  <c r="DK7" i="4"/>
  <c r="DI7" i="4"/>
  <c r="CW7" i="4"/>
  <c r="CV7" i="4" s="1"/>
  <c r="CU7" i="4"/>
  <c r="CT7" i="4"/>
  <c r="CQ7" i="4"/>
  <c r="CO7" i="4"/>
  <c r="CN7" i="4" s="1"/>
  <c r="CM7" i="4"/>
  <c r="CL7" i="4"/>
  <c r="CK7" i="4"/>
  <c r="CJ7" i="4"/>
  <c r="CI7" i="4"/>
  <c r="CF7" i="4"/>
  <c r="CA7" i="4"/>
  <c r="BS7" i="4"/>
  <c r="BR7" i="4"/>
  <c r="BG7" i="4"/>
  <c r="BD7" i="4"/>
  <c r="BC7" i="4"/>
  <c r="BB7" i="4"/>
  <c r="AZ7" i="4"/>
  <c r="AY7" i="4"/>
  <c r="AX7" i="4" s="1"/>
  <c r="AW7" i="4"/>
  <c r="AV7" i="4" s="1"/>
  <c r="AU7" i="4"/>
  <c r="AR7" i="4"/>
  <c r="AQ7" i="4" s="1"/>
  <c r="AP7" i="4"/>
  <c r="AN7" i="4"/>
  <c r="AO7" i="4" s="1"/>
  <c r="AK7" i="4"/>
  <c r="AJ7" i="4"/>
  <c r="AL7" i="4" s="1"/>
  <c r="CP7" i="4" s="1"/>
  <c r="AG7" i="4"/>
  <c r="AG34" i="4" s="1"/>
  <c r="AF7" i="4"/>
  <c r="AH7" i="4" s="1"/>
  <c r="AC7" i="4"/>
  <c r="AB7" i="4"/>
  <c r="AD7" i="4" s="1"/>
  <c r="Z7" i="4"/>
  <c r="Y7" i="4"/>
  <c r="W7" i="4"/>
  <c r="V7" i="4"/>
  <c r="U7" i="4"/>
  <c r="T7" i="4"/>
  <c r="S7" i="4"/>
  <c r="AA7" i="4" s="1"/>
  <c r="R7" i="4"/>
  <c r="N7" i="4"/>
  <c r="BP7" i="4" s="1"/>
  <c r="M7" i="4"/>
  <c r="GJ6" i="4"/>
  <c r="FN6" i="4"/>
  <c r="FM6" i="4"/>
  <c r="FL6" i="4"/>
  <c r="FK6" i="4"/>
  <c r="FJ6" i="4"/>
  <c r="FI6" i="4"/>
  <c r="FH6" i="4"/>
  <c r="FG6" i="4"/>
  <c r="FF6" i="4"/>
  <c r="FE6" i="4"/>
  <c r="FD6" i="4" s="1"/>
  <c r="DR6" i="4"/>
  <c r="DM6" i="4"/>
  <c r="DK6" i="4"/>
  <c r="DI6" i="4"/>
  <c r="CW6" i="4"/>
  <c r="CV6" i="4" s="1"/>
  <c r="CU6" i="4" s="1"/>
  <c r="CT6" i="4"/>
  <c r="CQ6" i="4"/>
  <c r="CM6" i="4"/>
  <c r="CI6" i="4"/>
  <c r="CA6" i="4"/>
  <c r="BR6" i="4"/>
  <c r="BD6" i="4"/>
  <c r="BC6" i="4"/>
  <c r="BB6" i="4"/>
  <c r="AZ6" i="4"/>
  <c r="AY6" i="4"/>
  <c r="AX6" i="4" s="1"/>
  <c r="AW6" i="4"/>
  <c r="AV6" i="4" s="1"/>
  <c r="AV34" i="4" s="1"/>
  <c r="AU6" i="4"/>
  <c r="AR6" i="4"/>
  <c r="AQ6" i="4"/>
  <c r="AP6" i="4"/>
  <c r="AP34" i="4" s="1"/>
  <c r="AN6" i="4"/>
  <c r="AN34" i="4" s="1"/>
  <c r="AK6" i="4"/>
  <c r="AK34" i="4" s="1"/>
  <c r="AJ6" i="4"/>
  <c r="AG6" i="4"/>
  <c r="AF6" i="4"/>
  <c r="AC6" i="4"/>
  <c r="AB6" i="4"/>
  <c r="Z6" i="4"/>
  <c r="Z34" i="4" s="1"/>
  <c r="Y6" i="4"/>
  <c r="W6" i="4"/>
  <c r="V6" i="4"/>
  <c r="U6" i="4"/>
  <c r="U34" i="4" s="1"/>
  <c r="T6" i="4"/>
  <c r="S6" i="4"/>
  <c r="S34" i="4" s="1"/>
  <c r="R6" i="4"/>
  <c r="O6" i="4"/>
  <c r="N6" i="4"/>
  <c r="M6" i="4"/>
  <c r="FD73" i="2"/>
  <c r="FL66" i="2"/>
  <c r="BM38" i="2"/>
  <c r="DR37" i="2"/>
  <c r="DM37" i="2"/>
  <c r="DK37" i="2"/>
  <c r="DI37" i="2"/>
  <c r="CW37" i="2"/>
  <c r="CT37" i="2"/>
  <c r="CQ37" i="2"/>
  <c r="CM37" i="2"/>
  <c r="CI37" i="2"/>
  <c r="CA37" i="2"/>
  <c r="BF37" i="2"/>
  <c r="BE37" i="2"/>
  <c r="BA37" i="2"/>
  <c r="Q37" i="2"/>
  <c r="L37" i="2"/>
  <c r="K37" i="2"/>
  <c r="J37" i="2"/>
  <c r="I37" i="2"/>
  <c r="H37" i="2"/>
  <c r="G37" i="2"/>
  <c r="F37" i="2"/>
  <c r="E37" i="2"/>
  <c r="D37" i="2"/>
  <c r="FN36" i="2"/>
  <c r="FM36" i="2"/>
  <c r="FL36" i="2"/>
  <c r="FK36" i="2"/>
  <c r="FJ36" i="2"/>
  <c r="FI36" i="2"/>
  <c r="FH36" i="2"/>
  <c r="FG36" i="2"/>
  <c r="FF36" i="2"/>
  <c r="FE36" i="2"/>
  <c r="DM36" i="2"/>
  <c r="DK36" i="2"/>
  <c r="DI36" i="2"/>
  <c r="CW36" i="2"/>
  <c r="CT36" i="2"/>
  <c r="CS36" i="2" s="1"/>
  <c r="CQ36" i="2"/>
  <c r="CN36" i="2"/>
  <c r="CM36" i="2"/>
  <c r="CI36" i="2"/>
  <c r="CA36" i="2"/>
  <c r="BD36" i="2"/>
  <c r="BC36" i="2"/>
  <c r="BB36" i="2"/>
  <c r="BG36" i="2" s="1"/>
  <c r="AZ36" i="2"/>
  <c r="AX36" i="2"/>
  <c r="AW36" i="2"/>
  <c r="AV36" i="2"/>
  <c r="AU36" i="2"/>
  <c r="AR36" i="2"/>
  <c r="AS36" i="2" s="1"/>
  <c r="AQ36" i="2"/>
  <c r="AP36" i="2"/>
  <c r="AO36" i="2" s="1"/>
  <c r="AN36" i="2"/>
  <c r="CR36" i="2" s="1"/>
  <c r="AK36" i="2"/>
  <c r="AJ36" i="2"/>
  <c r="AL36" i="2" s="1"/>
  <c r="AG36" i="2"/>
  <c r="AF36" i="2"/>
  <c r="AC36" i="2"/>
  <c r="CG36" i="2" s="1"/>
  <c r="CF36" i="2" s="1"/>
  <c r="AB36" i="2"/>
  <c r="Z36" i="2"/>
  <c r="Y36" i="2"/>
  <c r="X36" i="2" s="1"/>
  <c r="W36" i="2"/>
  <c r="V36" i="2"/>
  <c r="T36" i="2"/>
  <c r="S36" i="2"/>
  <c r="R36" i="2"/>
  <c r="N36" i="2"/>
  <c r="M36" i="2"/>
  <c r="FN35" i="2"/>
  <c r="FM35" i="2"/>
  <c r="FL35" i="2"/>
  <c r="FK35" i="2"/>
  <c r="FJ35" i="2"/>
  <c r="FI35" i="2"/>
  <c r="FH35" i="2"/>
  <c r="FG35" i="2"/>
  <c r="FF35" i="2"/>
  <c r="FE35" i="2"/>
  <c r="FD35" i="2"/>
  <c r="DR35" i="2"/>
  <c r="DM35" i="2"/>
  <c r="DK35" i="2"/>
  <c r="DI35" i="2"/>
  <c r="CW35" i="2"/>
  <c r="CT35" i="2"/>
  <c r="CQ35" i="2"/>
  <c r="CN35" i="2"/>
  <c r="CM35" i="2"/>
  <c r="CI35" i="2"/>
  <c r="CH35" i="2"/>
  <c r="CG35" i="2"/>
  <c r="CF35" i="2"/>
  <c r="CD35" i="2"/>
  <c r="CA35" i="2"/>
  <c r="BD35" i="2"/>
  <c r="BC35" i="2"/>
  <c r="BG35" i="2" s="1"/>
  <c r="BB35" i="2"/>
  <c r="AZ35" i="2"/>
  <c r="AY35" i="2"/>
  <c r="AX35" i="2"/>
  <c r="AW35" i="2"/>
  <c r="AS35" i="2" s="1"/>
  <c r="AV35" i="2"/>
  <c r="AU35" i="2"/>
  <c r="AR35" i="2"/>
  <c r="AP35" i="2"/>
  <c r="AN35" i="2"/>
  <c r="CR35" i="2" s="1"/>
  <c r="AK35" i="2"/>
  <c r="AJ35" i="2"/>
  <c r="AL35" i="2" s="1"/>
  <c r="CP35" i="2" s="1"/>
  <c r="CO35" i="2" s="1"/>
  <c r="AH35" i="2"/>
  <c r="AI35" i="2" s="1"/>
  <c r="AG35" i="2"/>
  <c r="AF35" i="2"/>
  <c r="AC35" i="2"/>
  <c r="AB35" i="2"/>
  <c r="AD35" i="2" s="1"/>
  <c r="Z35" i="2"/>
  <c r="Y35" i="2"/>
  <c r="W35" i="2"/>
  <c r="V35" i="2"/>
  <c r="T35" i="2"/>
  <c r="BQ35" i="2" s="1"/>
  <c r="S35" i="2"/>
  <c r="BP35" i="2" s="1"/>
  <c r="R35" i="2"/>
  <c r="N35" i="2"/>
  <c r="BT35" i="2" s="1"/>
  <c r="M35" i="2"/>
  <c r="FN34" i="2"/>
  <c r="FM34" i="2"/>
  <c r="FL34" i="2"/>
  <c r="FK34" i="2"/>
  <c r="FJ34" i="2"/>
  <c r="FI34" i="2"/>
  <c r="FH34" i="2"/>
  <c r="FG34" i="2"/>
  <c r="FF34" i="2"/>
  <c r="FE34" i="2"/>
  <c r="DR34" i="2"/>
  <c r="DM34" i="2"/>
  <c r="DK34" i="2"/>
  <c r="DI34" i="2"/>
  <c r="DG34" i="2"/>
  <c r="DB34" i="2"/>
  <c r="DA34" i="2"/>
  <c r="CW34" i="2"/>
  <c r="CT34" i="2"/>
  <c r="CQ34" i="2"/>
  <c r="CM34" i="2"/>
  <c r="CL34" i="2"/>
  <c r="CK34" i="2"/>
  <c r="CJ34" i="2"/>
  <c r="CI34" i="2"/>
  <c r="CH34" i="2"/>
  <c r="CG34" i="2"/>
  <c r="CF34" i="2"/>
  <c r="CB34" i="2"/>
  <c r="CA34" i="2"/>
  <c r="BS34" i="2"/>
  <c r="BD34" i="2"/>
  <c r="BC34" i="2"/>
  <c r="BB34" i="2"/>
  <c r="BG34" i="2" s="1"/>
  <c r="DH34" i="2" s="1"/>
  <c r="AZ34" i="2"/>
  <c r="AY34" i="2"/>
  <c r="AX34" i="2"/>
  <c r="AW34" i="2"/>
  <c r="AS34" i="2" s="1"/>
  <c r="CC34" i="2" s="1"/>
  <c r="AV34" i="2"/>
  <c r="AU34" i="2"/>
  <c r="AR34" i="2"/>
  <c r="AT34" i="2" s="1"/>
  <c r="AP34" i="2"/>
  <c r="AN34" i="2"/>
  <c r="AK34" i="2"/>
  <c r="AJ34" i="2"/>
  <c r="AL34" i="2" s="1"/>
  <c r="CP34" i="2" s="1"/>
  <c r="CO34" i="2" s="1"/>
  <c r="CN34" i="2" s="1"/>
  <c r="AG34" i="2"/>
  <c r="AF34" i="2"/>
  <c r="AH34" i="2" s="1"/>
  <c r="AC34" i="2"/>
  <c r="AB34" i="2"/>
  <c r="AD34" i="2" s="1"/>
  <c r="Z34" i="2"/>
  <c r="Y34" i="2"/>
  <c r="W34" i="2"/>
  <c r="V34" i="2"/>
  <c r="T34" i="2"/>
  <c r="BX34" i="2" s="1"/>
  <c r="S34" i="2"/>
  <c r="BW34" i="2" s="1"/>
  <c r="R34" i="2"/>
  <c r="AA34" i="2" s="1"/>
  <c r="O34" i="2"/>
  <c r="DE34" i="2" s="1"/>
  <c r="N34" i="2"/>
  <c r="BR34" i="2" s="1"/>
  <c r="M34" i="2"/>
  <c r="FN33" i="2"/>
  <c r="FM33" i="2"/>
  <c r="FL33" i="2" s="1"/>
  <c r="FK33" i="2"/>
  <c r="FI33" i="2"/>
  <c r="FH33" i="2"/>
  <c r="FG33" i="2"/>
  <c r="FF33" i="2"/>
  <c r="FD33" i="2" s="1"/>
  <c r="FE33" i="2"/>
  <c r="DR33" i="2"/>
  <c r="DM33" i="2"/>
  <c r="DK33" i="2"/>
  <c r="DI33" i="2"/>
  <c r="CW33" i="2"/>
  <c r="CT33" i="2"/>
  <c r="CQ33" i="2"/>
  <c r="CM33" i="2"/>
  <c r="CI33" i="2"/>
  <c r="CA33" i="2"/>
  <c r="BD33" i="2"/>
  <c r="BC33" i="2"/>
  <c r="BG33" i="2" s="1"/>
  <c r="BB33" i="2"/>
  <c r="AZ33" i="2"/>
  <c r="AY33" i="2"/>
  <c r="AX33" i="2"/>
  <c r="AW33" i="2"/>
  <c r="AV33" i="2"/>
  <c r="AU33" i="2"/>
  <c r="AR33" i="2"/>
  <c r="AT33" i="2" s="1"/>
  <c r="AP33" i="2"/>
  <c r="AQ33" i="2" s="1"/>
  <c r="AN33" i="2"/>
  <c r="AO33" i="2" s="1"/>
  <c r="AK33" i="2"/>
  <c r="AJ33" i="2"/>
  <c r="AG33" i="2"/>
  <c r="AF33" i="2"/>
  <c r="AC33" i="2"/>
  <c r="AD33" i="2" s="1"/>
  <c r="AB33" i="2"/>
  <c r="Z33" i="2"/>
  <c r="Y33" i="2"/>
  <c r="W33" i="2"/>
  <c r="V33" i="2"/>
  <c r="T33" i="2"/>
  <c r="S33" i="2"/>
  <c r="AA33" i="2" s="1"/>
  <c r="R33" i="2"/>
  <c r="N33" i="2"/>
  <c r="BT33" i="2" s="1"/>
  <c r="M33" i="2"/>
  <c r="FN32" i="2"/>
  <c r="FM32" i="2"/>
  <c r="FL32" i="2"/>
  <c r="FK32" i="2"/>
  <c r="FI32" i="2"/>
  <c r="FH32" i="2"/>
  <c r="FG32" i="2"/>
  <c r="FF32" i="2"/>
  <c r="FE32" i="2"/>
  <c r="FD32" i="2"/>
  <c r="DM32" i="2"/>
  <c r="DK32" i="2"/>
  <c r="DI32" i="2"/>
  <c r="CW32" i="2"/>
  <c r="CT32" i="2"/>
  <c r="CR32" i="2"/>
  <c r="CQ32" i="2"/>
  <c r="CM32" i="2"/>
  <c r="CI32" i="2"/>
  <c r="CF32" i="2"/>
  <c r="CA32" i="2"/>
  <c r="BD32" i="2"/>
  <c r="BG32" i="2" s="1"/>
  <c r="BC32" i="2"/>
  <c r="BB32" i="2"/>
  <c r="AZ32" i="2"/>
  <c r="AY32" i="2"/>
  <c r="AX32" i="2"/>
  <c r="AW32" i="2"/>
  <c r="AV32" i="2"/>
  <c r="AU32" i="2"/>
  <c r="AR32" i="2"/>
  <c r="AP32" i="2"/>
  <c r="CU32" i="2" s="1"/>
  <c r="AN32" i="2"/>
  <c r="AO32" i="2" s="1"/>
  <c r="AK32" i="2"/>
  <c r="AJ32" i="2"/>
  <c r="AG32" i="2"/>
  <c r="CK32" i="2" s="1"/>
  <c r="CJ32" i="2" s="1"/>
  <c r="AF32" i="2"/>
  <c r="AC32" i="2"/>
  <c r="AD32" i="2" s="1"/>
  <c r="AB32" i="2"/>
  <c r="Z32" i="2"/>
  <c r="Y32" i="2"/>
  <c r="W32" i="2"/>
  <c r="V32" i="2"/>
  <c r="T32" i="2"/>
  <c r="S32" i="2"/>
  <c r="AA32" i="2" s="1"/>
  <c r="R32" i="2"/>
  <c r="N32" i="2"/>
  <c r="BO32" i="2" s="1"/>
  <c r="M32" i="2"/>
  <c r="FM31" i="2"/>
  <c r="FL31" i="2"/>
  <c r="FK31" i="2"/>
  <c r="FI31" i="2"/>
  <c r="FH31" i="2"/>
  <c r="FG31" i="2"/>
  <c r="FF31" i="2"/>
  <c r="FE31" i="2"/>
  <c r="DR31" i="2"/>
  <c r="DM31" i="2"/>
  <c r="DK31" i="2"/>
  <c r="DI31" i="2"/>
  <c r="CW31" i="2"/>
  <c r="CT31" i="2"/>
  <c r="CR31" i="2"/>
  <c r="CQ31" i="2"/>
  <c r="CM31" i="2"/>
  <c r="CI31" i="2"/>
  <c r="CA31" i="2"/>
  <c r="BO31" i="2"/>
  <c r="BL31" i="2"/>
  <c r="BD31" i="2"/>
  <c r="BC31" i="2"/>
  <c r="BG31" i="2" s="1"/>
  <c r="BB31" i="2"/>
  <c r="AZ31" i="2"/>
  <c r="AY31" i="2"/>
  <c r="AX31" i="2"/>
  <c r="AW31" i="2"/>
  <c r="AV31" i="2"/>
  <c r="AU31" i="2"/>
  <c r="AR31" i="2"/>
  <c r="AT31" i="2" s="1"/>
  <c r="AP31" i="2"/>
  <c r="AO31" i="2" s="1"/>
  <c r="AN31" i="2"/>
  <c r="AK31" i="2"/>
  <c r="AJ31" i="2"/>
  <c r="AG31" i="2"/>
  <c r="CK31" i="2" s="1"/>
  <c r="CJ31" i="2" s="1"/>
  <c r="AF31" i="2"/>
  <c r="AH31" i="2" s="1"/>
  <c r="AC31" i="2"/>
  <c r="AB31" i="2"/>
  <c r="CF31" i="2" s="1"/>
  <c r="Z31" i="2"/>
  <c r="Y31" i="2"/>
  <c r="W31" i="2"/>
  <c r="V31" i="2"/>
  <c r="T31" i="2"/>
  <c r="S31" i="2"/>
  <c r="R31" i="2"/>
  <c r="AA31" i="2" s="1"/>
  <c r="N31" i="2"/>
  <c r="BS31" i="2" s="1"/>
  <c r="M31" i="2"/>
  <c r="FN30" i="2"/>
  <c r="FM30" i="2"/>
  <c r="FL30" i="2"/>
  <c r="FK30" i="2"/>
  <c r="FI30" i="2"/>
  <c r="FH30" i="2"/>
  <c r="FD30" i="2" s="1"/>
  <c r="FG30" i="2"/>
  <c r="FF30" i="2"/>
  <c r="FE30" i="2"/>
  <c r="DR30" i="2"/>
  <c r="DM30" i="2"/>
  <c r="DK30" i="2"/>
  <c r="DI30" i="2"/>
  <c r="CW30" i="2"/>
  <c r="CV30" i="2"/>
  <c r="CU30" i="2"/>
  <c r="CT30" i="2"/>
  <c r="CQ30" i="2"/>
  <c r="CM30" i="2"/>
  <c r="CJ30" i="2"/>
  <c r="CI30" i="2"/>
  <c r="CA30" i="2"/>
  <c r="BT30" i="2"/>
  <c r="BS30" i="2"/>
  <c r="BD30" i="2"/>
  <c r="BC30" i="2"/>
  <c r="BB30" i="2"/>
  <c r="BG30" i="2" s="1"/>
  <c r="AZ30" i="2"/>
  <c r="AY30" i="2"/>
  <c r="AX30" i="2"/>
  <c r="AW30" i="2"/>
  <c r="AS30" i="2" s="1"/>
  <c r="AV30" i="2"/>
  <c r="AU30" i="2"/>
  <c r="AR30" i="2"/>
  <c r="AT30" i="2" s="1"/>
  <c r="AP30" i="2"/>
  <c r="AN30" i="2"/>
  <c r="AO30" i="2" s="1"/>
  <c r="AK30" i="2"/>
  <c r="AJ30" i="2"/>
  <c r="AL30" i="2" s="1"/>
  <c r="AH30" i="2"/>
  <c r="AI30" i="2" s="1"/>
  <c r="AG30" i="2"/>
  <c r="AF30" i="2"/>
  <c r="AC30" i="2"/>
  <c r="AB30" i="2"/>
  <c r="AD30" i="2" s="1"/>
  <c r="Z30" i="2"/>
  <c r="Y30" i="2"/>
  <c r="W30" i="2"/>
  <c r="V30" i="2"/>
  <c r="T30" i="2"/>
  <c r="S30" i="2"/>
  <c r="AA30" i="2" s="1"/>
  <c r="R30" i="2"/>
  <c r="N30" i="2"/>
  <c r="BQ30" i="2" s="1"/>
  <c r="M30" i="2"/>
  <c r="FN29" i="2"/>
  <c r="FM29" i="2"/>
  <c r="FL29" i="2"/>
  <c r="FK29" i="2"/>
  <c r="FI29" i="2"/>
  <c r="FH29" i="2"/>
  <c r="FD29" i="2" s="1"/>
  <c r="FG29" i="2"/>
  <c r="FF29" i="2"/>
  <c r="FE29" i="2"/>
  <c r="DR29" i="2"/>
  <c r="DM29" i="2"/>
  <c r="DK29" i="2"/>
  <c r="DI29" i="2"/>
  <c r="CW29" i="2"/>
  <c r="CV29" i="2"/>
  <c r="CU29" i="2"/>
  <c r="CT29" i="2"/>
  <c r="CQ29" i="2"/>
  <c r="CM29" i="2"/>
  <c r="CL29" i="2"/>
  <c r="CK29" i="2"/>
  <c r="CJ29" i="2"/>
  <c r="CI29" i="2"/>
  <c r="CA29" i="2"/>
  <c r="BT29" i="2"/>
  <c r="BO29" i="2"/>
  <c r="BD29" i="2"/>
  <c r="BC29" i="2"/>
  <c r="BB29" i="2"/>
  <c r="BG29" i="2" s="1"/>
  <c r="AZ29" i="2"/>
  <c r="AY29" i="2"/>
  <c r="AX29" i="2"/>
  <c r="AW29" i="2"/>
  <c r="AS29" i="2" s="1"/>
  <c r="AV29" i="2"/>
  <c r="AU29" i="2"/>
  <c r="AR29" i="2"/>
  <c r="AT29" i="2" s="1"/>
  <c r="AP29" i="2"/>
  <c r="AN29" i="2"/>
  <c r="AO29" i="2" s="1"/>
  <c r="AK29" i="2"/>
  <c r="AJ29" i="2"/>
  <c r="AG29" i="2"/>
  <c r="AH29" i="2" s="1"/>
  <c r="AF29" i="2"/>
  <c r="AC29" i="2"/>
  <c r="AB29" i="2"/>
  <c r="Z29" i="2"/>
  <c r="Y29" i="2"/>
  <c r="W29" i="2"/>
  <c r="V29" i="2"/>
  <c r="T29" i="2"/>
  <c r="S29" i="2"/>
  <c r="AA29" i="2" s="1"/>
  <c r="BU29" i="2" s="1"/>
  <c r="R29" i="2"/>
  <c r="N29" i="2"/>
  <c r="BR29" i="2" s="1"/>
  <c r="M29" i="2"/>
  <c r="FN28" i="2"/>
  <c r="FM28" i="2"/>
  <c r="FL28" i="2"/>
  <c r="FK28" i="2"/>
  <c r="FI28" i="2"/>
  <c r="FH28" i="2"/>
  <c r="FD28" i="2" s="1"/>
  <c r="FG28" i="2"/>
  <c r="FF28" i="2"/>
  <c r="FE28" i="2"/>
  <c r="DR28" i="2"/>
  <c r="DM28" i="2"/>
  <c r="DK28" i="2"/>
  <c r="DI28" i="2"/>
  <c r="CW28" i="2"/>
  <c r="CV28" i="2"/>
  <c r="CU28" i="2"/>
  <c r="CT28" i="2"/>
  <c r="CR28" i="2"/>
  <c r="CQ28" i="2"/>
  <c r="CM28" i="2"/>
  <c r="CI28" i="2"/>
  <c r="CH28" i="2"/>
  <c r="CG28" i="2"/>
  <c r="CF28" i="2"/>
  <c r="CA28" i="2"/>
  <c r="BD28" i="2"/>
  <c r="BG28" i="2" s="1"/>
  <c r="BC28" i="2"/>
  <c r="BB28" i="2"/>
  <c r="AZ28" i="2"/>
  <c r="AY28" i="2"/>
  <c r="AX28" i="2"/>
  <c r="AW28" i="2"/>
  <c r="AV28" i="2"/>
  <c r="AU28" i="2"/>
  <c r="AR28" i="2"/>
  <c r="AP28" i="2"/>
  <c r="AN28" i="2"/>
  <c r="AO28" i="2" s="1"/>
  <c r="AK28" i="2"/>
  <c r="AJ28" i="2"/>
  <c r="AG28" i="2"/>
  <c r="AF28" i="2"/>
  <c r="AC28" i="2"/>
  <c r="AD28" i="2" s="1"/>
  <c r="AB28" i="2"/>
  <c r="Z28" i="2"/>
  <c r="Y28" i="2"/>
  <c r="W28" i="2"/>
  <c r="V28" i="2"/>
  <c r="T28" i="2"/>
  <c r="S28" i="2"/>
  <c r="AA28" i="2" s="1"/>
  <c r="R28" i="2"/>
  <c r="N28" i="2"/>
  <c r="BS28" i="2" s="1"/>
  <c r="M28" i="2"/>
  <c r="FM27" i="2"/>
  <c r="FL27" i="2"/>
  <c r="FK27" i="2"/>
  <c r="FI27" i="2"/>
  <c r="FH27" i="2"/>
  <c r="FG27" i="2"/>
  <c r="FF27" i="2"/>
  <c r="FE27" i="2"/>
  <c r="DR27" i="2"/>
  <c r="DM27" i="2"/>
  <c r="DK27" i="2"/>
  <c r="DI27" i="2"/>
  <c r="CW27" i="2"/>
  <c r="CV27" i="2"/>
  <c r="CU27" i="2"/>
  <c r="CT27" i="2"/>
  <c r="CS27" i="2"/>
  <c r="CR27" i="2"/>
  <c r="CQ27" i="2"/>
  <c r="CM27" i="2"/>
  <c r="CL27" i="2"/>
  <c r="CK27" i="2"/>
  <c r="CJ27" i="2"/>
  <c r="CI27" i="2"/>
  <c r="CA27" i="2"/>
  <c r="BQ27" i="2"/>
  <c r="BL27" i="2"/>
  <c r="BD27" i="2"/>
  <c r="BC27" i="2"/>
  <c r="BB27" i="2"/>
  <c r="AZ27" i="2"/>
  <c r="BG27" i="2" s="1"/>
  <c r="AY27" i="2"/>
  <c r="AX27" i="2"/>
  <c r="AW27" i="2"/>
  <c r="AV27" i="2"/>
  <c r="AU27" i="2"/>
  <c r="AR27" i="2"/>
  <c r="AQ27" i="2" s="1"/>
  <c r="AP27" i="2"/>
  <c r="AO27" i="2"/>
  <c r="AN27" i="2"/>
  <c r="AK27" i="2"/>
  <c r="AL27" i="2" s="1"/>
  <c r="AJ27" i="2"/>
  <c r="AG27" i="2"/>
  <c r="AF27" i="2"/>
  <c r="AC27" i="2"/>
  <c r="CG27" i="2" s="1"/>
  <c r="CF27" i="2" s="1"/>
  <c r="AB27" i="2"/>
  <c r="Z27" i="2"/>
  <c r="Y27" i="2"/>
  <c r="W27" i="2"/>
  <c r="V27" i="2"/>
  <c r="T27" i="2"/>
  <c r="S27" i="2"/>
  <c r="AA27" i="2" s="1"/>
  <c r="R27" i="2"/>
  <c r="N27" i="2"/>
  <c r="BO27" i="2" s="1"/>
  <c r="M27" i="2"/>
  <c r="FM26" i="2"/>
  <c r="FL26" i="2"/>
  <c r="FK26" i="2"/>
  <c r="FI26" i="2"/>
  <c r="FH26" i="2"/>
  <c r="FG26" i="2"/>
  <c r="FF26" i="2"/>
  <c r="FE26" i="2"/>
  <c r="DR26" i="2"/>
  <c r="DM26" i="2"/>
  <c r="DK26" i="2"/>
  <c r="DI26" i="2"/>
  <c r="CW26" i="2"/>
  <c r="CV26" i="2"/>
  <c r="CU26" i="2"/>
  <c r="CT26" i="2"/>
  <c r="CS26" i="2"/>
  <c r="CR26" i="2"/>
  <c r="CQ26" i="2"/>
  <c r="CN26" i="2"/>
  <c r="CM26" i="2"/>
  <c r="CL26" i="2"/>
  <c r="CK26" i="2"/>
  <c r="CJ26" i="2"/>
  <c r="CI26" i="2"/>
  <c r="CA26" i="2"/>
  <c r="BL26" i="2"/>
  <c r="BD26" i="2"/>
  <c r="BC26" i="2"/>
  <c r="BB26" i="2"/>
  <c r="AZ26" i="2"/>
  <c r="BG26" i="2" s="1"/>
  <c r="AY26" i="2"/>
  <c r="AX26" i="2"/>
  <c r="AW26" i="2"/>
  <c r="AV26" i="2"/>
  <c r="AU26" i="2"/>
  <c r="AT26" i="2"/>
  <c r="AS26" i="2"/>
  <c r="AR26" i="2"/>
  <c r="AP26" i="2"/>
  <c r="AO26" i="2" s="1"/>
  <c r="AN26" i="2"/>
  <c r="AK26" i="2"/>
  <c r="AL26" i="2" s="1"/>
  <c r="AM26" i="2" s="1"/>
  <c r="AJ26" i="2"/>
  <c r="AG26" i="2"/>
  <c r="AF26" i="2"/>
  <c r="AC26" i="2"/>
  <c r="AD26" i="2" s="1"/>
  <c r="AB26" i="2"/>
  <c r="CF26" i="2" s="1"/>
  <c r="CE26" i="2" s="1"/>
  <c r="CD26" i="2" s="1"/>
  <c r="Z26" i="2"/>
  <c r="Y26" i="2"/>
  <c r="W26" i="2"/>
  <c r="V26" i="2"/>
  <c r="T26" i="2"/>
  <c r="S26" i="2"/>
  <c r="AA26" i="2" s="1"/>
  <c r="R26" i="2"/>
  <c r="N26" i="2"/>
  <c r="BP26" i="2" s="1"/>
  <c r="M26" i="2"/>
  <c r="FN25" i="2"/>
  <c r="FM25" i="2"/>
  <c r="FL25" i="2"/>
  <c r="FK25" i="2"/>
  <c r="FI25" i="2"/>
  <c r="FH25" i="2"/>
  <c r="FG25" i="2"/>
  <c r="FF25" i="2"/>
  <c r="FE25" i="2"/>
  <c r="DR25" i="2"/>
  <c r="DM25" i="2"/>
  <c r="DK25" i="2"/>
  <c r="DI25" i="2"/>
  <c r="CW25" i="2"/>
  <c r="CT25" i="2"/>
  <c r="CS25" i="2"/>
  <c r="CR25" i="2"/>
  <c r="CQ25" i="2"/>
  <c r="CM25" i="2"/>
  <c r="CL25" i="2"/>
  <c r="CK25" i="2"/>
  <c r="CJ25" i="2"/>
  <c r="CI25" i="2"/>
  <c r="CD25" i="2"/>
  <c r="CA25" i="2"/>
  <c r="BT25" i="2"/>
  <c r="BS25" i="2"/>
  <c r="BD25" i="2"/>
  <c r="BC25" i="2"/>
  <c r="BB25" i="2"/>
  <c r="AZ25" i="2"/>
  <c r="BG25" i="2" s="1"/>
  <c r="AY25" i="2"/>
  <c r="AX25" i="2"/>
  <c r="AW25" i="2"/>
  <c r="AV25" i="2"/>
  <c r="AU25" i="2"/>
  <c r="AT25" i="2" s="1"/>
  <c r="AS25" i="2"/>
  <c r="AR25" i="2"/>
  <c r="AQ25" i="2"/>
  <c r="AP25" i="2"/>
  <c r="AN25" i="2"/>
  <c r="AK25" i="2"/>
  <c r="AL25" i="2" s="1"/>
  <c r="CP25" i="2" s="1"/>
  <c r="AJ25" i="2"/>
  <c r="AG25" i="2"/>
  <c r="AF25" i="2"/>
  <c r="AD25" i="2"/>
  <c r="AC25" i="2"/>
  <c r="AB25" i="2"/>
  <c r="Z25" i="2"/>
  <c r="Y25" i="2"/>
  <c r="X25" i="2" s="1"/>
  <c r="W25" i="2"/>
  <c r="V25" i="2"/>
  <c r="T25" i="2"/>
  <c r="BQ25" i="2" s="1"/>
  <c r="S25" i="2"/>
  <c r="R25" i="2"/>
  <c r="AA25" i="2" s="1"/>
  <c r="O25" i="2"/>
  <c r="N25" i="2"/>
  <c r="BP25" i="2" s="1"/>
  <c r="M25" i="2"/>
  <c r="FN24" i="2"/>
  <c r="FL24" i="2"/>
  <c r="FK24" i="2"/>
  <c r="FD24" i="2" s="1"/>
  <c r="FI24" i="2"/>
  <c r="FH24" i="2"/>
  <c r="FF24" i="2"/>
  <c r="FE24" i="2"/>
  <c r="DR24" i="2"/>
  <c r="DM24" i="2"/>
  <c r="DK24" i="2"/>
  <c r="DI24" i="2"/>
  <c r="CW24" i="2"/>
  <c r="CV24" i="2" s="1"/>
  <c r="CU24" i="2" s="1"/>
  <c r="CT24" i="2"/>
  <c r="CS24" i="2"/>
  <c r="CR24" i="2"/>
  <c r="CQ24" i="2"/>
  <c r="CO24" i="2"/>
  <c r="CN24" i="2" s="1"/>
  <c r="CM24" i="2"/>
  <c r="CL24" i="2"/>
  <c r="CK24" i="2"/>
  <c r="CJ24" i="2"/>
  <c r="CI24" i="2"/>
  <c r="CF24" i="2"/>
  <c r="CA24" i="2"/>
  <c r="BD24" i="2"/>
  <c r="BC24" i="2"/>
  <c r="BB24" i="2"/>
  <c r="AZ24" i="2"/>
  <c r="BG24" i="2" s="1"/>
  <c r="AY24" i="2"/>
  <c r="AX24" i="2"/>
  <c r="AW24" i="2"/>
  <c r="AV24" i="2"/>
  <c r="AU24" i="2"/>
  <c r="AT24" i="2" s="1"/>
  <c r="AS24" i="2"/>
  <c r="AR24" i="2"/>
  <c r="CD24" i="2" s="1"/>
  <c r="AQ24" i="2"/>
  <c r="AP24" i="2"/>
  <c r="AN24" i="2"/>
  <c r="AL24" i="2"/>
  <c r="CP24" i="2" s="1"/>
  <c r="AK24" i="2"/>
  <c r="AJ24" i="2"/>
  <c r="AG24" i="2"/>
  <c r="AF24" i="2"/>
  <c r="AD24" i="2"/>
  <c r="AC24" i="2"/>
  <c r="AB24" i="2"/>
  <c r="Z24" i="2"/>
  <c r="Y24" i="2"/>
  <c r="X24" i="2" s="1"/>
  <c r="W24" i="2"/>
  <c r="V24" i="2"/>
  <c r="T24" i="2"/>
  <c r="S24" i="2"/>
  <c r="R24" i="2"/>
  <c r="AA24" i="2" s="1"/>
  <c r="N24" i="2"/>
  <c r="BP24" i="2" s="1"/>
  <c r="M24" i="2"/>
  <c r="FN23" i="2"/>
  <c r="FL23" i="2"/>
  <c r="FK23" i="2"/>
  <c r="FI23" i="2"/>
  <c r="FD23" i="2" s="1"/>
  <c r="FH23" i="2"/>
  <c r="FF23" i="2"/>
  <c r="FE23" i="2"/>
  <c r="DR23" i="2"/>
  <c r="DM23" i="2"/>
  <c r="DK23" i="2"/>
  <c r="DI23" i="2"/>
  <c r="CW23" i="2"/>
  <c r="CT23" i="2"/>
  <c r="CS23" i="2"/>
  <c r="CR23" i="2"/>
  <c r="CQ23" i="2"/>
  <c r="CM23" i="2"/>
  <c r="CL23" i="2"/>
  <c r="CK23" i="2"/>
  <c r="CJ23" i="2"/>
  <c r="CI23" i="2"/>
  <c r="CB23" i="2"/>
  <c r="CA23" i="2"/>
  <c r="BS23" i="2"/>
  <c r="BD23" i="2"/>
  <c r="BC23" i="2"/>
  <c r="DD23" i="2" s="1"/>
  <c r="BB23" i="2"/>
  <c r="DC23" i="2" s="1"/>
  <c r="AZ23" i="2"/>
  <c r="BG23" i="2" s="1"/>
  <c r="AY23" i="2"/>
  <c r="AX23" i="2"/>
  <c r="AW23" i="2"/>
  <c r="AS23" i="2" s="1"/>
  <c r="CC23" i="2" s="1"/>
  <c r="AV23" i="2"/>
  <c r="AU23" i="2"/>
  <c r="CX23" i="2" s="1"/>
  <c r="AT23" i="2"/>
  <c r="AR23" i="2"/>
  <c r="AP23" i="2"/>
  <c r="AN23" i="2"/>
  <c r="AK23" i="2"/>
  <c r="AJ23" i="2"/>
  <c r="AG23" i="2"/>
  <c r="AH23" i="2" s="1"/>
  <c r="AF23" i="2"/>
  <c r="AC23" i="2"/>
  <c r="AB23" i="2"/>
  <c r="AD23" i="2" s="1"/>
  <c r="Z23" i="2"/>
  <c r="Y23" i="2"/>
  <c r="X23" i="2" s="1"/>
  <c r="W23" i="2"/>
  <c r="V23" i="2"/>
  <c r="T23" i="2"/>
  <c r="BQ23" i="2" s="1"/>
  <c r="S23" i="2"/>
  <c r="BW23" i="2" s="1"/>
  <c r="R23" i="2"/>
  <c r="AA23" i="2" s="1"/>
  <c r="O23" i="2"/>
  <c r="N23" i="2"/>
  <c r="BR23" i="2" s="1"/>
  <c r="M23" i="2"/>
  <c r="FN22" i="2"/>
  <c r="FL22" i="2"/>
  <c r="FK22" i="2"/>
  <c r="FI22" i="2"/>
  <c r="FH22" i="2"/>
  <c r="FF22" i="2"/>
  <c r="FE22" i="2"/>
  <c r="FD22" i="2" s="1"/>
  <c r="DR22" i="2"/>
  <c r="DM22" i="2"/>
  <c r="DK22" i="2"/>
  <c r="DI22" i="2"/>
  <c r="DE22" i="2"/>
  <c r="DD22" i="2"/>
  <c r="CY22" i="2"/>
  <c r="CX22" i="2"/>
  <c r="CW22" i="2"/>
  <c r="CT22" i="2"/>
  <c r="CS22" i="2"/>
  <c r="CR22" i="2"/>
  <c r="CQ22" i="2"/>
  <c r="CN22" i="2"/>
  <c r="CM22" i="2"/>
  <c r="CL22" i="2"/>
  <c r="CK22" i="2"/>
  <c r="CJ22" i="2"/>
  <c r="CI22" i="2"/>
  <c r="CA22" i="2"/>
  <c r="BY22" i="2"/>
  <c r="BX22" i="2"/>
  <c r="BR22" i="2"/>
  <c r="BD22" i="2"/>
  <c r="BC22" i="2"/>
  <c r="BB22" i="2"/>
  <c r="AZ22" i="2"/>
  <c r="BG22" i="2" s="1"/>
  <c r="AY22" i="2"/>
  <c r="AX22" i="2"/>
  <c r="AW22" i="2"/>
  <c r="AV22" i="2"/>
  <c r="AU22" i="2"/>
  <c r="AT22" i="2" s="1"/>
  <c r="AS22" i="2"/>
  <c r="AR22" i="2"/>
  <c r="CD22" i="2" s="1"/>
  <c r="AQ22" i="2"/>
  <c r="AP22" i="2"/>
  <c r="AN22" i="2"/>
  <c r="AL22" i="2"/>
  <c r="AM22" i="2" s="1"/>
  <c r="AK22" i="2"/>
  <c r="AJ22" i="2"/>
  <c r="AG22" i="2"/>
  <c r="AF22" i="2"/>
  <c r="AH22" i="2" s="1"/>
  <c r="AC22" i="2"/>
  <c r="AD22" i="2" s="1"/>
  <c r="AB22" i="2"/>
  <c r="Z22" i="2"/>
  <c r="BT22" i="2" s="1"/>
  <c r="Y22" i="2"/>
  <c r="BS22" i="2" s="1"/>
  <c r="X22" i="2"/>
  <c r="W22" i="2"/>
  <c r="V22" i="2"/>
  <c r="T22" i="2"/>
  <c r="S22" i="2"/>
  <c r="BP22" i="2" s="1"/>
  <c r="R22" i="2"/>
  <c r="AA22" i="2" s="1"/>
  <c r="O22" i="2"/>
  <c r="DB22" i="2" s="1"/>
  <c r="N22" i="2"/>
  <c r="BU22" i="2" s="1"/>
  <c r="FZ22" i="2" s="1"/>
  <c r="M22" i="2"/>
  <c r="GJ21" i="2"/>
  <c r="FN21" i="2"/>
  <c r="FL21" i="2"/>
  <c r="FK21" i="2"/>
  <c r="FI21" i="2"/>
  <c r="FD21" i="2" s="1"/>
  <c r="FH21" i="2"/>
  <c r="FF21" i="2"/>
  <c r="FE21" i="2"/>
  <c r="DR21" i="2"/>
  <c r="DM21" i="2"/>
  <c r="DK21" i="2"/>
  <c r="DI21" i="2"/>
  <c r="CW21" i="2"/>
  <c r="CT21" i="2"/>
  <c r="CS21" i="2"/>
  <c r="CR21" i="2"/>
  <c r="CQ21" i="2"/>
  <c r="CM21" i="2"/>
  <c r="CI21" i="2"/>
  <c r="CA21" i="2"/>
  <c r="BO21" i="2"/>
  <c r="BD21" i="2"/>
  <c r="BC21" i="2"/>
  <c r="BB21" i="2"/>
  <c r="AZ21" i="2"/>
  <c r="BG21" i="2" s="1"/>
  <c r="AY21" i="2"/>
  <c r="AX21" i="2"/>
  <c r="AW21" i="2"/>
  <c r="AS21" i="2" s="1"/>
  <c r="AV21" i="2"/>
  <c r="AU21" i="2"/>
  <c r="AR21" i="2"/>
  <c r="AT21" i="2" s="1"/>
  <c r="AP21" i="2"/>
  <c r="CU21" i="2" s="1"/>
  <c r="AN21" i="2"/>
  <c r="AK21" i="2"/>
  <c r="AJ21" i="2"/>
  <c r="AL21" i="2" s="1"/>
  <c r="AM21" i="2" s="1"/>
  <c r="AG21" i="2"/>
  <c r="AH21" i="2" s="1"/>
  <c r="AI21" i="2" s="1"/>
  <c r="AF21" i="2"/>
  <c r="AC21" i="2"/>
  <c r="AB21" i="2"/>
  <c r="Z21" i="2"/>
  <c r="Y21" i="2"/>
  <c r="W21" i="2"/>
  <c r="V21" i="2"/>
  <c r="T21" i="2"/>
  <c r="S21" i="2"/>
  <c r="BP21" i="2" s="1"/>
  <c r="R21" i="2"/>
  <c r="GE21" i="2" s="1"/>
  <c r="N21" i="2"/>
  <c r="BS21" i="2" s="1"/>
  <c r="M21" i="2"/>
  <c r="GJ20" i="2"/>
  <c r="FN20" i="2"/>
  <c r="FL20" i="2"/>
  <c r="FK20" i="2"/>
  <c r="FD20" i="2" s="1"/>
  <c r="FI20" i="2"/>
  <c r="FH20" i="2"/>
  <c r="FF20" i="2"/>
  <c r="FE20" i="2"/>
  <c r="DR20" i="2"/>
  <c r="DM20" i="2"/>
  <c r="DK20" i="2"/>
  <c r="DI20" i="2"/>
  <c r="CW20" i="2"/>
  <c r="CT20" i="2"/>
  <c r="CS20" i="2"/>
  <c r="CR20" i="2"/>
  <c r="CQ20" i="2"/>
  <c r="CM20" i="2"/>
  <c r="CL20" i="2"/>
  <c r="CK20" i="2"/>
  <c r="CJ20" i="2"/>
  <c r="CI20" i="2"/>
  <c r="CA20" i="2"/>
  <c r="BP20" i="2"/>
  <c r="BO20" i="2"/>
  <c r="BD20" i="2"/>
  <c r="BC20" i="2"/>
  <c r="BB20" i="2"/>
  <c r="AZ20" i="2"/>
  <c r="BG20" i="2" s="1"/>
  <c r="AY20" i="2"/>
  <c r="AX20" i="2"/>
  <c r="AW20" i="2"/>
  <c r="AV20" i="2"/>
  <c r="AU20" i="2"/>
  <c r="AR20" i="2"/>
  <c r="AT20" i="2" s="1"/>
  <c r="AP20" i="2"/>
  <c r="AO20" i="2" s="1"/>
  <c r="AN20" i="2"/>
  <c r="AK20" i="2"/>
  <c r="AJ20" i="2"/>
  <c r="AH20" i="2"/>
  <c r="AG20" i="2"/>
  <c r="AF20" i="2"/>
  <c r="AC20" i="2"/>
  <c r="CG20" i="2" s="1"/>
  <c r="CF20" i="2" s="1"/>
  <c r="AB20" i="2"/>
  <c r="Z20" i="2"/>
  <c r="Y20" i="2"/>
  <c r="W20" i="2"/>
  <c r="V20" i="2"/>
  <c r="T20" i="2"/>
  <c r="S20" i="2"/>
  <c r="R20" i="2"/>
  <c r="GE20" i="2" s="1"/>
  <c r="N20" i="2"/>
  <c r="BS20" i="2" s="1"/>
  <c r="M20" i="2"/>
  <c r="GJ19" i="2"/>
  <c r="FN19" i="2"/>
  <c r="FL19" i="2"/>
  <c r="FK19" i="2"/>
  <c r="FD19" i="2" s="1"/>
  <c r="FI19" i="2"/>
  <c r="FH19" i="2"/>
  <c r="FF19" i="2"/>
  <c r="FE19" i="2"/>
  <c r="DR19" i="2"/>
  <c r="DM19" i="2"/>
  <c r="DK19" i="2"/>
  <c r="DI19" i="2"/>
  <c r="CW19" i="2"/>
  <c r="CT19" i="2"/>
  <c r="CS19" i="2"/>
  <c r="CR19" i="2"/>
  <c r="CQ19" i="2"/>
  <c r="CM19" i="2"/>
  <c r="CJ19" i="2"/>
  <c r="CI19" i="2"/>
  <c r="CA19" i="2"/>
  <c r="BD19" i="2"/>
  <c r="BG19" i="2" s="1"/>
  <c r="BC19" i="2"/>
  <c r="BB19" i="2"/>
  <c r="AZ19" i="2"/>
  <c r="AY19" i="2"/>
  <c r="AX19" i="2"/>
  <c r="AW19" i="2"/>
  <c r="AV19" i="2"/>
  <c r="AU19" i="2"/>
  <c r="AR19" i="2"/>
  <c r="AT19" i="2" s="1"/>
  <c r="AQ19" i="2"/>
  <c r="AP19" i="2"/>
  <c r="AN19" i="2"/>
  <c r="AK19" i="2"/>
  <c r="AJ19" i="2"/>
  <c r="AL19" i="2" s="1"/>
  <c r="CP19" i="2" s="1"/>
  <c r="CO19" i="2" s="1"/>
  <c r="CN19" i="2" s="1"/>
  <c r="AG19" i="2"/>
  <c r="AH19" i="2" s="1"/>
  <c r="AI19" i="2" s="1"/>
  <c r="AF19" i="2"/>
  <c r="AC19" i="2"/>
  <c r="AB19" i="2"/>
  <c r="AD19" i="2" s="1"/>
  <c r="Z19" i="2"/>
  <c r="Y19" i="2"/>
  <c r="W19" i="2"/>
  <c r="V19" i="2"/>
  <c r="T19" i="2"/>
  <c r="BQ19" i="2" s="1"/>
  <c r="S19" i="2"/>
  <c r="R19" i="2"/>
  <c r="GE19" i="2" s="1"/>
  <c r="N19" i="2"/>
  <c r="M19" i="2"/>
  <c r="GF18" i="2"/>
  <c r="FN18" i="2"/>
  <c r="FL18" i="2"/>
  <c r="FK18" i="2"/>
  <c r="FI18" i="2"/>
  <c r="FH18" i="2"/>
  <c r="FF18" i="2"/>
  <c r="FE18" i="2"/>
  <c r="FD18" i="2" s="1"/>
  <c r="DR18" i="2"/>
  <c r="DM18" i="2"/>
  <c r="DK18" i="2"/>
  <c r="DI18" i="2"/>
  <c r="CW18" i="2"/>
  <c r="CT18" i="2"/>
  <c r="CS18" i="2"/>
  <c r="CR18" i="2"/>
  <c r="CQ18" i="2"/>
  <c r="CM18" i="2"/>
  <c r="CL18" i="2"/>
  <c r="CK18" i="2"/>
  <c r="CJ18" i="2"/>
  <c r="CI18" i="2"/>
  <c r="CF18" i="2"/>
  <c r="CA18" i="2"/>
  <c r="BR18" i="2"/>
  <c r="BD18" i="2"/>
  <c r="BC18" i="2"/>
  <c r="BB18" i="2"/>
  <c r="AZ18" i="2"/>
  <c r="BG18" i="2" s="1"/>
  <c r="AY18" i="2"/>
  <c r="AX18" i="2"/>
  <c r="AW18" i="2"/>
  <c r="AV18" i="2"/>
  <c r="AU18" i="2"/>
  <c r="AR18" i="2"/>
  <c r="AS18" i="2" s="1"/>
  <c r="AP18" i="2"/>
  <c r="AO18" i="2" s="1"/>
  <c r="AN18" i="2"/>
  <c r="AK18" i="2"/>
  <c r="AL18" i="2" s="1"/>
  <c r="AJ18" i="2"/>
  <c r="AG18" i="2"/>
  <c r="AF18" i="2"/>
  <c r="AD18" i="2"/>
  <c r="AC18" i="2"/>
  <c r="AB18" i="2"/>
  <c r="Z18" i="2"/>
  <c r="Y18" i="2"/>
  <c r="X18" i="2" s="1"/>
  <c r="W18" i="2"/>
  <c r="V18" i="2"/>
  <c r="S18" i="2"/>
  <c r="GE18" i="2" s="1"/>
  <c r="R18" i="2"/>
  <c r="AA18" i="2" s="1"/>
  <c r="GH18" i="2" s="1"/>
  <c r="GG18" i="2" s="1"/>
  <c r="N18" i="2"/>
  <c r="BP18" i="2" s="1"/>
  <c r="M18" i="2"/>
  <c r="GF17" i="2"/>
  <c r="FN17" i="2"/>
  <c r="FL17" i="2"/>
  <c r="FK17" i="2"/>
  <c r="FI17" i="2"/>
  <c r="FH17" i="2"/>
  <c r="FF17" i="2"/>
  <c r="FE17" i="2"/>
  <c r="FD17" i="2"/>
  <c r="DR17" i="2"/>
  <c r="DM17" i="2"/>
  <c r="DK17" i="2"/>
  <c r="DI17" i="2"/>
  <c r="CW17" i="2"/>
  <c r="CV17" i="2" s="1"/>
  <c r="CU17" i="2" s="1"/>
  <c r="CT17" i="2"/>
  <c r="CS17" i="2"/>
  <c r="CR17" i="2"/>
  <c r="CQ17" i="2"/>
  <c r="CM17" i="2"/>
  <c r="CL17" i="2"/>
  <c r="CK17" i="2"/>
  <c r="CJ17" i="2"/>
  <c r="CI17" i="2"/>
  <c r="CD17" i="2"/>
  <c r="CA17" i="2"/>
  <c r="BR17" i="2"/>
  <c r="BD17" i="2"/>
  <c r="BC17" i="2"/>
  <c r="BB17" i="2"/>
  <c r="AZ17" i="2"/>
  <c r="BG17" i="2" s="1"/>
  <c r="AY17" i="2"/>
  <c r="AX17" i="2"/>
  <c r="AW17" i="2"/>
  <c r="AV17" i="2"/>
  <c r="AU17" i="2"/>
  <c r="AT17" i="2" s="1"/>
  <c r="AS17" i="2"/>
  <c r="AR17" i="2"/>
  <c r="AQ17" i="2"/>
  <c r="AP17" i="2"/>
  <c r="AN17" i="2"/>
  <c r="AL17" i="2"/>
  <c r="CP17" i="2" s="1"/>
  <c r="CO17" i="2" s="1"/>
  <c r="CN17" i="2" s="1"/>
  <c r="AK17" i="2"/>
  <c r="AJ17" i="2"/>
  <c r="AG17" i="2"/>
  <c r="AF17" i="2"/>
  <c r="AD17" i="2"/>
  <c r="AC17" i="2"/>
  <c r="AB17" i="2"/>
  <c r="Z17" i="2"/>
  <c r="Y17" i="2"/>
  <c r="X17" i="2" s="1"/>
  <c r="W17" i="2"/>
  <c r="V17" i="2"/>
  <c r="S17" i="2"/>
  <c r="R17" i="2"/>
  <c r="GE17" i="2" s="1"/>
  <c r="N17" i="2"/>
  <c r="BP17" i="2" s="1"/>
  <c r="M17" i="2"/>
  <c r="GF16" i="2"/>
  <c r="FN16" i="2"/>
  <c r="FL16" i="2"/>
  <c r="FK16" i="2"/>
  <c r="FJ16" i="2"/>
  <c r="FI16" i="2"/>
  <c r="FH16" i="2"/>
  <c r="FF16" i="2"/>
  <c r="FD16" i="2" s="1"/>
  <c r="FE16" i="2"/>
  <c r="DM16" i="2"/>
  <c r="DK16" i="2"/>
  <c r="DI16" i="2"/>
  <c r="CW16" i="2"/>
  <c r="CV16" i="2"/>
  <c r="CU16" i="2"/>
  <c r="CT16" i="2"/>
  <c r="CS16" i="2"/>
  <c r="CR16" i="2"/>
  <c r="CQ16" i="2"/>
  <c r="CM16" i="2"/>
  <c r="CJ16" i="2"/>
  <c r="CI16" i="2"/>
  <c r="CD16" i="2"/>
  <c r="CA16" i="2"/>
  <c r="BQ16" i="2"/>
  <c r="BP16" i="2"/>
  <c r="BD16" i="2"/>
  <c r="BC16" i="2"/>
  <c r="BB16" i="2"/>
  <c r="AZ16" i="2"/>
  <c r="BG16" i="2" s="1"/>
  <c r="AY16" i="2"/>
  <c r="AX16" i="2"/>
  <c r="AW16" i="2"/>
  <c r="AS16" i="2" s="1"/>
  <c r="AV16" i="2"/>
  <c r="AU16" i="2"/>
  <c r="AR16" i="2"/>
  <c r="AP16" i="2"/>
  <c r="AN16" i="2"/>
  <c r="AK16" i="2"/>
  <c r="AJ16" i="2"/>
  <c r="AL16" i="2" s="1"/>
  <c r="AM16" i="2" s="1"/>
  <c r="AG16" i="2"/>
  <c r="AH16" i="2" s="1"/>
  <c r="AF16" i="2"/>
  <c r="AD16" i="2"/>
  <c r="AC16" i="2"/>
  <c r="AB16" i="2"/>
  <c r="CF16" i="2" s="1"/>
  <c r="CE16" i="2" s="1"/>
  <c r="Z16" i="2"/>
  <c r="Y16" i="2"/>
  <c r="X16" i="2" s="1"/>
  <c r="W16" i="2"/>
  <c r="V16" i="2"/>
  <c r="S16" i="2"/>
  <c r="R16" i="2"/>
  <c r="GE16" i="2" s="1"/>
  <c r="N16" i="2"/>
  <c r="BT16" i="2" s="1"/>
  <c r="M16" i="2"/>
  <c r="FN15" i="2"/>
  <c r="FL15" i="2"/>
  <c r="FK15" i="2"/>
  <c r="FJ15" i="2"/>
  <c r="FD15" i="2" s="1"/>
  <c r="FI15" i="2"/>
  <c r="FH15" i="2"/>
  <c r="FF15" i="2"/>
  <c r="FE15" i="2"/>
  <c r="DR15" i="2"/>
  <c r="DM15" i="2"/>
  <c r="DK15" i="2"/>
  <c r="DI15" i="2"/>
  <c r="CW15" i="2"/>
  <c r="CT15" i="2"/>
  <c r="CS15" i="2"/>
  <c r="CR15" i="2"/>
  <c r="CQ15" i="2"/>
  <c r="CP15" i="2" s="1"/>
  <c r="CM15" i="2"/>
  <c r="CL15" i="2"/>
  <c r="CK15" i="2"/>
  <c r="CJ15" i="2"/>
  <c r="CI15" i="2"/>
  <c r="CH15" i="2"/>
  <c r="CG15" i="2"/>
  <c r="CF15" i="2"/>
  <c r="CA15" i="2"/>
  <c r="BS15" i="2"/>
  <c r="BD15" i="2"/>
  <c r="BC15" i="2"/>
  <c r="BB15" i="2"/>
  <c r="AZ15" i="2"/>
  <c r="BG15" i="2" s="1"/>
  <c r="AY15" i="2"/>
  <c r="AX15" i="2"/>
  <c r="AW15" i="2"/>
  <c r="AV15" i="2"/>
  <c r="AU15" i="2"/>
  <c r="AR15" i="2"/>
  <c r="CD15" i="2" s="1"/>
  <c r="AP15" i="2"/>
  <c r="AO15" i="2" s="1"/>
  <c r="AN15" i="2"/>
  <c r="AL15" i="2"/>
  <c r="AK15" i="2"/>
  <c r="AJ15" i="2"/>
  <c r="AG15" i="2"/>
  <c r="AH15" i="2" s="1"/>
  <c r="AF15" i="2"/>
  <c r="AC15" i="2"/>
  <c r="AB15" i="2"/>
  <c r="AD15" i="2" s="1"/>
  <c r="Z15" i="2"/>
  <c r="GJ15" i="2" s="1"/>
  <c r="Y15" i="2"/>
  <c r="W15" i="2"/>
  <c r="V15" i="2"/>
  <c r="T15" i="2"/>
  <c r="GF15" i="2" s="1"/>
  <c r="S15" i="2"/>
  <c r="R15" i="2"/>
  <c r="GE15" i="2" s="1"/>
  <c r="N15" i="2"/>
  <c r="BQ15" i="2" s="1"/>
  <c r="M15" i="2"/>
  <c r="FN14" i="2"/>
  <c r="FL14" i="2"/>
  <c r="FK14" i="2"/>
  <c r="FJ14" i="2"/>
  <c r="FI14" i="2"/>
  <c r="FH14" i="2"/>
  <c r="FF14" i="2"/>
  <c r="FE14" i="2"/>
  <c r="FD14" i="2"/>
  <c r="DR14" i="2"/>
  <c r="DM14" i="2"/>
  <c r="DK14" i="2"/>
  <c r="DI14" i="2"/>
  <c r="CW14" i="2"/>
  <c r="CT14" i="2"/>
  <c r="CR14" i="2"/>
  <c r="CQ14" i="2"/>
  <c r="CM14" i="2"/>
  <c r="CI14" i="2"/>
  <c r="CH14" i="2"/>
  <c r="CG14" i="2"/>
  <c r="CF14" i="2"/>
  <c r="CA14" i="2"/>
  <c r="BP14" i="2"/>
  <c r="BD14" i="2"/>
  <c r="BC14" i="2"/>
  <c r="GK14" i="2" s="1"/>
  <c r="BB14" i="2"/>
  <c r="AZ14" i="2"/>
  <c r="BG14" i="2" s="1"/>
  <c r="AY14" i="2"/>
  <c r="AX14" i="2"/>
  <c r="AW14" i="2"/>
  <c r="AV14" i="2"/>
  <c r="AU14" i="2"/>
  <c r="AT14" i="2"/>
  <c r="AR14" i="2"/>
  <c r="AS14" i="2" s="1"/>
  <c r="AP14" i="2"/>
  <c r="AO14" i="2" s="1"/>
  <c r="AN14" i="2"/>
  <c r="AK14" i="2"/>
  <c r="AJ14" i="2"/>
  <c r="AG14" i="2"/>
  <c r="AF14" i="2"/>
  <c r="AH14" i="2" s="1"/>
  <c r="AI14" i="2" s="1"/>
  <c r="AC14" i="2"/>
  <c r="AB14" i="2"/>
  <c r="AD14" i="2" s="1"/>
  <c r="Z14" i="2"/>
  <c r="GJ14" i="2" s="1"/>
  <c r="Y14" i="2"/>
  <c r="W14" i="2"/>
  <c r="V14" i="2"/>
  <c r="T14" i="2"/>
  <c r="S14" i="2"/>
  <c r="R14" i="2"/>
  <c r="GE14" i="2" s="1"/>
  <c r="N14" i="2"/>
  <c r="BT14" i="2" s="1"/>
  <c r="M14" i="2"/>
  <c r="FN13" i="2"/>
  <c r="FL13" i="2"/>
  <c r="FK13" i="2"/>
  <c r="FJ13" i="2"/>
  <c r="FI13" i="2"/>
  <c r="FH13" i="2"/>
  <c r="FF13" i="2"/>
  <c r="FE13" i="2"/>
  <c r="FD13" i="2" s="1"/>
  <c r="DR13" i="2"/>
  <c r="DM13" i="2"/>
  <c r="DK13" i="2"/>
  <c r="DI13" i="2"/>
  <c r="CW13" i="2"/>
  <c r="CV13" i="2"/>
  <c r="CU13" i="2"/>
  <c r="CT13" i="2"/>
  <c r="CS13" i="2"/>
  <c r="CR13" i="2"/>
  <c r="CQ13" i="2"/>
  <c r="CM13" i="2"/>
  <c r="CL13" i="2"/>
  <c r="CK13" i="2"/>
  <c r="CJ13" i="2"/>
  <c r="CI13" i="2"/>
  <c r="CH13" i="2"/>
  <c r="CG13" i="2"/>
  <c r="CF13" i="2"/>
  <c r="CA13" i="2"/>
  <c r="BR13" i="2"/>
  <c r="BG13" i="2"/>
  <c r="BD13" i="2"/>
  <c r="BC13" i="2"/>
  <c r="BB13" i="2"/>
  <c r="AZ13" i="2"/>
  <c r="AY13" i="2"/>
  <c r="AX13" i="2"/>
  <c r="AW13" i="2"/>
  <c r="AV13" i="2"/>
  <c r="AU13" i="2"/>
  <c r="AR13" i="2"/>
  <c r="AQ13" i="2" s="1"/>
  <c r="AP13" i="2"/>
  <c r="AN13" i="2"/>
  <c r="AK13" i="2"/>
  <c r="AJ13" i="2"/>
  <c r="AG13" i="2"/>
  <c r="AH13" i="2" s="1"/>
  <c r="AF13" i="2"/>
  <c r="AC13" i="2"/>
  <c r="AB13" i="2"/>
  <c r="AD13" i="2" s="1"/>
  <c r="Z13" i="2"/>
  <c r="Y13" i="2"/>
  <c r="GJ13" i="2" s="1"/>
  <c r="W13" i="2"/>
  <c r="V13" i="2"/>
  <c r="T13" i="2"/>
  <c r="S13" i="2"/>
  <c r="R13" i="2"/>
  <c r="GE13" i="2" s="1"/>
  <c r="N13" i="2"/>
  <c r="BP13" i="2" s="1"/>
  <c r="M13" i="2"/>
  <c r="FN12" i="2"/>
  <c r="FL12" i="2"/>
  <c r="FK12" i="2"/>
  <c r="FJ12" i="2"/>
  <c r="FI12" i="2"/>
  <c r="FH12" i="2"/>
  <c r="FF12" i="2"/>
  <c r="FE12" i="2"/>
  <c r="FD12" i="2"/>
  <c r="DR12" i="2"/>
  <c r="DM12" i="2"/>
  <c r="DK12" i="2"/>
  <c r="DI12" i="2"/>
  <c r="CW12" i="2"/>
  <c r="CT12" i="2"/>
  <c r="CS12" i="2"/>
  <c r="CR12" i="2"/>
  <c r="CQ12" i="2"/>
  <c r="CM12" i="2"/>
  <c r="CK12" i="2"/>
  <c r="CJ12" i="2" s="1"/>
  <c r="CI12" i="2"/>
  <c r="CA12" i="2"/>
  <c r="BT12" i="2"/>
  <c r="BR12" i="2"/>
  <c r="BQ12" i="2"/>
  <c r="BP12" i="2"/>
  <c r="BD12" i="2"/>
  <c r="BG12" i="2" s="1"/>
  <c r="BC12" i="2"/>
  <c r="GK12" i="2" s="1"/>
  <c r="BB12" i="2"/>
  <c r="AZ12" i="2"/>
  <c r="AY12" i="2"/>
  <c r="AX12" i="2"/>
  <c r="AW12" i="2"/>
  <c r="AV12" i="2"/>
  <c r="AU12" i="2"/>
  <c r="AR12" i="2"/>
  <c r="AT12" i="2" s="1"/>
  <c r="AQ12" i="2"/>
  <c r="AP12" i="2"/>
  <c r="AN12" i="2"/>
  <c r="AK12" i="2"/>
  <c r="AJ12" i="2"/>
  <c r="AH12" i="2"/>
  <c r="AG12" i="2"/>
  <c r="AF12" i="2"/>
  <c r="AI12" i="2" s="1"/>
  <c r="AB12" i="2"/>
  <c r="Z12" i="2"/>
  <c r="Y12" i="2"/>
  <c r="X12" i="2" s="1"/>
  <c r="W12" i="2"/>
  <c r="V12" i="2"/>
  <c r="T12" i="2"/>
  <c r="S12" i="2"/>
  <c r="R12" i="2"/>
  <c r="GE12" i="2" s="1"/>
  <c r="O12" i="2"/>
  <c r="DC12" i="2" s="1"/>
  <c r="N12" i="2"/>
  <c r="BS12" i="2" s="1"/>
  <c r="M12" i="2"/>
  <c r="GE11" i="2"/>
  <c r="FN11" i="2"/>
  <c r="FL11" i="2"/>
  <c r="FK11" i="2"/>
  <c r="FJ11" i="2"/>
  <c r="FI11" i="2"/>
  <c r="FH11" i="2"/>
  <c r="FF11" i="2"/>
  <c r="FE11" i="2"/>
  <c r="FD11" i="2" s="1"/>
  <c r="DV11" i="2"/>
  <c r="AC12" i="2" s="1"/>
  <c r="DR11" i="2"/>
  <c r="DM11" i="2"/>
  <c r="DK11" i="2"/>
  <c r="DI11" i="2"/>
  <c r="CW11" i="2"/>
  <c r="CV11" i="2" s="1"/>
  <c r="CU11" i="2" s="1"/>
  <c r="CT11" i="2"/>
  <c r="CS11" i="2"/>
  <c r="CR11" i="2"/>
  <c r="CQ11" i="2"/>
  <c r="CM11" i="2"/>
  <c r="CL11" i="2"/>
  <c r="CK11" i="2"/>
  <c r="CJ11" i="2"/>
  <c r="CI11" i="2"/>
  <c r="CF11" i="2"/>
  <c r="CA11" i="2"/>
  <c r="BD11" i="2"/>
  <c r="BC11" i="2"/>
  <c r="BB11" i="2"/>
  <c r="AZ11" i="2"/>
  <c r="BG11" i="2" s="1"/>
  <c r="AY11" i="2"/>
  <c r="AX11" i="2"/>
  <c r="AW11" i="2"/>
  <c r="AV11" i="2"/>
  <c r="AU11" i="2"/>
  <c r="AT11" i="2"/>
  <c r="AS11" i="2"/>
  <c r="AR11" i="2"/>
  <c r="CD11" i="2" s="1"/>
  <c r="AQ11" i="2"/>
  <c r="AP11" i="2"/>
  <c r="AN11" i="2"/>
  <c r="AL11" i="2"/>
  <c r="CP11" i="2" s="1"/>
  <c r="CO11" i="2" s="1"/>
  <c r="CN11" i="2" s="1"/>
  <c r="AK11" i="2"/>
  <c r="AJ11" i="2"/>
  <c r="AG11" i="2"/>
  <c r="AF11" i="2"/>
  <c r="AB11" i="2"/>
  <c r="Z11" i="2"/>
  <c r="Y11" i="2"/>
  <c r="W11" i="2"/>
  <c r="V11" i="2"/>
  <c r="T11" i="2"/>
  <c r="S11" i="2"/>
  <c r="AA11" i="2" s="1"/>
  <c r="GH11" i="2" s="1"/>
  <c r="R11" i="2"/>
  <c r="N11" i="2"/>
  <c r="BQ11" i="2" s="1"/>
  <c r="M11" i="2"/>
  <c r="FN10" i="2"/>
  <c r="FL10" i="2"/>
  <c r="FK10" i="2"/>
  <c r="FJ10" i="2"/>
  <c r="FI10" i="2"/>
  <c r="FH10" i="2"/>
  <c r="FF10" i="2"/>
  <c r="FD10" i="2" s="1"/>
  <c r="FE10" i="2"/>
  <c r="DR10" i="2"/>
  <c r="DM10" i="2"/>
  <c r="DK10" i="2"/>
  <c r="DI10" i="2"/>
  <c r="CW10" i="2"/>
  <c r="CT10" i="2"/>
  <c r="CS10" i="2"/>
  <c r="CR10" i="2"/>
  <c r="CQ10" i="2"/>
  <c r="CM10" i="2"/>
  <c r="CI10" i="2"/>
  <c r="CD10" i="2"/>
  <c r="CA10" i="2"/>
  <c r="BR10" i="2"/>
  <c r="BO10" i="2"/>
  <c r="BD10" i="2"/>
  <c r="BC10" i="2"/>
  <c r="BB10" i="2"/>
  <c r="AZ10" i="2"/>
  <c r="BG10" i="2" s="1"/>
  <c r="AY10" i="2"/>
  <c r="AX10" i="2"/>
  <c r="AW10" i="2"/>
  <c r="AS10" i="2" s="1"/>
  <c r="AV10" i="2"/>
  <c r="AU10" i="2"/>
  <c r="AR10" i="2"/>
  <c r="AP10" i="2"/>
  <c r="AN10" i="2"/>
  <c r="AK10" i="2"/>
  <c r="AJ10" i="2"/>
  <c r="AL10" i="2" s="1"/>
  <c r="CP10" i="2" s="1"/>
  <c r="CO10" i="2" s="1"/>
  <c r="CN10" i="2" s="1"/>
  <c r="AG10" i="2"/>
  <c r="AH10" i="2" s="1"/>
  <c r="AI10" i="2" s="1"/>
  <c r="AF10" i="2"/>
  <c r="AD10" i="2"/>
  <c r="AC10" i="2"/>
  <c r="AB10" i="2"/>
  <c r="CF10" i="2" s="1"/>
  <c r="CE10" i="2" s="1"/>
  <c r="Z10" i="2"/>
  <c r="GJ10" i="2" s="1"/>
  <c r="Y10" i="2"/>
  <c r="W10" i="2"/>
  <c r="V10" i="2"/>
  <c r="U10" i="2"/>
  <c r="T10" i="2"/>
  <c r="GF10" i="2" s="1"/>
  <c r="S10" i="2"/>
  <c r="AA10" i="2" s="1"/>
  <c r="BU10" i="2" s="1"/>
  <c r="R10" i="2"/>
  <c r="GE10" i="2" s="1"/>
  <c r="N10" i="2"/>
  <c r="BQ10" i="2" s="1"/>
  <c r="M10" i="2"/>
  <c r="GJ9" i="2"/>
  <c r="FN9" i="2"/>
  <c r="FL9" i="2"/>
  <c r="FK9" i="2"/>
  <c r="FJ9" i="2"/>
  <c r="FD9" i="2" s="1"/>
  <c r="FI9" i="2"/>
  <c r="FH9" i="2"/>
  <c r="FF9" i="2"/>
  <c r="FE9" i="2"/>
  <c r="DR9" i="2"/>
  <c r="DM9" i="2"/>
  <c r="DK9" i="2"/>
  <c r="DI9" i="2"/>
  <c r="CW9" i="2"/>
  <c r="CV9" i="2" s="1"/>
  <c r="CU9" i="2" s="1"/>
  <c r="CT9" i="2"/>
  <c r="CQ9" i="2"/>
  <c r="CM9" i="2"/>
  <c r="CI9" i="2"/>
  <c r="CF9" i="2"/>
  <c r="CA9" i="2"/>
  <c r="BT9" i="2"/>
  <c r="BS9" i="2"/>
  <c r="BD9" i="2"/>
  <c r="BC9" i="2"/>
  <c r="BB9" i="2"/>
  <c r="AZ9" i="2"/>
  <c r="BG9" i="2" s="1"/>
  <c r="AY9" i="2"/>
  <c r="AX9" i="2"/>
  <c r="AW9" i="2"/>
  <c r="AV9" i="2"/>
  <c r="AU9" i="2"/>
  <c r="AT9" i="2" s="1"/>
  <c r="AS9" i="2"/>
  <c r="AR9" i="2"/>
  <c r="CD9" i="2" s="1"/>
  <c r="AQ9" i="2"/>
  <c r="AP9" i="2"/>
  <c r="AN9" i="2"/>
  <c r="AO9" i="2" s="1"/>
  <c r="AK9" i="2"/>
  <c r="AJ9" i="2"/>
  <c r="AL9" i="2" s="1"/>
  <c r="AG9" i="2"/>
  <c r="AH9" i="2" s="1"/>
  <c r="AF9" i="2"/>
  <c r="CJ9" i="2" s="1"/>
  <c r="AC9" i="2"/>
  <c r="AB9" i="2"/>
  <c r="Z9" i="2"/>
  <c r="Y9" i="2"/>
  <c r="X9" i="2" s="1"/>
  <c r="W9" i="2"/>
  <c r="V9" i="2"/>
  <c r="U9" i="2"/>
  <c r="T9" i="2"/>
  <c r="BQ9" i="2" s="1"/>
  <c r="S9" i="2"/>
  <c r="R9" i="2"/>
  <c r="GE9" i="2" s="1"/>
  <c r="N9" i="2"/>
  <c r="BP9" i="2" s="1"/>
  <c r="M9" i="2"/>
  <c r="GJ8" i="2"/>
  <c r="GF8" i="2"/>
  <c r="FN8" i="2"/>
  <c r="FL8" i="2"/>
  <c r="FK8" i="2"/>
  <c r="FJ8" i="2"/>
  <c r="FD8" i="2" s="1"/>
  <c r="FI8" i="2"/>
  <c r="FH8" i="2"/>
  <c r="FF8" i="2"/>
  <c r="FE8" i="2"/>
  <c r="DR8" i="2"/>
  <c r="DM8" i="2"/>
  <c r="DK8" i="2"/>
  <c r="DI8" i="2"/>
  <c r="CW8" i="2"/>
  <c r="CT8" i="2"/>
  <c r="CQ8" i="2"/>
  <c r="CM8" i="2"/>
  <c r="CI8" i="2"/>
  <c r="CA8" i="2"/>
  <c r="BG8" i="2"/>
  <c r="BD8" i="2"/>
  <c r="BC8" i="2"/>
  <c r="BB8" i="2"/>
  <c r="AZ8" i="2"/>
  <c r="AY8" i="2"/>
  <c r="AX8" i="2"/>
  <c r="AW8" i="2"/>
  <c r="AV8" i="2"/>
  <c r="AU8" i="2"/>
  <c r="AR8" i="2"/>
  <c r="AP8" i="2"/>
  <c r="CU8" i="2" s="1"/>
  <c r="AN8" i="2"/>
  <c r="CR8" i="2" s="1"/>
  <c r="AK8" i="2"/>
  <c r="AJ8" i="2"/>
  <c r="AH8" i="2"/>
  <c r="CL8" i="2" s="1"/>
  <c r="CK8" i="2" s="1"/>
  <c r="CJ8" i="2" s="1"/>
  <c r="AG8" i="2"/>
  <c r="AF8" i="2"/>
  <c r="AI8" i="2" s="1"/>
  <c r="AC8" i="2"/>
  <c r="AD8" i="2" s="1"/>
  <c r="AB8" i="2"/>
  <c r="CF8" i="2" s="1"/>
  <c r="Z8" i="2"/>
  <c r="Y8" i="2"/>
  <c r="W8" i="2"/>
  <c r="W37" i="2" s="1"/>
  <c r="V8" i="2"/>
  <c r="U8" i="2"/>
  <c r="T8" i="2"/>
  <c r="AA8" i="2" s="1"/>
  <c r="S8" i="2"/>
  <c r="R8" i="2"/>
  <c r="GE8" i="2" s="1"/>
  <c r="N8" i="2"/>
  <c r="BU8" i="2" s="1"/>
  <c r="M8" i="2"/>
  <c r="FN7" i="2"/>
  <c r="FL7" i="2"/>
  <c r="FK7" i="2"/>
  <c r="FJ7" i="2"/>
  <c r="FI7" i="2"/>
  <c r="FH7" i="2"/>
  <c r="FF7" i="2"/>
  <c r="FD7" i="2" s="1"/>
  <c r="FE7" i="2"/>
  <c r="DR7" i="2"/>
  <c r="DM7" i="2"/>
  <c r="DK7" i="2"/>
  <c r="DI7" i="2"/>
  <c r="CW7" i="2"/>
  <c r="CT7" i="2"/>
  <c r="CQ7" i="2"/>
  <c r="CM7" i="2"/>
  <c r="CI7" i="2"/>
  <c r="CH7" i="2"/>
  <c r="CG7" i="2"/>
  <c r="CF7" i="2"/>
  <c r="CD7" i="2"/>
  <c r="CA7" i="2"/>
  <c r="BS7" i="2"/>
  <c r="BD7" i="2"/>
  <c r="BC7" i="2"/>
  <c r="BB7" i="2"/>
  <c r="AZ7" i="2"/>
  <c r="BG7" i="2" s="1"/>
  <c r="AY7" i="2"/>
  <c r="AX7" i="2" s="1"/>
  <c r="AW7" i="2"/>
  <c r="AU7" i="2"/>
  <c r="AT7" i="2"/>
  <c r="AS7" i="2"/>
  <c r="AR7" i="2"/>
  <c r="AQ7" i="2"/>
  <c r="AP7" i="2"/>
  <c r="AN7" i="2"/>
  <c r="AO7" i="2" s="1"/>
  <c r="AK7" i="2"/>
  <c r="CO7" i="2" s="1"/>
  <c r="CN7" i="2" s="1"/>
  <c r="AJ7" i="2"/>
  <c r="AL7" i="2" s="1"/>
  <c r="AG7" i="2"/>
  <c r="AH7" i="2" s="1"/>
  <c r="AI7" i="2" s="1"/>
  <c r="AF7" i="2"/>
  <c r="AC7" i="2"/>
  <c r="AB7" i="2"/>
  <c r="AD7" i="2" s="1"/>
  <c r="Z7" i="2"/>
  <c r="GJ7" i="2" s="1"/>
  <c r="Y7" i="2"/>
  <c r="X7" i="2"/>
  <c r="V7" i="2"/>
  <c r="U7" i="2"/>
  <c r="T7" i="2"/>
  <c r="GF7" i="2" s="1"/>
  <c r="S7" i="2"/>
  <c r="AA7" i="2" s="1"/>
  <c r="R7" i="2"/>
  <c r="GE7" i="2" s="1"/>
  <c r="N7" i="2"/>
  <c r="BQ7" i="2" s="1"/>
  <c r="M7" i="2"/>
  <c r="GL6" i="2"/>
  <c r="FN6" i="2"/>
  <c r="FL6" i="2"/>
  <c r="FK6" i="2"/>
  <c r="FJ6" i="2"/>
  <c r="FI6" i="2"/>
  <c r="FH6" i="2"/>
  <c r="FF6" i="2"/>
  <c r="FD6" i="2" s="1"/>
  <c r="FE6" i="2"/>
  <c r="DR6" i="2"/>
  <c r="DM6" i="2"/>
  <c r="DK6" i="2"/>
  <c r="DI6" i="2"/>
  <c r="CW6" i="2"/>
  <c r="CV6" i="2"/>
  <c r="CU6" i="2"/>
  <c r="CT6" i="2"/>
  <c r="CS6" i="2"/>
  <c r="CR6" i="2"/>
  <c r="CQ6" i="2"/>
  <c r="CM6" i="2"/>
  <c r="CL6" i="2"/>
  <c r="CK6" i="2"/>
  <c r="CJ6" i="2"/>
  <c r="CI6" i="2"/>
  <c r="CH6" i="2"/>
  <c r="CG6" i="2"/>
  <c r="CF6" i="2"/>
  <c r="CA6" i="2"/>
  <c r="BD6" i="2"/>
  <c r="BD37" i="2" s="1"/>
  <c r="BC6" i="2"/>
  <c r="BC37" i="2" s="1"/>
  <c r="BB6" i="2"/>
  <c r="BB37" i="2" s="1"/>
  <c r="AZ6" i="2"/>
  <c r="AY6" i="2"/>
  <c r="AW6" i="2"/>
  <c r="AU6" i="2"/>
  <c r="AU37" i="2" s="1"/>
  <c r="AT6" i="2"/>
  <c r="AR6" i="2"/>
  <c r="AP6" i="2"/>
  <c r="AN6" i="2"/>
  <c r="AN37" i="2" s="1"/>
  <c r="AK6" i="2"/>
  <c r="AK37" i="2" s="1"/>
  <c r="AJ6" i="2"/>
  <c r="AG6" i="2"/>
  <c r="AF6" i="2"/>
  <c r="AC6" i="2"/>
  <c r="AD6" i="2" s="1"/>
  <c r="AB6" i="2"/>
  <c r="Z6" i="2"/>
  <c r="Z37" i="2" s="1"/>
  <c r="Y6" i="2"/>
  <c r="V6" i="2"/>
  <c r="U6" i="2"/>
  <c r="U37" i="2" s="1"/>
  <c r="T6" i="2"/>
  <c r="GF6" i="2" s="1"/>
  <c r="S6" i="2"/>
  <c r="R6" i="2"/>
  <c r="N6" i="2"/>
  <c r="N37" i="2" s="1"/>
  <c r="M6" i="2"/>
  <c r="FN5" i="2"/>
  <c r="FD5" i="2"/>
  <c r="FN56" i="1"/>
  <c r="FL56" i="1"/>
  <c r="FJ56" i="1"/>
  <c r="FI56" i="1"/>
  <c r="FH56" i="1"/>
  <c r="FG56" i="1"/>
  <c r="FF56" i="1"/>
  <c r="FN55" i="1"/>
  <c r="L41" i="1"/>
  <c r="K41" i="1"/>
  <c r="J41" i="1"/>
  <c r="I41" i="1"/>
  <c r="H41" i="1"/>
  <c r="G41" i="1"/>
  <c r="F41" i="1"/>
  <c r="GI37" i="1"/>
  <c r="GH37" i="1"/>
  <c r="GG37" i="1"/>
  <c r="GF37" i="1"/>
  <c r="GE37" i="1"/>
  <c r="GD37" i="1"/>
  <c r="GC37" i="1"/>
  <c r="GA37" i="1"/>
  <c r="FZ37" i="1"/>
  <c r="DR37" i="1"/>
  <c r="DQ37" i="1" s="1"/>
  <c r="DM37" i="1"/>
  <c r="DK37" i="1"/>
  <c r="DI37" i="1"/>
  <c r="CW37" i="1"/>
  <c r="CT37" i="1"/>
  <c r="CQ37" i="1"/>
  <c r="CM37" i="1"/>
  <c r="CI37" i="1"/>
  <c r="CA37" i="1"/>
  <c r="BF37" i="1"/>
  <c r="BE37" i="1"/>
  <c r="BA37" i="1"/>
  <c r="Q37" i="1"/>
  <c r="L37" i="1"/>
  <c r="K37" i="1"/>
  <c r="J37" i="1"/>
  <c r="I37" i="1"/>
  <c r="H37" i="1"/>
  <c r="G37" i="1"/>
  <c r="F37" i="1"/>
  <c r="E37" i="1"/>
  <c r="D37" i="1"/>
  <c r="GJ36" i="1"/>
  <c r="FN36" i="1"/>
  <c r="DM36" i="1"/>
  <c r="DK36" i="1"/>
  <c r="DI36" i="1"/>
  <c r="CW36" i="1"/>
  <c r="CV36" i="1"/>
  <c r="CU36" i="1"/>
  <c r="CT36" i="1"/>
  <c r="CS36" i="1"/>
  <c r="CR36" i="1"/>
  <c r="CQ36" i="1"/>
  <c r="CP36" i="1"/>
  <c r="CO36" i="1"/>
  <c r="CN36" i="1"/>
  <c r="CM36" i="1"/>
  <c r="CL36" i="1"/>
  <c r="CK36" i="1"/>
  <c r="CJ36" i="1"/>
  <c r="CI36" i="1"/>
  <c r="CH36" i="1"/>
  <c r="CG36" i="1"/>
  <c r="CF36" i="1"/>
  <c r="CD36" i="1"/>
  <c r="CA36" i="1"/>
  <c r="BT36" i="1"/>
  <c r="BS36" i="1"/>
  <c r="BR36" i="1"/>
  <c r="BI36" i="1"/>
  <c r="BD36" i="1"/>
  <c r="BC36" i="1"/>
  <c r="BG36" i="1" s="1"/>
  <c r="BB36" i="1"/>
  <c r="AZ36" i="1"/>
  <c r="AY36" i="1"/>
  <c r="AX36" i="1"/>
  <c r="AW36" i="1"/>
  <c r="AV36" i="1"/>
  <c r="AU36" i="1"/>
  <c r="AR36" i="1"/>
  <c r="AP36" i="1"/>
  <c r="AN36" i="1"/>
  <c r="AM36" i="1" s="1"/>
  <c r="AL36" i="1"/>
  <c r="AK36" i="1"/>
  <c r="AJ36" i="1"/>
  <c r="AG36" i="1"/>
  <c r="AF36" i="1"/>
  <c r="AE36" i="1" s="1"/>
  <c r="AC36" i="1"/>
  <c r="AB36" i="1"/>
  <c r="AD36" i="1" s="1"/>
  <c r="Z36" i="1"/>
  <c r="Y36" i="1"/>
  <c r="X36" i="1" s="1"/>
  <c r="W36" i="1"/>
  <c r="V36" i="1"/>
  <c r="U36" i="1"/>
  <c r="T36" i="1"/>
  <c r="S36" i="1"/>
  <c r="R36" i="1"/>
  <c r="AA36" i="1" s="1"/>
  <c r="N36" i="1"/>
  <c r="BO36" i="1" s="1"/>
  <c r="M36" i="1"/>
  <c r="GJ35" i="1"/>
  <c r="FN35" i="1"/>
  <c r="BL35" i="1" s="1"/>
  <c r="FD35" i="1"/>
  <c r="DR35" i="1"/>
  <c r="DM35" i="1"/>
  <c r="DK35" i="1"/>
  <c r="DI35" i="1"/>
  <c r="CW35" i="1"/>
  <c r="CV35" i="1"/>
  <c r="CU35" i="1"/>
  <c r="CT35" i="1"/>
  <c r="CS35" i="1"/>
  <c r="CR35" i="1"/>
  <c r="CQ35" i="1"/>
  <c r="CP35" i="1"/>
  <c r="CO35" i="1"/>
  <c r="CN35" i="1"/>
  <c r="CM35" i="1"/>
  <c r="CL35" i="1"/>
  <c r="CK35" i="1"/>
  <c r="CJ35" i="1"/>
  <c r="CI35" i="1"/>
  <c r="CH35" i="1"/>
  <c r="CG35" i="1"/>
  <c r="CF35" i="1"/>
  <c r="CA35" i="1"/>
  <c r="BU35" i="1"/>
  <c r="BQ35" i="1"/>
  <c r="BP35" i="1"/>
  <c r="BO35" i="1"/>
  <c r="BI35" i="1"/>
  <c r="BD35" i="1"/>
  <c r="BC35" i="1"/>
  <c r="BB35" i="1"/>
  <c r="BG35" i="1" s="1"/>
  <c r="AZ35" i="1"/>
  <c r="AY35" i="1"/>
  <c r="AX35" i="1"/>
  <c r="AW35" i="1"/>
  <c r="AV35" i="1"/>
  <c r="AU35" i="1"/>
  <c r="AR35" i="1"/>
  <c r="AT35" i="1" s="1"/>
  <c r="AP35" i="1"/>
  <c r="AN35" i="1"/>
  <c r="AM35" i="1" s="1"/>
  <c r="AL35" i="1"/>
  <c r="AK35" i="1"/>
  <c r="AJ35" i="1"/>
  <c r="AG35" i="1"/>
  <c r="AF35" i="1"/>
  <c r="AE35" i="1" s="1"/>
  <c r="AC35" i="1"/>
  <c r="AB35" i="1"/>
  <c r="AD35" i="1" s="1"/>
  <c r="Z35" i="1"/>
  <c r="Y35" i="1"/>
  <c r="X35" i="1" s="1"/>
  <c r="W35" i="1"/>
  <c r="V35" i="1"/>
  <c r="U35" i="1"/>
  <c r="T35" i="1"/>
  <c r="S35" i="1"/>
  <c r="R35" i="1"/>
  <c r="AA35" i="1" s="1"/>
  <c r="N35" i="1"/>
  <c r="BS35" i="1" s="1"/>
  <c r="M35" i="1"/>
  <c r="GJ34" i="1"/>
  <c r="FN34" i="1"/>
  <c r="FD34" i="1"/>
  <c r="BL34" i="1" s="1"/>
  <c r="DR34" i="1"/>
  <c r="DM34" i="1"/>
  <c r="DK34" i="1"/>
  <c r="DI34" i="1"/>
  <c r="CW34" i="1"/>
  <c r="CV34" i="1"/>
  <c r="CU34" i="1"/>
  <c r="CT34" i="1"/>
  <c r="CS34" i="1"/>
  <c r="CR34" i="1"/>
  <c r="CQ34" i="1"/>
  <c r="CP34" i="1"/>
  <c r="CO34" i="1"/>
  <c r="CN34" i="1"/>
  <c r="CM34" i="1"/>
  <c r="CL34" i="1"/>
  <c r="CK34" i="1"/>
  <c r="CJ34" i="1"/>
  <c r="CI34" i="1"/>
  <c r="CH34" i="1"/>
  <c r="CG34" i="1"/>
  <c r="CF34" i="1"/>
  <c r="CA34" i="1"/>
  <c r="BU34" i="1"/>
  <c r="BT34" i="1"/>
  <c r="BS34" i="1"/>
  <c r="BI34" i="1"/>
  <c r="BD34" i="1"/>
  <c r="BC34" i="1"/>
  <c r="BB34" i="1"/>
  <c r="AZ34" i="1"/>
  <c r="BG34" i="1" s="1"/>
  <c r="AY34" i="1"/>
  <c r="AX34" i="1"/>
  <c r="AW34" i="1"/>
  <c r="AV34" i="1"/>
  <c r="AU34" i="1"/>
  <c r="AT34" i="1"/>
  <c r="AS34" i="1"/>
  <c r="AR34" i="1"/>
  <c r="AQ34" i="1" s="1"/>
  <c r="AP34" i="1"/>
  <c r="AN34" i="1"/>
  <c r="AK34" i="1"/>
  <c r="AJ34" i="1"/>
  <c r="AI34" i="1" s="1"/>
  <c r="AH34" i="1"/>
  <c r="AG34" i="1"/>
  <c r="AF34" i="1"/>
  <c r="AE34" i="1"/>
  <c r="AC34" i="1"/>
  <c r="AD34" i="1" s="1"/>
  <c r="AB34" i="1"/>
  <c r="Z34" i="1"/>
  <c r="Y34" i="1"/>
  <c r="W34" i="1"/>
  <c r="V34" i="1"/>
  <c r="U34" i="1"/>
  <c r="T34" i="1"/>
  <c r="S34" i="1"/>
  <c r="R34" i="1"/>
  <c r="AA34" i="1" s="1"/>
  <c r="O34" i="1"/>
  <c r="DJ34" i="1" s="1"/>
  <c r="N34" i="1"/>
  <c r="BQ34" i="1" s="1"/>
  <c r="BP34" i="1" s="1"/>
  <c r="M34" i="1"/>
  <c r="GJ33" i="1"/>
  <c r="FN33" i="1"/>
  <c r="FD33" i="1"/>
  <c r="BL33" i="1" s="1"/>
  <c r="DR33" i="1"/>
  <c r="DM33" i="1"/>
  <c r="DK33" i="1"/>
  <c r="DI33" i="1"/>
  <c r="CW33" i="1"/>
  <c r="CV33" i="1"/>
  <c r="CU33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A33" i="1"/>
  <c r="BU33" i="1"/>
  <c r="BT33" i="1"/>
  <c r="BS33" i="1"/>
  <c r="BI33" i="1"/>
  <c r="BG33" i="1"/>
  <c r="BD33" i="1"/>
  <c r="BC33" i="1"/>
  <c r="BB33" i="1"/>
  <c r="AZ33" i="1"/>
  <c r="AY33" i="1"/>
  <c r="AX33" i="1"/>
  <c r="AW33" i="1"/>
  <c r="AV33" i="1"/>
  <c r="AU33" i="1"/>
  <c r="AR33" i="1"/>
  <c r="AQ33" i="1" s="1"/>
  <c r="AP33" i="1"/>
  <c r="AO33" i="1" s="1"/>
  <c r="AN33" i="1"/>
  <c r="AK33" i="1"/>
  <c r="AJ33" i="1"/>
  <c r="AL33" i="1" s="1"/>
  <c r="AI33" i="1"/>
  <c r="AH33" i="1"/>
  <c r="AG33" i="1"/>
  <c r="AF33" i="1"/>
  <c r="AE33" i="1"/>
  <c r="AC33" i="1"/>
  <c r="AD33" i="1" s="1"/>
  <c r="AB33" i="1"/>
  <c r="Z33" i="1"/>
  <c r="Y33" i="1"/>
  <c r="W33" i="1"/>
  <c r="V33" i="1"/>
  <c r="U33" i="1"/>
  <c r="T33" i="1"/>
  <c r="S33" i="1"/>
  <c r="R33" i="1"/>
  <c r="AA33" i="1" s="1"/>
  <c r="O33" i="1"/>
  <c r="DP33" i="1" s="1"/>
  <c r="N33" i="1"/>
  <c r="BP33" i="1" s="1"/>
  <c r="M33" i="1"/>
  <c r="GJ32" i="1"/>
  <c r="FN32" i="1"/>
  <c r="FD32" i="1"/>
  <c r="DM32" i="1"/>
  <c r="DK32" i="1"/>
  <c r="DI32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A32" i="1"/>
  <c r="BU32" i="1"/>
  <c r="BT32" i="1"/>
  <c r="BS32" i="1"/>
  <c r="BO32" i="1"/>
  <c r="BL32" i="1"/>
  <c r="BI32" i="1"/>
  <c r="BH32" i="1" s="1"/>
  <c r="BD32" i="1"/>
  <c r="BC32" i="1"/>
  <c r="BB32" i="1"/>
  <c r="AZ32" i="1"/>
  <c r="BG32" i="1" s="1"/>
  <c r="AY32" i="1"/>
  <c r="AX32" i="1"/>
  <c r="AW32" i="1"/>
  <c r="AV32" i="1"/>
  <c r="AU32" i="1"/>
  <c r="AR32" i="1"/>
  <c r="AQ32" i="1" s="1"/>
  <c r="AP32" i="1"/>
  <c r="AN32" i="1"/>
  <c r="AK32" i="1"/>
  <c r="AJ32" i="1"/>
  <c r="AM32" i="1" s="1"/>
  <c r="AG32" i="1"/>
  <c r="AF32" i="1"/>
  <c r="AH32" i="1" s="1"/>
  <c r="AE32" i="1"/>
  <c r="AD32" i="1"/>
  <c r="AC32" i="1"/>
  <c r="AB32" i="1"/>
  <c r="Z32" i="1"/>
  <c r="Y32" i="1"/>
  <c r="X32" i="1" s="1"/>
  <c r="W32" i="1"/>
  <c r="V32" i="1"/>
  <c r="U32" i="1"/>
  <c r="T32" i="1"/>
  <c r="S32" i="1"/>
  <c r="R32" i="1"/>
  <c r="AA32" i="1" s="1"/>
  <c r="N32" i="1"/>
  <c r="BQ32" i="1" s="1"/>
  <c r="M32" i="1"/>
  <c r="GJ31" i="1"/>
  <c r="FN31" i="1"/>
  <c r="FD31" i="1"/>
  <c r="BL31" i="1" s="1"/>
  <c r="DR31" i="1"/>
  <c r="DM31" i="1"/>
  <c r="DK31" i="1"/>
  <c r="DI31" i="1"/>
  <c r="CW31" i="1"/>
  <c r="CV31" i="1"/>
  <c r="CU31" i="1"/>
  <c r="CT31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A31" i="1"/>
  <c r="BS31" i="1"/>
  <c r="BI31" i="1"/>
  <c r="BG31" i="1"/>
  <c r="BD31" i="1"/>
  <c r="BC31" i="1"/>
  <c r="BB31" i="1"/>
  <c r="AZ31" i="1"/>
  <c r="AY31" i="1"/>
  <c r="AX31" i="1"/>
  <c r="AW31" i="1"/>
  <c r="AV31" i="1"/>
  <c r="AU31" i="1"/>
  <c r="AR31" i="1"/>
  <c r="AQ31" i="1" s="1"/>
  <c r="AP31" i="1"/>
  <c r="AO31" i="1" s="1"/>
  <c r="AN31" i="1"/>
  <c r="AK31" i="1"/>
  <c r="AJ31" i="1"/>
  <c r="AI31" i="1" s="1"/>
  <c r="AH31" i="1"/>
  <c r="AG31" i="1"/>
  <c r="AF31" i="1"/>
  <c r="AC31" i="1"/>
  <c r="AB31" i="1"/>
  <c r="AD31" i="1" s="1"/>
  <c r="Z31" i="1"/>
  <c r="Y31" i="1"/>
  <c r="W31" i="1"/>
  <c r="V31" i="1"/>
  <c r="U31" i="1"/>
  <c r="T31" i="1"/>
  <c r="AA31" i="1" s="1"/>
  <c r="S31" i="1"/>
  <c r="R31" i="1"/>
  <c r="N31" i="1"/>
  <c r="BQ31" i="1" s="1"/>
  <c r="M31" i="1"/>
  <c r="GJ30" i="1"/>
  <c r="FN30" i="1"/>
  <c r="FD30" i="1"/>
  <c r="DR30" i="1"/>
  <c r="DM30" i="1"/>
  <c r="DK30" i="1"/>
  <c r="DI30" i="1"/>
  <c r="CW30" i="1"/>
  <c r="CV30" i="1"/>
  <c r="CU30" i="1"/>
  <c r="CT30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D30" i="1"/>
  <c r="CA30" i="1"/>
  <c r="BR30" i="1"/>
  <c r="BQ30" i="1"/>
  <c r="BL30" i="1"/>
  <c r="BI30" i="1"/>
  <c r="BH30" i="1" s="1"/>
  <c r="BD30" i="1"/>
  <c r="BC30" i="1"/>
  <c r="BG30" i="1" s="1"/>
  <c r="BB30" i="1"/>
  <c r="AZ30" i="1"/>
  <c r="AY30" i="1"/>
  <c r="AX30" i="1"/>
  <c r="AW30" i="1"/>
  <c r="AV30" i="1"/>
  <c r="AU30" i="1"/>
  <c r="AR30" i="1"/>
  <c r="AP30" i="1"/>
  <c r="AN30" i="1"/>
  <c r="AM30" i="1"/>
  <c r="AK30" i="1"/>
  <c r="AJ30" i="1"/>
  <c r="AL30" i="1" s="1"/>
  <c r="AI30" i="1"/>
  <c r="AG30" i="1"/>
  <c r="AH30" i="1" s="1"/>
  <c r="AF30" i="1"/>
  <c r="AC30" i="1"/>
  <c r="AB30" i="1"/>
  <c r="AD30" i="1" s="1"/>
  <c r="Z30" i="1"/>
  <c r="Y30" i="1"/>
  <c r="W30" i="1"/>
  <c r="V30" i="1"/>
  <c r="U30" i="1"/>
  <c r="T30" i="1"/>
  <c r="S30" i="1"/>
  <c r="AA30" i="1" s="1"/>
  <c r="R30" i="1"/>
  <c r="N30" i="1"/>
  <c r="BU30" i="1" s="1"/>
  <c r="M30" i="1"/>
  <c r="GJ29" i="1"/>
  <c r="FN29" i="1"/>
  <c r="FD29" i="1"/>
  <c r="DR29" i="1"/>
  <c r="DM29" i="1"/>
  <c r="DK29" i="1"/>
  <c r="DI29" i="1"/>
  <c r="CW29" i="1"/>
  <c r="CV29" i="1"/>
  <c r="CU29" i="1"/>
  <c r="CT29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A29" i="1"/>
  <c r="BL29" i="1"/>
  <c r="BI29" i="1"/>
  <c r="BH29" i="1"/>
  <c r="BG29" i="1"/>
  <c r="BD29" i="1"/>
  <c r="BC29" i="1"/>
  <c r="BB29" i="1"/>
  <c r="AZ29" i="1"/>
  <c r="AY29" i="1"/>
  <c r="AX29" i="1"/>
  <c r="AW29" i="1"/>
  <c r="AV29" i="1"/>
  <c r="AU29" i="1"/>
  <c r="AR29" i="1"/>
  <c r="AP29" i="1"/>
  <c r="AO29" i="1" s="1"/>
  <c r="AN29" i="1"/>
  <c r="AK29" i="1"/>
  <c r="AJ29" i="1"/>
  <c r="AM29" i="1" s="1"/>
  <c r="AI29" i="1"/>
  <c r="AG29" i="1"/>
  <c r="AF29" i="1"/>
  <c r="AH29" i="1" s="1"/>
  <c r="AE29" i="1"/>
  <c r="AC29" i="1"/>
  <c r="AD29" i="1" s="1"/>
  <c r="AB29" i="1"/>
  <c r="Z29" i="1"/>
  <c r="Y29" i="1"/>
  <c r="W29" i="1"/>
  <c r="V29" i="1"/>
  <c r="U29" i="1"/>
  <c r="T29" i="1"/>
  <c r="S29" i="1"/>
  <c r="R29" i="1"/>
  <c r="AA29" i="1" s="1"/>
  <c r="N29" i="1"/>
  <c r="BU29" i="1" s="1"/>
  <c r="M29" i="1"/>
  <c r="GJ28" i="1"/>
  <c r="FN28" i="1"/>
  <c r="FD28" i="1"/>
  <c r="BL28" i="1" s="1"/>
  <c r="DR28" i="1"/>
  <c r="DM28" i="1"/>
  <c r="DK28" i="1"/>
  <c r="DI28" i="1"/>
  <c r="CW28" i="1"/>
  <c r="CV28" i="1"/>
  <c r="CU28" i="1"/>
  <c r="CT28" i="1"/>
  <c r="CS28" i="1"/>
  <c r="CR28" i="1"/>
  <c r="CQ28" i="1"/>
  <c r="CP28" i="1"/>
  <c r="CO28" i="1"/>
  <c r="CN28" i="1"/>
  <c r="CM28" i="1"/>
  <c r="CL28" i="1"/>
  <c r="CK28" i="1"/>
  <c r="CJ28" i="1"/>
  <c r="CI28" i="1"/>
  <c r="CH28" i="1"/>
  <c r="CG28" i="1"/>
  <c r="CF28" i="1"/>
  <c r="CD28" i="1"/>
  <c r="CA28" i="1"/>
  <c r="BI28" i="1"/>
  <c r="BG28" i="1"/>
  <c r="BD28" i="1"/>
  <c r="BC28" i="1"/>
  <c r="BB28" i="1"/>
  <c r="AZ28" i="1"/>
  <c r="AY28" i="1"/>
  <c r="AX28" i="1"/>
  <c r="AW28" i="1"/>
  <c r="AV28" i="1"/>
  <c r="AU28" i="1"/>
  <c r="AR28" i="1"/>
  <c r="AP28" i="1"/>
  <c r="AO28" i="1" s="1"/>
  <c r="AN28" i="1"/>
  <c r="AK28" i="1"/>
  <c r="AJ28" i="1"/>
  <c r="AL28" i="1" s="1"/>
  <c r="AI28" i="1"/>
  <c r="AH28" i="1"/>
  <c r="AG28" i="1"/>
  <c r="AF28" i="1"/>
  <c r="AC28" i="1"/>
  <c r="AB28" i="1"/>
  <c r="AE28" i="1" s="1"/>
  <c r="Z28" i="1"/>
  <c r="Y28" i="1"/>
  <c r="W28" i="1"/>
  <c r="V28" i="1"/>
  <c r="U28" i="1"/>
  <c r="T28" i="1"/>
  <c r="S28" i="1"/>
  <c r="R28" i="1"/>
  <c r="AA28" i="1" s="1"/>
  <c r="N28" i="1"/>
  <c r="BO28" i="1" s="1"/>
  <c r="M28" i="1"/>
  <c r="GJ27" i="1"/>
  <c r="FN27" i="1"/>
  <c r="FD27" i="1"/>
  <c r="DR27" i="1"/>
  <c r="DM27" i="1"/>
  <c r="DK27" i="1"/>
  <c r="DI27" i="1"/>
  <c r="CW27" i="1"/>
  <c r="CV27" i="1"/>
  <c r="CU27" i="1"/>
  <c r="CT27" i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CA27" i="1"/>
  <c r="BL27" i="1"/>
  <c r="BI27" i="1"/>
  <c r="BH27" i="1" s="1"/>
  <c r="BG27" i="1"/>
  <c r="BD27" i="1"/>
  <c r="BC27" i="1"/>
  <c r="BB27" i="1"/>
  <c r="AZ27" i="1"/>
  <c r="AY27" i="1"/>
  <c r="AX27" i="1"/>
  <c r="AW27" i="1"/>
  <c r="AV27" i="1"/>
  <c r="AU27" i="1"/>
  <c r="AR27" i="1"/>
  <c r="CD27" i="1" s="1"/>
  <c r="AP27" i="1"/>
  <c r="AO27" i="1" s="1"/>
  <c r="AN27" i="1"/>
  <c r="AK27" i="1"/>
  <c r="AJ27" i="1"/>
  <c r="AM27" i="1" s="1"/>
  <c r="AI27" i="1"/>
  <c r="AG27" i="1"/>
  <c r="AF27" i="1"/>
  <c r="AH27" i="1" s="1"/>
  <c r="AC27" i="1"/>
  <c r="AB27" i="1"/>
  <c r="AD27" i="1" s="1"/>
  <c r="Z27" i="1"/>
  <c r="Y27" i="1"/>
  <c r="W27" i="1"/>
  <c r="V27" i="1"/>
  <c r="U27" i="1"/>
  <c r="T27" i="1"/>
  <c r="S27" i="1"/>
  <c r="R27" i="1"/>
  <c r="AA27" i="1" s="1"/>
  <c r="N27" i="1"/>
  <c r="BQ27" i="1" s="1"/>
  <c r="M27" i="1"/>
  <c r="GJ26" i="1"/>
  <c r="FN26" i="1"/>
  <c r="FD26" i="1"/>
  <c r="BL26" i="1" s="1"/>
  <c r="DR26" i="1"/>
  <c r="DM26" i="1"/>
  <c r="DK26" i="1"/>
  <c r="DI26" i="1"/>
  <c r="CW26" i="1"/>
  <c r="CV26" i="1"/>
  <c r="CU26" i="1"/>
  <c r="CT26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A26" i="1"/>
  <c r="BI26" i="1"/>
  <c r="BG26" i="1"/>
  <c r="BD26" i="1"/>
  <c r="BC26" i="1"/>
  <c r="BB26" i="1"/>
  <c r="AZ26" i="1"/>
  <c r="AY26" i="1"/>
  <c r="AX26" i="1"/>
  <c r="AW26" i="1"/>
  <c r="AV26" i="1"/>
  <c r="AU26" i="1"/>
  <c r="AR26" i="1"/>
  <c r="AP26" i="1"/>
  <c r="AO26" i="1" s="1"/>
  <c r="AN26" i="1"/>
  <c r="AK26" i="1"/>
  <c r="AJ26" i="1"/>
  <c r="AI26" i="1" s="1"/>
  <c r="AH26" i="1"/>
  <c r="AG26" i="1"/>
  <c r="AF26" i="1"/>
  <c r="AC26" i="1"/>
  <c r="AB26" i="1"/>
  <c r="Z26" i="1"/>
  <c r="Y26" i="1"/>
  <c r="W26" i="1"/>
  <c r="V26" i="1"/>
  <c r="U26" i="1"/>
  <c r="T26" i="1"/>
  <c r="S26" i="1"/>
  <c r="R26" i="1"/>
  <c r="N26" i="1"/>
  <c r="M26" i="1"/>
  <c r="GJ25" i="1"/>
  <c r="FN25" i="1"/>
  <c r="FD25" i="1"/>
  <c r="BL25" i="1" s="1"/>
  <c r="DR25" i="1"/>
  <c r="DM25" i="1"/>
  <c r="DK25" i="1"/>
  <c r="DI25" i="1"/>
  <c r="CW25" i="1"/>
  <c r="CV25" i="1"/>
  <c r="CU25" i="1"/>
  <c r="CT25" i="1"/>
  <c r="CS25" i="1"/>
  <c r="CR25" i="1"/>
  <c r="CQ25" i="1"/>
  <c r="CP25" i="1"/>
  <c r="CO25" i="1"/>
  <c r="CN25" i="1"/>
  <c r="CM25" i="1"/>
  <c r="CL25" i="1"/>
  <c r="CK25" i="1"/>
  <c r="CJ25" i="1"/>
  <c r="CI25" i="1"/>
  <c r="CH25" i="1"/>
  <c r="CG25" i="1"/>
  <c r="CF25" i="1"/>
  <c r="CA25" i="1"/>
  <c r="BR25" i="1"/>
  <c r="BI25" i="1"/>
  <c r="BG25" i="1"/>
  <c r="BD25" i="1"/>
  <c r="BC25" i="1"/>
  <c r="BB25" i="1"/>
  <c r="AZ25" i="1"/>
  <c r="AY25" i="1"/>
  <c r="AX25" i="1"/>
  <c r="AW25" i="1"/>
  <c r="AV25" i="1"/>
  <c r="AU25" i="1"/>
  <c r="AR25" i="1"/>
  <c r="AP25" i="1"/>
  <c r="AO25" i="1" s="1"/>
  <c r="AN25" i="1"/>
  <c r="AK25" i="1"/>
  <c r="AJ25" i="1"/>
  <c r="AL25" i="1" s="1"/>
  <c r="AI25" i="1"/>
  <c r="AH25" i="1"/>
  <c r="AG25" i="1"/>
  <c r="AF25" i="1"/>
  <c r="AC25" i="1"/>
  <c r="AB25" i="1"/>
  <c r="Z25" i="1"/>
  <c r="Y25" i="1"/>
  <c r="W25" i="1"/>
  <c r="V25" i="1"/>
  <c r="U25" i="1"/>
  <c r="T25" i="1"/>
  <c r="S25" i="1"/>
  <c r="R25" i="1"/>
  <c r="N25" i="1"/>
  <c r="M25" i="1"/>
  <c r="GJ24" i="1"/>
  <c r="FN24" i="1"/>
  <c r="FD24" i="1"/>
  <c r="BL24" i="1" s="1"/>
  <c r="DR24" i="1"/>
  <c r="DM24" i="1"/>
  <c r="DK24" i="1"/>
  <c r="DI24" i="1"/>
  <c r="CW24" i="1"/>
  <c r="CV24" i="1"/>
  <c r="CU24" i="1"/>
  <c r="CT24" i="1"/>
  <c r="CS24" i="1"/>
  <c r="CR24" i="1"/>
  <c r="CQ24" i="1"/>
  <c r="CP24" i="1"/>
  <c r="CO24" i="1"/>
  <c r="CN24" i="1"/>
  <c r="CM24" i="1"/>
  <c r="CL24" i="1"/>
  <c r="CK24" i="1"/>
  <c r="CJ24" i="1"/>
  <c r="CI24" i="1"/>
  <c r="CH24" i="1"/>
  <c r="CG24" i="1"/>
  <c r="CF24" i="1"/>
  <c r="CD24" i="1"/>
  <c r="CA24" i="1"/>
  <c r="BR24" i="1"/>
  <c r="BI24" i="1"/>
  <c r="BG24" i="1"/>
  <c r="BD24" i="1"/>
  <c r="BC24" i="1"/>
  <c r="BB24" i="1"/>
  <c r="AZ24" i="1"/>
  <c r="AY24" i="1"/>
  <c r="AX24" i="1"/>
  <c r="AW24" i="1"/>
  <c r="AV24" i="1"/>
  <c r="AU24" i="1"/>
  <c r="AR24" i="1"/>
  <c r="AP24" i="1"/>
  <c r="AN24" i="1"/>
  <c r="AK24" i="1"/>
  <c r="AJ24" i="1"/>
  <c r="AI24" i="1" s="1"/>
  <c r="AG24" i="1"/>
  <c r="AH24" i="1" s="1"/>
  <c r="AF24" i="1"/>
  <c r="AC24" i="1"/>
  <c r="AB24" i="1"/>
  <c r="AE24" i="1" s="1"/>
  <c r="Z24" i="1"/>
  <c r="Y24" i="1"/>
  <c r="W24" i="1"/>
  <c r="V24" i="1"/>
  <c r="U24" i="1"/>
  <c r="T24" i="1"/>
  <c r="AA24" i="1" s="1"/>
  <c r="S24" i="1"/>
  <c r="R24" i="1"/>
  <c r="N24" i="1"/>
  <c r="BP24" i="1" s="1"/>
  <c r="BO24" i="1" s="1"/>
  <c r="M24" i="1"/>
  <c r="GJ23" i="1"/>
  <c r="FN23" i="1"/>
  <c r="FM23" i="1"/>
  <c r="FL23" i="1" s="1"/>
  <c r="FK23" i="1"/>
  <c r="FJ23" i="1" s="1"/>
  <c r="FI23" i="1" s="1"/>
  <c r="FH23" i="1" s="1"/>
  <c r="FG23" i="1" s="1"/>
  <c r="FF23" i="1" s="1"/>
  <c r="FE23" i="1"/>
  <c r="FD23" i="1"/>
  <c r="DR23" i="1"/>
  <c r="DM23" i="1"/>
  <c r="DK23" i="1"/>
  <c r="DI23" i="1"/>
  <c r="CW23" i="1"/>
  <c r="CT23" i="1"/>
  <c r="CQ23" i="1"/>
  <c r="CM23" i="1"/>
  <c r="CI23" i="1"/>
  <c r="CA23" i="1"/>
  <c r="BD23" i="1"/>
  <c r="BC23" i="1"/>
  <c r="BB23" i="1"/>
  <c r="BG23" i="1" s="1"/>
  <c r="AZ23" i="1"/>
  <c r="AY23" i="1"/>
  <c r="AX23" i="1"/>
  <c r="AW23" i="1"/>
  <c r="AS23" i="1" s="1"/>
  <c r="CE23" i="1" s="1"/>
  <c r="CD23" i="1" s="1"/>
  <c r="AV23" i="1"/>
  <c r="AU23" i="1"/>
  <c r="AR23" i="1"/>
  <c r="AT23" i="1" s="1"/>
  <c r="AP23" i="1"/>
  <c r="AQ23" i="1" s="1"/>
  <c r="AO23" i="1"/>
  <c r="AN23" i="1"/>
  <c r="AK23" i="1"/>
  <c r="AJ23" i="1"/>
  <c r="AI23" i="1"/>
  <c r="AG23" i="1"/>
  <c r="AF23" i="1"/>
  <c r="AH23" i="1" s="1"/>
  <c r="AC23" i="1"/>
  <c r="AD23" i="1" s="1"/>
  <c r="AE23" i="1" s="1"/>
  <c r="AB23" i="1"/>
  <c r="Z23" i="1"/>
  <c r="Y23" i="1"/>
  <c r="W23" i="1"/>
  <c r="V23" i="1"/>
  <c r="U23" i="1"/>
  <c r="T23" i="1"/>
  <c r="S23" i="1"/>
  <c r="R23" i="1"/>
  <c r="AA23" i="1" s="1"/>
  <c r="N23" i="1"/>
  <c r="M23" i="1"/>
  <c r="GJ22" i="1"/>
  <c r="FN22" i="1"/>
  <c r="FM22" i="1"/>
  <c r="FL22" i="1"/>
  <c r="FK22" i="1"/>
  <c r="FJ22" i="1"/>
  <c r="FH22" i="1"/>
  <c r="FG22" i="1"/>
  <c r="FF22" i="1"/>
  <c r="FE22" i="1"/>
  <c r="FD22" i="1"/>
  <c r="DR22" i="1"/>
  <c r="DM22" i="1"/>
  <c r="DK22" i="1"/>
  <c r="DI22" i="1"/>
  <c r="CW22" i="1"/>
  <c r="CT22" i="1"/>
  <c r="CQ22" i="1"/>
  <c r="CM22" i="1"/>
  <c r="CI22" i="1"/>
  <c r="CD22" i="1"/>
  <c r="CA22" i="1"/>
  <c r="BD22" i="1"/>
  <c r="BC22" i="1"/>
  <c r="BB22" i="1"/>
  <c r="AZ22" i="1"/>
  <c r="BG22" i="1" s="1"/>
  <c r="AY22" i="1"/>
  <c r="AX22" i="1"/>
  <c r="AW22" i="1"/>
  <c r="AV22" i="1"/>
  <c r="AU22" i="1"/>
  <c r="AT22" i="1" s="1"/>
  <c r="AR22" i="1"/>
  <c r="AQ22" i="1" s="1"/>
  <c r="AP22" i="1"/>
  <c r="AN22" i="1"/>
  <c r="CR22" i="1" s="1"/>
  <c r="AL22" i="1"/>
  <c r="AM22" i="1" s="1"/>
  <c r="AK22" i="1"/>
  <c r="AJ22" i="1"/>
  <c r="CN22" i="1" s="1"/>
  <c r="AG22" i="1"/>
  <c r="AF22" i="1"/>
  <c r="AC22" i="1"/>
  <c r="AB22" i="1"/>
  <c r="AD22" i="1" s="1"/>
  <c r="Z22" i="1"/>
  <c r="Y22" i="1"/>
  <c r="W22" i="1"/>
  <c r="V22" i="1"/>
  <c r="X22" i="1" s="1"/>
  <c r="U22" i="1"/>
  <c r="T22" i="1"/>
  <c r="S22" i="1"/>
  <c r="AA22" i="1" s="1"/>
  <c r="R22" i="1"/>
  <c r="N22" i="1"/>
  <c r="BT22" i="1" s="1"/>
  <c r="M22" i="1"/>
  <c r="GJ21" i="1"/>
  <c r="FN21" i="1"/>
  <c r="FM21" i="1"/>
  <c r="FL21" i="1"/>
  <c r="FK21" i="1"/>
  <c r="FJ21" i="1"/>
  <c r="FH21" i="1"/>
  <c r="FD21" i="1" s="1"/>
  <c r="FG21" i="1"/>
  <c r="FF21" i="1"/>
  <c r="FE21" i="1"/>
  <c r="DR21" i="1"/>
  <c r="DM21" i="1"/>
  <c r="DK21" i="1"/>
  <c r="DI21" i="1"/>
  <c r="DD21" i="1"/>
  <c r="DC21" i="1"/>
  <c r="CY21" i="1"/>
  <c r="CX21" i="1"/>
  <c r="CW21" i="1"/>
  <c r="CV21" i="1" s="1"/>
  <c r="CU21" i="1" s="1"/>
  <c r="CT21" i="1"/>
  <c r="CQ21" i="1"/>
  <c r="CM21" i="1"/>
  <c r="CI21" i="1"/>
  <c r="CA21" i="1"/>
  <c r="BY21" i="1"/>
  <c r="BT21" i="1"/>
  <c r="BR21" i="1"/>
  <c r="BG21" i="1"/>
  <c r="BD21" i="1"/>
  <c r="DE21" i="1" s="1"/>
  <c r="BC21" i="1"/>
  <c r="BB21" i="1"/>
  <c r="AZ21" i="1"/>
  <c r="AY21" i="1"/>
  <c r="AX21" i="1"/>
  <c r="AW21" i="1"/>
  <c r="AS21" i="1" s="1"/>
  <c r="AV21" i="1"/>
  <c r="AU21" i="1"/>
  <c r="AR21" i="1"/>
  <c r="AT21" i="1" s="1"/>
  <c r="AQ21" i="1"/>
  <c r="AP21" i="1"/>
  <c r="AO21" i="1"/>
  <c r="AN21" i="1"/>
  <c r="AK21" i="1"/>
  <c r="AL21" i="1" s="1"/>
  <c r="AM21" i="1" s="1"/>
  <c r="AJ21" i="1"/>
  <c r="AG21" i="1"/>
  <c r="AF21" i="1"/>
  <c r="AC21" i="1"/>
  <c r="CG21" i="1" s="1"/>
  <c r="CF21" i="1" s="1"/>
  <c r="CE21" i="1" s="1"/>
  <c r="CD21" i="1" s="1"/>
  <c r="AB21" i="1"/>
  <c r="Z21" i="1"/>
  <c r="Y21" i="1"/>
  <c r="W21" i="1"/>
  <c r="V21" i="1"/>
  <c r="U21" i="1"/>
  <c r="T21" i="1"/>
  <c r="S21" i="1"/>
  <c r="R21" i="1"/>
  <c r="AA21" i="1" s="1"/>
  <c r="BZ21" i="1" s="1"/>
  <c r="O21" i="1"/>
  <c r="N21" i="1"/>
  <c r="BP21" i="1" s="1"/>
  <c r="M21" i="1"/>
  <c r="GJ20" i="1"/>
  <c r="FN20" i="1"/>
  <c r="FM20" i="1"/>
  <c r="FL20" i="1"/>
  <c r="FK20" i="1"/>
  <c r="FJ20" i="1"/>
  <c r="FH20" i="1"/>
  <c r="FG20" i="1"/>
  <c r="FF20" i="1"/>
  <c r="FE20" i="1"/>
  <c r="FD20" i="1" s="1"/>
  <c r="DR20" i="1"/>
  <c r="DM20" i="1"/>
  <c r="DK20" i="1"/>
  <c r="DI20" i="1"/>
  <c r="DH20" i="1"/>
  <c r="DD20" i="1"/>
  <c r="DC20" i="1"/>
  <c r="DB20" i="1"/>
  <c r="CX20" i="1"/>
  <c r="CW20" i="1"/>
  <c r="CT20" i="1"/>
  <c r="CS20" i="1" s="1"/>
  <c r="CR20" i="1" s="1"/>
  <c r="CQ20" i="1"/>
  <c r="CM20" i="1"/>
  <c r="CL20" i="1"/>
  <c r="CK20" i="1"/>
  <c r="CJ20" i="1"/>
  <c r="CI20" i="1"/>
  <c r="CA20" i="1"/>
  <c r="BS20" i="1"/>
  <c r="BG20" i="1"/>
  <c r="BD20" i="1"/>
  <c r="BC20" i="1"/>
  <c r="BB20" i="1"/>
  <c r="AZ20" i="1"/>
  <c r="AY20" i="1"/>
  <c r="AX20" i="1"/>
  <c r="AW20" i="1"/>
  <c r="AV20" i="1"/>
  <c r="AU20" i="1"/>
  <c r="AR20" i="1"/>
  <c r="AP20" i="1"/>
  <c r="AQ20" i="1" s="1"/>
  <c r="AN20" i="1"/>
  <c r="AO20" i="1" s="1"/>
  <c r="AL20" i="1"/>
  <c r="AM20" i="1" s="1"/>
  <c r="AK20" i="1"/>
  <c r="AJ20" i="1"/>
  <c r="AG20" i="1"/>
  <c r="AF20" i="1"/>
  <c r="AD20" i="1"/>
  <c r="AC20" i="1"/>
  <c r="AB20" i="1"/>
  <c r="Z20" i="1"/>
  <c r="BT20" i="1" s="1"/>
  <c r="Y20" i="1"/>
  <c r="X20" i="1"/>
  <c r="W20" i="1"/>
  <c r="V20" i="1"/>
  <c r="U20" i="1"/>
  <c r="T20" i="1"/>
  <c r="S20" i="1"/>
  <c r="R20" i="1"/>
  <c r="O20" i="1"/>
  <c r="DF20" i="1" s="1"/>
  <c r="N20" i="1"/>
  <c r="BQ20" i="1" s="1"/>
  <c r="M20" i="1"/>
  <c r="GJ19" i="1"/>
  <c r="FN19" i="1"/>
  <c r="FM19" i="1"/>
  <c r="FL19" i="1"/>
  <c r="FK19" i="1"/>
  <c r="FJ19" i="1"/>
  <c r="FH19" i="1"/>
  <c r="FG19" i="1"/>
  <c r="FF19" i="1"/>
  <c r="FE19" i="1"/>
  <c r="DR19" i="1"/>
  <c r="DM19" i="1"/>
  <c r="DK19" i="1"/>
  <c r="DI19" i="1"/>
  <c r="CW19" i="1"/>
  <c r="CT19" i="1"/>
  <c r="CQ19" i="1"/>
  <c r="CP19" i="1"/>
  <c r="CO19" i="1" s="1"/>
  <c r="CN19" i="1" s="1"/>
  <c r="CM19" i="1"/>
  <c r="CI19" i="1"/>
  <c r="CA19" i="1"/>
  <c r="BQ19" i="1"/>
  <c r="BO19" i="1"/>
  <c r="BD19" i="1"/>
  <c r="BC19" i="1"/>
  <c r="BG19" i="1" s="1"/>
  <c r="BB19" i="1"/>
  <c r="AZ19" i="1"/>
  <c r="AY19" i="1"/>
  <c r="AX19" i="1"/>
  <c r="AW19" i="1"/>
  <c r="AV19" i="1"/>
  <c r="AU19" i="1"/>
  <c r="AR19" i="1"/>
  <c r="AT19" i="1" s="1"/>
  <c r="AP19" i="1"/>
  <c r="AQ19" i="1" s="1"/>
  <c r="AN19" i="1"/>
  <c r="AO19" i="1" s="1"/>
  <c r="AK19" i="1"/>
  <c r="AJ19" i="1"/>
  <c r="AL19" i="1" s="1"/>
  <c r="AG19" i="1"/>
  <c r="AF19" i="1"/>
  <c r="AH19" i="1" s="1"/>
  <c r="AI19" i="1" s="1"/>
  <c r="AC19" i="1"/>
  <c r="AB19" i="1"/>
  <c r="AD19" i="1" s="1"/>
  <c r="Z19" i="1"/>
  <c r="Y19" i="1"/>
  <c r="W19" i="1"/>
  <c r="V19" i="1"/>
  <c r="U19" i="1"/>
  <c r="T19" i="1"/>
  <c r="S19" i="1"/>
  <c r="R19" i="1"/>
  <c r="AA19" i="1" s="1"/>
  <c r="N19" i="1"/>
  <c r="BS19" i="1" s="1"/>
  <c r="M19" i="1"/>
  <c r="GJ18" i="1"/>
  <c r="FN18" i="1"/>
  <c r="FM18" i="1"/>
  <c r="FL18" i="1"/>
  <c r="FK18" i="1"/>
  <c r="FJ18" i="1"/>
  <c r="FH18" i="1"/>
  <c r="FG18" i="1"/>
  <c r="FF18" i="1"/>
  <c r="FE18" i="1"/>
  <c r="DR18" i="1"/>
  <c r="DM18" i="1"/>
  <c r="DK18" i="1"/>
  <c r="DI18" i="1"/>
  <c r="CW18" i="1"/>
  <c r="CT18" i="1"/>
  <c r="CQ18" i="1"/>
  <c r="CM18" i="1"/>
  <c r="CI18" i="1"/>
  <c r="CD18" i="1"/>
  <c r="CA18" i="1"/>
  <c r="BQ18" i="1"/>
  <c r="BD18" i="1"/>
  <c r="BC18" i="1"/>
  <c r="BG18" i="1" s="1"/>
  <c r="BB18" i="1"/>
  <c r="AZ18" i="1"/>
  <c r="AY18" i="1"/>
  <c r="AX18" i="1"/>
  <c r="AW18" i="1"/>
  <c r="AV18" i="1"/>
  <c r="AU18" i="1"/>
  <c r="AR18" i="1"/>
  <c r="AT18" i="1" s="1"/>
  <c r="AP18" i="1"/>
  <c r="AN18" i="1"/>
  <c r="CR18" i="1" s="1"/>
  <c r="AK18" i="1"/>
  <c r="AJ18" i="1"/>
  <c r="AH18" i="1"/>
  <c r="CL18" i="1" s="1"/>
  <c r="AG18" i="1"/>
  <c r="CK18" i="1" s="1"/>
  <c r="CJ18" i="1" s="1"/>
  <c r="AF18" i="1"/>
  <c r="AC18" i="1"/>
  <c r="AB18" i="1"/>
  <c r="AD18" i="1" s="1"/>
  <c r="Z18" i="1"/>
  <c r="Y18" i="1"/>
  <c r="W18" i="1"/>
  <c r="V18" i="1"/>
  <c r="X18" i="1" s="1"/>
  <c r="U18" i="1"/>
  <c r="AA18" i="1" s="1"/>
  <c r="T18" i="1"/>
  <c r="S18" i="1"/>
  <c r="R18" i="1"/>
  <c r="N18" i="1"/>
  <c r="M18" i="1"/>
  <c r="GJ17" i="1"/>
  <c r="FN17" i="1"/>
  <c r="FM17" i="1"/>
  <c r="FL17" i="1"/>
  <c r="FK17" i="1"/>
  <c r="FJ17" i="1"/>
  <c r="FH17" i="1"/>
  <c r="FG17" i="1"/>
  <c r="FF17" i="1"/>
  <c r="FE17" i="1"/>
  <c r="FD17" i="1"/>
  <c r="DR17" i="1"/>
  <c r="DM17" i="1"/>
  <c r="DK17" i="1"/>
  <c r="DI17" i="1"/>
  <c r="CW17" i="1"/>
  <c r="CT17" i="1"/>
  <c r="CQ17" i="1"/>
  <c r="CM17" i="1"/>
  <c r="CI17" i="1"/>
  <c r="CA17" i="1"/>
  <c r="BT17" i="1"/>
  <c r="BD17" i="1"/>
  <c r="BC17" i="1"/>
  <c r="BB17" i="1"/>
  <c r="AZ17" i="1"/>
  <c r="BG17" i="1" s="1"/>
  <c r="AY17" i="1"/>
  <c r="AX17" i="1"/>
  <c r="AW17" i="1"/>
  <c r="AV17" i="1"/>
  <c r="AU17" i="1"/>
  <c r="AT17" i="1"/>
  <c r="AS17" i="1"/>
  <c r="AR17" i="1"/>
  <c r="AP17" i="1"/>
  <c r="AN17" i="1"/>
  <c r="CR17" i="1" s="1"/>
  <c r="AL17" i="1"/>
  <c r="AM17" i="1" s="1"/>
  <c r="AK17" i="1"/>
  <c r="AJ17" i="1"/>
  <c r="AG17" i="1"/>
  <c r="AF17" i="1"/>
  <c r="AC17" i="1"/>
  <c r="AB17" i="1"/>
  <c r="AD17" i="1" s="1"/>
  <c r="Z17" i="1"/>
  <c r="Y17" i="1"/>
  <c r="W17" i="1"/>
  <c r="V17" i="1"/>
  <c r="X17" i="1" s="1"/>
  <c r="U17" i="1"/>
  <c r="T17" i="1"/>
  <c r="S17" i="1"/>
  <c r="AA17" i="1" s="1"/>
  <c r="R17" i="1"/>
  <c r="N17" i="1"/>
  <c r="BR17" i="1" s="1"/>
  <c r="M17" i="1"/>
  <c r="GJ16" i="1"/>
  <c r="FN16" i="1"/>
  <c r="FM16" i="1"/>
  <c r="FL16" i="1"/>
  <c r="FK16" i="1"/>
  <c r="FJ16" i="1"/>
  <c r="FH16" i="1"/>
  <c r="FD16" i="1" s="1"/>
  <c r="FG16" i="1"/>
  <c r="FF16" i="1"/>
  <c r="FE16" i="1"/>
  <c r="DM16" i="1"/>
  <c r="DK16" i="1"/>
  <c r="DI16" i="1"/>
  <c r="CW16" i="1"/>
  <c r="CU16" i="1"/>
  <c r="CT16" i="1"/>
  <c r="CS16" i="1" s="1"/>
  <c r="CQ16" i="1"/>
  <c r="CM16" i="1"/>
  <c r="CJ16" i="1"/>
  <c r="CI16" i="1"/>
  <c r="CH16" i="1"/>
  <c r="CG16" i="1"/>
  <c r="CF16" i="1"/>
  <c r="CA16" i="1"/>
  <c r="BS16" i="1"/>
  <c r="BO16" i="1"/>
  <c r="BD16" i="1"/>
  <c r="BC16" i="1"/>
  <c r="BB16" i="1"/>
  <c r="AZ16" i="1"/>
  <c r="BG16" i="1" s="1"/>
  <c r="AY16" i="1"/>
  <c r="AX16" i="1"/>
  <c r="AW16" i="1"/>
  <c r="AV16" i="1"/>
  <c r="AU16" i="1"/>
  <c r="AT16" i="1"/>
  <c r="AS16" i="1"/>
  <c r="AR16" i="1"/>
  <c r="AP16" i="1"/>
  <c r="AO16" i="1" s="1"/>
  <c r="AN16" i="1"/>
  <c r="CR16" i="1" s="1"/>
  <c r="AK16" i="1"/>
  <c r="AL16" i="1" s="1"/>
  <c r="AM16" i="1" s="1"/>
  <c r="AJ16" i="1"/>
  <c r="AG16" i="1"/>
  <c r="AF16" i="1"/>
  <c r="AD16" i="1"/>
  <c r="AC16" i="1"/>
  <c r="AB16" i="1"/>
  <c r="Z16" i="1"/>
  <c r="BT16" i="1" s="1"/>
  <c r="Y16" i="1"/>
  <c r="X16" i="1" s="1"/>
  <c r="W16" i="1"/>
  <c r="V16" i="1"/>
  <c r="U16" i="1"/>
  <c r="T16" i="1"/>
  <c r="S16" i="1"/>
  <c r="R16" i="1"/>
  <c r="AA16" i="1" s="1"/>
  <c r="N16" i="1"/>
  <c r="BQ16" i="1" s="1"/>
  <c r="M16" i="1"/>
  <c r="GJ15" i="1"/>
  <c r="FN15" i="1"/>
  <c r="FM15" i="1"/>
  <c r="FL15" i="1"/>
  <c r="FK15" i="1"/>
  <c r="FJ15" i="1"/>
  <c r="FG15" i="1"/>
  <c r="FF15" i="1"/>
  <c r="FE15" i="1"/>
  <c r="FD15" i="1"/>
  <c r="DR15" i="1"/>
  <c r="DM15" i="1"/>
  <c r="DK15" i="1"/>
  <c r="DI15" i="1"/>
  <c r="CW15" i="1"/>
  <c r="CV15" i="1" s="1"/>
  <c r="CU15" i="1" s="1"/>
  <c r="CT15" i="1"/>
  <c r="CQ15" i="1"/>
  <c r="CM15" i="1"/>
  <c r="CJ15" i="1"/>
  <c r="CI15" i="1"/>
  <c r="CH15" i="1"/>
  <c r="CG15" i="1"/>
  <c r="CF15" i="1"/>
  <c r="CD15" i="1"/>
  <c r="CB15" i="1"/>
  <c r="CA15" i="1"/>
  <c r="BW15" i="1"/>
  <c r="BT15" i="1"/>
  <c r="BP15" i="1"/>
  <c r="BD15" i="1"/>
  <c r="BC15" i="1"/>
  <c r="BB15" i="1"/>
  <c r="DC15" i="1" s="1"/>
  <c r="AZ15" i="1"/>
  <c r="AY15" i="1"/>
  <c r="AX15" i="1"/>
  <c r="AW15" i="1"/>
  <c r="AV15" i="1"/>
  <c r="AU15" i="1"/>
  <c r="AT15" i="1" s="1"/>
  <c r="AR15" i="1"/>
  <c r="AP15" i="1"/>
  <c r="AQ15" i="1" s="1"/>
  <c r="AN15" i="1"/>
  <c r="AO15" i="1" s="1"/>
  <c r="AK15" i="1"/>
  <c r="AJ15" i="1"/>
  <c r="AH15" i="1"/>
  <c r="AI15" i="1" s="1"/>
  <c r="AG15" i="1"/>
  <c r="AF15" i="1"/>
  <c r="AC15" i="1"/>
  <c r="AB15" i="1"/>
  <c r="AD15" i="1" s="1"/>
  <c r="Z15" i="1"/>
  <c r="Y15" i="1"/>
  <c r="W15" i="1"/>
  <c r="V15" i="1"/>
  <c r="U15" i="1"/>
  <c r="T15" i="1"/>
  <c r="AA15" i="1" s="1"/>
  <c r="S15" i="1"/>
  <c r="R15" i="1"/>
  <c r="O15" i="1"/>
  <c r="N15" i="1"/>
  <c r="BR15" i="1" s="1"/>
  <c r="M15" i="1"/>
  <c r="GJ14" i="1"/>
  <c r="FN14" i="1"/>
  <c r="FM14" i="1"/>
  <c r="FL14" i="1"/>
  <c r="FK14" i="1"/>
  <c r="FJ14" i="1"/>
  <c r="FH14" i="1"/>
  <c r="FG14" i="1"/>
  <c r="FF14" i="1"/>
  <c r="FE14" i="1"/>
  <c r="DR14" i="1"/>
  <c r="DM14" i="1"/>
  <c r="DK14" i="1"/>
  <c r="DI14" i="1"/>
  <c r="CW14" i="1"/>
  <c r="CT14" i="1"/>
  <c r="CQ14" i="1"/>
  <c r="CP14" i="1" s="1"/>
  <c r="CO14" i="1" s="1"/>
  <c r="CN14" i="1" s="1"/>
  <c r="CM14" i="1"/>
  <c r="CI14" i="1"/>
  <c r="CH14" i="1"/>
  <c r="CG14" i="1"/>
  <c r="CF14" i="1"/>
  <c r="CD14" i="1"/>
  <c r="CA14" i="1"/>
  <c r="BQ14" i="1"/>
  <c r="BD14" i="1"/>
  <c r="BC14" i="1"/>
  <c r="BB14" i="1"/>
  <c r="AZ14" i="1"/>
  <c r="BG14" i="1" s="1"/>
  <c r="AY14" i="1"/>
  <c r="AY37" i="1" s="1"/>
  <c r="AX14" i="1"/>
  <c r="AW14" i="1"/>
  <c r="AV14" i="1"/>
  <c r="AU14" i="1"/>
  <c r="AS14" i="1" s="1"/>
  <c r="AT14" i="1"/>
  <c r="AR14" i="1"/>
  <c r="AP14" i="1"/>
  <c r="CU14" i="1" s="1"/>
  <c r="AO14" i="1"/>
  <c r="AN14" i="1"/>
  <c r="AM14" i="1"/>
  <c r="AL14" i="1"/>
  <c r="AK14" i="1"/>
  <c r="AJ14" i="1"/>
  <c r="AG14" i="1"/>
  <c r="AH14" i="1" s="1"/>
  <c r="AI14" i="1" s="1"/>
  <c r="AF14" i="1"/>
  <c r="AC14" i="1"/>
  <c r="AB14" i="1"/>
  <c r="AD14" i="1" s="1"/>
  <c r="Z14" i="1"/>
  <c r="Y14" i="1"/>
  <c r="X14" i="1" s="1"/>
  <c r="W14" i="1"/>
  <c r="V14" i="1"/>
  <c r="U14" i="1"/>
  <c r="T14" i="1"/>
  <c r="S14" i="1"/>
  <c r="R14" i="1"/>
  <c r="N14" i="1"/>
  <c r="BO14" i="1" s="1"/>
  <c r="M14" i="1"/>
  <c r="GB13" i="1"/>
  <c r="FN13" i="1"/>
  <c r="FM13" i="1"/>
  <c r="FL13" i="1"/>
  <c r="FK13" i="1"/>
  <c r="FJ13" i="1"/>
  <c r="FH13" i="1"/>
  <c r="FD13" i="1" s="1"/>
  <c r="FG13" i="1"/>
  <c r="FF13" i="1"/>
  <c r="FE13" i="1"/>
  <c r="DR13" i="1"/>
  <c r="DM13" i="1"/>
  <c r="DK13" i="1"/>
  <c r="DI13" i="1"/>
  <c r="CZ13" i="1"/>
  <c r="CW13" i="1"/>
  <c r="CT13" i="1"/>
  <c r="CS13" i="1" s="1"/>
  <c r="CR13" i="1" s="1"/>
  <c r="CQ13" i="1"/>
  <c r="CM13" i="1"/>
  <c r="CI13" i="1"/>
  <c r="CH13" i="1"/>
  <c r="CG13" i="1"/>
  <c r="CF13" i="1"/>
  <c r="CA13" i="1"/>
  <c r="BT13" i="1"/>
  <c r="BR13" i="1"/>
  <c r="BD13" i="1"/>
  <c r="BC13" i="1"/>
  <c r="BB13" i="1"/>
  <c r="AZ13" i="1"/>
  <c r="BG13" i="1" s="1"/>
  <c r="AX13" i="1"/>
  <c r="AW13" i="1"/>
  <c r="AV13" i="1"/>
  <c r="AU13" i="1"/>
  <c r="AR13" i="1"/>
  <c r="AP13" i="1"/>
  <c r="AQ13" i="1" s="1"/>
  <c r="AO13" i="1"/>
  <c r="AN13" i="1"/>
  <c r="AK13" i="1"/>
  <c r="AJ13" i="1"/>
  <c r="AG13" i="1"/>
  <c r="AF13" i="1"/>
  <c r="AC13" i="1"/>
  <c r="AD13" i="1" s="1"/>
  <c r="AB13" i="1"/>
  <c r="Z13" i="1"/>
  <c r="Y13" i="1"/>
  <c r="W13" i="1"/>
  <c r="V13" i="1"/>
  <c r="U13" i="1"/>
  <c r="T13" i="1"/>
  <c r="S13" i="1"/>
  <c r="R13" i="1"/>
  <c r="AA13" i="1" s="1"/>
  <c r="O13" i="1"/>
  <c r="N13" i="1"/>
  <c r="BP13" i="1" s="1"/>
  <c r="M13" i="1"/>
  <c r="GJ12" i="1" s="1"/>
  <c r="GB12" i="1"/>
  <c r="FN12" i="1"/>
  <c r="FM12" i="1"/>
  <c r="FL12" i="1"/>
  <c r="FK12" i="1"/>
  <c r="FJ12" i="1"/>
  <c r="FH12" i="1"/>
  <c r="FG12" i="1"/>
  <c r="FF12" i="1"/>
  <c r="FE12" i="1"/>
  <c r="FD12" i="1" s="1"/>
  <c r="DR12" i="1"/>
  <c r="DM12" i="1"/>
  <c r="DK12" i="1"/>
  <c r="DI12" i="1"/>
  <c r="CW12" i="1"/>
  <c r="CU12" i="1"/>
  <c r="CT12" i="1"/>
  <c r="CS12" i="1"/>
  <c r="CR12" i="1"/>
  <c r="CQ12" i="1"/>
  <c r="CM12" i="1"/>
  <c r="CL12" i="1"/>
  <c r="CK12" i="1"/>
  <c r="CJ12" i="1"/>
  <c r="CI12" i="1"/>
  <c r="CH12" i="1"/>
  <c r="CG12" i="1"/>
  <c r="CF12" i="1"/>
  <c r="CA12" i="1"/>
  <c r="BT12" i="1"/>
  <c r="BR12" i="1"/>
  <c r="BD12" i="1"/>
  <c r="BC12" i="1"/>
  <c r="BB12" i="1"/>
  <c r="AZ12" i="1"/>
  <c r="AX12" i="1"/>
  <c r="AW12" i="1"/>
  <c r="AV12" i="1"/>
  <c r="AU12" i="1"/>
  <c r="AT12" i="1"/>
  <c r="AR12" i="1"/>
  <c r="AP12" i="1"/>
  <c r="AO12" i="1" s="1"/>
  <c r="AN12" i="1"/>
  <c r="AK12" i="1"/>
  <c r="AJ12" i="1"/>
  <c r="AH12" i="1"/>
  <c r="AG12" i="1"/>
  <c r="AF12" i="1"/>
  <c r="AC12" i="1"/>
  <c r="AB12" i="1"/>
  <c r="AD12" i="1" s="1"/>
  <c r="Z12" i="1"/>
  <c r="Y12" i="1"/>
  <c r="W12" i="1"/>
  <c r="V12" i="1"/>
  <c r="U12" i="1"/>
  <c r="T12" i="1"/>
  <c r="S12" i="1"/>
  <c r="R12" i="1"/>
  <c r="N12" i="1"/>
  <c r="BP12" i="1" s="1"/>
  <c r="M12" i="1"/>
  <c r="GJ11" i="1" s="1"/>
  <c r="GB11" i="1"/>
  <c r="FN11" i="1"/>
  <c r="FM11" i="1"/>
  <c r="FL11" i="1"/>
  <c r="FK11" i="1"/>
  <c r="FJ11" i="1"/>
  <c r="FH11" i="1"/>
  <c r="FG11" i="1"/>
  <c r="FF11" i="1"/>
  <c r="FE11" i="1"/>
  <c r="FD11" i="1" s="1"/>
  <c r="DR11" i="1"/>
  <c r="DM11" i="1"/>
  <c r="DK11" i="1"/>
  <c r="DI11" i="1"/>
  <c r="CW11" i="1"/>
  <c r="CT11" i="1"/>
  <c r="CQ11" i="1"/>
  <c r="CM11" i="1"/>
  <c r="CL11" i="1" s="1"/>
  <c r="CK11" i="1" s="1"/>
  <c r="CJ11" i="1" s="1"/>
  <c r="CI11" i="1"/>
  <c r="CA11" i="1"/>
  <c r="BG11" i="1"/>
  <c r="BD11" i="1"/>
  <c r="BC11" i="1"/>
  <c r="BB11" i="1"/>
  <c r="AZ11" i="1"/>
  <c r="AX11" i="1"/>
  <c r="AW11" i="1"/>
  <c r="AV11" i="1"/>
  <c r="AU11" i="1"/>
  <c r="AR11" i="1"/>
  <c r="AP11" i="1"/>
  <c r="CU11" i="1" s="1"/>
  <c r="AO11" i="1"/>
  <c r="AN11" i="1"/>
  <c r="AK11" i="1"/>
  <c r="AJ11" i="1"/>
  <c r="AI11" i="1"/>
  <c r="AH11" i="1"/>
  <c r="AG11" i="1"/>
  <c r="AF11" i="1"/>
  <c r="AD11" i="1"/>
  <c r="AC11" i="1"/>
  <c r="AB11" i="1"/>
  <c r="Z11" i="1"/>
  <c r="Y11" i="1"/>
  <c r="W11" i="1"/>
  <c r="V11" i="1"/>
  <c r="U11" i="1"/>
  <c r="T11" i="1"/>
  <c r="S11" i="1"/>
  <c r="R11" i="1"/>
  <c r="O11" i="1"/>
  <c r="DD11" i="1" s="1"/>
  <c r="N11" i="1"/>
  <c r="BS11" i="1" s="1"/>
  <c r="M11" i="1"/>
  <c r="GJ10" i="1" s="1"/>
  <c r="GB10" i="1"/>
  <c r="FN10" i="1"/>
  <c r="FM10" i="1"/>
  <c r="FL10" i="1"/>
  <c r="FK10" i="1"/>
  <c r="FJ10" i="1"/>
  <c r="FH10" i="1"/>
  <c r="FG10" i="1"/>
  <c r="FF10" i="1"/>
  <c r="FE10" i="1"/>
  <c r="FD10" i="1" s="1"/>
  <c r="DR10" i="1"/>
  <c r="DM10" i="1"/>
  <c r="DK10" i="1"/>
  <c r="DI10" i="1"/>
  <c r="CW10" i="1"/>
  <c r="CT10" i="1"/>
  <c r="CQ10" i="1"/>
  <c r="CM10" i="1"/>
  <c r="CI10" i="1"/>
  <c r="CD10" i="1"/>
  <c r="CA10" i="1"/>
  <c r="BO10" i="1"/>
  <c r="BD10" i="1"/>
  <c r="BC10" i="1"/>
  <c r="BB10" i="1"/>
  <c r="AZ10" i="1"/>
  <c r="AX10" i="1"/>
  <c r="AW10" i="1"/>
  <c r="AV10" i="1"/>
  <c r="AU10" i="1"/>
  <c r="AT10" i="1" s="1"/>
  <c r="AR10" i="1"/>
  <c r="AP10" i="1"/>
  <c r="AN10" i="1"/>
  <c r="CR10" i="1" s="1"/>
  <c r="AL10" i="1"/>
  <c r="AM10" i="1" s="1"/>
  <c r="AK10" i="1"/>
  <c r="AJ10" i="1"/>
  <c r="AG10" i="1"/>
  <c r="AH10" i="1" s="1"/>
  <c r="AF10" i="1"/>
  <c r="AD10" i="1"/>
  <c r="AC10" i="1"/>
  <c r="AB10" i="1"/>
  <c r="CF10" i="1" s="1"/>
  <c r="Z10" i="1"/>
  <c r="Y10" i="1"/>
  <c r="X10" i="1" s="1"/>
  <c r="W10" i="1"/>
  <c r="V10" i="1"/>
  <c r="U10" i="1"/>
  <c r="T10" i="1"/>
  <c r="BQ10" i="1" s="1"/>
  <c r="S10" i="1"/>
  <c r="BP10" i="1" s="1"/>
  <c r="R10" i="1"/>
  <c r="N10" i="1"/>
  <c r="BS10" i="1" s="1"/>
  <c r="M10" i="1"/>
  <c r="GJ9" i="1"/>
  <c r="FN9" i="1"/>
  <c r="BL9" i="1" s="1"/>
  <c r="FD9" i="1"/>
  <c r="DR9" i="1"/>
  <c r="DM9" i="1"/>
  <c r="DK9" i="1"/>
  <c r="DI9" i="1"/>
  <c r="CW9" i="1"/>
  <c r="CU9" i="1"/>
  <c r="CT9" i="1"/>
  <c r="CQ9" i="1"/>
  <c r="CM9" i="1"/>
  <c r="CI9" i="1"/>
  <c r="CD9" i="1"/>
  <c r="CA9" i="1"/>
  <c r="BS9" i="1"/>
  <c r="BG9" i="1"/>
  <c r="BD9" i="1"/>
  <c r="BC9" i="1"/>
  <c r="BB9" i="1"/>
  <c r="AZ9" i="1"/>
  <c r="AX9" i="1"/>
  <c r="AW9" i="1"/>
  <c r="AV9" i="1"/>
  <c r="AU9" i="1"/>
  <c r="AR9" i="1"/>
  <c r="AQ9" i="1" s="1"/>
  <c r="AP9" i="1"/>
  <c r="AN9" i="1"/>
  <c r="CR9" i="1" s="1"/>
  <c r="AK9" i="1"/>
  <c r="AJ9" i="1"/>
  <c r="AG9" i="1"/>
  <c r="AF9" i="1"/>
  <c r="AH9" i="1" s="1"/>
  <c r="AI9" i="1" s="1"/>
  <c r="AD9" i="1"/>
  <c r="AE9" i="1" s="1"/>
  <c r="AC9" i="1"/>
  <c r="AB9" i="1"/>
  <c r="Z9" i="1"/>
  <c r="Y9" i="1"/>
  <c r="W9" i="1"/>
  <c r="V9" i="1"/>
  <c r="BR9" i="1" s="1"/>
  <c r="U9" i="1"/>
  <c r="T9" i="1"/>
  <c r="S9" i="1"/>
  <c r="AA9" i="1" s="1"/>
  <c r="R9" i="1"/>
  <c r="O9" i="1"/>
  <c r="DB9" i="1" s="1"/>
  <c r="N9" i="1"/>
  <c r="M9" i="1"/>
  <c r="GJ8" i="1"/>
  <c r="FN8" i="1"/>
  <c r="FM8" i="1"/>
  <c r="FL8" i="1"/>
  <c r="FK8" i="1"/>
  <c r="FJ8" i="1"/>
  <c r="FI8" i="1"/>
  <c r="FH8" i="1"/>
  <c r="FG8" i="1"/>
  <c r="FF8" i="1"/>
  <c r="FD8" i="1" s="1"/>
  <c r="FE8" i="1"/>
  <c r="DR8" i="1"/>
  <c r="DM8" i="1"/>
  <c r="DK8" i="1"/>
  <c r="DI8" i="1"/>
  <c r="CW8" i="1"/>
  <c r="CT8" i="1"/>
  <c r="CS8" i="1"/>
  <c r="CR8" i="1"/>
  <c r="CQ8" i="1"/>
  <c r="CM8" i="1"/>
  <c r="CI8" i="1"/>
  <c r="CA8" i="1"/>
  <c r="BR8" i="1"/>
  <c r="BD8" i="1"/>
  <c r="BC8" i="1"/>
  <c r="BB8" i="1"/>
  <c r="BG8" i="1" s="1"/>
  <c r="AZ8" i="1"/>
  <c r="AX8" i="1"/>
  <c r="AW8" i="1"/>
  <c r="AV8" i="1"/>
  <c r="AU8" i="1"/>
  <c r="AT8" i="1"/>
  <c r="AR8" i="1"/>
  <c r="AP8" i="1"/>
  <c r="AO8" i="1" s="1"/>
  <c r="AN8" i="1"/>
  <c r="AM8" i="1"/>
  <c r="AL8" i="1"/>
  <c r="AK8" i="1"/>
  <c r="AJ8" i="1"/>
  <c r="AG8" i="1"/>
  <c r="AF8" i="1"/>
  <c r="CJ8" i="1" s="1"/>
  <c r="AC8" i="1"/>
  <c r="AB8" i="1"/>
  <c r="AD8" i="1" s="1"/>
  <c r="Z8" i="1"/>
  <c r="Y8" i="1"/>
  <c r="X8" i="1" s="1"/>
  <c r="W8" i="1"/>
  <c r="V8" i="1"/>
  <c r="U8" i="1"/>
  <c r="T8" i="1"/>
  <c r="S8" i="1"/>
  <c r="BP8" i="1" s="1"/>
  <c r="R8" i="1"/>
  <c r="AA8" i="1" s="1"/>
  <c r="N8" i="1"/>
  <c r="BQ8" i="1" s="1"/>
  <c r="M8" i="1"/>
  <c r="GJ7" i="1"/>
  <c r="FN7" i="1"/>
  <c r="FM7" i="1"/>
  <c r="FL7" i="1"/>
  <c r="FK7" i="1"/>
  <c r="FJ7" i="1"/>
  <c r="FI7" i="1"/>
  <c r="FH7" i="1"/>
  <c r="FG7" i="1"/>
  <c r="FD7" i="1" s="1"/>
  <c r="FF7" i="1"/>
  <c r="FE7" i="1"/>
  <c r="DR7" i="1"/>
  <c r="DM7" i="1"/>
  <c r="DK7" i="1"/>
  <c r="DI7" i="1"/>
  <c r="CW7" i="1"/>
  <c r="CT7" i="1"/>
  <c r="CS7" i="1"/>
  <c r="CR7" i="1"/>
  <c r="CQ7" i="1"/>
  <c r="CM7" i="1"/>
  <c r="CI7" i="1"/>
  <c r="CH7" i="1"/>
  <c r="CG7" i="1"/>
  <c r="CF7" i="1"/>
  <c r="CD7" i="1"/>
  <c r="CA7" i="1"/>
  <c r="BQ7" i="1"/>
  <c r="BP7" i="1"/>
  <c r="BD7" i="1"/>
  <c r="BC7" i="1"/>
  <c r="BB7" i="1"/>
  <c r="AZ7" i="1"/>
  <c r="AW7" i="1"/>
  <c r="AV7" i="1" s="1"/>
  <c r="AU7" i="1"/>
  <c r="AT7" i="1"/>
  <c r="AS7" i="1"/>
  <c r="AR7" i="1"/>
  <c r="AP7" i="1"/>
  <c r="AN7" i="1"/>
  <c r="AK7" i="1"/>
  <c r="AL7" i="1" s="1"/>
  <c r="AM7" i="1" s="1"/>
  <c r="AJ7" i="1"/>
  <c r="AG7" i="1"/>
  <c r="AF7" i="1"/>
  <c r="AD7" i="1"/>
  <c r="AC7" i="1"/>
  <c r="AB7" i="1"/>
  <c r="Z7" i="1"/>
  <c r="Y7" i="1"/>
  <c r="X7" i="1" s="1"/>
  <c r="W7" i="1"/>
  <c r="V7" i="1"/>
  <c r="U7" i="1"/>
  <c r="T7" i="1"/>
  <c r="S7" i="1"/>
  <c r="R7" i="1"/>
  <c r="AA7" i="1" s="1"/>
  <c r="N7" i="1"/>
  <c r="BR7" i="1" s="1"/>
  <c r="M7" i="1"/>
  <c r="GB6" i="1"/>
  <c r="GB37" i="1" s="1"/>
  <c r="FN6" i="1"/>
  <c r="FM6" i="1"/>
  <c r="FL6" i="1"/>
  <c r="FK6" i="1"/>
  <c r="FJ6" i="1"/>
  <c r="FI6" i="1"/>
  <c r="FH6" i="1"/>
  <c r="FG6" i="1"/>
  <c r="FF6" i="1"/>
  <c r="FE6" i="1"/>
  <c r="FD6" i="1" s="1"/>
  <c r="DR6" i="1"/>
  <c r="DM6" i="1"/>
  <c r="DK6" i="1"/>
  <c r="DI6" i="1"/>
  <c r="CW6" i="1"/>
  <c r="CT6" i="1"/>
  <c r="CS6" i="1"/>
  <c r="CR6" i="1"/>
  <c r="CQ6" i="1"/>
  <c r="CM6" i="1"/>
  <c r="CL6" i="1"/>
  <c r="CK6" i="1"/>
  <c r="CJ6" i="1"/>
  <c r="CI6" i="1"/>
  <c r="CH6" i="1"/>
  <c r="CG6" i="1"/>
  <c r="CF6" i="1"/>
  <c r="CA6" i="1"/>
  <c r="BT6" i="1"/>
  <c r="BS6" i="1"/>
  <c r="BP6" i="1"/>
  <c r="BD6" i="1"/>
  <c r="BC6" i="1"/>
  <c r="BB6" i="1"/>
  <c r="BB37" i="1" s="1"/>
  <c r="AZ6" i="1"/>
  <c r="AW6" i="1"/>
  <c r="AU6" i="1"/>
  <c r="AV6" i="1" s="1"/>
  <c r="AR6" i="1"/>
  <c r="AP6" i="1"/>
  <c r="AN6" i="1"/>
  <c r="AK6" i="1"/>
  <c r="AJ6" i="1"/>
  <c r="AJ37" i="1" s="1"/>
  <c r="AG6" i="1"/>
  <c r="AF6" i="1"/>
  <c r="AH6" i="1" s="1"/>
  <c r="AC6" i="1"/>
  <c r="AC37" i="1" s="1"/>
  <c r="AB6" i="1"/>
  <c r="Z6" i="1"/>
  <c r="Y6" i="1"/>
  <c r="X6" i="1"/>
  <c r="W6" i="1"/>
  <c r="W37" i="1" s="1"/>
  <c r="V6" i="1"/>
  <c r="U6" i="1"/>
  <c r="U37" i="1" s="1"/>
  <c r="T6" i="1"/>
  <c r="T37" i="1" s="1"/>
  <c r="S6" i="1"/>
  <c r="R6" i="1"/>
  <c r="R37" i="1" s="1"/>
  <c r="N6" i="1"/>
  <c r="N37" i="1" s="1"/>
  <c r="M6" i="1"/>
  <c r="M37" i="1" s="1"/>
  <c r="O8" i="36"/>
  <c r="DD8" i="36" s="1"/>
  <c r="O10" i="36"/>
  <c r="O15" i="36"/>
  <c r="CZ8" i="36"/>
  <c r="BY8" i="36"/>
  <c r="BX8" i="36"/>
  <c r="AI6" i="1" l="1"/>
  <c r="AX6" i="1"/>
  <c r="AX37" i="1" s="1"/>
  <c r="AZ37" i="1"/>
  <c r="AD6" i="1"/>
  <c r="Z37" i="1"/>
  <c r="BT37" i="1" s="1"/>
  <c r="AL6" i="1"/>
  <c r="BD37" i="1"/>
  <c r="BO37" i="1"/>
  <c r="BQ37" i="1"/>
  <c r="AA6" i="1"/>
  <c r="AG37" i="1"/>
  <c r="AM6" i="1"/>
  <c r="AN37" i="1"/>
  <c r="BG6" i="1"/>
  <c r="BG37" i="1" s="1"/>
  <c r="BQ6" i="1"/>
  <c r="CE6" i="1"/>
  <c r="CD6" i="1" s="1"/>
  <c r="AX7" i="1"/>
  <c r="BT7" i="1"/>
  <c r="AQ8" i="1"/>
  <c r="BS8" i="1"/>
  <c r="CU8" i="1"/>
  <c r="BZ9" i="1"/>
  <c r="DA9" i="1"/>
  <c r="AA10" i="1"/>
  <c r="BR11" i="1"/>
  <c r="CY11" i="1"/>
  <c r="DH13" i="1"/>
  <c r="CL15" i="1"/>
  <c r="CK15" i="1" s="1"/>
  <c r="X21" i="1"/>
  <c r="BS21" i="1"/>
  <c r="AA26" i="1"/>
  <c r="CR37" i="2"/>
  <c r="AM7" i="2"/>
  <c r="CP7" i="2"/>
  <c r="CP9" i="2"/>
  <c r="CO9" i="2" s="1"/>
  <c r="CN9" i="2" s="1"/>
  <c r="AM9" i="2"/>
  <c r="AO7" i="1"/>
  <c r="DC8" i="36"/>
  <c r="O6" i="1"/>
  <c r="V37" i="1"/>
  <c r="AB37" i="1"/>
  <c r="AO6" i="1"/>
  <c r="AO37" i="1" s="1"/>
  <c r="CS37" i="1" s="1"/>
  <c r="CR37" i="1" s="1"/>
  <c r="AP37" i="1"/>
  <c r="AW37" i="1"/>
  <c r="AV37" i="1" s="1"/>
  <c r="BR6" i="1"/>
  <c r="CU6" i="1"/>
  <c r="O7" i="1"/>
  <c r="AQ7" i="1"/>
  <c r="CV7" i="1" s="1"/>
  <c r="BO7" i="1"/>
  <c r="CU7" i="1"/>
  <c r="AS8" i="1"/>
  <c r="BT8" i="1"/>
  <c r="CV8" i="1"/>
  <c r="BO9" i="1"/>
  <c r="BT9" i="1"/>
  <c r="BP9" i="1"/>
  <c r="AO9" i="1"/>
  <c r="BQ9" i="1"/>
  <c r="BG10" i="1"/>
  <c r="AA11" i="1"/>
  <c r="AQ11" i="1"/>
  <c r="AT11" i="1"/>
  <c r="AS11" i="1"/>
  <c r="CZ11" i="1"/>
  <c r="AQ12" i="1"/>
  <c r="AS12" i="1"/>
  <c r="CE12" i="1" s="1"/>
  <c r="CD12" i="1" s="1"/>
  <c r="BG12" i="1"/>
  <c r="AE13" i="1"/>
  <c r="CJ13" i="1"/>
  <c r="AH13" i="1"/>
  <c r="AI13" i="1"/>
  <c r="AA14" i="1"/>
  <c r="FD14" i="1"/>
  <c r="DG15" i="1"/>
  <c r="DA15" i="1"/>
  <c r="BZ15" i="1"/>
  <c r="DF15" i="1"/>
  <c r="CZ15" i="1"/>
  <c r="BY15" i="1"/>
  <c r="BX15" i="1" s="1"/>
  <c r="DE15" i="1"/>
  <c r="CY15" i="1"/>
  <c r="DD15" i="1"/>
  <c r="CX15" i="1"/>
  <c r="BV15" i="1"/>
  <c r="BU15" i="1" s="1"/>
  <c r="DB15" i="1"/>
  <c r="BO18" i="1"/>
  <c r="BT18" i="1"/>
  <c r="BS18" i="1"/>
  <c r="BR18" i="1"/>
  <c r="O18" i="1"/>
  <c r="BP18" i="1"/>
  <c r="AO18" i="1"/>
  <c r="AQ18" i="1"/>
  <c r="FD19" i="1"/>
  <c r="BP25" i="1"/>
  <c r="BO25" i="1" s="1"/>
  <c r="BU25" i="1"/>
  <c r="BT25" i="1"/>
  <c r="BS25" i="1"/>
  <c r="O25" i="1"/>
  <c r="BQ25" i="1"/>
  <c r="BH28" i="1"/>
  <c r="BJ28" i="1" s="1"/>
  <c r="BJ34" i="1"/>
  <c r="BH34" i="1"/>
  <c r="GH7" i="2"/>
  <c r="GG7" i="2" s="1"/>
  <c r="CL31" i="2"/>
  <c r="AI31" i="2"/>
  <c r="CV6" i="1"/>
  <c r="AE8" i="1"/>
  <c r="BO8" i="1"/>
  <c r="CP8" i="1"/>
  <c r="CO8" i="1" s="1"/>
  <c r="CN8" i="1" s="1"/>
  <c r="DD9" i="1"/>
  <c r="CX9" i="1"/>
  <c r="CB9" i="1"/>
  <c r="BV9" i="1"/>
  <c r="BU9" i="1" s="1"/>
  <c r="DC9" i="1"/>
  <c r="DE9" i="1"/>
  <c r="CY9" i="1"/>
  <c r="BW9" i="1"/>
  <c r="CS9" i="1"/>
  <c r="DF9" i="1"/>
  <c r="AS10" i="1"/>
  <c r="CE10" i="1" s="1"/>
  <c r="BP11" i="1"/>
  <c r="BO11" i="1"/>
  <c r="BQ11" i="1"/>
  <c r="AL11" i="1"/>
  <c r="CP11" i="1" s="1"/>
  <c r="CO11" i="1" s="1"/>
  <c r="CN11" i="1" s="1"/>
  <c r="BT11" i="1"/>
  <c r="AA12" i="1"/>
  <c r="AI12" i="1"/>
  <c r="DD13" i="1"/>
  <c r="CX13" i="1"/>
  <c r="CC13" i="1"/>
  <c r="BW13" i="1"/>
  <c r="DC13" i="1"/>
  <c r="CB13" i="1"/>
  <c r="BV13" i="1"/>
  <c r="BU13" i="1" s="1"/>
  <c r="DG13" i="1"/>
  <c r="DA13" i="1"/>
  <c r="BZ13" i="1"/>
  <c r="DE13" i="1"/>
  <c r="CY13" i="1"/>
  <c r="BX13" i="1"/>
  <c r="AS15" i="1"/>
  <c r="CC15" i="1" s="1"/>
  <c r="BG15" i="1"/>
  <c r="DH15" i="1" s="1"/>
  <c r="AA20" i="1"/>
  <c r="BZ20" i="1" s="1"/>
  <c r="BV20" i="1"/>
  <c r="BU20" i="1" s="1"/>
  <c r="BO20" i="1"/>
  <c r="BR23" i="1"/>
  <c r="BQ23" i="1"/>
  <c r="BP23" i="1"/>
  <c r="BO23" i="1"/>
  <c r="BS23" i="1"/>
  <c r="BT23" i="1"/>
  <c r="AA25" i="1"/>
  <c r="AE26" i="1"/>
  <c r="AD26" i="1"/>
  <c r="AM18" i="2"/>
  <c r="CP18" i="2"/>
  <c r="CO18" i="2" s="1"/>
  <c r="CN18" i="2" s="1"/>
  <c r="AM23" i="2"/>
  <c r="CP27" i="2"/>
  <c r="CO27" i="2" s="1"/>
  <c r="CN27" i="2" s="1"/>
  <c r="AM27" i="2"/>
  <c r="FZ29" i="2"/>
  <c r="CK34" i="4"/>
  <c r="AQ6" i="1"/>
  <c r="AR37" i="1"/>
  <c r="AS6" i="1"/>
  <c r="AE7" i="1"/>
  <c r="CP7" i="1"/>
  <c r="CO7" i="1" s="1"/>
  <c r="CN7" i="1" s="1"/>
  <c r="CN9" i="1"/>
  <c r="AL9" i="1"/>
  <c r="AM9" i="1" s="1"/>
  <c r="CH9" i="1"/>
  <c r="CG9" i="1" s="1"/>
  <c r="CF9" i="1" s="1"/>
  <c r="CE9" i="1" s="1"/>
  <c r="DG9" i="1"/>
  <c r="DP9" i="1"/>
  <c r="DH11" i="1"/>
  <c r="DB11" i="1"/>
  <c r="CC11" i="1"/>
  <c r="BW11" i="1"/>
  <c r="DG11" i="1"/>
  <c r="DA11" i="1"/>
  <c r="CB11" i="1"/>
  <c r="BV11" i="1"/>
  <c r="BU11" i="1" s="1"/>
  <c r="DC11" i="1"/>
  <c r="CH11" i="1"/>
  <c r="CG11" i="1" s="1"/>
  <c r="CF11" i="1" s="1"/>
  <c r="CE11" i="1" s="1"/>
  <c r="CD11" i="1" s="1"/>
  <c r="BX11" i="1"/>
  <c r="BY11" i="1"/>
  <c r="DE11" i="1"/>
  <c r="X13" i="1"/>
  <c r="BS13" i="1"/>
  <c r="AS13" i="1"/>
  <c r="CE13" i="1" s="1"/>
  <c r="CD13" i="1"/>
  <c r="CL17" i="1"/>
  <c r="CK17" i="1" s="1"/>
  <c r="CB20" i="1"/>
  <c r="AT20" i="1"/>
  <c r="AS20" i="1"/>
  <c r="FZ8" i="2"/>
  <c r="AM31" i="2"/>
  <c r="S37" i="1"/>
  <c r="Y37" i="1"/>
  <c r="BS37" i="1" s="1"/>
  <c r="AK37" i="1"/>
  <c r="AT6" i="1"/>
  <c r="BC37" i="1"/>
  <c r="BO6" i="1"/>
  <c r="GJ6" i="1"/>
  <c r="BG7" i="1"/>
  <c r="CE7" i="1"/>
  <c r="AH8" i="1"/>
  <c r="CL8" i="1" s="1"/>
  <c r="CK8" i="1" s="1"/>
  <c r="X9" i="1"/>
  <c r="X37" i="1" s="1"/>
  <c r="BX9" i="1"/>
  <c r="DH9" i="1"/>
  <c r="AE10" i="1"/>
  <c r="AI10" i="1"/>
  <c r="CL10" i="1"/>
  <c r="CK10" i="1" s="1"/>
  <c r="CJ10" i="1" s="1"/>
  <c r="BZ11" i="1"/>
  <c r="DF11" i="1"/>
  <c r="AL12" i="1"/>
  <c r="CP12" i="1" s="1"/>
  <c r="CO12" i="1" s="1"/>
  <c r="CN12" i="1" s="1"/>
  <c r="BY13" i="1"/>
  <c r="DB13" i="1"/>
  <c r="AL15" i="1"/>
  <c r="CP15" i="1" s="1"/>
  <c r="CO15" i="1" s="1"/>
  <c r="CN15" i="1" s="1"/>
  <c r="AM15" i="1"/>
  <c r="AE17" i="1"/>
  <c r="AH17" i="1"/>
  <c r="AI17" i="1" s="1"/>
  <c r="CJ17" i="1"/>
  <c r="FD18" i="1"/>
  <c r="BP22" i="1"/>
  <c r="AM23" i="1"/>
  <c r="AE25" i="1"/>
  <c r="AD25" i="1"/>
  <c r="BJ33" i="1"/>
  <c r="BT37" i="2"/>
  <c r="BR37" i="2"/>
  <c r="CG12" i="2"/>
  <c r="CF12" i="2" s="1"/>
  <c r="AD12" i="2"/>
  <c r="AE12" i="2" s="1"/>
  <c r="CH22" i="2"/>
  <c r="CG22" i="2" s="1"/>
  <c r="CF22" i="2" s="1"/>
  <c r="CE22" i="2" s="1"/>
  <c r="AE22" i="2"/>
  <c r="AF37" i="1"/>
  <c r="AU37" i="1"/>
  <c r="AH7" i="1"/>
  <c r="AH37" i="1" s="1"/>
  <c r="CL37" i="1" s="1"/>
  <c r="CK37" i="1" s="1"/>
  <c r="CJ37" i="1" s="1"/>
  <c r="BS7" i="1"/>
  <c r="BY9" i="1"/>
  <c r="CZ9" i="1"/>
  <c r="CP10" i="1"/>
  <c r="CO10" i="1" s="1"/>
  <c r="CN10" i="1" s="1"/>
  <c r="CX11" i="1"/>
  <c r="AL13" i="1"/>
  <c r="CP13" i="1" s="1"/>
  <c r="CO13" i="1" s="1"/>
  <c r="CN13" i="1" s="1"/>
  <c r="DF13" i="1"/>
  <c r="BS14" i="1"/>
  <c r="BR14" i="1"/>
  <c r="O14" i="1"/>
  <c r="BP14" i="1"/>
  <c r="BT14" i="1"/>
  <c r="AE22" i="1"/>
  <c r="AH22" i="1"/>
  <c r="AI22" i="1" s="1"/>
  <c r="CP22" i="1"/>
  <c r="CO22" i="1" s="1"/>
  <c r="CE25" i="1"/>
  <c r="CD25" i="1" s="1"/>
  <c r="BO26" i="1"/>
  <c r="BU26" i="1"/>
  <c r="BT26" i="1"/>
  <c r="BS26" i="1"/>
  <c r="O26" i="1"/>
  <c r="BR26" i="1"/>
  <c r="BQ26" i="1"/>
  <c r="BP26" i="1" s="1"/>
  <c r="CO37" i="2"/>
  <c r="FZ10" i="2"/>
  <c r="GH10" i="2"/>
  <c r="AI16" i="2"/>
  <c r="CL16" i="2"/>
  <c r="CK16" i="2" s="1"/>
  <c r="AT9" i="1"/>
  <c r="BT10" i="1"/>
  <c r="CV11" i="1"/>
  <c r="BQ12" i="1"/>
  <c r="BQ13" i="1"/>
  <c r="CL13" i="1"/>
  <c r="CK13" i="1" s="1"/>
  <c r="AE14" i="1"/>
  <c r="BS15" i="1"/>
  <c r="CS15" i="1"/>
  <c r="CR15" i="1" s="1"/>
  <c r="AQ16" i="1"/>
  <c r="BR16" i="1"/>
  <c r="BS17" i="1"/>
  <c r="CV18" i="1"/>
  <c r="CU18" i="1" s="1"/>
  <c r="BT19" i="1"/>
  <c r="CL19" i="1"/>
  <c r="CK19" i="1" s="1"/>
  <c r="BR20" i="1"/>
  <c r="BY20" i="1"/>
  <c r="CP20" i="1"/>
  <c r="CO20" i="1" s="1"/>
  <c r="DA20" i="1"/>
  <c r="DG20" i="1"/>
  <c r="AD21" i="1"/>
  <c r="BQ21" i="1"/>
  <c r="BX21" i="1"/>
  <c r="CS21" i="1"/>
  <c r="CR21" i="1" s="1"/>
  <c r="DB21" i="1"/>
  <c r="DH21" i="1"/>
  <c r="AS22" i="1"/>
  <c r="BO22" i="1"/>
  <c r="CL23" i="1"/>
  <c r="CK23" i="1" s="1"/>
  <c r="CJ23" i="1" s="1"/>
  <c r="AM24" i="1"/>
  <c r="BQ24" i="1"/>
  <c r="AM25" i="1"/>
  <c r="BR27" i="1"/>
  <c r="AM28" i="1"/>
  <c r="BQ28" i="1"/>
  <c r="BP28" i="1" s="1"/>
  <c r="BP29" i="1"/>
  <c r="X30" i="1"/>
  <c r="AE30" i="1"/>
  <c r="BP30" i="1"/>
  <c r="BO30" i="1" s="1"/>
  <c r="BR31" i="1"/>
  <c r="CE31" i="1"/>
  <c r="CD31" i="1" s="1"/>
  <c r="AI32" i="1"/>
  <c r="AO32" i="1"/>
  <c r="BR32" i="1"/>
  <c r="CD32" i="1"/>
  <c r="BR33" i="1"/>
  <c r="BQ33" i="1" s="1"/>
  <c r="BX33" i="1"/>
  <c r="CD33" i="1"/>
  <c r="DC33" i="1"/>
  <c r="DJ33" i="1"/>
  <c r="BR34" i="1"/>
  <c r="BX34" i="1"/>
  <c r="CE34" i="1"/>
  <c r="CD34" i="1" s="1"/>
  <c r="CX34" i="1"/>
  <c r="DD34" i="1"/>
  <c r="BT35" i="1"/>
  <c r="BQ36" i="1"/>
  <c r="BP36" i="1" s="1"/>
  <c r="M37" i="2"/>
  <c r="V37" i="2"/>
  <c r="AL6" i="2"/>
  <c r="BT6" i="2"/>
  <c r="GK6" i="2"/>
  <c r="AE7" i="2"/>
  <c r="BR7" i="2"/>
  <c r="CE7" i="2"/>
  <c r="AO8" i="2"/>
  <c r="BP8" i="2"/>
  <c r="BR9" i="2"/>
  <c r="X10" i="2"/>
  <c r="AE10" i="2"/>
  <c r="AT10" i="2"/>
  <c r="BS10" i="2"/>
  <c r="BR11" i="2"/>
  <c r="AO12" i="2"/>
  <c r="BO12" i="2"/>
  <c r="CL12" i="2"/>
  <c r="CX12" i="2"/>
  <c r="DD12" i="2"/>
  <c r="AA13" i="2"/>
  <c r="GH13" i="2" s="1"/>
  <c r="AO13" i="2"/>
  <c r="BQ13" i="2"/>
  <c r="AA14" i="2"/>
  <c r="GH14" i="2" s="1"/>
  <c r="GG14" i="2" s="1"/>
  <c r="GF14" i="2" s="1"/>
  <c r="BO14" i="2"/>
  <c r="BU14" i="2"/>
  <c r="AA15" i="2"/>
  <c r="GH15" i="2" s="1"/>
  <c r="AQ15" i="2"/>
  <c r="BR15" i="2"/>
  <c r="CV15" i="2"/>
  <c r="CU15" i="2" s="1"/>
  <c r="O16" i="2"/>
  <c r="AE16" i="2"/>
  <c r="AT16" i="2"/>
  <c r="BO16" i="2"/>
  <c r="GJ16" i="2"/>
  <c r="BQ17" i="2"/>
  <c r="GJ17" i="2"/>
  <c r="AQ18" i="2"/>
  <c r="BQ18" i="2"/>
  <c r="CD18" i="2"/>
  <c r="GJ18" i="2"/>
  <c r="AA19" i="2"/>
  <c r="GH19" i="2" s="1"/>
  <c r="AO19" i="2"/>
  <c r="BP19" i="2"/>
  <c r="CL19" i="2"/>
  <c r="CV19" i="2"/>
  <c r="CU19" i="2" s="1"/>
  <c r="AA20" i="2"/>
  <c r="BT20" i="2"/>
  <c r="BT21" i="2"/>
  <c r="BQ22" i="2"/>
  <c r="BW22" i="2"/>
  <c r="CV22" i="2"/>
  <c r="CU22" i="2" s="1"/>
  <c r="DC22" i="2"/>
  <c r="AE23" i="2"/>
  <c r="BT23" i="2"/>
  <c r="DB23" i="2"/>
  <c r="DH23" i="2"/>
  <c r="BQ24" i="2"/>
  <c r="BR25" i="2"/>
  <c r="BY25" i="2"/>
  <c r="CH25" i="2"/>
  <c r="CG25" i="2" s="1"/>
  <c r="CF25" i="2" s="1"/>
  <c r="CE25" i="2" s="1"/>
  <c r="CO25" i="2"/>
  <c r="CN25" i="2" s="1"/>
  <c r="CV25" i="2"/>
  <c r="CU25" i="2" s="1"/>
  <c r="DC25" i="2"/>
  <c r="AQ26" i="2"/>
  <c r="BQ26" i="2"/>
  <c r="BP27" i="2"/>
  <c r="BT28" i="2"/>
  <c r="BS29" i="2"/>
  <c r="CS29" i="2"/>
  <c r="CR29" i="2" s="1"/>
  <c r="AM30" i="2"/>
  <c r="BR30" i="2"/>
  <c r="BT31" i="2"/>
  <c r="CS31" i="2"/>
  <c r="BP32" i="2"/>
  <c r="BO33" i="2"/>
  <c r="CN33" i="2"/>
  <c r="X34" i="2"/>
  <c r="AE34" i="2"/>
  <c r="BT34" i="2"/>
  <c r="CZ34" i="2"/>
  <c r="DF34" i="2"/>
  <c r="AM35" i="2"/>
  <c r="AT35" i="2"/>
  <c r="R34" i="4"/>
  <c r="AJ34" i="4"/>
  <c r="AL6" i="4"/>
  <c r="AM6" i="4" s="1"/>
  <c r="AU34" i="4"/>
  <c r="BD34" i="4"/>
  <c r="CN6" i="4"/>
  <c r="DE6" i="4"/>
  <c r="BO8" i="4"/>
  <c r="FD8" i="4"/>
  <c r="BS9" i="4"/>
  <c r="BR9" i="4"/>
  <c r="BQ9" i="4"/>
  <c r="BT9" i="4"/>
  <c r="AD11" i="4"/>
  <c r="AE11" i="4" s="1"/>
  <c r="AA12" i="4"/>
  <c r="AL12" i="4"/>
  <c r="CP12" i="4" s="1"/>
  <c r="CO12" i="4" s="1"/>
  <c r="FD12" i="4"/>
  <c r="DD13" i="4"/>
  <c r="CX13" i="4"/>
  <c r="BX13" i="4"/>
  <c r="DC13" i="4"/>
  <c r="BW13" i="4"/>
  <c r="DH13" i="4"/>
  <c r="DB13" i="4"/>
  <c r="CB13" i="4"/>
  <c r="BV13" i="4"/>
  <c r="BU13" i="4" s="1"/>
  <c r="DE13" i="4"/>
  <c r="CY13" i="4"/>
  <c r="CH13" i="4"/>
  <c r="CG13" i="4" s="1"/>
  <c r="BY13" i="4"/>
  <c r="AE13" i="4"/>
  <c r="AH13" i="4"/>
  <c r="AI13" i="4" s="1"/>
  <c r="DG13" i="4"/>
  <c r="FD13" i="4"/>
  <c r="BO14" i="4"/>
  <c r="BT14" i="4"/>
  <c r="BS14" i="4"/>
  <c r="BP14" i="4"/>
  <c r="O16" i="4"/>
  <c r="CE17" i="4"/>
  <c r="CD17" i="4" s="1"/>
  <c r="BG18" i="4"/>
  <c r="BO20" i="4"/>
  <c r="AA20" i="4"/>
  <c r="CU21" i="4"/>
  <c r="AQ21" i="4"/>
  <c r="BO26" i="4"/>
  <c r="AA26" i="4"/>
  <c r="BZ26" i="4" s="1"/>
  <c r="CK28" i="4"/>
  <c r="CJ28" i="4" s="1"/>
  <c r="AH30" i="4"/>
  <c r="CL30" i="4" s="1"/>
  <c r="CK30" i="4" s="1"/>
  <c r="CJ30" i="4" s="1"/>
  <c r="AO31" i="4"/>
  <c r="CU31" i="4"/>
  <c r="BS22" i="6"/>
  <c r="BR22" i="6"/>
  <c r="BQ22" i="6"/>
  <c r="BP22" i="6"/>
  <c r="BT22" i="6"/>
  <c r="BO22" i="6"/>
  <c r="BW25" i="6"/>
  <c r="BP25" i="6"/>
  <c r="AA25" i="6"/>
  <c r="X34" i="6"/>
  <c r="BS34" i="6"/>
  <c r="AQ6" i="8"/>
  <c r="AT6" i="8"/>
  <c r="AR37" i="8"/>
  <c r="AS6" i="8"/>
  <c r="BS27" i="1"/>
  <c r="BR28" i="1"/>
  <c r="BQ29" i="1"/>
  <c r="BY33" i="1"/>
  <c r="CX33" i="1"/>
  <c r="DD33" i="1"/>
  <c r="BY34" i="1"/>
  <c r="CY34" i="1"/>
  <c r="DE34" i="1"/>
  <c r="DL34" i="1"/>
  <c r="GJ37" i="1"/>
  <c r="X6" i="2"/>
  <c r="Y37" i="2"/>
  <c r="AE6" i="2"/>
  <c r="AF37" i="2"/>
  <c r="BO6" i="2"/>
  <c r="BQ8" i="2"/>
  <c r="CV8" i="2"/>
  <c r="AA9" i="2"/>
  <c r="BU9" i="2" s="1"/>
  <c r="CE9" i="2"/>
  <c r="CS9" i="2"/>
  <c r="CR9" i="2" s="1"/>
  <c r="GF9" i="2"/>
  <c r="AM10" i="2"/>
  <c r="BT10" i="2"/>
  <c r="BS11" i="2"/>
  <c r="CE11" i="2"/>
  <c r="BV12" i="2"/>
  <c r="CB12" i="2"/>
  <c r="CY12" i="2"/>
  <c r="DE12" i="2"/>
  <c r="GO12" i="2"/>
  <c r="GL12" i="2" s="1"/>
  <c r="AI13" i="2"/>
  <c r="CL14" i="2"/>
  <c r="CK14" i="2" s="1"/>
  <c r="CJ14" i="2" s="1"/>
  <c r="GO14" i="2"/>
  <c r="GL14" i="2" s="1"/>
  <c r="AI15" i="2"/>
  <c r="CE18" i="2"/>
  <c r="CV18" i="2"/>
  <c r="CU18" i="2" s="1"/>
  <c r="AA21" i="2"/>
  <c r="CL21" i="2"/>
  <c r="CK21" i="2" s="1"/>
  <c r="CJ21" i="2" s="1"/>
  <c r="BO23" i="2"/>
  <c r="BV23" i="2"/>
  <c r="BU23" i="2" s="1"/>
  <c r="BR24" i="2"/>
  <c r="CE24" i="2"/>
  <c r="BZ25" i="2"/>
  <c r="CX25" i="2"/>
  <c r="DD25" i="2"/>
  <c r="BR26" i="2"/>
  <c r="CD27" i="2"/>
  <c r="BO28" i="2"/>
  <c r="CN28" i="2"/>
  <c r="BQ32" i="2"/>
  <c r="CN32" i="2"/>
  <c r="BP33" i="2"/>
  <c r="CP33" i="2"/>
  <c r="AM34" i="2"/>
  <c r="BO34" i="2"/>
  <c r="BV34" i="2"/>
  <c r="BU34" i="2" s="1"/>
  <c r="CR34" i="2"/>
  <c r="AA35" i="2"/>
  <c r="BU35" i="2" s="1"/>
  <c r="CL35" i="2"/>
  <c r="BP36" i="2"/>
  <c r="BT36" i="2"/>
  <c r="O36" i="2"/>
  <c r="BQ36" i="2"/>
  <c r="CO34" i="4"/>
  <c r="AI10" i="4"/>
  <c r="CN10" i="4"/>
  <c r="AL10" i="4"/>
  <c r="CP10" i="4" s="1"/>
  <c r="CO10" i="4" s="1"/>
  <c r="AT17" i="4"/>
  <c r="AS17" i="4"/>
  <c r="AE22" i="4"/>
  <c r="AH22" i="4"/>
  <c r="AE24" i="4"/>
  <c r="AH24" i="4"/>
  <c r="AL25" i="4"/>
  <c r="CP25" i="4" s="1"/>
  <c r="CO25" i="4"/>
  <c r="CN25" i="4" s="1"/>
  <c r="BU26" i="4"/>
  <c r="CP32" i="4"/>
  <c r="CO32" i="4" s="1"/>
  <c r="AM32" i="4"/>
  <c r="AI12" i="6"/>
  <c r="AL12" i="6"/>
  <c r="CP12" i="6" s="1"/>
  <c r="BG36" i="6"/>
  <c r="DH36" i="6" s="1"/>
  <c r="DC36" i="6"/>
  <c r="BS12" i="1"/>
  <c r="CV12" i="1"/>
  <c r="GJ13" i="1"/>
  <c r="CL14" i="1"/>
  <c r="CK14" i="1" s="1"/>
  <c r="CJ14" i="1" s="1"/>
  <c r="BO15" i="1"/>
  <c r="AE16" i="1"/>
  <c r="BO17" i="1"/>
  <c r="CP17" i="1"/>
  <c r="CO17" i="1" s="1"/>
  <c r="CN17" i="1" s="1"/>
  <c r="AI18" i="1"/>
  <c r="CF18" i="1"/>
  <c r="CE18" i="1" s="1"/>
  <c r="CN18" i="1"/>
  <c r="BP19" i="1"/>
  <c r="AE20" i="1"/>
  <c r="CV20" i="1"/>
  <c r="CU20" i="1" s="1"/>
  <c r="BQ22" i="1"/>
  <c r="CS23" i="1"/>
  <c r="CR23" i="1" s="1"/>
  <c r="AO24" i="1"/>
  <c r="BS24" i="1"/>
  <c r="AQ25" i="1"/>
  <c r="AQ26" i="1"/>
  <c r="O27" i="1"/>
  <c r="AQ27" i="1"/>
  <c r="BT27" i="1"/>
  <c r="O28" i="1"/>
  <c r="AQ28" i="1"/>
  <c r="BS28" i="1"/>
  <c r="AQ29" i="1"/>
  <c r="BR29" i="1"/>
  <c r="CD29" i="1"/>
  <c r="AS31" i="1"/>
  <c r="BH31" i="1"/>
  <c r="BJ31" i="1" s="1"/>
  <c r="BT31" i="1"/>
  <c r="AS32" i="1"/>
  <c r="CE32" i="1" s="1"/>
  <c r="BJ32" i="1"/>
  <c r="AS33" i="1"/>
  <c r="CE33" i="1" s="1"/>
  <c r="BH33" i="1"/>
  <c r="BZ33" i="1"/>
  <c r="CY33" i="1"/>
  <c r="DE33" i="1"/>
  <c r="DL33" i="1"/>
  <c r="BZ34" i="1"/>
  <c r="CZ34" i="1"/>
  <c r="DG34" i="1"/>
  <c r="DF34" i="1" s="1"/>
  <c r="R37" i="2"/>
  <c r="AG37" i="2"/>
  <c r="AV6" i="2"/>
  <c r="BP6" i="2"/>
  <c r="GO6" i="2"/>
  <c r="BT7" i="2"/>
  <c r="CS7" i="2"/>
  <c r="CR7" i="2" s="1"/>
  <c r="O8" i="2"/>
  <c r="AQ8" i="2"/>
  <c r="BR8" i="2"/>
  <c r="CD8" i="2"/>
  <c r="CN8" i="2"/>
  <c r="GH8" i="2"/>
  <c r="AO10" i="2"/>
  <c r="O11" i="2"/>
  <c r="AM11" i="2"/>
  <c r="BT11" i="2"/>
  <c r="BW12" i="2"/>
  <c r="CC12" i="2"/>
  <c r="CZ12" i="2"/>
  <c r="DF12" i="2"/>
  <c r="AS13" i="2"/>
  <c r="CE13" i="2" s="1"/>
  <c r="CD13" i="2" s="1"/>
  <c r="BS13" i="2"/>
  <c r="AQ14" i="2"/>
  <c r="BQ14" i="2"/>
  <c r="AS15" i="2"/>
  <c r="CE15" i="2" s="1"/>
  <c r="BT15" i="2"/>
  <c r="CO15" i="2"/>
  <c r="CN15" i="2" s="1"/>
  <c r="AA16" i="2"/>
  <c r="GH16" i="2" s="1"/>
  <c r="GG16" i="2" s="1"/>
  <c r="AE17" i="2"/>
  <c r="AM17" i="2"/>
  <c r="BS17" i="2"/>
  <c r="AE18" i="2"/>
  <c r="BS18" i="2"/>
  <c r="BR19" i="2"/>
  <c r="CF19" i="2"/>
  <c r="AI20" i="2"/>
  <c r="AQ20" i="2"/>
  <c r="CV20" i="2" s="1"/>
  <c r="CU20" i="2" s="1"/>
  <c r="CP21" i="2"/>
  <c r="CO21" i="2" s="1"/>
  <c r="CN21" i="2" s="1"/>
  <c r="CP22" i="2"/>
  <c r="AO23" i="2"/>
  <c r="BP23" i="2"/>
  <c r="AE24" i="2"/>
  <c r="AM24" i="2"/>
  <c r="BS24" i="2"/>
  <c r="AE25" i="2"/>
  <c r="CY25" i="2"/>
  <c r="DE25" i="2"/>
  <c r="O26" i="2"/>
  <c r="BS26" i="2"/>
  <c r="CP26" i="2"/>
  <c r="AD27" i="2"/>
  <c r="AS27" i="2"/>
  <c r="CE27" i="2" s="1"/>
  <c r="BR27" i="2"/>
  <c r="O28" i="2"/>
  <c r="AQ28" i="2"/>
  <c r="BP28" i="2"/>
  <c r="CE28" i="2"/>
  <c r="CD28" i="2" s="1"/>
  <c r="CL30" i="2"/>
  <c r="AQ31" i="2"/>
  <c r="CV31" i="2" s="1"/>
  <c r="CU31" i="2" s="1"/>
  <c r="BP31" i="2"/>
  <c r="O32" i="2"/>
  <c r="AQ32" i="2"/>
  <c r="CV32" i="2" s="1"/>
  <c r="BR32" i="2"/>
  <c r="O33" i="2"/>
  <c r="BQ33" i="2"/>
  <c r="CS33" i="2"/>
  <c r="CR33" i="2" s="1"/>
  <c r="AO34" i="2"/>
  <c r="CS34" i="2" s="1"/>
  <c r="BP34" i="2"/>
  <c r="AO35" i="2"/>
  <c r="BO36" i="2"/>
  <c r="T37" i="2"/>
  <c r="BQ37" i="2" s="1"/>
  <c r="T34" i="4"/>
  <c r="AD6" i="4"/>
  <c r="AB34" i="4"/>
  <c r="CR34" i="4"/>
  <c r="AX34" i="4"/>
  <c r="AQ11" i="4"/>
  <c r="AT11" i="4"/>
  <c r="AD12" i="4"/>
  <c r="AS13" i="4"/>
  <c r="CC13" i="4" s="1"/>
  <c r="BS13" i="4"/>
  <c r="AQ15" i="4"/>
  <c r="CV15" i="4" s="1"/>
  <c r="AT15" i="4"/>
  <c r="BT17" i="4"/>
  <c r="BS17" i="4"/>
  <c r="BR17" i="4"/>
  <c r="O17" i="4"/>
  <c r="BO17" i="4"/>
  <c r="AI17" i="4"/>
  <c r="AL17" i="4"/>
  <c r="AM17" i="4" s="1"/>
  <c r="AL19" i="4"/>
  <c r="CP19" i="4" s="1"/>
  <c r="CO19" i="4" s="1"/>
  <c r="CN19" i="4" s="1"/>
  <c r="BV28" i="4"/>
  <c r="BU28" i="4" s="1"/>
  <c r="BO28" i="4"/>
  <c r="AA28" i="4"/>
  <c r="AT29" i="4"/>
  <c r="AS29" i="4"/>
  <c r="CC29" i="4" s="1"/>
  <c r="R37" i="6"/>
  <c r="AA6" i="6"/>
  <c r="X6" i="6"/>
  <c r="Y37" i="6"/>
  <c r="CK37" i="6"/>
  <c r="CV16" i="1"/>
  <c r="BP17" i="1"/>
  <c r="CS19" i="1"/>
  <c r="CR19" i="1" s="1"/>
  <c r="BR22" i="1"/>
  <c r="X23" i="1"/>
  <c r="CV23" i="1"/>
  <c r="CU23" i="1" s="1"/>
  <c r="O24" i="1"/>
  <c r="AQ24" i="1"/>
  <c r="BH24" i="1"/>
  <c r="BJ24" i="1" s="1"/>
  <c r="BT24" i="1"/>
  <c r="AS25" i="1"/>
  <c r="BH25" i="1"/>
  <c r="BJ25" i="1" s="1"/>
  <c r="AS26" i="1"/>
  <c r="CE26" i="1" s="1"/>
  <c r="CD26" i="1" s="1"/>
  <c r="BH26" i="1"/>
  <c r="BJ26" i="1" s="1"/>
  <c r="AT27" i="1"/>
  <c r="AS27" i="1" s="1"/>
  <c r="CE27" i="1" s="1"/>
  <c r="BJ27" i="1"/>
  <c r="BU27" i="1"/>
  <c r="AD28" i="1"/>
  <c r="AS28" i="1"/>
  <c r="CE28" i="1" s="1"/>
  <c r="BT28" i="1"/>
  <c r="X29" i="1"/>
  <c r="AS29" i="1"/>
  <c r="BS29" i="1"/>
  <c r="CE29" i="1"/>
  <c r="AO30" i="1"/>
  <c r="BS30" i="1"/>
  <c r="O31" i="1"/>
  <c r="AT31" i="1"/>
  <c r="BU31" i="1"/>
  <c r="AL32" i="1"/>
  <c r="AT32" i="1"/>
  <c r="X33" i="1"/>
  <c r="AT33" i="1"/>
  <c r="CZ33" i="1"/>
  <c r="DF33" i="1"/>
  <c r="X34" i="1"/>
  <c r="AL34" i="1"/>
  <c r="DA34" i="1"/>
  <c r="DH34" i="1"/>
  <c r="DN34" i="1"/>
  <c r="AH35" i="1"/>
  <c r="AO35" i="1"/>
  <c r="AH36" i="1"/>
  <c r="AO36" i="1"/>
  <c r="S37" i="2"/>
  <c r="AA6" i="2"/>
  <c r="BU6" i="2" s="1"/>
  <c r="AH6" i="2"/>
  <c r="AI6" i="2" s="1"/>
  <c r="AO6" i="2"/>
  <c r="AP37" i="2"/>
  <c r="AX6" i="2"/>
  <c r="BG6" i="2"/>
  <c r="BG37" i="2" s="1"/>
  <c r="BQ6" i="2"/>
  <c r="GE6" i="2"/>
  <c r="BO7" i="2"/>
  <c r="BU7" i="2"/>
  <c r="CV7" i="2"/>
  <c r="CU7" i="2" s="1"/>
  <c r="X8" i="2"/>
  <c r="AE8" i="2"/>
  <c r="AL8" i="2"/>
  <c r="AM8" i="2" s="1"/>
  <c r="AS8" i="2"/>
  <c r="CE8" i="2" s="1"/>
  <c r="BS8" i="2"/>
  <c r="AI9" i="2"/>
  <c r="BO9" i="2"/>
  <c r="AQ10" i="2"/>
  <c r="CV10" i="2" s="1"/>
  <c r="CU10" i="2" s="1"/>
  <c r="BP10" i="2"/>
  <c r="CJ10" i="2"/>
  <c r="X11" i="2"/>
  <c r="GG11" i="2" s="1"/>
  <c r="GF11" i="2" s="1"/>
  <c r="BO11" i="2"/>
  <c r="BU11" i="2"/>
  <c r="AL12" i="2"/>
  <c r="AM12" i="2" s="1"/>
  <c r="AS12" i="2"/>
  <c r="BX12" i="2"/>
  <c r="DA12" i="2"/>
  <c r="DG12" i="2"/>
  <c r="O13" i="2"/>
  <c r="AL13" i="2"/>
  <c r="AT13" i="2"/>
  <c r="BT13" i="2"/>
  <c r="CN13" i="2"/>
  <c r="O14" i="2"/>
  <c r="BR14" i="2"/>
  <c r="CE14" i="2"/>
  <c r="CD14" i="2" s="1"/>
  <c r="O15" i="2"/>
  <c r="AT15" i="2"/>
  <c r="BO15" i="2"/>
  <c r="AO16" i="2"/>
  <c r="BR16" i="2"/>
  <c r="BT17" i="2"/>
  <c r="AT18" i="2"/>
  <c r="BT18" i="2"/>
  <c r="O19" i="2"/>
  <c r="AS19" i="2"/>
  <c r="BS19" i="2"/>
  <c r="AD20" i="2"/>
  <c r="AE20" i="2" s="1"/>
  <c r="BQ20" i="2"/>
  <c r="AO21" i="2"/>
  <c r="BQ21" i="2"/>
  <c r="BZ22" i="2"/>
  <c r="CZ22" i="2"/>
  <c r="DF22" i="2"/>
  <c r="AI23" i="2"/>
  <c r="AQ23" i="2"/>
  <c r="CV23" i="2" s="1"/>
  <c r="CU23" i="2" s="1"/>
  <c r="BX23" i="2"/>
  <c r="CH23" i="2"/>
  <c r="CG23" i="2" s="1"/>
  <c r="CF23" i="2" s="1"/>
  <c r="CE23" i="2" s="1"/>
  <c r="CD23" i="2" s="1"/>
  <c r="CY23" i="2"/>
  <c r="DE23" i="2"/>
  <c r="BT24" i="2"/>
  <c r="AM25" i="2"/>
  <c r="BO25" i="2"/>
  <c r="BV25" i="2"/>
  <c r="BU25" i="2" s="1"/>
  <c r="FZ25" i="2" s="1"/>
  <c r="CB25" i="2"/>
  <c r="CZ25" i="2"/>
  <c r="DF25" i="2"/>
  <c r="X26" i="2"/>
  <c r="AE26" i="2"/>
  <c r="BT26" i="2"/>
  <c r="X27" i="2"/>
  <c r="AE27" i="2"/>
  <c r="AT27" i="2"/>
  <c r="BS27" i="2"/>
  <c r="X28" i="2"/>
  <c r="AE28" i="2"/>
  <c r="AL28" i="2"/>
  <c r="CP28" i="2" s="1"/>
  <c r="AS28" i="2"/>
  <c r="BQ28" i="2"/>
  <c r="AI29" i="2"/>
  <c r="BP29" i="2"/>
  <c r="BO30" i="2"/>
  <c r="BU30" i="2"/>
  <c r="CN30" i="2"/>
  <c r="O31" i="2"/>
  <c r="AD31" i="2"/>
  <c r="BQ31" i="2"/>
  <c r="CN31" i="2"/>
  <c r="X32" i="2"/>
  <c r="AE32" i="2"/>
  <c r="AL32" i="2"/>
  <c r="AM32" i="2" s="1"/>
  <c r="AS32" i="2"/>
  <c r="CE32" i="2" s="1"/>
  <c r="CD32" i="2" s="1"/>
  <c r="BS32" i="2"/>
  <c r="X33" i="2"/>
  <c r="AE33" i="2"/>
  <c r="AL33" i="2"/>
  <c r="AM33" i="2" s="1"/>
  <c r="BR33" i="2"/>
  <c r="CV33" i="2"/>
  <c r="CU33" i="2" s="1"/>
  <c r="AQ34" i="2"/>
  <c r="CV34" i="2" s="1"/>
  <c r="CU34" i="2" s="1"/>
  <c r="BQ34" i="2"/>
  <c r="CE34" i="2"/>
  <c r="CD34" i="2" s="1"/>
  <c r="DC34" i="2"/>
  <c r="FZ34" i="2"/>
  <c r="AQ35" i="2"/>
  <c r="CV35" i="2" s="1"/>
  <c r="CU35" i="2" s="1"/>
  <c r="CE35" i="2"/>
  <c r="AT36" i="2"/>
  <c r="BR36" i="2"/>
  <c r="FD36" i="2"/>
  <c r="M34" i="4"/>
  <c r="AC34" i="4"/>
  <c r="CG6" i="4"/>
  <c r="AZ34" i="4"/>
  <c r="BG6" i="4"/>
  <c r="BG34" i="4" s="1"/>
  <c r="CF6" i="4"/>
  <c r="AI9" i="4"/>
  <c r="AL9" i="4"/>
  <c r="AM9" i="4" s="1"/>
  <c r="AS11" i="4"/>
  <c r="CE13" i="4"/>
  <c r="CD13" i="4" s="1"/>
  <c r="AS15" i="4"/>
  <c r="CE15" i="4" s="1"/>
  <c r="CD15" i="4" s="1"/>
  <c r="AA17" i="4"/>
  <c r="AA21" i="4"/>
  <c r="AE23" i="4"/>
  <c r="AI23" i="4"/>
  <c r="AH23" i="4"/>
  <c r="CL23" i="4" s="1"/>
  <c r="X24" i="4"/>
  <c r="BS24" i="4"/>
  <c r="CS28" i="4"/>
  <c r="DE29" i="4"/>
  <c r="CY29" i="4"/>
  <c r="BW29" i="4"/>
  <c r="DD29" i="4"/>
  <c r="CX29" i="4"/>
  <c r="CB29" i="4"/>
  <c r="BV29" i="4"/>
  <c r="DC29" i="4"/>
  <c r="DH29" i="4"/>
  <c r="DB29" i="4"/>
  <c r="BZ29" i="4"/>
  <c r="DF29" i="4"/>
  <c r="CZ29" i="4"/>
  <c r="BX29" i="4"/>
  <c r="BY29" i="4"/>
  <c r="AA31" i="4"/>
  <c r="AE32" i="4"/>
  <c r="AH32" i="4"/>
  <c r="CL32" i="4" s="1"/>
  <c r="CK32" i="4" s="1"/>
  <c r="CJ32" i="4"/>
  <c r="FD33" i="4"/>
  <c r="AI7" i="6"/>
  <c r="AH7" i="6"/>
  <c r="CJ7" i="6"/>
  <c r="CF30" i="6"/>
  <c r="CE30" i="6" s="1"/>
  <c r="CD30" i="6" s="1"/>
  <c r="AE32" i="6"/>
  <c r="AI32" i="6"/>
  <c r="AH32" i="6"/>
  <c r="CJ32" i="6"/>
  <c r="N37" i="6"/>
  <c r="CL9" i="1"/>
  <c r="CK9" i="1" s="1"/>
  <c r="CJ9" i="1" s="1"/>
  <c r="CV9" i="1"/>
  <c r="AO10" i="1"/>
  <c r="BR10" i="1"/>
  <c r="CS10" i="1"/>
  <c r="X11" i="1"/>
  <c r="AE11" i="1"/>
  <c r="CS11" i="1"/>
  <c r="CR11" i="1" s="1"/>
  <c r="X12" i="1"/>
  <c r="AE12" i="1"/>
  <c r="BO12" i="1"/>
  <c r="BO13" i="1"/>
  <c r="CV13" i="1"/>
  <c r="CU13" i="1" s="1"/>
  <c r="CE14" i="1"/>
  <c r="CS14" i="1"/>
  <c r="CR14" i="1" s="1"/>
  <c r="BQ15" i="1"/>
  <c r="CE15" i="1"/>
  <c r="AH16" i="1"/>
  <c r="CL16" i="1" s="1"/>
  <c r="CK16" i="1" s="1"/>
  <c r="BP16" i="1"/>
  <c r="O17" i="1"/>
  <c r="AO17" i="1"/>
  <c r="CS17" i="1" s="1"/>
  <c r="BQ17" i="1"/>
  <c r="AL18" i="1"/>
  <c r="CP18" i="1" s="1"/>
  <c r="CO18" i="1" s="1"/>
  <c r="AS18" i="1"/>
  <c r="X19" i="1"/>
  <c r="AE19" i="1"/>
  <c r="AS19" i="1"/>
  <c r="BR19" i="1"/>
  <c r="CV19" i="1"/>
  <c r="CU19" i="1" s="1"/>
  <c r="AH20" i="1"/>
  <c r="BP20" i="1"/>
  <c r="BW20" i="1"/>
  <c r="CC20" i="1"/>
  <c r="CY20" i="1"/>
  <c r="DE20" i="1"/>
  <c r="AH21" i="1"/>
  <c r="CL21" i="1" s="1"/>
  <c r="CK21" i="1" s="1"/>
  <c r="CJ21" i="1" s="1"/>
  <c r="BO21" i="1"/>
  <c r="BV21" i="1"/>
  <c r="BU21" i="1" s="1"/>
  <c r="CB21" i="1"/>
  <c r="CZ21" i="1"/>
  <c r="DF21" i="1"/>
  <c r="O22" i="1"/>
  <c r="AO22" i="1"/>
  <c r="CS22" i="1" s="1"/>
  <c r="BS22" i="1"/>
  <c r="CU22" i="1"/>
  <c r="AL23" i="1"/>
  <c r="CP23" i="1" s="1"/>
  <c r="CO23" i="1" s="1"/>
  <c r="CN23" i="1" s="1"/>
  <c r="AD24" i="1"/>
  <c r="AS24" i="1"/>
  <c r="CE24" i="1" s="1"/>
  <c r="BU24" i="1"/>
  <c r="X25" i="1"/>
  <c r="AT25" i="1"/>
  <c r="X26" i="1"/>
  <c r="AL26" i="1"/>
  <c r="AT26" i="1"/>
  <c r="X27" i="1"/>
  <c r="AE27" i="1"/>
  <c r="AL27" i="1"/>
  <c r="BP27" i="1"/>
  <c r="BO27" i="1" s="1"/>
  <c r="X28" i="1"/>
  <c r="AT28" i="1"/>
  <c r="BU28" i="1"/>
  <c r="AL29" i="1"/>
  <c r="AT29" i="1"/>
  <c r="BJ29" i="1"/>
  <c r="BT29" i="1"/>
  <c r="O30" i="1"/>
  <c r="BZ30" i="1" s="1"/>
  <c r="AQ30" i="1"/>
  <c r="BT30" i="1"/>
  <c r="AL31" i="1"/>
  <c r="BP31" i="1"/>
  <c r="BO31" i="1" s="1"/>
  <c r="BP32" i="1"/>
  <c r="BO33" i="1"/>
  <c r="BV33" i="1"/>
  <c r="CB33" i="1"/>
  <c r="DA33" i="1"/>
  <c r="DG33" i="1"/>
  <c r="DN33" i="1"/>
  <c r="AM34" i="1"/>
  <c r="BO34" i="1"/>
  <c r="BV34" i="1"/>
  <c r="CB34" i="1"/>
  <c r="DB34" i="1"/>
  <c r="DP34" i="1"/>
  <c r="AI35" i="1"/>
  <c r="AQ35" i="1"/>
  <c r="BR35" i="1"/>
  <c r="AI36" i="1"/>
  <c r="AQ36" i="1"/>
  <c r="BU36" i="1"/>
  <c r="AB37" i="2"/>
  <c r="AJ37" i="2"/>
  <c r="AQ6" i="2"/>
  <c r="AR37" i="2"/>
  <c r="AY37" i="2"/>
  <c r="BR6" i="2"/>
  <c r="O7" i="2"/>
  <c r="AV7" i="2"/>
  <c r="BP7" i="2"/>
  <c r="CL7" i="2"/>
  <c r="CK7" i="2" s="1"/>
  <c r="CJ7" i="2" s="1"/>
  <c r="AT8" i="2"/>
  <c r="AT37" i="2" s="1"/>
  <c r="BT8" i="2"/>
  <c r="AD9" i="2"/>
  <c r="AE9" i="2" s="1"/>
  <c r="CL9" i="2"/>
  <c r="CL10" i="2"/>
  <c r="AH11" i="2"/>
  <c r="AO11" i="2"/>
  <c r="BP11" i="2"/>
  <c r="GJ11" i="2"/>
  <c r="AA12" i="2"/>
  <c r="BU12" i="2" s="1"/>
  <c r="BY12" i="2"/>
  <c r="CH12" i="2"/>
  <c r="DB12" i="2"/>
  <c r="DH12" i="2"/>
  <c r="X13" i="2"/>
  <c r="AE13" i="2"/>
  <c r="AM13" i="2"/>
  <c r="BO13" i="2"/>
  <c r="BU13" i="2"/>
  <c r="CP13" i="2"/>
  <c r="X14" i="2"/>
  <c r="AE14" i="2"/>
  <c r="AL14" i="2"/>
  <c r="CP14" i="2" s="1"/>
  <c r="CO14" i="2" s="1"/>
  <c r="CN14" i="2" s="1"/>
  <c r="BS14" i="2"/>
  <c r="CS14" i="2"/>
  <c r="X15" i="2"/>
  <c r="AE15" i="2"/>
  <c r="BP15" i="2"/>
  <c r="AQ16" i="2"/>
  <c r="BS16" i="2"/>
  <c r="CP16" i="2"/>
  <c r="CO16" i="2" s="1"/>
  <c r="CN16" i="2" s="1"/>
  <c r="AA17" i="2"/>
  <c r="AH17" i="2"/>
  <c r="AO17" i="2"/>
  <c r="BO17" i="2"/>
  <c r="BU17" i="2"/>
  <c r="AH18" i="2"/>
  <c r="AI18" i="2" s="1"/>
  <c r="BO18" i="2"/>
  <c r="BU18" i="2"/>
  <c r="FZ18" i="2" s="1"/>
  <c r="X19" i="2"/>
  <c r="AE19" i="2"/>
  <c r="BT19" i="2"/>
  <c r="X20" i="2"/>
  <c r="AL20" i="2"/>
  <c r="AS20" i="2"/>
  <c r="CE20" i="2" s="1"/>
  <c r="CD20" i="2" s="1"/>
  <c r="BR20" i="2"/>
  <c r="CN20" i="2"/>
  <c r="O21" i="2"/>
  <c r="AD21" i="2"/>
  <c r="AE21" i="2" s="1"/>
  <c r="AQ21" i="2"/>
  <c r="CV21" i="2" s="1"/>
  <c r="BR21" i="2"/>
  <c r="CF21" i="2"/>
  <c r="CE21" i="2" s="1"/>
  <c r="CD21" i="2" s="1"/>
  <c r="AO22" i="2"/>
  <c r="BO22" i="2"/>
  <c r="CB22" i="2"/>
  <c r="DA22" i="2"/>
  <c r="DG22" i="2"/>
  <c r="BY23" i="2"/>
  <c r="CZ23" i="2"/>
  <c r="DF23" i="2"/>
  <c r="AH24" i="2"/>
  <c r="AO24" i="2"/>
  <c r="BO24" i="2"/>
  <c r="BU24" i="2"/>
  <c r="AH25" i="2"/>
  <c r="AO25" i="2"/>
  <c r="BW25" i="2"/>
  <c r="CC25" i="2"/>
  <c r="DA25" i="2"/>
  <c r="DG25" i="2"/>
  <c r="BO26" i="2"/>
  <c r="BT27" i="2"/>
  <c r="AT28" i="2"/>
  <c r="BR28" i="2"/>
  <c r="CS28" i="2"/>
  <c r="O29" i="2"/>
  <c r="AD29" i="2"/>
  <c r="AE29" i="2" s="1"/>
  <c r="AQ29" i="2"/>
  <c r="BQ29" i="2"/>
  <c r="CN29" i="2"/>
  <c r="O30" i="2"/>
  <c r="AQ30" i="2"/>
  <c r="BP30" i="2"/>
  <c r="CP30" i="2"/>
  <c r="X31" i="2"/>
  <c r="AE31" i="2"/>
  <c r="AL31" i="2"/>
  <c r="CP31" i="2" s="1"/>
  <c r="AS31" i="2"/>
  <c r="CE31" i="2" s="1"/>
  <c r="CD31" i="2" s="1"/>
  <c r="BR31" i="2"/>
  <c r="AT32" i="2"/>
  <c r="BT32" i="2"/>
  <c r="CS32" i="2"/>
  <c r="AS33" i="2"/>
  <c r="BS33" i="2"/>
  <c r="CJ33" i="2"/>
  <c r="AI34" i="2"/>
  <c r="BY34" i="2"/>
  <c r="CX34" i="2"/>
  <c r="DD34" i="2"/>
  <c r="BO35" i="2"/>
  <c r="BR35" i="2"/>
  <c r="AA36" i="2"/>
  <c r="AM36" i="2"/>
  <c r="BS36" i="2"/>
  <c r="CV36" i="2"/>
  <c r="CU36" i="2" s="1"/>
  <c r="AW37" i="2"/>
  <c r="BP6" i="4"/>
  <c r="BO6" i="4"/>
  <c r="BT6" i="4"/>
  <c r="N34" i="4"/>
  <c r="BQ6" i="4"/>
  <c r="V34" i="4"/>
  <c r="AF34" i="4"/>
  <c r="BB34" i="4"/>
  <c r="BS6" i="4"/>
  <c r="CX6" i="4"/>
  <c r="FD7" i="4"/>
  <c r="AE9" i="4"/>
  <c r="BT10" i="4"/>
  <c r="BS10" i="4"/>
  <c r="BR10" i="4"/>
  <c r="O10" i="4"/>
  <c r="BO10" i="4"/>
  <c r="BQ11" i="4"/>
  <c r="BP11" i="4"/>
  <c r="BO11" i="4"/>
  <c r="O11" i="4"/>
  <c r="BR11" i="4"/>
  <c r="AI11" i="4"/>
  <c r="AM11" i="4"/>
  <c r="AL11" i="4"/>
  <c r="CP11" i="4" s="1"/>
  <c r="CO11" i="4" s="1"/>
  <c r="CN11" i="4" s="1"/>
  <c r="BT11" i="4"/>
  <c r="BO12" i="4"/>
  <c r="BT12" i="4"/>
  <c r="BS12" i="4"/>
  <c r="BP12" i="4"/>
  <c r="AQ12" i="4"/>
  <c r="BQ12" i="4"/>
  <c r="AL14" i="4"/>
  <c r="CP14" i="4" s="1"/>
  <c r="CO14" i="4" s="1"/>
  <c r="CN14" i="4" s="1"/>
  <c r="FD14" i="4"/>
  <c r="BP15" i="4"/>
  <c r="BU15" i="4"/>
  <c r="BO15" i="4"/>
  <c r="BT15" i="4"/>
  <c r="BQ15" i="4"/>
  <c r="BS15" i="4"/>
  <c r="AD17" i="4"/>
  <c r="FD19" i="4"/>
  <c r="CE21" i="4"/>
  <c r="CS21" i="4"/>
  <c r="CR21" i="4" s="1"/>
  <c r="CJ23" i="4"/>
  <c r="CD23" i="4"/>
  <c r="AS23" i="4"/>
  <c r="CS23" i="4"/>
  <c r="CR23" i="4" s="1"/>
  <c r="AM29" i="4"/>
  <c r="AT33" i="4"/>
  <c r="AS33" i="4"/>
  <c r="AI24" i="6"/>
  <c r="AM24" i="6"/>
  <c r="AL24" i="6"/>
  <c r="CP24" i="6" s="1"/>
  <c r="AS9" i="1"/>
  <c r="CC9" i="1" s="1"/>
  <c r="O10" i="1"/>
  <c r="AQ10" i="1"/>
  <c r="CV10" i="1"/>
  <c r="CU10" i="1" s="1"/>
  <c r="AT13" i="1"/>
  <c r="AQ14" i="1"/>
  <c r="CV14" i="1" s="1"/>
  <c r="X15" i="1"/>
  <c r="AE15" i="1"/>
  <c r="AI16" i="1"/>
  <c r="CE16" i="1"/>
  <c r="CD16" i="1" s="1"/>
  <c r="CP16" i="1"/>
  <c r="CO16" i="1" s="1"/>
  <c r="CN16" i="1" s="1"/>
  <c r="AQ17" i="1"/>
  <c r="CV17" i="1"/>
  <c r="CU17" i="1" s="1"/>
  <c r="AE18" i="1"/>
  <c r="AM18" i="1"/>
  <c r="CS18" i="1"/>
  <c r="AM19" i="1"/>
  <c r="CJ19" i="1"/>
  <c r="AI20" i="1"/>
  <c r="BX20" i="1"/>
  <c r="CH20" i="1"/>
  <c r="CG20" i="1" s="1"/>
  <c r="CF20" i="1" s="1"/>
  <c r="CE20" i="1" s="1"/>
  <c r="CD20" i="1" s="1"/>
  <c r="CN20" i="1"/>
  <c r="CZ20" i="1"/>
  <c r="BW21" i="1"/>
  <c r="CC21" i="1"/>
  <c r="CP21" i="1"/>
  <c r="CO21" i="1" s="1"/>
  <c r="CN21" i="1" s="1"/>
  <c r="DA21" i="1"/>
  <c r="DG21" i="1"/>
  <c r="CL22" i="1"/>
  <c r="CK22" i="1" s="1"/>
  <c r="CJ22" i="1" s="1"/>
  <c r="CV22" i="1"/>
  <c r="X24" i="1"/>
  <c r="AL24" i="1"/>
  <c r="AT24" i="1"/>
  <c r="AM26" i="1"/>
  <c r="BO29" i="1"/>
  <c r="AT30" i="1"/>
  <c r="AS30" i="1" s="1"/>
  <c r="CE30" i="1" s="1"/>
  <c r="BJ30" i="1"/>
  <c r="X31" i="1"/>
  <c r="AE31" i="1"/>
  <c r="AM31" i="1"/>
  <c r="AM33" i="1"/>
  <c r="BW33" i="1"/>
  <c r="CC33" i="1"/>
  <c r="DB33" i="1"/>
  <c r="DH33" i="1"/>
  <c r="AO34" i="1"/>
  <c r="BW34" i="1"/>
  <c r="CC34" i="1"/>
  <c r="DC34" i="1"/>
  <c r="AS35" i="1"/>
  <c r="CE35" i="1" s="1"/>
  <c r="CD35" i="1" s="1"/>
  <c r="BH35" i="1"/>
  <c r="BJ35" i="1" s="1"/>
  <c r="O36" i="1"/>
  <c r="AT36" i="1"/>
  <c r="AS36" i="1" s="1"/>
  <c r="CE36" i="1" s="1"/>
  <c r="AS6" i="2"/>
  <c r="AZ37" i="2"/>
  <c r="BS6" i="2"/>
  <c r="GJ6" i="2"/>
  <c r="GH6" i="2" s="1"/>
  <c r="GG6" i="2" s="1"/>
  <c r="BO8" i="2"/>
  <c r="CS8" i="2"/>
  <c r="AI11" i="2"/>
  <c r="BZ12" i="2"/>
  <c r="CV12" i="2"/>
  <c r="CU12" i="2" s="1"/>
  <c r="GJ12" i="2"/>
  <c r="GH12" i="2" s="1"/>
  <c r="GG12" i="2" s="1"/>
  <c r="GF12" i="2" s="1"/>
  <c r="CV14" i="2"/>
  <c r="CU14" i="2" s="1"/>
  <c r="AI17" i="2"/>
  <c r="AM19" i="2"/>
  <c r="BO19" i="2"/>
  <c r="AM20" i="2"/>
  <c r="CP20" i="2"/>
  <c r="X21" i="2"/>
  <c r="AI22" i="2"/>
  <c r="BV22" i="2"/>
  <c r="CC22" i="2"/>
  <c r="DH22" i="2"/>
  <c r="AL23" i="2"/>
  <c r="CP23" i="2" s="1"/>
  <c r="CO23" i="2" s="1"/>
  <c r="CN23" i="2" s="1"/>
  <c r="BZ23" i="2"/>
  <c r="DA23" i="2"/>
  <c r="DG23" i="2"/>
  <c r="AI24" i="2"/>
  <c r="AI25" i="2"/>
  <c r="BX25" i="2"/>
  <c r="DB25" i="2"/>
  <c r="DH25" i="2"/>
  <c r="AH26" i="2"/>
  <c r="AI26" i="2" s="1"/>
  <c r="AH27" i="2"/>
  <c r="AI27" i="2" s="1"/>
  <c r="AH28" i="2"/>
  <c r="CL28" i="2" s="1"/>
  <c r="CK28" i="2" s="1"/>
  <c r="CJ28" i="2" s="1"/>
  <c r="X29" i="2"/>
  <c r="AL29" i="2"/>
  <c r="CP29" i="2" s="1"/>
  <c r="X30" i="2"/>
  <c r="AE30" i="2"/>
  <c r="CS30" i="2"/>
  <c r="CR30" i="2" s="1"/>
  <c r="AH32" i="2"/>
  <c r="CL32" i="2" s="1"/>
  <c r="AH33" i="2"/>
  <c r="CL33" i="2" s="1"/>
  <c r="BZ34" i="2"/>
  <c r="CY34" i="2"/>
  <c r="FD34" i="2"/>
  <c r="X35" i="2"/>
  <c r="AE35" i="2"/>
  <c r="CJ35" i="2"/>
  <c r="BS35" i="2"/>
  <c r="CE36" i="2"/>
  <c r="CD36" i="2" s="1"/>
  <c r="DH6" i="4"/>
  <c r="DB6" i="4"/>
  <c r="DA6" i="4" s="1"/>
  <c r="BW6" i="4"/>
  <c r="DG6" i="4"/>
  <c r="CZ6" i="4"/>
  <c r="CH6" i="4"/>
  <c r="CB6" i="4"/>
  <c r="BV6" i="4"/>
  <c r="DF6" i="4"/>
  <c r="CY6" i="4"/>
  <c r="P6" i="4"/>
  <c r="P7" i="4" s="1"/>
  <c r="DC6" i="4"/>
  <c r="BX6" i="4"/>
  <c r="W34" i="4"/>
  <c r="AT6" i="4"/>
  <c r="AS6" i="4"/>
  <c r="AR34" i="4"/>
  <c r="CD6" i="4"/>
  <c r="BC34" i="4"/>
  <c r="BY6" i="4"/>
  <c r="DD6" i="4"/>
  <c r="AM7" i="4"/>
  <c r="CR7" i="4"/>
  <c r="AA11" i="4"/>
  <c r="AS12" i="4"/>
  <c r="CE12" i="4" s="1"/>
  <c r="BP16" i="4"/>
  <c r="BO16" i="4"/>
  <c r="BT16" i="4"/>
  <c r="BQ16" i="4"/>
  <c r="BS16" i="4"/>
  <c r="CS20" i="4"/>
  <c r="DH25" i="4"/>
  <c r="DB25" i="4"/>
  <c r="CC25" i="4"/>
  <c r="BW25" i="4"/>
  <c r="DG25" i="4"/>
  <c r="DA25" i="4"/>
  <c r="CB25" i="4"/>
  <c r="BV25" i="4"/>
  <c r="BU25" i="4" s="1"/>
  <c r="DF25" i="4"/>
  <c r="CZ25" i="4"/>
  <c r="CH25" i="4"/>
  <c r="DE25" i="4"/>
  <c r="CY25" i="4"/>
  <c r="BZ25" i="4"/>
  <c r="DC25" i="4"/>
  <c r="BX25" i="4"/>
  <c r="FO26" i="4"/>
  <c r="CE29" i="4"/>
  <c r="CD29" i="4" s="1"/>
  <c r="CH29" i="4"/>
  <c r="CG29" i="4" s="1"/>
  <c r="DG33" i="4"/>
  <c r="DA33" i="4"/>
  <c r="BX33" i="4"/>
  <c r="DF33" i="4"/>
  <c r="CZ33" i="4"/>
  <c r="CC33" i="4"/>
  <c r="BW33" i="4"/>
  <c r="DE33" i="4"/>
  <c r="CY33" i="4"/>
  <c r="CB33" i="4"/>
  <c r="BV33" i="4"/>
  <c r="BU33" i="4" s="1"/>
  <c r="DD33" i="4"/>
  <c r="CX33" i="4"/>
  <c r="DH33" i="4"/>
  <c r="DB33" i="4"/>
  <c r="BY33" i="4"/>
  <c r="BZ33" i="4"/>
  <c r="AY34" i="4"/>
  <c r="Z37" i="6"/>
  <c r="AM30" i="6"/>
  <c r="CD37" i="6"/>
  <c r="DQ37" i="2"/>
  <c r="AA6" i="4"/>
  <c r="BZ6" i="4" s="1"/>
  <c r="AH6" i="4"/>
  <c r="AI6" i="4" s="1"/>
  <c r="X7" i="4"/>
  <c r="AE7" i="4"/>
  <c r="AT7" i="4"/>
  <c r="BQ7" i="4"/>
  <c r="CD7" i="4"/>
  <c r="CS7" i="4"/>
  <c r="AI8" i="4"/>
  <c r="BS8" i="4"/>
  <c r="BZ8" i="4"/>
  <c r="CH8" i="4"/>
  <c r="CG8" i="4" s="1"/>
  <c r="CY8" i="4"/>
  <c r="DE8" i="4"/>
  <c r="CV9" i="4"/>
  <c r="CU9" i="4" s="1"/>
  <c r="AO11" i="4"/>
  <c r="CS11" i="4" s="1"/>
  <c r="CL12" i="4"/>
  <c r="CV12" i="4"/>
  <c r="AQ13" i="4"/>
  <c r="BR13" i="4"/>
  <c r="AO14" i="4"/>
  <c r="CV14" i="4"/>
  <c r="AI15" i="4"/>
  <c r="AI16" i="4"/>
  <c r="AO17" i="4"/>
  <c r="CS17" i="4" s="1"/>
  <c r="AM18" i="4"/>
  <c r="BS18" i="4"/>
  <c r="AO19" i="4"/>
  <c r="CS19" i="4" s="1"/>
  <c r="BT19" i="4"/>
  <c r="AE20" i="4"/>
  <c r="AS20" i="4"/>
  <c r="BS20" i="4"/>
  <c r="BY20" i="4"/>
  <c r="CH20" i="4"/>
  <c r="CG20" i="4" s="1"/>
  <c r="CF20" i="4" s="1"/>
  <c r="CE20" i="4" s="1"/>
  <c r="DB20" i="4"/>
  <c r="DA20" i="4" s="1"/>
  <c r="DH20" i="4"/>
  <c r="BT21" i="4"/>
  <c r="O22" i="4"/>
  <c r="AL22" i="4"/>
  <c r="AM22" i="4" s="1"/>
  <c r="AS22" i="4"/>
  <c r="BT22" i="4"/>
  <c r="O23" i="4"/>
  <c r="BS23" i="4"/>
  <c r="CP23" i="4"/>
  <c r="BQ24" i="4"/>
  <c r="BQ25" i="4"/>
  <c r="CV25" i="4"/>
  <c r="AE26" i="4"/>
  <c r="BT26" i="4"/>
  <c r="BS26" i="4" s="1"/>
  <c r="CV26" i="4"/>
  <c r="DC26" i="4"/>
  <c r="AE27" i="4"/>
  <c r="BR27" i="4"/>
  <c r="CS27" i="4"/>
  <c r="AE28" i="4"/>
  <c r="BS28" i="4"/>
  <c r="BZ28" i="4"/>
  <c r="CZ28" i="4"/>
  <c r="DF28" i="4"/>
  <c r="AQ29" i="4"/>
  <c r="BR29" i="4"/>
  <c r="AS30" i="4"/>
  <c r="BR30" i="4"/>
  <c r="BQ31" i="4"/>
  <c r="O32" i="4"/>
  <c r="BS32" i="4"/>
  <c r="BR33" i="4"/>
  <c r="CS33" i="4"/>
  <c r="CR33" i="4" s="1"/>
  <c r="AE6" i="6"/>
  <c r="AH6" i="6"/>
  <c r="BB37" i="6"/>
  <c r="FD7" i="6"/>
  <c r="DC8" i="6"/>
  <c r="CB8" i="6"/>
  <c r="BV8" i="6"/>
  <c r="DH8" i="6"/>
  <c r="DB8" i="6"/>
  <c r="DG8" i="6"/>
  <c r="DA8" i="6"/>
  <c r="DF8" i="6"/>
  <c r="CZ8" i="6"/>
  <c r="CH8" i="6"/>
  <c r="CG8" i="6" s="1"/>
  <c r="CF8" i="6" s="1"/>
  <c r="BY8" i="6"/>
  <c r="DD8" i="6"/>
  <c r="CX8" i="6"/>
  <c r="BW8" i="6"/>
  <c r="AQ8" i="6"/>
  <c r="AQ37" i="6" s="1"/>
  <c r="AS8" i="6"/>
  <c r="CC8" i="6" s="1"/>
  <c r="BX8" i="6"/>
  <c r="BG9" i="6"/>
  <c r="DG12" i="6"/>
  <c r="DA12" i="6"/>
  <c r="DF12" i="6"/>
  <c r="CZ12" i="6"/>
  <c r="BZ12" i="6"/>
  <c r="DE12" i="6"/>
  <c r="CY12" i="6"/>
  <c r="CH12" i="6"/>
  <c r="CG12" i="6" s="1"/>
  <c r="BY12" i="6"/>
  <c r="DD12" i="6"/>
  <c r="CX12" i="6"/>
  <c r="BX12" i="6"/>
  <c r="DH12" i="6"/>
  <c r="DB12" i="6"/>
  <c r="CB12" i="6"/>
  <c r="BV12" i="6"/>
  <c r="BU12" i="6" s="1"/>
  <c r="AL13" i="6"/>
  <c r="AM13" i="6" s="1"/>
  <c r="BO15" i="6"/>
  <c r="BT15" i="6"/>
  <c r="BS15" i="6"/>
  <c r="BR15" i="6"/>
  <c r="O15" i="6"/>
  <c r="BP15" i="6"/>
  <c r="CS15" i="6"/>
  <c r="CR15" i="6" s="1"/>
  <c r="BU17" i="6"/>
  <c r="BO17" i="6"/>
  <c r="BT17" i="6"/>
  <c r="BS17" i="6"/>
  <c r="BR17" i="6"/>
  <c r="BP17" i="6"/>
  <c r="CU17" i="6"/>
  <c r="AD20" i="6"/>
  <c r="AE20" i="6" s="1"/>
  <c r="FD23" i="6"/>
  <c r="DP24" i="6"/>
  <c r="DC24" i="6"/>
  <c r="BY24" i="6"/>
  <c r="DH24" i="6"/>
  <c r="DB24" i="6"/>
  <c r="BX24" i="6"/>
  <c r="DG24" i="6"/>
  <c r="DA24" i="6"/>
  <c r="BW24" i="6"/>
  <c r="DF24" i="6"/>
  <c r="CZ24" i="6"/>
  <c r="CY24" i="6" s="1"/>
  <c r="CB24" i="6"/>
  <c r="BV24" i="6"/>
  <c r="DJ24" i="6"/>
  <c r="DD24" i="6"/>
  <c r="BZ24" i="6"/>
  <c r="BG25" i="6"/>
  <c r="DH25" i="6" s="1"/>
  <c r="DC25" i="6"/>
  <c r="AD28" i="6"/>
  <c r="CF28" i="6"/>
  <c r="BG30" i="6"/>
  <c r="AA31" i="6"/>
  <c r="BU31" i="6" s="1"/>
  <c r="AE34" i="6"/>
  <c r="AH34" i="6"/>
  <c r="CL34" i="6" s="1"/>
  <c r="CJ34" i="6"/>
  <c r="AI35" i="6"/>
  <c r="CS18" i="4"/>
  <c r="BP19" i="4"/>
  <c r="CV19" i="4"/>
  <c r="CV20" i="4"/>
  <c r="CU20" i="4" s="1"/>
  <c r="AI21" i="4"/>
  <c r="FN22" i="4"/>
  <c r="BO23" i="4"/>
  <c r="AE25" i="4"/>
  <c r="BS25" i="4"/>
  <c r="CP26" i="4"/>
  <c r="AE29" i="4"/>
  <c r="AI31" i="4"/>
  <c r="AQ31" i="4"/>
  <c r="BO32" i="4"/>
  <c r="AE33" i="4"/>
  <c r="S37" i="6"/>
  <c r="AJ37" i="6"/>
  <c r="AT6" i="6"/>
  <c r="AU37" i="6"/>
  <c r="AL8" i="6"/>
  <c r="AM8" i="6" s="1"/>
  <c r="CN8" i="6"/>
  <c r="AM17" i="6"/>
  <c r="AE18" i="6"/>
  <c r="AI18" i="6"/>
  <c r="AH18" i="6"/>
  <c r="X20" i="6"/>
  <c r="BR20" i="6"/>
  <c r="CN24" i="6"/>
  <c r="DC26" i="6"/>
  <c r="CB26" i="6"/>
  <c r="BV26" i="6"/>
  <c r="BU26" i="6" s="1"/>
  <c r="DH26" i="6"/>
  <c r="DB26" i="6"/>
  <c r="DG26" i="6"/>
  <c r="DA26" i="6"/>
  <c r="BZ26" i="6"/>
  <c r="DF26" i="6"/>
  <c r="CZ26" i="6"/>
  <c r="CH26" i="6"/>
  <c r="CG26" i="6" s="1"/>
  <c r="BY26" i="6"/>
  <c r="DD26" i="6"/>
  <c r="CX26" i="6"/>
  <c r="BW26" i="6"/>
  <c r="X28" i="6"/>
  <c r="BR28" i="6"/>
  <c r="AO28" i="6"/>
  <c r="CS28" i="6" s="1"/>
  <c r="CU28" i="6"/>
  <c r="CF29" i="6"/>
  <c r="CE29" i="6" s="1"/>
  <c r="AD29" i="6"/>
  <c r="AE29" i="6" s="1"/>
  <c r="BT31" i="6"/>
  <c r="BS31" i="6"/>
  <c r="BR31" i="6"/>
  <c r="BQ31" i="6"/>
  <c r="BO31" i="6"/>
  <c r="AT33" i="6"/>
  <c r="AS33" i="6"/>
  <c r="CE33" i="6" s="1"/>
  <c r="BP6" i="8"/>
  <c r="BT6" i="8"/>
  <c r="N37" i="8"/>
  <c r="BS6" i="8"/>
  <c r="BQ6" i="8"/>
  <c r="BR6" i="8"/>
  <c r="BO6" i="8"/>
  <c r="BU6" i="8"/>
  <c r="CK6" i="8"/>
  <c r="AG37" i="8"/>
  <c r="BT7" i="4"/>
  <c r="AM8" i="4"/>
  <c r="BP8" i="4"/>
  <c r="BW8" i="4"/>
  <c r="CC8" i="4"/>
  <c r="CS8" i="4"/>
  <c r="DB8" i="4"/>
  <c r="DH8" i="4"/>
  <c r="X9" i="4"/>
  <c r="X12" i="4"/>
  <c r="AE12" i="4"/>
  <c r="AM13" i="4"/>
  <c r="BO13" i="4"/>
  <c r="CL13" i="4"/>
  <c r="AE14" i="4"/>
  <c r="AM15" i="4"/>
  <c r="CP15" i="4"/>
  <c r="X16" i="4"/>
  <c r="AE16" i="4"/>
  <c r="AM16" i="4"/>
  <c r="AQ18" i="4"/>
  <c r="BP18" i="4"/>
  <c r="X19" i="4"/>
  <c r="AE19" i="4"/>
  <c r="BQ19" i="4"/>
  <c r="AI20" i="4"/>
  <c r="AO20" i="4"/>
  <c r="BP20" i="4"/>
  <c r="BV20" i="4"/>
  <c r="CB20" i="4"/>
  <c r="CX20" i="4"/>
  <c r="DE20" i="4"/>
  <c r="BQ21" i="4"/>
  <c r="CD21" i="4"/>
  <c r="CV21" i="4"/>
  <c r="AO22" i="4"/>
  <c r="CS22" i="4" s="1"/>
  <c r="BQ22" i="4"/>
  <c r="AT23" i="4"/>
  <c r="BP23" i="4"/>
  <c r="CV23" i="4"/>
  <c r="AO24" i="4"/>
  <c r="BT24" i="4"/>
  <c r="AM25" i="4"/>
  <c r="BT25" i="4"/>
  <c r="CR25" i="4"/>
  <c r="AI26" i="4"/>
  <c r="AO26" i="4"/>
  <c r="BP26" i="4"/>
  <c r="BX26" i="4"/>
  <c r="CH26" i="4"/>
  <c r="CG26" i="4" s="1"/>
  <c r="CF26" i="4" s="1"/>
  <c r="CE26" i="4" s="1"/>
  <c r="CD26" i="4" s="1"/>
  <c r="CZ26" i="4"/>
  <c r="DF26" i="4"/>
  <c r="AI27" i="4"/>
  <c r="AO27" i="4"/>
  <c r="BO27" i="4"/>
  <c r="BU27" i="4"/>
  <c r="CL27" i="4"/>
  <c r="AI28" i="4"/>
  <c r="AO28" i="4"/>
  <c r="BP28" i="4"/>
  <c r="BW28" i="4"/>
  <c r="CC28" i="4"/>
  <c r="DC28" i="4"/>
  <c r="BO29" i="4"/>
  <c r="BU29" i="4"/>
  <c r="CJ29" i="4"/>
  <c r="CV29" i="4"/>
  <c r="CU29" i="4" s="1"/>
  <c r="BO30" i="4"/>
  <c r="CP30" i="4"/>
  <c r="CO30" i="4" s="1"/>
  <c r="CN30" i="4" s="1"/>
  <c r="AS31" i="4"/>
  <c r="CE31" i="4" s="1"/>
  <c r="BT31" i="4"/>
  <c r="CV31" i="4"/>
  <c r="BP32" i="4"/>
  <c r="CU32" i="4"/>
  <c r="AM33" i="4"/>
  <c r="BO33" i="4"/>
  <c r="AB37" i="6"/>
  <c r="CO37" i="6"/>
  <c r="AV6" i="6"/>
  <c r="AV37" i="6" s="1"/>
  <c r="AW37" i="6"/>
  <c r="AS6" i="6"/>
  <c r="BG6" i="6"/>
  <c r="CJ6" i="6"/>
  <c r="AA8" i="6"/>
  <c r="BZ8" i="6" s="1"/>
  <c r="CY8" i="6"/>
  <c r="AD12" i="6"/>
  <c r="CF12" i="6"/>
  <c r="BO13" i="6"/>
  <c r="BL13" i="6"/>
  <c r="CJ18" i="6"/>
  <c r="DG20" i="6"/>
  <c r="CZ20" i="6"/>
  <c r="DF20" i="6"/>
  <c r="CY20" i="6"/>
  <c r="BZ20" i="6"/>
  <c r="DE20" i="6"/>
  <c r="DD20" i="6" s="1"/>
  <c r="CX20" i="6"/>
  <c r="BY20" i="6"/>
  <c r="DC20" i="6"/>
  <c r="BX20" i="6"/>
  <c r="DH20" i="6"/>
  <c r="DA20" i="6"/>
  <c r="CB20" i="6"/>
  <c r="BV20" i="6"/>
  <c r="BW20" i="6"/>
  <c r="CH21" i="6"/>
  <c r="AA22" i="6"/>
  <c r="AE24" i="6"/>
  <c r="DH28" i="6"/>
  <c r="DA28" i="6"/>
  <c r="DG28" i="6"/>
  <c r="CZ28" i="6"/>
  <c r="DF28" i="6"/>
  <c r="CY28" i="6"/>
  <c r="CH28" i="6"/>
  <c r="CG28" i="6" s="1"/>
  <c r="BY28" i="6"/>
  <c r="DE28" i="6"/>
  <c r="CX28" i="6"/>
  <c r="BX28" i="6"/>
  <c r="DC28" i="6"/>
  <c r="DB28" i="6" s="1"/>
  <c r="CB28" i="6"/>
  <c r="BV28" i="6"/>
  <c r="AT34" i="6"/>
  <c r="AS34" i="6"/>
  <c r="AT35" i="6"/>
  <c r="AS35" i="6"/>
  <c r="T37" i="6"/>
  <c r="BJ8" i="8"/>
  <c r="BI8" i="8" s="1"/>
  <c r="X6" i="4"/>
  <c r="X34" i="4" s="1"/>
  <c r="AE6" i="4"/>
  <c r="AI7" i="4"/>
  <c r="BO7" i="4"/>
  <c r="BQ8" i="4"/>
  <c r="CV8" i="4"/>
  <c r="CU8" i="4" s="1"/>
  <c r="X11" i="4"/>
  <c r="CU11" i="4"/>
  <c r="CS12" i="4"/>
  <c r="CR12" i="4" s="1"/>
  <c r="AO13" i="4"/>
  <c r="CS13" i="4" s="1"/>
  <c r="CR13" i="4" s="1"/>
  <c r="CV13" i="4"/>
  <c r="AT14" i="4"/>
  <c r="CJ14" i="4"/>
  <c r="CS15" i="4"/>
  <c r="CR15" i="4" s="1"/>
  <c r="AO16" i="4"/>
  <c r="CS16" i="4" s="1"/>
  <c r="CV16" i="4"/>
  <c r="CU16" i="4" s="1"/>
  <c r="FO16" i="4"/>
  <c r="FN16" i="4" s="1"/>
  <c r="X17" i="4"/>
  <c r="AE17" i="4"/>
  <c r="CP17" i="4"/>
  <c r="CO17" i="4" s="1"/>
  <c r="CN17" i="4" s="1"/>
  <c r="CL18" i="4"/>
  <c r="CV18" i="4"/>
  <c r="BR19" i="4"/>
  <c r="AQ20" i="4"/>
  <c r="BW20" i="4"/>
  <c r="CC20" i="4"/>
  <c r="CY20" i="4"/>
  <c r="DF20" i="4"/>
  <c r="AD21" i="4"/>
  <c r="AL21" i="4"/>
  <c r="CP21" i="4" s="1"/>
  <c r="CO21" i="4" s="1"/>
  <c r="CN21" i="4" s="1"/>
  <c r="AI22" i="4"/>
  <c r="BR22" i="4"/>
  <c r="BQ23" i="4"/>
  <c r="AI24" i="4"/>
  <c r="AQ24" i="4"/>
  <c r="CV24" i="4" s="1"/>
  <c r="CP24" i="4"/>
  <c r="CO24" i="4" s="1"/>
  <c r="CN24" i="4" s="1"/>
  <c r="AH25" i="4"/>
  <c r="CL25" i="4" s="1"/>
  <c r="CK25" i="4" s="1"/>
  <c r="CJ25" i="4" s="1"/>
  <c r="AO25" i="4"/>
  <c r="CS25" i="4" s="1"/>
  <c r="BY26" i="4"/>
  <c r="CS26" i="4"/>
  <c r="DA26" i="4"/>
  <c r="DG26" i="4"/>
  <c r="AQ27" i="4"/>
  <c r="CV27" i="4" s="1"/>
  <c r="CU27" i="4" s="1"/>
  <c r="CP27" i="4"/>
  <c r="CO27" i="4" s="1"/>
  <c r="CN27" i="4" s="1"/>
  <c r="AQ28" i="4"/>
  <c r="CV28" i="4" s="1"/>
  <c r="BX28" i="4"/>
  <c r="CX28" i="4"/>
  <c r="DD28" i="4"/>
  <c r="AH29" i="4"/>
  <c r="CL29" i="4"/>
  <c r="BP30" i="4"/>
  <c r="O31" i="4"/>
  <c r="AL31" i="4"/>
  <c r="CP31" i="4" s="1"/>
  <c r="CO31" i="4" s="1"/>
  <c r="CN31" i="4" s="1"/>
  <c r="AT31" i="4"/>
  <c r="BQ32" i="4"/>
  <c r="CE32" i="4"/>
  <c r="CD32" i="4" s="1"/>
  <c r="CV32" i="4"/>
  <c r="AH33" i="4"/>
  <c r="CL33" i="4" s="1"/>
  <c r="CK33" i="4" s="1"/>
  <c r="CJ33" i="4" s="1"/>
  <c r="AO33" i="4"/>
  <c r="M37" i="6"/>
  <c r="U37" i="6"/>
  <c r="CG37" i="6"/>
  <c r="AY37" i="6"/>
  <c r="CN12" i="6"/>
  <c r="CS13" i="6"/>
  <c r="CR13" i="6" s="1"/>
  <c r="X18" i="6"/>
  <c r="BS18" i="6"/>
  <c r="FD20" i="6"/>
  <c r="CF22" i="6"/>
  <c r="AD22" i="6"/>
  <c r="CX24" i="6"/>
  <c r="BU25" i="6"/>
  <c r="AA26" i="6"/>
  <c r="BO27" i="6"/>
  <c r="BT27" i="6"/>
  <c r="BS27" i="6"/>
  <c r="BR27" i="6"/>
  <c r="O27" i="6"/>
  <c r="BP27" i="6"/>
  <c r="BO30" i="6"/>
  <c r="BT30" i="6"/>
  <c r="BS30" i="6"/>
  <c r="BR30" i="6"/>
  <c r="O30" i="6"/>
  <c r="BP30" i="6"/>
  <c r="AO30" i="6"/>
  <c r="CS30" i="6" s="1"/>
  <c r="AQ30" i="6"/>
  <c r="CV30" i="6" s="1"/>
  <c r="CU30" i="6" s="1"/>
  <c r="BQ30" i="6"/>
  <c r="AI31" i="6"/>
  <c r="CN31" i="6"/>
  <c r="AL31" i="6"/>
  <c r="AM31" i="6" s="1"/>
  <c r="CE35" i="6"/>
  <c r="CS35" i="2"/>
  <c r="AH36" i="2"/>
  <c r="AI36" i="2" s="1"/>
  <c r="CP36" i="2"/>
  <c r="AO6" i="4"/>
  <c r="O7" i="4"/>
  <c r="AS7" i="4"/>
  <c r="CE7" i="4" s="1"/>
  <c r="AQ8" i="4"/>
  <c r="AQ34" i="4" s="1"/>
  <c r="BY8" i="4"/>
  <c r="CX8" i="4"/>
  <c r="DD8" i="4"/>
  <c r="CS9" i="4"/>
  <c r="AE10" i="4"/>
  <c r="CV10" i="4"/>
  <c r="CU10" i="4" s="1"/>
  <c r="CE11" i="4"/>
  <c r="CD11" i="4" s="1"/>
  <c r="CV11" i="4"/>
  <c r="CL14" i="4"/>
  <c r="AE18" i="4"/>
  <c r="BX20" i="4"/>
  <c r="CP20" i="4"/>
  <c r="CZ20" i="4"/>
  <c r="DG20" i="4"/>
  <c r="AE21" i="4"/>
  <c r="AM21" i="4"/>
  <c r="BS21" i="4"/>
  <c r="CE23" i="4"/>
  <c r="CN23" i="4"/>
  <c r="AI25" i="4"/>
  <c r="DB26" i="4"/>
  <c r="DH26" i="4"/>
  <c r="BY28" i="4"/>
  <c r="CH28" i="4"/>
  <c r="CG28" i="4" s="1"/>
  <c r="CP28" i="4"/>
  <c r="CY28" i="4"/>
  <c r="AI29" i="4"/>
  <c r="CP29" i="4"/>
  <c r="CO29" i="4" s="1"/>
  <c r="CN29" i="4" s="1"/>
  <c r="CE30" i="4"/>
  <c r="CD30" i="4" s="1"/>
  <c r="AE31" i="4"/>
  <c r="AM31" i="4"/>
  <c r="CE33" i="4"/>
  <c r="CD33" i="4" s="1"/>
  <c r="Y34" i="4"/>
  <c r="AW34" i="4"/>
  <c r="V37" i="6"/>
  <c r="BG13" i="6"/>
  <c r="AM19" i="6"/>
  <c r="CR19" i="6"/>
  <c r="AA20" i="6"/>
  <c r="BU20" i="6" s="1"/>
  <c r="DE24" i="6"/>
  <c r="CK25" i="6"/>
  <c r="CJ25" i="6" s="1"/>
  <c r="CY26" i="6"/>
  <c r="BL26" i="6"/>
  <c r="AA27" i="6"/>
  <c r="BG27" i="6"/>
  <c r="AA28" i="6"/>
  <c r="BU28" i="6" s="1"/>
  <c r="AA30" i="6"/>
  <c r="CD33" i="6"/>
  <c r="FD36" i="6"/>
  <c r="AF37" i="6"/>
  <c r="O6" i="6"/>
  <c r="BP6" i="6"/>
  <c r="BS7" i="6"/>
  <c r="BZ7" i="6"/>
  <c r="AO8" i="6"/>
  <c r="BP8" i="6"/>
  <c r="AE9" i="6"/>
  <c r="BR9" i="6"/>
  <c r="BY9" i="6"/>
  <c r="CH9" i="6"/>
  <c r="CG9" i="6" s="1"/>
  <c r="CP9" i="6"/>
  <c r="CO9" i="6" s="1"/>
  <c r="CN9" i="6" s="1"/>
  <c r="CY9" i="6"/>
  <c r="DE9" i="6"/>
  <c r="AO10" i="6"/>
  <c r="BT10" i="6"/>
  <c r="AM11" i="6"/>
  <c r="BS11" i="6"/>
  <c r="AO12" i="6"/>
  <c r="CS12" i="6" s="1"/>
  <c r="BO12" i="6"/>
  <c r="AI13" i="6"/>
  <c r="BT13" i="6"/>
  <c r="AT14" i="6"/>
  <c r="BT14" i="6"/>
  <c r="CV14" i="6"/>
  <c r="O16" i="6"/>
  <c r="BP16" i="6"/>
  <c r="BQ18" i="6"/>
  <c r="BX18" i="6"/>
  <c r="CE18" i="6"/>
  <c r="CD18" i="6" s="1"/>
  <c r="CX18" i="6"/>
  <c r="DD18" i="6"/>
  <c r="AE19" i="6"/>
  <c r="AM20" i="6"/>
  <c r="BP20" i="6"/>
  <c r="BT21" i="6"/>
  <c r="BZ21" i="6"/>
  <c r="DA21" i="6"/>
  <c r="DG21" i="6"/>
  <c r="AE23" i="6"/>
  <c r="AL23" i="6"/>
  <c r="AM23" i="6" s="1"/>
  <c r="AT23" i="6"/>
  <c r="BT23" i="6"/>
  <c r="BT24" i="6"/>
  <c r="CV24" i="6"/>
  <c r="CU24" i="6" s="1"/>
  <c r="X25" i="6"/>
  <c r="AE25" i="6"/>
  <c r="AL25" i="6"/>
  <c r="AM25" i="6" s="1"/>
  <c r="AT25" i="6"/>
  <c r="BT25" i="6"/>
  <c r="DA25" i="6"/>
  <c r="DG25" i="6"/>
  <c r="AI26" i="6"/>
  <c r="BP26" i="6"/>
  <c r="AH27" i="6"/>
  <c r="AI27" i="6" s="1"/>
  <c r="AH28" i="6"/>
  <c r="BP28" i="6"/>
  <c r="BO29" i="6"/>
  <c r="CL29" i="6"/>
  <c r="BT32" i="6"/>
  <c r="BP33" i="6"/>
  <c r="BR34" i="6"/>
  <c r="CV34" i="6"/>
  <c r="CU34" i="6" s="1"/>
  <c r="BS35" i="6"/>
  <c r="X36" i="6"/>
  <c r="AE36" i="6"/>
  <c r="AL36" i="6"/>
  <c r="AS36" i="6"/>
  <c r="CC36" i="6" s="1"/>
  <c r="BS36" i="6"/>
  <c r="BZ36" i="6"/>
  <c r="DA36" i="6"/>
  <c r="DG36" i="6"/>
  <c r="CJ37" i="8"/>
  <c r="AA9" i="8"/>
  <c r="BZ9" i="8" s="1"/>
  <c r="AO10" i="8"/>
  <c r="AO37" i="8" s="1"/>
  <c r="CU10" i="8"/>
  <c r="AQ10" i="8"/>
  <c r="BT11" i="8"/>
  <c r="BS11" i="8"/>
  <c r="BR11" i="8"/>
  <c r="BQ11" i="8"/>
  <c r="O11" i="8"/>
  <c r="BO11" i="8"/>
  <c r="BP11" i="8"/>
  <c r="CV8" i="8"/>
  <c r="BT12" i="8"/>
  <c r="BS12" i="8"/>
  <c r="BR12" i="8"/>
  <c r="BQ12" i="8"/>
  <c r="BO12" i="8"/>
  <c r="AM7" i="6"/>
  <c r="CL7" i="6"/>
  <c r="AO9" i="6"/>
  <c r="AI10" i="6"/>
  <c r="BP10" i="6"/>
  <c r="AO11" i="6"/>
  <c r="CS11" i="6" s="1"/>
  <c r="BO11" i="6"/>
  <c r="CL11" i="6"/>
  <c r="CK11" i="6" s="1"/>
  <c r="CJ11" i="6" s="1"/>
  <c r="AQ12" i="6"/>
  <c r="CV12" i="6" s="1"/>
  <c r="CV13" i="6"/>
  <c r="CU13" i="6" s="1"/>
  <c r="CP14" i="6"/>
  <c r="AE16" i="6"/>
  <c r="AQ17" i="6"/>
  <c r="CV17" i="6" s="1"/>
  <c r="CD17" i="6"/>
  <c r="CN17" i="6"/>
  <c r="AM18" i="6"/>
  <c r="CR18" i="6"/>
  <c r="AO19" i="6"/>
  <c r="AQ20" i="6"/>
  <c r="CD20" i="6"/>
  <c r="BV21" i="6"/>
  <c r="CB21" i="6"/>
  <c r="CL21" i="6"/>
  <c r="CK21" i="6" s="1"/>
  <c r="CJ21" i="6" s="1"/>
  <c r="BP23" i="6"/>
  <c r="CL25" i="6"/>
  <c r="CP26" i="6"/>
  <c r="CS27" i="6"/>
  <c r="AQ28" i="6"/>
  <c r="CV28" i="6" s="1"/>
  <c r="CN28" i="6"/>
  <c r="BQ29" i="6"/>
  <c r="CE31" i="6"/>
  <c r="CD31" i="6" s="1"/>
  <c r="CV33" i="6"/>
  <c r="CU33" i="6" s="1"/>
  <c r="BU36" i="6"/>
  <c r="AL6" i="8"/>
  <c r="CP6" i="8" s="1"/>
  <c r="CN6" i="8"/>
  <c r="AJ37" i="8"/>
  <c r="AD7" i="8"/>
  <c r="CN12" i="8"/>
  <c r="AL12" i="8"/>
  <c r="CP12" i="8" s="1"/>
  <c r="AM6" i="6"/>
  <c r="AX6" i="6"/>
  <c r="AX37" i="6" s="1"/>
  <c r="BS6" i="6"/>
  <c r="AO7" i="6"/>
  <c r="CS7" i="6" s="1"/>
  <c r="AV7" i="6"/>
  <c r="BP7" i="6"/>
  <c r="CD7" i="6"/>
  <c r="FO7" i="6"/>
  <c r="X8" i="6"/>
  <c r="AE8" i="6"/>
  <c r="AT8" i="6"/>
  <c r="BS8" i="6"/>
  <c r="CS8" i="6"/>
  <c r="AI9" i="6"/>
  <c r="AQ9" i="6"/>
  <c r="CV9" i="6" s="1"/>
  <c r="CU9" i="6" s="1"/>
  <c r="BO9" i="6"/>
  <c r="BV9" i="6"/>
  <c r="BU9" i="6" s="1"/>
  <c r="CB9" i="6"/>
  <c r="DB9" i="6"/>
  <c r="DH9" i="6"/>
  <c r="O10" i="6"/>
  <c r="AS10" i="6"/>
  <c r="BQ10" i="6"/>
  <c r="CD10" i="6"/>
  <c r="O11" i="6"/>
  <c r="AQ11" i="6"/>
  <c r="CV11" i="6" s="1"/>
  <c r="BP11" i="6"/>
  <c r="AS12" i="6"/>
  <c r="CC12" i="6" s="1"/>
  <c r="BR12" i="6"/>
  <c r="BQ13" i="6"/>
  <c r="AO14" i="6"/>
  <c r="CS14" i="6" s="1"/>
  <c r="BQ14" i="6"/>
  <c r="AQ15" i="6"/>
  <c r="CV15" i="6"/>
  <c r="FO15" i="6"/>
  <c r="BS16" i="6"/>
  <c r="AS17" i="6"/>
  <c r="CE17" i="6" s="1"/>
  <c r="AO18" i="6"/>
  <c r="BT18" i="6"/>
  <c r="CS18" i="6"/>
  <c r="DA18" i="6"/>
  <c r="DG18" i="6"/>
  <c r="AI19" i="6"/>
  <c r="AQ19" i="6"/>
  <c r="BR19" i="6"/>
  <c r="BQ19" i="6" s="1"/>
  <c r="AS20" i="6"/>
  <c r="CC20" i="6" s="1"/>
  <c r="BS20" i="6"/>
  <c r="AS21" i="6"/>
  <c r="CE21" i="6" s="1"/>
  <c r="BQ21" i="6"/>
  <c r="BW21" i="6"/>
  <c r="CC21" i="6"/>
  <c r="CV21" i="6"/>
  <c r="DD21" i="6"/>
  <c r="AS22" i="6"/>
  <c r="CE22" i="6" s="1"/>
  <c r="CD22" i="6"/>
  <c r="CL22" i="6"/>
  <c r="CS22" i="6"/>
  <c r="O23" i="6"/>
  <c r="AI23" i="6"/>
  <c r="AO23" i="6"/>
  <c r="BQ23" i="6"/>
  <c r="CL23" i="6"/>
  <c r="CU23" i="6"/>
  <c r="X24" i="6"/>
  <c r="AS24" i="6"/>
  <c r="CC24" i="6" s="1"/>
  <c r="BQ24" i="6"/>
  <c r="AO25" i="6"/>
  <c r="CS25" i="6" s="1"/>
  <c r="BQ25" i="6"/>
  <c r="BX25" i="6"/>
  <c r="CX25" i="6"/>
  <c r="DD25" i="6"/>
  <c r="X26" i="6"/>
  <c r="AE26" i="6"/>
  <c r="AM26" i="6"/>
  <c r="AS26" i="6"/>
  <c r="CC26" i="6" s="1"/>
  <c r="BS26" i="6"/>
  <c r="CR26" i="6"/>
  <c r="CV27" i="6"/>
  <c r="CU27" i="6" s="1"/>
  <c r="AS28" i="6"/>
  <c r="CC28" i="6" s="1"/>
  <c r="BS28" i="6"/>
  <c r="BR29" i="6"/>
  <c r="CS29" i="6"/>
  <c r="CR29" i="6" s="1"/>
  <c r="AS31" i="6"/>
  <c r="CV31" i="6"/>
  <c r="CU31" i="6" s="1"/>
  <c r="BQ32" i="6"/>
  <c r="CL32" i="6"/>
  <c r="AM33" i="6"/>
  <c r="BS33" i="6"/>
  <c r="BO34" i="6"/>
  <c r="AO35" i="6"/>
  <c r="BP35" i="6"/>
  <c r="CP35" i="6"/>
  <c r="CO35" i="6" s="1"/>
  <c r="CN35" i="6" s="1"/>
  <c r="AI36" i="6"/>
  <c r="AO36" i="6"/>
  <c r="CS36" i="6" s="1"/>
  <c r="BP36" i="6"/>
  <c r="BW36" i="6"/>
  <c r="CL36" i="6"/>
  <c r="CV36" i="6"/>
  <c r="CU36" i="6" s="1"/>
  <c r="DD36" i="6"/>
  <c r="AN37" i="6"/>
  <c r="DQ37" i="6"/>
  <c r="S37" i="8"/>
  <c r="Z37" i="8"/>
  <c r="AW37" i="8"/>
  <c r="FD6" i="8"/>
  <c r="CE8" i="8"/>
  <c r="CD8" i="8" s="1"/>
  <c r="BT10" i="8"/>
  <c r="BS10" i="8"/>
  <c r="BR10" i="8"/>
  <c r="BQ10" i="8"/>
  <c r="O10" i="8"/>
  <c r="BO10" i="8"/>
  <c r="CF11" i="8"/>
  <c r="AD11" i="8"/>
  <c r="BU32" i="8"/>
  <c r="AO6" i="6"/>
  <c r="AO37" i="6" s="1"/>
  <c r="CU6" i="6"/>
  <c r="O7" i="6"/>
  <c r="AX7" i="6"/>
  <c r="BQ7" i="6"/>
  <c r="BT8" i="6"/>
  <c r="CJ8" i="6"/>
  <c r="CU8" i="6"/>
  <c r="BP9" i="6"/>
  <c r="BW9" i="6"/>
  <c r="CC9" i="6"/>
  <c r="DC9" i="6"/>
  <c r="AL10" i="6"/>
  <c r="CP10" i="6" s="1"/>
  <c r="CO10" i="6" s="1"/>
  <c r="CN10" i="6" s="1"/>
  <c r="BR10" i="6"/>
  <c r="CE10" i="6"/>
  <c r="BQ11" i="6"/>
  <c r="CE11" i="6"/>
  <c r="CD11" i="6" s="1"/>
  <c r="CP11" i="6"/>
  <c r="AE12" i="6"/>
  <c r="AT12" i="6"/>
  <c r="BS12" i="6"/>
  <c r="BR13" i="6"/>
  <c r="AI14" i="6"/>
  <c r="BR14" i="6"/>
  <c r="X15" i="6"/>
  <c r="AE15" i="6"/>
  <c r="AL15" i="6"/>
  <c r="CP15" i="6" s="1"/>
  <c r="CO15" i="6" s="1"/>
  <c r="CN15" i="6" s="1"/>
  <c r="CJ15" i="6"/>
  <c r="AH16" i="6"/>
  <c r="AT16" i="6"/>
  <c r="BT16" i="6"/>
  <c r="CJ16" i="6"/>
  <c r="CV16" i="6"/>
  <c r="AE17" i="6"/>
  <c r="AL17" i="6"/>
  <c r="CP17" i="6" s="1"/>
  <c r="AT17" i="6"/>
  <c r="BO18" i="6"/>
  <c r="BV18" i="6"/>
  <c r="BU18" i="6" s="1"/>
  <c r="CB18" i="6"/>
  <c r="DB18" i="6"/>
  <c r="DH18" i="6"/>
  <c r="AS19" i="6"/>
  <c r="BS19" i="6"/>
  <c r="CJ19" i="6"/>
  <c r="AT20" i="6"/>
  <c r="BT20" i="6"/>
  <c r="CR20" i="6"/>
  <c r="AM21" i="6"/>
  <c r="AT21" i="6"/>
  <c r="BR21" i="6"/>
  <c r="BX21" i="6"/>
  <c r="CY21" i="6"/>
  <c r="CX21" i="6" s="1"/>
  <c r="DE21" i="6"/>
  <c r="AE22" i="6"/>
  <c r="CV22" i="6"/>
  <c r="CU22" i="6" s="1"/>
  <c r="BR23" i="6"/>
  <c r="CD23" i="6"/>
  <c r="CV23" i="6"/>
  <c r="BR24" i="6"/>
  <c r="CE24" i="6"/>
  <c r="CD24" i="6" s="1"/>
  <c r="BR25" i="6"/>
  <c r="BY25" i="6"/>
  <c r="CY25" i="6"/>
  <c r="DE25" i="6"/>
  <c r="BT26" i="6"/>
  <c r="CS26" i="6"/>
  <c r="X27" i="6"/>
  <c r="AE27" i="6"/>
  <c r="CL27" i="6"/>
  <c r="AE28" i="6"/>
  <c r="AL28" i="6"/>
  <c r="AM28" i="6" s="1"/>
  <c r="AT28" i="6"/>
  <c r="BT28" i="6"/>
  <c r="X29" i="6"/>
  <c r="BS29" i="6"/>
  <c r="X30" i="6"/>
  <c r="AE30" i="6"/>
  <c r="AL30" i="6"/>
  <c r="CP30" i="6" s="1"/>
  <c r="CO30" i="6" s="1"/>
  <c r="CN30" i="6" s="1"/>
  <c r="CJ30" i="6"/>
  <c r="AE31" i="6"/>
  <c r="BR32" i="6"/>
  <c r="CE32" i="6"/>
  <c r="AH33" i="6"/>
  <c r="AI33" i="6" s="1"/>
  <c r="BT33" i="6"/>
  <c r="CL33" i="6"/>
  <c r="CK33" i="6" s="1"/>
  <c r="CJ33" i="6" s="1"/>
  <c r="BP34" i="6"/>
  <c r="CP34" i="6"/>
  <c r="CO34" i="6" s="1"/>
  <c r="CN34" i="6" s="1"/>
  <c r="AD35" i="6"/>
  <c r="BQ35" i="6"/>
  <c r="BX36" i="6"/>
  <c r="CY36" i="6"/>
  <c r="CX36" i="6" s="1"/>
  <c r="DE36" i="6"/>
  <c r="T37" i="8"/>
  <c r="CF37" i="8"/>
  <c r="AM6" i="8"/>
  <c r="CK7" i="8"/>
  <c r="CJ7" i="8" s="1"/>
  <c r="BL15" i="8"/>
  <c r="BU17" i="8"/>
  <c r="CE26" i="8"/>
  <c r="CD26" i="8" s="1"/>
  <c r="CC26" i="8"/>
  <c r="CE31" i="8"/>
  <c r="CR7" i="6"/>
  <c r="CL8" i="6"/>
  <c r="CV8" i="6"/>
  <c r="BX9" i="6"/>
  <c r="CX9" i="6"/>
  <c r="DD9" i="6"/>
  <c r="AE10" i="6"/>
  <c r="AM10" i="6"/>
  <c r="CV10" i="6"/>
  <c r="CU10" i="6" s="1"/>
  <c r="AE11" i="6"/>
  <c r="CL13" i="6"/>
  <c r="AS14" i="6"/>
  <c r="CU14" i="6"/>
  <c r="FO14" i="6"/>
  <c r="FN14" i="6" s="1"/>
  <c r="AT15" i="6"/>
  <c r="CL15" i="6"/>
  <c r="AI16" i="6"/>
  <c r="CL16" i="6"/>
  <c r="BW18" i="6"/>
  <c r="CC18" i="6"/>
  <c r="CL18" i="6"/>
  <c r="CV18" i="6"/>
  <c r="CL19" i="6"/>
  <c r="CS19" i="6"/>
  <c r="BO20" i="6"/>
  <c r="CL20" i="6"/>
  <c r="CK20" i="6" s="1"/>
  <c r="CJ20" i="6" s="1"/>
  <c r="CS20" i="6"/>
  <c r="AO21" i="6"/>
  <c r="CS21" i="6" s="1"/>
  <c r="CR21" i="6" s="1"/>
  <c r="BY21" i="6"/>
  <c r="CZ21" i="6"/>
  <c r="DF21" i="6"/>
  <c r="AM22" i="6"/>
  <c r="AS23" i="6"/>
  <c r="CE23" i="6" s="1"/>
  <c r="CP23" i="6"/>
  <c r="AS25" i="6"/>
  <c r="CC25" i="6" s="1"/>
  <c r="BZ25" i="6"/>
  <c r="CZ25" i="6"/>
  <c r="CV26" i="6"/>
  <c r="CU26" i="6" s="1"/>
  <c r="AM27" i="6"/>
  <c r="BO28" i="6"/>
  <c r="CV29" i="6"/>
  <c r="CL30" i="6"/>
  <c r="CP31" i="6"/>
  <c r="O32" i="6"/>
  <c r="AQ32" i="6"/>
  <c r="CV32" i="6" s="1"/>
  <c r="CU32" i="6" s="1"/>
  <c r="CP32" i="6"/>
  <c r="BO33" i="6"/>
  <c r="O34" i="6"/>
  <c r="CS34" i="6"/>
  <c r="CR34" i="6" s="1"/>
  <c r="AE35" i="6"/>
  <c r="AQ35" i="6"/>
  <c r="CV35" i="6" s="1"/>
  <c r="CS35" i="6"/>
  <c r="AD36" i="6"/>
  <c r="CH36" i="6" s="1"/>
  <c r="BY36" i="6"/>
  <c r="CZ36" i="6"/>
  <c r="AP37" i="6"/>
  <c r="U37" i="8"/>
  <c r="AC37" i="8"/>
  <c r="AN37" i="8"/>
  <c r="BG6" i="8"/>
  <c r="BG37" i="8" s="1"/>
  <c r="AZ37" i="8"/>
  <c r="AA7" i="8"/>
  <c r="AL7" i="8"/>
  <c r="CN7" i="8"/>
  <c r="BG7" i="8"/>
  <c r="AH9" i="8"/>
  <c r="AI9" i="8" s="1"/>
  <c r="CG12" i="8"/>
  <c r="AD12" i="8"/>
  <c r="BP12" i="8"/>
  <c r="DP15" i="8"/>
  <c r="CF6" i="8"/>
  <c r="CE6" i="8" s="1"/>
  <c r="CD6" i="8" s="1"/>
  <c r="BP7" i="8"/>
  <c r="AQ8" i="8"/>
  <c r="BP8" i="8"/>
  <c r="X9" i="8"/>
  <c r="AT9" i="8"/>
  <c r="BS9" i="8"/>
  <c r="CX9" i="8"/>
  <c r="DD9" i="8"/>
  <c r="CP10" i="8"/>
  <c r="GJ10" i="8"/>
  <c r="CS11" i="8"/>
  <c r="CR11" i="8" s="1"/>
  <c r="AI12" i="8"/>
  <c r="AO12" i="8"/>
  <c r="AL13" i="8"/>
  <c r="AT13" i="8"/>
  <c r="BS13" i="8"/>
  <c r="CJ13" i="8"/>
  <c r="BQ14" i="8"/>
  <c r="AM15" i="8"/>
  <c r="AT15" i="8"/>
  <c r="BT15" i="8"/>
  <c r="CO15" i="8"/>
  <c r="DC15" i="8"/>
  <c r="BQ16" i="8"/>
  <c r="CD16" i="8"/>
  <c r="AH17" i="8"/>
  <c r="AI17" i="8" s="1"/>
  <c r="BP17" i="8"/>
  <c r="CK17" i="8"/>
  <c r="AM18" i="8"/>
  <c r="AT18" i="8"/>
  <c r="BS18" i="8"/>
  <c r="BZ18" i="8"/>
  <c r="CG18" i="8"/>
  <c r="CN18" i="8"/>
  <c r="CV18" i="8"/>
  <c r="DC18" i="8"/>
  <c r="AO19" i="8"/>
  <c r="BO19" i="8"/>
  <c r="BU19" i="8"/>
  <c r="CO19" i="8"/>
  <c r="BO20" i="8"/>
  <c r="CP20" i="8"/>
  <c r="BQ21" i="8"/>
  <c r="BX21" i="8"/>
  <c r="CY21" i="8"/>
  <c r="DE21" i="8"/>
  <c r="AM22" i="8"/>
  <c r="AT22" i="8"/>
  <c r="BO22" i="8"/>
  <c r="AH23" i="8"/>
  <c r="BP23" i="8"/>
  <c r="CK23" i="8"/>
  <c r="AD24" i="8"/>
  <c r="AE24" i="8" s="1"/>
  <c r="BQ24" i="8"/>
  <c r="CK24" i="8"/>
  <c r="X25" i="8"/>
  <c r="AL25" i="8"/>
  <c r="AT25" i="8"/>
  <c r="BT25" i="8"/>
  <c r="CV25" i="8"/>
  <c r="CU25" i="8" s="1"/>
  <c r="DC25" i="8"/>
  <c r="AM26" i="8"/>
  <c r="BO26" i="8"/>
  <c r="BV26" i="8"/>
  <c r="BU26" i="8" s="1"/>
  <c r="CB26" i="8"/>
  <c r="CK26" i="8"/>
  <c r="CZ26" i="8"/>
  <c r="CY26" i="8" s="1"/>
  <c r="DF26" i="8"/>
  <c r="AD27" i="8"/>
  <c r="AE27" i="8" s="1"/>
  <c r="AS27" i="8"/>
  <c r="CE27" i="8" s="1"/>
  <c r="CD27" i="8" s="1"/>
  <c r="BR27" i="8"/>
  <c r="CG27" i="8"/>
  <c r="CN27" i="8"/>
  <c r="CU27" i="8"/>
  <c r="AO28" i="8"/>
  <c r="BR28" i="8"/>
  <c r="CE28" i="8"/>
  <c r="AI29" i="8"/>
  <c r="AO29" i="8"/>
  <c r="BT29" i="8"/>
  <c r="CN29" i="8"/>
  <c r="BQ30" i="8"/>
  <c r="BX30" i="8"/>
  <c r="CD30" i="8"/>
  <c r="CK30" i="8"/>
  <c r="CS30" i="8"/>
  <c r="CR30" i="8" s="1"/>
  <c r="DA30" i="8"/>
  <c r="DG30" i="8"/>
  <c r="AO31" i="8"/>
  <c r="CS31" i="8" s="1"/>
  <c r="BP31" i="8"/>
  <c r="BW31" i="8"/>
  <c r="CC31" i="8"/>
  <c r="CZ31" i="8"/>
  <c r="DF31" i="8"/>
  <c r="AD32" i="8"/>
  <c r="AE32" i="8" s="1"/>
  <c r="AQ32" i="8"/>
  <c r="BP32" i="8"/>
  <c r="CL32" i="8"/>
  <c r="CV32" i="8"/>
  <c r="CU32" i="8" s="1"/>
  <c r="AT33" i="8"/>
  <c r="BS33" i="8"/>
  <c r="BZ33" i="8"/>
  <c r="CH33" i="8"/>
  <c r="CG33" i="8" s="1"/>
  <c r="CN33" i="8"/>
  <c r="CX33" i="8"/>
  <c r="DD33" i="8"/>
  <c r="AT34" i="8"/>
  <c r="BS34" i="8"/>
  <c r="CS34" i="8"/>
  <c r="X35" i="8"/>
  <c r="AE35" i="8"/>
  <c r="AL35" i="8"/>
  <c r="AM35" i="8" s="1"/>
  <c r="BS35" i="8"/>
  <c r="BZ35" i="8"/>
  <c r="CH35" i="8"/>
  <c r="CG35" i="8" s="1"/>
  <c r="CS35" i="8"/>
  <c r="CR35" i="8" s="1"/>
  <c r="DB35" i="8"/>
  <c r="DH35" i="8"/>
  <c r="BR36" i="8"/>
  <c r="R37" i="8"/>
  <c r="AP37" i="8"/>
  <c r="FJ67" i="8"/>
  <c r="FI53" i="20"/>
  <c r="FI19" i="20"/>
  <c r="CK13" i="8"/>
  <c r="AI14" i="8"/>
  <c r="BR14" i="8"/>
  <c r="CD14" i="8"/>
  <c r="AA15" i="8"/>
  <c r="BU15" i="8"/>
  <c r="CV16" i="8"/>
  <c r="BQ17" i="8"/>
  <c r="CL17" i="8"/>
  <c r="AA18" i="8"/>
  <c r="AI19" i="8"/>
  <c r="CE21" i="8"/>
  <c r="CZ21" i="8"/>
  <c r="BQ23" i="8"/>
  <c r="AM25" i="8"/>
  <c r="DJ25" i="8"/>
  <c r="CL26" i="8"/>
  <c r="BS27" i="8"/>
  <c r="BY30" i="8"/>
  <c r="CE30" i="8"/>
  <c r="CU30" i="8"/>
  <c r="DB30" i="8"/>
  <c r="DH30" i="8"/>
  <c r="BX31" i="8"/>
  <c r="DA31" i="8"/>
  <c r="DH31" i="8"/>
  <c r="DG31" i="8" s="1"/>
  <c r="CE36" i="8"/>
  <c r="M37" i="8"/>
  <c r="AK37" i="8"/>
  <c r="FI25" i="11"/>
  <c r="FD25" i="11" s="1"/>
  <c r="FI59" i="11"/>
  <c r="FJ47" i="17"/>
  <c r="FJ48" i="17" s="1"/>
  <c r="FJ49" i="17" s="1"/>
  <c r="FL14" i="17"/>
  <c r="FL48" i="17"/>
  <c r="FH67" i="11"/>
  <c r="FH33" i="11"/>
  <c r="FN8" i="14"/>
  <c r="FO9" i="14"/>
  <c r="AD6" i="8"/>
  <c r="CU6" i="8"/>
  <c r="BR7" i="8"/>
  <c r="BR8" i="8"/>
  <c r="CO8" i="8"/>
  <c r="BO9" i="8"/>
  <c r="BV9" i="8"/>
  <c r="CB9" i="8"/>
  <c r="CZ9" i="8"/>
  <c r="DF9" i="8"/>
  <c r="AI10" i="8"/>
  <c r="CS10" i="8"/>
  <c r="AQ11" i="8"/>
  <c r="CD11" i="8"/>
  <c r="CL11" i="8"/>
  <c r="AQ12" i="8"/>
  <c r="CF12" i="8"/>
  <c r="CE12" i="8" s="1"/>
  <c r="CD12" i="8" s="1"/>
  <c r="AH13" i="8"/>
  <c r="AI13" i="8" s="1"/>
  <c r="BO13" i="8"/>
  <c r="CS13" i="8"/>
  <c r="AS14" i="8"/>
  <c r="BS14" i="8"/>
  <c r="CE14" i="8"/>
  <c r="AI15" i="8"/>
  <c r="AO15" i="8"/>
  <c r="BP15" i="8"/>
  <c r="BW15" i="8"/>
  <c r="CY15" i="8"/>
  <c r="DE15" i="8"/>
  <c r="AE16" i="8"/>
  <c r="AL16" i="8"/>
  <c r="AM16" i="8" s="1"/>
  <c r="AS16" i="8"/>
  <c r="CE16" i="8" s="1"/>
  <c r="BS16" i="8"/>
  <c r="CG16" i="8"/>
  <c r="CO16" i="8"/>
  <c r="CN16" i="8" s="1"/>
  <c r="AD17" i="8"/>
  <c r="AE17" i="8" s="1"/>
  <c r="BR17" i="8"/>
  <c r="CF17" i="8"/>
  <c r="CE17" i="8" s="1"/>
  <c r="CN17" i="8"/>
  <c r="BO18" i="8"/>
  <c r="BV18" i="8"/>
  <c r="BU18" i="8" s="1"/>
  <c r="CB18" i="8"/>
  <c r="CY18" i="8"/>
  <c r="DF18" i="8"/>
  <c r="BQ19" i="8"/>
  <c r="AI20" i="8"/>
  <c r="AQ20" i="8"/>
  <c r="BQ20" i="8"/>
  <c r="AI21" i="8"/>
  <c r="AQ21" i="8"/>
  <c r="BS21" i="8"/>
  <c r="BZ21" i="8"/>
  <c r="DA21" i="8"/>
  <c r="DG21" i="8"/>
  <c r="AO22" i="8"/>
  <c r="BQ22" i="8"/>
  <c r="CD22" i="8"/>
  <c r="CL22" i="8"/>
  <c r="AD23" i="8"/>
  <c r="AE23" i="8" s="1"/>
  <c r="AQ23" i="8"/>
  <c r="BR23" i="8"/>
  <c r="CF23" i="8"/>
  <c r="AL24" i="8"/>
  <c r="AM24" i="8" s="1"/>
  <c r="AS24" i="8"/>
  <c r="CE24" i="8" s="1"/>
  <c r="CD24" i="8" s="1"/>
  <c r="BS24" i="8"/>
  <c r="CG24" i="8"/>
  <c r="CO24" i="8"/>
  <c r="CN24" i="8" s="1"/>
  <c r="CV24" i="8"/>
  <c r="AH25" i="8"/>
  <c r="AO25" i="8"/>
  <c r="BP25" i="8"/>
  <c r="BV25" i="8"/>
  <c r="CC25" i="8"/>
  <c r="CK25" i="8"/>
  <c r="CY25" i="8"/>
  <c r="DE25" i="8"/>
  <c r="AQ26" i="8"/>
  <c r="BQ26" i="8"/>
  <c r="BX26" i="8"/>
  <c r="DB26" i="8"/>
  <c r="DH26" i="8"/>
  <c r="BT27" i="8"/>
  <c r="CP27" i="8"/>
  <c r="AI28" i="8"/>
  <c r="BT28" i="8"/>
  <c r="CN28" i="8"/>
  <c r="CU28" i="8"/>
  <c r="AE29" i="8"/>
  <c r="BP29" i="8"/>
  <c r="CP29" i="8"/>
  <c r="AD30" i="8"/>
  <c r="BS30" i="8"/>
  <c r="BZ30" i="8"/>
  <c r="CG30" i="8"/>
  <c r="CV30" i="8"/>
  <c r="DC30" i="8"/>
  <c r="AD31" i="8"/>
  <c r="BR31" i="8"/>
  <c r="BY31" i="8"/>
  <c r="CL31" i="8"/>
  <c r="DB31" i="8"/>
  <c r="AL32" i="8"/>
  <c r="CP32" i="8" s="1"/>
  <c r="AS32" i="8"/>
  <c r="BR32" i="8"/>
  <c r="CF32" i="8"/>
  <c r="CE32" i="8" s="1"/>
  <c r="CD32" i="8" s="1"/>
  <c r="CO32" i="8"/>
  <c r="AI33" i="8"/>
  <c r="AO33" i="8"/>
  <c r="BO33" i="8"/>
  <c r="BV33" i="8"/>
  <c r="BU33" i="8" s="1"/>
  <c r="CB33" i="8"/>
  <c r="CJ33" i="8"/>
  <c r="CP33" i="8"/>
  <c r="CZ33" i="8"/>
  <c r="DF33" i="8"/>
  <c r="BO34" i="8"/>
  <c r="CL34" i="8"/>
  <c r="CK34" i="8" s="1"/>
  <c r="CJ34" i="8" s="1"/>
  <c r="CV34" i="8"/>
  <c r="AH35" i="8"/>
  <c r="AT35" i="8"/>
  <c r="BO35" i="8"/>
  <c r="BV35" i="8"/>
  <c r="BU35" i="8" s="1"/>
  <c r="CB35" i="8"/>
  <c r="CJ35" i="8"/>
  <c r="CX35" i="8"/>
  <c r="DD35" i="8"/>
  <c r="AI36" i="8"/>
  <c r="AQ36" i="8"/>
  <c r="BT36" i="8"/>
  <c r="FO19" i="14"/>
  <c r="FN18" i="14"/>
  <c r="DU17" i="20"/>
  <c r="AB17" i="20" s="1"/>
  <c r="AC17" i="20"/>
  <c r="FH53" i="20"/>
  <c r="FH19" i="20"/>
  <c r="FI47" i="17"/>
  <c r="FI13" i="17"/>
  <c r="X6" i="8"/>
  <c r="AE6" i="8"/>
  <c r="CO6" i="8"/>
  <c r="AE7" i="8"/>
  <c r="BS7" i="8"/>
  <c r="CO7" i="8"/>
  <c r="CV7" i="8"/>
  <c r="CU7" i="8" s="1"/>
  <c r="BS8" i="8"/>
  <c r="CP8" i="8"/>
  <c r="BP9" i="8"/>
  <c r="BW9" i="8"/>
  <c r="CC9" i="8"/>
  <c r="CS9" i="8"/>
  <c r="CR9" i="8" s="1"/>
  <c r="DA9" i="8"/>
  <c r="DG9" i="8"/>
  <c r="AS11" i="8"/>
  <c r="X12" i="8"/>
  <c r="AE12" i="8"/>
  <c r="CS12" i="8"/>
  <c r="BP13" i="8"/>
  <c r="CN13" i="8"/>
  <c r="AD14" i="8"/>
  <c r="AE14" i="8" s="1"/>
  <c r="AL14" i="8"/>
  <c r="CP14" i="8" s="1"/>
  <c r="AT14" i="8"/>
  <c r="BT14" i="8"/>
  <c r="BX15" i="8"/>
  <c r="CS15" i="8"/>
  <c r="CZ15" i="8"/>
  <c r="DF15" i="8"/>
  <c r="AT16" i="8"/>
  <c r="BT16" i="8"/>
  <c r="X17" i="8"/>
  <c r="BS17" i="8"/>
  <c r="CG17" i="8"/>
  <c r="CO17" i="8"/>
  <c r="BP18" i="8"/>
  <c r="BW18" i="8"/>
  <c r="CC18" i="8"/>
  <c r="CZ18" i="8"/>
  <c r="DG18" i="8"/>
  <c r="AD19" i="8"/>
  <c r="AL19" i="8"/>
  <c r="CP19" i="8" s="1"/>
  <c r="BR19" i="8"/>
  <c r="CF19" i="8"/>
  <c r="CE19" i="8" s="1"/>
  <c r="CD19" i="8" s="1"/>
  <c r="CS19" i="8"/>
  <c r="O20" i="8"/>
  <c r="AS20" i="8"/>
  <c r="CE20" i="8" s="1"/>
  <c r="CD20" i="8" s="1"/>
  <c r="BR20" i="8"/>
  <c r="BT21" i="8"/>
  <c r="CO21" i="8"/>
  <c r="CN21" i="8" s="1"/>
  <c r="CU21" i="8"/>
  <c r="DB21" i="8"/>
  <c r="DH21" i="8"/>
  <c r="O22" i="8"/>
  <c r="BR22" i="8"/>
  <c r="CF22" i="8"/>
  <c r="CE22" i="8" s="1"/>
  <c r="CN22" i="8"/>
  <c r="CV22" i="8"/>
  <c r="CU22" i="8" s="1"/>
  <c r="X23" i="8"/>
  <c r="AS23" i="8"/>
  <c r="BS23" i="8"/>
  <c r="CG23" i="8"/>
  <c r="CO23" i="8"/>
  <c r="CN23" i="8" s="1"/>
  <c r="AA24" i="8"/>
  <c r="BT24" i="8"/>
  <c r="CP24" i="8"/>
  <c r="BQ25" i="8"/>
  <c r="BX25" i="8"/>
  <c r="BW25" i="8" s="1"/>
  <c r="CD25" i="8"/>
  <c r="CZ25" i="8"/>
  <c r="DF25" i="8"/>
  <c r="BR26" i="8"/>
  <c r="BY26" i="8"/>
  <c r="CH26" i="8"/>
  <c r="CG26" i="8" s="1"/>
  <c r="CF26" i="8" s="1"/>
  <c r="CU26" i="8"/>
  <c r="DC26" i="8"/>
  <c r="FN26" i="8"/>
  <c r="AH27" i="8"/>
  <c r="CL27" i="8" s="1"/>
  <c r="BO27" i="8"/>
  <c r="CJ27" i="8"/>
  <c r="O28" i="8"/>
  <c r="BO28" i="8"/>
  <c r="CV28" i="8"/>
  <c r="AL29" i="8"/>
  <c r="AM29" i="8" s="1"/>
  <c r="BQ29" i="8"/>
  <c r="X30" i="8"/>
  <c r="AE30" i="8"/>
  <c r="AL30" i="8"/>
  <c r="BT30" i="8"/>
  <c r="CH30" i="8"/>
  <c r="CN30" i="8"/>
  <c r="CX30" i="8"/>
  <c r="DD30" i="8"/>
  <c r="FO30" i="8"/>
  <c r="FN30" i="8" s="1"/>
  <c r="X31" i="8"/>
  <c r="AE31" i="8"/>
  <c r="AL31" i="8"/>
  <c r="CP31" i="8" s="1"/>
  <c r="BS31" i="8"/>
  <c r="BZ31" i="8"/>
  <c r="CG31" i="8"/>
  <c r="CN31" i="8"/>
  <c r="CV31" i="8"/>
  <c r="CU31" i="8" s="1"/>
  <c r="DC31" i="8"/>
  <c r="FO31" i="8"/>
  <c r="AM32" i="8"/>
  <c r="BS32" i="8"/>
  <c r="AQ33" i="8"/>
  <c r="BP33" i="8"/>
  <c r="BW33" i="8"/>
  <c r="CC33" i="8"/>
  <c r="CK33" i="8"/>
  <c r="DA33" i="8"/>
  <c r="DG33" i="8"/>
  <c r="AD34" i="8"/>
  <c r="BP34" i="8"/>
  <c r="CN34" i="8"/>
  <c r="AI35" i="8"/>
  <c r="BP35" i="8"/>
  <c r="BW35" i="8"/>
  <c r="CC35" i="8"/>
  <c r="CK35" i="8"/>
  <c r="CY35" i="8"/>
  <c r="DE35" i="8"/>
  <c r="AS36" i="8"/>
  <c r="BO36" i="8"/>
  <c r="BU36" i="8"/>
  <c r="AY37" i="8"/>
  <c r="FF52" i="20"/>
  <c r="FF18" i="20"/>
  <c r="FD18" i="20" s="1"/>
  <c r="DV18" i="20" s="1"/>
  <c r="BX9" i="8"/>
  <c r="CD9" i="8"/>
  <c r="DB9" i="8"/>
  <c r="DH9" i="8"/>
  <c r="CV10" i="8"/>
  <c r="AE11" i="8"/>
  <c r="BO14" i="8"/>
  <c r="BU14" i="8"/>
  <c r="CN14" i="8"/>
  <c r="BO16" i="8"/>
  <c r="CR16" i="8"/>
  <c r="BT17" i="8"/>
  <c r="CP17" i="8"/>
  <c r="BQ18" i="8"/>
  <c r="CD18" i="8"/>
  <c r="CS18" i="8"/>
  <c r="AE19" i="8"/>
  <c r="AM19" i="8"/>
  <c r="BS19" i="8"/>
  <c r="CU20" i="8"/>
  <c r="BU21" i="8"/>
  <c r="CV21" i="8"/>
  <c r="CO22" i="8"/>
  <c r="BT23" i="8"/>
  <c r="CP23" i="8"/>
  <c r="BY25" i="8"/>
  <c r="CE25" i="8"/>
  <c r="DA25" i="8"/>
  <c r="DG25" i="8"/>
  <c r="CV26" i="8"/>
  <c r="DD26" i="8"/>
  <c r="BP27" i="8"/>
  <c r="CK27" i="8"/>
  <c r="BP28" i="8"/>
  <c r="CJ29" i="8"/>
  <c r="CS29" i="8"/>
  <c r="AM30" i="8"/>
  <c r="BV30" i="8"/>
  <c r="BU30" i="8" s="1"/>
  <c r="CB30" i="8"/>
  <c r="CO30" i="8"/>
  <c r="CY30" i="8"/>
  <c r="DE30" i="8"/>
  <c r="AM31" i="8"/>
  <c r="CH31" i="8"/>
  <c r="CO31" i="8"/>
  <c r="CX31" i="8"/>
  <c r="DD31" i="8"/>
  <c r="BT32" i="8"/>
  <c r="CJ32" i="8"/>
  <c r="BX33" i="8"/>
  <c r="CS33" i="8"/>
  <c r="DB33" i="8"/>
  <c r="DH33" i="8"/>
  <c r="AE34" i="8"/>
  <c r="CP34" i="8"/>
  <c r="BX35" i="8"/>
  <c r="CL35" i="8"/>
  <c r="CZ35" i="8"/>
  <c r="DF35" i="8"/>
  <c r="AT36" i="8"/>
  <c r="GJ37" i="8"/>
  <c r="GJ13" i="14"/>
  <c r="B15" i="14"/>
  <c r="FF45" i="17"/>
  <c r="FF12" i="17" s="1"/>
  <c r="FH46" i="17"/>
  <c r="FH12" i="17"/>
  <c r="AH6" i="8"/>
  <c r="AV6" i="8"/>
  <c r="AV37" i="8" s="1"/>
  <c r="GJ6" i="8"/>
  <c r="AH7" i="8"/>
  <c r="CL7" i="8" s="1"/>
  <c r="AI8" i="8"/>
  <c r="CS8" i="8"/>
  <c r="AD9" i="8"/>
  <c r="AE9" i="8" s="1"/>
  <c r="AL9" i="8"/>
  <c r="CP9" i="8" s="1"/>
  <c r="AS9" i="8"/>
  <c r="BY9" i="8"/>
  <c r="CG9" i="8"/>
  <c r="CF9" i="8" s="1"/>
  <c r="CE9" i="8" s="1"/>
  <c r="CV9" i="8"/>
  <c r="FO9" i="8"/>
  <c r="AE10" i="8"/>
  <c r="AM10" i="8"/>
  <c r="AT10" i="8"/>
  <c r="CN10" i="8"/>
  <c r="AM11" i="8"/>
  <c r="AH12" i="8"/>
  <c r="CL12" i="8" s="1"/>
  <c r="CO12" i="8"/>
  <c r="AE13" i="8"/>
  <c r="AS13" i="8"/>
  <c r="CE13" i="8" s="1"/>
  <c r="CD13" i="8" s="1"/>
  <c r="CO14" i="8"/>
  <c r="X15" i="8"/>
  <c r="AE15" i="8"/>
  <c r="AL15" i="8"/>
  <c r="CP15" i="8" s="1"/>
  <c r="AS15" i="8"/>
  <c r="CC15" i="8" s="1"/>
  <c r="BZ15" i="8"/>
  <c r="CN15" i="8"/>
  <c r="DB15" i="8"/>
  <c r="DH15" i="8"/>
  <c r="O16" i="8"/>
  <c r="AI16" i="8"/>
  <c r="CJ16" i="8"/>
  <c r="CS16" i="8"/>
  <c r="FN16" i="8"/>
  <c r="AM17" i="8"/>
  <c r="AT17" i="8"/>
  <c r="BO17" i="8"/>
  <c r="CJ17" i="8"/>
  <c r="CS17" i="8"/>
  <c r="CR17" i="8" s="1"/>
  <c r="X18" i="8"/>
  <c r="AE18" i="8"/>
  <c r="BY18" i="8"/>
  <c r="CF18" i="8"/>
  <c r="CE18" i="8" s="1"/>
  <c r="CL18" i="8"/>
  <c r="FO18" i="8"/>
  <c r="CN19" i="8"/>
  <c r="CV19" i="8"/>
  <c r="X20" i="8"/>
  <c r="AE20" i="8"/>
  <c r="AM20" i="8"/>
  <c r="CO20" i="8"/>
  <c r="CV20" i="8"/>
  <c r="X21" i="8"/>
  <c r="AE21" i="8"/>
  <c r="AM21" i="8"/>
  <c r="AT21" i="8"/>
  <c r="BW21" i="8"/>
  <c r="CC21" i="8"/>
  <c r="CX21" i="8"/>
  <c r="DD21" i="8"/>
  <c r="X22" i="8"/>
  <c r="AE22" i="8"/>
  <c r="CP22" i="8"/>
  <c r="CJ23" i="8"/>
  <c r="AO24" i="8"/>
  <c r="CJ24" i="8"/>
  <c r="AD25" i="8"/>
  <c r="AE25" i="8" s="1"/>
  <c r="BZ25" i="8"/>
  <c r="CH25" i="8"/>
  <c r="CG25" i="8" s="1"/>
  <c r="DB25" i="8"/>
  <c r="X26" i="8"/>
  <c r="AE26" i="8"/>
  <c r="CJ26" i="8"/>
  <c r="CX26" i="8"/>
  <c r="CF27" i="8"/>
  <c r="AE28" i="8"/>
  <c r="CL29" i="8"/>
  <c r="CV29" i="8"/>
  <c r="CU29" i="8" s="1"/>
  <c r="BW30" i="8"/>
  <c r="CC30" i="8"/>
  <c r="CP30" i="8"/>
  <c r="CZ30" i="8"/>
  <c r="BV31" i="8"/>
  <c r="BU31" i="8" s="1"/>
  <c r="CB31" i="8"/>
  <c r="CY31" i="8"/>
  <c r="BO32" i="8"/>
  <c r="CS32" i="8"/>
  <c r="CE33" i="8"/>
  <c r="CV33" i="8"/>
  <c r="CU33" i="8" s="1"/>
  <c r="CF34" i="8"/>
  <c r="CE34" i="8" s="1"/>
  <c r="BY35" i="8"/>
  <c r="CE35" i="8"/>
  <c r="CP35" i="8"/>
  <c r="CO35" i="8" s="1"/>
  <c r="CN35" i="8" s="1"/>
  <c r="DA35" i="8"/>
  <c r="DG35" i="8"/>
  <c r="DQ37" i="8"/>
  <c r="FI44" i="14"/>
  <c r="FI10" i="14"/>
  <c r="FH10" i="14" s="1"/>
  <c r="FD10" i="14" s="1"/>
  <c r="BW8" i="36"/>
  <c r="P8" i="36"/>
  <c r="DG8" i="36"/>
  <c r="DB8" i="36"/>
  <c r="CY8" i="36"/>
  <c r="DA8" i="36"/>
  <c r="CH8" i="36"/>
  <c r="DF8" i="36"/>
  <c r="DF10" i="36"/>
  <c r="DG10" i="36"/>
  <c r="BV10" i="36"/>
  <c r="BX10" i="36"/>
  <c r="DB10" i="36"/>
  <c r="DC10" i="36"/>
  <c r="CX10" i="36"/>
  <c r="BY10" i="36"/>
  <c r="DD10" i="36"/>
  <c r="CY10" i="36"/>
  <c r="CZ10" i="36"/>
  <c r="CC10" i="36"/>
  <c r="DA10" i="36"/>
  <c r="CB10" i="36"/>
  <c r="DE10" i="36"/>
  <c r="DH10" i="36"/>
  <c r="BW10" i="36"/>
  <c r="BZ10" i="36"/>
  <c r="CB8" i="36"/>
  <c r="BV8" i="36"/>
  <c r="CX8" i="36"/>
  <c r="BZ8" i="36"/>
  <c r="CC8" i="36"/>
  <c r="DE8" i="36"/>
  <c r="DH8" i="36"/>
  <c r="DG15" i="36"/>
  <c r="BY15" i="36"/>
  <c r="CX15" i="36"/>
  <c r="CY15" i="36"/>
  <c r="CB15" i="36"/>
  <c r="CC15" i="36"/>
  <c r="BV15" i="36"/>
  <c r="BX15" i="36"/>
  <c r="DE15" i="36"/>
  <c r="CZ15" i="36"/>
  <c r="DB15" i="36"/>
  <c r="CH15" i="36"/>
  <c r="DA15" i="36"/>
  <c r="DC15" i="36"/>
  <c r="DF15" i="36"/>
  <c r="DD15" i="36"/>
  <c r="DH15" i="36"/>
  <c r="BW15" i="36"/>
  <c r="BZ15" i="36"/>
  <c r="DL15" i="36"/>
  <c r="O37" i="36"/>
  <c r="DG37" i="36" s="1"/>
  <c r="CO17" i="6" l="1"/>
  <c r="CS37" i="8"/>
  <c r="P8" i="4"/>
  <c r="CV34" i="4"/>
  <c r="CK33" i="2"/>
  <c r="CO29" i="2"/>
  <c r="FZ6" i="2"/>
  <c r="FZ35" i="2"/>
  <c r="FZ9" i="2"/>
  <c r="CO28" i="2"/>
  <c r="CV37" i="6"/>
  <c r="CO31" i="2"/>
  <c r="FZ12" i="2"/>
  <c r="FO10" i="8"/>
  <c r="FN9" i="8"/>
  <c r="BL9" i="8" s="1"/>
  <c r="BH9" i="8" s="1"/>
  <c r="DE22" i="8"/>
  <c r="CY22" i="8"/>
  <c r="CH22" i="8"/>
  <c r="DD22" i="8"/>
  <c r="CX22" i="8"/>
  <c r="BZ22" i="8"/>
  <c r="DC22" i="8"/>
  <c r="BY22" i="8"/>
  <c r="DH22" i="8"/>
  <c r="DB22" i="8"/>
  <c r="BX22" i="8"/>
  <c r="DG22" i="8"/>
  <c r="DA22" i="8"/>
  <c r="CC22" i="8"/>
  <c r="BW22" i="8"/>
  <c r="DF22" i="8"/>
  <c r="CZ22" i="8"/>
  <c r="CB22" i="8"/>
  <c r="BV22" i="8"/>
  <c r="BU22" i="8" s="1"/>
  <c r="CK35" i="2"/>
  <c r="FO19" i="8"/>
  <c r="FN18" i="8"/>
  <c r="CE15" i="8"/>
  <c r="CD15" i="8" s="1"/>
  <c r="CK11" i="8"/>
  <c r="CK15" i="6"/>
  <c r="AI27" i="8"/>
  <c r="AM14" i="8"/>
  <c r="FF53" i="20"/>
  <c r="FF19" i="20"/>
  <c r="FD19" i="20" s="1"/>
  <c r="FO32" i="8"/>
  <c r="FN31" i="8"/>
  <c r="FH34" i="11"/>
  <c r="FH68" i="11"/>
  <c r="CO37" i="8"/>
  <c r="CL23" i="8"/>
  <c r="AI23" i="8"/>
  <c r="CP13" i="8"/>
  <c r="AM13" i="8"/>
  <c r="AM9" i="8"/>
  <c r="CK27" i="6"/>
  <c r="BJ25" i="8"/>
  <c r="CP28" i="6"/>
  <c r="FN15" i="6"/>
  <c r="FO16" i="6"/>
  <c r="CO14" i="6"/>
  <c r="CL28" i="6"/>
  <c r="AI28" i="6"/>
  <c r="DD16" i="6"/>
  <c r="CX16" i="6"/>
  <c r="CB16" i="6"/>
  <c r="BV16" i="6"/>
  <c r="BU16" i="6" s="1"/>
  <c r="DC16" i="6"/>
  <c r="DH16" i="6"/>
  <c r="DB16" i="6"/>
  <c r="BZ16" i="6"/>
  <c r="DG16" i="6"/>
  <c r="DA16" i="6"/>
  <c r="CH16" i="6"/>
  <c r="CG16" i="6" s="1"/>
  <c r="CF16" i="6" s="1"/>
  <c r="CE16" i="6" s="1"/>
  <c r="BY16" i="6"/>
  <c r="DE16" i="6"/>
  <c r="CY16" i="6"/>
  <c r="CC16" i="6"/>
  <c r="BW16" i="6"/>
  <c r="DF16" i="6"/>
  <c r="CZ16" i="6"/>
  <c r="BX16" i="6"/>
  <c r="DH6" i="6"/>
  <c r="DB6" i="6"/>
  <c r="CB6" i="6"/>
  <c r="BV6" i="6"/>
  <c r="BU6" i="6" s="1"/>
  <c r="DG6" i="6"/>
  <c r="DA6" i="6"/>
  <c r="DF6" i="6"/>
  <c r="CZ6" i="6"/>
  <c r="BZ6" i="6"/>
  <c r="DE6" i="6"/>
  <c r="CY6" i="6"/>
  <c r="DC6" i="6"/>
  <c r="CC6" i="6"/>
  <c r="BW6" i="6"/>
  <c r="CX6" i="6"/>
  <c r="BX6" i="6"/>
  <c r="P6" i="6"/>
  <c r="DD6" i="6"/>
  <c r="BY6" i="6"/>
  <c r="CO36" i="2"/>
  <c r="CK29" i="4"/>
  <c r="BZ28" i="6"/>
  <c r="CE26" i="6"/>
  <c r="CD26" i="6" s="1"/>
  <c r="BG37" i="6"/>
  <c r="CF37" i="6"/>
  <c r="BO37" i="8"/>
  <c r="BT37" i="8"/>
  <c r="BS37" i="8"/>
  <c r="BR37" i="8"/>
  <c r="BQ37" i="8"/>
  <c r="CE8" i="6"/>
  <c r="AE37" i="6"/>
  <c r="DE23" i="4"/>
  <c r="CY23" i="4"/>
  <c r="BY23" i="4"/>
  <c r="DD23" i="4"/>
  <c r="CX23" i="4"/>
  <c r="BX23" i="4"/>
  <c r="DC23" i="4"/>
  <c r="CC23" i="4"/>
  <c r="BW23" i="4"/>
  <c r="DH23" i="4"/>
  <c r="DB23" i="4"/>
  <c r="CB23" i="4"/>
  <c r="BV23" i="4"/>
  <c r="BU23" i="4" s="1"/>
  <c r="DF23" i="4"/>
  <c r="CZ23" i="4"/>
  <c r="CH23" i="4"/>
  <c r="CG23" i="4" s="1"/>
  <c r="BZ23" i="4"/>
  <c r="DG23" i="4"/>
  <c r="DA23" i="4"/>
  <c r="DG36" i="1"/>
  <c r="DA36" i="1"/>
  <c r="CB36" i="1"/>
  <c r="BV36" i="1"/>
  <c r="DL36" i="1"/>
  <c r="DF36" i="1"/>
  <c r="CZ36" i="1"/>
  <c r="DE36" i="1"/>
  <c r="CY36" i="1"/>
  <c r="BZ36" i="1"/>
  <c r="DJ36" i="1"/>
  <c r="DD36" i="1"/>
  <c r="CX36" i="1"/>
  <c r="BY36" i="1"/>
  <c r="DP36" i="1"/>
  <c r="DC36" i="1"/>
  <c r="BX36" i="1"/>
  <c r="DN36" i="1"/>
  <c r="DH36" i="1"/>
  <c r="DB36" i="1"/>
  <c r="CC36" i="1"/>
  <c r="BW36" i="1"/>
  <c r="DC10" i="1"/>
  <c r="CH10" i="1"/>
  <c r="CG10" i="1" s="1"/>
  <c r="BZ10" i="1"/>
  <c r="DH10" i="1"/>
  <c r="DB10" i="1"/>
  <c r="BY10" i="1"/>
  <c r="DD10" i="1"/>
  <c r="CX10" i="1"/>
  <c r="DA10" i="1"/>
  <c r="CZ10" i="1"/>
  <c r="BX10" i="1"/>
  <c r="CY10" i="1"/>
  <c r="BW10" i="1"/>
  <c r="DG10" i="1"/>
  <c r="BV10" i="1"/>
  <c r="BU10" i="1" s="1"/>
  <c r="DF10" i="1"/>
  <c r="CC10" i="1"/>
  <c r="DE10" i="1"/>
  <c r="CB10" i="1"/>
  <c r="AM14" i="4"/>
  <c r="DC11" i="4"/>
  <c r="BX11" i="4"/>
  <c r="DH11" i="4"/>
  <c r="DB11" i="4"/>
  <c r="CC11" i="4"/>
  <c r="BW11" i="4"/>
  <c r="DG11" i="4"/>
  <c r="DA11" i="4"/>
  <c r="CB11" i="4"/>
  <c r="BV11" i="4"/>
  <c r="BU11" i="4" s="1"/>
  <c r="DD11" i="4"/>
  <c r="CX11" i="4"/>
  <c r="BY11" i="4"/>
  <c r="BZ11" i="4"/>
  <c r="DF11" i="4"/>
  <c r="DE11" i="4"/>
  <c r="CZ11" i="4"/>
  <c r="CY11" i="4"/>
  <c r="DC10" i="4"/>
  <c r="CB10" i="4"/>
  <c r="DH10" i="4"/>
  <c r="DB10" i="4"/>
  <c r="DG10" i="4"/>
  <c r="DA10" i="4"/>
  <c r="BZ10" i="4"/>
  <c r="DD10" i="4"/>
  <c r="CX10" i="4"/>
  <c r="CC10" i="4"/>
  <c r="BW10" i="4"/>
  <c r="BV10" i="4" s="1"/>
  <c r="BU10" i="4" s="1"/>
  <c r="DF10" i="4"/>
  <c r="DE10" i="4"/>
  <c r="CZ10" i="4"/>
  <c r="BY10" i="4"/>
  <c r="CY10" i="4"/>
  <c r="BX10" i="4"/>
  <c r="DG30" i="2"/>
  <c r="DA30" i="2"/>
  <c r="CH30" i="2"/>
  <c r="CG30" i="2" s="1"/>
  <c r="CF30" i="2" s="1"/>
  <c r="CE30" i="2" s="1"/>
  <c r="CD30" i="2" s="1"/>
  <c r="BW30" i="2"/>
  <c r="DF30" i="2"/>
  <c r="CZ30" i="2"/>
  <c r="CY30" i="2" s="1"/>
  <c r="CC30" i="2"/>
  <c r="BV30" i="2"/>
  <c r="DE30" i="2"/>
  <c r="CX30" i="2"/>
  <c r="CB30" i="2"/>
  <c r="DD30" i="2"/>
  <c r="DC30" i="2"/>
  <c r="BY30" i="2"/>
  <c r="DH30" i="2"/>
  <c r="DB30" i="2"/>
  <c r="BX30" i="2"/>
  <c r="DF29" i="2"/>
  <c r="CY29" i="2"/>
  <c r="BX29" i="2"/>
  <c r="DE29" i="2"/>
  <c r="DD29" i="2" s="1"/>
  <c r="CX29" i="2"/>
  <c r="CH29" i="2"/>
  <c r="BW29" i="2"/>
  <c r="DC29" i="2"/>
  <c r="CC29" i="2"/>
  <c r="BV29" i="2"/>
  <c r="DB29" i="2"/>
  <c r="CB29" i="2"/>
  <c r="DA29" i="2"/>
  <c r="DG29" i="2"/>
  <c r="CZ29" i="2"/>
  <c r="BY29" i="2"/>
  <c r="DC22" i="1"/>
  <c r="DH22" i="1"/>
  <c r="DB22" i="1"/>
  <c r="BZ22" i="1"/>
  <c r="DG22" i="1"/>
  <c r="DA22" i="1"/>
  <c r="CH22" i="1"/>
  <c r="CG22" i="1" s="1"/>
  <c r="CF22" i="1" s="1"/>
  <c r="CE22" i="1" s="1"/>
  <c r="BY22" i="1"/>
  <c r="DF22" i="1"/>
  <c r="CZ22" i="1"/>
  <c r="BX22" i="1"/>
  <c r="DD22" i="1"/>
  <c r="CX22" i="1"/>
  <c r="CB22" i="1"/>
  <c r="BV22" i="1"/>
  <c r="BU22" i="1" s="1"/>
  <c r="BW22" i="1"/>
  <c r="DE22" i="1"/>
  <c r="CY22" i="1"/>
  <c r="CC22" i="1"/>
  <c r="DC17" i="1"/>
  <c r="BY17" i="1"/>
  <c r="DH17" i="1"/>
  <c r="DB17" i="1"/>
  <c r="CH17" i="1"/>
  <c r="CG17" i="1" s="1"/>
  <c r="CF17" i="1" s="1"/>
  <c r="CE17" i="1" s="1"/>
  <c r="CD17" i="1" s="1"/>
  <c r="BX17" i="1"/>
  <c r="DG17" i="1"/>
  <c r="DA17" i="1"/>
  <c r="CC17" i="1"/>
  <c r="BW17" i="1"/>
  <c r="DF17" i="1"/>
  <c r="CZ17" i="1"/>
  <c r="CB17" i="1"/>
  <c r="BV17" i="1"/>
  <c r="BU17" i="1" s="1"/>
  <c r="DD17" i="1"/>
  <c r="CX17" i="1"/>
  <c r="BZ17" i="1"/>
  <c r="DE17" i="1"/>
  <c r="CY17" i="1"/>
  <c r="AI32" i="4"/>
  <c r="DN28" i="1"/>
  <c r="DG28" i="1"/>
  <c r="DA28" i="1"/>
  <c r="CB28" i="1"/>
  <c r="BV28" i="1"/>
  <c r="DF28" i="1"/>
  <c r="CZ28" i="1"/>
  <c r="DL28" i="1"/>
  <c r="DE28" i="1"/>
  <c r="CY28" i="1"/>
  <c r="BZ28" i="1"/>
  <c r="DD28" i="1"/>
  <c r="CX28" i="1"/>
  <c r="BY28" i="1"/>
  <c r="DC28" i="1"/>
  <c r="BX28" i="1"/>
  <c r="DP28" i="1"/>
  <c r="DH28" i="1"/>
  <c r="DB28" i="1"/>
  <c r="CC28" i="1"/>
  <c r="BW28" i="1"/>
  <c r="DH29" i="2"/>
  <c r="GH21" i="2"/>
  <c r="GG21" i="2" s="1"/>
  <c r="GF21" i="2" s="1"/>
  <c r="BU21" i="2"/>
  <c r="X37" i="2"/>
  <c r="BU20" i="4"/>
  <c r="BZ20" i="4"/>
  <c r="CE12" i="2"/>
  <c r="CD12" i="2" s="1"/>
  <c r="AM28" i="2"/>
  <c r="BR37" i="1"/>
  <c r="FN19" i="14"/>
  <c r="FO20" i="14"/>
  <c r="FI60" i="11"/>
  <c r="FI26" i="11"/>
  <c r="FD26" i="11" s="1"/>
  <c r="CO23" i="6"/>
  <c r="CK19" i="6"/>
  <c r="AM37" i="8"/>
  <c r="CS37" i="6"/>
  <c r="CR37" i="6" s="1"/>
  <c r="BP37" i="8"/>
  <c r="CK32" i="6"/>
  <c r="CK22" i="6"/>
  <c r="CP36" i="6"/>
  <c r="CO36" i="6" s="1"/>
  <c r="AM36" i="6"/>
  <c r="CK13" i="4"/>
  <c r="BU8" i="6"/>
  <c r="AS34" i="4"/>
  <c r="CE6" i="4"/>
  <c r="FZ13" i="2"/>
  <c r="AA37" i="6"/>
  <c r="DG11" i="2"/>
  <c r="DA11" i="2"/>
  <c r="CC11" i="2"/>
  <c r="BW11" i="2"/>
  <c r="DF11" i="2"/>
  <c r="CZ11" i="2"/>
  <c r="CB11" i="2"/>
  <c r="BV11" i="2"/>
  <c r="DE11" i="2"/>
  <c r="CY11" i="2"/>
  <c r="DD11" i="2"/>
  <c r="CX11" i="2"/>
  <c r="BZ11" i="2"/>
  <c r="DC11" i="2"/>
  <c r="BY11" i="2"/>
  <c r="DH11" i="2"/>
  <c r="DB11" i="2"/>
  <c r="BX11" i="2"/>
  <c r="AA37" i="2"/>
  <c r="BU9" i="8"/>
  <c r="CK30" i="6"/>
  <c r="CK13" i="6"/>
  <c r="DD10" i="8"/>
  <c r="CX10" i="8"/>
  <c r="CH10" i="8"/>
  <c r="DC10" i="8"/>
  <c r="BZ10" i="8"/>
  <c r="DH10" i="8"/>
  <c r="DB10" i="8"/>
  <c r="BY10" i="8"/>
  <c r="DG10" i="8"/>
  <c r="DA10" i="8"/>
  <c r="BX10" i="8"/>
  <c r="DE10" i="8"/>
  <c r="CY10" i="8"/>
  <c r="CB10" i="8"/>
  <c r="BV10" i="8"/>
  <c r="BU10" i="8" s="1"/>
  <c r="DF10" i="8"/>
  <c r="CC10" i="8"/>
  <c r="CZ10" i="8"/>
  <c r="BW10" i="8"/>
  <c r="AI7" i="8"/>
  <c r="FI45" i="14"/>
  <c r="FI11" i="14"/>
  <c r="FD11" i="14" s="1"/>
  <c r="CO34" i="8"/>
  <c r="DE28" i="8"/>
  <c r="CY28" i="8"/>
  <c r="BX28" i="8"/>
  <c r="DD28" i="8"/>
  <c r="CX28" i="8"/>
  <c r="CC28" i="8"/>
  <c r="BW28" i="8"/>
  <c r="DC28" i="8"/>
  <c r="CB28" i="8"/>
  <c r="BV28" i="8"/>
  <c r="BU28" i="8" s="1"/>
  <c r="DH28" i="8"/>
  <c r="DB28" i="8"/>
  <c r="DG28" i="8"/>
  <c r="DA28" i="8"/>
  <c r="BZ28" i="8"/>
  <c r="DF28" i="8"/>
  <c r="CZ28" i="8"/>
  <c r="BY28" i="8"/>
  <c r="FL49" i="17"/>
  <c r="FL16" i="17" s="1"/>
  <c r="FL15" i="17"/>
  <c r="FJ15" i="17" s="1"/>
  <c r="FJ35" i="8"/>
  <c r="FD35" i="8" s="1"/>
  <c r="FJ34" i="8"/>
  <c r="FD34" i="8" s="1"/>
  <c r="CR37" i="8"/>
  <c r="DF32" i="6"/>
  <c r="CZ32" i="6"/>
  <c r="BZ32" i="6"/>
  <c r="DE32" i="6"/>
  <c r="CY32" i="6"/>
  <c r="BY32" i="6"/>
  <c r="DD32" i="6"/>
  <c r="CX32" i="6"/>
  <c r="BX32" i="6"/>
  <c r="DC32" i="6"/>
  <c r="CC32" i="6"/>
  <c r="BW32" i="6"/>
  <c r="DG32" i="6"/>
  <c r="DA32" i="6"/>
  <c r="CB32" i="6"/>
  <c r="DH32" i="6"/>
  <c r="BV32" i="6"/>
  <c r="BU32" i="6" s="1"/>
  <c r="DB32" i="6"/>
  <c r="BH15" i="8"/>
  <c r="DJ15" i="8" s="1"/>
  <c r="CP25" i="6"/>
  <c r="CK36" i="6"/>
  <c r="CE25" i="6"/>
  <c r="CD25" i="6" s="1"/>
  <c r="DE23" i="6"/>
  <c r="CX23" i="6"/>
  <c r="BY23" i="6"/>
  <c r="DD23" i="6"/>
  <c r="BX23" i="6"/>
  <c r="DC23" i="6"/>
  <c r="CC23" i="6"/>
  <c r="BW23" i="6"/>
  <c r="DB23" i="6"/>
  <c r="CB23" i="6"/>
  <c r="BV23" i="6"/>
  <c r="DF23" i="6"/>
  <c r="CY23" i="6"/>
  <c r="CH23" i="6"/>
  <c r="BZ23" i="6"/>
  <c r="DA23" i="6"/>
  <c r="CZ23" i="6" s="1"/>
  <c r="DG23" i="6"/>
  <c r="AM37" i="6"/>
  <c r="CP13" i="6"/>
  <c r="CO13" i="6" s="1"/>
  <c r="CN13" i="6" s="1"/>
  <c r="BH26" i="6"/>
  <c r="DJ26" i="6" s="1"/>
  <c r="CE36" i="6"/>
  <c r="CH20" i="6"/>
  <c r="CG20" i="6" s="1"/>
  <c r="CF20" i="6" s="1"/>
  <c r="CE20" i="6" s="1"/>
  <c r="CE12" i="6"/>
  <c r="CD12" i="6" s="1"/>
  <c r="AS37" i="6"/>
  <c r="CE6" i="6"/>
  <c r="CO15" i="4"/>
  <c r="AM15" i="6"/>
  <c r="AT37" i="6"/>
  <c r="CE28" i="6"/>
  <c r="CD28" i="6" s="1"/>
  <c r="DD32" i="4"/>
  <c r="CX32" i="4"/>
  <c r="BY32" i="4"/>
  <c r="DC32" i="4"/>
  <c r="BX32" i="4"/>
  <c r="DH32" i="4"/>
  <c r="DB32" i="4"/>
  <c r="CC32" i="4"/>
  <c r="BW32" i="4"/>
  <c r="DG32" i="4"/>
  <c r="DA32" i="4"/>
  <c r="CB32" i="4"/>
  <c r="BV32" i="4"/>
  <c r="BU32" i="4" s="1"/>
  <c r="DE32" i="4"/>
  <c r="CY32" i="4"/>
  <c r="BZ32" i="4"/>
  <c r="CZ32" i="4"/>
  <c r="DF32" i="4"/>
  <c r="BR34" i="4"/>
  <c r="BQ34" i="4"/>
  <c r="BO34" i="4"/>
  <c r="BS34" i="4"/>
  <c r="BT34" i="4"/>
  <c r="CP8" i="2"/>
  <c r="BP37" i="2"/>
  <c r="DE33" i="2"/>
  <c r="CY33" i="2"/>
  <c r="DD33" i="2"/>
  <c r="CX33" i="2"/>
  <c r="BZ33" i="2"/>
  <c r="DC33" i="2"/>
  <c r="BY33" i="2"/>
  <c r="DH33" i="2"/>
  <c r="DB33" i="2"/>
  <c r="CH33" i="2"/>
  <c r="CG33" i="2" s="1"/>
  <c r="CF33" i="2" s="1"/>
  <c r="CE33" i="2" s="1"/>
  <c r="CD33" i="2" s="1"/>
  <c r="BX33" i="2"/>
  <c r="DG33" i="2"/>
  <c r="DA33" i="2"/>
  <c r="CC33" i="2"/>
  <c r="BW33" i="2"/>
  <c r="DF33" i="2"/>
  <c r="CZ33" i="2"/>
  <c r="CB33" i="2"/>
  <c r="BV33" i="2"/>
  <c r="BU33" i="2" s="1"/>
  <c r="CO26" i="2"/>
  <c r="CO22" i="2"/>
  <c r="GH9" i="2"/>
  <c r="GG9" i="2" s="1"/>
  <c r="AM12" i="6"/>
  <c r="AM10" i="4"/>
  <c r="AM34" i="4" s="1"/>
  <c r="DF36" i="2"/>
  <c r="CZ36" i="2"/>
  <c r="CC36" i="2"/>
  <c r="BW36" i="2"/>
  <c r="DD36" i="2"/>
  <c r="CX36" i="2"/>
  <c r="DG36" i="2"/>
  <c r="DA36" i="2"/>
  <c r="BX36" i="2"/>
  <c r="CY36" i="2"/>
  <c r="BV36" i="2"/>
  <c r="BU36" i="2" s="1"/>
  <c r="FZ36" i="2" s="1"/>
  <c r="DH36" i="2"/>
  <c r="CB36" i="2"/>
  <c r="DE36" i="2"/>
  <c r="DC36" i="2"/>
  <c r="BZ36" i="2"/>
  <c r="DB36" i="2"/>
  <c r="BY36" i="2"/>
  <c r="BZ29" i="2"/>
  <c r="FZ23" i="2"/>
  <c r="CP12" i="2"/>
  <c r="CO12" i="2" s="1"/>
  <c r="CN12" i="2" s="1"/>
  <c r="AA34" i="4"/>
  <c r="BU34" i="4" s="1"/>
  <c r="GG19" i="2"/>
  <c r="GF19" i="2" s="1"/>
  <c r="GH17" i="2"/>
  <c r="GG17" i="2" s="1"/>
  <c r="AL37" i="2"/>
  <c r="CP37" i="2" s="1"/>
  <c r="CP38" i="2" s="1"/>
  <c r="AM6" i="2"/>
  <c r="CP6" i="2"/>
  <c r="CO6" i="2" s="1"/>
  <c r="CN6" i="2" s="1"/>
  <c r="CH21" i="1"/>
  <c r="AE21" i="1"/>
  <c r="CP9" i="1"/>
  <c r="CO9" i="1" s="1"/>
  <c r="GG10" i="2"/>
  <c r="AT37" i="1"/>
  <c r="AM12" i="1"/>
  <c r="DF6" i="1"/>
  <c r="CZ6" i="1"/>
  <c r="CC6" i="1"/>
  <c r="BW6" i="1"/>
  <c r="DE6" i="1"/>
  <c r="CY6" i="1"/>
  <c r="CB6" i="1"/>
  <c r="BV6" i="1"/>
  <c r="BU6" i="1" s="1"/>
  <c r="DD6" i="1"/>
  <c r="P6" i="1"/>
  <c r="DC6" i="1"/>
  <c r="BZ6" i="1"/>
  <c r="DH6" i="1"/>
  <c r="DB6" i="1"/>
  <c r="BY6" i="1"/>
  <c r="DA6" i="1"/>
  <c r="DG6" i="1"/>
  <c r="BX6" i="1"/>
  <c r="CX6" i="1"/>
  <c r="AM29" i="2"/>
  <c r="DH16" i="8"/>
  <c r="DA16" i="8"/>
  <c r="CC16" i="8"/>
  <c r="BW16" i="8"/>
  <c r="DG16" i="8"/>
  <c r="CZ16" i="8"/>
  <c r="CB16" i="8"/>
  <c r="BV16" i="8"/>
  <c r="BU16" i="8" s="1"/>
  <c r="DF16" i="8"/>
  <c r="CY16" i="8"/>
  <c r="CH16" i="8"/>
  <c r="DE16" i="8"/>
  <c r="CX16" i="8"/>
  <c r="BZ16" i="8"/>
  <c r="DD16" i="8"/>
  <c r="BY16" i="8"/>
  <c r="DC16" i="8"/>
  <c r="DB16" i="8" s="1"/>
  <c r="BX16" i="8"/>
  <c r="FD12" i="17"/>
  <c r="DU18" i="20"/>
  <c r="AC19" i="20"/>
  <c r="AC18" i="20"/>
  <c r="CL25" i="8"/>
  <c r="AI25" i="8"/>
  <c r="CU37" i="6"/>
  <c r="CO32" i="6"/>
  <c r="CK29" i="8"/>
  <c r="AH37" i="8"/>
  <c r="CL37" i="8" s="1"/>
  <c r="CL6" i="8"/>
  <c r="DC20" i="8"/>
  <c r="DH20" i="8"/>
  <c r="DB20" i="8"/>
  <c r="BZ20" i="8"/>
  <c r="DG20" i="8"/>
  <c r="DA20" i="8"/>
  <c r="BY20" i="8"/>
  <c r="DF20" i="8"/>
  <c r="CZ20" i="8"/>
  <c r="BX20" i="8"/>
  <c r="DE20" i="8"/>
  <c r="CY20" i="8"/>
  <c r="CC20" i="8"/>
  <c r="BW20" i="8"/>
  <c r="DD20" i="8"/>
  <c r="CX20" i="8"/>
  <c r="CB20" i="8"/>
  <c r="BV20" i="8"/>
  <c r="BU20" i="8" s="1"/>
  <c r="CP16" i="8"/>
  <c r="AE37" i="8"/>
  <c r="FI48" i="17"/>
  <c r="FI14" i="17"/>
  <c r="AD17" i="20"/>
  <c r="AE17" i="20"/>
  <c r="CL13" i="8"/>
  <c r="AD37" i="8"/>
  <c r="CH37" i="8" s="1"/>
  <c r="FJ14" i="17"/>
  <c r="CU37" i="8"/>
  <c r="CH9" i="8"/>
  <c r="DH34" i="6"/>
  <c r="DB34" i="6"/>
  <c r="CH34" i="6"/>
  <c r="CG34" i="6" s="1"/>
  <c r="CF34" i="6" s="1"/>
  <c r="CE34" i="6" s="1"/>
  <c r="CD34" i="6" s="1"/>
  <c r="BX34" i="6"/>
  <c r="DG34" i="6"/>
  <c r="DA34" i="6"/>
  <c r="CC34" i="6"/>
  <c r="BW34" i="6"/>
  <c r="DF34" i="6"/>
  <c r="CZ34" i="6"/>
  <c r="CB34" i="6"/>
  <c r="BV34" i="6"/>
  <c r="BU34" i="6" s="1"/>
  <c r="DE34" i="6"/>
  <c r="CY34" i="6"/>
  <c r="DC34" i="6"/>
  <c r="BY34" i="6"/>
  <c r="CX34" i="6"/>
  <c r="BZ34" i="6"/>
  <c r="DD34" i="6"/>
  <c r="DF7" i="6"/>
  <c r="CZ7" i="6"/>
  <c r="CH7" i="6"/>
  <c r="CG7" i="6" s="1"/>
  <c r="BY7" i="6"/>
  <c r="DE7" i="6"/>
  <c r="CY7" i="6"/>
  <c r="BX7" i="6"/>
  <c r="DD7" i="6"/>
  <c r="CX7" i="6"/>
  <c r="BW7" i="6"/>
  <c r="DC7" i="6"/>
  <c r="CC7" i="6"/>
  <c r="BV7" i="6"/>
  <c r="BU7" i="6" s="1"/>
  <c r="DG7" i="6"/>
  <c r="DA7" i="6"/>
  <c r="DB7" i="6"/>
  <c r="CB7" i="6"/>
  <c r="DH7" i="6"/>
  <c r="DH23" i="6"/>
  <c r="DE11" i="8"/>
  <c r="CY11" i="8"/>
  <c r="CH11" i="8"/>
  <c r="DD11" i="8"/>
  <c r="CX11" i="8"/>
  <c r="BZ11" i="8"/>
  <c r="DC11" i="8"/>
  <c r="BY11" i="8"/>
  <c r="DH11" i="8"/>
  <c r="DB11" i="8"/>
  <c r="BX11" i="8"/>
  <c r="DF11" i="8"/>
  <c r="CZ11" i="8"/>
  <c r="CB11" i="8"/>
  <c r="BV11" i="8"/>
  <c r="BU11" i="8" s="1"/>
  <c r="CC11" i="8"/>
  <c r="DG11" i="8"/>
  <c r="DA11" i="8"/>
  <c r="BW11" i="8"/>
  <c r="CP8" i="6"/>
  <c r="AD37" i="6"/>
  <c r="CH37" i="6" s="1"/>
  <c r="AI33" i="4"/>
  <c r="CK14" i="4"/>
  <c r="DD30" i="6"/>
  <c r="CX30" i="6"/>
  <c r="CB30" i="6"/>
  <c r="BV30" i="6"/>
  <c r="BU30" i="6" s="1"/>
  <c r="DC30" i="6"/>
  <c r="DH30" i="6"/>
  <c r="DB30" i="6"/>
  <c r="BZ30" i="6"/>
  <c r="DG30" i="6"/>
  <c r="DA30" i="6"/>
  <c r="CH30" i="6"/>
  <c r="BY30" i="6"/>
  <c r="DE30" i="6"/>
  <c r="CY30" i="6"/>
  <c r="CC30" i="6"/>
  <c r="BW30" i="6"/>
  <c r="BX30" i="6"/>
  <c r="DF30" i="6"/>
  <c r="CZ30" i="6"/>
  <c r="CL36" i="2"/>
  <c r="CK36" i="2" s="1"/>
  <c r="CJ36" i="2" s="1"/>
  <c r="BJ24" i="6"/>
  <c r="CN37" i="6"/>
  <c r="AI34" i="6"/>
  <c r="AH34" i="4"/>
  <c r="CL34" i="4" s="1"/>
  <c r="CL6" i="4"/>
  <c r="CK6" i="4" s="1"/>
  <c r="CJ6" i="4" s="1"/>
  <c r="AL37" i="6"/>
  <c r="CP37" i="6" s="1"/>
  <c r="BU6" i="4"/>
  <c r="CC6" i="4"/>
  <c r="AX37" i="2"/>
  <c r="DG31" i="2"/>
  <c r="DA31" i="2"/>
  <c r="BZ31" i="2"/>
  <c r="DF31" i="2"/>
  <c r="CZ31" i="2"/>
  <c r="CH31" i="2"/>
  <c r="CG31" i="2" s="1"/>
  <c r="BY31" i="2"/>
  <c r="DE31" i="2"/>
  <c r="CY31" i="2"/>
  <c r="BX31" i="2"/>
  <c r="DD31" i="2"/>
  <c r="CX31" i="2"/>
  <c r="CC31" i="2"/>
  <c r="BW31" i="2"/>
  <c r="DC31" i="2"/>
  <c r="CB31" i="2"/>
  <c r="BV31" i="2"/>
  <c r="BU31" i="2" s="1"/>
  <c r="FZ31" i="2" s="1"/>
  <c r="DP31" i="2"/>
  <c r="DH31" i="2"/>
  <c r="DB31" i="2"/>
  <c r="DH15" i="2"/>
  <c r="DB15" i="2"/>
  <c r="BX15" i="2"/>
  <c r="DG15" i="2"/>
  <c r="DA15" i="2"/>
  <c r="CC15" i="2"/>
  <c r="BW15" i="2"/>
  <c r="DF15" i="2"/>
  <c r="CZ15" i="2"/>
  <c r="CB15" i="2"/>
  <c r="BV15" i="2"/>
  <c r="BU15" i="2" s="1"/>
  <c r="DE15" i="2"/>
  <c r="CY15" i="2"/>
  <c r="DD15" i="2"/>
  <c r="CX15" i="2"/>
  <c r="BZ15" i="2"/>
  <c r="DC15" i="2"/>
  <c r="BY15" i="2"/>
  <c r="X37" i="6"/>
  <c r="CF34" i="4"/>
  <c r="CP32" i="2"/>
  <c r="CK30" i="2"/>
  <c r="DG28" i="2"/>
  <c r="DA28" i="2"/>
  <c r="DF28" i="2"/>
  <c r="CZ28" i="2"/>
  <c r="BZ28" i="2"/>
  <c r="DE28" i="2"/>
  <c r="CY28" i="2"/>
  <c r="BY28" i="2"/>
  <c r="DD28" i="2"/>
  <c r="CX28" i="2"/>
  <c r="BX28" i="2"/>
  <c r="DC28" i="2"/>
  <c r="CC28" i="2"/>
  <c r="BW28" i="2"/>
  <c r="BV28" i="2" s="1"/>
  <c r="BU28" i="2" s="1"/>
  <c r="DH28" i="2"/>
  <c r="DB28" i="2"/>
  <c r="CB28" i="2"/>
  <c r="CE19" i="2"/>
  <c r="CD19" i="2" s="1"/>
  <c r="DH8" i="2"/>
  <c r="DB8" i="2"/>
  <c r="DG8" i="2"/>
  <c r="DA8" i="2"/>
  <c r="CH8" i="2"/>
  <c r="CG8" i="2" s="1"/>
  <c r="BZ8" i="2"/>
  <c r="DF8" i="2"/>
  <c r="CZ8" i="2"/>
  <c r="BY8" i="2"/>
  <c r="DE8" i="2"/>
  <c r="CY8" i="2"/>
  <c r="CX8" i="2" s="1"/>
  <c r="BX8" i="2"/>
  <c r="DD8" i="2"/>
  <c r="CC8" i="2"/>
  <c r="BW8" i="2"/>
  <c r="DC8" i="2"/>
  <c r="CB8" i="2"/>
  <c r="BV8" i="2"/>
  <c r="AV37" i="2"/>
  <c r="DJ28" i="1"/>
  <c r="AS37" i="8"/>
  <c r="AI30" i="4"/>
  <c r="AI34" i="4" s="1"/>
  <c r="AM12" i="4"/>
  <c r="BU20" i="2"/>
  <c r="GH20" i="2"/>
  <c r="GG20" i="2" s="1"/>
  <c r="GF20" i="2" s="1"/>
  <c r="BU19" i="2"/>
  <c r="DH14" i="1"/>
  <c r="DB14" i="1"/>
  <c r="BZ14" i="1"/>
  <c r="DG14" i="1"/>
  <c r="DA14" i="1"/>
  <c r="BY14" i="1"/>
  <c r="DE14" i="1"/>
  <c r="CY14" i="1"/>
  <c r="CC14" i="1"/>
  <c r="BW14" i="1"/>
  <c r="DC14" i="1"/>
  <c r="CZ14" i="1"/>
  <c r="CX14" i="1"/>
  <c r="BX14" i="1"/>
  <c r="BV14" i="1"/>
  <c r="BU14" i="1" s="1"/>
  <c r="DF14" i="1"/>
  <c r="DD14" i="1"/>
  <c r="CB14" i="1"/>
  <c r="AM13" i="1"/>
  <c r="AQ37" i="1"/>
  <c r="CV37" i="1" s="1"/>
  <c r="CU37" i="1" s="1"/>
  <c r="AM11" i="1"/>
  <c r="AM37" i="1" s="1"/>
  <c r="AI33" i="2"/>
  <c r="AM14" i="2"/>
  <c r="AI28" i="2"/>
  <c r="AI37" i="2" s="1"/>
  <c r="AD37" i="1"/>
  <c r="CH37" i="1" s="1"/>
  <c r="CG37" i="1" s="1"/>
  <c r="CF37" i="1" s="1"/>
  <c r="AE6" i="1"/>
  <c r="AE37" i="1" s="1"/>
  <c r="X37" i="8"/>
  <c r="CE23" i="8"/>
  <c r="CK22" i="8"/>
  <c r="FN9" i="14"/>
  <c r="FN10" i="14"/>
  <c r="FJ50" i="17"/>
  <c r="FJ17" i="17" s="1"/>
  <c r="FJ16" i="17"/>
  <c r="FI20" i="20"/>
  <c r="FI54" i="20"/>
  <c r="AA37" i="8"/>
  <c r="BU37" i="8" s="1"/>
  <c r="AI6" i="8"/>
  <c r="CP7" i="8"/>
  <c r="AM7" i="8"/>
  <c r="CG37" i="8"/>
  <c r="CO31" i="6"/>
  <c r="CK16" i="6"/>
  <c r="CE11" i="8"/>
  <c r="CK23" i="6"/>
  <c r="DD10" i="6"/>
  <c r="BZ10" i="6"/>
  <c r="DC10" i="6"/>
  <c r="BY10" i="6"/>
  <c r="DH10" i="6"/>
  <c r="DB10" i="6"/>
  <c r="DA10" i="6" s="1"/>
  <c r="BX10" i="6"/>
  <c r="DG10" i="6"/>
  <c r="CZ10" i="6"/>
  <c r="CC10" i="6"/>
  <c r="BW10" i="6"/>
  <c r="DE10" i="6"/>
  <c r="CX10" i="6"/>
  <c r="CB10" i="6"/>
  <c r="BV10" i="6"/>
  <c r="BU10" i="6" s="1"/>
  <c r="CY10" i="6"/>
  <c r="DF10" i="6"/>
  <c r="CN37" i="8"/>
  <c r="CO28" i="4"/>
  <c r="CO20" i="4"/>
  <c r="DF7" i="4"/>
  <c r="CZ7" i="4"/>
  <c r="CC7" i="4"/>
  <c r="BW7" i="4"/>
  <c r="DE7" i="4"/>
  <c r="CY7" i="4"/>
  <c r="CB7" i="4"/>
  <c r="BV7" i="4"/>
  <c r="BU7" i="4" s="1"/>
  <c r="DD7" i="4"/>
  <c r="CX7" i="4"/>
  <c r="DG7" i="4"/>
  <c r="DA7" i="4"/>
  <c r="BX7" i="4"/>
  <c r="DB7" i="4"/>
  <c r="BZ7" i="4"/>
  <c r="BY7" i="4"/>
  <c r="DH7" i="4"/>
  <c r="DC7" i="4"/>
  <c r="CH7" i="4"/>
  <c r="DE27" i="6"/>
  <c r="CY27" i="6"/>
  <c r="CC27" i="6"/>
  <c r="BV27" i="6"/>
  <c r="BU27" i="6" s="1"/>
  <c r="DD27" i="6"/>
  <c r="CX27" i="6"/>
  <c r="CB27" i="6"/>
  <c r="DC27" i="6"/>
  <c r="DH27" i="6"/>
  <c r="DB27" i="6"/>
  <c r="BZ27" i="6"/>
  <c r="BY27" i="6" s="1"/>
  <c r="DF27" i="6"/>
  <c r="CZ27" i="6"/>
  <c r="BW27" i="6"/>
  <c r="BX27" i="6"/>
  <c r="DG27" i="6"/>
  <c r="CH27" i="6"/>
  <c r="CG27" i="6" s="1"/>
  <c r="CF27" i="6" s="1"/>
  <c r="CE27" i="6" s="1"/>
  <c r="DA27" i="6"/>
  <c r="DE31" i="4"/>
  <c r="CY31" i="4"/>
  <c r="CC31" i="4"/>
  <c r="BW31" i="4"/>
  <c r="DD31" i="4"/>
  <c r="CX31" i="4"/>
  <c r="CB31" i="4"/>
  <c r="BV31" i="4"/>
  <c r="BU31" i="4" s="1"/>
  <c r="DC31" i="4"/>
  <c r="DH31" i="4"/>
  <c r="DB31" i="4"/>
  <c r="BZ31" i="4"/>
  <c r="DF31" i="4"/>
  <c r="CZ31" i="4"/>
  <c r="BX31" i="4"/>
  <c r="DG31" i="4"/>
  <c r="DA31" i="4"/>
  <c r="BY31" i="4"/>
  <c r="CP22" i="4"/>
  <c r="AE34" i="4"/>
  <c r="CK27" i="4"/>
  <c r="BP37" i="6"/>
  <c r="FN26" i="4"/>
  <c r="BL26" i="4" s="1"/>
  <c r="DP26" i="4" s="1"/>
  <c r="FO27" i="4"/>
  <c r="CD34" i="4"/>
  <c r="CO20" i="2"/>
  <c r="AS37" i="2"/>
  <c r="CE6" i="2"/>
  <c r="CD6" i="2" s="1"/>
  <c r="CO30" i="2"/>
  <c r="FZ24" i="2"/>
  <c r="DG21" i="2"/>
  <c r="DA21" i="2"/>
  <c r="CH21" i="2"/>
  <c r="CG21" i="2" s="1"/>
  <c r="BY21" i="2"/>
  <c r="DF21" i="2"/>
  <c r="CZ21" i="2"/>
  <c r="BX21" i="2"/>
  <c r="DE21" i="2"/>
  <c r="CY21" i="2"/>
  <c r="CC21" i="2"/>
  <c r="BW21" i="2"/>
  <c r="DD21" i="2"/>
  <c r="CX21" i="2"/>
  <c r="CB21" i="2"/>
  <c r="BV21" i="2"/>
  <c r="DC21" i="2"/>
  <c r="DH21" i="2"/>
  <c r="DB21" i="2"/>
  <c r="BZ21" i="2"/>
  <c r="CO13" i="2"/>
  <c r="CK10" i="2"/>
  <c r="CD37" i="2"/>
  <c r="CG34" i="4"/>
  <c r="DH19" i="2"/>
  <c r="DB19" i="2"/>
  <c r="DG19" i="2"/>
  <c r="DA19" i="2"/>
  <c r="BZ19" i="2"/>
  <c r="DF19" i="2"/>
  <c r="CZ19" i="2"/>
  <c r="CH19" i="2"/>
  <c r="CG19" i="2" s="1"/>
  <c r="BY19" i="2"/>
  <c r="DE19" i="2"/>
  <c r="CY19" i="2"/>
  <c r="BX19" i="2"/>
  <c r="DD19" i="2"/>
  <c r="CX19" i="2"/>
  <c r="CC19" i="2"/>
  <c r="BW19" i="2"/>
  <c r="DC19" i="2"/>
  <c r="CB19" i="2"/>
  <c r="BV19" i="2"/>
  <c r="FZ7" i="2"/>
  <c r="CU37" i="2"/>
  <c r="DP31" i="1"/>
  <c r="DC31" i="1"/>
  <c r="CC31" i="1"/>
  <c r="BW31" i="1"/>
  <c r="DN31" i="1"/>
  <c r="DH31" i="1"/>
  <c r="DB31" i="1"/>
  <c r="CB31" i="1"/>
  <c r="BV31" i="1"/>
  <c r="DG31" i="1"/>
  <c r="DA31" i="1"/>
  <c r="DL31" i="1"/>
  <c r="DF31" i="1"/>
  <c r="CZ31" i="1"/>
  <c r="BZ31" i="1"/>
  <c r="DE31" i="1"/>
  <c r="CY31" i="1"/>
  <c r="BY31" i="1"/>
  <c r="DJ31" i="1"/>
  <c r="DD31" i="1"/>
  <c r="CX31" i="1"/>
  <c r="BX31" i="1"/>
  <c r="AM19" i="4"/>
  <c r="DG17" i="4"/>
  <c r="DA17" i="4"/>
  <c r="DF17" i="4"/>
  <c r="CZ17" i="4"/>
  <c r="BZ17" i="4"/>
  <c r="DE17" i="4"/>
  <c r="CY17" i="4"/>
  <c r="BY17" i="4"/>
  <c r="DH17" i="4"/>
  <c r="DB17" i="4"/>
  <c r="CB17" i="4"/>
  <c r="BV17" i="4"/>
  <c r="BU17" i="4" s="1"/>
  <c r="CX17" i="4"/>
  <c r="CC17" i="4"/>
  <c r="BX17" i="4"/>
  <c r="BW17" i="4"/>
  <c r="DD17" i="4"/>
  <c r="DC17" i="4"/>
  <c r="AD34" i="4"/>
  <c r="CH34" i="4" s="1"/>
  <c r="BZ30" i="2"/>
  <c r="DF26" i="2"/>
  <c r="CZ26" i="2"/>
  <c r="CC26" i="2"/>
  <c r="BW26" i="2"/>
  <c r="DE26" i="2"/>
  <c r="CY26" i="2"/>
  <c r="CB26" i="2"/>
  <c r="BV26" i="2"/>
  <c r="BU26" i="2" s="1"/>
  <c r="DD26" i="2"/>
  <c r="CX26" i="2"/>
  <c r="DC26" i="2"/>
  <c r="BZ26" i="2"/>
  <c r="DP26" i="2"/>
  <c r="DH26" i="2"/>
  <c r="DB26" i="2"/>
  <c r="CH26" i="2"/>
  <c r="CG26" i="2" s="1"/>
  <c r="BY26" i="2"/>
  <c r="DG26" i="2"/>
  <c r="DA26" i="2"/>
  <c r="BX26" i="2"/>
  <c r="GG8" i="2"/>
  <c r="CK37" i="2"/>
  <c r="DN27" i="1"/>
  <c r="DH27" i="1"/>
  <c r="DB27" i="1"/>
  <c r="CC27" i="1"/>
  <c r="BW27" i="1"/>
  <c r="DG27" i="1"/>
  <c r="DA27" i="1"/>
  <c r="CB27" i="1"/>
  <c r="BV27" i="1"/>
  <c r="DL27" i="1"/>
  <c r="DF27" i="1"/>
  <c r="CZ27" i="1"/>
  <c r="DE27" i="1"/>
  <c r="CY27" i="1"/>
  <c r="BZ27" i="1"/>
  <c r="DJ27" i="1"/>
  <c r="DD27" i="1"/>
  <c r="CX27" i="1"/>
  <c r="BY27" i="1"/>
  <c r="DP27" i="1"/>
  <c r="DC27" i="1"/>
  <c r="BX27" i="1"/>
  <c r="BP34" i="4"/>
  <c r="CJ37" i="2"/>
  <c r="CD37" i="8"/>
  <c r="FO17" i="4"/>
  <c r="DD16" i="4"/>
  <c r="CX16" i="4"/>
  <c r="CC16" i="4"/>
  <c r="BW16" i="4"/>
  <c r="DC16" i="4"/>
  <c r="CB16" i="4"/>
  <c r="BV16" i="4"/>
  <c r="BU16" i="4" s="1"/>
  <c r="DH16" i="4"/>
  <c r="DB16" i="4"/>
  <c r="DE16" i="4"/>
  <c r="CY16" i="4"/>
  <c r="CH16" i="4"/>
  <c r="CG16" i="4" s="1"/>
  <c r="CF16" i="4" s="1"/>
  <c r="CE16" i="4" s="1"/>
  <c r="CD16" i="4" s="1"/>
  <c r="BX16" i="4"/>
  <c r="DG16" i="4"/>
  <c r="DF16" i="4"/>
  <c r="DA16" i="4"/>
  <c r="BZ16" i="4"/>
  <c r="CZ16" i="4"/>
  <c r="BY16" i="4"/>
  <c r="DD16" i="2"/>
  <c r="CX16" i="2"/>
  <c r="CH16" i="2"/>
  <c r="CG16" i="2" s="1"/>
  <c r="BZ16" i="2"/>
  <c r="DC16" i="2"/>
  <c r="BY16" i="2"/>
  <c r="DH16" i="2"/>
  <c r="DB16" i="2"/>
  <c r="BX16" i="2"/>
  <c r="DG16" i="2"/>
  <c r="DA16" i="2"/>
  <c r="CC16" i="2"/>
  <c r="BW16" i="2"/>
  <c r="DF16" i="2"/>
  <c r="CZ16" i="2"/>
  <c r="CB16" i="2"/>
  <c r="BV16" i="2"/>
  <c r="DE16" i="2"/>
  <c r="CY16" i="2"/>
  <c r="GG15" i="2"/>
  <c r="GG13" i="2"/>
  <c r="GF13" i="2" s="1"/>
  <c r="AI21" i="1"/>
  <c r="AI8" i="1"/>
  <c r="BS37" i="2"/>
  <c r="AS37" i="1"/>
  <c r="AI32" i="2"/>
  <c r="DH18" i="1"/>
  <c r="DB18" i="1"/>
  <c r="CB18" i="1"/>
  <c r="BV18" i="1"/>
  <c r="BU18" i="1" s="1"/>
  <c r="DG18" i="1"/>
  <c r="DA18" i="1"/>
  <c r="DF18" i="1"/>
  <c r="CZ18" i="1"/>
  <c r="CH18" i="1"/>
  <c r="CG18" i="1" s="1"/>
  <c r="BZ18" i="1"/>
  <c r="DE18" i="1"/>
  <c r="CY18" i="1"/>
  <c r="BY18" i="1"/>
  <c r="DC18" i="1"/>
  <c r="CC18" i="1"/>
  <c r="BW18" i="1"/>
  <c r="DD18" i="1"/>
  <c r="CX18" i="1"/>
  <c r="BX18" i="1"/>
  <c r="AI7" i="1"/>
  <c r="CK37" i="8"/>
  <c r="CO26" i="4"/>
  <c r="FZ17" i="2"/>
  <c r="CK9" i="2"/>
  <c r="BQ37" i="6"/>
  <c r="BU37" i="6"/>
  <c r="BO37" i="6"/>
  <c r="BT37" i="6"/>
  <c r="BR37" i="6"/>
  <c r="BS37" i="6"/>
  <c r="DD13" i="2"/>
  <c r="CX13" i="2"/>
  <c r="CB13" i="2"/>
  <c r="BV13" i="2"/>
  <c r="DC13" i="2"/>
  <c r="DH13" i="2"/>
  <c r="DB13" i="2"/>
  <c r="BZ13" i="2"/>
  <c r="DG13" i="2"/>
  <c r="DA13" i="2"/>
  <c r="BY13" i="2"/>
  <c r="DF13" i="2"/>
  <c r="CZ13" i="2"/>
  <c r="BX13" i="2"/>
  <c r="DE13" i="2"/>
  <c r="CY13" i="2"/>
  <c r="CC13" i="2"/>
  <c r="BW13" i="2"/>
  <c r="CO33" i="2"/>
  <c r="AT37" i="8"/>
  <c r="CP6" i="4"/>
  <c r="CO6" i="4" s="1"/>
  <c r="AL34" i="4"/>
  <c r="CP34" i="4" s="1"/>
  <c r="CK19" i="2"/>
  <c r="BP37" i="1"/>
  <c r="AA37" i="1"/>
  <c r="FZ14" i="2"/>
  <c r="AI37" i="1"/>
  <c r="FF46" i="17"/>
  <c r="FH47" i="17"/>
  <c r="FH13" i="17"/>
  <c r="FH54" i="20"/>
  <c r="FH20" i="20"/>
  <c r="CO10" i="8"/>
  <c r="CK8" i="6"/>
  <c r="CO11" i="6"/>
  <c r="CS6" i="6"/>
  <c r="CJ37" i="6"/>
  <c r="CS6" i="4"/>
  <c r="CR6" i="4" s="1"/>
  <c r="AO34" i="4"/>
  <c r="AH37" i="6"/>
  <c r="CL37" i="6" s="1"/>
  <c r="CL6" i="6"/>
  <c r="CK12" i="4"/>
  <c r="CJ34" i="4"/>
  <c r="AQ37" i="2"/>
  <c r="AO37" i="2"/>
  <c r="DF11" i="6"/>
  <c r="CZ11" i="6"/>
  <c r="BY11" i="6"/>
  <c r="DE11" i="6"/>
  <c r="CY11" i="6"/>
  <c r="BX11" i="6"/>
  <c r="DD11" i="6"/>
  <c r="CX11" i="6"/>
  <c r="CC11" i="6"/>
  <c r="BW11" i="6"/>
  <c r="DC11" i="6"/>
  <c r="CB11" i="6"/>
  <c r="BV11" i="6"/>
  <c r="BU11" i="6" s="1"/>
  <c r="DG11" i="6"/>
  <c r="DA11" i="6"/>
  <c r="BZ11" i="6"/>
  <c r="DB11" i="6"/>
  <c r="DH11" i="6"/>
  <c r="FN7" i="6"/>
  <c r="FO8" i="6"/>
  <c r="AM12" i="8"/>
  <c r="AL37" i="8"/>
  <c r="CP37" i="8" s="1"/>
  <c r="CK7" i="6"/>
  <c r="CK18" i="4"/>
  <c r="BH13" i="6"/>
  <c r="BJ13" i="6" s="1"/>
  <c r="BI13" i="6" s="1"/>
  <c r="CP9" i="4"/>
  <c r="DE15" i="6"/>
  <c r="CY15" i="6"/>
  <c r="CB15" i="6"/>
  <c r="BV15" i="6"/>
  <c r="BU15" i="6" s="1"/>
  <c r="DD15" i="6"/>
  <c r="CX15" i="6"/>
  <c r="DC15" i="6"/>
  <c r="BZ15" i="6"/>
  <c r="DH15" i="6"/>
  <c r="DB15" i="6"/>
  <c r="CH15" i="6"/>
  <c r="CG15" i="6" s="1"/>
  <c r="BY15" i="6"/>
  <c r="DF15" i="6"/>
  <c r="CZ15" i="6"/>
  <c r="CC15" i="6"/>
  <c r="BW15" i="6"/>
  <c r="DG15" i="6"/>
  <c r="DA15" i="6"/>
  <c r="BX15" i="6"/>
  <c r="AI6" i="6"/>
  <c r="AI37" i="6" s="1"/>
  <c r="DF22" i="4"/>
  <c r="CZ22" i="4"/>
  <c r="BZ22" i="4"/>
  <c r="DE22" i="4"/>
  <c r="CY22" i="4"/>
  <c r="BY22" i="4"/>
  <c r="DD22" i="4"/>
  <c r="CX22" i="4"/>
  <c r="CH22" i="4"/>
  <c r="BX22" i="4"/>
  <c r="DC22" i="4"/>
  <c r="CC22" i="4"/>
  <c r="BW22" i="4"/>
  <c r="DG22" i="4"/>
  <c r="DA22" i="4"/>
  <c r="CB22" i="4"/>
  <c r="DH22" i="4"/>
  <c r="DB22" i="4"/>
  <c r="BV22" i="4"/>
  <c r="BU22" i="4" s="1"/>
  <c r="AT34" i="4"/>
  <c r="DE7" i="2"/>
  <c r="CY7" i="2"/>
  <c r="BW7" i="2"/>
  <c r="DD7" i="2"/>
  <c r="CX7" i="2"/>
  <c r="CC7" i="2"/>
  <c r="CB7" i="2" s="1"/>
  <c r="BV7" i="2"/>
  <c r="DC7" i="2"/>
  <c r="DH7" i="2"/>
  <c r="DB7" i="2"/>
  <c r="BZ7" i="2"/>
  <c r="DG7" i="2"/>
  <c r="DA7" i="2"/>
  <c r="BY7" i="2"/>
  <c r="DF7" i="2"/>
  <c r="CZ7" i="2"/>
  <c r="BX7" i="2"/>
  <c r="CN37" i="2"/>
  <c r="DG30" i="1"/>
  <c r="DA30" i="1"/>
  <c r="CB30" i="1"/>
  <c r="DL30" i="1"/>
  <c r="DF30" i="1"/>
  <c r="CZ30" i="1"/>
  <c r="DE30" i="1"/>
  <c r="CY30" i="1"/>
  <c r="BY30" i="1"/>
  <c r="DJ30" i="1"/>
  <c r="DD30" i="1"/>
  <c r="CX30" i="1"/>
  <c r="BX30" i="1"/>
  <c r="DP30" i="1"/>
  <c r="DC30" i="1"/>
  <c r="BW30" i="1"/>
  <c r="DN30" i="1"/>
  <c r="DH30" i="1"/>
  <c r="DB30" i="1"/>
  <c r="CC30" i="1"/>
  <c r="BV30" i="1"/>
  <c r="DC14" i="2"/>
  <c r="BZ14" i="2"/>
  <c r="DH14" i="2"/>
  <c r="DB14" i="2"/>
  <c r="BY14" i="2"/>
  <c r="DG14" i="2"/>
  <c r="DA14" i="2"/>
  <c r="BX14" i="2"/>
  <c r="DF14" i="2"/>
  <c r="CZ14" i="2"/>
  <c r="CC14" i="2"/>
  <c r="BW14" i="2"/>
  <c r="DE14" i="2"/>
  <c r="CY14" i="2"/>
  <c r="CB14" i="2"/>
  <c r="BV14" i="2"/>
  <c r="DD14" i="2"/>
  <c r="CX14" i="2"/>
  <c r="FZ11" i="2"/>
  <c r="AH37" i="2"/>
  <c r="CL37" i="2" s="1"/>
  <c r="DN24" i="1"/>
  <c r="DH24" i="1"/>
  <c r="DB24" i="1"/>
  <c r="CB24" i="1"/>
  <c r="BV24" i="1"/>
  <c r="DG24" i="1"/>
  <c r="DA24" i="1"/>
  <c r="CZ24" i="1" s="1"/>
  <c r="DL24" i="1"/>
  <c r="DF24" i="1"/>
  <c r="CY24" i="1"/>
  <c r="BZ24" i="1"/>
  <c r="DE24" i="1"/>
  <c r="CX24" i="1"/>
  <c r="BY24" i="1"/>
  <c r="DP24" i="1"/>
  <c r="DC24" i="1"/>
  <c r="CC24" i="1"/>
  <c r="BW24" i="1"/>
  <c r="BX24" i="1"/>
  <c r="DJ24" i="1"/>
  <c r="DD24" i="1"/>
  <c r="DH32" i="2"/>
  <c r="DB32" i="2"/>
  <c r="CB32" i="2"/>
  <c r="BV32" i="2"/>
  <c r="BU32" i="2" s="1"/>
  <c r="DG32" i="2"/>
  <c r="DA32" i="2"/>
  <c r="DF32" i="2"/>
  <c r="CZ32" i="2"/>
  <c r="BZ32" i="2"/>
  <c r="DE32" i="2"/>
  <c r="CY32" i="2"/>
  <c r="CH32" i="2"/>
  <c r="CG32" i="2" s="1"/>
  <c r="BY32" i="2"/>
  <c r="DD32" i="2"/>
  <c r="CX32" i="2"/>
  <c r="BX32" i="2"/>
  <c r="DC32" i="2"/>
  <c r="CC32" i="2"/>
  <c r="BW32" i="2"/>
  <c r="FZ30" i="2"/>
  <c r="CV6" i="8"/>
  <c r="AQ37" i="8"/>
  <c r="CN34" i="4"/>
  <c r="BU16" i="2"/>
  <c r="DN26" i="1"/>
  <c r="DH26" i="1"/>
  <c r="DB26" i="1"/>
  <c r="CB26" i="1"/>
  <c r="BV26" i="1"/>
  <c r="DG26" i="1"/>
  <c r="DA26" i="1"/>
  <c r="DL26" i="1"/>
  <c r="DF26" i="1"/>
  <c r="CZ26" i="1"/>
  <c r="BZ26" i="1"/>
  <c r="DE26" i="1"/>
  <c r="CY26" i="1"/>
  <c r="BY26" i="1"/>
  <c r="DJ26" i="1"/>
  <c r="DD26" i="1"/>
  <c r="CX26" i="1"/>
  <c r="BX26" i="1"/>
  <c r="DP26" i="1"/>
  <c r="DC26" i="1"/>
  <c r="CC26" i="1"/>
  <c r="BW26" i="1"/>
  <c r="BO37" i="2"/>
  <c r="CL7" i="1"/>
  <c r="CK7" i="1" s="1"/>
  <c r="CJ7" i="1" s="1"/>
  <c r="DN25" i="1"/>
  <c r="DH25" i="1"/>
  <c r="DB25" i="1"/>
  <c r="CB25" i="1"/>
  <c r="BV25" i="1"/>
  <c r="DG25" i="1"/>
  <c r="DA25" i="1"/>
  <c r="DL25" i="1"/>
  <c r="DF25" i="1"/>
  <c r="CZ25" i="1"/>
  <c r="BZ25" i="1"/>
  <c r="DE25" i="1"/>
  <c r="CY25" i="1"/>
  <c r="BY25" i="1"/>
  <c r="DP25" i="1"/>
  <c r="DC25" i="1"/>
  <c r="CC25" i="1"/>
  <c r="BW25" i="1"/>
  <c r="CX25" i="1"/>
  <c r="BX25" i="1"/>
  <c r="DJ25" i="1"/>
  <c r="DD25" i="1"/>
  <c r="DE7" i="1"/>
  <c r="CY7" i="1"/>
  <c r="BZ7" i="1"/>
  <c r="DD7" i="1"/>
  <c r="CX7" i="1"/>
  <c r="BY7" i="1"/>
  <c r="DC7" i="1"/>
  <c r="BX7" i="1"/>
  <c r="DH7" i="1"/>
  <c r="DB7" i="1"/>
  <c r="CC7" i="1"/>
  <c r="BW7" i="1"/>
  <c r="DG7" i="1"/>
  <c r="DA7" i="1"/>
  <c r="CB7" i="1"/>
  <c r="BV7" i="1"/>
  <c r="BU7" i="1" s="1"/>
  <c r="DF7" i="1"/>
  <c r="CZ7" i="1"/>
  <c r="AL37" i="1"/>
  <c r="CP37" i="1" s="1"/>
  <c r="CO37" i="1" s="1"/>
  <c r="CN37" i="1" s="1"/>
  <c r="CP6" i="1"/>
  <c r="CO6" i="1" s="1"/>
  <c r="CN6" i="1" s="1"/>
  <c r="P9" i="36"/>
  <c r="CX37" i="36"/>
  <c r="BX37" i="36"/>
  <c r="DA37" i="36"/>
  <c r="CC37" i="36"/>
  <c r="DD37" i="36"/>
  <c r="DC37" i="36"/>
  <c r="BW37" i="36"/>
  <c r="BV37" i="36"/>
  <c r="BY37" i="36"/>
  <c r="DF37" i="36"/>
  <c r="DB37" i="36"/>
  <c r="BZ37" i="36"/>
  <c r="CY37" i="36"/>
  <c r="CB37" i="36"/>
  <c r="CZ37" i="36"/>
  <c r="DE37" i="36"/>
  <c r="FF47" i="17" l="1"/>
  <c r="FF13" i="17"/>
  <c r="FD13" i="17" s="1"/>
  <c r="CG22" i="4"/>
  <c r="CF22" i="4" s="1"/>
  <c r="CE22" i="4" s="1"/>
  <c r="CD22" i="4" s="1"/>
  <c r="FH48" i="17"/>
  <c r="FH14" i="17"/>
  <c r="FO18" i="4"/>
  <c r="FN17" i="4"/>
  <c r="FZ26" i="2"/>
  <c r="FZ20" i="2"/>
  <c r="FZ15" i="2"/>
  <c r="FI49" i="17"/>
  <c r="FI15" i="17"/>
  <c r="AB19" i="20"/>
  <c r="AB18" i="20"/>
  <c r="AM37" i="2"/>
  <c r="BJ15" i="8"/>
  <c r="FO11" i="8"/>
  <c r="FN10" i="8"/>
  <c r="BI24" i="6"/>
  <c r="DL24" i="6" s="1"/>
  <c r="DN24" i="6"/>
  <c r="CO28" i="6"/>
  <c r="FN20" i="8"/>
  <c r="FN19" i="8"/>
  <c r="FZ32" i="2"/>
  <c r="CE37" i="2"/>
  <c r="CO22" i="4"/>
  <c r="CE37" i="1"/>
  <c r="CD37" i="1" s="1"/>
  <c r="FZ19" i="2"/>
  <c r="CE37" i="8"/>
  <c r="CO8" i="6"/>
  <c r="BJ26" i="6"/>
  <c r="CO25" i="6"/>
  <c r="FI61" i="11"/>
  <c r="FI27" i="11"/>
  <c r="FD27" i="11" s="1"/>
  <c r="FZ21" i="2"/>
  <c r="P7" i="6"/>
  <c r="FZ16" i="2"/>
  <c r="CV37" i="8"/>
  <c r="CS37" i="2"/>
  <c r="CS34" i="4"/>
  <c r="FZ28" i="2"/>
  <c r="CO32" i="2"/>
  <c r="CO8" i="2"/>
  <c r="CE37" i="6"/>
  <c r="FO33" i="8"/>
  <c r="FN32" i="8"/>
  <c r="FH45" i="14"/>
  <c r="FH46" i="14" s="1"/>
  <c r="FH47" i="14" s="1"/>
  <c r="FH48" i="14" s="1"/>
  <c r="FH15" i="14" s="1"/>
  <c r="FI46" i="14"/>
  <c r="FI12" i="14"/>
  <c r="FH12" i="14" s="1"/>
  <c r="FD12" i="14" s="1"/>
  <c r="CV37" i="2"/>
  <c r="CG7" i="4"/>
  <c r="P7" i="1"/>
  <c r="AC37" i="20"/>
  <c r="FO28" i="4"/>
  <c r="FN28" i="4" s="1"/>
  <c r="FN27" i="4"/>
  <c r="CO9" i="4"/>
  <c r="FO9" i="6"/>
  <c r="FN8" i="6"/>
  <c r="AI37" i="8"/>
  <c r="FZ33" i="2"/>
  <c r="CE34" i="4"/>
  <c r="FN21" i="14"/>
  <c r="FN37" i="14" s="1"/>
  <c r="FN20" i="14"/>
  <c r="CG29" i="2"/>
  <c r="CF29" i="2" s="1"/>
  <c r="CE29" i="2" s="1"/>
  <c r="CD29" i="2" s="1"/>
  <c r="FN16" i="6"/>
  <c r="FO17" i="6"/>
  <c r="BI25" i="8"/>
  <c r="DL25" i="8" s="1"/>
  <c r="DN25" i="8"/>
  <c r="FH35" i="11"/>
  <c r="FG35" i="11" s="1"/>
  <c r="FH69" i="11"/>
  <c r="FF54" i="20"/>
  <c r="FF20" i="20"/>
  <c r="FD20" i="20" s="1"/>
  <c r="BJ9" i="8"/>
  <c r="DJ9" i="8"/>
  <c r="P10" i="36"/>
  <c r="FI13" i="14" l="1"/>
  <c r="FH13" i="14" s="1"/>
  <c r="FD13" i="14" s="1"/>
  <c r="FI47" i="14"/>
  <c r="FN18" i="4"/>
  <c r="FO19" i="4"/>
  <c r="FN19" i="4" s="1"/>
  <c r="FO10" i="6"/>
  <c r="FN9" i="6"/>
  <c r="FN33" i="8"/>
  <c r="FO34" i="8"/>
  <c r="FN34" i="8" s="1"/>
  <c r="P8" i="6"/>
  <c r="FI28" i="11"/>
  <c r="FD28" i="11" s="1"/>
  <c r="FI62" i="11"/>
  <c r="AD18" i="20"/>
  <c r="AE18" i="20"/>
  <c r="AB37" i="20"/>
  <c r="FH49" i="17"/>
  <c r="FH15" i="17"/>
  <c r="FG74" i="11"/>
  <c r="FG77" i="11" s="1"/>
  <c r="BI26" i="6"/>
  <c r="DL26" i="6" s="1"/>
  <c r="DN26" i="6"/>
  <c r="AD19" i="20"/>
  <c r="AE19" i="20"/>
  <c r="FI50" i="17"/>
  <c r="FI16" i="17"/>
  <c r="FF14" i="17"/>
  <c r="FD14" i="17" s="1"/>
  <c r="DU14" i="17" s="1"/>
  <c r="FF15" i="17"/>
  <c r="FD15" i="17" s="1"/>
  <c r="BI9" i="8"/>
  <c r="DL9" i="8" s="1"/>
  <c r="DN9" i="8"/>
  <c r="FN12" i="8"/>
  <c r="FN11" i="8"/>
  <c r="BI15" i="8"/>
  <c r="DL15" i="8" s="1"/>
  <c r="DN15" i="8"/>
  <c r="CG37" i="20"/>
  <c r="FO18" i="6"/>
  <c r="FN17" i="6"/>
  <c r="P11" i="36"/>
  <c r="FN18" i="6" l="1"/>
  <c r="FO19" i="6"/>
  <c r="AB15" i="17"/>
  <c r="AB14" i="17"/>
  <c r="CF37" i="20"/>
  <c r="FN10" i="6"/>
  <c r="FO11" i="6"/>
  <c r="FI51" i="17"/>
  <c r="FI17" i="17"/>
  <c r="P9" i="6"/>
  <c r="FI14" i="14"/>
  <c r="FH14" i="14" s="1"/>
  <c r="FD14" i="14" s="1"/>
  <c r="FI48" i="14"/>
  <c r="FH16" i="17"/>
  <c r="FD16" i="17" s="1"/>
  <c r="FH50" i="17"/>
  <c r="FI63" i="11"/>
  <c r="FI29" i="11"/>
  <c r="FD29" i="11" s="1"/>
  <c r="P12" i="36"/>
  <c r="FH17" i="17" l="1"/>
  <c r="FD17" i="17" s="1"/>
  <c r="FH51" i="17"/>
  <c r="FI49" i="14"/>
  <c r="FI15" i="14"/>
  <c r="FD15" i="14" s="1"/>
  <c r="FN11" i="6"/>
  <c r="FN12" i="6"/>
  <c r="AD15" i="17"/>
  <c r="AE15" i="17"/>
  <c r="P10" i="6"/>
  <c r="FI52" i="17"/>
  <c r="FI18" i="17"/>
  <c r="FO20" i="6"/>
  <c r="FN19" i="6"/>
  <c r="AD14" i="17"/>
  <c r="AE14" i="17"/>
  <c r="AB37" i="17"/>
  <c r="FI30" i="11"/>
  <c r="FD30" i="11" s="1"/>
  <c r="FI64" i="11"/>
  <c r="P13" i="36"/>
  <c r="FI31" i="11" l="1"/>
  <c r="FD31" i="11" s="1"/>
  <c r="FI65" i="11"/>
  <c r="P11" i="6"/>
  <c r="FO21" i="6"/>
  <c r="FN20" i="6"/>
  <c r="FH49" i="14"/>
  <c r="FH16" i="14" s="1"/>
  <c r="FI16" i="14"/>
  <c r="FI50" i="14"/>
  <c r="FI53" i="17"/>
  <c r="FI19" i="17"/>
  <c r="FF51" i="17"/>
  <c r="FH18" i="17"/>
  <c r="FH52" i="17"/>
  <c r="CF37" i="17"/>
  <c r="P14" i="36"/>
  <c r="FH53" i="17" l="1"/>
  <c r="FH19" i="17"/>
  <c r="P12" i="6"/>
  <c r="FI54" i="17"/>
  <c r="FI20" i="17"/>
  <c r="FI66" i="11"/>
  <c r="FI32" i="11"/>
  <c r="FD32" i="11" s="1"/>
  <c r="FD16" i="14"/>
  <c r="FF18" i="17"/>
  <c r="FF52" i="17"/>
  <c r="FO22" i="6"/>
  <c r="FN21" i="6"/>
  <c r="BL21" i="6" s="1"/>
  <c r="FH50" i="14"/>
  <c r="FI51" i="14"/>
  <c r="FI17" i="14"/>
  <c r="P15" i="36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FI33" i="11" l="1"/>
  <c r="FD33" i="11" s="1"/>
  <c r="FI67" i="11"/>
  <c r="BH21" i="6"/>
  <c r="DP21" i="6"/>
  <c r="FI18" i="14"/>
  <c r="FI52" i="14"/>
  <c r="FN22" i="6"/>
  <c r="BL22" i="6" s="1"/>
  <c r="FN23" i="6"/>
  <c r="BL23" i="6" s="1"/>
  <c r="FH51" i="14"/>
  <c r="FH17" i="14"/>
  <c r="FD17" i="14" s="1"/>
  <c r="FJ51" i="17"/>
  <c r="FF53" i="17"/>
  <c r="FF19" i="17"/>
  <c r="FH20" i="17"/>
  <c r="FH54" i="17"/>
  <c r="P26" i="36"/>
  <c r="BH22" i="6" l="1"/>
  <c r="BJ22" i="6" s="1"/>
  <c r="BI22" i="6" s="1"/>
  <c r="FH52" i="14"/>
  <c r="FH18" i="14"/>
  <c r="FG18" i="14" s="1"/>
  <c r="FD18" i="14" s="1"/>
  <c r="FI34" i="11"/>
  <c r="FD34" i="11" s="1"/>
  <c r="FI68" i="11"/>
  <c r="FJ52" i="17"/>
  <c r="FJ18" i="17"/>
  <c r="FD18" i="17" s="1"/>
  <c r="FI19" i="14"/>
  <c r="FI53" i="14"/>
  <c r="FF54" i="17"/>
  <c r="FF21" i="17" s="1"/>
  <c r="FD21" i="17" s="1"/>
  <c r="FF20" i="17"/>
  <c r="DP23" i="6"/>
  <c r="BJ21" i="6"/>
  <c r="DJ21" i="6"/>
  <c r="P27" i="36"/>
  <c r="FI54" i="14" l="1"/>
  <c r="FI20" i="14"/>
  <c r="FJ53" i="17"/>
  <c r="FJ19" i="17"/>
  <c r="FD19" i="17" s="1"/>
  <c r="FH19" i="14"/>
  <c r="FD19" i="14" s="1"/>
  <c r="FH53" i="14"/>
  <c r="BI21" i="6"/>
  <c r="DL21" i="6" s="1"/>
  <c r="DN21" i="6"/>
  <c r="FI35" i="11"/>
  <c r="FD35" i="11" s="1"/>
  <c r="FI69" i="11"/>
  <c r="FI36" i="11" s="1"/>
  <c r="FH36" i="11" s="1"/>
  <c r="FD36" i="11" s="1"/>
  <c r="P28" i="36"/>
  <c r="FJ54" i="17" l="1"/>
  <c r="FJ20" i="17"/>
  <c r="FD20" i="17" s="1"/>
  <c r="FH54" i="14"/>
  <c r="FH20" i="14"/>
  <c r="FD20" i="14" s="1"/>
  <c r="FI21" i="14"/>
  <c r="FI55" i="14"/>
  <c r="P29" i="36"/>
  <c r="FH21" i="14" l="1"/>
  <c r="FD21" i="14" s="1"/>
  <c r="FH55" i="14"/>
  <c r="FI56" i="14"/>
  <c r="FI22" i="14"/>
  <c r="P30" i="36"/>
  <c r="FI23" i="14" l="1"/>
  <c r="FI57" i="14"/>
  <c r="FH56" i="14"/>
  <c r="FH22" i="14"/>
  <c r="FD22" i="14" s="1"/>
  <c r="P31" i="36"/>
  <c r="FI58" i="14" l="1"/>
  <c r="FI24" i="14"/>
  <c r="FH23" i="14"/>
  <c r="FD23" i="14" s="1"/>
  <c r="FH57" i="14"/>
  <c r="P32" i="36"/>
  <c r="FH58" i="14" l="1"/>
  <c r="FH24" i="14"/>
  <c r="FD24" i="14" s="1"/>
  <c r="FI59" i="14"/>
  <c r="FI25" i="14"/>
  <c r="P33" i="36"/>
  <c r="FI26" i="14" l="1"/>
  <c r="FI60" i="14"/>
  <c r="FH59" i="14"/>
  <c r="FH25" i="14"/>
  <c r="FD25" i="14" s="1"/>
  <c r="P34" i="36"/>
  <c r="FH26" i="14" l="1"/>
  <c r="FD26" i="14" s="1"/>
  <c r="FH60" i="14"/>
  <c r="P35" i="36"/>
  <c r="P36" i="36" l="1"/>
  <c r="P37" i="36" l="1"/>
  <c r="BL15" i="36"/>
  <c r="BH15" i="36" s="1"/>
  <c r="DP15" i="36" l="1"/>
  <c r="DJ15" i="36"/>
  <c r="BJ15" i="36"/>
  <c r="DN15" i="36" l="1"/>
  <c r="BH24" i="36" l="1"/>
  <c r="DJ24" i="36" s="1"/>
  <c r="BJ24" i="36" l="1"/>
  <c r="DN24" i="36" s="1"/>
  <c r="BI24" i="36" l="1"/>
  <c r="DL24" i="36" l="1"/>
  <c r="BH26" i="36"/>
  <c r="DJ26" i="36" l="1"/>
  <c r="BJ26" i="36"/>
  <c r="DN26" i="36" s="1"/>
  <c r="BI26" i="36" l="1"/>
  <c r="DL26" i="36" l="1"/>
  <c r="BH31" i="36"/>
  <c r="BH33" i="36"/>
  <c r="BH36" i="36"/>
  <c r="BJ36" i="36" s="1"/>
  <c r="BI36" i="36"/>
  <c r="BG33" i="36"/>
  <c r="DH33" i="36" s="1"/>
  <c r="BJ33" i="36" l="1"/>
  <c r="DJ33" i="36"/>
  <c r="BG37" i="36"/>
  <c r="DJ31" i="36"/>
  <c r="BJ31" i="36"/>
  <c r="DN31" i="36" s="1"/>
  <c r="DN33" i="36" l="1"/>
  <c r="BI33" i="36"/>
  <c r="DL33" i="36" s="1"/>
  <c r="DH37" i="36"/>
  <c r="BI31" i="36"/>
  <c r="DL31" i="36" l="1"/>
  <c r="BL7" i="36"/>
  <c r="BH7" i="36"/>
  <c r="BJ7" i="36" s="1"/>
  <c r="AD7" i="36"/>
  <c r="AL7" i="36"/>
  <c r="CP7" i="36" s="1"/>
  <c r="BL8" i="36"/>
  <c r="BH8" i="36"/>
  <c r="BJ8" i="36" s="1"/>
  <c r="BL9" i="36"/>
  <c r="BH9" i="36" s="1"/>
  <c r="BL10" i="36"/>
  <c r="BH10" i="36"/>
  <c r="DJ10" i="36" s="1"/>
  <c r="BL13" i="36"/>
  <c r="BH13" i="36"/>
  <c r="BJ13" i="36" s="1"/>
  <c r="BL14" i="36"/>
  <c r="BH14" i="36" s="1"/>
  <c r="AH6" i="36"/>
  <c r="BJ6" i="36" s="1"/>
  <c r="AL6" i="36"/>
  <c r="BL11" i="36"/>
  <c r="BH11" i="36"/>
  <c r="AL11" i="36"/>
  <c r="BJ11" i="36"/>
  <c r="DN11" i="36" s="1"/>
  <c r="BL12" i="36"/>
  <c r="BH12" i="36" s="1"/>
  <c r="BM7" i="36"/>
  <c r="BM8" i="36" s="1"/>
  <c r="DQ8" i="36" s="1"/>
  <c r="AM6" i="36"/>
  <c r="AM11" i="36"/>
  <c r="AE7" i="36"/>
  <c r="AE37" i="36"/>
  <c r="DQ7" i="36"/>
  <c r="DJ8" i="36"/>
  <c r="DP7" i="36"/>
  <c r="DJ7" i="36"/>
  <c r="DP9" i="36"/>
  <c r="DP8" i="36"/>
  <c r="DP11" i="36"/>
  <c r="DP10" i="36"/>
  <c r="DJ11" i="36"/>
  <c r="DP13" i="36"/>
  <c r="CP11" i="36"/>
  <c r="DJ13" i="36"/>
  <c r="DP12" i="36"/>
  <c r="DP14" i="36"/>
  <c r="CP6" i="36"/>
  <c r="CO7" i="36"/>
  <c r="BI13" i="36" l="1"/>
  <c r="DL13" i="36" s="1"/>
  <c r="DN13" i="36"/>
  <c r="BI7" i="36"/>
  <c r="DN7" i="36"/>
  <c r="BJ12" i="36"/>
  <c r="DN12" i="36" s="1"/>
  <c r="DJ12" i="36"/>
  <c r="DN6" i="36"/>
  <c r="BJ9" i="36"/>
  <c r="BH37" i="36"/>
  <c r="DJ9" i="36"/>
  <c r="DJ14" i="36"/>
  <c r="BJ14" i="36"/>
  <c r="DN8" i="36"/>
  <c r="BI8" i="36"/>
  <c r="DL8" i="36" s="1"/>
  <c r="BJ10" i="36"/>
  <c r="AI6" i="36"/>
  <c r="AM7" i="36"/>
  <c r="AL37" i="36"/>
  <c r="CP37" i="36" s="1"/>
  <c r="BL37" i="36"/>
  <c r="DP37" i="36" s="1"/>
  <c r="AH37" i="36"/>
  <c r="CL37" i="36" s="1"/>
  <c r="BM9" i="36"/>
  <c r="DQ9" i="36" s="1"/>
  <c r="DJ37" i="36"/>
  <c r="DN9" i="36" l="1"/>
  <c r="BI9" i="36"/>
  <c r="DL9" i="36" s="1"/>
  <c r="DN14" i="36"/>
  <c r="BI14" i="36"/>
  <c r="DL14" i="36" s="1"/>
  <c r="BJ37" i="36"/>
  <c r="AI37" i="36"/>
  <c r="BI37" i="36"/>
  <c r="DL7" i="36"/>
  <c r="AM37" i="36"/>
  <c r="BI10" i="36"/>
  <c r="DL10" i="36" s="1"/>
  <c r="DN10" i="36"/>
  <c r="BM10" i="36"/>
  <c r="BM11" i="36" l="1"/>
  <c r="DQ10" i="36"/>
  <c r="DL37" i="36"/>
  <c r="DN37" i="36"/>
  <c r="DQ11" i="36" l="1"/>
  <c r="BM12" i="36"/>
  <c r="DQ12" i="36" l="1"/>
  <c r="BM13" i="36"/>
  <c r="DQ13" i="36" l="1"/>
  <c r="BM14" i="36"/>
  <c r="BM15" i="36" l="1"/>
  <c r="DQ14" i="36"/>
  <c r="BL35" i="11"/>
  <c r="BL36" i="11"/>
  <c r="BH36" i="11" s="1"/>
  <c r="BJ36" i="11" s="1"/>
  <c r="BI36" i="11" s="1"/>
  <c r="BM16" i="36" l="1"/>
  <c r="DQ15" i="36"/>
  <c r="BH35" i="11"/>
  <c r="BM17" i="36" l="1"/>
  <c r="DQ16" i="36"/>
  <c r="BJ35" i="11"/>
  <c r="DQ17" i="36" l="1"/>
  <c r="BM18" i="36"/>
  <c r="BI35" i="11"/>
  <c r="DQ18" i="36" l="1"/>
  <c r="BM19" i="36"/>
  <c r="DQ19" i="36" l="1"/>
  <c r="BM20" i="36"/>
  <c r="BM21" i="36" l="1"/>
  <c r="DQ20" i="36"/>
  <c r="DQ21" i="36" l="1"/>
  <c r="BM22" i="36"/>
  <c r="BM23" i="36" l="1"/>
  <c r="DQ22" i="36"/>
  <c r="DQ23" i="36" l="1"/>
  <c r="BM24" i="36"/>
  <c r="BM25" i="36" l="1"/>
  <c r="DQ24" i="36"/>
  <c r="DQ25" i="36" l="1"/>
  <c r="BM26" i="36"/>
  <c r="BM27" i="36" l="1"/>
  <c r="DQ26" i="36"/>
  <c r="DQ27" i="36" l="1"/>
  <c r="BM28" i="36"/>
  <c r="BM29" i="36" l="1"/>
  <c r="DQ28" i="36"/>
  <c r="BM30" i="36" l="1"/>
  <c r="DQ29" i="36"/>
  <c r="DQ30" i="36" l="1"/>
  <c r="BM31" i="36"/>
  <c r="DQ31" i="36" l="1"/>
  <c r="BM32" i="36"/>
  <c r="BM33" i="36" l="1"/>
  <c r="DQ32" i="36"/>
  <c r="DQ33" i="36" l="1"/>
  <c r="BM34" i="36"/>
  <c r="DQ34" i="36" l="1"/>
  <c r="BM35" i="36"/>
  <c r="DQ35" i="36" l="1"/>
  <c r="BM36" i="36"/>
  <c r="BM37" i="36" l="1"/>
  <c r="DQ36" i="36"/>
  <c r="BL6" i="2"/>
  <c r="BL7" i="2"/>
  <c r="BL8" i="2"/>
  <c r="BL9" i="2"/>
  <c r="BL10" i="2"/>
  <c r="BL11" i="2"/>
  <c r="BL12" i="2"/>
  <c r="BL13" i="2"/>
  <c r="BL14" i="2"/>
  <c r="BL15" i="2"/>
  <c r="BL16" i="2"/>
  <c r="BL17" i="2"/>
  <c r="BL18" i="2"/>
  <c r="BL19" i="2"/>
  <c r="BL20" i="2"/>
  <c r="BL21" i="2"/>
  <c r="BL22" i="2"/>
  <c r="BL23" i="2"/>
  <c r="BL24" i="2"/>
  <c r="BL25" i="2"/>
  <c r="BL28" i="2"/>
  <c r="BL29" i="2"/>
  <c r="BL30" i="2"/>
  <c r="BL32" i="2"/>
  <c r="BL33" i="2"/>
  <c r="BL34" i="2"/>
  <c r="BL35" i="2"/>
  <c r="BL36" i="2"/>
  <c r="BL37" i="2"/>
  <c r="BL6" i="4"/>
  <c r="BL7" i="4"/>
  <c r="BL8" i="4"/>
  <c r="BL9" i="4"/>
  <c r="BL10" i="4"/>
  <c r="BL11" i="4"/>
  <c r="BL12" i="4"/>
  <c r="BL13" i="4"/>
  <c r="BL14" i="4"/>
  <c r="BL15" i="4"/>
  <c r="BL16" i="4"/>
  <c r="BL17" i="4"/>
  <c r="BL18" i="4"/>
  <c r="BL19" i="4"/>
  <c r="BL20" i="4"/>
  <c r="BL21" i="4"/>
  <c r="BL22" i="4"/>
  <c r="BL23" i="4"/>
  <c r="BL25" i="4"/>
  <c r="BL27" i="4"/>
  <c r="BL28" i="4"/>
  <c r="BL29" i="4"/>
  <c r="BL30" i="4"/>
  <c r="BL31" i="4"/>
  <c r="BL32" i="4"/>
  <c r="BL33" i="4"/>
  <c r="BL34" i="4"/>
  <c r="BL6" i="6"/>
  <c r="BL7" i="6"/>
  <c r="BL8" i="6"/>
  <c r="BL9" i="6"/>
  <c r="BL10" i="6"/>
  <c r="BL11" i="6"/>
  <c r="BL12" i="6"/>
  <c r="BL14" i="6"/>
  <c r="BL15" i="6"/>
  <c r="BL16" i="6"/>
  <c r="BL17" i="6"/>
  <c r="BL18" i="6"/>
  <c r="BL19" i="6"/>
  <c r="BL20" i="6"/>
  <c r="BL27" i="6"/>
  <c r="BL28" i="6"/>
  <c r="BL29" i="6"/>
  <c r="BL30" i="6"/>
  <c r="BL31" i="6"/>
  <c r="BL32" i="6"/>
  <c r="BL33" i="6"/>
  <c r="BL34" i="6"/>
  <c r="BL35" i="6"/>
  <c r="BL36" i="6"/>
  <c r="BL37" i="6"/>
  <c r="BL6" i="8"/>
  <c r="BL7" i="8"/>
  <c r="BL10" i="8"/>
  <c r="BL11" i="8"/>
  <c r="BL12" i="8"/>
  <c r="BL13" i="8"/>
  <c r="BL14" i="8"/>
  <c r="BL16" i="8"/>
  <c r="BL17" i="8"/>
  <c r="BL18" i="8"/>
  <c r="BL19" i="8"/>
  <c r="BL20" i="8"/>
  <c r="BL21" i="8"/>
  <c r="BL22" i="8"/>
  <c r="BL23" i="8"/>
  <c r="BL24" i="8"/>
  <c r="BL26" i="8"/>
  <c r="BL27" i="8"/>
  <c r="BL28" i="8"/>
  <c r="BL29" i="8"/>
  <c r="BL30" i="8"/>
  <c r="BL31" i="8"/>
  <c r="BL32" i="8"/>
  <c r="BL33" i="8"/>
  <c r="BL34" i="8"/>
  <c r="BL35" i="8"/>
  <c r="BL36" i="8"/>
  <c r="BL37" i="8"/>
  <c r="BL6" i="11"/>
  <c r="BL7" i="11"/>
  <c r="BL8" i="11"/>
  <c r="BL10" i="11"/>
  <c r="BL11" i="11"/>
  <c r="BL12" i="11"/>
  <c r="BL13" i="11"/>
  <c r="BL14" i="11"/>
  <c r="BL15" i="11"/>
  <c r="BL16" i="11"/>
  <c r="BL17" i="11"/>
  <c r="BL18" i="11"/>
  <c r="BL19" i="11"/>
  <c r="BL20" i="11"/>
  <c r="BL21" i="11"/>
  <c r="BL22" i="11"/>
  <c r="BL23" i="11"/>
  <c r="BL24" i="11"/>
  <c r="BL25" i="11"/>
  <c r="BL26" i="11"/>
  <c r="BL27" i="11"/>
  <c r="BL28" i="11"/>
  <c r="BL29" i="11"/>
  <c r="BL30" i="11"/>
  <c r="BL31" i="11"/>
  <c r="BL32" i="11"/>
  <c r="BL33" i="11"/>
  <c r="BL34" i="11"/>
  <c r="BL37" i="11"/>
  <c r="BL6" i="14"/>
  <c r="BL7" i="14"/>
  <c r="BL8" i="14"/>
  <c r="BL9" i="14"/>
  <c r="BL10" i="14"/>
  <c r="BL11" i="14"/>
  <c r="BL12" i="14"/>
  <c r="BL13" i="14"/>
  <c r="BL14" i="14"/>
  <c r="BL15" i="14"/>
  <c r="BL16" i="14"/>
  <c r="BL17" i="14"/>
  <c r="BL18" i="14"/>
  <c r="BL19" i="14"/>
  <c r="BL20" i="14"/>
  <c r="BL21" i="14"/>
  <c r="BL22" i="14"/>
  <c r="BL23" i="14"/>
  <c r="BL24" i="14"/>
  <c r="BL25" i="14"/>
  <c r="BL26" i="14"/>
  <c r="BL27" i="14"/>
  <c r="FE28" i="14"/>
  <c r="FF61" i="14"/>
  <c r="FF28" i="14"/>
  <c r="FG28" i="14"/>
  <c r="FH61" i="14"/>
  <c r="FH28" i="14"/>
  <c r="FI61" i="14"/>
  <c r="FI28" i="14"/>
  <c r="FJ28" i="14"/>
  <c r="FK28" i="14"/>
  <c r="FL61" i="14"/>
  <c r="FL28" i="14"/>
  <c r="FD28" i="14"/>
  <c r="BL28" i="14"/>
  <c r="FF62" i="14"/>
  <c r="FF29" i="14"/>
  <c r="FH62" i="14"/>
  <c r="FH29" i="14"/>
  <c r="FI62" i="14"/>
  <c r="FI29" i="14"/>
  <c r="FL62" i="14"/>
  <c r="FL29" i="14"/>
  <c r="FD29" i="14"/>
  <c r="BL29" i="14"/>
  <c r="FF63" i="14"/>
  <c r="FF30" i="14"/>
  <c r="FH63" i="14"/>
  <c r="FH30" i="14"/>
  <c r="FI63" i="14"/>
  <c r="FI30" i="14"/>
  <c r="FL63" i="14"/>
  <c r="FL30" i="14"/>
  <c r="FD30" i="14"/>
  <c r="BL30" i="14"/>
  <c r="FF64" i="14"/>
  <c r="FF31" i="14"/>
  <c r="FH64" i="14"/>
  <c r="FH31" i="14"/>
  <c r="FI64" i="14"/>
  <c r="FI31" i="14"/>
  <c r="FL64" i="14"/>
  <c r="FL31" i="14"/>
  <c r="FD31" i="14"/>
  <c r="BL31" i="14"/>
  <c r="FF65" i="14"/>
  <c r="FF32" i="14"/>
  <c r="FH65" i="14"/>
  <c r="FH32" i="14"/>
  <c r="FI65" i="14"/>
  <c r="FI32" i="14"/>
  <c r="FL65" i="14"/>
  <c r="FL32" i="14"/>
  <c r="FD32" i="14"/>
  <c r="BL32" i="14"/>
  <c r="BL33" i="14"/>
  <c r="FF66" i="14"/>
  <c r="FF67" i="14"/>
  <c r="FF34" i="14"/>
  <c r="FH66" i="14"/>
  <c r="FH67" i="14"/>
  <c r="FH34" i="14"/>
  <c r="FI66" i="14"/>
  <c r="FI67" i="14"/>
  <c r="FI34" i="14"/>
  <c r="FL66" i="14"/>
  <c r="FL67" i="14"/>
  <c r="FL34" i="14"/>
  <c r="FD34" i="14"/>
  <c r="BL34" i="14"/>
  <c r="FF68" i="14"/>
  <c r="FF35" i="14"/>
  <c r="FH68" i="14"/>
  <c r="FH35" i="14"/>
  <c r="FI68" i="14"/>
  <c r="FI35" i="14"/>
  <c r="FL68" i="14"/>
  <c r="FL35" i="14"/>
  <c r="FD35" i="14"/>
  <c r="BL35" i="14"/>
  <c r="BL37" i="14"/>
  <c r="BL6" i="17"/>
  <c r="BL7" i="17"/>
  <c r="BL8" i="17"/>
  <c r="BL9" i="17"/>
  <c r="BL10" i="17"/>
  <c r="BL11" i="17"/>
  <c r="BL12" i="17"/>
  <c r="BL13" i="17"/>
  <c r="BL14" i="17"/>
  <c r="BL15" i="17"/>
  <c r="BL16" i="17"/>
  <c r="BL17" i="17"/>
  <c r="BL18" i="17"/>
  <c r="BL19" i="17"/>
  <c r="BL20" i="17"/>
  <c r="BL21" i="17"/>
  <c r="FF55" i="17"/>
  <c r="FF22" i="17"/>
  <c r="FH55" i="17"/>
  <c r="FH22" i="17"/>
  <c r="FI55" i="17"/>
  <c r="FI22" i="17"/>
  <c r="FJ55" i="17"/>
  <c r="FJ22" i="17"/>
  <c r="FD22" i="17"/>
  <c r="BL22" i="17"/>
  <c r="FF56" i="17"/>
  <c r="FF23" i="17"/>
  <c r="FH56" i="17"/>
  <c r="FH23" i="17"/>
  <c r="FI56" i="17"/>
  <c r="FI23" i="17"/>
  <c r="FJ56" i="17"/>
  <c r="FJ23" i="17"/>
  <c r="FD23" i="17"/>
  <c r="BL23" i="17"/>
  <c r="FF57" i="17"/>
  <c r="FF24" i="17"/>
  <c r="FH57" i="17"/>
  <c r="FH24" i="17"/>
  <c r="FI57" i="17"/>
  <c r="FI24" i="17"/>
  <c r="FJ57" i="17"/>
  <c r="FJ24" i="17"/>
  <c r="FD24" i="17"/>
  <c r="BL24" i="17"/>
  <c r="FF58" i="17"/>
  <c r="FF25" i="17"/>
  <c r="FH58" i="17"/>
  <c r="FH25" i="17"/>
  <c r="FI58" i="17"/>
  <c r="FI25" i="17"/>
  <c r="FJ58" i="17"/>
  <c r="FJ25" i="17"/>
  <c r="FD25" i="17"/>
  <c r="BL25" i="17"/>
  <c r="FF59" i="17"/>
  <c r="FF26" i="17"/>
  <c r="FH59" i="17"/>
  <c r="FH26" i="17"/>
  <c r="FI59" i="17"/>
  <c r="FI26" i="17"/>
  <c r="FJ59" i="17"/>
  <c r="FJ26" i="17"/>
  <c r="FD26" i="17"/>
  <c r="BL26" i="17"/>
  <c r="FF60" i="17"/>
  <c r="FF27" i="17"/>
  <c r="FH60" i="17"/>
  <c r="FH27" i="17"/>
  <c r="FI60" i="17"/>
  <c r="FI27" i="17"/>
  <c r="FJ60" i="17"/>
  <c r="FJ27" i="17"/>
  <c r="FD27" i="17"/>
  <c r="BL27" i="17"/>
  <c r="FF61" i="17"/>
  <c r="FF28" i="17"/>
  <c r="FH61" i="17"/>
  <c r="FH28" i="17"/>
  <c r="FI61" i="17"/>
  <c r="FI28" i="17"/>
  <c r="FJ61" i="17"/>
  <c r="FJ28" i="17"/>
  <c r="FD28" i="17"/>
  <c r="BL28" i="17"/>
  <c r="FF62" i="17"/>
  <c r="FF29" i="17"/>
  <c r="FH62" i="17"/>
  <c r="FH29" i="17"/>
  <c r="FI62" i="17"/>
  <c r="FI29" i="17"/>
  <c r="FJ62" i="17"/>
  <c r="FJ29" i="17"/>
  <c r="FD29" i="17"/>
  <c r="BL29" i="17"/>
  <c r="FF63" i="17"/>
  <c r="FF30" i="17"/>
  <c r="FH63" i="17"/>
  <c r="FH30" i="17"/>
  <c r="FI63" i="17"/>
  <c r="FI30" i="17"/>
  <c r="FJ63" i="17"/>
  <c r="FJ30" i="17"/>
  <c r="FD30" i="17"/>
  <c r="BL30" i="17"/>
  <c r="FF64" i="17"/>
  <c r="FF31" i="17"/>
  <c r="FH64" i="17"/>
  <c r="FH31" i="17"/>
  <c r="FI64" i="17"/>
  <c r="FI31" i="17"/>
  <c r="FJ64" i="17"/>
  <c r="FJ31" i="17"/>
  <c r="FD31" i="17"/>
  <c r="BL31" i="17"/>
  <c r="FF65" i="17"/>
  <c r="FF32" i="17"/>
  <c r="FH65" i="17"/>
  <c r="FH32" i="17"/>
  <c r="FI65" i="17"/>
  <c r="FI32" i="17"/>
  <c r="FJ65" i="17"/>
  <c r="FJ32" i="17"/>
  <c r="FD32" i="17"/>
  <c r="BL32" i="17"/>
  <c r="FF66" i="17"/>
  <c r="FF33" i="17"/>
  <c r="FG33" i="17"/>
  <c r="FH66" i="17"/>
  <c r="FH33" i="17"/>
  <c r="FI66" i="17"/>
  <c r="FI33" i="17"/>
  <c r="FD33" i="17"/>
  <c r="BL33" i="17"/>
  <c r="FF67" i="17"/>
  <c r="FF34" i="17"/>
  <c r="FH67" i="17"/>
  <c r="FH34" i="17"/>
  <c r="FI67" i="17"/>
  <c r="FI34" i="17"/>
  <c r="FD34" i="17"/>
  <c r="BL34" i="17"/>
  <c r="FF68" i="17"/>
  <c r="FF35" i="17"/>
  <c r="FH68" i="17"/>
  <c r="FH35" i="17"/>
  <c r="FI68" i="17"/>
  <c r="FI35" i="17"/>
  <c r="FD35" i="17"/>
  <c r="BL35" i="17"/>
  <c r="FF69" i="17"/>
  <c r="FF36" i="17"/>
  <c r="FG36" i="17"/>
  <c r="FH69" i="17"/>
  <c r="FH36" i="17"/>
  <c r="FI69" i="17"/>
  <c r="FI36" i="17"/>
  <c r="FD36" i="17"/>
  <c r="BL36" i="17"/>
  <c r="BL37" i="17"/>
  <c r="BL6" i="20"/>
  <c r="BL7" i="20"/>
  <c r="BL8" i="20"/>
  <c r="BL9" i="20"/>
  <c r="BL11" i="20"/>
  <c r="BL12" i="20"/>
  <c r="BL13" i="20"/>
  <c r="BL14" i="20"/>
  <c r="BL15" i="20"/>
  <c r="BL16" i="20"/>
  <c r="BL17" i="20"/>
  <c r="BL18" i="20"/>
  <c r="BL19" i="20"/>
  <c r="BL20" i="20"/>
  <c r="FF55" i="20"/>
  <c r="FF56" i="20"/>
  <c r="FF57" i="20"/>
  <c r="FF58" i="20"/>
  <c r="FF59" i="20"/>
  <c r="FF60" i="20"/>
  <c r="FF61" i="20"/>
  <c r="FF62" i="20"/>
  <c r="FF29" i="20"/>
  <c r="FH55" i="20"/>
  <c r="FH56" i="20"/>
  <c r="FH57" i="20"/>
  <c r="FH58" i="20"/>
  <c r="FH59" i="20"/>
  <c r="FH60" i="20"/>
  <c r="FH61" i="20"/>
  <c r="FH62" i="20"/>
  <c r="FH29" i="20"/>
  <c r="FI55" i="20"/>
  <c r="FI56" i="20"/>
  <c r="FI57" i="20"/>
  <c r="FI58" i="20"/>
  <c r="FI59" i="20"/>
  <c r="FI60" i="20"/>
  <c r="FI61" i="20"/>
  <c r="FI62" i="20"/>
  <c r="FI29" i="20"/>
  <c r="FD29" i="20"/>
  <c r="BL29" i="20"/>
  <c r="FF63" i="20"/>
  <c r="FF30" i="20"/>
  <c r="FH63" i="20"/>
  <c r="FH30" i="20"/>
  <c r="FI63" i="20"/>
  <c r="FI30" i="20"/>
  <c r="FD30" i="20"/>
  <c r="BL30" i="20"/>
  <c r="BL36" i="20"/>
  <c r="BL37" i="20"/>
  <c r="BL6" i="23"/>
  <c r="BL15" i="23"/>
  <c r="BL25" i="23"/>
  <c r="BL26" i="23"/>
  <c r="BL30" i="23"/>
  <c r="BL31" i="23"/>
  <c r="BL32" i="23"/>
  <c r="BL36" i="23"/>
  <c r="BL37" i="23"/>
  <c r="BL7" i="32"/>
  <c r="BL9" i="32"/>
  <c r="BL13" i="32"/>
  <c r="BL21" i="32"/>
  <c r="BL25" i="32"/>
  <c r="BL37" i="32"/>
  <c r="O6" i="2"/>
  <c r="O9" i="2"/>
  <c r="O10" i="2"/>
  <c r="O17" i="2"/>
  <c r="O18" i="2"/>
  <c r="O20" i="2"/>
  <c r="O24" i="2"/>
  <c r="O27" i="2"/>
  <c r="O35" i="2"/>
  <c r="O37" i="2"/>
  <c r="O9" i="4"/>
  <c r="O12" i="4"/>
  <c r="O14" i="4"/>
  <c r="O15" i="4"/>
  <c r="O18" i="4"/>
  <c r="O19" i="4"/>
  <c r="O21" i="4"/>
  <c r="O24" i="4"/>
  <c r="O27" i="4"/>
  <c r="O30" i="4"/>
  <c r="O34" i="4"/>
  <c r="O6" i="8"/>
  <c r="O7" i="8"/>
  <c r="O8" i="8"/>
  <c r="O12" i="8"/>
  <c r="O13" i="8"/>
  <c r="O14" i="8"/>
  <c r="O17" i="8"/>
  <c r="O19" i="8"/>
  <c r="O23" i="8"/>
  <c r="O24" i="8"/>
  <c r="O27" i="8"/>
  <c r="O29" i="8"/>
  <c r="O32" i="8"/>
  <c r="O34" i="8"/>
  <c r="O36" i="8"/>
  <c r="O37" i="8"/>
  <c r="O6" i="14"/>
  <c r="O7" i="14"/>
  <c r="O13" i="14"/>
  <c r="O18" i="14"/>
  <c r="O23" i="14"/>
  <c r="O24" i="14"/>
  <c r="O25" i="14"/>
  <c r="O27" i="14"/>
  <c r="O28" i="14"/>
  <c r="O30" i="14"/>
  <c r="O31" i="14"/>
  <c r="O37" i="14"/>
  <c r="O8" i="17"/>
  <c r="O16" i="17"/>
  <c r="O26" i="17"/>
  <c r="O31" i="17"/>
  <c r="O32" i="17"/>
  <c r="O33" i="17"/>
  <c r="O35" i="17"/>
  <c r="O36" i="17"/>
  <c r="O37" i="17"/>
  <c r="O7" i="20"/>
  <c r="O13" i="20"/>
  <c r="O16" i="20"/>
  <c r="O27" i="20"/>
  <c r="O28" i="20"/>
  <c r="O37" i="20"/>
  <c r="O8" i="23"/>
  <c r="O10" i="23"/>
  <c r="O14" i="23"/>
  <c r="O19" i="23"/>
  <c r="O23" i="23"/>
  <c r="O25" i="23"/>
  <c r="O27" i="23"/>
  <c r="O29" i="23"/>
  <c r="O33" i="23"/>
  <c r="O35" i="23"/>
  <c r="O36" i="23"/>
  <c r="O37" i="23"/>
  <c r="O8" i="32"/>
  <c r="O10" i="32"/>
  <c r="O12" i="32"/>
  <c r="O16" i="32"/>
  <c r="O17" i="32"/>
  <c r="O19" i="32"/>
  <c r="O20" i="32"/>
  <c r="O21" i="32"/>
  <c r="O22" i="32"/>
  <c r="O24" i="32"/>
  <c r="O26" i="32"/>
  <c r="O29" i="32"/>
  <c r="O30" i="32"/>
  <c r="O32" i="32"/>
  <c r="O37" i="32"/>
  <c r="BH6" i="11"/>
  <c r="BJ6" i="11"/>
  <c r="BI6" i="11"/>
  <c r="BH7" i="11"/>
  <c r="BJ7" i="11"/>
  <c r="BI7" i="11"/>
  <c r="BH8" i="11"/>
  <c r="BJ8" i="11"/>
  <c r="BI8" i="11"/>
  <c r="BH9" i="11"/>
  <c r="BJ9" i="11"/>
  <c r="BI9" i="11"/>
  <c r="BH10" i="11"/>
  <c r="BJ10" i="11"/>
  <c r="BI10" i="11"/>
  <c r="BH11" i="11"/>
  <c r="BJ11" i="11"/>
  <c r="BI11" i="11"/>
  <c r="BH12" i="11"/>
  <c r="BJ12" i="11"/>
  <c r="BI12" i="11"/>
  <c r="BH13" i="11"/>
  <c r="BJ13" i="11"/>
  <c r="BI13" i="11"/>
  <c r="BH14" i="11"/>
  <c r="BJ14" i="11"/>
  <c r="BI14" i="11"/>
  <c r="BH15" i="11"/>
  <c r="BJ15" i="11"/>
  <c r="BI15" i="11"/>
  <c r="BH16" i="11"/>
  <c r="BJ16" i="11"/>
  <c r="BI16" i="11"/>
  <c r="BH17" i="11"/>
  <c r="BJ17" i="11"/>
  <c r="BI17" i="11"/>
  <c r="BH18" i="11"/>
  <c r="AL18" i="11"/>
  <c r="BJ18" i="11"/>
  <c r="BI18" i="11"/>
  <c r="BH19" i="11"/>
  <c r="BJ19" i="11"/>
  <c r="BI19" i="11"/>
  <c r="BH20" i="11"/>
  <c r="BJ20" i="11"/>
  <c r="BI20" i="11"/>
  <c r="BH21" i="11"/>
  <c r="BJ21" i="11"/>
  <c r="BI21" i="11"/>
  <c r="BH22" i="11"/>
  <c r="BJ22" i="11"/>
  <c r="BI22" i="11"/>
  <c r="BH23" i="11"/>
  <c r="BJ23" i="11"/>
  <c r="BI23" i="11"/>
  <c r="BH24" i="11"/>
  <c r="BJ24" i="11"/>
  <c r="BI24" i="11"/>
  <c r="BH25" i="11"/>
  <c r="BJ25" i="11"/>
  <c r="BI25" i="11"/>
  <c r="BH26" i="11"/>
  <c r="BJ26" i="11"/>
  <c r="BI26" i="11"/>
  <c r="BH27" i="11"/>
  <c r="BJ27" i="11"/>
  <c r="BI27" i="11"/>
  <c r="BH28" i="11"/>
  <c r="BJ28" i="11"/>
  <c r="BI28" i="11"/>
  <c r="BH29" i="11"/>
  <c r="BJ29" i="11"/>
  <c r="BI29" i="11"/>
  <c r="BH30" i="11"/>
  <c r="BJ30" i="11"/>
  <c r="BI30" i="11"/>
  <c r="BH31" i="11"/>
  <c r="BJ31" i="11"/>
  <c r="BI31" i="11"/>
  <c r="BH32" i="11"/>
  <c r="BJ32" i="11"/>
  <c r="BI32" i="11"/>
  <c r="BH33" i="11"/>
  <c r="BJ33" i="11"/>
  <c r="BI33" i="11"/>
  <c r="BH34" i="11"/>
  <c r="BJ34" i="11"/>
  <c r="BI34" i="11"/>
  <c r="BI37" i="11"/>
  <c r="BH6" i="2"/>
  <c r="BJ6" i="2"/>
  <c r="BI6" i="2"/>
  <c r="BH7" i="2"/>
  <c r="BJ7" i="2"/>
  <c r="BI7" i="2"/>
  <c r="BH8" i="2"/>
  <c r="BJ8" i="2"/>
  <c r="BI8" i="2"/>
  <c r="BH9" i="2"/>
  <c r="BJ9" i="2"/>
  <c r="BI9" i="2"/>
  <c r="BH10" i="2"/>
  <c r="BJ10" i="2"/>
  <c r="BI10" i="2"/>
  <c r="BH11" i="2"/>
  <c r="AC11" i="2"/>
  <c r="AD11" i="2"/>
  <c r="BJ11" i="2"/>
  <c r="BI11" i="2"/>
  <c r="BH12" i="2"/>
  <c r="BJ12" i="2"/>
  <c r="BI12" i="2"/>
  <c r="BH13" i="2"/>
  <c r="BJ13" i="2"/>
  <c r="BI13" i="2"/>
  <c r="BH14" i="2"/>
  <c r="BJ14" i="2"/>
  <c r="BI14" i="2"/>
  <c r="BH15" i="2"/>
  <c r="BJ15" i="2"/>
  <c r="BI15" i="2"/>
  <c r="BH16" i="2"/>
  <c r="BJ16" i="2"/>
  <c r="BI16" i="2"/>
  <c r="BH17" i="2"/>
  <c r="BJ17" i="2"/>
  <c r="BI17" i="2"/>
  <c r="BH18" i="2"/>
  <c r="BJ18" i="2"/>
  <c r="BI18" i="2"/>
  <c r="BH19" i="2"/>
  <c r="BJ19" i="2"/>
  <c r="BI19" i="2"/>
  <c r="BH20" i="2"/>
  <c r="BJ20" i="2"/>
  <c r="BI20" i="2"/>
  <c r="BH21" i="2"/>
  <c r="BJ21" i="2"/>
  <c r="BI21" i="2"/>
  <c r="BH22" i="2"/>
  <c r="BJ22" i="2"/>
  <c r="BI22" i="2"/>
  <c r="BH23" i="2"/>
  <c r="BJ23" i="2"/>
  <c r="BI23" i="2"/>
  <c r="BH24" i="2"/>
  <c r="BJ24" i="2"/>
  <c r="BI24" i="2"/>
  <c r="BH25" i="2"/>
  <c r="BJ25" i="2"/>
  <c r="BI25" i="2"/>
  <c r="BH26" i="2"/>
  <c r="BJ26" i="2"/>
  <c r="BI26" i="2"/>
  <c r="BH27" i="2"/>
  <c r="BJ27" i="2"/>
  <c r="BI27" i="2"/>
  <c r="BH28" i="2"/>
  <c r="BJ28" i="2"/>
  <c r="BI28" i="2"/>
  <c r="BH29" i="2"/>
  <c r="BJ29" i="2"/>
  <c r="BI29" i="2"/>
  <c r="BH30" i="2"/>
  <c r="BJ30" i="2"/>
  <c r="BI30" i="2"/>
  <c r="BH31" i="2"/>
  <c r="BJ31" i="2"/>
  <c r="BI31" i="2"/>
  <c r="BH32" i="2"/>
  <c r="BJ32" i="2"/>
  <c r="BI32" i="2"/>
  <c r="BH33" i="2"/>
  <c r="BJ33" i="2"/>
  <c r="BI33" i="2"/>
  <c r="BH34" i="2"/>
  <c r="BJ34" i="2"/>
  <c r="BI34" i="2"/>
  <c r="BH35" i="2"/>
  <c r="BJ35" i="2"/>
  <c r="BI35" i="2"/>
  <c r="BH36" i="2"/>
  <c r="AD36" i="2"/>
  <c r="BJ36" i="2"/>
  <c r="BI36" i="2"/>
  <c r="BI37" i="2"/>
  <c r="BH6" i="4"/>
  <c r="BJ6" i="4"/>
  <c r="BI6" i="4"/>
  <c r="BH7" i="4"/>
  <c r="BJ7" i="4"/>
  <c r="BI7" i="4"/>
  <c r="BH8" i="4"/>
  <c r="BJ8" i="4"/>
  <c r="BI8" i="4"/>
  <c r="BH9" i="4"/>
  <c r="BJ9" i="4"/>
  <c r="BI9" i="4"/>
  <c r="BH10" i="4"/>
  <c r="BJ10" i="4"/>
  <c r="BI10" i="4"/>
  <c r="BH11" i="4"/>
  <c r="BJ11" i="4"/>
  <c r="BI11" i="4"/>
  <c r="BH12" i="4"/>
  <c r="BJ12" i="4"/>
  <c r="BI12" i="4"/>
  <c r="BH13" i="4"/>
  <c r="BJ13" i="4"/>
  <c r="BI13" i="4"/>
  <c r="BH14" i="4"/>
  <c r="BJ14" i="4"/>
  <c r="BI14" i="4"/>
  <c r="BH15" i="4"/>
  <c r="BJ15" i="4"/>
  <c r="BI15" i="4"/>
  <c r="BH16" i="4"/>
  <c r="BJ16" i="4"/>
  <c r="BI16" i="4"/>
  <c r="BH17" i="4"/>
  <c r="BJ17" i="4"/>
  <c r="BI17" i="4"/>
  <c r="BH18" i="4"/>
  <c r="BJ18" i="4"/>
  <c r="BI18" i="4"/>
  <c r="BH19" i="4"/>
  <c r="BJ19" i="4"/>
  <c r="BI19" i="4"/>
  <c r="BH20" i="4"/>
  <c r="BJ20" i="4"/>
  <c r="BI20" i="4"/>
  <c r="BH21" i="4"/>
  <c r="BJ21" i="4"/>
  <c r="BI21" i="4"/>
  <c r="BH22" i="4"/>
  <c r="BJ22" i="4"/>
  <c r="BI22" i="4"/>
  <c r="BH23" i="4"/>
  <c r="BJ23" i="4"/>
  <c r="BI23" i="4"/>
  <c r="BH24" i="4"/>
  <c r="BJ24" i="4"/>
  <c r="BI24" i="4"/>
  <c r="BH25" i="4"/>
  <c r="BJ25" i="4"/>
  <c r="BI25" i="4"/>
  <c r="BH26" i="4"/>
  <c r="BJ26" i="4"/>
  <c r="BI26" i="4"/>
  <c r="BH27" i="4"/>
  <c r="BJ27" i="4"/>
  <c r="BI27" i="4"/>
  <c r="BH28" i="4"/>
  <c r="BJ28" i="4"/>
  <c r="BI28" i="4"/>
  <c r="BH29" i="4"/>
  <c r="BJ29" i="4"/>
  <c r="BI29" i="4"/>
  <c r="BH30" i="4"/>
  <c r="BJ30" i="4"/>
  <c r="BI30" i="4"/>
  <c r="BH31" i="4"/>
  <c r="BJ31" i="4"/>
  <c r="BI31" i="4"/>
  <c r="BH32" i="4"/>
  <c r="BJ32" i="4"/>
  <c r="BI32" i="4"/>
  <c r="BH33" i="4"/>
  <c r="BJ33" i="4"/>
  <c r="BI33" i="4"/>
  <c r="BI34" i="4"/>
  <c r="BH6" i="6"/>
  <c r="BJ6" i="6"/>
  <c r="BI6" i="6"/>
  <c r="BH7" i="6"/>
  <c r="BJ7" i="6"/>
  <c r="BI7" i="6"/>
  <c r="BH8" i="6"/>
  <c r="BJ8" i="6"/>
  <c r="BI8" i="6"/>
  <c r="BH9" i="6"/>
  <c r="BJ9" i="6"/>
  <c r="BI9" i="6"/>
  <c r="BH10" i="6"/>
  <c r="BJ10" i="6"/>
  <c r="BI10" i="6"/>
  <c r="BH11" i="6"/>
  <c r="BJ11" i="6"/>
  <c r="BI11" i="6"/>
  <c r="BH12" i="6"/>
  <c r="BJ12" i="6"/>
  <c r="BI12" i="6"/>
  <c r="BH14" i="6"/>
  <c r="BJ14" i="6"/>
  <c r="BI14" i="6"/>
  <c r="BH15" i="6"/>
  <c r="BJ15" i="6"/>
  <c r="BI15" i="6"/>
  <c r="BH16" i="6"/>
  <c r="BJ16" i="6"/>
  <c r="BI16" i="6"/>
  <c r="BH17" i="6"/>
  <c r="BJ17" i="6"/>
  <c r="BI17" i="6"/>
  <c r="BH18" i="6"/>
  <c r="BJ18" i="6"/>
  <c r="BI18" i="6"/>
  <c r="BH19" i="6"/>
  <c r="BJ19" i="6"/>
  <c r="BI19" i="6"/>
  <c r="BH20" i="6"/>
  <c r="BJ20" i="6"/>
  <c r="BI20" i="6"/>
  <c r="BH23" i="6"/>
  <c r="BJ23" i="6"/>
  <c r="BI23" i="6"/>
  <c r="BH25" i="6"/>
  <c r="BJ25" i="6"/>
  <c r="BI25" i="6"/>
  <c r="BH27" i="6"/>
  <c r="BJ27" i="6"/>
  <c r="BI27" i="6"/>
  <c r="BH28" i="6"/>
  <c r="BJ28" i="6"/>
  <c r="BI28" i="6"/>
  <c r="BH29" i="6"/>
  <c r="BJ29" i="6"/>
  <c r="BI29" i="6"/>
  <c r="BH30" i="6"/>
  <c r="BJ30" i="6"/>
  <c r="BI30" i="6"/>
  <c r="BH31" i="6"/>
  <c r="BJ31" i="6"/>
  <c r="BI31" i="6"/>
  <c r="BH32" i="6"/>
  <c r="BJ32" i="6"/>
  <c r="BI32" i="6"/>
  <c r="BH33" i="6"/>
  <c r="BJ33" i="6"/>
  <c r="BI33" i="6"/>
  <c r="BH34" i="6"/>
  <c r="BJ34" i="6"/>
  <c r="BI34" i="6"/>
  <c r="BH35" i="6"/>
  <c r="BJ35" i="6"/>
  <c r="BI35" i="6"/>
  <c r="BH36" i="6"/>
  <c r="BJ36" i="6"/>
  <c r="BI36" i="6"/>
  <c r="BI37" i="6"/>
  <c r="BH6" i="8"/>
  <c r="BJ6" i="8"/>
  <c r="BI6" i="8"/>
  <c r="BH7" i="8"/>
  <c r="BJ7" i="8"/>
  <c r="BI7" i="8"/>
  <c r="BH10" i="8"/>
  <c r="BJ10" i="8"/>
  <c r="BI10" i="8"/>
  <c r="BH11" i="8"/>
  <c r="BJ11" i="8"/>
  <c r="BI11" i="8"/>
  <c r="BH12" i="8"/>
  <c r="BJ12" i="8"/>
  <c r="BI12" i="8"/>
  <c r="BH13" i="8"/>
  <c r="BJ13" i="8"/>
  <c r="BI13" i="8"/>
  <c r="BH14" i="8"/>
  <c r="BJ14" i="8"/>
  <c r="BI14" i="8"/>
  <c r="BH16" i="8"/>
  <c r="BJ16" i="8"/>
  <c r="BI16" i="8"/>
  <c r="BH17" i="8"/>
  <c r="BJ17" i="8"/>
  <c r="BI17" i="8"/>
  <c r="BH18" i="8"/>
  <c r="BJ18" i="8"/>
  <c r="BI18" i="8"/>
  <c r="BH19" i="8"/>
  <c r="BJ19" i="8"/>
  <c r="BI19" i="8"/>
  <c r="BH20" i="8"/>
  <c r="BJ20" i="8"/>
  <c r="BI20" i="8"/>
  <c r="BH21" i="8"/>
  <c r="BJ21" i="8"/>
  <c r="BI21" i="8"/>
  <c r="BH22" i="8"/>
  <c r="BJ22" i="8"/>
  <c r="BI22" i="8"/>
  <c r="BH23" i="8"/>
  <c r="BJ23" i="8"/>
  <c r="BI23" i="8"/>
  <c r="BH24" i="8"/>
  <c r="BJ24" i="8"/>
  <c r="BI24" i="8"/>
  <c r="BH26" i="8"/>
  <c r="BJ26" i="8"/>
  <c r="BI26" i="8"/>
  <c r="BH27" i="8"/>
  <c r="BJ27" i="8"/>
  <c r="BI27" i="8"/>
  <c r="BH28" i="8"/>
  <c r="BJ28" i="8"/>
  <c r="BI28" i="8"/>
  <c r="BH29" i="8"/>
  <c r="BJ29" i="8"/>
  <c r="BI29" i="8"/>
  <c r="BH30" i="8"/>
  <c r="BJ30" i="8"/>
  <c r="BI30" i="8"/>
  <c r="BH31" i="8"/>
  <c r="BJ31" i="8"/>
  <c r="BI31" i="8"/>
  <c r="BH32" i="8"/>
  <c r="BJ32" i="8"/>
  <c r="BI32" i="8"/>
  <c r="BH33" i="8"/>
  <c r="BJ33" i="8"/>
  <c r="BI33" i="8"/>
  <c r="BH34" i="8"/>
  <c r="BJ34" i="8"/>
  <c r="BI34" i="8"/>
  <c r="BH35" i="8"/>
  <c r="BJ35" i="8"/>
  <c r="BI35" i="8"/>
  <c r="BI37" i="8"/>
  <c r="BH6" i="14"/>
  <c r="BJ6" i="14"/>
  <c r="BI6" i="14"/>
  <c r="BH7" i="14"/>
  <c r="BJ7" i="14"/>
  <c r="BI7" i="14"/>
  <c r="BH8" i="14"/>
  <c r="BJ8" i="14"/>
  <c r="BI8" i="14"/>
  <c r="BH9" i="14"/>
  <c r="BJ9" i="14"/>
  <c r="BI9" i="14"/>
  <c r="BH10" i="14"/>
  <c r="BJ10" i="14"/>
  <c r="BI10" i="14"/>
  <c r="BH11" i="14"/>
  <c r="BJ11" i="14"/>
  <c r="BI11" i="14"/>
  <c r="BH12" i="14"/>
  <c r="BJ12" i="14"/>
  <c r="BI12" i="14"/>
  <c r="BH13" i="14"/>
  <c r="BJ13" i="14"/>
  <c r="BI13" i="14"/>
  <c r="BH14" i="14"/>
  <c r="BJ14" i="14"/>
  <c r="BI14" i="14"/>
  <c r="BH15" i="14"/>
  <c r="BJ15" i="14"/>
  <c r="BI15" i="14"/>
  <c r="BH16" i="14"/>
  <c r="BJ16" i="14"/>
  <c r="BI16" i="14"/>
  <c r="BH17" i="14"/>
  <c r="BJ17" i="14"/>
  <c r="BI17" i="14"/>
  <c r="BH18" i="14"/>
  <c r="BJ18" i="14"/>
  <c r="BI18" i="14"/>
  <c r="BH19" i="14"/>
  <c r="BJ19" i="14"/>
  <c r="BI19" i="14"/>
  <c r="BH20" i="14"/>
  <c r="BJ20" i="14"/>
  <c r="BI20" i="14"/>
  <c r="BH21" i="14"/>
  <c r="BJ21" i="14"/>
  <c r="BI21" i="14"/>
  <c r="BH22" i="14"/>
  <c r="BJ22" i="14"/>
  <c r="BI22" i="14"/>
  <c r="BH23" i="14"/>
  <c r="BJ23" i="14"/>
  <c r="BI23" i="14"/>
  <c r="BH24" i="14"/>
  <c r="BJ24" i="14"/>
  <c r="BI24" i="14"/>
  <c r="BH25" i="14"/>
  <c r="BJ25" i="14"/>
  <c r="BI25" i="14"/>
  <c r="BH26" i="14"/>
  <c r="BJ26" i="14"/>
  <c r="BI26" i="14"/>
  <c r="BH27" i="14"/>
  <c r="BJ27" i="14"/>
  <c r="BI27" i="14"/>
  <c r="BH28" i="14"/>
  <c r="BJ28" i="14"/>
  <c r="BI28" i="14"/>
  <c r="BH29" i="14"/>
  <c r="BJ29" i="14"/>
  <c r="BI29" i="14"/>
  <c r="BH30" i="14"/>
  <c r="AD30" i="14"/>
  <c r="BJ30" i="14"/>
  <c r="BI30" i="14"/>
  <c r="BH31" i="14"/>
  <c r="BJ31" i="14"/>
  <c r="BI31" i="14"/>
  <c r="BH32" i="14"/>
  <c r="AR32" i="14"/>
  <c r="AT32" i="14"/>
  <c r="BJ32" i="14"/>
  <c r="BI32" i="14"/>
  <c r="BH33" i="14"/>
  <c r="BJ33" i="14"/>
  <c r="BI33" i="14"/>
  <c r="BH34" i="14"/>
  <c r="BJ34" i="14"/>
  <c r="BI34" i="14"/>
  <c r="BH35" i="14"/>
  <c r="BJ35" i="14"/>
  <c r="BI35" i="14"/>
  <c r="BI37" i="14"/>
  <c r="BH6" i="17"/>
  <c r="BJ6" i="17"/>
  <c r="BI6" i="17"/>
  <c r="BH7" i="17"/>
  <c r="AP7" i="17"/>
  <c r="AQ7" i="17"/>
  <c r="BJ7" i="17"/>
  <c r="BI7" i="17"/>
  <c r="BH8" i="17"/>
  <c r="AD8" i="17"/>
  <c r="BJ8" i="17"/>
  <c r="BI8" i="17"/>
  <c r="BH9" i="17"/>
  <c r="BJ9" i="17"/>
  <c r="BI9" i="17"/>
  <c r="BH10" i="17"/>
  <c r="BJ10" i="17"/>
  <c r="BI10" i="17"/>
  <c r="BH11" i="17"/>
  <c r="BJ11" i="17"/>
  <c r="BI11" i="17"/>
  <c r="BH12" i="17"/>
  <c r="BJ12" i="17"/>
  <c r="BI12" i="17"/>
  <c r="BH13" i="17"/>
  <c r="AD13" i="17"/>
  <c r="BJ13" i="17"/>
  <c r="BI13" i="17"/>
  <c r="BH14" i="17"/>
  <c r="BJ14" i="17"/>
  <c r="BI14" i="17"/>
  <c r="BH15" i="17"/>
  <c r="BJ15" i="17"/>
  <c r="BI15" i="17"/>
  <c r="BH16" i="17"/>
  <c r="BJ16" i="17"/>
  <c r="BI16" i="17"/>
  <c r="BH17" i="17"/>
  <c r="BJ17" i="17"/>
  <c r="BI17" i="17"/>
  <c r="BH18" i="17"/>
  <c r="BJ18" i="17"/>
  <c r="BI18" i="17"/>
  <c r="BH19" i="17"/>
  <c r="BJ19" i="17"/>
  <c r="BI19" i="17"/>
  <c r="BH20" i="17"/>
  <c r="AC20" i="17"/>
  <c r="AD20" i="17"/>
  <c r="BJ20" i="17"/>
  <c r="BI20" i="17"/>
  <c r="BH21" i="17"/>
  <c r="AD21" i="17"/>
  <c r="BJ21" i="17"/>
  <c r="BI21" i="17"/>
  <c r="BH22" i="17"/>
  <c r="AC22" i="17"/>
  <c r="AD22" i="17"/>
  <c r="BJ22" i="17"/>
  <c r="BI22" i="17"/>
  <c r="BH23" i="17"/>
  <c r="AD23" i="17"/>
  <c r="BJ23" i="17"/>
  <c r="BI23" i="17"/>
  <c r="BH24" i="17"/>
  <c r="BJ24" i="17"/>
  <c r="BI24" i="17"/>
  <c r="BH25" i="17"/>
  <c r="AH25" i="17"/>
  <c r="BJ25" i="17"/>
  <c r="BI25" i="17"/>
  <c r="BH26" i="17"/>
  <c r="AG26" i="17"/>
  <c r="AH26" i="17"/>
  <c r="BJ26" i="17"/>
  <c r="BI26" i="17"/>
  <c r="BH27" i="17"/>
  <c r="BJ27" i="17"/>
  <c r="BI27" i="17"/>
  <c r="BH28" i="17"/>
  <c r="BJ28" i="17"/>
  <c r="BI28" i="17"/>
  <c r="BH29" i="17"/>
  <c r="AD29" i="17"/>
  <c r="BJ29" i="17"/>
  <c r="BI29" i="17"/>
  <c r="BH30" i="17"/>
  <c r="BJ30" i="17"/>
  <c r="BI30" i="17"/>
  <c r="BH31" i="17"/>
  <c r="BJ31" i="17"/>
  <c r="BI31" i="17"/>
  <c r="BH32" i="17"/>
  <c r="BJ32" i="17"/>
  <c r="BI32" i="17"/>
  <c r="BH33" i="17"/>
  <c r="BJ33" i="17"/>
  <c r="BI33" i="17"/>
  <c r="BH34" i="17"/>
  <c r="BJ34" i="17"/>
  <c r="BI34" i="17"/>
  <c r="BH35" i="17"/>
  <c r="BJ35" i="17"/>
  <c r="BI35" i="17"/>
  <c r="BH36" i="17"/>
  <c r="BJ36" i="17"/>
  <c r="BI36" i="17"/>
  <c r="BI37" i="17"/>
  <c r="BH6" i="20"/>
  <c r="BJ6" i="20"/>
  <c r="BI6" i="20"/>
  <c r="BH7" i="20"/>
  <c r="BJ7" i="20"/>
  <c r="BI7" i="20"/>
  <c r="BH8" i="20"/>
  <c r="BJ8" i="20"/>
  <c r="BI8" i="20"/>
  <c r="BH9" i="20"/>
  <c r="BJ9" i="20"/>
  <c r="BI9" i="20"/>
  <c r="BH11" i="20"/>
  <c r="BJ11" i="20"/>
  <c r="BI11" i="20"/>
  <c r="BH12" i="20"/>
  <c r="AP12" i="20"/>
  <c r="AQ12" i="20"/>
  <c r="BJ12" i="20"/>
  <c r="BI12" i="20"/>
  <c r="BH13" i="20"/>
  <c r="BJ13" i="20"/>
  <c r="BI13" i="20"/>
  <c r="BH14" i="20"/>
  <c r="BJ14" i="20"/>
  <c r="BI14" i="20"/>
  <c r="BH15" i="20"/>
  <c r="BJ15" i="20"/>
  <c r="BI15" i="20"/>
  <c r="BH16" i="20"/>
  <c r="BJ16" i="20"/>
  <c r="BI16" i="20"/>
  <c r="BH17" i="20"/>
  <c r="BJ17" i="20"/>
  <c r="BI17" i="20"/>
  <c r="BH18" i="20"/>
  <c r="BJ18" i="20"/>
  <c r="BI18" i="20"/>
  <c r="BH19" i="20"/>
  <c r="BJ19" i="20"/>
  <c r="BI19" i="20"/>
  <c r="BH20" i="20"/>
  <c r="BJ20" i="20"/>
  <c r="BI20" i="20"/>
  <c r="BH21" i="20"/>
  <c r="BJ21" i="20"/>
  <c r="BI21" i="20"/>
  <c r="BH22" i="20"/>
  <c r="BJ22" i="20"/>
  <c r="BI22" i="20"/>
  <c r="BH24" i="20"/>
  <c r="BJ24" i="20"/>
  <c r="BI24" i="20"/>
  <c r="BH25" i="20"/>
  <c r="BJ25" i="20"/>
  <c r="BI25" i="20"/>
  <c r="BH27" i="20"/>
  <c r="BJ27" i="20"/>
  <c r="BI27" i="20"/>
  <c r="BH28" i="20"/>
  <c r="AD28" i="20"/>
  <c r="AL28" i="20"/>
  <c r="BJ28" i="20"/>
  <c r="BI28" i="20"/>
  <c r="BH29" i="20"/>
  <c r="BJ29" i="20"/>
  <c r="BI29" i="20"/>
  <c r="BH30" i="20"/>
  <c r="BJ30" i="20"/>
  <c r="BI30" i="20"/>
  <c r="BH31" i="20"/>
  <c r="BJ31" i="20"/>
  <c r="BI31" i="20"/>
  <c r="BH32" i="20"/>
  <c r="BJ32" i="20"/>
  <c r="BI32" i="20"/>
  <c r="BH35" i="20"/>
  <c r="BJ35" i="20"/>
  <c r="BI35" i="20"/>
  <c r="BH36" i="20"/>
  <c r="BJ36" i="20"/>
  <c r="BI36" i="20"/>
  <c r="BI37" i="20"/>
  <c r="BH6" i="23"/>
  <c r="BJ6" i="23"/>
  <c r="BI6" i="23"/>
  <c r="BH15" i="23"/>
  <c r="BJ15" i="23"/>
  <c r="BI15" i="23"/>
  <c r="AH17" i="23"/>
  <c r="AL17" i="23"/>
  <c r="BJ17" i="23"/>
  <c r="BI17" i="23"/>
  <c r="AL20" i="23"/>
  <c r="BJ20" i="23"/>
  <c r="BI20" i="23"/>
  <c r="AH21" i="23"/>
  <c r="AL21" i="23"/>
  <c r="BJ21" i="23"/>
  <c r="BI21" i="23"/>
  <c r="BH22" i="23"/>
  <c r="AL22" i="23"/>
  <c r="BJ22" i="23"/>
  <c r="BI22" i="23"/>
  <c r="AD23" i="23"/>
  <c r="AL23" i="23"/>
  <c r="BJ23" i="23"/>
  <c r="BI23" i="23"/>
  <c r="AL24" i="23"/>
  <c r="BJ24" i="23"/>
  <c r="BI24" i="23"/>
  <c r="BH25" i="23"/>
  <c r="AH25" i="23"/>
  <c r="BJ25" i="23"/>
  <c r="BI25" i="23"/>
  <c r="BH26" i="23"/>
  <c r="AH26" i="23"/>
  <c r="AL26" i="23"/>
  <c r="BJ26" i="23"/>
  <c r="BI26" i="23"/>
  <c r="BH27" i="23"/>
  <c r="AD27" i="23"/>
  <c r="AL27" i="23"/>
  <c r="BJ27" i="23"/>
  <c r="BI27" i="23"/>
  <c r="AD28" i="23"/>
  <c r="AL28" i="23"/>
  <c r="BJ28" i="23"/>
  <c r="BI28" i="23"/>
  <c r="AD29" i="23"/>
  <c r="AH29" i="23"/>
  <c r="AL29" i="23"/>
  <c r="BJ29" i="23"/>
  <c r="BI29" i="23"/>
  <c r="BH30" i="23"/>
  <c r="AD30" i="23"/>
  <c r="AH30" i="23"/>
  <c r="AL30" i="23"/>
  <c r="BJ30" i="23"/>
  <c r="BI30" i="23"/>
  <c r="BH31" i="23"/>
  <c r="BJ31" i="23"/>
  <c r="BI31" i="23"/>
  <c r="BH32" i="23"/>
  <c r="AL32" i="23"/>
  <c r="BJ32" i="23"/>
  <c r="BI32" i="23"/>
  <c r="BH34" i="23"/>
  <c r="BJ34" i="23"/>
  <c r="BI34" i="23"/>
  <c r="BI37" i="23"/>
  <c r="AD6" i="32"/>
  <c r="BJ6" i="32"/>
  <c r="BI6" i="32"/>
  <c r="BH7" i="32"/>
  <c r="BJ7" i="32"/>
  <c r="BI7" i="32"/>
  <c r="AL8" i="32"/>
  <c r="BJ8" i="32"/>
  <c r="BI8" i="32"/>
  <c r="BH9" i="32"/>
  <c r="BJ9" i="32"/>
  <c r="BI9" i="32"/>
  <c r="BH10" i="32"/>
  <c r="BJ10" i="32"/>
  <c r="BI10" i="32"/>
  <c r="AL12" i="32"/>
  <c r="BJ12" i="32"/>
  <c r="BI12" i="32"/>
  <c r="BH13" i="32"/>
  <c r="AH13" i="32"/>
  <c r="AL13" i="32"/>
  <c r="BJ13" i="32"/>
  <c r="BI13" i="32"/>
  <c r="AH14" i="32"/>
  <c r="BJ14" i="32"/>
  <c r="BI14" i="32"/>
  <c r="AL16" i="32"/>
  <c r="BJ16" i="32"/>
  <c r="BI16" i="32"/>
  <c r="AL17" i="32"/>
  <c r="BJ17" i="32"/>
  <c r="BI17" i="32"/>
  <c r="BH20" i="32"/>
  <c r="BJ20" i="32"/>
  <c r="BI20" i="32"/>
  <c r="BH21" i="32"/>
  <c r="AD21" i="32"/>
  <c r="AL21" i="32"/>
  <c r="BJ21" i="32"/>
  <c r="BI21" i="32"/>
  <c r="BH22" i="32"/>
  <c r="AH22" i="32"/>
  <c r="AL22" i="32"/>
  <c r="BJ22" i="32"/>
  <c r="BI22" i="32"/>
  <c r="BH23" i="32"/>
  <c r="AH23" i="32"/>
  <c r="AL23" i="32"/>
  <c r="BJ23" i="32"/>
  <c r="BI23" i="32"/>
  <c r="BH24" i="32"/>
  <c r="BJ24" i="32"/>
  <c r="BI24" i="32"/>
  <c r="BH25" i="32"/>
  <c r="BJ25" i="32"/>
  <c r="BI25" i="32"/>
  <c r="BH26" i="32"/>
  <c r="AD26" i="32"/>
  <c r="AH26" i="32"/>
  <c r="AL26" i="32"/>
  <c r="BJ26" i="32"/>
  <c r="BI26" i="32"/>
  <c r="BH27" i="32"/>
  <c r="AH27" i="32"/>
  <c r="AL27" i="32"/>
  <c r="BJ27" i="32"/>
  <c r="BI27" i="32"/>
  <c r="BH28" i="32"/>
  <c r="AD28" i="32"/>
  <c r="BJ28" i="32"/>
  <c r="BI28" i="32"/>
  <c r="BH29" i="32"/>
  <c r="AD29" i="32"/>
  <c r="BJ29" i="32"/>
  <c r="BI29" i="32"/>
  <c r="BH31" i="32"/>
  <c r="AH31" i="32"/>
  <c r="BJ31" i="32"/>
  <c r="BI31" i="32"/>
  <c r="BH32" i="32"/>
  <c r="AD32" i="32"/>
  <c r="AH32" i="32"/>
  <c r="BJ32" i="32"/>
  <c r="BI32" i="32"/>
  <c r="BH34" i="32"/>
  <c r="BJ34" i="32"/>
  <c r="BI34" i="32"/>
  <c r="BH35" i="32"/>
  <c r="BJ35" i="32"/>
  <c r="BI35" i="32"/>
  <c r="BH36" i="32"/>
  <c r="BJ36" i="32"/>
  <c r="BI36" i="32"/>
  <c r="BI37" i="32"/>
  <c r="BJ37" i="11"/>
  <c r="DL37" i="11"/>
  <c r="DN37" i="11"/>
  <c r="BH37" i="11"/>
  <c r="DJ37" i="11"/>
  <c r="BM6" i="11"/>
  <c r="BM7" i="11"/>
  <c r="BM8" i="11"/>
  <c r="BM9" i="11"/>
  <c r="BM10" i="11"/>
  <c r="BM11" i="11"/>
  <c r="BM12" i="11"/>
  <c r="BM13" i="11"/>
  <c r="BM14" i="11"/>
  <c r="BM15" i="11"/>
  <c r="BM16" i="11"/>
  <c r="BM17" i="11"/>
  <c r="BM18" i="11"/>
  <c r="BM19" i="11"/>
  <c r="BM20" i="11"/>
  <c r="BM21" i="11"/>
  <c r="BM22" i="11"/>
  <c r="BM23" i="11"/>
  <c r="BM24" i="11"/>
  <c r="BM25" i="11"/>
  <c r="BM26" i="11"/>
  <c r="BM27" i="11"/>
  <c r="BM28" i="11"/>
  <c r="BM29" i="11"/>
  <c r="BM30" i="11"/>
  <c r="BM31" i="11"/>
  <c r="BM32" i="11"/>
  <c r="BM33" i="11"/>
  <c r="BM34" i="11"/>
  <c r="BM35" i="11"/>
  <c r="BM36" i="11"/>
  <c r="BM37" i="11"/>
  <c r="DP37" i="11"/>
  <c r="O35" i="11"/>
  <c r="DH35" i="11"/>
  <c r="DB35" i="11"/>
  <c r="BJ37" i="14"/>
  <c r="DC35" i="11"/>
  <c r="AE11" i="2"/>
  <c r="AE36" i="2"/>
  <c r="AE37" i="2"/>
  <c r="AE30" i="14"/>
  <c r="AE37" i="14"/>
  <c r="AE8" i="17"/>
  <c r="AE13" i="17"/>
  <c r="AE20" i="17"/>
  <c r="AE21" i="17"/>
  <c r="AE22" i="17"/>
  <c r="AE23" i="17"/>
  <c r="AE29" i="17"/>
  <c r="AE37" i="17"/>
  <c r="AE28" i="20"/>
  <c r="AE37" i="20"/>
  <c r="AE23" i="23"/>
  <c r="AE27" i="23"/>
  <c r="AE28" i="23"/>
  <c r="AE29" i="23"/>
  <c r="AE30" i="23"/>
  <c r="AE37" i="23"/>
  <c r="AE6" i="32"/>
  <c r="AE21" i="32"/>
  <c r="AE26" i="32"/>
  <c r="AE28" i="32"/>
  <c r="AE29" i="32"/>
  <c r="AE32" i="32"/>
  <c r="AE37" i="32"/>
  <c r="AC37" i="2"/>
  <c r="AC37" i="17"/>
  <c r="AI25" i="17"/>
  <c r="AI26" i="17"/>
  <c r="AI37" i="17"/>
  <c r="AI17" i="23"/>
  <c r="AI21" i="23"/>
  <c r="AI25" i="23"/>
  <c r="AI26" i="23"/>
  <c r="AI29" i="23"/>
  <c r="AI30" i="23"/>
  <c r="AI37" i="23"/>
  <c r="AI13" i="32"/>
  <c r="AI14" i="32"/>
  <c r="AI22" i="32"/>
  <c r="AI23" i="32"/>
  <c r="AI26" i="32"/>
  <c r="AI27" i="32"/>
  <c r="AI31" i="32"/>
  <c r="AI32" i="32"/>
  <c r="AI37" i="32"/>
  <c r="AM18" i="11"/>
  <c r="AM37" i="11"/>
  <c r="AM28" i="20"/>
  <c r="AM37" i="20"/>
  <c r="AM17" i="23"/>
  <c r="AM20" i="23"/>
  <c r="AM21" i="23"/>
  <c r="AM22" i="23"/>
  <c r="AM23" i="23"/>
  <c r="AM24" i="23"/>
  <c r="AM26" i="23"/>
  <c r="AM27" i="23"/>
  <c r="AM28" i="23"/>
  <c r="AM29" i="23"/>
  <c r="AM30" i="23"/>
  <c r="AM32" i="23"/>
  <c r="AM37" i="23"/>
  <c r="AM8" i="32"/>
  <c r="AM12" i="32"/>
  <c r="AM13" i="32"/>
  <c r="AM16" i="32"/>
  <c r="AM17" i="32"/>
  <c r="AM21" i="32"/>
  <c r="AM22" i="32"/>
  <c r="AM23" i="32"/>
  <c r="AM26" i="32"/>
  <c r="AM27" i="32"/>
  <c r="AM37" i="32"/>
  <c r="DL35" i="14"/>
  <c r="DL34" i="14"/>
  <c r="DL33" i="14"/>
  <c r="DL32" i="14"/>
  <c r="DH31" i="14"/>
  <c r="DC31" i="14"/>
  <c r="DB31" i="14"/>
  <c r="DL31" i="14"/>
  <c r="DH30" i="14"/>
  <c r="DC30" i="14"/>
  <c r="DB30" i="14"/>
  <c r="DL30" i="14"/>
  <c r="DL29" i="14"/>
  <c r="DH28" i="14"/>
  <c r="DC28" i="14"/>
  <c r="DB28" i="14"/>
  <c r="DL28" i="14"/>
  <c r="DH27" i="14"/>
  <c r="DC27" i="14"/>
  <c r="DB27" i="14"/>
  <c r="DL27" i="14"/>
  <c r="DL26" i="14"/>
  <c r="DH25" i="14"/>
  <c r="DC25" i="14"/>
  <c r="DB25" i="14"/>
  <c r="DL25" i="14"/>
  <c r="DH24" i="14"/>
  <c r="DC24" i="14"/>
  <c r="DB24" i="14"/>
  <c r="DL24" i="14"/>
  <c r="DH23" i="14"/>
  <c r="DC23" i="14"/>
  <c r="DB23" i="14"/>
  <c r="DL23" i="14"/>
  <c r="BM6" i="6"/>
  <c r="BM7" i="6"/>
  <c r="BM8" i="6"/>
  <c r="BM9" i="6"/>
  <c r="BM10" i="6"/>
  <c r="BM11" i="6"/>
  <c r="BM12" i="6"/>
  <c r="BM13" i="6"/>
  <c r="BM14" i="6"/>
  <c r="BM15" i="6"/>
  <c r="BM16" i="6"/>
  <c r="BM17" i="6"/>
  <c r="BM18" i="6"/>
  <c r="BM19" i="6"/>
  <c r="BM20" i="6"/>
  <c r="BM21" i="6"/>
  <c r="BM22" i="6"/>
  <c r="BM23" i="6"/>
  <c r="DL22" i="14"/>
  <c r="DL21" i="14"/>
  <c r="DQ11" i="6"/>
  <c r="DL20" i="14"/>
  <c r="DQ10" i="6"/>
  <c r="DL19" i="14"/>
  <c r="DH18" i="14"/>
  <c r="DC18" i="14"/>
  <c r="DB18" i="14"/>
  <c r="DL18" i="14"/>
  <c r="DQ9" i="6"/>
  <c r="DQ8" i="6"/>
  <c r="DL17" i="14"/>
  <c r="DQ7" i="6"/>
  <c r="AS32" i="14"/>
  <c r="AS37" i="14"/>
  <c r="DH36" i="8"/>
  <c r="DC36" i="8"/>
  <c r="DB36" i="8"/>
  <c r="DL36" i="8"/>
  <c r="DJ36" i="2"/>
  <c r="DL36" i="2"/>
  <c r="DL36" i="6"/>
  <c r="DD37" i="8"/>
  <c r="DE37" i="8"/>
  <c r="DJ15" i="2"/>
  <c r="DL15" i="2"/>
  <c r="AG37" i="17"/>
  <c r="O19" i="6"/>
  <c r="DH19" i="6"/>
  <c r="DC19" i="6"/>
  <c r="DB19" i="6"/>
  <c r="DL19" i="6"/>
  <c r="BL7" i="1"/>
  <c r="BL6" i="1"/>
  <c r="BM6" i="1"/>
  <c r="BM7" i="1"/>
  <c r="DQ7" i="1"/>
  <c r="DL16" i="14"/>
  <c r="DL33" i="4"/>
  <c r="DL10" i="8"/>
  <c r="DL32" i="6"/>
  <c r="DL30" i="6"/>
  <c r="DL22" i="4"/>
  <c r="DH29" i="8"/>
  <c r="DC29" i="8"/>
  <c r="DB29" i="8"/>
  <c r="DL29" i="8"/>
  <c r="BM24" i="6"/>
  <c r="BM25" i="6"/>
  <c r="BM26" i="6"/>
  <c r="BM27" i="6"/>
  <c r="BM28" i="6"/>
  <c r="BM29" i="6"/>
  <c r="BM30" i="6"/>
  <c r="BM31" i="6"/>
  <c r="BM32" i="6"/>
  <c r="BM33" i="6"/>
  <c r="BM34" i="6"/>
  <c r="BM35" i="6"/>
  <c r="BM36" i="6"/>
  <c r="BM37" i="6"/>
  <c r="DL12" i="6"/>
  <c r="O14" i="6"/>
  <c r="DH14" i="6"/>
  <c r="DC14" i="6"/>
  <c r="DB14" i="6"/>
  <c r="DL14" i="6"/>
  <c r="DJ17" i="2"/>
  <c r="DH17" i="2"/>
  <c r="DC17" i="2"/>
  <c r="DB17" i="2"/>
  <c r="DL17" i="2"/>
  <c r="DL26" i="4"/>
  <c r="DL32" i="4"/>
  <c r="DH27" i="8"/>
  <c r="DC27" i="8"/>
  <c r="DB27" i="8"/>
  <c r="DL27" i="8"/>
  <c r="DL16" i="4"/>
  <c r="CG22" i="6"/>
  <c r="BU22" i="6"/>
  <c r="O22" i="6"/>
  <c r="CH22" i="6"/>
  <c r="BM6" i="4"/>
  <c r="BM7" i="4"/>
  <c r="BM8" i="4"/>
  <c r="BM9" i="4"/>
  <c r="BM10" i="4"/>
  <c r="BM11" i="4"/>
  <c r="BM12" i="4"/>
  <c r="BM13" i="4"/>
  <c r="BM14" i="4"/>
  <c r="BM15" i="4"/>
  <c r="BM16" i="4"/>
  <c r="BM17" i="4"/>
  <c r="BM18" i="4"/>
  <c r="BM19" i="4"/>
  <c r="BM20" i="4"/>
  <c r="BM21" i="4"/>
  <c r="BM22" i="4"/>
  <c r="BM23" i="4"/>
  <c r="BM24" i="4"/>
  <c r="BM25" i="4"/>
  <c r="BM26" i="4"/>
  <c r="BM27" i="4"/>
  <c r="BM28" i="4"/>
  <c r="BM29" i="4"/>
  <c r="BM30" i="4"/>
  <c r="BM31" i="4"/>
  <c r="BM32" i="4"/>
  <c r="BM33" i="4"/>
  <c r="BM34" i="4"/>
  <c r="DL33" i="8"/>
  <c r="DL28" i="4"/>
  <c r="DL10" i="4"/>
  <c r="CG13" i="8"/>
  <c r="CF13" i="8"/>
  <c r="BU13" i="8"/>
  <c r="CH13" i="8"/>
  <c r="CG27" i="4"/>
  <c r="CF27" i="4"/>
  <c r="CH27" i="4"/>
  <c r="CG19" i="6"/>
  <c r="CF19" i="6"/>
  <c r="BU19" i="6"/>
  <c r="CH19" i="6"/>
  <c r="CE19" i="6"/>
  <c r="CD19" i="6"/>
  <c r="DL13" i="4"/>
  <c r="DL21" i="8"/>
  <c r="DL35" i="8"/>
  <c r="DL11" i="4"/>
  <c r="DL27" i="6"/>
  <c r="DD24" i="2"/>
  <c r="DE24" i="2"/>
  <c r="O17" i="6"/>
  <c r="DH17" i="6"/>
  <c r="DC17" i="6"/>
  <c r="DB17" i="6"/>
  <c r="DL17" i="6"/>
  <c r="DH12" i="8"/>
  <c r="DC12" i="8"/>
  <c r="DB12" i="8"/>
  <c r="CH12" i="8"/>
  <c r="BU12" i="8"/>
  <c r="DD12" i="8"/>
  <c r="DE12" i="8"/>
  <c r="DL12" i="8"/>
  <c r="DH9" i="4"/>
  <c r="DC9" i="4"/>
  <c r="DB9" i="4"/>
  <c r="DL9" i="4"/>
  <c r="DQ8" i="4"/>
  <c r="DJ33" i="2"/>
  <c r="DL33" i="2"/>
  <c r="DL11" i="8"/>
  <c r="DH8" i="8"/>
  <c r="DC8" i="8"/>
  <c r="DB8" i="8"/>
  <c r="DL8" i="8"/>
  <c r="DH34" i="8"/>
  <c r="DC34" i="8"/>
  <c r="DB34" i="8"/>
  <c r="DL34" i="8"/>
  <c r="CG14" i="4"/>
  <c r="CF14" i="4"/>
  <c r="BU14" i="4"/>
  <c r="CH14" i="4"/>
  <c r="CE14" i="4"/>
  <c r="DJ6" i="2"/>
  <c r="DH6" i="2"/>
  <c r="DC6" i="2"/>
  <c r="DB6" i="2"/>
  <c r="DL6" i="2"/>
  <c r="DH19" i="4"/>
  <c r="DC19" i="4"/>
  <c r="DB19" i="4"/>
  <c r="DL19" i="4"/>
  <c r="DH27" i="4"/>
  <c r="DC27" i="4"/>
  <c r="DB27" i="4"/>
  <c r="DL27" i="4"/>
  <c r="DJ13" i="2"/>
  <c r="DL13" i="2"/>
  <c r="BM6" i="8"/>
  <c r="BM7" i="8"/>
  <c r="BM8" i="8"/>
  <c r="BM9" i="8"/>
  <c r="BM10" i="8"/>
  <c r="BM11" i="8"/>
  <c r="BM12" i="8"/>
  <c r="BM13" i="8"/>
  <c r="BM14" i="8"/>
  <c r="BM15" i="8"/>
  <c r="BM16" i="8"/>
  <c r="BM17" i="8"/>
  <c r="BM18" i="8"/>
  <c r="BM19" i="8"/>
  <c r="BM20" i="8"/>
  <c r="BM21" i="8"/>
  <c r="BM22" i="8"/>
  <c r="BM23" i="8"/>
  <c r="BM24" i="8"/>
  <c r="BM25" i="8"/>
  <c r="BM26" i="8"/>
  <c r="BM27" i="8"/>
  <c r="BM28" i="8"/>
  <c r="BM29" i="8"/>
  <c r="BM30" i="8"/>
  <c r="BM31" i="8"/>
  <c r="BM32" i="8"/>
  <c r="BM33" i="8"/>
  <c r="BM34" i="8"/>
  <c r="BM35" i="8"/>
  <c r="BM36" i="8"/>
  <c r="BM37" i="8"/>
  <c r="BU12" i="4"/>
  <c r="CH12" i="4"/>
  <c r="DJ32" i="2"/>
  <c r="DL32" i="2"/>
  <c r="DL11" i="6"/>
  <c r="DL31" i="8"/>
  <c r="DL29" i="4"/>
  <c r="DL26" i="8"/>
  <c r="DL16" i="8"/>
  <c r="DL31" i="4"/>
  <c r="O33" i="6"/>
  <c r="DH33" i="6"/>
  <c r="DC33" i="6"/>
  <c r="DB33" i="6"/>
  <c r="DL33" i="6"/>
  <c r="DH17" i="8"/>
  <c r="DC17" i="8"/>
  <c r="DB17" i="8"/>
  <c r="DL17" i="8"/>
  <c r="DH14" i="4"/>
  <c r="DC14" i="4"/>
  <c r="DB14" i="4"/>
  <c r="DL14" i="4"/>
  <c r="CG14" i="6"/>
  <c r="CF14" i="6"/>
  <c r="BU14" i="6"/>
  <c r="CH14" i="6"/>
  <c r="CE14" i="6"/>
  <c r="CD14" i="6"/>
  <c r="CG13" i="6"/>
  <c r="CF13" i="6"/>
  <c r="BU13" i="6"/>
  <c r="O13" i="6"/>
  <c r="CH13" i="6"/>
  <c r="CE13" i="6"/>
  <c r="CD13" i="6"/>
  <c r="DL16" i="6"/>
  <c r="CG29" i="8"/>
  <c r="CF29" i="8"/>
  <c r="BU29" i="8"/>
  <c r="CH29" i="8"/>
  <c r="CE29" i="8"/>
  <c r="CD29" i="8"/>
  <c r="DH13" i="8"/>
  <c r="DC13" i="8"/>
  <c r="DB13" i="8"/>
  <c r="DL13" i="8"/>
  <c r="DQ6" i="1"/>
  <c r="AR37" i="14"/>
  <c r="DL28" i="6"/>
  <c r="DQ6" i="6"/>
  <c r="DH19" i="8"/>
  <c r="DC19" i="8"/>
  <c r="DB19" i="8"/>
  <c r="DL19" i="8"/>
  <c r="O29" i="6"/>
  <c r="DH29" i="6"/>
  <c r="DC29" i="6"/>
  <c r="DB29" i="6"/>
  <c r="DL29" i="6"/>
  <c r="DL15" i="14"/>
  <c r="DJ27" i="2"/>
  <c r="DH27" i="2"/>
  <c r="DC27" i="2"/>
  <c r="DB27" i="2"/>
  <c r="DL27" i="2"/>
  <c r="DH12" i="4"/>
  <c r="DC12" i="4"/>
  <c r="DB12" i="4"/>
  <c r="DL12" i="4"/>
  <c r="CH36" i="2"/>
  <c r="CG34" i="8"/>
  <c r="BU34" i="8"/>
  <c r="CH34" i="8"/>
  <c r="CH6" i="8"/>
  <c r="DJ11" i="4"/>
  <c r="DL7" i="2"/>
  <c r="DJ20" i="2"/>
  <c r="DH20" i="2"/>
  <c r="DC20" i="2"/>
  <c r="DB20" i="2"/>
  <c r="DL20" i="2"/>
  <c r="DJ14" i="2"/>
  <c r="DN14" i="2"/>
  <c r="DJ12" i="2"/>
  <c r="DL12" i="2"/>
  <c r="BL8" i="1"/>
  <c r="BM8" i="1"/>
  <c r="M37" i="32"/>
  <c r="DJ8" i="2"/>
  <c r="DL8" i="2"/>
  <c r="DN21" i="2"/>
  <c r="DL22" i="8"/>
  <c r="DL20" i="8"/>
  <c r="DJ30" i="2"/>
  <c r="DL30" i="2"/>
  <c r="BL23" i="1"/>
  <c r="BL22" i="1"/>
  <c r="BL21" i="1"/>
  <c r="BL20" i="1"/>
  <c r="BL19" i="1"/>
  <c r="BL18" i="1"/>
  <c r="BL17" i="1"/>
  <c r="BL16" i="1"/>
  <c r="BL15" i="1"/>
  <c r="BL14" i="1"/>
  <c r="BL13" i="1"/>
  <c r="BL12" i="1"/>
  <c r="BL11" i="1"/>
  <c r="BL10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H17" i="1"/>
  <c r="DJ17" i="1"/>
  <c r="DN11" i="4"/>
  <c r="O35" i="6"/>
  <c r="DH35" i="6"/>
  <c r="DC35" i="6"/>
  <c r="DB35" i="6"/>
  <c r="DL35" i="6"/>
  <c r="DL20" i="4"/>
  <c r="O31" i="6"/>
  <c r="DH31" i="6"/>
  <c r="DC31" i="6"/>
  <c r="DB31" i="6"/>
  <c r="DL31" i="6"/>
  <c r="DL6" i="6"/>
  <c r="DJ29" i="2"/>
  <c r="DL29" i="2"/>
  <c r="DJ16" i="2"/>
  <c r="DL16" i="2"/>
  <c r="DJ31" i="4"/>
  <c r="DH21" i="4"/>
  <c r="DC21" i="4"/>
  <c r="DB21" i="4"/>
  <c r="DL21" i="4"/>
  <c r="DJ9" i="2"/>
  <c r="DH9" i="2"/>
  <c r="DC9" i="2"/>
  <c r="DB9" i="2"/>
  <c r="DL9" i="2"/>
  <c r="DL10" i="6"/>
  <c r="DH15" i="4"/>
  <c r="DC15" i="4"/>
  <c r="DB15" i="4"/>
  <c r="DL15" i="4"/>
  <c r="DN16" i="2"/>
  <c r="BM34" i="1"/>
  <c r="DN7" i="4"/>
  <c r="DN15" i="2"/>
  <c r="DN34" i="6"/>
  <c r="DN32" i="4"/>
  <c r="DN32" i="6"/>
  <c r="DN28" i="8"/>
  <c r="DL14" i="14"/>
  <c r="DJ10" i="2"/>
  <c r="DH10" i="2"/>
  <c r="DC10" i="2"/>
  <c r="DB10" i="2"/>
  <c r="DL10" i="2"/>
  <c r="DJ34" i="2"/>
  <c r="DL34" i="2"/>
  <c r="DL17" i="4"/>
  <c r="DL15" i="6"/>
  <c r="DL23" i="6"/>
  <c r="DL19" i="2"/>
  <c r="N37" i="32"/>
  <c r="DQ6" i="4"/>
  <c r="DL7" i="4"/>
  <c r="DN19" i="2"/>
  <c r="DN11" i="2"/>
  <c r="DJ7" i="2"/>
  <c r="DL20" i="6"/>
  <c r="DN13" i="2"/>
  <c r="DN27" i="6"/>
  <c r="BH14" i="1"/>
  <c r="BJ14" i="1"/>
  <c r="DN14" i="1"/>
  <c r="BI14" i="1"/>
  <c r="DJ22" i="2"/>
  <c r="DL22" i="2"/>
  <c r="DJ21" i="2"/>
  <c r="DL21" i="2"/>
  <c r="DJ30" i="6"/>
  <c r="DJ25" i="2"/>
  <c r="DL25" i="2"/>
  <c r="DP27" i="6"/>
  <c r="DJ32" i="6"/>
  <c r="DH32" i="8"/>
  <c r="DC32" i="8"/>
  <c r="DB32" i="8"/>
  <c r="DL32" i="8"/>
  <c r="DJ23" i="2"/>
  <c r="DL23" i="2"/>
  <c r="DL14" i="2"/>
  <c r="BJ17" i="1"/>
  <c r="DN17" i="1"/>
  <c r="BI17" i="1"/>
  <c r="DN23" i="4"/>
  <c r="DJ23" i="4"/>
  <c r="DH14" i="8"/>
  <c r="DC14" i="8"/>
  <c r="DB14" i="8"/>
  <c r="DL14" i="8"/>
  <c r="DL23" i="4"/>
  <c r="DH23" i="8"/>
  <c r="DC23" i="8"/>
  <c r="DB23" i="8"/>
  <c r="DL23" i="8"/>
  <c r="DL9" i="6"/>
  <c r="DJ19" i="2"/>
  <c r="BU24" i="8"/>
  <c r="CH24" i="8"/>
  <c r="DQ7" i="4"/>
  <c r="BH7" i="1"/>
  <c r="BJ7" i="1"/>
  <c r="DN7" i="1"/>
  <c r="BI7" i="1"/>
  <c r="DP10" i="4"/>
  <c r="DP34" i="6"/>
  <c r="DH30" i="4"/>
  <c r="DC30" i="4"/>
  <c r="DB30" i="4"/>
  <c r="DL30" i="4"/>
  <c r="DJ31" i="2"/>
  <c r="DL31" i="2"/>
  <c r="DJ18" i="2"/>
  <c r="DH18" i="2"/>
  <c r="DC18" i="2"/>
  <c r="DB18" i="2"/>
  <c r="DL18" i="2"/>
  <c r="DJ15" i="6"/>
  <c r="DL8" i="4"/>
  <c r="DH24" i="8"/>
  <c r="DC24" i="8"/>
  <c r="DB24" i="8"/>
  <c r="DL24" i="8"/>
  <c r="BL36" i="1"/>
  <c r="BM35" i="1"/>
  <c r="BM36" i="1"/>
  <c r="BM37" i="1"/>
  <c r="BH18" i="1"/>
  <c r="BJ18" i="1"/>
  <c r="DN18" i="1"/>
  <c r="BI18" i="1"/>
  <c r="DN31" i="4"/>
  <c r="DL8" i="6"/>
  <c r="BH10" i="1"/>
  <c r="BJ10" i="1"/>
  <c r="BI10" i="1"/>
  <c r="DL10" i="1"/>
  <c r="DN31" i="2"/>
  <c r="DP16" i="8"/>
  <c r="DL25" i="6"/>
  <c r="DJ24" i="2"/>
  <c r="DH24" i="2"/>
  <c r="DC24" i="2"/>
  <c r="DB24" i="2"/>
  <c r="DL24" i="2"/>
  <c r="DJ35" i="2"/>
  <c r="DH35" i="2"/>
  <c r="DC35" i="2"/>
  <c r="DB35" i="2"/>
  <c r="DL35" i="2"/>
  <c r="BH22" i="1"/>
  <c r="BJ22" i="1"/>
  <c r="DN22" i="1"/>
  <c r="BI22" i="1"/>
  <c r="DL6" i="4"/>
  <c r="DH6" i="8"/>
  <c r="DC6" i="8"/>
  <c r="DB6" i="8"/>
  <c r="DL6" i="8"/>
  <c r="DL28" i="8"/>
  <c r="DJ28" i="2"/>
  <c r="DL28" i="2"/>
  <c r="DH18" i="4"/>
  <c r="DC18" i="4"/>
  <c r="DB18" i="4"/>
  <c r="DL18" i="4"/>
  <c r="DL34" i="6"/>
  <c r="DN32" i="2"/>
  <c r="DN22" i="4"/>
  <c r="DJ11" i="2"/>
  <c r="DL11" i="2"/>
  <c r="DN26" i="2"/>
  <c r="DN33" i="2"/>
  <c r="DJ32" i="4"/>
  <c r="CG19" i="4"/>
  <c r="CF19" i="4"/>
  <c r="BU19" i="4"/>
  <c r="CH19" i="4"/>
  <c r="DN22" i="8"/>
  <c r="DH22" i="6"/>
  <c r="DC22" i="6"/>
  <c r="DB22" i="6"/>
  <c r="DL22" i="6"/>
  <c r="L37" i="32"/>
  <c r="DP22" i="1"/>
  <c r="DN15" i="6"/>
  <c r="DN30" i="6"/>
  <c r="DP18" i="1"/>
  <c r="DN36" i="2"/>
  <c r="DL17" i="1"/>
  <c r="DP28" i="8"/>
  <c r="DL30" i="8"/>
  <c r="DH24" i="4"/>
  <c r="DC24" i="4"/>
  <c r="DB24" i="4"/>
  <c r="DL24" i="4"/>
  <c r="DQ12" i="6"/>
  <c r="DJ22" i="8"/>
  <c r="DL25" i="4"/>
  <c r="BU27" i="8"/>
  <c r="CH27" i="8"/>
  <c r="DJ35" i="8"/>
  <c r="DL7" i="6"/>
  <c r="AD37" i="2"/>
  <c r="CH37" i="2"/>
  <c r="BH20" i="1"/>
  <c r="BJ20" i="1"/>
  <c r="BI20" i="1"/>
  <c r="DL20" i="1"/>
  <c r="GL15" i="2"/>
  <c r="GK15" i="2"/>
  <c r="GO15" i="2"/>
  <c r="CH15" i="4"/>
  <c r="DP29" i="4"/>
  <c r="GL9" i="2"/>
  <c r="GK9" i="2"/>
  <c r="GO9" i="2"/>
  <c r="BH15" i="1"/>
  <c r="BJ15" i="1"/>
  <c r="BI15" i="1"/>
  <c r="DL15" i="1"/>
  <c r="GL17" i="2"/>
  <c r="GK17" i="2"/>
  <c r="GO17" i="2"/>
  <c r="GL13" i="2"/>
  <c r="GK13" i="2"/>
  <c r="GO13" i="2"/>
  <c r="DJ25" i="4"/>
  <c r="GL10" i="2"/>
  <c r="GK10" i="2"/>
  <c r="GO10" i="2"/>
  <c r="CG24" i="2"/>
  <c r="CH24" i="2"/>
  <c r="CG11" i="2"/>
  <c r="CH11" i="2"/>
  <c r="DJ26" i="2"/>
  <c r="DL26" i="2"/>
  <c r="O37" i="6"/>
  <c r="DH37" i="6"/>
  <c r="DC37" i="6"/>
  <c r="DB37" i="6"/>
  <c r="DL37" i="6"/>
  <c r="BH6" i="1"/>
  <c r="BH8" i="1"/>
  <c r="BH9" i="1"/>
  <c r="BH11" i="1"/>
  <c r="BH12" i="1"/>
  <c r="BH13" i="1"/>
  <c r="BH16" i="1"/>
  <c r="BH19" i="1"/>
  <c r="BH21" i="1"/>
  <c r="BH23" i="1"/>
  <c r="BH36" i="1"/>
  <c r="BH37" i="1"/>
  <c r="O8" i="1"/>
  <c r="O12" i="1"/>
  <c r="O16" i="1"/>
  <c r="O19" i="1"/>
  <c r="O23" i="1"/>
  <c r="O29" i="1"/>
  <c r="O32" i="1"/>
  <c r="O35" i="1"/>
  <c r="O37" i="1"/>
  <c r="DJ37" i="1"/>
  <c r="DP22" i="4"/>
  <c r="DP21" i="8"/>
  <c r="DJ30" i="8"/>
  <c r="BH36" i="8"/>
  <c r="BJ36" i="8"/>
  <c r="FI71" i="20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6" i="4"/>
  <c r="GL11" i="2"/>
  <c r="GK11" i="2"/>
  <c r="GO11" i="2"/>
  <c r="BJ21" i="1"/>
  <c r="BI21" i="1"/>
  <c r="DL21" i="1"/>
  <c r="DL18" i="1"/>
  <c r="GL19" i="2"/>
  <c r="GK19" i="2"/>
  <c r="GO19" i="2"/>
  <c r="GL16" i="2"/>
  <c r="GK16" i="2"/>
  <c r="GO16" i="2"/>
  <c r="DP11" i="1"/>
  <c r="BJ9" i="1"/>
  <c r="DN9" i="1"/>
  <c r="BI9" i="1"/>
  <c r="AQ37" i="17"/>
  <c r="AQ37" i="20"/>
  <c r="DH13" i="14"/>
  <c r="DC13" i="14"/>
  <c r="DB13" i="14"/>
  <c r="DL13" i="14"/>
  <c r="DN21" i="8"/>
  <c r="DN35" i="8"/>
  <c r="BJ13" i="1"/>
  <c r="BI13" i="1"/>
  <c r="DL13" i="1"/>
  <c r="DN25" i="2"/>
  <c r="GL18" i="2"/>
  <c r="GK18" i="2"/>
  <c r="GO18" i="2"/>
  <c r="DN20" i="1"/>
  <c r="CG18" i="2"/>
  <c r="CH18" i="2"/>
  <c r="BJ11" i="1"/>
  <c r="DN11" i="1"/>
  <c r="BI11" i="1"/>
  <c r="DN13" i="1"/>
  <c r="DP14" i="1"/>
  <c r="AP37" i="17"/>
  <c r="AP37" i="20"/>
  <c r="DL18" i="8"/>
  <c r="DP30" i="8"/>
  <c r="DN26" i="4"/>
  <c r="CG9" i="4"/>
  <c r="CF9" i="4"/>
  <c r="BU9" i="4"/>
  <c r="CH9" i="4"/>
  <c r="CE9" i="4"/>
  <c r="CD9" i="4"/>
  <c r="GL20" i="2"/>
  <c r="GK20" i="2"/>
  <c r="GO20" i="2"/>
  <c r="CH27" i="2"/>
  <c r="CG17" i="2"/>
  <c r="CF17" i="2"/>
  <c r="CH17" i="2"/>
  <c r="CE17" i="2"/>
  <c r="DN29" i="4"/>
  <c r="DL9" i="1"/>
  <c r="BJ36" i="1"/>
  <c r="GL7" i="2"/>
  <c r="GK7" i="2"/>
  <c r="GO7" i="2"/>
  <c r="BJ6" i="1"/>
  <c r="BI6" i="1"/>
  <c r="BJ8" i="1"/>
  <c r="BI8" i="1"/>
  <c r="BJ12" i="1"/>
  <c r="BI12" i="1"/>
  <c r="BJ16" i="1"/>
  <c r="BI16" i="1"/>
  <c r="BJ19" i="1"/>
  <c r="BI19" i="1"/>
  <c r="BJ23" i="1"/>
  <c r="BI23" i="1"/>
  <c r="BI37" i="1"/>
  <c r="DL37" i="1"/>
  <c r="BM6" i="2"/>
  <c r="BM7" i="2"/>
  <c r="BM8" i="2"/>
  <c r="BM9" i="2"/>
  <c r="BM10" i="2"/>
  <c r="BM11" i="2"/>
  <c r="BM12" i="2"/>
  <c r="BM13" i="2"/>
  <c r="BM14" i="2"/>
  <c r="BM15" i="2"/>
  <c r="BM16" i="2"/>
  <c r="BM17" i="2"/>
  <c r="BM18" i="2"/>
  <c r="BM19" i="2"/>
  <c r="BM20" i="2"/>
  <c r="BM21" i="2"/>
  <c r="BM22" i="2"/>
  <c r="BM23" i="2"/>
  <c r="BM24" i="2"/>
  <c r="BM25" i="2"/>
  <c r="BM26" i="2"/>
  <c r="BM27" i="2"/>
  <c r="BM28" i="2"/>
  <c r="BM29" i="2"/>
  <c r="BM30" i="2"/>
  <c r="BM31" i="2"/>
  <c r="DN21" i="1"/>
  <c r="DP10" i="1"/>
  <c r="DL11" i="1"/>
  <c r="DL18" i="6"/>
  <c r="DL7" i="1"/>
  <c r="BU7" i="8"/>
  <c r="DN25" i="6"/>
  <c r="DJ33" i="4"/>
  <c r="DN33" i="4"/>
  <c r="DN25" i="4"/>
  <c r="CG21" i="4"/>
  <c r="BU21" i="4"/>
  <c r="DD21" i="4"/>
  <c r="DE21" i="4"/>
  <c r="CH21" i="4"/>
  <c r="GL21" i="2"/>
  <c r="GK21" i="2"/>
  <c r="GO21" i="2"/>
  <c r="GL8" i="2"/>
  <c r="GK8" i="2"/>
  <c r="GO8" i="2"/>
  <c r="BU24" i="4"/>
  <c r="DL22" i="1"/>
  <c r="DJ13" i="4"/>
  <c r="CH20" i="2"/>
  <c r="DL14" i="1"/>
  <c r="DN23" i="2"/>
  <c r="DJ9" i="1"/>
  <c r="DJ15" i="1"/>
  <c r="DP7" i="1"/>
  <c r="DJ13" i="1"/>
  <c r="DP20" i="1"/>
  <c r="P8" i="1"/>
  <c r="P9" i="1"/>
  <c r="DQ8" i="1"/>
  <c r="DJ7" i="1"/>
  <c r="DG8" i="1"/>
  <c r="DH8" i="1"/>
  <c r="DL8" i="1"/>
  <c r="DJ8" i="1"/>
  <c r="DB8" i="1"/>
  <c r="BZ8" i="1"/>
  <c r="DC8" i="1"/>
  <c r="BU8" i="1"/>
  <c r="BV8" i="1"/>
  <c r="CB8" i="1"/>
  <c r="CX8" i="1"/>
  <c r="DD8" i="1"/>
  <c r="DN8" i="1"/>
  <c r="BW8" i="1"/>
  <c r="CC8" i="1"/>
  <c r="CY8" i="1"/>
  <c r="DE8" i="1"/>
  <c r="DP8" i="1"/>
  <c r="BX8" i="1"/>
  <c r="CG8" i="1"/>
  <c r="CF8" i="1"/>
  <c r="CE8" i="1"/>
  <c r="CD8" i="1"/>
  <c r="CH8" i="1"/>
  <c r="CZ8" i="1"/>
  <c r="DF8" i="1"/>
  <c r="BY8" i="1"/>
  <c r="DA8" i="1"/>
  <c r="DJ11" i="1"/>
  <c r="DP17" i="1"/>
  <c r="DJ10" i="1"/>
  <c r="P10" i="1"/>
  <c r="P11" i="1"/>
  <c r="P12" i="1"/>
  <c r="DQ11" i="1"/>
  <c r="DJ14" i="1"/>
  <c r="DJ6" i="1"/>
  <c r="DN7" i="2"/>
  <c r="P6" i="2"/>
  <c r="P7" i="2"/>
  <c r="P8" i="2"/>
  <c r="P9" i="2"/>
  <c r="DQ8" i="2"/>
  <c r="DP21" i="2"/>
  <c r="DP23" i="2"/>
  <c r="DN30" i="2"/>
  <c r="CG10" i="2"/>
  <c r="CH10" i="2"/>
  <c r="DJ28" i="4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DQ31" i="1"/>
  <c r="P32" i="1"/>
  <c r="DL6" i="1"/>
  <c r="BJ37" i="1"/>
  <c r="DN37" i="1"/>
  <c r="BL37" i="1"/>
  <c r="DP37" i="1"/>
  <c r="P10" i="2"/>
  <c r="P11" i="2"/>
  <c r="P12" i="2"/>
  <c r="P13" i="2"/>
  <c r="P14" i="2"/>
  <c r="P15" i="2"/>
  <c r="DQ15" i="2"/>
  <c r="P16" i="2"/>
  <c r="P17" i="2"/>
  <c r="P18" i="2"/>
  <c r="P19" i="2"/>
  <c r="P20" i="2"/>
  <c r="P21" i="2"/>
  <c r="P22" i="2"/>
  <c r="DQ21" i="2"/>
  <c r="DN22" i="2"/>
  <c r="DP29" i="2"/>
  <c r="DN34" i="2"/>
  <c r="DP13" i="4"/>
  <c r="DP19" i="1"/>
  <c r="DQ19" i="1"/>
  <c r="DQ20" i="1"/>
  <c r="DJ21" i="1"/>
  <c r="DQ28" i="1"/>
  <c r="DQ32" i="1"/>
  <c r="P33" i="1"/>
  <c r="DQ33" i="1"/>
  <c r="P34" i="1"/>
  <c r="DN8" i="2"/>
  <c r="DP11" i="2"/>
  <c r="DQ11" i="2"/>
  <c r="DP15" i="2"/>
  <c r="P23" i="2"/>
  <c r="DQ23" i="2"/>
  <c r="P24" i="2"/>
  <c r="DQ24" i="2"/>
  <c r="P25" i="2"/>
  <c r="DP25" i="2"/>
  <c r="BM32" i="2"/>
  <c r="BM33" i="2"/>
  <c r="BM34" i="2"/>
  <c r="DP34" i="2"/>
  <c r="DD9" i="2"/>
  <c r="DE9" i="2"/>
  <c r="DD20" i="2"/>
  <c r="DE20" i="2"/>
  <c r="DP11" i="4"/>
  <c r="DN16" i="4"/>
  <c r="DP23" i="4"/>
  <c r="DQ18" i="1"/>
  <c r="DJ20" i="1"/>
  <c r="DP21" i="1"/>
  <c r="DQ24" i="1"/>
  <c r="DQ25" i="1"/>
  <c r="DQ26" i="1"/>
  <c r="DQ27" i="1"/>
  <c r="DN6" i="1"/>
  <c r="DP6" i="1"/>
  <c r="DQ7" i="2"/>
  <c r="DQ10" i="2"/>
  <c r="DN12" i="2"/>
  <c r="DP13" i="2"/>
  <c r="DQ25" i="2"/>
  <c r="P26" i="2"/>
  <c r="DQ26" i="2"/>
  <c r="P27" i="2"/>
  <c r="DQ27" i="2"/>
  <c r="P28" i="2"/>
  <c r="DP28" i="2"/>
  <c r="P29" i="2"/>
  <c r="P30" i="2"/>
  <c r="P31" i="2"/>
  <c r="DQ31" i="2"/>
  <c r="P32" i="2"/>
  <c r="DQ32" i="2"/>
  <c r="P33" i="2"/>
  <c r="P34" i="2"/>
  <c r="DQ33" i="2"/>
  <c r="DD17" i="2"/>
  <c r="DE17" i="2"/>
  <c r="DJ16" i="4"/>
  <c r="DP6" i="4"/>
  <c r="DQ9" i="1"/>
  <c r="DP12" i="1"/>
  <c r="DN12" i="1"/>
  <c r="DQ12" i="1"/>
  <c r="DQ14" i="1"/>
  <c r="DJ18" i="1"/>
  <c r="DQ30" i="1"/>
  <c r="P35" i="1"/>
  <c r="P36" i="1"/>
  <c r="DQ35" i="1"/>
  <c r="DP8" i="2"/>
  <c r="DQ13" i="2"/>
  <c r="DQ16" i="2"/>
  <c r="DQ18" i="2"/>
  <c r="DP19" i="2"/>
  <c r="DQ19" i="2"/>
  <c r="DP22" i="2"/>
  <c r="DQ22" i="2"/>
  <c r="DN28" i="2"/>
  <c r="DQ30" i="2"/>
  <c r="DP32" i="2"/>
  <c r="BM35" i="2"/>
  <c r="DN8" i="4"/>
  <c r="DN13" i="4"/>
  <c r="DN10" i="1"/>
  <c r="DQ10" i="1"/>
  <c r="DJ12" i="1"/>
  <c r="DH12" i="1"/>
  <c r="DL12" i="1"/>
  <c r="CX12" i="1"/>
  <c r="DB12" i="1"/>
  <c r="BY12" i="1"/>
  <c r="DD12" i="1"/>
  <c r="BX12" i="1"/>
  <c r="DA12" i="1"/>
  <c r="DG12" i="1"/>
  <c r="BZ12" i="1"/>
  <c r="DC12" i="1"/>
  <c r="BU12" i="1"/>
  <c r="BV12" i="1"/>
  <c r="CB12" i="1"/>
  <c r="CY12" i="1"/>
  <c r="DE12" i="1"/>
  <c r="BW12" i="1"/>
  <c r="CC12" i="1"/>
  <c r="CZ12" i="1"/>
  <c r="DF12" i="1"/>
  <c r="DP13" i="1"/>
  <c r="DQ13" i="1"/>
  <c r="DN15" i="1"/>
  <c r="DP15" i="1"/>
  <c r="DQ15" i="1"/>
  <c r="DH16" i="1"/>
  <c r="DL16" i="1"/>
  <c r="BZ16" i="1"/>
  <c r="DA16" i="1"/>
  <c r="DG16" i="1"/>
  <c r="DP16" i="1"/>
  <c r="BY16" i="1"/>
  <c r="CZ16" i="1"/>
  <c r="DF16" i="1"/>
  <c r="DN16" i="1"/>
  <c r="DB16" i="1"/>
  <c r="BU16" i="1"/>
  <c r="BV16" i="1"/>
  <c r="CB16" i="1"/>
  <c r="DC16" i="1"/>
  <c r="DJ16" i="1"/>
  <c r="BW16" i="1"/>
  <c r="CC16" i="1"/>
  <c r="CX16" i="1"/>
  <c r="DD16" i="1"/>
  <c r="BX16" i="1"/>
  <c r="CY16" i="1"/>
  <c r="DE16" i="1"/>
  <c r="DQ16" i="1"/>
  <c r="DQ17" i="1"/>
  <c r="DL19" i="1"/>
  <c r="DH19" i="1"/>
  <c r="CZ19" i="1"/>
  <c r="DF19" i="1"/>
  <c r="BU19" i="1"/>
  <c r="BV19" i="1"/>
  <c r="CB19" i="1"/>
  <c r="DN19" i="1"/>
  <c r="CY19" i="1"/>
  <c r="DE19" i="1"/>
  <c r="BW19" i="1"/>
  <c r="CC19" i="1"/>
  <c r="DA19" i="1"/>
  <c r="DG19" i="1"/>
  <c r="BX19" i="1"/>
  <c r="CG19" i="1"/>
  <c r="CF19" i="1"/>
  <c r="CE19" i="1"/>
  <c r="CD19" i="1"/>
  <c r="CH19" i="1"/>
  <c r="DB19" i="1"/>
  <c r="BY19" i="1"/>
  <c r="DC19" i="1"/>
  <c r="DJ19" i="1"/>
  <c r="BZ19" i="1"/>
  <c r="CX19" i="1"/>
  <c r="DD19" i="1"/>
  <c r="DQ21" i="1"/>
  <c r="DJ22" i="1"/>
  <c r="DQ22" i="1"/>
  <c r="DJ23" i="1"/>
  <c r="DL23" i="1"/>
  <c r="DH23" i="1"/>
  <c r="CG23" i="1"/>
  <c r="CF23" i="1"/>
  <c r="CH23" i="1"/>
  <c r="DA23" i="1"/>
  <c r="DG23" i="1"/>
  <c r="BZ23" i="1"/>
  <c r="CZ23" i="1"/>
  <c r="DF23" i="1"/>
  <c r="BU23" i="1"/>
  <c r="BV23" i="1"/>
  <c r="CB23" i="1"/>
  <c r="DB23" i="1"/>
  <c r="BW23" i="1"/>
  <c r="CC23" i="1"/>
  <c r="DC23" i="1"/>
  <c r="BX23" i="1"/>
  <c r="CX23" i="1"/>
  <c r="DD23" i="1"/>
  <c r="BY23" i="1"/>
  <c r="CY23" i="1"/>
  <c r="DE23" i="1"/>
  <c r="DP23" i="1"/>
  <c r="DN23" i="1"/>
  <c r="DQ23" i="1"/>
  <c r="BV29" i="1"/>
  <c r="CB29" i="1"/>
  <c r="DA29" i="1"/>
  <c r="DG29" i="1"/>
  <c r="BW29" i="1"/>
  <c r="CC29" i="1"/>
  <c r="DB29" i="1"/>
  <c r="DH29" i="1"/>
  <c r="DN29" i="1"/>
  <c r="BX29" i="1"/>
  <c r="DC29" i="1"/>
  <c r="DP29" i="1"/>
  <c r="BY29" i="1"/>
  <c r="CX29" i="1"/>
  <c r="DD29" i="1"/>
  <c r="DJ29" i="1"/>
  <c r="BZ29" i="1"/>
  <c r="CY29" i="1"/>
  <c r="DE29" i="1"/>
  <c r="CZ29" i="1"/>
  <c r="DF29" i="1"/>
  <c r="DL29" i="1"/>
  <c r="DQ29" i="1"/>
  <c r="BX32" i="1"/>
  <c r="DC32" i="1"/>
  <c r="DP32" i="1"/>
  <c r="BY32" i="1"/>
  <c r="CX32" i="1"/>
  <c r="DD32" i="1"/>
  <c r="DJ32" i="1"/>
  <c r="BZ32" i="1"/>
  <c r="CY32" i="1"/>
  <c r="DE32" i="1"/>
  <c r="CZ32" i="1"/>
  <c r="DF32" i="1"/>
  <c r="DL32" i="1"/>
  <c r="BV32" i="1"/>
  <c r="CB32" i="1"/>
  <c r="DA32" i="1"/>
  <c r="DG32" i="1"/>
  <c r="BW32" i="1"/>
  <c r="CC32" i="1"/>
  <c r="DB32" i="1"/>
  <c r="DH32" i="1"/>
  <c r="DN32" i="1"/>
  <c r="DQ34" i="1"/>
  <c r="BZ35" i="1"/>
  <c r="CZ35" i="1"/>
  <c r="DF35" i="1"/>
  <c r="DL35" i="1"/>
  <c r="DA35" i="1"/>
  <c r="DG35" i="1"/>
  <c r="BV35" i="1"/>
  <c r="CB35" i="1"/>
  <c r="DB35" i="1"/>
  <c r="DH35" i="1"/>
  <c r="DN35" i="1"/>
  <c r="BW35" i="1"/>
  <c r="CC35" i="1"/>
  <c r="DC35" i="1"/>
  <c r="DP35" i="1"/>
  <c r="BX35" i="1"/>
  <c r="CX35" i="1"/>
  <c r="DD35" i="1"/>
  <c r="DJ35" i="1"/>
  <c r="BY35" i="1"/>
  <c r="CY35" i="1"/>
  <c r="DE35" i="1"/>
  <c r="DQ36" i="1"/>
  <c r="P37" i="1"/>
  <c r="BZ37" i="1"/>
  <c r="BY37" i="1"/>
  <c r="BW37" i="1"/>
  <c r="DB37" i="1"/>
  <c r="DE37" i="1"/>
  <c r="DD37" i="1"/>
  <c r="DH37" i="1"/>
  <c r="DC37" i="1"/>
  <c r="BX37" i="1"/>
  <c r="BU37" i="1"/>
  <c r="BV37" i="1"/>
  <c r="CY37" i="1"/>
  <c r="CZ37" i="1"/>
  <c r="DF37" i="1"/>
  <c r="DA37" i="1"/>
  <c r="DG37" i="1"/>
  <c r="CB37" i="1"/>
  <c r="CC37" i="1"/>
  <c r="CX37" i="1"/>
  <c r="BJ37" i="2"/>
  <c r="CC6" i="2"/>
  <c r="BZ6" i="2"/>
  <c r="BV6" i="2"/>
  <c r="CB6" i="2"/>
  <c r="CX6" i="2"/>
  <c r="DD6" i="2"/>
  <c r="BW6" i="2"/>
  <c r="CY6" i="2"/>
  <c r="DE6" i="2"/>
  <c r="DN6" i="2"/>
  <c r="DP6" i="2"/>
  <c r="BX6" i="2"/>
  <c r="CZ6" i="2"/>
  <c r="DF6" i="2"/>
  <c r="BY6" i="2"/>
  <c r="DA6" i="2"/>
  <c r="DG6" i="2"/>
  <c r="DQ6" i="2"/>
  <c r="DP7" i="2"/>
  <c r="CH9" i="2"/>
  <c r="BX9" i="2"/>
  <c r="DA9" i="2"/>
  <c r="BY9" i="2"/>
  <c r="BZ9" i="2"/>
  <c r="CX9" i="2"/>
  <c r="BV9" i="2"/>
  <c r="CB9" i="2"/>
  <c r="CY9" i="2"/>
  <c r="DN9" i="2"/>
  <c r="BW9" i="2"/>
  <c r="CC9" i="2"/>
  <c r="CZ9" i="2"/>
  <c r="DF9" i="2"/>
  <c r="DG9" i="2"/>
  <c r="DP9" i="2"/>
  <c r="DQ9" i="2"/>
  <c r="BY10" i="2"/>
  <c r="CY10" i="2"/>
  <c r="DE10" i="2"/>
  <c r="BZ10" i="2"/>
  <c r="CZ10" i="2"/>
  <c r="DF10" i="2"/>
  <c r="DN10" i="2"/>
  <c r="DA10" i="2"/>
  <c r="DG10" i="2"/>
  <c r="DP10" i="2"/>
  <c r="BV10" i="2"/>
  <c r="CB10" i="2"/>
  <c r="BW10" i="2"/>
  <c r="CC10" i="2"/>
  <c r="BX10" i="2"/>
  <c r="CX10" i="2"/>
  <c r="DD10" i="2"/>
  <c r="DP12" i="2"/>
  <c r="DQ12" i="2"/>
  <c r="DP14" i="2"/>
  <c r="DQ14" i="2"/>
  <c r="DP16" i="2"/>
  <c r="BW17" i="2"/>
  <c r="CC17" i="2"/>
  <c r="BX17" i="2"/>
  <c r="BY17" i="2"/>
  <c r="CX17" i="2"/>
  <c r="BZ17" i="2"/>
  <c r="CY17" i="2"/>
  <c r="CZ17" i="2"/>
  <c r="DF17" i="2"/>
  <c r="DN17" i="2"/>
  <c r="BV17" i="2"/>
  <c r="CB17" i="2"/>
  <c r="DA17" i="2"/>
  <c r="DG17" i="2"/>
  <c r="DP17" i="2"/>
  <c r="DQ17" i="2"/>
  <c r="BZ18" i="2"/>
  <c r="BW18" i="2"/>
  <c r="BX18" i="2"/>
  <c r="BY18" i="2"/>
  <c r="CX18" i="2"/>
  <c r="DD18" i="2"/>
  <c r="CY18" i="2"/>
  <c r="DE18" i="2"/>
  <c r="DN18" i="2"/>
  <c r="DP18" i="2"/>
  <c r="CB18" i="2"/>
  <c r="CZ18" i="2"/>
  <c r="DF18" i="2"/>
  <c r="BV18" i="2"/>
  <c r="CC18" i="2"/>
  <c r="DA18" i="2"/>
  <c r="DG18" i="2"/>
  <c r="BZ20" i="2"/>
  <c r="CZ20" i="2"/>
  <c r="DF20" i="2"/>
  <c r="CB20" i="2"/>
  <c r="DA20" i="2"/>
  <c r="DG20" i="2"/>
  <c r="BV20" i="2"/>
  <c r="CC20" i="2"/>
  <c r="BW20" i="2"/>
  <c r="BX20" i="2"/>
  <c r="CX20" i="2"/>
  <c r="BY20" i="2"/>
  <c r="CY20" i="2"/>
  <c r="DN20" i="2"/>
  <c r="DP20" i="2"/>
  <c r="DQ20" i="2"/>
  <c r="BZ24" i="2"/>
  <c r="BW24" i="2"/>
  <c r="DA24" i="2"/>
  <c r="BX24" i="2"/>
  <c r="BY24" i="2"/>
  <c r="CX24" i="2"/>
  <c r="CB24" i="2"/>
  <c r="CY24" i="2"/>
  <c r="DF24" i="2"/>
  <c r="DN24" i="2"/>
  <c r="BV24" i="2"/>
  <c r="CC24" i="2"/>
  <c r="CZ24" i="2"/>
  <c r="DG24" i="2"/>
  <c r="DP24" i="2"/>
  <c r="BW27" i="2"/>
  <c r="CC27" i="2"/>
  <c r="CY27" i="2"/>
  <c r="DE27" i="2"/>
  <c r="DN27" i="2"/>
  <c r="DP27" i="2"/>
  <c r="BX27" i="2"/>
  <c r="CZ27" i="2"/>
  <c r="DF27" i="2"/>
  <c r="DG27" i="2"/>
  <c r="BY27" i="2"/>
  <c r="DA27" i="2"/>
  <c r="BZ27" i="2"/>
  <c r="BU27" i="2"/>
  <c r="BV27" i="2"/>
  <c r="CB27" i="2"/>
  <c r="CX27" i="2"/>
  <c r="DD27" i="2"/>
  <c r="DQ28" i="2"/>
  <c r="DN29" i="2"/>
  <c r="DQ29" i="2"/>
  <c r="DP30" i="2"/>
  <c r="DP33" i="2"/>
  <c r="DQ34" i="2"/>
  <c r="P35" i="2"/>
  <c r="BH37" i="2"/>
  <c r="FZ27" i="2"/>
  <c r="DJ7" i="4"/>
  <c r="DP8" i="4"/>
  <c r="DP21" i="4"/>
  <c r="DQ21" i="4"/>
  <c r="DP32" i="4"/>
  <c r="DD9" i="4"/>
  <c r="DE9" i="4"/>
  <c r="BM36" i="2"/>
  <c r="BM37" i="2"/>
  <c r="DJ8" i="4"/>
  <c r="DQ19" i="4"/>
  <c r="DN20" i="4"/>
  <c r="DJ22" i="4"/>
  <c r="DQ25" i="4"/>
  <c r="DJ26" i="4"/>
  <c r="DQ27" i="4"/>
  <c r="DN28" i="4"/>
  <c r="DN6" i="4"/>
  <c r="BJ34" i="4"/>
  <c r="DD15" i="4"/>
  <c r="DE15" i="4"/>
  <c r="DD27" i="4"/>
  <c r="DE27" i="4"/>
  <c r="DJ28" i="6"/>
  <c r="CG33" i="6"/>
  <c r="CH33" i="6"/>
  <c r="DJ20" i="4"/>
  <c r="DQ22" i="4"/>
  <c r="DQ24" i="4"/>
  <c r="DP28" i="4"/>
  <c r="DQ28" i="4"/>
  <c r="DJ29" i="4"/>
  <c r="DP33" i="4"/>
  <c r="DQ33" i="4"/>
  <c r="DD12" i="4"/>
  <c r="DE12" i="4"/>
  <c r="P13" i="6"/>
  <c r="P14" i="6"/>
  <c r="P15" i="6"/>
  <c r="P16" i="6"/>
  <c r="P17" i="6"/>
  <c r="P18" i="6"/>
  <c r="P19" i="6"/>
  <c r="P20" i="6"/>
  <c r="P21" i="6"/>
  <c r="DQ20" i="6"/>
  <c r="DP36" i="2"/>
  <c r="P36" i="2"/>
  <c r="DQ36" i="2"/>
  <c r="P37" i="2"/>
  <c r="CG9" i="2"/>
  <c r="DP7" i="4"/>
  <c r="DQ12" i="4"/>
  <c r="DP14" i="4"/>
  <c r="DQ14" i="4"/>
  <c r="DP16" i="4"/>
  <c r="DQ18" i="4"/>
  <c r="DQ23" i="4"/>
  <c r="DP25" i="4"/>
  <c r="DQ29" i="4"/>
  <c r="DP31" i="4"/>
  <c r="DQ31" i="4"/>
  <c r="DD14" i="4"/>
  <c r="DE14" i="4"/>
  <c r="DD19" i="4"/>
  <c r="DE19" i="4"/>
  <c r="DN10" i="4"/>
  <c r="DQ13" i="4"/>
  <c r="DQ15" i="4"/>
  <c r="DQ16" i="4"/>
  <c r="DN17" i="4"/>
  <c r="DQ32" i="4"/>
  <c r="DJ6" i="4"/>
  <c r="BH34" i="4"/>
  <c r="DJ9" i="6"/>
  <c r="DP18" i="6"/>
  <c r="DJ36" i="6"/>
  <c r="DE35" i="2"/>
  <c r="BV35" i="2"/>
  <c r="CB35" i="2"/>
  <c r="DG35" i="2"/>
  <c r="BW35" i="2"/>
  <c r="CX35" i="2"/>
  <c r="BX35" i="2"/>
  <c r="CY35" i="2"/>
  <c r="BY35" i="2"/>
  <c r="DA35" i="2"/>
  <c r="BZ35" i="2"/>
  <c r="DD35" i="2"/>
  <c r="DP35" i="2"/>
  <c r="CZ35" i="2"/>
  <c r="DF35" i="2"/>
  <c r="DN35" i="2"/>
  <c r="CC35" i="2"/>
  <c r="DQ35" i="2"/>
  <c r="CB9" i="4"/>
  <c r="CX9" i="4"/>
  <c r="CC9" i="4"/>
  <c r="CY9" i="4"/>
  <c r="BV9" i="4"/>
  <c r="BW9" i="4"/>
  <c r="DJ9" i="4"/>
  <c r="BX9" i="4"/>
  <c r="CZ9" i="4"/>
  <c r="DF9" i="4"/>
  <c r="BY9" i="4"/>
  <c r="DA9" i="4"/>
  <c r="DG9" i="4"/>
  <c r="DN9" i="4"/>
  <c r="BZ9" i="4"/>
  <c r="DP9" i="4"/>
  <c r="DQ9" i="4"/>
  <c r="DJ10" i="4"/>
  <c r="DQ10" i="4"/>
  <c r="DQ11" i="4"/>
  <c r="DJ12" i="4"/>
  <c r="BX12" i="4"/>
  <c r="BY12" i="4"/>
  <c r="CX12" i="4"/>
  <c r="CY12" i="4"/>
  <c r="DN12" i="4"/>
  <c r="DP12" i="4"/>
  <c r="DF12" i="4"/>
  <c r="BW12" i="4"/>
  <c r="CC12" i="4"/>
  <c r="BZ12" i="4"/>
  <c r="CZ12" i="4"/>
  <c r="DG12" i="4"/>
  <c r="DA12" i="4"/>
  <c r="BV12" i="4"/>
  <c r="CB12" i="4"/>
  <c r="DJ14" i="4"/>
  <c r="BY14" i="4"/>
  <c r="CX14" i="4"/>
  <c r="CY14" i="4"/>
  <c r="DN14" i="4"/>
  <c r="BX14" i="4"/>
  <c r="BW14" i="4"/>
  <c r="CC14" i="4"/>
  <c r="BZ14" i="4"/>
  <c r="CZ14" i="4"/>
  <c r="DF14" i="4"/>
  <c r="DA14" i="4"/>
  <c r="DG14" i="4"/>
  <c r="BV14" i="4"/>
  <c r="CB14" i="4"/>
  <c r="DJ15" i="4"/>
  <c r="BY15" i="4"/>
  <c r="CX15" i="4"/>
  <c r="CY15" i="4"/>
  <c r="DN15" i="4"/>
  <c r="BX15" i="4"/>
  <c r="BW15" i="4"/>
  <c r="CC15" i="4"/>
  <c r="BZ15" i="4"/>
  <c r="CZ15" i="4"/>
  <c r="DF15" i="4"/>
  <c r="DP15" i="4"/>
  <c r="DA15" i="4"/>
  <c r="DG15" i="4"/>
  <c r="BV15" i="4"/>
  <c r="CB15" i="4"/>
  <c r="DJ17" i="4"/>
  <c r="DP17" i="4"/>
  <c r="DQ17" i="4"/>
  <c r="BZ18" i="4"/>
  <c r="CZ18" i="4"/>
  <c r="DF18" i="4"/>
  <c r="DN18" i="4"/>
  <c r="BY18" i="4"/>
  <c r="CY18" i="4"/>
  <c r="DE18" i="4"/>
  <c r="CB18" i="4"/>
  <c r="DA18" i="4"/>
  <c r="DG18" i="4"/>
  <c r="DP18" i="4"/>
  <c r="BV18" i="4"/>
  <c r="CC18" i="4"/>
  <c r="BW18" i="4"/>
  <c r="DJ18" i="4"/>
  <c r="BX18" i="4"/>
  <c r="CX18" i="4"/>
  <c r="DD18" i="4"/>
  <c r="BV19" i="4"/>
  <c r="CB19" i="4"/>
  <c r="DA19" i="4"/>
  <c r="DG19" i="4"/>
  <c r="DP19" i="4"/>
  <c r="BW19" i="4"/>
  <c r="CC19" i="4"/>
  <c r="DJ19" i="4"/>
  <c r="BX19" i="4"/>
  <c r="CX19" i="4"/>
  <c r="BY19" i="4"/>
  <c r="CY19" i="4"/>
  <c r="BZ19" i="4"/>
  <c r="CZ19" i="4"/>
  <c r="DF19" i="4"/>
  <c r="DN19" i="4"/>
  <c r="DP20" i="4"/>
  <c r="DQ20" i="4"/>
  <c r="DA21" i="4"/>
  <c r="BV21" i="4"/>
  <c r="DG21" i="4"/>
  <c r="CB21" i="4"/>
  <c r="CZ21" i="4"/>
  <c r="DF21" i="4"/>
  <c r="DN21" i="4"/>
  <c r="BW21" i="4"/>
  <c r="CC21" i="4"/>
  <c r="BX21" i="4"/>
  <c r="DJ21" i="4"/>
  <c r="BY21" i="4"/>
  <c r="CX21" i="4"/>
  <c r="BZ21" i="4"/>
  <c r="CY21" i="4"/>
  <c r="DP24" i="4"/>
  <c r="BY24" i="4"/>
  <c r="DA24" i="4"/>
  <c r="DG24" i="4"/>
  <c r="BX24" i="4"/>
  <c r="CZ24" i="4"/>
  <c r="DF24" i="4"/>
  <c r="DN24" i="4"/>
  <c r="BZ24" i="4"/>
  <c r="DJ24" i="4"/>
  <c r="BV24" i="4"/>
  <c r="CB24" i="4"/>
  <c r="CX24" i="4"/>
  <c r="DD24" i="4"/>
  <c r="BW24" i="4"/>
  <c r="CC24" i="4"/>
  <c r="CY24" i="4"/>
  <c r="DE24" i="4"/>
  <c r="DQ26" i="4"/>
  <c r="BZ27" i="4"/>
  <c r="DJ27" i="4"/>
  <c r="BY27" i="4"/>
  <c r="BX27" i="4"/>
  <c r="CX27" i="4"/>
  <c r="CB27" i="4"/>
  <c r="CY27" i="4"/>
  <c r="BV27" i="4"/>
  <c r="CC27" i="4"/>
  <c r="CZ27" i="4"/>
  <c r="DF27" i="4"/>
  <c r="DN27" i="4"/>
  <c r="BW27" i="4"/>
  <c r="DA27" i="4"/>
  <c r="DG27" i="4"/>
  <c r="DP27" i="4"/>
  <c r="CH30" i="4"/>
  <c r="BZ30" i="4"/>
  <c r="BY30" i="4"/>
  <c r="DA30" i="4"/>
  <c r="DG30" i="4"/>
  <c r="DJ30" i="4"/>
  <c r="BU30" i="4"/>
  <c r="BV30" i="4"/>
  <c r="CB30" i="4"/>
  <c r="CX30" i="4"/>
  <c r="DD30" i="4"/>
  <c r="BW30" i="4"/>
  <c r="CC30" i="4"/>
  <c r="CY30" i="4"/>
  <c r="DE30" i="4"/>
  <c r="BX30" i="4"/>
  <c r="CZ30" i="4"/>
  <c r="DF30" i="4"/>
  <c r="DN30" i="4"/>
  <c r="DP30" i="4"/>
  <c r="DQ30" i="4"/>
  <c r="DD29" i="6"/>
  <c r="DE29" i="6"/>
  <c r="CG30" i="4"/>
  <c r="DH34" i="4"/>
  <c r="DJ7" i="6"/>
  <c r="DJ11" i="6"/>
  <c r="DQ17" i="6"/>
  <c r="DP31" i="6"/>
  <c r="P22" i="6"/>
  <c r="P23" i="6"/>
  <c r="P24" i="6"/>
  <c r="P25" i="6"/>
  <c r="P26" i="6"/>
  <c r="P27" i="6"/>
  <c r="P28" i="6"/>
  <c r="P29" i="6"/>
  <c r="P30" i="6"/>
  <c r="P31" i="6"/>
  <c r="DQ31" i="6"/>
  <c r="P32" i="6"/>
  <c r="DP32" i="6"/>
  <c r="P33" i="6"/>
  <c r="DQ33" i="6"/>
  <c r="P34" i="6"/>
  <c r="DN36" i="6"/>
  <c r="DD13" i="6"/>
  <c r="DE13" i="6"/>
  <c r="DN8" i="6"/>
  <c r="DN9" i="6"/>
  <c r="DP16" i="6"/>
  <c r="DN18" i="6"/>
  <c r="DQ19" i="6"/>
  <c r="DP20" i="6"/>
  <c r="DQ25" i="6"/>
  <c r="DJ34" i="6"/>
  <c r="DL13" i="6"/>
  <c r="DH13" i="6"/>
  <c r="DC13" i="6"/>
  <c r="DB13" i="6"/>
  <c r="DD14" i="6"/>
  <c r="DE14" i="6"/>
  <c r="DL34" i="4"/>
  <c r="BJ37" i="6"/>
  <c r="DJ8" i="6"/>
  <c r="DP10" i="6"/>
  <c r="DP12" i="6"/>
  <c r="DQ15" i="6"/>
  <c r="DN16" i="6"/>
  <c r="DJ18" i="6"/>
  <c r="DN20" i="6"/>
  <c r="DQ21" i="6"/>
  <c r="DQ23" i="6"/>
  <c r="DQ27" i="6"/>
  <c r="P35" i="6"/>
  <c r="P36" i="6"/>
  <c r="DQ36" i="6"/>
  <c r="P37" i="6"/>
  <c r="DB34" i="4"/>
  <c r="DD34" i="4"/>
  <c r="DE34" i="4"/>
  <c r="DC34" i="4"/>
  <c r="DP7" i="6"/>
  <c r="DP8" i="6"/>
  <c r="DN10" i="6"/>
  <c r="DP11" i="6"/>
  <c r="DN12" i="6"/>
  <c r="DP13" i="6"/>
  <c r="DQ13" i="6"/>
  <c r="DQ14" i="6"/>
  <c r="DP15" i="6"/>
  <c r="DJ16" i="6"/>
  <c r="DQ16" i="6"/>
  <c r="DJ20" i="6"/>
  <c r="DQ22" i="6"/>
  <c r="DN23" i="6"/>
  <c r="DP26" i="6"/>
  <c r="DQ26" i="6"/>
  <c r="DJ27" i="6"/>
  <c r="DN28" i="6"/>
  <c r="DP29" i="6"/>
  <c r="DQ29" i="6"/>
  <c r="DP30" i="6"/>
  <c r="DQ30" i="6"/>
  <c r="DQ34" i="6"/>
  <c r="P6" i="8"/>
  <c r="DQ6" i="8"/>
  <c r="P7" i="8"/>
  <c r="DN6" i="6"/>
  <c r="DP6" i="6"/>
  <c r="DN7" i="6"/>
  <c r="DP9" i="6"/>
  <c r="DJ10" i="6"/>
  <c r="DN11" i="6"/>
  <c r="DJ12" i="6"/>
  <c r="CB13" i="6"/>
  <c r="BV13" i="6"/>
  <c r="DA13" i="6"/>
  <c r="DG13" i="6"/>
  <c r="BW13" i="6"/>
  <c r="CC13" i="6"/>
  <c r="DJ13" i="6"/>
  <c r="BX13" i="6"/>
  <c r="CX13" i="6"/>
  <c r="BY13" i="6"/>
  <c r="CY13" i="6"/>
  <c r="BZ13" i="6"/>
  <c r="CZ13" i="6"/>
  <c r="DF13" i="6"/>
  <c r="DN13" i="6"/>
  <c r="DJ14" i="6"/>
  <c r="CX14" i="6"/>
  <c r="CB14" i="6"/>
  <c r="BV14" i="6"/>
  <c r="BW14" i="6"/>
  <c r="CC14" i="6"/>
  <c r="CY14" i="6"/>
  <c r="DN14" i="6"/>
  <c r="BX14" i="6"/>
  <c r="CZ14" i="6"/>
  <c r="DF14" i="6"/>
  <c r="DP14" i="6"/>
  <c r="BY14" i="6"/>
  <c r="DA14" i="6"/>
  <c r="DG14" i="6"/>
  <c r="BZ14" i="6"/>
  <c r="DG17" i="6"/>
  <c r="BW17" i="6"/>
  <c r="CC17" i="6"/>
  <c r="DJ17" i="6"/>
  <c r="BV17" i="6"/>
  <c r="CB17" i="6"/>
  <c r="DA17" i="6"/>
  <c r="BX17" i="6"/>
  <c r="BY17" i="6"/>
  <c r="CX17" i="6"/>
  <c r="DD17" i="6"/>
  <c r="BZ17" i="6"/>
  <c r="CY17" i="6"/>
  <c r="DE17" i="6"/>
  <c r="DN17" i="6"/>
  <c r="CZ17" i="6"/>
  <c r="DF17" i="6"/>
  <c r="DP17" i="6"/>
  <c r="DQ18" i="6"/>
  <c r="DP19" i="6"/>
  <c r="BW19" i="6"/>
  <c r="CC19" i="6"/>
  <c r="BV19" i="6"/>
  <c r="CB19" i="6"/>
  <c r="DA19" i="6"/>
  <c r="DG19" i="6"/>
  <c r="DN19" i="6"/>
  <c r="BX19" i="6"/>
  <c r="DJ19" i="6"/>
  <c r="BY19" i="6"/>
  <c r="CX19" i="6"/>
  <c r="DD19" i="6"/>
  <c r="BZ19" i="6"/>
  <c r="CY19" i="6"/>
  <c r="DE19" i="6"/>
  <c r="CZ19" i="6"/>
  <c r="DF19" i="6"/>
  <c r="BV22" i="6"/>
  <c r="CZ22" i="6"/>
  <c r="CB22" i="6"/>
  <c r="DF22" i="6"/>
  <c r="CY22" i="6"/>
  <c r="DE22" i="6"/>
  <c r="BW22" i="6"/>
  <c r="CC22" i="6"/>
  <c r="DA22" i="6"/>
  <c r="DG22" i="6"/>
  <c r="DN22" i="6"/>
  <c r="BX22" i="6"/>
  <c r="DP22" i="6"/>
  <c r="BY22" i="6"/>
  <c r="DJ22" i="6"/>
  <c r="BZ22" i="6"/>
  <c r="CX22" i="6"/>
  <c r="DD22" i="6"/>
  <c r="DJ23" i="6"/>
  <c r="DQ24" i="6"/>
  <c r="DJ25" i="6"/>
  <c r="DP28" i="6"/>
  <c r="DQ28" i="6"/>
  <c r="CH29" i="6"/>
  <c r="BW29" i="6"/>
  <c r="CC29" i="6"/>
  <c r="CY29" i="6"/>
  <c r="BU29" i="6"/>
  <c r="BV29" i="6"/>
  <c r="CB29" i="6"/>
  <c r="CX29" i="6"/>
  <c r="DJ29" i="6"/>
  <c r="BX29" i="6"/>
  <c r="CZ29" i="6"/>
  <c r="DF29" i="6"/>
  <c r="BY29" i="6"/>
  <c r="DA29" i="6"/>
  <c r="DG29" i="6"/>
  <c r="DN29" i="6"/>
  <c r="BZ29" i="6"/>
  <c r="BZ31" i="6"/>
  <c r="DG31" i="6"/>
  <c r="DA31" i="6"/>
  <c r="BV31" i="6"/>
  <c r="CC31" i="6"/>
  <c r="CB31" i="6"/>
  <c r="CZ31" i="6"/>
  <c r="DF31" i="6"/>
  <c r="DN31" i="6"/>
  <c r="BW31" i="6"/>
  <c r="BX31" i="6"/>
  <c r="DJ31" i="6"/>
  <c r="BY31" i="6"/>
  <c r="CX31" i="6"/>
  <c r="DD31" i="6"/>
  <c r="CY31" i="6"/>
  <c r="DE31" i="6"/>
  <c r="DQ32" i="6"/>
  <c r="BZ33" i="6"/>
  <c r="BW33" i="6"/>
  <c r="BV33" i="6"/>
  <c r="CC33" i="6"/>
  <c r="DA33" i="6"/>
  <c r="DG33" i="6"/>
  <c r="DP33" i="6"/>
  <c r="BX33" i="6"/>
  <c r="DJ33" i="6"/>
  <c r="BY33" i="6"/>
  <c r="CX33" i="6"/>
  <c r="DD33" i="6"/>
  <c r="CY33" i="6"/>
  <c r="DE33" i="6"/>
  <c r="CB33" i="6"/>
  <c r="CZ33" i="6"/>
  <c r="DF33" i="6"/>
  <c r="DN33" i="6"/>
  <c r="CH35" i="6"/>
  <c r="DJ35" i="6"/>
  <c r="BZ35" i="6"/>
  <c r="BU35" i="6"/>
  <c r="BV35" i="6"/>
  <c r="CB35" i="6"/>
  <c r="CX35" i="6"/>
  <c r="DD35" i="6"/>
  <c r="BW35" i="6"/>
  <c r="CC35" i="6"/>
  <c r="CY35" i="6"/>
  <c r="DE35" i="6"/>
  <c r="BX35" i="6"/>
  <c r="CZ35" i="6"/>
  <c r="DF35" i="6"/>
  <c r="DN35" i="6"/>
  <c r="BY35" i="6"/>
  <c r="DA35" i="6"/>
  <c r="DG35" i="6"/>
  <c r="DP35" i="6"/>
  <c r="DQ35" i="6"/>
  <c r="DP36" i="6"/>
  <c r="DJ6" i="6"/>
  <c r="BH37" i="6"/>
  <c r="BZ37" i="6"/>
  <c r="BY37" i="6"/>
  <c r="BW37" i="6"/>
  <c r="BX37" i="6"/>
  <c r="BV37" i="6"/>
  <c r="DF37" i="6"/>
  <c r="DD37" i="6"/>
  <c r="DE37" i="6"/>
  <c r="DA37" i="6"/>
  <c r="DG37" i="6"/>
  <c r="CB37" i="6"/>
  <c r="CX37" i="6"/>
  <c r="CC37" i="6"/>
  <c r="CY37" i="6"/>
  <c r="CZ37" i="6"/>
  <c r="P8" i="8"/>
  <c r="P9" i="8"/>
  <c r="P10" i="8"/>
  <c r="P11" i="8"/>
  <c r="P12" i="8"/>
  <c r="P13" i="8"/>
  <c r="P14" i="8"/>
  <c r="P15" i="8"/>
  <c r="DQ15" i="8"/>
  <c r="P16" i="8"/>
  <c r="DN18" i="8"/>
  <c r="DJ33" i="8"/>
  <c r="DL17" i="11"/>
  <c r="O19" i="11"/>
  <c r="DH19" i="11"/>
  <c r="DC19" i="11"/>
  <c r="DB19" i="11"/>
  <c r="DL19" i="11"/>
  <c r="O8" i="11"/>
  <c r="DH8" i="11"/>
  <c r="DC8" i="11"/>
  <c r="DB8" i="11"/>
  <c r="DL8" i="11"/>
  <c r="O16" i="11"/>
  <c r="DH16" i="11"/>
  <c r="DC16" i="11"/>
  <c r="DB16" i="11"/>
  <c r="DL16" i="11"/>
  <c r="O33" i="11"/>
  <c r="DH33" i="11"/>
  <c r="DC33" i="11"/>
  <c r="DB33" i="11"/>
  <c r="DL33" i="11"/>
  <c r="O21" i="11"/>
  <c r="DH21" i="11"/>
  <c r="DC21" i="11"/>
  <c r="DB21" i="11"/>
  <c r="DL21" i="11"/>
  <c r="DJ18" i="8"/>
  <c r="DP35" i="8"/>
  <c r="DL26" i="11"/>
  <c r="BH37" i="8"/>
  <c r="DQ7" i="8"/>
  <c r="DN16" i="8"/>
  <c r="DQ16" i="8"/>
  <c r="P17" i="8"/>
  <c r="P18" i="8"/>
  <c r="P19" i="8"/>
  <c r="P20" i="8"/>
  <c r="P21" i="8"/>
  <c r="P22" i="8"/>
  <c r="P23" i="8"/>
  <c r="P24" i="8"/>
  <c r="DP23" i="8"/>
  <c r="DQ23" i="8"/>
  <c r="DJ28" i="8"/>
  <c r="P25" i="8"/>
  <c r="P26" i="8"/>
  <c r="P27" i="8"/>
  <c r="P28" i="8"/>
  <c r="P29" i="8"/>
  <c r="P30" i="8"/>
  <c r="DQ30" i="8"/>
  <c r="P31" i="8"/>
  <c r="DP31" i="8"/>
  <c r="P32" i="8"/>
  <c r="DQ31" i="8"/>
  <c r="BJ37" i="8"/>
  <c r="O36" i="11"/>
  <c r="DH36" i="11"/>
  <c r="DC36" i="11"/>
  <c r="DB36" i="11"/>
  <c r="DL36" i="11"/>
  <c r="O15" i="11"/>
  <c r="DH15" i="11"/>
  <c r="DC15" i="11"/>
  <c r="DB15" i="11"/>
  <c r="DL15" i="11"/>
  <c r="DL20" i="11"/>
  <c r="CG35" i="6"/>
  <c r="DP10" i="8"/>
  <c r="DQ10" i="8"/>
  <c r="DN11" i="8"/>
  <c r="DQ11" i="8"/>
  <c r="DJ16" i="8"/>
  <c r="DP20" i="8"/>
  <c r="DJ21" i="8"/>
  <c r="DQ22" i="8"/>
  <c r="DP26" i="8"/>
  <c r="DQ26" i="8"/>
  <c r="DQ28" i="8"/>
  <c r="DP29" i="8"/>
  <c r="DQ29" i="8"/>
  <c r="DN30" i="8"/>
  <c r="DN31" i="8"/>
  <c r="DL29" i="11"/>
  <c r="DL11" i="14"/>
  <c r="O31" i="11"/>
  <c r="DH31" i="11"/>
  <c r="DC31" i="11"/>
  <c r="DB31" i="11"/>
  <c r="DL31" i="11"/>
  <c r="DL23" i="11"/>
  <c r="DP9" i="8"/>
  <c r="DQ9" i="8"/>
  <c r="DN10" i="8"/>
  <c r="DJ11" i="8"/>
  <c r="DQ13" i="8"/>
  <c r="DP18" i="8"/>
  <c r="DQ18" i="8"/>
  <c r="DQ19" i="8"/>
  <c r="DN20" i="8"/>
  <c r="DQ21" i="8"/>
  <c r="DP25" i="8"/>
  <c r="DQ25" i="8"/>
  <c r="DN26" i="8"/>
  <c r="DJ31" i="8"/>
  <c r="DP33" i="8"/>
  <c r="P33" i="8"/>
  <c r="P34" i="8"/>
  <c r="P35" i="8"/>
  <c r="DQ35" i="8"/>
  <c r="P36" i="8"/>
  <c r="DQ36" i="8"/>
  <c r="P37" i="8"/>
  <c r="DL27" i="11"/>
  <c r="DL9" i="11"/>
  <c r="O28" i="11"/>
  <c r="DH28" i="11"/>
  <c r="DC28" i="11"/>
  <c r="DB28" i="11"/>
  <c r="DL28" i="11"/>
  <c r="DL10" i="11"/>
  <c r="CG29" i="6"/>
  <c r="BZ6" i="8"/>
  <c r="CZ6" i="8"/>
  <c r="BX6" i="8"/>
  <c r="CB6" i="8"/>
  <c r="DF6" i="8"/>
  <c r="DJ6" i="8"/>
  <c r="BW6" i="8"/>
  <c r="CY6" i="8"/>
  <c r="DE6" i="8"/>
  <c r="BY6" i="8"/>
  <c r="DA6" i="8"/>
  <c r="DG6" i="8"/>
  <c r="DN6" i="8"/>
  <c r="DP6" i="8"/>
  <c r="BV6" i="8"/>
  <c r="CC6" i="8"/>
  <c r="CX6" i="8"/>
  <c r="DD6" i="8"/>
  <c r="DL7" i="8"/>
  <c r="DH7" i="8"/>
  <c r="BX7" i="8"/>
  <c r="DG7" i="8"/>
  <c r="CX7" i="8"/>
  <c r="DA7" i="8"/>
  <c r="DP7" i="8"/>
  <c r="DD7" i="8"/>
  <c r="BW7" i="8"/>
  <c r="CC7" i="8"/>
  <c r="CZ7" i="8"/>
  <c r="DF7" i="8"/>
  <c r="DN7" i="8"/>
  <c r="BY7" i="8"/>
  <c r="DB7" i="8"/>
  <c r="BZ7" i="8"/>
  <c r="DC7" i="8"/>
  <c r="DJ7" i="8"/>
  <c r="BV7" i="8"/>
  <c r="CB7" i="8"/>
  <c r="CY7" i="8"/>
  <c r="DE7" i="8"/>
  <c r="CH8" i="8"/>
  <c r="BX8" i="8"/>
  <c r="DJ8" i="8"/>
  <c r="BW8" i="8"/>
  <c r="CC8" i="8"/>
  <c r="BY8" i="8"/>
  <c r="CX8" i="8"/>
  <c r="DD8" i="8"/>
  <c r="BZ8" i="8"/>
  <c r="CY8" i="8"/>
  <c r="DE8" i="8"/>
  <c r="CZ8" i="8"/>
  <c r="DF8" i="8"/>
  <c r="DN8" i="8"/>
  <c r="BU8" i="8"/>
  <c r="BV8" i="8"/>
  <c r="CB8" i="8"/>
  <c r="DA8" i="8"/>
  <c r="DG8" i="8"/>
  <c r="DP8" i="8"/>
  <c r="DQ8" i="8"/>
  <c r="DJ10" i="8"/>
  <c r="DP11" i="8"/>
  <c r="BW12" i="8"/>
  <c r="CC12" i="8"/>
  <c r="CX12" i="8"/>
  <c r="BV12" i="8"/>
  <c r="CB12" i="8"/>
  <c r="DJ12" i="8"/>
  <c r="BX12" i="8"/>
  <c r="CY12" i="8"/>
  <c r="BY12" i="8"/>
  <c r="CZ12" i="8"/>
  <c r="DF12" i="8"/>
  <c r="DN12" i="8"/>
  <c r="BZ12" i="8"/>
  <c r="DA12" i="8"/>
  <c r="DG12" i="8"/>
  <c r="DP12" i="8"/>
  <c r="DQ12" i="8"/>
  <c r="CC13" i="8"/>
  <c r="BZ13" i="8"/>
  <c r="CX13" i="8"/>
  <c r="DD13" i="8"/>
  <c r="CY13" i="8"/>
  <c r="DE13" i="8"/>
  <c r="BV13" i="8"/>
  <c r="CB13" i="8"/>
  <c r="CZ13" i="8"/>
  <c r="DF13" i="8"/>
  <c r="DN13" i="8"/>
  <c r="BW13" i="8"/>
  <c r="DA13" i="8"/>
  <c r="DG13" i="8"/>
  <c r="DP13" i="8"/>
  <c r="BX13" i="8"/>
  <c r="BY13" i="8"/>
  <c r="DJ13" i="8"/>
  <c r="BW14" i="8"/>
  <c r="CC14" i="8"/>
  <c r="DJ14" i="8"/>
  <c r="BX14" i="8"/>
  <c r="CX14" i="8"/>
  <c r="DD14" i="8"/>
  <c r="BY14" i="8"/>
  <c r="CY14" i="8"/>
  <c r="DE14" i="8"/>
  <c r="BZ14" i="8"/>
  <c r="CZ14" i="8"/>
  <c r="DF14" i="8"/>
  <c r="DN14" i="8"/>
  <c r="DA14" i="8"/>
  <c r="DG14" i="8"/>
  <c r="DP14" i="8"/>
  <c r="BV14" i="8"/>
  <c r="CB14" i="8"/>
  <c r="DQ14" i="8"/>
  <c r="CH17" i="8"/>
  <c r="DJ17" i="8"/>
  <c r="BZ17" i="8"/>
  <c r="BV17" i="8"/>
  <c r="CC17" i="8"/>
  <c r="BW17" i="8"/>
  <c r="BX17" i="8"/>
  <c r="CX17" i="8"/>
  <c r="DD17" i="8"/>
  <c r="BY17" i="8"/>
  <c r="CY17" i="8"/>
  <c r="DE17" i="8"/>
  <c r="DN17" i="8"/>
  <c r="CZ17" i="8"/>
  <c r="DF17" i="8"/>
  <c r="DP17" i="8"/>
  <c r="CB17" i="8"/>
  <c r="DA17" i="8"/>
  <c r="DG17" i="8"/>
  <c r="DQ17" i="8"/>
  <c r="CX19" i="8"/>
  <c r="DD19" i="8"/>
  <c r="BV19" i="8"/>
  <c r="CB19" i="8"/>
  <c r="CY19" i="8"/>
  <c r="DE19" i="8"/>
  <c r="BW19" i="8"/>
  <c r="CC19" i="8"/>
  <c r="CZ19" i="8"/>
  <c r="DF19" i="8"/>
  <c r="DN19" i="8"/>
  <c r="BX19" i="8"/>
  <c r="DA19" i="8"/>
  <c r="DG19" i="8"/>
  <c r="DP19" i="8"/>
  <c r="BY19" i="8"/>
  <c r="BZ19" i="8"/>
  <c r="CH19" i="8"/>
  <c r="DJ19" i="8"/>
  <c r="DJ20" i="8"/>
  <c r="DQ20" i="8"/>
  <c r="DP22" i="8"/>
  <c r="CH23" i="8"/>
  <c r="BW23" i="8"/>
  <c r="CC23" i="8"/>
  <c r="CY23" i="8"/>
  <c r="DE23" i="8"/>
  <c r="BX23" i="8"/>
  <c r="CZ23" i="8"/>
  <c r="DF23" i="8"/>
  <c r="DN23" i="8"/>
  <c r="BY23" i="8"/>
  <c r="DA23" i="8"/>
  <c r="DG23" i="8"/>
  <c r="BZ23" i="8"/>
  <c r="DJ23" i="8"/>
  <c r="BU23" i="8"/>
  <c r="BV23" i="8"/>
  <c r="CB23" i="8"/>
  <c r="CX23" i="8"/>
  <c r="DD23" i="8"/>
  <c r="DJ24" i="8"/>
  <c r="BX24" i="8"/>
  <c r="DA24" i="8"/>
  <c r="DG24" i="8"/>
  <c r="BY24" i="8"/>
  <c r="BZ24" i="8"/>
  <c r="CX24" i="8"/>
  <c r="DD24" i="8"/>
  <c r="BV24" i="8"/>
  <c r="CB24" i="8"/>
  <c r="CY24" i="8"/>
  <c r="DE24" i="8"/>
  <c r="DN24" i="8"/>
  <c r="BW24" i="8"/>
  <c r="CC24" i="8"/>
  <c r="CZ24" i="8"/>
  <c r="DF24" i="8"/>
  <c r="DP24" i="8"/>
  <c r="DQ24" i="8"/>
  <c r="DJ26" i="8"/>
  <c r="CC27" i="8"/>
  <c r="BY27" i="8"/>
  <c r="BZ27" i="8"/>
  <c r="DJ27" i="8"/>
  <c r="CX27" i="8"/>
  <c r="DD27" i="8"/>
  <c r="BV27" i="8"/>
  <c r="CB27" i="8"/>
  <c r="CY27" i="8"/>
  <c r="DE27" i="8"/>
  <c r="BW27" i="8"/>
  <c r="CZ27" i="8"/>
  <c r="DF27" i="8"/>
  <c r="DN27" i="8"/>
  <c r="BX27" i="8"/>
  <c r="DA27" i="8"/>
  <c r="DG27" i="8"/>
  <c r="DP27" i="8"/>
  <c r="DQ27" i="8"/>
  <c r="CX29" i="8"/>
  <c r="DD29" i="8"/>
  <c r="BV29" i="8"/>
  <c r="CB29" i="8"/>
  <c r="CY29" i="8"/>
  <c r="DE29" i="8"/>
  <c r="BW29" i="8"/>
  <c r="CC29" i="8"/>
  <c r="CZ29" i="8"/>
  <c r="DF29" i="8"/>
  <c r="DN29" i="8"/>
  <c r="BX29" i="8"/>
  <c r="DA29" i="8"/>
  <c r="DG29" i="8"/>
  <c r="BY29" i="8"/>
  <c r="BZ29" i="8"/>
  <c r="DJ29" i="8"/>
  <c r="CH32" i="8"/>
  <c r="BV32" i="8"/>
  <c r="CB32" i="8"/>
  <c r="DJ32" i="8"/>
  <c r="BW32" i="8"/>
  <c r="CC32" i="8"/>
  <c r="CX32" i="8"/>
  <c r="DD32" i="8"/>
  <c r="BX32" i="8"/>
  <c r="CY32" i="8"/>
  <c r="DE32" i="8"/>
  <c r="BY32" i="8"/>
  <c r="CZ32" i="8"/>
  <c r="DF32" i="8"/>
  <c r="DN32" i="8"/>
  <c r="BZ32" i="8"/>
  <c r="DA32" i="8"/>
  <c r="DG32" i="8"/>
  <c r="DP32" i="8"/>
  <c r="DQ32" i="8"/>
  <c r="DN33" i="8"/>
  <c r="DQ33" i="8"/>
  <c r="BZ34" i="8"/>
  <c r="DA34" i="8"/>
  <c r="DG34" i="8"/>
  <c r="DP34" i="8"/>
  <c r="BV34" i="8"/>
  <c r="CB34" i="8"/>
  <c r="DJ34" i="8"/>
  <c r="BW34" i="8"/>
  <c r="CC34" i="8"/>
  <c r="CX34" i="8"/>
  <c r="DD34" i="8"/>
  <c r="BX34" i="8"/>
  <c r="CY34" i="8"/>
  <c r="DE34" i="8"/>
  <c r="BY34" i="8"/>
  <c r="CZ34" i="8"/>
  <c r="DF34" i="8"/>
  <c r="DN34" i="8"/>
  <c r="DQ34" i="8"/>
  <c r="BX36" i="8"/>
  <c r="DP36" i="8"/>
  <c r="BY36" i="8"/>
  <c r="CX36" i="8"/>
  <c r="DD36" i="8"/>
  <c r="DJ36" i="8"/>
  <c r="BZ36" i="8"/>
  <c r="CY36" i="8"/>
  <c r="DE36" i="8"/>
  <c r="CZ36" i="8"/>
  <c r="DF36" i="8"/>
  <c r="BV36" i="8"/>
  <c r="CB36" i="8"/>
  <c r="DA36" i="8"/>
  <c r="DG36" i="8"/>
  <c r="BW36" i="8"/>
  <c r="CC36" i="8"/>
  <c r="DN36" i="8"/>
  <c r="O22" i="11"/>
  <c r="DH22" i="11"/>
  <c r="DC22" i="11"/>
  <c r="DB22" i="11"/>
  <c r="DL22" i="11"/>
  <c r="DL12" i="14"/>
  <c r="DL12" i="11"/>
  <c r="DL14" i="11"/>
  <c r="CG18" i="11"/>
  <c r="BU18" i="11"/>
  <c r="O18" i="11"/>
  <c r="CH18" i="11"/>
  <c r="O6" i="11"/>
  <c r="DH6" i="11"/>
  <c r="DC6" i="11"/>
  <c r="DB6" i="11"/>
  <c r="DL6" i="11"/>
  <c r="DJ23" i="11"/>
  <c r="DN11" i="11"/>
  <c r="BU22" i="11"/>
  <c r="CH22" i="11"/>
  <c r="DL25" i="11"/>
  <c r="BM6" i="14"/>
  <c r="BM7" i="14"/>
  <c r="BM8" i="14"/>
  <c r="BM9" i="14"/>
  <c r="BM10" i="14"/>
  <c r="BM11" i="14"/>
  <c r="BM12" i="14"/>
  <c r="BM13" i="14"/>
  <c r="BM14" i="14"/>
  <c r="BM15" i="14"/>
  <c r="BM16" i="14"/>
  <c r="BM17" i="14"/>
  <c r="BM18" i="14"/>
  <c r="BM19" i="14"/>
  <c r="BM20" i="14"/>
  <c r="BM21" i="14"/>
  <c r="BM22" i="14"/>
  <c r="BM23" i="14"/>
  <c r="BM24" i="14"/>
  <c r="BM25" i="14"/>
  <c r="BM26" i="14"/>
  <c r="BM27" i="14"/>
  <c r="BM28" i="14"/>
  <c r="BM29" i="14"/>
  <c r="BM30" i="14"/>
  <c r="BM31" i="14"/>
  <c r="BM32" i="14"/>
  <c r="BM33" i="14"/>
  <c r="BM34" i="14"/>
  <c r="BM35" i="14"/>
  <c r="BM36" i="14"/>
  <c r="BM37" i="14"/>
  <c r="CG36" i="11"/>
  <c r="CF36" i="11"/>
  <c r="BU36" i="11"/>
  <c r="CH36" i="11"/>
  <c r="CE36" i="11"/>
  <c r="DL34" i="11"/>
  <c r="CG21" i="11"/>
  <c r="BU21" i="11"/>
  <c r="CH21" i="11"/>
  <c r="DL13" i="11"/>
  <c r="CG28" i="11"/>
  <c r="CF28" i="11"/>
  <c r="BU28" i="11"/>
  <c r="CH28" i="11"/>
  <c r="DL11" i="11"/>
  <c r="DL7" i="11"/>
  <c r="DL10" i="14"/>
  <c r="DL24" i="11"/>
  <c r="BU25" i="14"/>
  <c r="CH25" i="14"/>
  <c r="DL30" i="11"/>
  <c r="BU19" i="11"/>
  <c r="CH19" i="11"/>
  <c r="DJ11" i="11"/>
  <c r="DL9" i="14"/>
  <c r="CH27" i="14"/>
  <c r="DC37" i="17"/>
  <c r="DC31" i="17"/>
  <c r="DB37" i="17"/>
  <c r="DB31" i="17"/>
  <c r="DD31" i="17"/>
  <c r="DE31" i="17"/>
  <c r="BU31" i="14"/>
  <c r="CH31" i="14"/>
  <c r="DN14" i="11"/>
  <c r="DN7" i="11"/>
  <c r="DJ20" i="11"/>
  <c r="DP10" i="11"/>
  <c r="DN33" i="14"/>
  <c r="DL8" i="14"/>
  <c r="BU13" i="14"/>
  <c r="CH13" i="14"/>
  <c r="DN20" i="11"/>
  <c r="DP33" i="14"/>
  <c r="AD37" i="17"/>
  <c r="AT37" i="14"/>
  <c r="DN12" i="11"/>
  <c r="AD37" i="14"/>
  <c r="DN10" i="11"/>
  <c r="DL32" i="11"/>
  <c r="CH7" i="14"/>
  <c r="CH18" i="14"/>
  <c r="DN9" i="11"/>
  <c r="DP12" i="11"/>
  <c r="AL37" i="11"/>
  <c r="CP37" i="11"/>
  <c r="DH37" i="8"/>
  <c r="DC37" i="8"/>
  <c r="DB37" i="8"/>
  <c r="DL37" i="8"/>
  <c r="DP14" i="11"/>
  <c r="CG8" i="8"/>
  <c r="CG32" i="8"/>
  <c r="DJ12" i="11"/>
  <c r="DN25" i="11"/>
  <c r="DP6" i="11"/>
  <c r="P6" i="11"/>
  <c r="DQ6" i="11"/>
  <c r="P7" i="11"/>
  <c r="DJ9" i="11"/>
  <c r="DJ10" i="11"/>
  <c r="DJ29" i="11"/>
  <c r="DP7" i="11"/>
  <c r="DJ13" i="11"/>
  <c r="DP23" i="11"/>
  <c r="DJ7" i="11"/>
  <c r="DN13" i="11"/>
  <c r="P8" i="11"/>
  <c r="P9" i="11"/>
  <c r="P10" i="11"/>
  <c r="DQ10" i="11"/>
  <c r="P11" i="11"/>
  <c r="P12" i="11"/>
  <c r="DQ11" i="11"/>
  <c r="DP13" i="11"/>
  <c r="DP8" i="11"/>
  <c r="DQ8" i="11"/>
  <c r="DJ6" i="11"/>
  <c r="BZ6" i="11"/>
  <c r="DN6" i="11"/>
  <c r="CY6" i="11"/>
  <c r="DE6" i="11"/>
  <c r="DA6" i="11"/>
  <c r="CZ6" i="11"/>
  <c r="BV6" i="11"/>
  <c r="BW6" i="11"/>
  <c r="CB6" i="11"/>
  <c r="DF6" i="11"/>
  <c r="BX6" i="11"/>
  <c r="CC6" i="11"/>
  <c r="DG6" i="11"/>
  <c r="BY6" i="11"/>
  <c r="CX6" i="11"/>
  <c r="DD6" i="11"/>
  <c r="DQ7" i="11"/>
  <c r="CH8" i="11"/>
  <c r="BZ8" i="11"/>
  <c r="CB8" i="11"/>
  <c r="DN8" i="11"/>
  <c r="BV8" i="11"/>
  <c r="CY8" i="11"/>
  <c r="DE8" i="11"/>
  <c r="CZ8" i="11"/>
  <c r="DA8" i="11"/>
  <c r="BW8" i="11"/>
  <c r="CC8" i="11"/>
  <c r="DG8" i="11"/>
  <c r="BX8" i="11"/>
  <c r="DJ8" i="11"/>
  <c r="DF8" i="11"/>
  <c r="BY8" i="11"/>
  <c r="CX8" i="11"/>
  <c r="DD8" i="11"/>
  <c r="DQ9" i="11"/>
  <c r="DP11" i="11"/>
  <c r="P13" i="11"/>
  <c r="DQ12" i="11"/>
  <c r="DQ13" i="11"/>
  <c r="P14" i="11"/>
  <c r="DP20" i="11"/>
  <c r="DN23" i="11"/>
  <c r="DN29" i="11"/>
  <c r="DJ32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DQ36" i="11"/>
  <c r="P37" i="11"/>
  <c r="BU23" i="14"/>
  <c r="DJ14" i="11"/>
  <c r="DP19" i="11"/>
  <c r="DQ19" i="11"/>
  <c r="DJ25" i="11"/>
  <c r="CH37" i="14"/>
  <c r="BM6" i="17"/>
  <c r="BM7" i="17"/>
  <c r="DQ7" i="17"/>
  <c r="DH7" i="14"/>
  <c r="DC7" i="14"/>
  <c r="DB7" i="14"/>
  <c r="DL7" i="14"/>
  <c r="DP17" i="11"/>
  <c r="DQ17" i="11"/>
  <c r="CP18" i="11"/>
  <c r="DP18" i="11"/>
  <c r="DQ18" i="11"/>
  <c r="DP24" i="11"/>
  <c r="DQ24" i="11"/>
  <c r="DP25" i="11"/>
  <c r="DP26" i="11"/>
  <c r="DP27" i="11"/>
  <c r="DN27" i="11"/>
  <c r="DQ27" i="11"/>
  <c r="DQ29" i="11"/>
  <c r="DN30" i="11"/>
  <c r="DN34" i="11"/>
  <c r="CG6" i="14"/>
  <c r="CF6" i="14"/>
  <c r="DD6" i="14"/>
  <c r="DE6" i="14"/>
  <c r="CH6" i="14"/>
  <c r="CE6" i="14"/>
  <c r="CD6" i="14"/>
  <c r="DQ14" i="11"/>
  <c r="DN17" i="11"/>
  <c r="DQ23" i="11"/>
  <c r="DN24" i="11"/>
  <c r="DQ25" i="11"/>
  <c r="DN26" i="11"/>
  <c r="DQ26" i="11"/>
  <c r="DJ27" i="11"/>
  <c r="DJ30" i="11"/>
  <c r="DP32" i="11"/>
  <c r="DQ32" i="11"/>
  <c r="DQ33" i="11"/>
  <c r="DJ34" i="11"/>
  <c r="DQ34" i="11"/>
  <c r="DQ35" i="11"/>
  <c r="DJ15" i="11"/>
  <c r="BZ15" i="11"/>
  <c r="DN15" i="11"/>
  <c r="CX15" i="11"/>
  <c r="DD15" i="11"/>
  <c r="BW15" i="11"/>
  <c r="BV15" i="11"/>
  <c r="CC15" i="11"/>
  <c r="BX15" i="11"/>
  <c r="CY15" i="11"/>
  <c r="DE15" i="11"/>
  <c r="DP15" i="11"/>
  <c r="BY15" i="11"/>
  <c r="CZ15" i="11"/>
  <c r="DF15" i="11"/>
  <c r="DG15" i="11"/>
  <c r="DA15" i="11"/>
  <c r="CB15" i="11"/>
  <c r="DQ15" i="11"/>
  <c r="BZ16" i="11"/>
  <c r="BX16" i="11"/>
  <c r="DD16" i="11"/>
  <c r="CX16" i="11"/>
  <c r="BW16" i="11"/>
  <c r="DJ16" i="11"/>
  <c r="BY16" i="11"/>
  <c r="CY16" i="11"/>
  <c r="DE16" i="11"/>
  <c r="CZ16" i="11"/>
  <c r="DF16" i="11"/>
  <c r="DN16" i="11"/>
  <c r="CB16" i="11"/>
  <c r="DA16" i="11"/>
  <c r="DG16" i="11"/>
  <c r="DP16" i="11"/>
  <c r="BV16" i="11"/>
  <c r="CC16" i="11"/>
  <c r="DQ16" i="11"/>
  <c r="DJ17" i="11"/>
  <c r="DL18" i="11"/>
  <c r="DH18" i="11"/>
  <c r="CC18" i="11"/>
  <c r="CX18" i="11"/>
  <c r="DE18" i="11"/>
  <c r="BY18" i="11"/>
  <c r="BX18" i="11"/>
  <c r="DD18" i="11"/>
  <c r="BZ18" i="11"/>
  <c r="CY18" i="11"/>
  <c r="DF18" i="11"/>
  <c r="DN18" i="11"/>
  <c r="CZ18" i="11"/>
  <c r="DA18" i="11"/>
  <c r="DG18" i="11"/>
  <c r="BV18" i="11"/>
  <c r="CB18" i="11"/>
  <c r="DB18" i="11"/>
  <c r="BW18" i="11"/>
  <c r="DC18" i="11"/>
  <c r="DJ18" i="11"/>
  <c r="DF19" i="11"/>
  <c r="BY19" i="11"/>
  <c r="DN19" i="11"/>
  <c r="CZ19" i="11"/>
  <c r="BX19" i="11"/>
  <c r="CY19" i="11"/>
  <c r="DE19" i="11"/>
  <c r="BZ19" i="11"/>
  <c r="DA19" i="11"/>
  <c r="DG19" i="11"/>
  <c r="BV19" i="11"/>
  <c r="CB19" i="11"/>
  <c r="DJ19" i="11"/>
  <c r="BW19" i="11"/>
  <c r="CC19" i="11"/>
  <c r="CX19" i="11"/>
  <c r="DD19" i="11"/>
  <c r="DQ20" i="11"/>
  <c r="DJ21" i="11"/>
  <c r="CB21" i="11"/>
  <c r="BV21" i="11"/>
  <c r="DA21" i="11"/>
  <c r="DG21" i="11"/>
  <c r="BW21" i="11"/>
  <c r="CC21" i="11"/>
  <c r="BX21" i="11"/>
  <c r="CX21" i="11"/>
  <c r="DD21" i="11"/>
  <c r="BY21" i="11"/>
  <c r="CY21" i="11"/>
  <c r="DE21" i="11"/>
  <c r="DN21" i="11"/>
  <c r="BZ21" i="11"/>
  <c r="CZ21" i="11"/>
  <c r="DF21" i="11"/>
  <c r="DP21" i="11"/>
  <c r="DQ21" i="11"/>
  <c r="DG22" i="11"/>
  <c r="BW22" i="11"/>
  <c r="CC22" i="11"/>
  <c r="DA22" i="11"/>
  <c r="BV22" i="11"/>
  <c r="CB22" i="11"/>
  <c r="CZ22" i="11"/>
  <c r="DF22" i="11"/>
  <c r="DN22" i="11"/>
  <c r="BX22" i="11"/>
  <c r="BY22" i="11"/>
  <c r="DJ22" i="11"/>
  <c r="BZ22" i="11"/>
  <c r="CX22" i="11"/>
  <c r="DD22" i="11"/>
  <c r="CY22" i="11"/>
  <c r="DE22" i="11"/>
  <c r="DP22" i="11"/>
  <c r="DQ22" i="11"/>
  <c r="DJ24" i="11"/>
  <c r="DJ26" i="11"/>
  <c r="CC28" i="11"/>
  <c r="CX28" i="11"/>
  <c r="DD28" i="11"/>
  <c r="BZ28" i="11"/>
  <c r="DJ28" i="11"/>
  <c r="BV28" i="11"/>
  <c r="CB28" i="11"/>
  <c r="CY28" i="11"/>
  <c r="DE28" i="11"/>
  <c r="BW28" i="11"/>
  <c r="CZ28" i="11"/>
  <c r="DF28" i="11"/>
  <c r="DN28" i="11"/>
  <c r="BX28" i="11"/>
  <c r="DA28" i="11"/>
  <c r="DG28" i="11"/>
  <c r="DP28" i="11"/>
  <c r="BY28" i="11"/>
  <c r="DQ28" i="11"/>
  <c r="DP29" i="11"/>
  <c r="DP30" i="11"/>
  <c r="DQ30" i="11"/>
  <c r="BX31" i="11"/>
  <c r="DJ31" i="11"/>
  <c r="BY31" i="11"/>
  <c r="CX31" i="11"/>
  <c r="DD31" i="11"/>
  <c r="BZ31" i="11"/>
  <c r="CY31" i="11"/>
  <c r="DE31" i="11"/>
  <c r="CZ31" i="11"/>
  <c r="DF31" i="11"/>
  <c r="DN31" i="11"/>
  <c r="BV31" i="11"/>
  <c r="CB31" i="11"/>
  <c r="DA31" i="11"/>
  <c r="DG31" i="11"/>
  <c r="DP31" i="11"/>
  <c r="BW31" i="11"/>
  <c r="CC31" i="11"/>
  <c r="DQ31" i="11"/>
  <c r="DN32" i="11"/>
  <c r="BY33" i="11"/>
  <c r="CX33" i="11"/>
  <c r="DD33" i="11"/>
  <c r="BZ33" i="11"/>
  <c r="CY33" i="11"/>
  <c r="DE33" i="11"/>
  <c r="CZ33" i="11"/>
  <c r="DF33" i="11"/>
  <c r="DN33" i="11"/>
  <c r="BV33" i="11"/>
  <c r="CB33" i="11"/>
  <c r="DA33" i="11"/>
  <c r="DG33" i="11"/>
  <c r="DP33" i="11"/>
  <c r="BW33" i="11"/>
  <c r="CC33" i="11"/>
  <c r="BX33" i="11"/>
  <c r="DJ33" i="11"/>
  <c r="DP34" i="11"/>
  <c r="DL35" i="11"/>
  <c r="DN35" i="11"/>
  <c r="DJ35" i="11"/>
  <c r="DP35" i="11"/>
  <c r="BV35" i="11"/>
  <c r="CB35" i="11"/>
  <c r="DA35" i="11"/>
  <c r="DG35" i="11"/>
  <c r="BW35" i="11"/>
  <c r="CC35" i="11"/>
  <c r="BX35" i="11"/>
  <c r="BY35" i="11"/>
  <c r="CX35" i="11"/>
  <c r="DD35" i="11"/>
  <c r="BZ35" i="11"/>
  <c r="CH35" i="11"/>
  <c r="CY35" i="11"/>
  <c r="DE35" i="11"/>
  <c r="CZ35" i="11"/>
  <c r="DF35" i="11"/>
  <c r="BZ36" i="11"/>
  <c r="DJ36" i="11"/>
  <c r="CX36" i="11"/>
  <c r="DD36" i="11"/>
  <c r="BV36" i="11"/>
  <c r="CB36" i="11"/>
  <c r="CY36" i="11"/>
  <c r="DE36" i="11"/>
  <c r="BW36" i="11"/>
  <c r="CC36" i="11"/>
  <c r="CZ36" i="11"/>
  <c r="DF36" i="11"/>
  <c r="DN36" i="11"/>
  <c r="BX36" i="11"/>
  <c r="DA36" i="11"/>
  <c r="DG36" i="11"/>
  <c r="DP36" i="11"/>
  <c r="BY36" i="11"/>
  <c r="BM6" i="20"/>
  <c r="BM7" i="20"/>
  <c r="BM8" i="20"/>
  <c r="BM9" i="20"/>
  <c r="BM10" i="20"/>
  <c r="DN9" i="14"/>
  <c r="P6" i="14"/>
  <c r="P7" i="14"/>
  <c r="P8" i="14"/>
  <c r="DQ8" i="14"/>
  <c r="P9" i="14"/>
  <c r="DP11" i="14"/>
  <c r="DJ20" i="14"/>
  <c r="DJ29" i="14"/>
  <c r="DN8" i="14"/>
  <c r="DJ9" i="14"/>
  <c r="DJ11" i="14"/>
  <c r="DJ32" i="14"/>
  <c r="DN32" i="14"/>
  <c r="BH37" i="14"/>
  <c r="DP6" i="14"/>
  <c r="DN6" i="14"/>
  <c r="DQ6" i="14"/>
  <c r="DN11" i="14"/>
  <c r="DJ8" i="14"/>
  <c r="DP9" i="14"/>
  <c r="DP10" i="14"/>
  <c r="CC32" i="14"/>
  <c r="CE32" i="14"/>
  <c r="DQ6" i="17"/>
  <c r="DQ7" i="14"/>
  <c r="P10" i="14"/>
  <c r="DQ9" i="14"/>
  <c r="DN10" i="14"/>
  <c r="DJ12" i="14"/>
  <c r="P11" i="14"/>
  <c r="P12" i="14"/>
  <c r="P13" i="14"/>
  <c r="P14" i="14"/>
  <c r="P15" i="14"/>
  <c r="P16" i="14"/>
  <c r="P17" i="14"/>
  <c r="P18" i="14"/>
  <c r="P19" i="14"/>
  <c r="P20" i="14"/>
  <c r="DQ20" i="14"/>
  <c r="P21" i="14"/>
  <c r="DJ22" i="14"/>
  <c r="DJ34" i="14"/>
  <c r="BM8" i="17"/>
  <c r="BM9" i="17"/>
  <c r="BM10" i="17"/>
  <c r="BM11" i="17"/>
  <c r="BM12" i="17"/>
  <c r="BM13" i="17"/>
  <c r="BM14" i="17"/>
  <c r="BM15" i="17"/>
  <c r="BM16" i="17"/>
  <c r="BM17" i="17"/>
  <c r="BM18" i="17"/>
  <c r="BM19" i="17"/>
  <c r="BM20" i="17"/>
  <c r="BM21" i="17"/>
  <c r="BM22" i="17"/>
  <c r="BM23" i="17"/>
  <c r="BM24" i="17"/>
  <c r="BM25" i="17"/>
  <c r="BM26" i="17"/>
  <c r="BM27" i="17"/>
  <c r="BM28" i="17"/>
  <c r="BM29" i="17"/>
  <c r="BM30" i="17"/>
  <c r="BM31" i="17"/>
  <c r="BM32" i="17"/>
  <c r="BM33" i="17"/>
  <c r="BM34" i="17"/>
  <c r="BM35" i="17"/>
  <c r="BM36" i="17"/>
  <c r="BM37" i="17"/>
  <c r="DP8" i="14"/>
  <c r="BZ7" i="14"/>
  <c r="DE7" i="14"/>
  <c r="CX7" i="14"/>
  <c r="DD7" i="14"/>
  <c r="DJ7" i="14"/>
  <c r="BV7" i="14"/>
  <c r="CC7" i="14"/>
  <c r="CZ7" i="14"/>
  <c r="DF7" i="14"/>
  <c r="CY7" i="14"/>
  <c r="BW7" i="14"/>
  <c r="DA7" i="14"/>
  <c r="DG7" i="14"/>
  <c r="DN7" i="14"/>
  <c r="BX7" i="14"/>
  <c r="DP7" i="14"/>
  <c r="CB7" i="14"/>
  <c r="BY7" i="14"/>
  <c r="DJ10" i="14"/>
  <c r="DQ10" i="14"/>
  <c r="DQ11" i="14"/>
  <c r="P22" i="14"/>
  <c r="P23" i="14"/>
  <c r="P24" i="14"/>
  <c r="P25" i="14"/>
  <c r="P26" i="14"/>
  <c r="P27" i="14"/>
  <c r="P28" i="14"/>
  <c r="DQ28" i="14"/>
  <c r="P29" i="14"/>
  <c r="DN12" i="14"/>
  <c r="DJ15" i="14"/>
  <c r="DN20" i="14"/>
  <c r="DN22" i="14"/>
  <c r="DN29" i="14"/>
  <c r="P30" i="14"/>
  <c r="P31" i="14"/>
  <c r="DQ31" i="14"/>
  <c r="P32" i="14"/>
  <c r="CB32" i="14"/>
  <c r="CD32" i="14"/>
  <c r="DN34" i="14"/>
  <c r="P33" i="14"/>
  <c r="P34" i="14"/>
  <c r="P35" i="14"/>
  <c r="DQ34" i="14"/>
  <c r="DJ6" i="14"/>
  <c r="DH6" i="14"/>
  <c r="DL6" i="14"/>
  <c r="BX6" i="14"/>
  <c r="DA6" i="14"/>
  <c r="BZ6" i="14"/>
  <c r="DC6" i="14"/>
  <c r="DB6" i="14"/>
  <c r="CX6" i="14"/>
  <c r="BV6" i="14"/>
  <c r="CB6" i="14"/>
  <c r="CY6" i="14"/>
  <c r="DF6" i="14"/>
  <c r="BY6" i="14"/>
  <c r="BW6" i="14"/>
  <c r="CC6" i="14"/>
  <c r="CZ6" i="14"/>
  <c r="DG6" i="14"/>
  <c r="DQ33" i="14"/>
  <c r="FH71" i="20"/>
  <c r="DN14" i="14"/>
  <c r="DN16" i="14"/>
  <c r="DP17" i="14"/>
  <c r="DP19" i="14"/>
  <c r="DN21" i="14"/>
  <c r="DQ22" i="14"/>
  <c r="DN26" i="14"/>
  <c r="DQ29" i="14"/>
  <c r="DP32" i="14"/>
  <c r="DQ32" i="14"/>
  <c r="DP35" i="14"/>
  <c r="DQ13" i="14"/>
  <c r="DJ14" i="14"/>
  <c r="DQ14" i="14"/>
  <c r="DP15" i="14"/>
  <c r="DQ15" i="14"/>
  <c r="DJ16" i="14"/>
  <c r="DQ16" i="14"/>
  <c r="DN17" i="14"/>
  <c r="DQ17" i="14"/>
  <c r="DQ18" i="14"/>
  <c r="DN19" i="14"/>
  <c r="DJ21" i="14"/>
  <c r="DJ26" i="14"/>
  <c r="DQ26" i="14"/>
  <c r="DQ27" i="14"/>
  <c r="DJ33" i="14"/>
  <c r="DN35" i="14"/>
  <c r="DP12" i="14"/>
  <c r="DQ12" i="14"/>
  <c r="BZ13" i="14"/>
  <c r="CZ13" i="14"/>
  <c r="BY13" i="14"/>
  <c r="DA13" i="14"/>
  <c r="DN13" i="14"/>
  <c r="DF13" i="14"/>
  <c r="DG13" i="14"/>
  <c r="BX13" i="14"/>
  <c r="CY13" i="14"/>
  <c r="DE13" i="14"/>
  <c r="DP13" i="14"/>
  <c r="BV13" i="14"/>
  <c r="CB13" i="14"/>
  <c r="DJ13" i="14"/>
  <c r="BW13" i="14"/>
  <c r="CC13" i="14"/>
  <c r="CX13" i="14"/>
  <c r="DD13" i="14"/>
  <c r="DP14" i="14"/>
  <c r="DN15" i="14"/>
  <c r="DP16" i="14"/>
  <c r="DJ17" i="14"/>
  <c r="BZ18" i="14"/>
  <c r="CC18" i="14"/>
  <c r="CY18" i="14"/>
  <c r="CZ18" i="14"/>
  <c r="DN18" i="14"/>
  <c r="CB18" i="14"/>
  <c r="DE18" i="14"/>
  <c r="BV18" i="14"/>
  <c r="DF18" i="14"/>
  <c r="CX18" i="14"/>
  <c r="DD18" i="14"/>
  <c r="BW18" i="14"/>
  <c r="DA18" i="14"/>
  <c r="DG18" i="14"/>
  <c r="DP18" i="14"/>
  <c r="BX18" i="14"/>
  <c r="BY18" i="14"/>
  <c r="DJ18" i="14"/>
  <c r="DJ19" i="14"/>
  <c r="DQ19" i="14"/>
  <c r="DP20" i="14"/>
  <c r="DP21" i="14"/>
  <c r="DQ21" i="14"/>
  <c r="DP22" i="14"/>
  <c r="CX23" i="14"/>
  <c r="DD23" i="14"/>
  <c r="CB23" i="14"/>
  <c r="CY23" i="14"/>
  <c r="DE23" i="14"/>
  <c r="BV23" i="14"/>
  <c r="BZ23" i="14"/>
  <c r="DJ23" i="14"/>
  <c r="BW23" i="14"/>
  <c r="CC23" i="14"/>
  <c r="CZ23" i="14"/>
  <c r="DF23" i="14"/>
  <c r="DN23" i="14"/>
  <c r="BX23" i="14"/>
  <c r="DA23" i="14"/>
  <c r="DG23" i="14"/>
  <c r="DP23" i="14"/>
  <c r="BY23" i="14"/>
  <c r="DQ23" i="14"/>
  <c r="BZ24" i="14"/>
  <c r="CC24" i="14"/>
  <c r="DA24" i="14"/>
  <c r="DP24" i="14"/>
  <c r="BV24" i="14"/>
  <c r="DG24" i="14"/>
  <c r="BW24" i="14"/>
  <c r="CB24" i="14"/>
  <c r="CZ24" i="14"/>
  <c r="DF24" i="14"/>
  <c r="DN24" i="14"/>
  <c r="BX24" i="14"/>
  <c r="DJ24" i="14"/>
  <c r="BY24" i="14"/>
  <c r="CX24" i="14"/>
  <c r="DD24" i="14"/>
  <c r="CY24" i="14"/>
  <c r="DE24" i="14"/>
  <c r="DQ24" i="14"/>
  <c r="DJ25" i="14"/>
  <c r="CC25" i="14"/>
  <c r="BW25" i="14"/>
  <c r="BX25" i="14"/>
  <c r="BV25" i="14"/>
  <c r="CB25" i="14"/>
  <c r="DA25" i="14"/>
  <c r="DG25" i="14"/>
  <c r="DP25" i="14"/>
  <c r="BY25" i="14"/>
  <c r="CX25" i="14"/>
  <c r="DD25" i="14"/>
  <c r="BZ25" i="14"/>
  <c r="CY25" i="14"/>
  <c r="DE25" i="14"/>
  <c r="CZ25" i="14"/>
  <c r="DF25" i="14"/>
  <c r="DN25" i="14"/>
  <c r="DQ25" i="14"/>
  <c r="DP26" i="14"/>
  <c r="DJ27" i="14"/>
  <c r="CY27" i="14"/>
  <c r="CZ27" i="14"/>
  <c r="DN27" i="14"/>
  <c r="BV27" i="14"/>
  <c r="DE27" i="14"/>
  <c r="DP27" i="14"/>
  <c r="DF27" i="14"/>
  <c r="CB27" i="14"/>
  <c r="BZ27" i="14"/>
  <c r="CX27" i="14"/>
  <c r="DD27" i="14"/>
  <c r="BW27" i="14"/>
  <c r="CC27" i="14"/>
  <c r="DA27" i="14"/>
  <c r="DG27" i="14"/>
  <c r="BX27" i="14"/>
  <c r="BY27" i="14"/>
  <c r="BZ28" i="14"/>
  <c r="CH28" i="14"/>
  <c r="BX28" i="14"/>
  <c r="BY28" i="14"/>
  <c r="DA28" i="14"/>
  <c r="DP28" i="14"/>
  <c r="DG28" i="14"/>
  <c r="BW28" i="14"/>
  <c r="CZ28" i="14"/>
  <c r="DF28" i="14"/>
  <c r="DN28" i="14"/>
  <c r="DJ28" i="14"/>
  <c r="CB28" i="14"/>
  <c r="CX28" i="14"/>
  <c r="DD28" i="14"/>
  <c r="BV28" i="14"/>
  <c r="CC28" i="14"/>
  <c r="CY28" i="14"/>
  <c r="DE28" i="14"/>
  <c r="DP29" i="14"/>
  <c r="CH30" i="14"/>
  <c r="BV30" i="14"/>
  <c r="CY30" i="14"/>
  <c r="DE30" i="14"/>
  <c r="BW30" i="14"/>
  <c r="DD30" i="14"/>
  <c r="CB30" i="14"/>
  <c r="CC30" i="14"/>
  <c r="CX30" i="14"/>
  <c r="DJ30" i="14"/>
  <c r="BX30" i="14"/>
  <c r="CZ30" i="14"/>
  <c r="DF30" i="14"/>
  <c r="DN30" i="14"/>
  <c r="BY30" i="14"/>
  <c r="DA30" i="14"/>
  <c r="DG30" i="14"/>
  <c r="DP30" i="14"/>
  <c r="BZ30" i="14"/>
  <c r="DQ30" i="14"/>
  <c r="BV31" i="14"/>
  <c r="DJ31" i="14"/>
  <c r="CB31" i="14"/>
  <c r="BZ31" i="14"/>
  <c r="DA31" i="14"/>
  <c r="DG31" i="14"/>
  <c r="DP31" i="14"/>
  <c r="BW31" i="14"/>
  <c r="CC31" i="14"/>
  <c r="CX31" i="14"/>
  <c r="DD31" i="14"/>
  <c r="BX31" i="14"/>
  <c r="CY31" i="14"/>
  <c r="DE31" i="14"/>
  <c r="BY31" i="14"/>
  <c r="CZ31" i="14"/>
  <c r="DF31" i="14"/>
  <c r="DN31" i="14"/>
  <c r="DP34" i="14"/>
  <c r="DJ35" i="14"/>
  <c r="P36" i="14"/>
  <c r="DQ35" i="14"/>
  <c r="P37" i="14"/>
  <c r="DQ36" i="14"/>
  <c r="DL20" i="17"/>
  <c r="DH16" i="17"/>
  <c r="DL16" i="17"/>
  <c r="DN22" i="17"/>
  <c r="DL14" i="17"/>
  <c r="DN30" i="17"/>
  <c r="DL33" i="17"/>
  <c r="DJ15" i="17"/>
  <c r="CK37" i="17"/>
  <c r="CV37" i="17"/>
  <c r="CU37" i="17"/>
  <c r="CH31" i="17"/>
  <c r="CG37" i="17"/>
  <c r="CH37" i="17"/>
  <c r="DN17" i="17"/>
  <c r="DL17" i="17"/>
  <c r="AH37" i="17"/>
  <c r="DL30" i="17"/>
  <c r="DL27" i="17"/>
  <c r="DL15" i="17"/>
  <c r="DL11" i="17"/>
  <c r="CH26" i="17"/>
  <c r="DH37" i="14"/>
  <c r="DC37" i="14"/>
  <c r="DB37" i="14"/>
  <c r="DL37" i="14"/>
  <c r="DL25" i="17"/>
  <c r="DL18" i="17"/>
  <c r="DL29" i="17"/>
  <c r="CH20" i="17"/>
  <c r="DL13" i="17"/>
  <c r="DL22" i="17"/>
  <c r="DL10" i="17"/>
  <c r="CH13" i="17"/>
  <c r="DL12" i="17"/>
  <c r="DL19" i="17"/>
  <c r="DL24" i="17"/>
  <c r="DP21" i="17"/>
  <c r="DL21" i="17"/>
  <c r="DL23" i="17"/>
  <c r="DL28" i="17"/>
  <c r="CH29" i="17"/>
  <c r="CL37" i="17"/>
  <c r="DL34" i="17"/>
  <c r="CH35" i="17"/>
  <c r="DL9" i="17"/>
  <c r="DJ10" i="17"/>
  <c r="DN9" i="17"/>
  <c r="DN12" i="17"/>
  <c r="DN25" i="17"/>
  <c r="DN14" i="17"/>
  <c r="DJ12" i="17"/>
  <c r="DN10" i="17"/>
  <c r="DN15" i="17"/>
  <c r="DD37" i="14"/>
  <c r="DE37" i="14"/>
  <c r="P8" i="17"/>
  <c r="P9" i="17"/>
  <c r="P10" i="17"/>
  <c r="DQ9" i="17"/>
  <c r="P11" i="17"/>
  <c r="DP10" i="17"/>
  <c r="DQ10" i="17"/>
  <c r="P12" i="17"/>
  <c r="DP11" i="17"/>
  <c r="DN11" i="17"/>
  <c r="DQ11" i="17"/>
  <c r="DJ13" i="17"/>
  <c r="DP14" i="17"/>
  <c r="DJ18" i="17"/>
  <c r="DJ23" i="17"/>
  <c r="DJ11" i="17"/>
  <c r="P13" i="17"/>
  <c r="DQ13" i="17"/>
  <c r="P14" i="17"/>
  <c r="CG37" i="14"/>
  <c r="BU37" i="14"/>
  <c r="DJ17" i="17"/>
  <c r="DP30" i="17"/>
  <c r="P15" i="17"/>
  <c r="P16" i="17"/>
  <c r="P17" i="17"/>
  <c r="P18" i="17"/>
  <c r="P19" i="17"/>
  <c r="P20" i="17"/>
  <c r="P21" i="17"/>
  <c r="P22" i="17"/>
  <c r="P23" i="17"/>
  <c r="P24" i="17"/>
  <c r="P25" i="17"/>
  <c r="P26" i="17"/>
  <c r="P27" i="17"/>
  <c r="P28" i="17"/>
  <c r="P29" i="17"/>
  <c r="P30" i="17"/>
  <c r="DQ30" i="17"/>
  <c r="P31" i="17"/>
  <c r="DJ9" i="17"/>
  <c r="DJ34" i="17"/>
  <c r="DP13" i="17"/>
  <c r="DL8" i="17"/>
  <c r="DH8" i="17"/>
  <c r="DF8" i="17"/>
  <c r="DG8" i="17"/>
  <c r="BU8" i="17"/>
  <c r="BV8" i="17"/>
  <c r="CB8" i="17"/>
  <c r="CY8" i="17"/>
  <c r="DE8" i="17"/>
  <c r="BX8" i="17"/>
  <c r="DP8" i="17"/>
  <c r="BW8" i="17"/>
  <c r="BY8" i="17"/>
  <c r="DB8" i="17"/>
  <c r="CC8" i="17"/>
  <c r="DN8" i="17"/>
  <c r="DA8" i="17"/>
  <c r="BZ8" i="17"/>
  <c r="DC8" i="17"/>
  <c r="DJ8" i="17"/>
  <c r="CZ8" i="17"/>
  <c r="CX8" i="17"/>
  <c r="DD8" i="17"/>
  <c r="DQ8" i="17"/>
  <c r="DP9" i="17"/>
  <c r="DP12" i="17"/>
  <c r="DQ12" i="17"/>
  <c r="DP15" i="17"/>
  <c r="DQ15" i="17"/>
  <c r="DJ28" i="17"/>
  <c r="DN13" i="17"/>
  <c r="DQ14" i="17"/>
  <c r="DP16" i="17"/>
  <c r="DN16" i="17"/>
  <c r="DQ16" i="17"/>
  <c r="DN18" i="17"/>
  <c r="DQ18" i="17"/>
  <c r="DN23" i="17"/>
  <c r="DQ23" i="17"/>
  <c r="DJ27" i="17"/>
  <c r="DN28" i="17"/>
  <c r="DJ30" i="17"/>
  <c r="DN29" i="17"/>
  <c r="DQ31" i="17"/>
  <c r="P32" i="17"/>
  <c r="DN34" i="17"/>
  <c r="DJ6" i="17"/>
  <c r="BH37" i="17"/>
  <c r="DP6" i="20"/>
  <c r="DQ6" i="20"/>
  <c r="DP19" i="17"/>
  <c r="DQ19" i="17"/>
  <c r="DN21" i="17"/>
  <c r="DP22" i="17"/>
  <c r="DQ22" i="17"/>
  <c r="DP24" i="17"/>
  <c r="DQ24" i="17"/>
  <c r="DP26" i="17"/>
  <c r="DQ26" i="17"/>
  <c r="DJ29" i="17"/>
  <c r="DQ29" i="17"/>
  <c r="P33" i="17"/>
  <c r="P34" i="17"/>
  <c r="P35" i="17"/>
  <c r="P36" i="17"/>
  <c r="DQ35" i="17"/>
  <c r="DL6" i="17"/>
  <c r="FJ66" i="17"/>
  <c r="FJ67" i="17"/>
  <c r="FJ68" i="17"/>
  <c r="FJ69" i="17"/>
  <c r="DJ14" i="17"/>
  <c r="DN19" i="17"/>
  <c r="DJ20" i="17"/>
  <c r="DJ21" i="17"/>
  <c r="DQ21" i="17"/>
  <c r="DN24" i="17"/>
  <c r="DJ25" i="17"/>
  <c r="DP25" i="17"/>
  <c r="DQ25" i="17"/>
  <c r="DP27" i="17"/>
  <c r="DQ27" i="17"/>
  <c r="DP29" i="17"/>
  <c r="DQ32" i="17"/>
  <c r="DQ34" i="17"/>
  <c r="DN6" i="17"/>
  <c r="BJ37" i="17"/>
  <c r="BM11" i="20"/>
  <c r="BM12" i="20"/>
  <c r="BM13" i="20"/>
  <c r="BM14" i="20"/>
  <c r="BM15" i="20"/>
  <c r="BM16" i="20"/>
  <c r="BM17" i="20"/>
  <c r="BM18" i="20"/>
  <c r="BM19" i="20"/>
  <c r="BM20" i="20"/>
  <c r="BM21" i="20"/>
  <c r="BM22" i="20"/>
  <c r="BM23" i="20"/>
  <c r="BM24" i="20"/>
  <c r="BM25" i="20"/>
  <c r="BM26" i="20"/>
  <c r="BM27" i="20"/>
  <c r="BM28" i="20"/>
  <c r="BM29" i="20"/>
  <c r="BM30" i="20"/>
  <c r="BM31" i="20"/>
  <c r="BM32" i="20"/>
  <c r="BM33" i="20"/>
  <c r="BM34" i="20"/>
  <c r="BM35" i="20"/>
  <c r="BM36" i="20"/>
  <c r="BM37" i="20"/>
  <c r="CH28" i="20"/>
  <c r="DJ16" i="17"/>
  <c r="CH16" i="17"/>
  <c r="DB16" i="17"/>
  <c r="CC16" i="17"/>
  <c r="DA16" i="17"/>
  <c r="BW16" i="17"/>
  <c r="DC16" i="17"/>
  <c r="BX16" i="17"/>
  <c r="DG16" i="17"/>
  <c r="BY16" i="17"/>
  <c r="BV16" i="17"/>
  <c r="CB16" i="17"/>
  <c r="CZ16" i="17"/>
  <c r="DF16" i="17"/>
  <c r="BZ16" i="17"/>
  <c r="CX16" i="17"/>
  <c r="DD16" i="17"/>
  <c r="CY16" i="17"/>
  <c r="DE16" i="17"/>
  <c r="DP17" i="17"/>
  <c r="DQ17" i="17"/>
  <c r="DP18" i="17"/>
  <c r="DJ19" i="17"/>
  <c r="DN20" i="17"/>
  <c r="DP20" i="17"/>
  <c r="DQ20" i="17"/>
  <c r="DJ22" i="17"/>
  <c r="DP23" i="17"/>
  <c r="DJ24" i="17"/>
  <c r="DL26" i="17"/>
  <c r="DH26" i="17"/>
  <c r="BW26" i="17"/>
  <c r="CC26" i="17"/>
  <c r="CZ26" i="17"/>
  <c r="DA26" i="17"/>
  <c r="BX26" i="17"/>
  <c r="DG26" i="17"/>
  <c r="BU26" i="17"/>
  <c r="BV26" i="17"/>
  <c r="CB26" i="17"/>
  <c r="CY26" i="17"/>
  <c r="DF26" i="17"/>
  <c r="DN26" i="17"/>
  <c r="BY26" i="17"/>
  <c r="DB26" i="17"/>
  <c r="DJ26" i="17"/>
  <c r="BZ26" i="17"/>
  <c r="DC26" i="17"/>
  <c r="CX26" i="17"/>
  <c r="DD26" i="17"/>
  <c r="DE26" i="17"/>
  <c r="DN27" i="17"/>
  <c r="DP28" i="17"/>
  <c r="DQ28" i="17"/>
  <c r="BZ31" i="17"/>
  <c r="DL31" i="17"/>
  <c r="DH31" i="17"/>
  <c r="BV31" i="17"/>
  <c r="CC31" i="17"/>
  <c r="CB31" i="17"/>
  <c r="DA31" i="17"/>
  <c r="DG31" i="17"/>
  <c r="DP31" i="17"/>
  <c r="BW31" i="17"/>
  <c r="DJ31" i="17"/>
  <c r="BX31" i="17"/>
  <c r="CX31" i="17"/>
  <c r="BY31" i="17"/>
  <c r="CY31" i="17"/>
  <c r="CZ31" i="17"/>
  <c r="DF31" i="17"/>
  <c r="DN31" i="17"/>
  <c r="DH32" i="17"/>
  <c r="CH32" i="17"/>
  <c r="DL32" i="17"/>
  <c r="DE32" i="17"/>
  <c r="BY32" i="17"/>
  <c r="CY32" i="17"/>
  <c r="BX32" i="17"/>
  <c r="CX32" i="17"/>
  <c r="DD32" i="17"/>
  <c r="BZ32" i="17"/>
  <c r="CZ32" i="17"/>
  <c r="DF32" i="17"/>
  <c r="DN32" i="17"/>
  <c r="DA32" i="17"/>
  <c r="DG32" i="17"/>
  <c r="DP32" i="17"/>
  <c r="BU32" i="17"/>
  <c r="BV32" i="17"/>
  <c r="CB32" i="17"/>
  <c r="DB32" i="17"/>
  <c r="BW32" i="17"/>
  <c r="CC32" i="17"/>
  <c r="DC32" i="17"/>
  <c r="DJ32" i="17"/>
  <c r="DJ33" i="17"/>
  <c r="DH33" i="17"/>
  <c r="CZ33" i="17"/>
  <c r="DF33" i="17"/>
  <c r="BZ33" i="17"/>
  <c r="CH33" i="17"/>
  <c r="CY33" i="17"/>
  <c r="DE33" i="17"/>
  <c r="BU33" i="17"/>
  <c r="BV33" i="17"/>
  <c r="CB33" i="17"/>
  <c r="DA33" i="17"/>
  <c r="DG33" i="17"/>
  <c r="BW33" i="17"/>
  <c r="CC33" i="17"/>
  <c r="DB33" i="17"/>
  <c r="BX33" i="17"/>
  <c r="DC33" i="17"/>
  <c r="BY33" i="17"/>
  <c r="CX33" i="17"/>
  <c r="DD33" i="17"/>
  <c r="DP33" i="17"/>
  <c r="DN33" i="17"/>
  <c r="DQ33" i="17"/>
  <c r="DP34" i="17"/>
  <c r="DH35" i="17"/>
  <c r="DL35" i="17"/>
  <c r="CY35" i="17"/>
  <c r="DE35" i="17"/>
  <c r="BY35" i="17"/>
  <c r="DN35" i="17"/>
  <c r="BX35" i="17"/>
  <c r="CX35" i="17"/>
  <c r="DD35" i="17"/>
  <c r="BZ35" i="17"/>
  <c r="CZ35" i="17"/>
  <c r="DF35" i="17"/>
  <c r="DP35" i="17"/>
  <c r="DA35" i="17"/>
  <c r="BV35" i="17"/>
  <c r="CB35" i="17"/>
  <c r="DB35" i="17"/>
  <c r="DJ35" i="17"/>
  <c r="BW35" i="17"/>
  <c r="CC35" i="17"/>
  <c r="DC35" i="17"/>
  <c r="CC36" i="17"/>
  <c r="DF36" i="17"/>
  <c r="CZ36" i="17"/>
  <c r="BW36" i="17"/>
  <c r="DL36" i="17"/>
  <c r="BU36" i="17"/>
  <c r="BV36" i="17"/>
  <c r="CB36" i="17"/>
  <c r="CY36" i="17"/>
  <c r="DE36" i="17"/>
  <c r="BX36" i="17"/>
  <c r="DA36" i="17"/>
  <c r="DG36" i="17"/>
  <c r="BY36" i="17"/>
  <c r="DB36" i="17"/>
  <c r="DH36" i="17"/>
  <c r="DN36" i="17"/>
  <c r="BZ36" i="17"/>
  <c r="DC36" i="17"/>
  <c r="DP36" i="17"/>
  <c r="CX36" i="17"/>
  <c r="DD36" i="17"/>
  <c r="DJ36" i="17"/>
  <c r="P37" i="17"/>
  <c r="DQ36" i="17"/>
  <c r="DP6" i="17"/>
  <c r="DN32" i="20"/>
  <c r="CG20" i="17"/>
  <c r="DL19" i="20"/>
  <c r="CP28" i="23"/>
  <c r="DN35" i="20"/>
  <c r="DL12" i="20"/>
  <c r="DL36" i="20"/>
  <c r="CP22" i="23"/>
  <c r="DN24" i="20"/>
  <c r="DL30" i="20"/>
  <c r="DL24" i="20"/>
  <c r="DL18" i="20"/>
  <c r="DL29" i="20"/>
  <c r="DL15" i="20"/>
  <c r="CP26" i="23"/>
  <c r="DN21" i="20"/>
  <c r="AL37" i="20"/>
  <c r="CP37" i="20"/>
  <c r="DL32" i="20"/>
  <c r="DL35" i="20"/>
  <c r="DL9" i="20"/>
  <c r="DJ18" i="20"/>
  <c r="DL8" i="20"/>
  <c r="AD37" i="20"/>
  <c r="CH37" i="20"/>
  <c r="FI64" i="20"/>
  <c r="FI65" i="20"/>
  <c r="FI66" i="20"/>
  <c r="FI67" i="20"/>
  <c r="FI68" i="20"/>
  <c r="FF64" i="20"/>
  <c r="FF65" i="20"/>
  <c r="FF66" i="20"/>
  <c r="FF67" i="20"/>
  <c r="FF68" i="20"/>
  <c r="FF69" i="20"/>
  <c r="FH64" i="20"/>
  <c r="FH65" i="20"/>
  <c r="FH66" i="20"/>
  <c r="FH67" i="20"/>
  <c r="DL17" i="20"/>
  <c r="DN31" i="20"/>
  <c r="DL20" i="20"/>
  <c r="DL22" i="20"/>
  <c r="DL31" i="20"/>
  <c r="FH68" i="20"/>
  <c r="FH69" i="20"/>
  <c r="FI69" i="20"/>
  <c r="BU16" i="20"/>
  <c r="DL14" i="20"/>
  <c r="DL25" i="20"/>
  <c r="DL21" i="20"/>
  <c r="DL11" i="20"/>
  <c r="DJ8" i="20"/>
  <c r="DH37" i="17"/>
  <c r="BU37" i="17"/>
  <c r="DJ29" i="20"/>
  <c r="P7" i="20"/>
  <c r="P8" i="20"/>
  <c r="P9" i="20"/>
  <c r="P10" i="20"/>
  <c r="P11" i="20"/>
  <c r="DQ11" i="20"/>
  <c r="P12" i="20"/>
  <c r="DJ24" i="20"/>
  <c r="FF71" i="20"/>
  <c r="FF74" i="20"/>
  <c r="FH74" i="20"/>
  <c r="FI74" i="20"/>
  <c r="FI77" i="20"/>
  <c r="CG13" i="17"/>
  <c r="DQ7" i="20"/>
  <c r="CF20" i="17"/>
  <c r="CG32" i="17"/>
  <c r="CG33" i="17"/>
  <c r="DJ11" i="20"/>
  <c r="DJ30" i="20"/>
  <c r="DN31" i="23"/>
  <c r="DP20" i="20"/>
  <c r="CD20" i="17"/>
  <c r="CE20" i="17"/>
  <c r="DG35" i="17"/>
  <c r="DN9" i="20"/>
  <c r="DL37" i="17"/>
  <c r="DD37" i="17"/>
  <c r="DE37" i="17"/>
  <c r="DP8" i="20"/>
  <c r="DQ8" i="20"/>
  <c r="DJ12" i="20"/>
  <c r="DP14" i="20"/>
  <c r="P13" i="20"/>
  <c r="P14" i="20"/>
  <c r="P15" i="20"/>
  <c r="DQ14" i="20"/>
  <c r="DP9" i="20"/>
  <c r="DN12" i="20"/>
  <c r="DJ14" i="20"/>
  <c r="DJ15" i="20"/>
  <c r="DJ20" i="20"/>
  <c r="P16" i="20"/>
  <c r="P17" i="20"/>
  <c r="P18" i="20"/>
  <c r="P19" i="20"/>
  <c r="P20" i="20"/>
  <c r="P21" i="20"/>
  <c r="P22" i="20"/>
  <c r="P23" i="20"/>
  <c r="DQ22" i="20"/>
  <c r="DN29" i="20"/>
  <c r="DN30" i="20"/>
  <c r="P24" i="20"/>
  <c r="P25" i="20"/>
  <c r="P26" i="20"/>
  <c r="P27" i="20"/>
  <c r="P28" i="20"/>
  <c r="P29" i="20"/>
  <c r="P30" i="20"/>
  <c r="P31" i="20"/>
  <c r="P32" i="20"/>
  <c r="DQ32" i="20"/>
  <c r="P33" i="20"/>
  <c r="DQ13" i="20"/>
  <c r="DN17" i="20"/>
  <c r="DQ17" i="20"/>
  <c r="DJ21" i="20"/>
  <c r="DQ26" i="20"/>
  <c r="DQ27" i="20"/>
  <c r="CH28" i="23"/>
  <c r="DN8" i="20"/>
  <c r="DQ9" i="20"/>
  <c r="DP10" i="20"/>
  <c r="DQ10" i="20"/>
  <c r="DQ12" i="20"/>
  <c r="DJ17" i="20"/>
  <c r="DN19" i="20"/>
  <c r="DQ19" i="20"/>
  <c r="DQ21" i="20"/>
  <c r="DQ24" i="20"/>
  <c r="DN25" i="20"/>
  <c r="DP29" i="20"/>
  <c r="DQ29" i="20"/>
  <c r="DP15" i="20"/>
  <c r="DP17" i="20"/>
  <c r="DP18" i="20"/>
  <c r="DJ19" i="20"/>
  <c r="DN22" i="20"/>
  <c r="DJ25" i="20"/>
  <c r="CP28" i="20"/>
  <c r="DQ28" i="20"/>
  <c r="DJ31" i="20"/>
  <c r="DP36" i="20"/>
  <c r="DL6" i="20"/>
  <c r="BM6" i="23"/>
  <c r="BM7" i="23"/>
  <c r="BM8" i="23"/>
  <c r="BM9" i="23"/>
  <c r="BM10" i="23"/>
  <c r="BM11" i="23"/>
  <c r="DL7" i="20"/>
  <c r="BZ7" i="20"/>
  <c r="CH7" i="20"/>
  <c r="DP7" i="20"/>
  <c r="CB7" i="20"/>
  <c r="DC7" i="20"/>
  <c r="DE7" i="20"/>
  <c r="BV7" i="20"/>
  <c r="CX7" i="20"/>
  <c r="DH7" i="20"/>
  <c r="CC7" i="20"/>
  <c r="BW7" i="20"/>
  <c r="CY7" i="20"/>
  <c r="DD7" i="20"/>
  <c r="DB7" i="20"/>
  <c r="DJ7" i="20"/>
  <c r="BY7" i="20"/>
  <c r="DA7" i="20"/>
  <c r="DG7" i="20"/>
  <c r="DN7" i="20"/>
  <c r="BX7" i="20"/>
  <c r="CZ7" i="20"/>
  <c r="DF7" i="20"/>
  <c r="DJ9" i="20"/>
  <c r="DN11" i="20"/>
  <c r="DP11" i="20"/>
  <c r="DP12" i="20"/>
  <c r="CH13" i="20"/>
  <c r="BZ13" i="20"/>
  <c r="CZ13" i="20"/>
  <c r="DC13" i="20"/>
  <c r="DP13" i="20"/>
  <c r="DF13" i="20"/>
  <c r="BW13" i="20"/>
  <c r="DL13" i="20"/>
  <c r="BY13" i="20"/>
  <c r="DB13" i="20"/>
  <c r="DH13" i="20"/>
  <c r="DN13" i="20"/>
  <c r="CB13" i="20"/>
  <c r="CX13" i="20"/>
  <c r="DD13" i="20"/>
  <c r="DJ13" i="20"/>
  <c r="BV13" i="20"/>
  <c r="CC13" i="20"/>
  <c r="CY13" i="20"/>
  <c r="DE13" i="20"/>
  <c r="BX13" i="20"/>
  <c r="DA13" i="20"/>
  <c r="DG13" i="20"/>
  <c r="DN14" i="20"/>
  <c r="DN15" i="20"/>
  <c r="DQ15" i="20"/>
  <c r="BW16" i="20"/>
  <c r="DL16" i="20"/>
  <c r="CC16" i="20"/>
  <c r="CZ16" i="20"/>
  <c r="DF16" i="20"/>
  <c r="BV16" i="20"/>
  <c r="CB16" i="20"/>
  <c r="CY16" i="20"/>
  <c r="DE16" i="20"/>
  <c r="BX16" i="20"/>
  <c r="DA16" i="20"/>
  <c r="DG16" i="20"/>
  <c r="BY16" i="20"/>
  <c r="DB16" i="20"/>
  <c r="DH16" i="20"/>
  <c r="DN16" i="20"/>
  <c r="BZ16" i="20"/>
  <c r="DC16" i="20"/>
  <c r="CX16" i="20"/>
  <c r="DD16" i="20"/>
  <c r="DJ16" i="20"/>
  <c r="DP16" i="20"/>
  <c r="DQ16" i="20"/>
  <c r="DN18" i="20"/>
  <c r="DQ18" i="20"/>
  <c r="DP19" i="20"/>
  <c r="DN20" i="20"/>
  <c r="DQ20" i="20"/>
  <c r="DJ22" i="20"/>
  <c r="DQ23" i="20"/>
  <c r="DQ25" i="20"/>
  <c r="DL27" i="20"/>
  <c r="CH27" i="20"/>
  <c r="CX27" i="20"/>
  <c r="DD27" i="20"/>
  <c r="BZ27" i="20"/>
  <c r="DJ27" i="20"/>
  <c r="BY27" i="20"/>
  <c r="DC27" i="20"/>
  <c r="CY27" i="20"/>
  <c r="DE27" i="20"/>
  <c r="BU27" i="20"/>
  <c r="BV27" i="20"/>
  <c r="CB27" i="20"/>
  <c r="CZ27" i="20"/>
  <c r="DF27" i="20"/>
  <c r="BW27" i="20"/>
  <c r="CC27" i="20"/>
  <c r="DA27" i="20"/>
  <c r="DG27" i="20"/>
  <c r="DN27" i="20"/>
  <c r="BX27" i="20"/>
  <c r="DB27" i="20"/>
  <c r="DH27" i="20"/>
  <c r="DP27" i="20"/>
  <c r="DL28" i="20"/>
  <c r="DE28" i="20"/>
  <c r="CY28" i="20"/>
  <c r="BZ28" i="20"/>
  <c r="CX28" i="20"/>
  <c r="DD28" i="20"/>
  <c r="BV28" i="20"/>
  <c r="CB28" i="20"/>
  <c r="CZ28" i="20"/>
  <c r="DF28" i="20"/>
  <c r="DG28" i="20"/>
  <c r="DN28" i="20"/>
  <c r="BW28" i="20"/>
  <c r="CC28" i="20"/>
  <c r="DA28" i="20"/>
  <c r="DH28" i="20"/>
  <c r="DP28" i="20"/>
  <c r="BX28" i="20"/>
  <c r="DB28" i="20"/>
  <c r="BY28" i="20"/>
  <c r="DC28" i="20"/>
  <c r="DJ28" i="20"/>
  <c r="DP30" i="20"/>
  <c r="DQ30" i="20"/>
  <c r="BM12" i="23"/>
  <c r="BM13" i="23"/>
  <c r="BM14" i="23"/>
  <c r="BM15" i="23"/>
  <c r="BM16" i="23"/>
  <c r="P34" i="20"/>
  <c r="P35" i="20"/>
  <c r="DQ34" i="20"/>
  <c r="DP35" i="20"/>
  <c r="DQ35" i="20"/>
  <c r="P36" i="20"/>
  <c r="DJ6" i="20"/>
  <c r="BH37" i="20"/>
  <c r="DL6" i="23"/>
  <c r="BM17" i="23"/>
  <c r="BM18" i="23"/>
  <c r="BM19" i="23"/>
  <c r="BM20" i="23"/>
  <c r="BM21" i="23"/>
  <c r="BM22" i="23"/>
  <c r="BM23" i="23"/>
  <c r="BM24" i="23"/>
  <c r="BM25" i="23"/>
  <c r="BM26" i="23"/>
  <c r="BM27" i="23"/>
  <c r="DN36" i="20"/>
  <c r="DN6" i="20"/>
  <c r="BJ37" i="20"/>
  <c r="FI79" i="20"/>
  <c r="CU12" i="20"/>
  <c r="DN21" i="23"/>
  <c r="DP31" i="23"/>
  <c r="BM28" i="23"/>
  <c r="BM29" i="23"/>
  <c r="BM30" i="23"/>
  <c r="BM31" i="23"/>
  <c r="BM32" i="23"/>
  <c r="BM33" i="23"/>
  <c r="BM34" i="23"/>
  <c r="BM35" i="23"/>
  <c r="BM36" i="23"/>
  <c r="BM37" i="23"/>
  <c r="DQ31" i="20"/>
  <c r="DJ35" i="20"/>
  <c r="DJ36" i="20"/>
  <c r="CV12" i="20"/>
  <c r="BU8" i="23"/>
  <c r="DQ33" i="20"/>
  <c r="DQ36" i="20"/>
  <c r="P37" i="20"/>
  <c r="CH30" i="23"/>
  <c r="DN32" i="23"/>
  <c r="DN22" i="23"/>
  <c r="DL32" i="23"/>
  <c r="DL34" i="23"/>
  <c r="DN34" i="23"/>
  <c r="DJ32" i="20"/>
  <c r="DL20" i="23"/>
  <c r="DN28" i="23"/>
  <c r="DL22" i="23"/>
  <c r="DL26" i="23"/>
  <c r="DQ6" i="23"/>
  <c r="DL28" i="23"/>
  <c r="DL21" i="23"/>
  <c r="DN24" i="23"/>
  <c r="DL15" i="23"/>
  <c r="DL24" i="23"/>
  <c r="DL17" i="23"/>
  <c r="DL31" i="23"/>
  <c r="DQ7" i="23"/>
  <c r="DN15" i="23"/>
  <c r="AH37" i="23"/>
  <c r="CL17" i="23"/>
  <c r="DH37" i="20"/>
  <c r="DC37" i="20"/>
  <c r="DB37" i="20"/>
  <c r="CV37" i="20"/>
  <c r="CU37" i="20"/>
  <c r="DL37" i="20"/>
  <c r="DN6" i="23"/>
  <c r="P8" i="23"/>
  <c r="P9" i="23"/>
  <c r="P10" i="23"/>
  <c r="P11" i="23"/>
  <c r="P12" i="23"/>
  <c r="P13" i="23"/>
  <c r="P14" i="23"/>
  <c r="P15" i="23"/>
  <c r="P16" i="23"/>
  <c r="P17" i="23"/>
  <c r="P18" i="23"/>
  <c r="DQ18" i="23"/>
  <c r="P19" i="23"/>
  <c r="DQ9" i="23"/>
  <c r="DN17" i="23"/>
  <c r="DD37" i="20"/>
  <c r="DE37" i="20"/>
  <c r="DQ8" i="23"/>
  <c r="DQ10" i="23"/>
  <c r="DQ12" i="23"/>
  <c r="DQ16" i="23"/>
  <c r="DH8" i="23"/>
  <c r="DL8" i="23"/>
  <c r="DA8" i="23"/>
  <c r="DG8" i="23"/>
  <c r="DP8" i="23"/>
  <c r="BV8" i="23"/>
  <c r="DB8" i="23"/>
  <c r="BW8" i="23"/>
  <c r="CC8" i="23"/>
  <c r="DC8" i="23"/>
  <c r="DJ8" i="23"/>
  <c r="CB8" i="23"/>
  <c r="BX8" i="23"/>
  <c r="CX8" i="23"/>
  <c r="DD8" i="23"/>
  <c r="BY8" i="23"/>
  <c r="CY8" i="23"/>
  <c r="DE8" i="23"/>
  <c r="BZ8" i="23"/>
  <c r="CZ8" i="23"/>
  <c r="DF8" i="23"/>
  <c r="DN8" i="23"/>
  <c r="DL10" i="23"/>
  <c r="BX10" i="23"/>
  <c r="DC10" i="23"/>
  <c r="BY10" i="23"/>
  <c r="DD10" i="23"/>
  <c r="BZ10" i="23"/>
  <c r="CY10" i="23"/>
  <c r="DE10" i="23"/>
  <c r="CH10" i="23"/>
  <c r="CZ10" i="23"/>
  <c r="DF10" i="23"/>
  <c r="CX10" i="23"/>
  <c r="DJ10" i="23"/>
  <c r="BU10" i="23"/>
  <c r="BV10" i="23"/>
  <c r="CB10" i="23"/>
  <c r="DA10" i="23"/>
  <c r="DG10" i="23"/>
  <c r="DN10" i="23"/>
  <c r="BW10" i="23"/>
  <c r="CC10" i="23"/>
  <c r="DB10" i="23"/>
  <c r="DH10" i="23"/>
  <c r="DP10" i="23"/>
  <c r="DQ11" i="23"/>
  <c r="DJ15" i="23"/>
  <c r="AL37" i="23"/>
  <c r="CP17" i="23"/>
  <c r="CP24" i="23"/>
  <c r="DQ14" i="23"/>
  <c r="CP20" i="23"/>
  <c r="P20" i="23"/>
  <c r="P21" i="23"/>
  <c r="DQ21" i="23"/>
  <c r="P22" i="23"/>
  <c r="DP26" i="23"/>
  <c r="CP27" i="23"/>
  <c r="DQ13" i="23"/>
  <c r="DL14" i="23"/>
  <c r="CC14" i="23"/>
  <c r="CY14" i="23"/>
  <c r="CZ14" i="23"/>
  <c r="BW14" i="23"/>
  <c r="CH14" i="23"/>
  <c r="DC14" i="23"/>
  <c r="BY14" i="23"/>
  <c r="DE14" i="23"/>
  <c r="BZ14" i="23"/>
  <c r="DF14" i="23"/>
  <c r="BX14" i="23"/>
  <c r="CX14" i="23"/>
  <c r="DD14" i="23"/>
  <c r="DJ14" i="23"/>
  <c r="DA14" i="23"/>
  <c r="DG14" i="23"/>
  <c r="DN14" i="23"/>
  <c r="BU14" i="23"/>
  <c r="BV14" i="23"/>
  <c r="CB14" i="23"/>
  <c r="DB14" i="23"/>
  <c r="DH14" i="23"/>
  <c r="DP14" i="23"/>
  <c r="DP15" i="23"/>
  <c r="DQ15" i="23"/>
  <c r="DQ17" i="23"/>
  <c r="CH19" i="23"/>
  <c r="DL19" i="23"/>
  <c r="DE19" i="23"/>
  <c r="BY19" i="23"/>
  <c r="DC19" i="23"/>
  <c r="CB19" i="23"/>
  <c r="DF19" i="23"/>
  <c r="BU19" i="23"/>
  <c r="BV19" i="23"/>
  <c r="CY19" i="23"/>
  <c r="BX19" i="23"/>
  <c r="CZ19" i="23"/>
  <c r="BW19" i="23"/>
  <c r="CC19" i="23"/>
  <c r="CX19" i="23"/>
  <c r="DD19" i="23"/>
  <c r="DJ19" i="23"/>
  <c r="BZ19" i="23"/>
  <c r="DA19" i="23"/>
  <c r="DG19" i="23"/>
  <c r="DN19" i="23"/>
  <c r="DB19" i="23"/>
  <c r="DH19" i="23"/>
  <c r="DP19" i="23"/>
  <c r="DN20" i="23"/>
  <c r="DQ20" i="23"/>
  <c r="CP23" i="23"/>
  <c r="P23" i="23"/>
  <c r="P24" i="23"/>
  <c r="DQ23" i="23"/>
  <c r="DQ24" i="23"/>
  <c r="P25" i="23"/>
  <c r="DN26" i="23"/>
  <c r="DQ19" i="23"/>
  <c r="CL21" i="23"/>
  <c r="CP21" i="23"/>
  <c r="DJ22" i="23"/>
  <c r="DQ22" i="23"/>
  <c r="DJ23" i="23"/>
  <c r="DL23" i="23"/>
  <c r="BZ23" i="23"/>
  <c r="CY23" i="23"/>
  <c r="CZ23" i="23"/>
  <c r="DN23" i="23"/>
  <c r="DE23" i="23"/>
  <c r="DF23" i="23"/>
  <c r="BY23" i="23"/>
  <c r="BX23" i="23"/>
  <c r="CX23" i="23"/>
  <c r="DD23" i="23"/>
  <c r="CH23" i="23"/>
  <c r="DA23" i="23"/>
  <c r="DG23" i="23"/>
  <c r="DP23" i="23"/>
  <c r="BU23" i="23"/>
  <c r="BV23" i="23"/>
  <c r="CB23" i="23"/>
  <c r="DB23" i="23"/>
  <c r="DH23" i="23"/>
  <c r="BW23" i="23"/>
  <c r="CC23" i="23"/>
  <c r="DC23" i="23"/>
  <c r="DJ30" i="23"/>
  <c r="CL26" i="23"/>
  <c r="DN30" i="23"/>
  <c r="BH36" i="23"/>
  <c r="P26" i="23"/>
  <c r="P27" i="23"/>
  <c r="P28" i="23"/>
  <c r="DQ28" i="23"/>
  <c r="P29" i="23"/>
  <c r="CP29" i="23"/>
  <c r="DL30" i="23"/>
  <c r="P30" i="23"/>
  <c r="P31" i="23"/>
  <c r="P32" i="23"/>
  <c r="DQ31" i="23"/>
  <c r="DP32" i="23"/>
  <c r="CP32" i="23"/>
  <c r="DJ34" i="23"/>
  <c r="BJ36" i="23"/>
  <c r="CL25" i="23"/>
  <c r="DJ26" i="23"/>
  <c r="DQ30" i="23"/>
  <c r="DJ32" i="23"/>
  <c r="P33" i="23"/>
  <c r="P34" i="23"/>
  <c r="DQ33" i="23"/>
  <c r="DQ34" i="23"/>
  <c r="P35" i="23"/>
  <c r="P36" i="23"/>
  <c r="DQ35" i="23"/>
  <c r="CP37" i="23"/>
  <c r="BH37" i="32"/>
  <c r="DJ7" i="32"/>
  <c r="DQ27" i="23"/>
  <c r="CL29" i="23"/>
  <c r="DQ32" i="23"/>
  <c r="DJ6" i="23"/>
  <c r="BH37" i="23"/>
  <c r="DL25" i="23"/>
  <c r="CH25" i="23"/>
  <c r="BZ25" i="23"/>
  <c r="CX25" i="23"/>
  <c r="CZ25" i="23"/>
  <c r="DJ25" i="23"/>
  <c r="CB25" i="23"/>
  <c r="DF25" i="23"/>
  <c r="BW25" i="23"/>
  <c r="DA25" i="23"/>
  <c r="BX25" i="23"/>
  <c r="DC25" i="23"/>
  <c r="DD25" i="23"/>
  <c r="BY25" i="23"/>
  <c r="DB25" i="23"/>
  <c r="DH25" i="23"/>
  <c r="DP25" i="23"/>
  <c r="BV25" i="23"/>
  <c r="CC25" i="23"/>
  <c r="CY25" i="23"/>
  <c r="DE25" i="23"/>
  <c r="DG25" i="23"/>
  <c r="DN25" i="23"/>
  <c r="DQ25" i="23"/>
  <c r="DQ26" i="23"/>
  <c r="DJ27" i="23"/>
  <c r="DL27" i="23"/>
  <c r="BX27" i="23"/>
  <c r="BW27" i="23"/>
  <c r="DC27" i="23"/>
  <c r="CC27" i="23"/>
  <c r="DB27" i="23"/>
  <c r="BU27" i="23"/>
  <c r="BV27" i="23"/>
  <c r="CB27" i="23"/>
  <c r="DA27" i="23"/>
  <c r="DH27" i="23"/>
  <c r="BY27" i="23"/>
  <c r="CX27" i="23"/>
  <c r="DD27" i="23"/>
  <c r="BZ27" i="23"/>
  <c r="CY27" i="23"/>
  <c r="DE27" i="23"/>
  <c r="DN27" i="23"/>
  <c r="CH27" i="23"/>
  <c r="CZ27" i="23"/>
  <c r="DF27" i="23"/>
  <c r="DP27" i="23"/>
  <c r="BZ29" i="23"/>
  <c r="DL29" i="23"/>
  <c r="DH29" i="23"/>
  <c r="DA29" i="23"/>
  <c r="DP29" i="23"/>
  <c r="BY29" i="23"/>
  <c r="CZ29" i="23"/>
  <c r="DF29" i="23"/>
  <c r="DG29" i="23"/>
  <c r="DN29" i="23"/>
  <c r="CB29" i="23"/>
  <c r="DB29" i="23"/>
  <c r="BV29" i="23"/>
  <c r="CC29" i="23"/>
  <c r="DC29" i="23"/>
  <c r="DJ29" i="23"/>
  <c r="BW29" i="23"/>
  <c r="CX29" i="23"/>
  <c r="DD29" i="23"/>
  <c r="BX29" i="23"/>
  <c r="CY29" i="23"/>
  <c r="DE29" i="23"/>
  <c r="DQ29" i="23"/>
  <c r="CP30" i="23"/>
  <c r="DP30" i="23"/>
  <c r="DJ31" i="23"/>
  <c r="CH33" i="23"/>
  <c r="DL33" i="23"/>
  <c r="BZ33" i="23"/>
  <c r="DG33" i="23"/>
  <c r="DN33" i="23"/>
  <c r="BW33" i="23"/>
  <c r="DA33" i="23"/>
  <c r="BV33" i="23"/>
  <c r="CC33" i="23"/>
  <c r="CZ33" i="23"/>
  <c r="DF33" i="23"/>
  <c r="BX33" i="23"/>
  <c r="DB33" i="23"/>
  <c r="DH33" i="23"/>
  <c r="DP33" i="23"/>
  <c r="BY33" i="23"/>
  <c r="DC33" i="23"/>
  <c r="CX33" i="23"/>
  <c r="DD33" i="23"/>
  <c r="DJ33" i="23"/>
  <c r="CB33" i="23"/>
  <c r="CY33" i="23"/>
  <c r="DE33" i="23"/>
  <c r="DL35" i="23"/>
  <c r="CZ35" i="23"/>
  <c r="CH35" i="23"/>
  <c r="BU35" i="23"/>
  <c r="BV35" i="23"/>
  <c r="DF35" i="23"/>
  <c r="CB35" i="23"/>
  <c r="CY35" i="23"/>
  <c r="DE35" i="23"/>
  <c r="BW35" i="23"/>
  <c r="CC35" i="23"/>
  <c r="DA35" i="23"/>
  <c r="DG35" i="23"/>
  <c r="DN35" i="23"/>
  <c r="DP35" i="23"/>
  <c r="BX35" i="23"/>
  <c r="DB35" i="23"/>
  <c r="DH35" i="23"/>
  <c r="BY35" i="23"/>
  <c r="DC35" i="23"/>
  <c r="BZ35" i="23"/>
  <c r="CX35" i="23"/>
  <c r="DD35" i="23"/>
  <c r="DJ35" i="23"/>
  <c r="CC36" i="23"/>
  <c r="DL36" i="23"/>
  <c r="CX36" i="23"/>
  <c r="CY36" i="23"/>
  <c r="BY36" i="23"/>
  <c r="DE36" i="23"/>
  <c r="BX36" i="23"/>
  <c r="DD36" i="23"/>
  <c r="DJ36" i="23"/>
  <c r="BZ36" i="23"/>
  <c r="CZ36" i="23"/>
  <c r="DF36" i="23"/>
  <c r="DA36" i="23"/>
  <c r="DG36" i="23"/>
  <c r="DN36" i="23"/>
  <c r="BV36" i="23"/>
  <c r="CB36" i="23"/>
  <c r="DB36" i="23"/>
  <c r="DH36" i="23"/>
  <c r="DP36" i="23"/>
  <c r="BW36" i="23"/>
  <c r="DC36" i="23"/>
  <c r="P37" i="23"/>
  <c r="DQ36" i="23"/>
  <c r="DP6" i="23"/>
  <c r="CL37" i="23"/>
  <c r="DP7" i="32"/>
  <c r="BM7" i="32"/>
  <c r="DQ7" i="32"/>
  <c r="BM8" i="32"/>
  <c r="DL7" i="32"/>
  <c r="DG27" i="23"/>
  <c r="DD37" i="23"/>
  <c r="DE37" i="23"/>
  <c r="DC37" i="23"/>
  <c r="DB37" i="23"/>
  <c r="DH37" i="23"/>
  <c r="DL37" i="23"/>
  <c r="DN7" i="32"/>
  <c r="DJ9" i="32"/>
  <c r="DL9" i="32"/>
  <c r="AL37" i="32"/>
  <c r="CP8" i="32"/>
  <c r="DN9" i="32"/>
  <c r="P8" i="32"/>
  <c r="DQ8" i="32"/>
  <c r="P9" i="32"/>
  <c r="BZ8" i="32"/>
  <c r="DL8" i="32"/>
  <c r="DJ8" i="32"/>
  <c r="BV8" i="32"/>
  <c r="DA8" i="32"/>
  <c r="DG8" i="32"/>
  <c r="DP8" i="32"/>
  <c r="DB8" i="32"/>
  <c r="DH8" i="32"/>
  <c r="DC8" i="32"/>
  <c r="BY8" i="32"/>
  <c r="CX8" i="32"/>
  <c r="DD8" i="32"/>
  <c r="BX8" i="32"/>
  <c r="CY8" i="32"/>
  <c r="DE8" i="32"/>
  <c r="BW8" i="32"/>
  <c r="CB8" i="32"/>
  <c r="CC8" i="32"/>
  <c r="CZ8" i="32"/>
  <c r="DF8" i="32"/>
  <c r="DN8" i="32"/>
  <c r="DP9" i="32"/>
  <c r="BM9" i="32"/>
  <c r="BM10" i="32"/>
  <c r="P10" i="32"/>
  <c r="DQ9" i="32"/>
  <c r="DQ10" i="32"/>
  <c r="P11" i="32"/>
  <c r="BM11" i="32"/>
  <c r="CC10" i="32"/>
  <c r="BZ10" i="32"/>
  <c r="BV10" i="32"/>
  <c r="CB10" i="32"/>
  <c r="DL10" i="32"/>
  <c r="BW10" i="32"/>
  <c r="BX10" i="32"/>
  <c r="BY10" i="32"/>
  <c r="CH10" i="32"/>
  <c r="CX10" i="32"/>
  <c r="DD10" i="32"/>
  <c r="DE10" i="32"/>
  <c r="DF10" i="32"/>
  <c r="DN10" i="32"/>
  <c r="DP10" i="32"/>
  <c r="DG10" i="32"/>
  <c r="DA10" i="32"/>
  <c r="DH10" i="32"/>
  <c r="DB10" i="32"/>
  <c r="CY10" i="32"/>
  <c r="CZ10" i="32"/>
  <c r="DC10" i="32"/>
  <c r="DJ10" i="32"/>
  <c r="DL13" i="32"/>
  <c r="DQ11" i="32"/>
  <c r="P12" i="32"/>
  <c r="DN13" i="32"/>
  <c r="BM12" i="32"/>
  <c r="CP12" i="32"/>
  <c r="P13" i="32"/>
  <c r="DQ12" i="32"/>
  <c r="DL12" i="32"/>
  <c r="DG12" i="32"/>
  <c r="BW12" i="32"/>
  <c r="CC12" i="32"/>
  <c r="CZ12" i="32"/>
  <c r="DF12" i="32"/>
  <c r="BY12" i="32"/>
  <c r="DB12" i="32"/>
  <c r="DH12" i="32"/>
  <c r="DP12" i="32"/>
  <c r="DN12" i="32"/>
  <c r="BZ12" i="32"/>
  <c r="CH12" i="32"/>
  <c r="DC12" i="32"/>
  <c r="BX12" i="32"/>
  <c r="DA12" i="32"/>
  <c r="CX12" i="32"/>
  <c r="DD12" i="32"/>
  <c r="DJ12" i="32"/>
  <c r="BV12" i="32"/>
  <c r="CB12" i="32"/>
  <c r="CY12" i="32"/>
  <c r="DE12" i="32"/>
  <c r="DJ13" i="32"/>
  <c r="DP13" i="32"/>
  <c r="BM13" i="32"/>
  <c r="CP13" i="32"/>
  <c r="CK14" i="32"/>
  <c r="CL14" i="32"/>
  <c r="AH37" i="32"/>
  <c r="CL13" i="32"/>
  <c r="DN14" i="32"/>
  <c r="DL14" i="32"/>
  <c r="DQ13" i="32"/>
  <c r="P14" i="32"/>
  <c r="BM14" i="32"/>
  <c r="DQ14" i="32"/>
  <c r="P15" i="32"/>
  <c r="BM15" i="32"/>
  <c r="CG16" i="32"/>
  <c r="CH16" i="32"/>
  <c r="DQ15" i="32"/>
  <c r="P16" i="32"/>
  <c r="BM16" i="32"/>
  <c r="CP16" i="32"/>
  <c r="CC16" i="32"/>
  <c r="BZ16" i="32"/>
  <c r="CY16" i="32"/>
  <c r="DE16" i="32"/>
  <c r="CZ16" i="32"/>
  <c r="DF16" i="32"/>
  <c r="DL16" i="32"/>
  <c r="BV16" i="32"/>
  <c r="DH16" i="32"/>
  <c r="DA16" i="32"/>
  <c r="DG16" i="32"/>
  <c r="BW16" i="32"/>
  <c r="DB16" i="32"/>
  <c r="BX16" i="32"/>
  <c r="DC16" i="32"/>
  <c r="CB16" i="32"/>
  <c r="BY16" i="32"/>
  <c r="CX16" i="32"/>
  <c r="DD16" i="32"/>
  <c r="DJ16" i="32"/>
  <c r="DN16" i="32"/>
  <c r="DP16" i="32"/>
  <c r="P17" i="32"/>
  <c r="DQ16" i="32"/>
  <c r="BM17" i="32"/>
  <c r="CP17" i="32"/>
  <c r="P18" i="32"/>
  <c r="DQ17" i="32"/>
  <c r="BZ17" i="32"/>
  <c r="BU17" i="32"/>
  <c r="BV17" i="32"/>
  <c r="CB17" i="32"/>
  <c r="BW17" i="32"/>
  <c r="CC17" i="32"/>
  <c r="BX17" i="32"/>
  <c r="BY17" i="32"/>
  <c r="DB17" i="32"/>
  <c r="CY17" i="32"/>
  <c r="DE17" i="32"/>
  <c r="DC17" i="32"/>
  <c r="CX17" i="32"/>
  <c r="DD17" i="32"/>
  <c r="DJ17" i="32"/>
  <c r="CZ17" i="32"/>
  <c r="DF17" i="32"/>
  <c r="DH17" i="32"/>
  <c r="DA17" i="32"/>
  <c r="DG17" i="32"/>
  <c r="DN17" i="32"/>
  <c r="DP17" i="32"/>
  <c r="DL17" i="32"/>
  <c r="BM18" i="32"/>
  <c r="DQ18" i="32"/>
  <c r="P19" i="32"/>
  <c r="CH20" i="32"/>
  <c r="BM19" i="32"/>
  <c r="P20" i="32"/>
  <c r="DQ19" i="32"/>
  <c r="BW19" i="32"/>
  <c r="CC19" i="32"/>
  <c r="BZ19" i="32"/>
  <c r="CH19" i="32"/>
  <c r="BX19" i="32"/>
  <c r="DJ19" i="32"/>
  <c r="BY19" i="32"/>
  <c r="DL19" i="32"/>
  <c r="BV19" i="32"/>
  <c r="CB19" i="32"/>
  <c r="DC19" i="32"/>
  <c r="DD19" i="32"/>
  <c r="DE19" i="32"/>
  <c r="DG19" i="32"/>
  <c r="CX19" i="32"/>
  <c r="CY19" i="32"/>
  <c r="CZ19" i="32"/>
  <c r="DF19" i="32"/>
  <c r="DN19" i="32"/>
  <c r="DP19" i="32"/>
  <c r="DA19" i="32"/>
  <c r="DB19" i="32"/>
  <c r="DH19" i="32"/>
  <c r="BM20" i="32"/>
  <c r="BZ20" i="32"/>
  <c r="CC20" i="32"/>
  <c r="BU20" i="32"/>
  <c r="BV20" i="32"/>
  <c r="CB20" i="32"/>
  <c r="BW20" i="32"/>
  <c r="BX20" i="32"/>
  <c r="BY20" i="32"/>
  <c r="DL20" i="32"/>
  <c r="DH20" i="32"/>
  <c r="DC20" i="32"/>
  <c r="CX20" i="32"/>
  <c r="CZ20" i="32"/>
  <c r="DF20" i="32"/>
  <c r="DA20" i="32"/>
  <c r="DG20" i="32"/>
  <c r="DN20" i="32"/>
  <c r="DB20" i="32"/>
  <c r="DD20" i="32"/>
  <c r="DJ20" i="32"/>
  <c r="CY20" i="32"/>
  <c r="DE20" i="32"/>
  <c r="DP20" i="32"/>
  <c r="BM21" i="32"/>
  <c r="CH22" i="32"/>
  <c r="CL22" i="32"/>
  <c r="CP21" i="32"/>
  <c r="DQ20" i="32"/>
  <c r="P21" i="32"/>
  <c r="DL21" i="32"/>
  <c r="DF21" i="32"/>
  <c r="CX21" i="32"/>
  <c r="DD21" i="32"/>
  <c r="DJ21" i="32"/>
  <c r="BV21" i="32"/>
  <c r="CB21" i="32"/>
  <c r="CY21" i="32"/>
  <c r="BW21" i="32"/>
  <c r="CZ21" i="32"/>
  <c r="BX21" i="32"/>
  <c r="DA21" i="32"/>
  <c r="DG21" i="32"/>
  <c r="DN21" i="32"/>
  <c r="DB21" i="32"/>
  <c r="DH21" i="32"/>
  <c r="DP21" i="32"/>
  <c r="DE21" i="32"/>
  <c r="CC21" i="32"/>
  <c r="BY21" i="32"/>
  <c r="BZ21" i="32"/>
  <c r="DC21" i="32"/>
  <c r="DQ21" i="32"/>
  <c r="P22" i="32"/>
  <c r="CP22" i="32"/>
  <c r="BM22" i="32"/>
  <c r="DN23" i="32"/>
  <c r="DL23" i="32"/>
  <c r="BV22" i="32"/>
  <c r="DD22" i="32"/>
  <c r="DJ22" i="32"/>
  <c r="BW22" i="32"/>
  <c r="DC22" i="32"/>
  <c r="DP22" i="32"/>
  <c r="CB22" i="32"/>
  <c r="CX22" i="32"/>
  <c r="CC22" i="32"/>
  <c r="DE22" i="32"/>
  <c r="BX22" i="32"/>
  <c r="CZ22" i="32"/>
  <c r="DF22" i="32"/>
  <c r="DL22" i="32"/>
  <c r="CY22" i="32"/>
  <c r="BY22" i="32"/>
  <c r="DA22" i="32"/>
  <c r="DG22" i="32"/>
  <c r="BZ22" i="32"/>
  <c r="DB22" i="32"/>
  <c r="DH22" i="32"/>
  <c r="DN22" i="32"/>
  <c r="DQ22" i="32"/>
  <c r="P23" i="32"/>
  <c r="BM23" i="32"/>
  <c r="DJ23" i="32"/>
  <c r="CP23" i="32"/>
  <c r="BU24" i="32"/>
  <c r="CH24" i="32"/>
  <c r="DN25" i="32"/>
  <c r="DQ23" i="32"/>
  <c r="P24" i="32"/>
  <c r="DL25" i="32"/>
  <c r="BM24" i="32"/>
  <c r="DL24" i="32"/>
  <c r="DC24" i="32"/>
  <c r="BW24" i="32"/>
  <c r="CC24" i="32"/>
  <c r="CX24" i="32"/>
  <c r="DD24" i="32"/>
  <c r="DJ24" i="32"/>
  <c r="CB24" i="32"/>
  <c r="CY24" i="32"/>
  <c r="BY24" i="32"/>
  <c r="CZ24" i="32"/>
  <c r="DF24" i="32"/>
  <c r="BX24" i="32"/>
  <c r="DE24" i="32"/>
  <c r="BZ24" i="32"/>
  <c r="DA24" i="32"/>
  <c r="DG24" i="32"/>
  <c r="DN24" i="32"/>
  <c r="BV24" i="32"/>
  <c r="DB24" i="32"/>
  <c r="DH24" i="32"/>
  <c r="DP24" i="32"/>
  <c r="DQ24" i="32"/>
  <c r="P25" i="32"/>
  <c r="DJ25" i="32"/>
  <c r="DP25" i="32"/>
  <c r="BM25" i="32"/>
  <c r="BM26" i="32"/>
  <c r="CL26" i="32"/>
  <c r="P26" i="32"/>
  <c r="DQ25" i="32"/>
  <c r="DN27" i="32"/>
  <c r="DL27" i="32"/>
  <c r="CP26" i="32"/>
  <c r="DL26" i="32"/>
  <c r="BZ26" i="32"/>
  <c r="BV26" i="32"/>
  <c r="CX26" i="32"/>
  <c r="CB26" i="32"/>
  <c r="DC26" i="32"/>
  <c r="CY26" i="32"/>
  <c r="DD26" i="32"/>
  <c r="DE26" i="32"/>
  <c r="BX26" i="32"/>
  <c r="CZ26" i="32"/>
  <c r="DF26" i="32"/>
  <c r="CC26" i="32"/>
  <c r="DJ26" i="32"/>
  <c r="BW26" i="32"/>
  <c r="BY26" i="32"/>
  <c r="CH26" i="32"/>
  <c r="DA26" i="32"/>
  <c r="DG26" i="32"/>
  <c r="DN26" i="32"/>
  <c r="DB26" i="32"/>
  <c r="DH26" i="32"/>
  <c r="DP26" i="32"/>
  <c r="DQ26" i="32"/>
  <c r="P27" i="32"/>
  <c r="CP27" i="32"/>
  <c r="CL27" i="32"/>
  <c r="DN28" i="32"/>
  <c r="DL28" i="32"/>
  <c r="DJ27" i="32"/>
  <c r="BM27" i="32"/>
  <c r="DQ27" i="32"/>
  <c r="P28" i="32"/>
  <c r="BM28" i="32"/>
  <c r="DJ28" i="32"/>
  <c r="DQ28" i="32"/>
  <c r="P29" i="32"/>
  <c r="BM29" i="32"/>
  <c r="CH29" i="32"/>
  <c r="DL29" i="32"/>
  <c r="BZ29" i="32"/>
  <c r="DD29" i="32"/>
  <c r="DJ29" i="32"/>
  <c r="CZ29" i="32"/>
  <c r="DF29" i="32"/>
  <c r="CX29" i="32"/>
  <c r="CY29" i="32"/>
  <c r="DE29" i="32"/>
  <c r="BW29" i="32"/>
  <c r="CC29" i="32"/>
  <c r="DA29" i="32"/>
  <c r="DG29" i="32"/>
  <c r="DN29" i="32"/>
  <c r="CB29" i="32"/>
  <c r="BX29" i="32"/>
  <c r="DB29" i="32"/>
  <c r="DH29" i="32"/>
  <c r="DP29" i="32"/>
  <c r="BV29" i="32"/>
  <c r="BY29" i="32"/>
  <c r="DC29" i="32"/>
  <c r="DQ29" i="32"/>
  <c r="P30" i="32"/>
  <c r="BM30" i="32"/>
  <c r="DL31" i="32"/>
  <c r="DN31" i="32"/>
  <c r="DL30" i="32"/>
  <c r="CH30" i="32"/>
  <c r="CB30" i="32"/>
  <c r="DB30" i="32"/>
  <c r="DH30" i="32"/>
  <c r="DP30" i="32"/>
  <c r="CC30" i="32"/>
  <c r="DJ30" i="32"/>
  <c r="BV30" i="32"/>
  <c r="CX30" i="32"/>
  <c r="BX30" i="32"/>
  <c r="DC30" i="32"/>
  <c r="BW30" i="32"/>
  <c r="DD30" i="32"/>
  <c r="CY30" i="32"/>
  <c r="DE30" i="32"/>
  <c r="BY30" i="32"/>
  <c r="CZ30" i="32"/>
  <c r="DF30" i="32"/>
  <c r="BZ30" i="32"/>
  <c r="DA30" i="32"/>
  <c r="DG30" i="32"/>
  <c r="DN30" i="32"/>
  <c r="CL31" i="32"/>
  <c r="DQ30" i="32"/>
  <c r="P31" i="32"/>
  <c r="DD32" i="32"/>
  <c r="DE32" i="32"/>
  <c r="BM31" i="32"/>
  <c r="CH32" i="32"/>
  <c r="CL32" i="32"/>
  <c r="DJ31" i="32"/>
  <c r="P32" i="32"/>
  <c r="DQ31" i="32"/>
  <c r="BM32" i="32"/>
  <c r="BM33" i="32"/>
  <c r="DQ32" i="32"/>
  <c r="P33" i="32"/>
  <c r="BX32" i="32"/>
  <c r="BW32" i="32"/>
  <c r="CC32" i="32"/>
  <c r="CZ32" i="32"/>
  <c r="DF32" i="32"/>
  <c r="DL32" i="32"/>
  <c r="DG32" i="32"/>
  <c r="BY32" i="32"/>
  <c r="DB32" i="32"/>
  <c r="DH32" i="32"/>
  <c r="DN32" i="32"/>
  <c r="BZ32" i="32"/>
  <c r="DC32" i="32"/>
  <c r="DP32" i="32"/>
  <c r="CX32" i="32"/>
  <c r="DJ32" i="32"/>
  <c r="DA32" i="32"/>
  <c r="BV32" i="32"/>
  <c r="CB32" i="32"/>
  <c r="CY32" i="32"/>
  <c r="DN34" i="32"/>
  <c r="DL34" i="32"/>
  <c r="DQ33" i="32"/>
  <c r="P34" i="32"/>
  <c r="DL35" i="32"/>
  <c r="DN35" i="32"/>
  <c r="BM34" i="32"/>
  <c r="DJ34" i="32"/>
  <c r="P35" i="32"/>
  <c r="DQ34" i="32"/>
  <c r="DL36" i="32"/>
  <c r="BM35" i="32"/>
  <c r="DJ35" i="32"/>
  <c r="DQ35" i="32"/>
  <c r="P36" i="32"/>
  <c r="BM36" i="32"/>
  <c r="DJ36" i="32"/>
  <c r="DN36" i="32"/>
  <c r="DQ36" i="32"/>
  <c r="P37" i="32"/>
  <c r="AD37" i="32"/>
  <c r="DL6" i="32"/>
  <c r="DN6" i="32"/>
  <c r="BJ37" i="32"/>
  <c r="BM37" i="32"/>
  <c r="CK37" i="32"/>
  <c r="CJ37" i="32"/>
  <c r="CL37" i="32"/>
  <c r="CO37" i="32"/>
  <c r="CN37" i="32"/>
  <c r="CP37" i="32"/>
  <c r="CH37" i="32"/>
  <c r="DN37" i="32"/>
  <c r="DP37" i="32"/>
  <c r="CK13" i="32"/>
  <c r="CO13" i="32"/>
  <c r="DH37" i="32"/>
  <c r="DC37" i="32"/>
  <c r="DB37" i="32"/>
  <c r="DL37" i="32"/>
  <c r="CG37" i="32"/>
  <c r="BU37" i="32"/>
  <c r="DD37" i="32"/>
  <c r="DE37" i="32"/>
  <c r="BR37" i="32"/>
  <c r="BO37" i="32"/>
  <c r="BQ37" i="32"/>
  <c r="BJ37" i="23"/>
  <c r="CF37" i="2"/>
  <c r="CG37" i="2"/>
  <c r="DJ37" i="8"/>
  <c r="DN37" i="2"/>
  <c r="BZ34" i="4"/>
  <c r="BY34" i="4"/>
  <c r="BX34" i="4"/>
  <c r="BV34" i="4"/>
  <c r="DF34" i="4"/>
  <c r="BW34" i="4"/>
  <c r="DG34" i="4"/>
  <c r="DA34" i="4"/>
  <c r="CZ34" i="4"/>
  <c r="CB34" i="4"/>
  <c r="CC34" i="4"/>
  <c r="CX34" i="4"/>
  <c r="CY34" i="4"/>
  <c r="DN34" i="4"/>
  <c r="DP34" i="4"/>
  <c r="DP37" i="17"/>
  <c r="DN37" i="23"/>
  <c r="DJ37" i="6"/>
  <c r="BY37" i="14"/>
  <c r="BZ37" i="14"/>
  <c r="BV37" i="14"/>
  <c r="BX37" i="14"/>
  <c r="BW37" i="14"/>
  <c r="DF37" i="14"/>
  <c r="DA37" i="14"/>
  <c r="DG37" i="14"/>
  <c r="CZ37" i="14"/>
  <c r="CB37" i="14"/>
  <c r="CX37" i="14"/>
  <c r="CC37" i="14"/>
  <c r="CY37" i="14"/>
  <c r="BZ37" i="20"/>
  <c r="BV37" i="20"/>
  <c r="BY37" i="20"/>
  <c r="BW37" i="20"/>
  <c r="BX37" i="20"/>
  <c r="DG37" i="20"/>
  <c r="DF37" i="20"/>
  <c r="CY37" i="20"/>
  <c r="CC37" i="20"/>
  <c r="CX37" i="20"/>
  <c r="CZ37" i="20"/>
  <c r="DA37" i="20"/>
  <c r="CB37" i="20"/>
  <c r="DP37" i="20"/>
  <c r="BZ37" i="23"/>
  <c r="BX37" i="23"/>
  <c r="BV37" i="23"/>
  <c r="BY37" i="23"/>
  <c r="DG37" i="23"/>
  <c r="BW37" i="23"/>
  <c r="CB37" i="23"/>
  <c r="CZ37" i="23"/>
  <c r="DF37" i="23"/>
  <c r="CY37" i="23"/>
  <c r="CC37" i="23"/>
  <c r="DA37" i="23"/>
  <c r="CX37" i="23"/>
  <c r="DP37" i="23"/>
  <c r="DN37" i="20"/>
  <c r="DJ34" i="4"/>
  <c r="DN37" i="8"/>
  <c r="CD37" i="14"/>
  <c r="DN37" i="14"/>
  <c r="DJ37" i="17"/>
  <c r="BZ37" i="2"/>
  <c r="DB37" i="2"/>
  <c r="BW37" i="2"/>
  <c r="BX37" i="2"/>
  <c r="DH37" i="2"/>
  <c r="BU37" i="2"/>
  <c r="BV37" i="2"/>
  <c r="BY37" i="2"/>
  <c r="DC37" i="2"/>
  <c r="DD37" i="2"/>
  <c r="DE37" i="2"/>
  <c r="DG37" i="2"/>
  <c r="DA37" i="2"/>
  <c r="CB37" i="2"/>
  <c r="DF37" i="2"/>
  <c r="CC37" i="2"/>
  <c r="CX37" i="2"/>
  <c r="CY37" i="2"/>
  <c r="CZ37" i="2"/>
  <c r="DP37" i="2"/>
  <c r="DJ37" i="14"/>
  <c r="DJ37" i="2"/>
  <c r="DN37" i="6"/>
  <c r="DP37" i="8"/>
  <c r="CE37" i="14"/>
  <c r="DP37" i="14"/>
  <c r="DL37" i="2"/>
  <c r="DP37" i="6"/>
  <c r="BZ37" i="8"/>
  <c r="BX37" i="8"/>
  <c r="BW37" i="8"/>
  <c r="BV37" i="8"/>
  <c r="BY37" i="8"/>
  <c r="CC37" i="8"/>
  <c r="CX37" i="8"/>
  <c r="CY37" i="8"/>
  <c r="CZ37" i="8"/>
  <c r="DF37" i="8"/>
  <c r="DG37" i="8"/>
  <c r="DA37" i="8"/>
  <c r="CB37" i="8"/>
  <c r="BY37" i="17"/>
  <c r="BZ37" i="17"/>
  <c r="BW37" i="17"/>
  <c r="BV37" i="17"/>
  <c r="BX37" i="17"/>
  <c r="DF37" i="17"/>
  <c r="DA37" i="17"/>
  <c r="DG37" i="17"/>
  <c r="CC37" i="17"/>
  <c r="CZ37" i="17"/>
  <c r="CX37" i="17"/>
  <c r="CB37" i="17"/>
  <c r="CY37" i="17"/>
  <c r="DN37" i="17"/>
  <c r="DJ37" i="20"/>
  <c r="DJ37" i="23"/>
  <c r="DJ37" i="32"/>
  <c r="BZ37" i="32"/>
  <c r="BV37" i="32"/>
  <c r="BW37" i="32"/>
  <c r="BX37" i="32"/>
  <c r="BY37" i="32"/>
  <c r="DF37" i="32"/>
  <c r="DG37" i="32"/>
  <c r="CC37" i="32"/>
  <c r="CB37" i="32"/>
  <c r="CY37" i="32"/>
  <c r="CZ37" i="32"/>
  <c r="DA37" i="32"/>
  <c r="CX37" i="32"/>
  <c r="BP37" i="32"/>
  <c r="BT37" i="32"/>
  <c r="BS37" i="32"/>
  <c r="K40" i="32"/>
  <c r="J40" i="32"/>
  <c r="I40" i="32"/>
  <c r="H40" i="32"/>
  <c r="G40" i="32"/>
  <c r="F40" i="32"/>
  <c r="E40" i="32"/>
  <c r="D40" i="32"/>
  <c r="L40" i="3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99800463</author>
    <author>99797282</author>
  </authors>
  <commentList>
    <comment ref="EO23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Feito pela media dos dias anteriores
</t>
        </r>
      </text>
    </comment>
    <comment ref="FD23" authorId="1" shapeId="0" xr:uid="{00000000-0006-0000-0000-000002000000}">
      <text>
        <r>
          <rPr>
            <b/>
            <sz val="9"/>
            <color indexed="81"/>
            <rFont val="Tahoma"/>
            <family val="2"/>
          </rPr>
          <t>99797282:</t>
        </r>
        <r>
          <rPr>
            <sz val="9"/>
            <color indexed="81"/>
            <rFont val="Tahoma"/>
            <family val="2"/>
          </rPr>
          <t xml:space="preserve">
Início da limpeza dos reservatórios de Água da ETA e cervejaria</t>
        </r>
      </text>
    </comment>
    <comment ref="FF38" authorId="1" shapeId="0" xr:uid="{00000000-0006-0000-0000-000003000000}">
      <text>
        <r>
          <rPr>
            <b/>
            <sz val="9"/>
            <color indexed="81"/>
            <rFont val="Tahoma"/>
            <family val="2"/>
          </rPr>
          <t>99797282:</t>
        </r>
        <r>
          <rPr>
            <sz val="9"/>
            <color indexed="81"/>
            <rFont val="Tahoma"/>
            <family val="2"/>
          </rPr>
          <t xml:space="preserve">
TOTALIZADOR SUPERVISÓRIO</t>
        </r>
      </text>
    </comment>
    <comment ref="FG38" authorId="1" shapeId="0" xr:uid="{00000000-0006-0000-0000-000004000000}">
      <text>
        <r>
          <rPr>
            <b/>
            <sz val="9"/>
            <color indexed="81"/>
            <rFont val="Tahoma"/>
            <family val="2"/>
          </rPr>
          <t>99797282:</t>
        </r>
        <r>
          <rPr>
            <sz val="9"/>
            <color indexed="81"/>
            <rFont val="Tahoma"/>
            <family val="2"/>
          </rPr>
          <t xml:space="preserve">
TOTALIZADOR SUPERVISÓRIO
</t>
        </r>
      </text>
    </comment>
    <comment ref="FH38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99797282:</t>
        </r>
        <r>
          <rPr>
            <sz val="9"/>
            <color indexed="81"/>
            <rFont val="Tahoma"/>
            <family val="2"/>
          </rPr>
          <t xml:space="preserve">
TOTALIZADOR SUPERVISÓRIO
</t>
        </r>
      </text>
    </comment>
    <comment ref="FI38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99797282:</t>
        </r>
        <r>
          <rPr>
            <sz val="9"/>
            <color indexed="81"/>
            <rFont val="Tahoma"/>
            <family val="2"/>
          </rPr>
          <t xml:space="preserve">
TOTALIZADOR PASE
</t>
        </r>
      </text>
    </comment>
    <comment ref="FJ38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99797282:</t>
        </r>
        <r>
          <rPr>
            <sz val="9"/>
            <color indexed="81"/>
            <rFont val="Tahoma"/>
            <family val="2"/>
          </rPr>
          <t xml:space="preserve">
TOTALIZADOR SUPERVISÓRIO
</t>
        </r>
      </text>
    </comment>
    <comment ref="FK38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99797282:</t>
        </r>
        <r>
          <rPr>
            <sz val="9"/>
            <color indexed="81"/>
            <rFont val="Tahoma"/>
            <family val="2"/>
          </rPr>
          <t xml:space="preserve">
TOTALIZADOR PASE
</t>
        </r>
      </text>
    </comment>
    <comment ref="FM38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99797282:</t>
        </r>
        <r>
          <rPr>
            <sz val="9"/>
            <color indexed="81"/>
            <rFont val="Tahoma"/>
            <family val="2"/>
          </rPr>
          <t xml:space="preserve">
TOTALIZADOR PASE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99797282</author>
  </authors>
  <commentList>
    <comment ref="AR25" authorId="0" shapeId="0" xr:uid="{00000000-0006-0000-1500-000001000000}">
      <text>
        <r>
          <rPr>
            <b/>
            <sz val="9"/>
            <color indexed="81"/>
            <rFont val="Tahoma"/>
            <family val="2"/>
          </rPr>
          <t>99797282:</t>
        </r>
        <r>
          <rPr>
            <sz val="9"/>
            <color indexed="81"/>
            <rFont val="Tahoma"/>
            <family val="2"/>
          </rPr>
          <t xml:space="preserve">
Medidor resetando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99797282</author>
  </authors>
  <commentList>
    <comment ref="FD23" authorId="0" shapeId="0" xr:uid="{00000000-0006-0000-1700-000001000000}">
      <text>
        <r>
          <rPr>
            <b/>
            <sz val="9"/>
            <color indexed="81"/>
            <rFont val="Tahoma"/>
            <family val="2"/>
          </rPr>
          <t>99797282:</t>
        </r>
        <r>
          <rPr>
            <sz val="9"/>
            <color indexed="81"/>
            <rFont val="Tahoma"/>
            <family val="2"/>
          </rPr>
          <t xml:space="preserve">
Início da limpeza dos reservatórios de Água da ETA e cervejaria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99800463</author>
  </authors>
  <commentList>
    <comment ref="F24" authorId="0" shapeId="0" xr:uid="{00000000-0006-0000-1800-000001000000}">
      <text>
        <r>
          <rPr>
            <sz val="9"/>
            <color indexed="81"/>
            <rFont val="Tahoma"/>
            <family val="2"/>
          </rPr>
          <t>PCM.
Só 1 fabrico.</t>
        </r>
      </text>
    </comment>
    <comment ref="AD37" authorId="0" shapeId="0" xr:uid="{00000000-0006-0000-1800-000002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Expurgo de 923m3 do Renovation, feito na linha 501.</t>
        </r>
      </text>
    </comment>
    <comment ref="CH37" authorId="0" shapeId="0" xr:uid="{00000000-0006-0000-1800-000003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Ja contando o expurgo do renovation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99800463</author>
    <author>99072120</author>
  </authors>
  <commentList>
    <comment ref="AO5" authorId="0" shapeId="0" xr:uid="{00000000-0006-0000-1900-000001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Geral = rinser, mangueira, pz, enchedora, transporte
</t>
        </r>
      </text>
    </comment>
    <comment ref="AQ5" authorId="0" shapeId="0" xr:uid="{00000000-0006-0000-1900-000002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Geral = linha + pz</t>
        </r>
      </text>
    </comment>
    <comment ref="BL22" authorId="0" shapeId="0" xr:uid="{00000000-0006-0000-1900-000003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Expurgo B.B (-92,7)</t>
        </r>
      </text>
    </comment>
    <comment ref="BL32" authorId="0" shapeId="0" xr:uid="{00000000-0006-0000-1900-000004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Expurgo BB (99,4)</t>
        </r>
      </text>
    </comment>
    <comment ref="BL35" authorId="1" shapeId="0" xr:uid="{00000000-0006-0000-1900-000005000000}">
      <text>
        <r>
          <rPr>
            <b/>
            <sz val="9"/>
            <color indexed="81"/>
            <rFont val="Tahoma"/>
            <family val="2"/>
          </rPr>
          <t>99072120:</t>
        </r>
        <r>
          <rPr>
            <sz val="9"/>
            <color indexed="81"/>
            <rFont val="Tahoma"/>
            <family val="2"/>
          </rPr>
          <t xml:space="preserve">
EXPURGO B.BLEND (-38,3)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99800463</author>
    <author>99072120</author>
  </authors>
  <commentList>
    <comment ref="AO5" authorId="0" shapeId="0" xr:uid="{00000000-0006-0000-1A00-000001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Geral = rinser, mangueira, pz, enchedora, transporte
</t>
        </r>
      </text>
    </comment>
    <comment ref="AQ5" authorId="0" shapeId="0" xr:uid="{00000000-0006-0000-1A00-000002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Geral = linha + pz</t>
        </r>
      </text>
    </comment>
    <comment ref="BL19" authorId="1" shapeId="0" xr:uid="{00000000-0006-0000-1A00-000003000000}">
      <text>
        <r>
          <rPr>
            <b/>
            <sz val="9"/>
            <color indexed="81"/>
            <rFont val="Tahoma"/>
            <family val="2"/>
          </rPr>
          <t>99072120:</t>
        </r>
        <r>
          <rPr>
            <sz val="9"/>
            <color indexed="81"/>
            <rFont val="Tahoma"/>
            <family val="2"/>
          </rPr>
          <t xml:space="preserve">
expurgo b.blend (-183,1)
</t>
        </r>
      </text>
    </comment>
    <comment ref="BL36" authorId="0" shapeId="0" xr:uid="{00000000-0006-0000-1A00-000004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Expurgo B.Blend (-130,9)
Expurgo Renovation (-590m3, feito na 502, consumo total da linha de 18 a 23)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99800463</author>
    <author>99072120</author>
    <author>99741037</author>
  </authors>
  <commentList>
    <comment ref="EE3" authorId="0" shapeId="0" xr:uid="{00000000-0006-0000-1B00-000001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rinser + mangueira</t>
        </r>
      </text>
    </comment>
    <comment ref="EF3" authorId="0" shapeId="0" xr:uid="{00000000-0006-0000-1B00-000002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Pz, ech, transporte</t>
        </r>
      </text>
    </comment>
    <comment ref="AO5" authorId="0" shapeId="0" xr:uid="{00000000-0006-0000-1B00-000003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Geral = rinser, mangueira, pz, enchedora, transporte
</t>
        </r>
      </text>
    </comment>
    <comment ref="AQ5" authorId="0" shapeId="0" xr:uid="{00000000-0006-0000-1B00-000004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Geral = linha + pz</t>
        </r>
      </text>
    </comment>
    <comment ref="BG5" authorId="0" shapeId="0" xr:uid="{00000000-0006-0000-1B00-000005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Contabiliza tq agua gelada 2 (msm bixado), pois meta inclui os dois tqs
</t>
        </r>
      </text>
    </comment>
    <comment ref="CX5" authorId="1" shapeId="0" xr:uid="{00000000-0006-0000-1B00-000006000000}">
      <text>
        <r>
          <rPr>
            <b/>
            <sz val="9"/>
            <color indexed="81"/>
            <rFont val="Tahoma"/>
            <family val="2"/>
          </rPr>
          <t>99072120:</t>
        </r>
        <r>
          <rPr>
            <sz val="9"/>
            <color indexed="81"/>
            <rFont val="Tahoma"/>
            <family val="2"/>
          </rPr>
          <t xml:space="preserve">
base normalizada</t>
        </r>
      </text>
    </comment>
    <comment ref="CY5" authorId="1" shapeId="0" xr:uid="{00000000-0006-0000-1B00-000007000000}">
      <text>
        <r>
          <rPr>
            <b/>
            <sz val="9"/>
            <color indexed="81"/>
            <rFont val="Tahoma"/>
            <family val="2"/>
          </rPr>
          <t>99072120:</t>
        </r>
        <r>
          <rPr>
            <sz val="9"/>
            <color indexed="81"/>
            <rFont val="Tahoma"/>
            <family val="2"/>
          </rPr>
          <t xml:space="preserve">
base normalizada</t>
        </r>
      </text>
    </comment>
    <comment ref="CZ5" authorId="1" shapeId="0" xr:uid="{00000000-0006-0000-1B00-000008000000}">
      <text>
        <r>
          <rPr>
            <b/>
            <sz val="9"/>
            <color indexed="81"/>
            <rFont val="Tahoma"/>
            <family val="2"/>
          </rPr>
          <t>99072120: base normalizada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A5" authorId="1" shapeId="0" xr:uid="{00000000-0006-0000-1B00-000009000000}">
      <text>
        <r>
          <rPr>
            <b/>
            <sz val="9"/>
            <color indexed="81"/>
            <rFont val="Tahoma"/>
            <family val="2"/>
          </rPr>
          <t>99072120:</t>
        </r>
        <r>
          <rPr>
            <sz val="9"/>
            <color indexed="81"/>
            <rFont val="Tahoma"/>
            <family val="2"/>
          </rPr>
          <t xml:space="preserve">
base normalizada</t>
        </r>
      </text>
    </comment>
    <comment ref="DB5" authorId="0" shapeId="0" xr:uid="{00000000-0006-0000-1B00-00000A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Nao contabiliza reuso!</t>
        </r>
      </text>
    </comment>
    <comment ref="DH5" authorId="0" shapeId="0" xr:uid="{00000000-0006-0000-1B00-00000B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contabiliza os dois tqs de agua gelada</t>
        </r>
      </text>
    </comment>
    <comment ref="BL36" authorId="2" shapeId="0" xr:uid="{00000000-0006-0000-1B00-00000C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Expurgo Bblend 399,8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99800463</author>
    <author>99741037</author>
    <author>99072120</author>
    <author>Author</author>
  </authors>
  <commentList>
    <comment ref="EE3" authorId="0" shapeId="0" xr:uid="{00000000-0006-0000-1C00-000001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rinser + mangueira</t>
        </r>
      </text>
    </comment>
    <comment ref="EF3" authorId="0" shapeId="0" xr:uid="{00000000-0006-0000-1C00-000002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Pz, ech, transporte</t>
        </r>
      </text>
    </comment>
    <comment ref="AD5" authorId="1" shapeId="0" xr:uid="{00000000-0006-0000-1C00-000003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Consumo da linha será igual  subtração dos hidrômetros da linha + consumo da LGF</t>
        </r>
      </text>
    </comment>
    <comment ref="AH5" authorId="1" shapeId="0" xr:uid="{00000000-0006-0000-1C00-000004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Consumo da linha será igual  subtração dos hidrômetros da linha + Consumo da LGF</t>
        </r>
      </text>
    </comment>
    <comment ref="AL5" authorId="1" shapeId="0" xr:uid="{00000000-0006-0000-1C00-000005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Consumo da linha será igual  subtração dos hidrômetros da linha + consumo da LGF</t>
        </r>
      </text>
    </comment>
    <comment ref="AO5" authorId="0" shapeId="0" xr:uid="{00000000-0006-0000-1C00-000006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Geral = rinser, mangueira, pz, enchedora, transporte
</t>
        </r>
      </text>
    </comment>
    <comment ref="AQ5" authorId="0" shapeId="0" xr:uid="{00000000-0006-0000-1C00-000007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Geral = linha + pz</t>
        </r>
      </text>
    </comment>
    <comment ref="BG5" authorId="0" shapeId="0" xr:uid="{00000000-0006-0000-1C00-000008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Contabiliza tq agua gelada 2 (msm bixado), pois meta inclui os dois tqs
</t>
        </r>
      </text>
    </comment>
    <comment ref="CX5" authorId="2" shapeId="0" xr:uid="{00000000-0006-0000-1C00-000009000000}">
      <text>
        <r>
          <rPr>
            <b/>
            <sz val="9"/>
            <color indexed="81"/>
            <rFont val="Tahoma"/>
            <family val="2"/>
          </rPr>
          <t>99072120:</t>
        </r>
        <r>
          <rPr>
            <sz val="9"/>
            <color indexed="81"/>
            <rFont val="Tahoma"/>
            <family val="2"/>
          </rPr>
          <t xml:space="preserve">
base normalizada</t>
        </r>
      </text>
    </comment>
    <comment ref="CY5" authorId="2" shapeId="0" xr:uid="{00000000-0006-0000-1C00-00000A000000}">
      <text>
        <r>
          <rPr>
            <b/>
            <sz val="9"/>
            <color indexed="81"/>
            <rFont val="Tahoma"/>
            <family val="2"/>
          </rPr>
          <t>99072120:</t>
        </r>
        <r>
          <rPr>
            <sz val="9"/>
            <color indexed="81"/>
            <rFont val="Tahoma"/>
            <family val="2"/>
          </rPr>
          <t xml:space="preserve">
base normalizada</t>
        </r>
      </text>
    </comment>
    <comment ref="CZ5" authorId="2" shapeId="0" xr:uid="{00000000-0006-0000-1C00-00000B000000}">
      <text>
        <r>
          <rPr>
            <b/>
            <sz val="9"/>
            <color indexed="81"/>
            <rFont val="Tahoma"/>
            <family val="2"/>
          </rPr>
          <t>99072120: base normalizada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A5" authorId="2" shapeId="0" xr:uid="{00000000-0006-0000-1C00-00000C000000}">
      <text>
        <r>
          <rPr>
            <b/>
            <sz val="9"/>
            <color indexed="81"/>
            <rFont val="Tahoma"/>
            <family val="2"/>
          </rPr>
          <t>99072120:</t>
        </r>
        <r>
          <rPr>
            <sz val="9"/>
            <color indexed="81"/>
            <rFont val="Tahoma"/>
            <family val="2"/>
          </rPr>
          <t xml:space="preserve">
base normalizada</t>
        </r>
      </text>
    </comment>
    <comment ref="DB5" authorId="0" shapeId="0" xr:uid="{00000000-0006-0000-1C00-00000D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Nao contabiliza reuso!</t>
        </r>
      </text>
    </comment>
    <comment ref="DH5" authorId="0" shapeId="0" xr:uid="{00000000-0006-0000-1C00-00000E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contabiliza os dois tqs de agua gelada</t>
        </r>
      </text>
    </comment>
    <comment ref="FG6" authorId="1" shapeId="0" xr:uid="{00000000-0006-0000-1C00-00000F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</t>
        </r>
      </text>
    </comment>
    <comment ref="FJ6" authorId="1" shapeId="0" xr:uid="{00000000-0006-0000-1C00-000010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</t>
        </r>
      </text>
    </comment>
    <comment ref="FG7" authorId="1" shapeId="0" xr:uid="{00000000-0006-0000-1C00-000011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</t>
        </r>
      </text>
    </comment>
    <comment ref="FJ7" authorId="1" shapeId="0" xr:uid="{00000000-0006-0000-1C00-000012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</t>
        </r>
      </text>
    </comment>
    <comment ref="P8" authorId="1" shapeId="0" xr:uid="{00000000-0006-0000-1C00-000013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711,98 hl de cerveja transferida (entrada) (711,98*0,5)
</t>
        </r>
      </text>
    </comment>
    <comment ref="FG8" authorId="1" shapeId="0" xr:uid="{00000000-0006-0000-1C00-000014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</t>
        </r>
      </text>
    </comment>
    <comment ref="FJ8" authorId="1" shapeId="0" xr:uid="{00000000-0006-0000-1C00-000015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
</t>
        </r>
      </text>
    </comment>
    <comment ref="FG9" authorId="1" shapeId="0" xr:uid="{00000000-0006-0000-1C00-000016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
</t>
        </r>
      </text>
    </comment>
    <comment ref="FJ9" authorId="1" shapeId="0" xr:uid="{00000000-0006-0000-1C00-000017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
</t>
        </r>
      </text>
    </comment>
    <comment ref="O10" authorId="1" shapeId="0" xr:uid="{00000000-0006-0000-1C00-000018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Entrada de cerveja transferida 350hl (350*0,5)
</t>
        </r>
      </text>
    </comment>
    <comment ref="FG10" authorId="1" shapeId="0" xr:uid="{00000000-0006-0000-1C00-000019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
</t>
        </r>
      </text>
    </comment>
    <comment ref="FJ10" authorId="1" shapeId="0" xr:uid="{00000000-0006-0000-1C00-00001A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
</t>
        </r>
      </text>
    </comment>
    <comment ref="FG11" authorId="1" shapeId="0" xr:uid="{00000000-0006-0000-1C00-00001B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
</t>
        </r>
      </text>
    </comment>
    <comment ref="FJ11" authorId="1" shapeId="0" xr:uid="{00000000-0006-0000-1C00-00001C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
</t>
        </r>
      </text>
    </comment>
    <comment ref="FG12" authorId="1" shapeId="0" xr:uid="{00000000-0006-0000-1C00-00001D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
</t>
        </r>
      </text>
    </comment>
    <comment ref="FJ12" authorId="1" shapeId="0" xr:uid="{00000000-0006-0000-1C00-00001E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
</t>
        </r>
      </text>
    </comment>
    <comment ref="FG13" authorId="1" shapeId="0" xr:uid="{00000000-0006-0000-1C00-00001F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
</t>
        </r>
      </text>
    </comment>
    <comment ref="FJ13" authorId="1" shapeId="0" xr:uid="{00000000-0006-0000-1C00-000020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
</t>
        </r>
      </text>
    </comment>
    <comment ref="FG14" authorId="1" shapeId="0" xr:uid="{00000000-0006-0000-1C00-000021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
</t>
        </r>
      </text>
    </comment>
    <comment ref="FJ14" authorId="1" shapeId="0" xr:uid="{00000000-0006-0000-1C00-000022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 pase
</t>
        </r>
      </text>
    </comment>
    <comment ref="FG15" authorId="1" shapeId="0" xr:uid="{00000000-0006-0000-1C00-000023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
</t>
        </r>
      </text>
    </comment>
    <comment ref="FJ15" authorId="1" shapeId="0" xr:uid="{00000000-0006-0000-1C00-000024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 pase
</t>
        </r>
      </text>
    </comment>
    <comment ref="O16" authorId="1" shapeId="0" xr:uid="{00000000-0006-0000-1C00-000025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Entrada de cerveja transferida 703,18 hl (703,18*0,5)</t>
        </r>
      </text>
    </comment>
    <comment ref="FG16" authorId="1" shapeId="0" xr:uid="{00000000-0006-0000-1C00-000026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
</t>
        </r>
      </text>
    </comment>
    <comment ref="FJ16" authorId="1" shapeId="0" xr:uid="{00000000-0006-0000-1C00-000027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 pase
</t>
        </r>
      </text>
    </comment>
    <comment ref="FE17" authorId="1" shapeId="0" xr:uid="{00000000-0006-0000-1C00-000028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Quantidade estimada pois não tinha hidrõmetro nem informação de quato tempoo o poço rodou</t>
        </r>
      </text>
    </comment>
    <comment ref="FG17" authorId="1" shapeId="0" xr:uid="{00000000-0006-0000-1C00-000029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
</t>
        </r>
      </text>
    </comment>
    <comment ref="FJ17" authorId="1" shapeId="0" xr:uid="{00000000-0006-0000-1C00-00002A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 pase
</t>
        </r>
      </text>
    </comment>
    <comment ref="O18" authorId="1" shapeId="0" xr:uid="{00000000-0006-0000-1C00-00002B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Entrada de cerveja transferida 356 hl (356*0,5)</t>
        </r>
      </text>
    </comment>
    <comment ref="FJ19" authorId="1" shapeId="0" xr:uid="{00000000-0006-0000-1C00-00002C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Acertado consumo poço do dia 31/08 a 02/10 pelo hidrômetro.</t>
        </r>
      </text>
    </comment>
    <comment ref="O20" authorId="1" shapeId="0" xr:uid="{00000000-0006-0000-1C00-00002D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Entrada de cerveja transferida 706 hl (706*0,5)</t>
        </r>
      </text>
    </comment>
    <comment ref="FG20" authorId="1" shapeId="0" xr:uid="{00000000-0006-0000-1C00-00002E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
</t>
        </r>
      </text>
    </comment>
    <comment ref="FJ20" authorId="1" shapeId="0" xr:uid="{00000000-0006-0000-1C00-00002F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 pase
</t>
        </r>
      </text>
    </comment>
    <comment ref="O21" authorId="1" shapeId="0" xr:uid="{00000000-0006-0000-1C00-000030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Entrada de cerveja transferida 1091 hl (1091*0,5)</t>
        </r>
      </text>
    </comment>
    <comment ref="FG21" authorId="1" shapeId="0" xr:uid="{00000000-0006-0000-1C00-000031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
</t>
        </r>
      </text>
    </comment>
    <comment ref="FJ21" authorId="1" shapeId="0" xr:uid="{00000000-0006-0000-1C00-000032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 pase
</t>
        </r>
      </text>
    </comment>
    <comment ref="DX22" authorId="3" shapeId="0" xr:uid="{00000000-0006-0000-1C00-00003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Hidrometro voltou
121146</t>
        </r>
      </text>
    </comment>
    <comment ref="FG22" authorId="1" shapeId="0" xr:uid="{00000000-0006-0000-1C00-000034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
</t>
        </r>
      </text>
    </comment>
    <comment ref="FJ22" authorId="1" shapeId="0" xr:uid="{00000000-0006-0000-1C00-000035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 pase
</t>
        </r>
      </text>
    </comment>
    <comment ref="FG23" authorId="1" shapeId="0" xr:uid="{00000000-0006-0000-1C00-000036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
</t>
        </r>
      </text>
    </comment>
    <comment ref="FJ23" authorId="1" shapeId="0" xr:uid="{00000000-0006-0000-1C00-000037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 pase
</t>
        </r>
      </text>
    </comment>
    <comment ref="FG24" authorId="1" shapeId="0" xr:uid="{00000000-0006-0000-1C00-000038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
</t>
        </r>
      </text>
    </comment>
    <comment ref="FJ24" authorId="1" shapeId="0" xr:uid="{00000000-0006-0000-1C00-000039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 pase
</t>
        </r>
      </text>
    </comment>
    <comment ref="FG25" authorId="1" shapeId="0" xr:uid="{00000000-0006-0000-1C00-00003A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
</t>
        </r>
      </text>
    </comment>
    <comment ref="FJ25" authorId="1" shapeId="0" xr:uid="{00000000-0006-0000-1C00-00003B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 pase
</t>
        </r>
      </text>
    </comment>
    <comment ref="FG26" authorId="1" shapeId="0" xr:uid="{00000000-0006-0000-1C00-00003C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
</t>
        </r>
      </text>
    </comment>
    <comment ref="FJ26" authorId="1" shapeId="0" xr:uid="{00000000-0006-0000-1C00-00003D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 pase
</t>
        </r>
      </text>
    </comment>
    <comment ref="FG27" authorId="1" shapeId="0" xr:uid="{00000000-0006-0000-1C00-00003E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
</t>
        </r>
      </text>
    </comment>
    <comment ref="FJ27" authorId="1" shapeId="0" xr:uid="{00000000-0006-0000-1C00-00003F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 pase
</t>
        </r>
      </text>
    </comment>
    <comment ref="FG28" authorId="1" shapeId="0" xr:uid="{00000000-0006-0000-1C00-000040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
</t>
        </r>
      </text>
    </comment>
    <comment ref="FJ28" authorId="1" shapeId="0" xr:uid="{00000000-0006-0000-1C00-000041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 pase
</t>
        </r>
      </text>
    </comment>
    <comment ref="FG29" authorId="1" shapeId="0" xr:uid="{00000000-0006-0000-1C00-000042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
</t>
        </r>
      </text>
    </comment>
    <comment ref="FJ29" authorId="1" shapeId="0" xr:uid="{00000000-0006-0000-1C00-000043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 pase
</t>
        </r>
      </text>
    </comment>
    <comment ref="FG30" authorId="1" shapeId="0" xr:uid="{00000000-0006-0000-1C00-000044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
</t>
        </r>
      </text>
    </comment>
    <comment ref="FJ30" authorId="1" shapeId="0" xr:uid="{00000000-0006-0000-1C00-000045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 pase
</t>
        </r>
      </text>
    </comment>
    <comment ref="FG31" authorId="1" shapeId="0" xr:uid="{00000000-0006-0000-1C00-000046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
</t>
        </r>
      </text>
    </comment>
    <comment ref="FJ31" authorId="1" shapeId="0" xr:uid="{00000000-0006-0000-1C00-000047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 pase
</t>
        </r>
      </text>
    </comment>
    <comment ref="FE32" authorId="1" shapeId="0" xr:uid="{00000000-0006-0000-1C00-000048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Correção poço(1000)</t>
        </r>
      </text>
    </comment>
    <comment ref="FG32" authorId="1" shapeId="0" xr:uid="{00000000-0006-0000-1C00-000049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
</t>
        </r>
      </text>
    </comment>
    <comment ref="FJ32" authorId="1" shapeId="0" xr:uid="{00000000-0006-0000-1C00-00004A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 pase
</t>
        </r>
      </text>
    </comment>
    <comment ref="FK32" authorId="1" shapeId="0" xr:uid="{00000000-0006-0000-1C00-00004B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Correção poço (834)</t>
        </r>
      </text>
    </comment>
    <comment ref="FG33" authorId="1" shapeId="0" xr:uid="{00000000-0006-0000-1C00-00004C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
</t>
        </r>
      </text>
    </comment>
    <comment ref="FJ33" authorId="1" shapeId="0" xr:uid="{00000000-0006-0000-1C00-00004D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 pase
</t>
        </r>
      </text>
    </comment>
    <comment ref="FG34" authorId="1" shapeId="0" xr:uid="{00000000-0006-0000-1C00-00004E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
</t>
        </r>
      </text>
    </comment>
    <comment ref="FJ34" authorId="1" shapeId="0" xr:uid="{00000000-0006-0000-1C00-00004F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 pase
</t>
        </r>
      </text>
    </comment>
    <comment ref="BL35" authorId="1" shapeId="0" xr:uid="{00000000-0006-0000-1C00-000050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Expurgo Bblend 390m3</t>
        </r>
      </text>
    </comment>
    <comment ref="FE35" authorId="1" shapeId="0" xr:uid="{00000000-0006-0000-1C00-000051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Acerto final de poço</t>
        </r>
      </text>
    </comment>
    <comment ref="FG35" authorId="1" shapeId="0" xr:uid="{00000000-0006-0000-1C00-000052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
</t>
        </r>
      </text>
    </comment>
    <comment ref="FJ35" authorId="1" shapeId="0" xr:uid="{00000000-0006-0000-1C00-000053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Hidrômetro pase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99800463</author>
    <author>99741037</author>
    <author>99072120</author>
    <author>99772717</author>
  </authors>
  <commentList>
    <comment ref="EE3" authorId="0" shapeId="0" xr:uid="{00000000-0006-0000-1D00-000001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rinser + mangueira</t>
        </r>
      </text>
    </comment>
    <comment ref="EF3" authorId="0" shapeId="0" xr:uid="{00000000-0006-0000-1D00-000002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Pz, ech, transporte</t>
        </r>
      </text>
    </comment>
    <comment ref="AD5" authorId="1" shapeId="0" xr:uid="{00000000-0006-0000-1D00-000003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Consumo da linha será igual  subtração dos hidrômetros da linha + consumo da LGF</t>
        </r>
      </text>
    </comment>
    <comment ref="AH5" authorId="1" shapeId="0" xr:uid="{00000000-0006-0000-1D00-000004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Consumo da linha será igual  subtração dos hidrômetros da linha + Consumo da LGF</t>
        </r>
      </text>
    </comment>
    <comment ref="AL5" authorId="1" shapeId="0" xr:uid="{00000000-0006-0000-1D00-000005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Consumo da linha será igual  subtração dos hidrômetros da linha + consumo da LGF</t>
        </r>
      </text>
    </comment>
    <comment ref="AO5" authorId="0" shapeId="0" xr:uid="{00000000-0006-0000-1D00-000006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Geral = rinser, mangueira, pz, enchedora, transporte
</t>
        </r>
      </text>
    </comment>
    <comment ref="AQ5" authorId="0" shapeId="0" xr:uid="{00000000-0006-0000-1D00-000007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Geral = linha + pz</t>
        </r>
      </text>
    </comment>
    <comment ref="BG5" authorId="0" shapeId="0" xr:uid="{00000000-0006-0000-1D00-000008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Contabiliza tq agua gelada 2 (msm bixado), pois meta inclui os dois tqs
</t>
        </r>
      </text>
    </comment>
    <comment ref="CX5" authorId="2" shapeId="0" xr:uid="{00000000-0006-0000-1D00-000009000000}">
      <text>
        <r>
          <rPr>
            <b/>
            <sz val="9"/>
            <color indexed="81"/>
            <rFont val="Tahoma"/>
            <family val="2"/>
          </rPr>
          <t>99072120:</t>
        </r>
        <r>
          <rPr>
            <sz val="9"/>
            <color indexed="81"/>
            <rFont val="Tahoma"/>
            <family val="2"/>
          </rPr>
          <t xml:space="preserve">
base normalizada</t>
        </r>
      </text>
    </comment>
    <comment ref="CY5" authorId="2" shapeId="0" xr:uid="{00000000-0006-0000-1D00-00000A000000}">
      <text>
        <r>
          <rPr>
            <b/>
            <sz val="9"/>
            <color indexed="81"/>
            <rFont val="Tahoma"/>
            <family val="2"/>
          </rPr>
          <t>99072120:</t>
        </r>
        <r>
          <rPr>
            <sz val="9"/>
            <color indexed="81"/>
            <rFont val="Tahoma"/>
            <family val="2"/>
          </rPr>
          <t xml:space="preserve">
base normalizada</t>
        </r>
      </text>
    </comment>
    <comment ref="CZ5" authorId="2" shapeId="0" xr:uid="{00000000-0006-0000-1D00-00000B000000}">
      <text>
        <r>
          <rPr>
            <b/>
            <sz val="9"/>
            <color indexed="81"/>
            <rFont val="Tahoma"/>
            <family val="2"/>
          </rPr>
          <t>99072120: base normalizada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A5" authorId="2" shapeId="0" xr:uid="{00000000-0006-0000-1D00-00000C000000}">
      <text>
        <r>
          <rPr>
            <b/>
            <sz val="9"/>
            <color indexed="81"/>
            <rFont val="Tahoma"/>
            <family val="2"/>
          </rPr>
          <t>99072120:</t>
        </r>
        <r>
          <rPr>
            <sz val="9"/>
            <color indexed="81"/>
            <rFont val="Tahoma"/>
            <family val="2"/>
          </rPr>
          <t xml:space="preserve">
base normalizada</t>
        </r>
      </text>
    </comment>
    <comment ref="DB5" authorId="0" shapeId="0" xr:uid="{00000000-0006-0000-1D00-00000D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Nao contabiliza reuso!</t>
        </r>
      </text>
    </comment>
    <comment ref="DH5" authorId="0" shapeId="0" xr:uid="{00000000-0006-0000-1D00-00000E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contabiliza os dois tqs de agua gelada</t>
        </r>
      </text>
    </comment>
    <comment ref="FF7" authorId="1" shapeId="0" xr:uid="{00000000-0006-0000-1D00-00000F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Poço não esta puxando água somente ar</t>
        </r>
      </text>
    </comment>
    <comment ref="O17" authorId="1" shapeId="0" xr:uid="{00000000-0006-0000-1D00-000010000000}">
      <text>
        <r>
          <rPr>
            <b/>
            <sz val="9"/>
            <color indexed="81"/>
            <rFont val="Tahoma"/>
            <family val="2"/>
          </rPr>
          <t>99741037:
Cerveja transferida (entrada) 168hl (168*0,5)</t>
        </r>
      </text>
    </comment>
    <comment ref="O21" authorId="1" shapeId="0" xr:uid="{00000000-0006-0000-1D00-000011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Cerveja transferida (entrada) 2324hl (2324*0,5)</t>
        </r>
      </text>
    </comment>
    <comment ref="O22" authorId="1" shapeId="0" xr:uid="{00000000-0006-0000-1D00-000012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Cerveja transferida 712hl (712*0,5)</t>
        </r>
      </text>
    </comment>
    <comment ref="FI23" authorId="0" shapeId="0" xr:uid="{00000000-0006-0000-1D00-000013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q*t</t>
        </r>
      </text>
    </comment>
    <comment ref="FN23" authorId="0" shapeId="0" xr:uid="{00000000-0006-0000-1D00-000014000000}">
      <text>
        <r>
          <rPr>
            <b/>
            <sz val="9"/>
            <color indexed="81"/>
            <rFont val="Tahoma"/>
            <family val="2"/>
          </rPr>
          <t>Estimado</t>
        </r>
      </text>
    </comment>
    <comment ref="O24" authorId="1" shapeId="0" xr:uid="{00000000-0006-0000-1D00-000015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Cerveja transferida dia 18/10 356HL  (356*0,5)</t>
        </r>
      </text>
    </comment>
    <comment ref="O26" authorId="1" shapeId="0" xr:uid="{00000000-0006-0000-1D00-000016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Cerveja transferida 712hl (712*0,5)</t>
        </r>
      </text>
    </comment>
    <comment ref="FE26" authorId="1" shapeId="0" xr:uid="{00000000-0006-0000-1D00-000017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Q*t</t>
        </r>
      </text>
    </comment>
    <comment ref="FI29" authorId="1" shapeId="0" xr:uid="{00000000-0006-0000-1D00-000018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Q*t</t>
        </r>
      </text>
    </comment>
    <comment ref="FN30" authorId="1" shapeId="0" xr:uid="{00000000-0006-0000-1D00-000019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Acerto pelo hidrômetro superficial</t>
        </r>
      </text>
    </comment>
    <comment ref="FJ31" authorId="3" shapeId="0" xr:uid="{00000000-0006-0000-1D00-00001A000000}">
      <text>
        <r>
          <rPr>
            <b/>
            <sz val="9"/>
            <color indexed="81"/>
            <rFont val="Tahoma"/>
            <family val="2"/>
          </rPr>
          <t>99772717:</t>
        </r>
        <r>
          <rPr>
            <sz val="9"/>
            <color indexed="81"/>
            <rFont val="Tahoma"/>
            <family val="2"/>
          </rPr>
          <t xml:space="preserve">
Tem que acertar depois, pegamos apenas o tempo de funcionamento e a vazão </t>
        </r>
      </text>
    </comment>
    <comment ref="FN31" authorId="3" shapeId="0" xr:uid="{00000000-0006-0000-1D00-00001B000000}">
      <text>
        <r>
          <rPr>
            <b/>
            <sz val="9"/>
            <color indexed="81"/>
            <rFont val="Tahoma"/>
            <family val="2"/>
          </rPr>
          <t>99772717:</t>
        </r>
        <r>
          <rPr>
            <sz val="9"/>
            <color indexed="81"/>
            <rFont val="Tahoma"/>
            <family val="2"/>
          </rPr>
          <t xml:space="preserve">
tem que acertar depois
</t>
        </r>
      </text>
    </comment>
    <comment ref="O32" authorId="1" shapeId="0" xr:uid="{00000000-0006-0000-1D00-00001C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Acerto qtdade cerveja transferida (entrada) 1068hl (1068*0,5)</t>
        </r>
      </text>
    </comment>
    <comment ref="AR34" authorId="1" shapeId="0" xr:uid="{00000000-0006-0000-1D00-00001D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Medidor resetado</t>
        </r>
      </text>
    </comment>
    <comment ref="O36" authorId="1" shapeId="0" xr:uid="{00000000-0006-0000-1D00-00001E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Acertado transferência de cerveja (entrada) 2136hl (2136*0,5)</t>
        </r>
      </text>
    </comment>
    <comment ref="BL36" authorId="1" shapeId="0" xr:uid="{00000000-0006-0000-1D00-00001F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777m3 água recebida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99800463</author>
    <author>99741037</author>
    <author>99072120</author>
  </authors>
  <commentList>
    <comment ref="EE3" authorId="0" shapeId="0" xr:uid="{00000000-0006-0000-1E00-000001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rinser + mangueira</t>
        </r>
      </text>
    </comment>
    <comment ref="EF3" authorId="0" shapeId="0" xr:uid="{00000000-0006-0000-1E00-000002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Pz, ech, transporte</t>
        </r>
      </text>
    </comment>
    <comment ref="AD5" authorId="1" shapeId="0" xr:uid="{00000000-0006-0000-1E00-000003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Consumo da linha será igual  subtração dos hidrômetros da linha + consumo da LGF</t>
        </r>
      </text>
    </comment>
    <comment ref="AH5" authorId="1" shapeId="0" xr:uid="{00000000-0006-0000-1E00-000004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Consumo da linha será igual  subtração dos hidrômetros da linha + Consumo da LGF</t>
        </r>
      </text>
    </comment>
    <comment ref="AL5" authorId="1" shapeId="0" xr:uid="{00000000-0006-0000-1E00-000005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Consumo da linha será igual  subtração dos hidrômetros da linha + consumo da LGF</t>
        </r>
      </text>
    </comment>
    <comment ref="AO5" authorId="0" shapeId="0" xr:uid="{00000000-0006-0000-1E00-000006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Geral = rinser, mangueira, pz, enchedora, transporte
</t>
        </r>
      </text>
    </comment>
    <comment ref="AQ5" authorId="0" shapeId="0" xr:uid="{00000000-0006-0000-1E00-000007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Geral = linha + pz</t>
        </r>
      </text>
    </comment>
    <comment ref="BG5" authorId="0" shapeId="0" xr:uid="{00000000-0006-0000-1E00-000008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Contabiliza tq agua gelada 2 (msm bixado), pois meta inclui os dois tqs
</t>
        </r>
      </text>
    </comment>
    <comment ref="CX5" authorId="2" shapeId="0" xr:uid="{00000000-0006-0000-1E00-000009000000}">
      <text>
        <r>
          <rPr>
            <b/>
            <sz val="9"/>
            <color indexed="81"/>
            <rFont val="Tahoma"/>
            <family val="2"/>
          </rPr>
          <t>99072120:</t>
        </r>
        <r>
          <rPr>
            <sz val="9"/>
            <color indexed="81"/>
            <rFont val="Tahoma"/>
            <family val="2"/>
          </rPr>
          <t xml:space="preserve">
base normalizada</t>
        </r>
      </text>
    </comment>
    <comment ref="CY5" authorId="2" shapeId="0" xr:uid="{00000000-0006-0000-1E00-00000A000000}">
      <text>
        <r>
          <rPr>
            <b/>
            <sz val="9"/>
            <color indexed="81"/>
            <rFont val="Tahoma"/>
            <family val="2"/>
          </rPr>
          <t>99072120:</t>
        </r>
        <r>
          <rPr>
            <sz val="9"/>
            <color indexed="81"/>
            <rFont val="Tahoma"/>
            <family val="2"/>
          </rPr>
          <t xml:space="preserve">
base normalizada</t>
        </r>
      </text>
    </comment>
    <comment ref="CZ5" authorId="2" shapeId="0" xr:uid="{00000000-0006-0000-1E00-00000B000000}">
      <text>
        <r>
          <rPr>
            <b/>
            <sz val="9"/>
            <color indexed="81"/>
            <rFont val="Tahoma"/>
            <family val="2"/>
          </rPr>
          <t>99072120: base normalizada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A5" authorId="2" shapeId="0" xr:uid="{00000000-0006-0000-1E00-00000C000000}">
      <text>
        <r>
          <rPr>
            <b/>
            <sz val="9"/>
            <color indexed="81"/>
            <rFont val="Tahoma"/>
            <family val="2"/>
          </rPr>
          <t>99072120:</t>
        </r>
        <r>
          <rPr>
            <sz val="9"/>
            <color indexed="81"/>
            <rFont val="Tahoma"/>
            <family val="2"/>
          </rPr>
          <t xml:space="preserve">
base normalizada</t>
        </r>
      </text>
    </comment>
    <comment ref="DB5" authorId="0" shapeId="0" xr:uid="{00000000-0006-0000-1E00-00000D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Nao contabiliza reuso!</t>
        </r>
      </text>
    </comment>
    <comment ref="DH5" authorId="0" shapeId="0" xr:uid="{00000000-0006-0000-1E00-00000E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contabiliza os dois tqs de agua gelada</t>
        </r>
      </text>
    </comment>
    <comment ref="FH6" authorId="1" shapeId="0" xr:uid="{00000000-0006-0000-1E00-00000F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Q*t (69,6*19h)</t>
        </r>
      </text>
    </comment>
    <comment ref="FH7" authorId="1" shapeId="0" xr:uid="{00000000-0006-0000-1E00-000010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Q*t (69,6*18)</t>
        </r>
      </text>
    </comment>
    <comment ref="FE12" authorId="1" shapeId="0" xr:uid="{00000000-0006-0000-1E00-000011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Q*t</t>
        </r>
      </text>
    </comment>
    <comment ref="O15" authorId="1" shapeId="0" xr:uid="{00000000-0006-0000-1E00-000012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Entrada de 3916hl de cerveja (3916*0,5)</t>
        </r>
      </text>
    </comment>
    <comment ref="O19" authorId="1" shapeId="0" xr:uid="{00000000-0006-0000-1E00-000013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Entrada de cerveja transferida 2136hl (2136*0,5)</t>
        </r>
      </text>
    </comment>
    <comment ref="O25" authorId="1" shapeId="0" xr:uid="{00000000-0006-0000-1E00-000014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Entrada de cerveja - transferência 1780hl (1780*0,5)</t>
        </r>
      </text>
    </comment>
    <comment ref="O30" authorId="0" shapeId="0" xr:uid="{00000000-0006-0000-1E00-000015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chegada de 2 carretas cerveja (712hl)
</t>
        </r>
      </text>
    </comment>
    <comment ref="O31" authorId="0" shapeId="0" xr:uid="{00000000-0006-0000-1E00-000016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chegada de 5
 carretas cerveja (712hl)
Acertado transferência real de 356hl</t>
        </r>
      </text>
    </comment>
    <comment ref="O34" authorId="1" shapeId="0" xr:uid="{00000000-0006-0000-1E00-000017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Entrada de cerveja - transferência- 3560hl (3560*0,5)</t>
        </r>
      </text>
    </comment>
    <comment ref="AF34" authorId="1" shapeId="0" xr:uid="{00000000-0006-0000-1E00-000018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Lavadora com hidrômetro retrocedendo (média de consumo)</t>
        </r>
      </text>
    </comment>
    <comment ref="O35" authorId="1" shapeId="0" xr:uid="{00000000-0006-0000-1E00-000019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Entrada de cerveja (tranferência) 356hl (356*0,5)</t>
        </r>
      </text>
    </comment>
    <comment ref="BL35" authorId="1" shapeId="0" xr:uid="{00000000-0006-0000-1E00-00001A000000}">
      <text>
        <r>
          <rPr>
            <b/>
            <sz val="11"/>
            <color indexed="81"/>
            <rFont val="Tahoma"/>
            <family val="2"/>
          </rPr>
          <t>Acerto hidrmetros poços (5935)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BL37" authorId="1" shapeId="0" xr:uid="{00000000-0006-0000-1E00-00001B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Quantidade de água enviadade Juatuba para Sete Lagoas (1277m3)
Expurgo 453m3  B Blend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99800463</author>
    <author>99741037</author>
    <author>99072120</author>
  </authors>
  <commentList>
    <comment ref="EE3" authorId="0" shapeId="0" xr:uid="{00000000-0006-0000-1F00-000001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rinser + mangueira</t>
        </r>
      </text>
    </comment>
    <comment ref="EF3" authorId="0" shapeId="0" xr:uid="{00000000-0006-0000-1F00-000002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Pz, ech, transporte</t>
        </r>
      </text>
    </comment>
    <comment ref="AD5" authorId="1" shapeId="0" xr:uid="{00000000-0006-0000-1F00-000003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Consumo da linha será igual  subtração dos hidrômetros da linha + consumo da LGF</t>
        </r>
      </text>
    </comment>
    <comment ref="AH5" authorId="1" shapeId="0" xr:uid="{00000000-0006-0000-1F00-000004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Consumo da linha será igual  subtração dos hidrômetros da linha + Consumo da LGF</t>
        </r>
      </text>
    </comment>
    <comment ref="AL5" authorId="1" shapeId="0" xr:uid="{00000000-0006-0000-1F00-000005000000}">
      <text>
        <r>
          <rPr>
            <b/>
            <sz val="9"/>
            <color indexed="81"/>
            <rFont val="Tahoma"/>
            <family val="2"/>
          </rPr>
          <t>99741037:</t>
        </r>
        <r>
          <rPr>
            <sz val="9"/>
            <color indexed="81"/>
            <rFont val="Tahoma"/>
            <family val="2"/>
          </rPr>
          <t xml:space="preserve">
Consumo da linha será igual  subtração dos hidrômetros da linha + consumo da LGF</t>
        </r>
      </text>
    </comment>
    <comment ref="AO5" authorId="0" shapeId="0" xr:uid="{00000000-0006-0000-1F00-000006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Geral = rinser, mangueira, pz, enchedora, transporte
</t>
        </r>
      </text>
    </comment>
    <comment ref="AQ5" authorId="0" shapeId="0" xr:uid="{00000000-0006-0000-1F00-000007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Geral = linha + pz</t>
        </r>
      </text>
    </comment>
    <comment ref="BG5" authorId="0" shapeId="0" xr:uid="{00000000-0006-0000-1F00-000008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Contabiliza tq agua gelada 2 (msm bixado), pois meta inclui os dois tqs
</t>
        </r>
      </text>
    </comment>
    <comment ref="CX5" authorId="2" shapeId="0" xr:uid="{00000000-0006-0000-1F00-000009000000}">
      <text>
        <r>
          <rPr>
            <b/>
            <sz val="9"/>
            <color indexed="81"/>
            <rFont val="Tahoma"/>
            <family val="2"/>
          </rPr>
          <t>99072120:</t>
        </r>
        <r>
          <rPr>
            <sz val="9"/>
            <color indexed="81"/>
            <rFont val="Tahoma"/>
            <family val="2"/>
          </rPr>
          <t xml:space="preserve">
base normalizada</t>
        </r>
      </text>
    </comment>
    <comment ref="CY5" authorId="2" shapeId="0" xr:uid="{00000000-0006-0000-1F00-00000A000000}">
      <text>
        <r>
          <rPr>
            <b/>
            <sz val="9"/>
            <color indexed="81"/>
            <rFont val="Tahoma"/>
            <family val="2"/>
          </rPr>
          <t>99072120:</t>
        </r>
        <r>
          <rPr>
            <sz val="9"/>
            <color indexed="81"/>
            <rFont val="Tahoma"/>
            <family val="2"/>
          </rPr>
          <t xml:space="preserve">
base normalizada</t>
        </r>
      </text>
    </comment>
    <comment ref="CZ5" authorId="2" shapeId="0" xr:uid="{00000000-0006-0000-1F00-00000B000000}">
      <text>
        <r>
          <rPr>
            <b/>
            <sz val="9"/>
            <color indexed="81"/>
            <rFont val="Tahoma"/>
            <family val="2"/>
          </rPr>
          <t>99072120: base normalizada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A5" authorId="2" shapeId="0" xr:uid="{00000000-0006-0000-1F00-00000C000000}">
      <text>
        <r>
          <rPr>
            <b/>
            <sz val="9"/>
            <color indexed="81"/>
            <rFont val="Tahoma"/>
            <family val="2"/>
          </rPr>
          <t>99072120:</t>
        </r>
        <r>
          <rPr>
            <sz val="9"/>
            <color indexed="81"/>
            <rFont val="Tahoma"/>
            <family val="2"/>
          </rPr>
          <t xml:space="preserve">
base normalizada</t>
        </r>
      </text>
    </comment>
    <comment ref="DB5" authorId="0" shapeId="0" xr:uid="{00000000-0006-0000-1F00-00000D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Nao contabiliza reuso!</t>
        </r>
      </text>
    </comment>
    <comment ref="DH5" authorId="0" shapeId="0" xr:uid="{00000000-0006-0000-1F00-00000E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contabiliza os dois tqs de agua gelada</t>
        </r>
      </text>
    </comment>
    <comment ref="O16" authorId="1" shapeId="0" xr:uid="{00000000-0006-0000-1F00-00000F000000}">
      <text>
        <r>
          <rPr>
            <sz val="9"/>
            <color indexed="81"/>
            <rFont val="Tahoma"/>
            <family val="2"/>
          </rPr>
          <t xml:space="preserve">Cerveja transferida (entrada) 3560hl (3560*0,5)
</t>
        </r>
      </text>
    </comment>
    <comment ref="O24" authorId="1" shapeId="0" xr:uid="{00000000-0006-0000-1F00-000010000000}">
      <text>
        <r>
          <rPr>
            <b/>
            <sz val="9"/>
            <color indexed="81"/>
            <rFont val="Tahoma"/>
            <family val="2"/>
          </rPr>
          <t>Saída de cerveja 2136hl (2136*0,5)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25" authorId="1" shapeId="0" xr:uid="{00000000-0006-0000-1F00-000011000000}">
      <text>
        <r>
          <rPr>
            <sz val="9"/>
            <color indexed="81"/>
            <rFont val="Tahoma"/>
            <family val="2"/>
          </rPr>
          <t xml:space="preserve">Cerveja enviada (saída) 356hl (356*0,5)
</t>
        </r>
      </text>
    </comment>
    <comment ref="O26" authorId="1" shapeId="0" xr:uid="{00000000-0006-0000-1F00-000012000000}">
      <text>
        <r>
          <rPr>
            <b/>
            <sz val="9"/>
            <color indexed="81"/>
            <rFont val="Tahoma"/>
            <family val="2"/>
          </rPr>
          <t>Cervea enviada (transferida) 1424hl (1424*0,5)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1" authorId="1" shapeId="0" xr:uid="{00000000-0006-0000-1F00-000013000000}">
      <text>
        <r>
          <rPr>
            <b/>
            <sz val="9"/>
            <color indexed="81"/>
            <rFont val="Tahoma"/>
            <family val="2"/>
          </rPr>
          <t>Cerveja enviada 2492hl (2492*0,5)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2" authorId="1" shapeId="0" xr:uid="{00000000-0006-0000-1F00-000014000000}">
      <text>
        <r>
          <rPr>
            <b/>
            <sz val="9"/>
            <color indexed="81"/>
            <rFont val="Tahoma"/>
            <family val="2"/>
          </rPr>
          <t>Transferência de cerveja (saída) 1068hl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L32" authorId="0" shapeId="0" xr:uid="{00000000-0006-0000-1F00-000015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Correçao outubro e dezembro (ate 27)</t>
        </r>
      </text>
    </comment>
    <comment ref="W35" authorId="0" shapeId="0" xr:uid="{00000000-0006-0000-1F00-000016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Considerado 0 pq o medidor apontou totalizado inferior ao dia anterior</t>
        </r>
      </text>
    </comment>
    <comment ref="DV35" authorId="0" shapeId="0" xr:uid="{00000000-0006-0000-1F00-000017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Considerado igual ao dia anterior pq medidor apontou valor inferior (consumo negativo)</t>
        </r>
      </text>
    </comment>
    <comment ref="DX35" authorId="0" shapeId="0" xr:uid="{00000000-0006-0000-1F00-000018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Valor apontado apontando consumo desproporcional. Provavelmente estragado.</t>
        </r>
      </text>
    </comment>
    <comment ref="EL35" authorId="0" shapeId="0" xr:uid="{00000000-0006-0000-1F00-000019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Desligado</t>
        </r>
      </text>
    </comment>
    <comment ref="BL36" authorId="0" shapeId="0" xr:uid="{00000000-0006-0000-1F00-00001A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117,9 eh correcao pelo hidrometro, de 28 a 31. (dos pocos). Expurgo Bblend=-707. Correçao ano = +299</t>
        </r>
      </text>
    </comment>
    <comment ref="DU36" authorId="0" shapeId="0" xr:uid="{00000000-0006-0000-1F00-00001B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desligado</t>
        </r>
      </text>
    </comment>
    <comment ref="DV36" authorId="0" shapeId="0" xr:uid="{00000000-0006-0000-1F00-00001C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desligado</t>
        </r>
      </text>
    </comment>
    <comment ref="DX36" authorId="0" shapeId="0" xr:uid="{00000000-0006-0000-1F00-00001D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estragado</t>
        </r>
      </text>
    </comment>
    <comment ref="EL36" authorId="0" shapeId="0" xr:uid="{00000000-0006-0000-1F00-00001E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Desligado</t>
        </r>
      </text>
    </comment>
    <comment ref="EN36" authorId="0" shapeId="0" xr:uid="{00000000-0006-0000-1F00-00001F000000}">
      <text>
        <r>
          <rPr>
            <b/>
            <sz val="9"/>
            <color indexed="81"/>
            <rFont val="Tahoma"/>
            <family val="2"/>
          </rPr>
          <t>99800463:</t>
        </r>
        <r>
          <rPr>
            <sz val="9"/>
            <color indexed="81"/>
            <rFont val="Tahoma"/>
            <family val="2"/>
          </rPr>
          <t xml:space="preserve">
interditado</t>
        </r>
      </text>
    </comment>
  </commentList>
</comments>
</file>

<file path=xl/sharedStrings.xml><?xml version="1.0" encoding="utf-8"?>
<sst xmlns="http://schemas.openxmlformats.org/spreadsheetml/2006/main" count="3015" uniqueCount="316">
  <si>
    <t>Consumo de Água -Maio/2017</t>
  </si>
  <si>
    <t>Meta</t>
  </si>
  <si>
    <t>3,315, hL/NhL</t>
  </si>
  <si>
    <t>Da planilha Medidores agua poços - consumo de agua</t>
  </si>
  <si>
    <t xml:space="preserve">Índice Água </t>
  </si>
  <si>
    <t xml:space="preserve">Lavadora 501 </t>
  </si>
  <si>
    <t>PZ 501</t>
  </si>
  <si>
    <t>Geral L501</t>
  </si>
  <si>
    <t>Lavadora 502</t>
  </si>
  <si>
    <t>PZ 502</t>
  </si>
  <si>
    <t>Geral L502</t>
  </si>
  <si>
    <t>Lavadora 503</t>
  </si>
  <si>
    <t>PZ 503</t>
  </si>
  <si>
    <t>Geral L503</t>
  </si>
  <si>
    <t>PZ 511</t>
  </si>
  <si>
    <t>Geral L 511 (1)</t>
  </si>
  <si>
    <t>Geral L511 (2)</t>
  </si>
  <si>
    <t>PZ 512</t>
  </si>
  <si>
    <t>Geral L 512</t>
  </si>
  <si>
    <t>L 561</t>
  </si>
  <si>
    <t>L562</t>
  </si>
  <si>
    <t>L563</t>
  </si>
  <si>
    <t>Brassagem 1</t>
  </si>
  <si>
    <t>Brassagem 2</t>
  </si>
  <si>
    <t>Água Quente 2</t>
  </si>
  <si>
    <t>Adega/Filtração (1)</t>
  </si>
  <si>
    <t>Adega/Filtração (2)</t>
  </si>
  <si>
    <t>Aldox 1</t>
  </si>
  <si>
    <t>Aldox 2</t>
  </si>
  <si>
    <t>Xaroparia 1</t>
  </si>
  <si>
    <t>Xaroparia 2</t>
  </si>
  <si>
    <t>Xaroparia 562</t>
  </si>
  <si>
    <t>Xaroparia 561</t>
  </si>
  <si>
    <t>Torre</t>
  </si>
  <si>
    <t>Caldeira</t>
  </si>
  <si>
    <t>Tanque de água gelada 1</t>
  </si>
  <si>
    <t>Água Quente</t>
  </si>
  <si>
    <t>Tanque de água gelada 2</t>
  </si>
  <si>
    <t>Água Recuperada</t>
  </si>
  <si>
    <t>Tratada (Cervejaria Puxou)</t>
  </si>
  <si>
    <t>Total Poços</t>
  </si>
  <si>
    <t>Poço 1</t>
  </si>
  <si>
    <t>Poço 2</t>
  </si>
  <si>
    <t>Poço 4</t>
  </si>
  <si>
    <t>Poço 5</t>
  </si>
  <si>
    <t>Poço 6</t>
  </si>
  <si>
    <t>Poço 7</t>
  </si>
  <si>
    <t>Poço 8</t>
  </si>
  <si>
    <t>Poço 9</t>
  </si>
  <si>
    <t>Poço 10</t>
  </si>
  <si>
    <t>Captação Superficial</t>
  </si>
  <si>
    <t>Totalizador Captação Superficial</t>
  </si>
  <si>
    <t>Comentários</t>
  </si>
  <si>
    <t>Dia</t>
  </si>
  <si>
    <t>PL (hL)</t>
  </si>
  <si>
    <t>Consumo de Água (m³)</t>
  </si>
  <si>
    <t>Índice de Água Base pL CERVEJA (hL/hL)</t>
  </si>
  <si>
    <t>Índice de Água Base pL NORMALIZADA (hL/NhL)</t>
  </si>
  <si>
    <t>Índice de Água (hL/hL)</t>
  </si>
  <si>
    <t>Índice por área (base produção)</t>
  </si>
  <si>
    <t>Índice (PL)</t>
  </si>
  <si>
    <t>ÁGUA DESAERADA</t>
  </si>
  <si>
    <t>L 501</t>
  </si>
  <si>
    <t>L502</t>
  </si>
  <si>
    <t>L503</t>
  </si>
  <si>
    <t>L 511</t>
  </si>
  <si>
    <t>L 512</t>
  </si>
  <si>
    <t>Xarope Transferido</t>
  </si>
  <si>
    <t>Total Refri</t>
  </si>
  <si>
    <t>Total Cerveja</t>
  </si>
  <si>
    <t>Total NhL</t>
  </si>
  <si>
    <t>Acumulado</t>
  </si>
  <si>
    <t>Agua Quente 1</t>
  </si>
  <si>
    <t>Agua Quente 2</t>
  </si>
  <si>
    <t>Adeg/Filt</t>
  </si>
  <si>
    <t>Adeg/Filt 2</t>
  </si>
  <si>
    <t>Total adegas</t>
  </si>
  <si>
    <t>Processo Cerveja</t>
  </si>
  <si>
    <t>Lavadora 501</t>
  </si>
  <si>
    <t>L 501 TOTAL</t>
  </si>
  <si>
    <t>Consumo linha 501</t>
  </si>
  <si>
    <t>L 502 TOTAL</t>
  </si>
  <si>
    <t>Consumo linha 502</t>
  </si>
  <si>
    <t>L 503 TOTAL</t>
  </si>
  <si>
    <t>Consumo linha 503</t>
  </si>
  <si>
    <t>CIP Xaroparia</t>
  </si>
  <si>
    <t>Xaroparia</t>
  </si>
  <si>
    <t>Xaroparia s/ correção</t>
  </si>
  <si>
    <t>Declorada 561</t>
  </si>
  <si>
    <t>Declorada 562</t>
  </si>
  <si>
    <t>Reuso</t>
  </si>
  <si>
    <t>Tq água gelada 1</t>
  </si>
  <si>
    <t>Tq água gelada 2</t>
  </si>
  <si>
    <t>Usina 151 - 3,5m3/h</t>
  </si>
  <si>
    <t>Usina 152 - 5,5m3/h</t>
  </si>
  <si>
    <t>Utilidades</t>
  </si>
  <si>
    <t>ETA</t>
  </si>
  <si>
    <t>Outros</t>
  </si>
  <si>
    <t>Total hidrômetros</t>
  </si>
  <si>
    <t>Consumo fábrica</t>
  </si>
  <si>
    <t>Agua Quente</t>
  </si>
  <si>
    <t>Índice Processo Base pL Cerveja (hL/hL)</t>
  </si>
  <si>
    <t>Processo Normalizado</t>
  </si>
  <si>
    <t>Cip Xaroparia</t>
  </si>
  <si>
    <t>Cip 
PL Refri</t>
  </si>
  <si>
    <t>Xaroparaia 
PL Refri</t>
  </si>
  <si>
    <t>L 501 Total</t>
  </si>
  <si>
    <t>L 502 Total</t>
  </si>
  <si>
    <t>L 503</t>
  </si>
  <si>
    <t xml:space="preserve"> PZ 511</t>
  </si>
  <si>
    <t>Declor.
561</t>
  </si>
  <si>
    <t>Declor.
562</t>
  </si>
  <si>
    <t>L 562</t>
  </si>
  <si>
    <t>Usina 151</t>
  </si>
  <si>
    <t>Usina 152</t>
  </si>
  <si>
    <t xml:space="preserve">Utilidades
</t>
  </si>
  <si>
    <t>Índice Fábrica</t>
  </si>
  <si>
    <t>Vol. Mosto Quente Sala 1</t>
  </si>
  <si>
    <t>Água Gelada TQ1</t>
  </si>
  <si>
    <t>Relação Água Mosto</t>
  </si>
  <si>
    <t>Processo</t>
  </si>
  <si>
    <t>Brassagem1</t>
  </si>
  <si>
    <t>Brassagem2</t>
  </si>
  <si>
    <t>Volume cerveja recuperada</t>
  </si>
  <si>
    <t>Índice Aldox</t>
  </si>
  <si>
    <t xml:space="preserve"> </t>
  </si>
  <si>
    <t xml:space="preserve">         </t>
  </si>
  <si>
    <t>x</t>
  </si>
  <si>
    <t>ACUM</t>
  </si>
  <si>
    <t>Valores Hidrometros Poços</t>
  </si>
  <si>
    <t>Meta acum</t>
  </si>
  <si>
    <t>S5100062</t>
  </si>
  <si>
    <t>Correção do totalizador dos poços 1, 2,4,5,6,7,8 no supervisório</t>
  </si>
  <si>
    <t>S5100061</t>
  </si>
  <si>
    <t>Consumo de Água - Jan/2017</t>
  </si>
  <si>
    <t>Tratada (POÇOS + SUP + NÍVEL ETA)</t>
  </si>
  <si>
    <t>DASHBOARD ÁGUA PROCESSO</t>
  </si>
  <si>
    <t>Índice de Água</t>
  </si>
  <si>
    <r>
      <t xml:space="preserve">Produção HL base PL 
</t>
    </r>
    <r>
      <rPr>
        <sz val="8"/>
        <color indexed="9"/>
        <rFont val="Tahoma"/>
        <family val="2"/>
      </rPr>
      <t>(mosto, volume fermatado e filtrado)</t>
    </r>
  </si>
  <si>
    <t xml:space="preserve">Fabricos resfriados </t>
  </si>
  <si>
    <t xml:space="preserve">Relação Água/Mosto </t>
  </si>
  <si>
    <t>Processo Cerveja (hL/hL)</t>
  </si>
  <si>
    <t>Índice Água desaerada</t>
  </si>
  <si>
    <t>Sala 1</t>
  </si>
  <si>
    <t>Sala 2</t>
  </si>
  <si>
    <t>,</t>
  </si>
  <si>
    <t>Agua uso projetos Acumulado (B.Blend)</t>
  </si>
  <si>
    <t>Consumo B Blend</t>
  </si>
  <si>
    <t>Data: 02/01/2017 - 1556m3</t>
  </si>
  <si>
    <t>Data: 31/01/2017 - 2362,4m3</t>
  </si>
  <si>
    <t>Medidor B.blend 02/01/2017</t>
  </si>
  <si>
    <t>Volume usado em Janeiro</t>
  </si>
  <si>
    <t>Medidor B.blend 31/01/2017</t>
  </si>
  <si>
    <t>Área</t>
  </si>
  <si>
    <t>Acum</t>
  </si>
  <si>
    <r>
      <t xml:space="preserve">Produção HL base PL </t>
    </r>
    <r>
      <rPr>
        <sz val="8"/>
        <color indexed="9"/>
        <rFont val="Tahoma"/>
        <family val="2"/>
      </rPr>
      <t>(mosto, volume fermatado e filtrado)</t>
    </r>
  </si>
  <si>
    <t xml:space="preserve"> -   </t>
  </si>
  <si>
    <t>961349 - Medidor em campo Sexta Feira 10/02 SUPERFICIAL</t>
  </si>
  <si>
    <t>961908 Medidor em campo Sábado 11/02 SUPERFICIAL</t>
  </si>
  <si>
    <t>962560 - Medidor em campo Domingo 12/02 SUPERFICIAL</t>
  </si>
  <si>
    <t>963115 - Medidor em campo Segunda Feira 13/03 SUPERFICIAL</t>
  </si>
  <si>
    <t>963767 - Medidor em campo Terça Feira 14/02 SUPERFICIAL</t>
  </si>
  <si>
    <t>964364 - Medidor em campo Quinta Feira 16/02 SUPERFICIAL</t>
  </si>
  <si>
    <t>964991 - Medidor em campo Sábado 18/02 SUPERFICIAL</t>
  </si>
  <si>
    <t>965696 - Medidor em campo Segunda Feira 20/02 SUPERFICIAL</t>
  </si>
  <si>
    <t>966742 - Medidor em campo Terça Feira 21/02 SUPERFICIAL</t>
  </si>
  <si>
    <t>967415 - Medidor em campo Quarta Feira 22/02 SUPERFICIAL</t>
  </si>
  <si>
    <t>968955 - Medidor em campo Quinta Feira 23/02 SUPERFICIAL</t>
  </si>
  <si>
    <t>Medidor B.Blend 31/01</t>
  </si>
  <si>
    <t>Medidor B.blend 01/03</t>
  </si>
  <si>
    <t>Volume usado em Fevereiro</t>
  </si>
  <si>
    <t>Consumo de Água -Mar/2017</t>
  </si>
  <si>
    <t>3,30 hL/NhL</t>
  </si>
  <si>
    <t>970303 - Medidor em campo Quarta Feira 01/03 SUPERFICIAL</t>
  </si>
  <si>
    <t>971744 - Medidor em campo Quinta Feira 02/03 SUPERFICIAL</t>
  </si>
  <si>
    <t>972426 - Medidor em campo Sexta Feira 03/03 SUPERFICIAL</t>
  </si>
  <si>
    <t>973332 - Medidor em campo Sábado 04/03 SUPERFICIAL</t>
  </si>
  <si>
    <t>975275 - Medidor em campo Terça Feira 07/03 SUPERFICIAL</t>
  </si>
  <si>
    <t>975535 - Medidor em campo Quarta Feira 08/03 SUPERFICIAL</t>
  </si>
  <si>
    <t>976814 - Medidor em campo Quinta Feira 09/03 SUPERFICIAL</t>
  </si>
  <si>
    <t>977487 - Medidor em campo Sexta Feira 10/03 SUPERFICIAL</t>
  </si>
  <si>
    <t>23227</t>
  </si>
  <si>
    <t>978031 - Medidor em campo Sábado 11/03 SUPERFICIAL</t>
  </si>
  <si>
    <t>978546 - Medidor em campo Domingo 12/03 SUPERFICIAL</t>
  </si>
  <si>
    <t>979151 - Medidor em campo Segunda Feira 13/03 SUPERFICIAL</t>
  </si>
  <si>
    <t>979444 - Medidor em campo Terça Feira 14/03 SUPERFICIAL</t>
  </si>
  <si>
    <t>980122 - Medidor em campo Quarta Feira 15/03 SUPERFICIAL</t>
  </si>
  <si>
    <t>981150 - Medidor em campo Sexta Feira 17/03 SUPERFICIAL</t>
  </si>
  <si>
    <t>982601 - Medidor em campo Segunda Feira 20/03 SUPERFICIAL</t>
  </si>
  <si>
    <t>983461 - Medidor em campo Terça Feira 21/03 SUPERFICIAL</t>
  </si>
  <si>
    <t>Expurgo de 235,6 m3 B.Blend</t>
  </si>
  <si>
    <t>Medidor B.blend 31/03</t>
  </si>
  <si>
    <t>Volume usado em Março</t>
  </si>
  <si>
    <t>Consumo de Água -Abril/2017</t>
  </si>
  <si>
    <t>3,45 hL/NhL</t>
  </si>
  <si>
    <t>983461 - Medidor em campo terça feira 21/03</t>
  </si>
  <si>
    <t>Medidor B.blend 31/04</t>
  </si>
  <si>
    <t>Volume usado em Abril</t>
  </si>
  <si>
    <t>S5100063</t>
  </si>
  <si>
    <t>B. Blend</t>
  </si>
  <si>
    <t>Geral L 511 (1- Verde)</t>
  </si>
  <si>
    <t>Geral L511 (2 - Azul)</t>
  </si>
  <si>
    <t>Índice de Água Base pL LINHA (hL/hL)</t>
  </si>
  <si>
    <t>Índice de Água Base pL NORMALIZADO (hL/hL)</t>
  </si>
  <si>
    <t>Xaroparia 
PL Refri</t>
  </si>
  <si>
    <t>L 503 Total</t>
  </si>
  <si>
    <t>L 511 -com pz</t>
  </si>
  <si>
    <t>L 512 -com pz</t>
  </si>
  <si>
    <t>1,2,3 (OK)</t>
  </si>
  <si>
    <t>Pl revisada ate 31/07</t>
  </si>
  <si>
    <t>Xarope transf ate 31/07</t>
  </si>
  <si>
    <t>202--&gt;244</t>
  </si>
  <si>
    <t>69--&gt;39</t>
  </si>
  <si>
    <t>486--&gt;401</t>
  </si>
  <si>
    <t>1402-&gt;1391</t>
  </si>
  <si>
    <t>98-&gt;75</t>
  </si>
  <si>
    <t>149-&gt;154</t>
  </si>
  <si>
    <t>2166-&gt;2080</t>
  </si>
  <si>
    <t>113-&gt;121</t>
  </si>
  <si>
    <t>35-&gt;36</t>
  </si>
  <si>
    <t>268-&gt;275</t>
  </si>
  <si>
    <t>120-&gt;118</t>
  </si>
  <si>
    <t>159-&gt;82</t>
  </si>
  <si>
    <t>42-&gt;25</t>
  </si>
  <si>
    <t>286-&gt;169</t>
  </si>
  <si>
    <t>85-&gt;62</t>
  </si>
  <si>
    <t>195--&gt;102</t>
  </si>
  <si>
    <t>39-&gt;24</t>
  </si>
  <si>
    <t>313-&gt;202</t>
  </si>
  <si>
    <t>80-&gt;77</t>
  </si>
  <si>
    <t>26-&gt;22</t>
  </si>
  <si>
    <t>66-&gt;53</t>
  </si>
  <si>
    <t>37-&gt;26</t>
  </si>
  <si>
    <t>67-&gt;60</t>
  </si>
  <si>
    <t>75-&gt;79</t>
  </si>
  <si>
    <t>105-&gt;95</t>
  </si>
  <si>
    <t>796-&gt;625</t>
  </si>
  <si>
    <t>235-&gt;252</t>
  </si>
  <si>
    <t>456-&gt;308</t>
  </si>
  <si>
    <t>61-&gt;31</t>
  </si>
  <si>
    <t>322-&gt;309</t>
  </si>
  <si>
    <t>72-&gt;57</t>
  </si>
  <si>
    <t>108-&gt;107</t>
  </si>
  <si>
    <t>670-&gt;834</t>
  </si>
  <si>
    <t>1323-&gt;1345</t>
  </si>
  <si>
    <t>5140-&gt;4775</t>
  </si>
  <si>
    <t>F. parada</t>
  </si>
  <si>
    <t>-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</si>
  <si>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</si>
  <si>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</si>
  <si>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</si>
  <si>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</si>
  <si>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</si>
  <si>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</si>
  <si>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</si>
  <si>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</si>
  <si>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</si>
  <si>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</si>
  <si>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</si>
  <si>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</si>
  <si>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2013</t>
  </si>
  <si>
    <t>REAL</t>
  </si>
  <si>
    <t>F. Nova Minas</t>
  </si>
  <si>
    <t>Total Células</t>
  </si>
  <si>
    <t>Total Produto/Item</t>
  </si>
  <si>
    <t>Consumo de Água Hl/Hl</t>
  </si>
  <si>
    <t>Consumo de água Hl/Hl</t>
  </si>
  <si>
    <t>Ano</t>
  </si>
  <si>
    <t>% Redução</t>
  </si>
  <si>
    <t>Redução de 38% em relação ao ano de Start Up</t>
  </si>
  <si>
    <t>Indice Ano</t>
  </si>
  <si>
    <t>Lista de presença GRM Água</t>
  </si>
  <si>
    <t>Data: 19/06</t>
  </si>
  <si>
    <t>Representante</t>
  </si>
  <si>
    <t>Observação</t>
  </si>
  <si>
    <t>Hélio/Leo Pz</t>
  </si>
  <si>
    <t>Supervisor ausente</t>
  </si>
  <si>
    <t>Hélio/Felipe Alberto/Leo Pz</t>
  </si>
  <si>
    <t>Valdema</t>
  </si>
  <si>
    <t>Maurício</t>
  </si>
  <si>
    <t>Cláudia</t>
  </si>
  <si>
    <t>GG</t>
  </si>
  <si>
    <t>Stéphani/Tânia/Erik</t>
  </si>
  <si>
    <t>Lucas Queiroz</t>
  </si>
  <si>
    <t>Engenharia</t>
  </si>
  <si>
    <t>Tiago Krupok</t>
  </si>
  <si>
    <t>Logística</t>
  </si>
  <si>
    <t>Ausente</t>
  </si>
  <si>
    <t>Meio Ambiente</t>
  </si>
  <si>
    <t>Ana Faria/Vinícius</t>
  </si>
  <si>
    <t>Segurança</t>
  </si>
  <si>
    <t>Data: 05/07</t>
  </si>
  <si>
    <t>Felipe Alberto</t>
  </si>
  <si>
    <t>Jessica Gomes</t>
  </si>
  <si>
    <t>Otávio Fidelis</t>
  </si>
  <si>
    <t>Stéphani</t>
  </si>
  <si>
    <t>Nathan Pereira</t>
  </si>
  <si>
    <t>Menoti/Guilherme</t>
  </si>
  <si>
    <t>Novo calculo</t>
  </si>
  <si>
    <t>FC = tratada</t>
  </si>
  <si>
    <t>madrugada</t>
  </si>
  <si>
    <t>sem retro</t>
  </si>
  <si>
    <t>Todos consumoos em amarelo são pegos da PASE</t>
  </si>
  <si>
    <t>Superficial tratou o que já estava na caixa (ver como lançar 2800hl de água vindos de Juatuba)</t>
  </si>
  <si>
    <t>Acertado consumo de superficial e todas as entradas (transferências) de cerveja</t>
  </si>
  <si>
    <t>Não pegou hidrômetro</t>
  </si>
  <si>
    <t>Acertado consumo de superficial . Retirar 1205 de poços</t>
  </si>
  <si>
    <t>Acertado consumo nas células em laranja</t>
  </si>
  <si>
    <t>Acertado consumo superficial</t>
  </si>
  <si>
    <t>Consumo até hoje pela superficial 1825m3. Consumo lançado 4200m3. Falta haver 2375m3</t>
  </si>
  <si>
    <t>Acertado consumo da superficial pelo hidrômetro</t>
  </si>
  <si>
    <t>Acerto captação superficial pelo hidrômetro</t>
  </si>
  <si>
    <t>Volume outorgado</t>
  </si>
  <si>
    <t>Volume retirado</t>
  </si>
  <si>
    <t>ok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</si>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</sst>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4">
    <numFmt numFmtId="41" formatCode="_-* #,##0_-;\-* #,##0_-;_-* &quot;-&quot;_-;_-@_-"/>
    <numFmt numFmtId="43" formatCode="_-* #,##0.00_-;\-* #,##0.00_-;_-* &quot;-&quot;??_-;_-@_-"/>
    <numFmt numFmtId="164" formatCode="0.000"/>
    <numFmt numFmtId="165" formatCode="0.0000"/>
    <numFmt numFmtId="166" formatCode="0.0%"/>
    <numFmt numFmtId="167" formatCode="_(* #,##0.00_);_(* \(#,##0.00\);_(* &quot;-&quot;??_);_(@_)"/>
    <numFmt numFmtId="168" formatCode="_(* #,##0_);_(* \(#,##0\);_(* &quot;-&quot;??_);_(@_)"/>
    <numFmt numFmtId="169" formatCode="#,##0.0"/>
    <numFmt numFmtId="170" formatCode="#,##0.000"/>
    <numFmt numFmtId="171" formatCode="#,##0.0000"/>
    <numFmt numFmtId="172" formatCode="0.00000"/>
    <numFmt numFmtId="173" formatCode="_(* #,##0.000_);_(* \(#,##0.000\);_(* &quot;-&quot;??_);_(@_)"/>
    <numFmt numFmtId="174" formatCode="0.0"/>
    <numFmt numFmtId="175" formatCode="_ * #,##0_ ;_ * \-#,##0_ ;_ * &quot;-&quot;_ ;_ @_ "/>
    <numFmt numFmtId="176" formatCode="_ * #,##0.00_ ;_ * \-#,##0.00_ ;_ * &quot;-&quot;??_ ;_ @_ "/>
    <numFmt numFmtId="177" formatCode="#"/>
    <numFmt numFmtId="178" formatCode="_([$€]* #,##0.00_);_([$€]* \(#,##0.00\);_([$€]* &quot;-&quot;??_);_(@_)"/>
    <numFmt numFmtId="179" formatCode="#,##0.0\ \x"/>
    <numFmt numFmtId="180" formatCode="#,##0.00\ \ "/>
    <numFmt numFmtId="181" formatCode="&quot;$&quot;#,##0.0_);\(&quot;$&quot;#,##0.0\)"/>
    <numFmt numFmtId="182" formatCode="_([$€-2]* #,##0.00_);_([$€-2]* \(#,##0.00\);_([$€-2]* &quot;-&quot;??_)"/>
    <numFmt numFmtId="183" formatCode="_(* #,##0_);_(* \(#,##0\);_(* &quot;-&quot;_);_(@_)"/>
    <numFmt numFmtId="184" formatCode="_-&quot;$&quot;\ * #,##0_-;\-&quot;$&quot;\ * #,##0_-;_-&quot;$&quot;\ * &quot;-&quot;_-;_-@_-"/>
    <numFmt numFmtId="185" formatCode="_-&quot;$&quot;\ * #,##0.00_-;\-&quot;$&quot;\ * #,##0.00_-;_-&quot;$&quot;\ * &quot;-&quot;??_-;_-@_-"/>
    <numFmt numFmtId="186" formatCode="_-* #,##0.00\ _B_F_-;\-* #,##0.00\ _B_F_-;_-* &quot;-&quot;??\ _B_F_-;_-@_-"/>
    <numFmt numFmtId="187" formatCode="yyyy"/>
    <numFmt numFmtId="188" formatCode="[$£-809]#,##0.00"/>
    <numFmt numFmtId="189" formatCode="#,##0.0_);\(#,##0.0\)"/>
    <numFmt numFmtId="190" formatCode="&quot;$&quot;_(#,##0.00_);&quot;$&quot;\(#,##0.00\)"/>
    <numFmt numFmtId="191" formatCode="#,##0.0_)\x;\(#,##0.0\)\x"/>
    <numFmt numFmtId="192" formatCode="_(* #,##0.0_);_(* \(#,##0.0\);_(* &quot;-&quot;_);@"/>
    <numFmt numFmtId="193" formatCode="#,##0.00_ ;[Red]\-#,##0.00;\-"/>
    <numFmt numFmtId="194" formatCode="_-* #,##0.00_-;_-* #,##0.00\-;_-* &quot;-&quot;??_-;_-@_-"/>
    <numFmt numFmtId="195" formatCode="#,##0.00_ ;[Red]\-#,##0.00\ "/>
    <numFmt numFmtId="196" formatCode="_-* #,##0.0\ _B_F_-;\-* #,##0.0\ _B_F_-;_-* &quot;-&quot;??\ _B_F_-;_-@_-"/>
    <numFmt numFmtId="197" formatCode="#,##0_ ;[Red]\-#,##0;\-"/>
    <numFmt numFmtId="198" formatCode="#,##0.000000_);\(#,##0.000000\)"/>
    <numFmt numFmtId="199" formatCode="_(&quot;$&quot;* #,##0.0_);_(&quot;$&quot;* \(#,##0.0\);_(&quot;$&quot;* &quot;-&quot;_);@"/>
    <numFmt numFmtId="200" formatCode="0.0000000"/>
    <numFmt numFmtId="201" formatCode="&quot;A$ &quot;#,##0.00_);\(&quot;$&quot;#,##0.00\)"/>
    <numFmt numFmtId="202" formatCode="0.000000"/>
    <numFmt numFmtId="203" formatCode="[$£-809]#,##0.0;\-[$£-809]#,##0.0"/>
    <numFmt numFmtId="204" formatCode="0.000000000"/>
    <numFmt numFmtId="205" formatCode="0.00_);\(0.00\)"/>
    <numFmt numFmtId="206" formatCode="#,##0\x;&quot;NM&quot;_x"/>
    <numFmt numFmtId="207" formatCode="&quot;$&quot;#,##0.000_);\(&quot;$&quot;#,##0.000\)"/>
    <numFmt numFmtId="208" formatCode="hh:mm\ AM/PM_)"/>
    <numFmt numFmtId="209" formatCode="#,##0.000\x;&quot;NM&quot;_x"/>
    <numFmt numFmtId="210" formatCode="0.00000000000_);\(0.00000000000\)"/>
    <numFmt numFmtId="211" formatCode="_(&quot;$&quot;* #,##0.00_);_(&quot;$&quot;* \(#,##0.00\);_(&quot;$&quot;* &quot;-&quot;??_);_(@_)"/>
    <numFmt numFmtId="212" formatCode="\£\ #,##0_);[Red]\(\£\ #,##0\)"/>
    <numFmt numFmtId="213" formatCode="\£#,##0.0_);\(\£#,##0.0\)"/>
    <numFmt numFmtId="214" formatCode="\¥\ #,##0_);[Red]\(\¥\ #,##0\)"/>
    <numFmt numFmtId="215" formatCode="0_)"/>
    <numFmt numFmtId="216" formatCode="_-* #,##0.00000_-;\-* #,##0.00000_-;_-* &quot;-&quot;_-;_-@_-"/>
    <numFmt numFmtId="217" formatCode="#,##0,;[Red]\-#,##0,"/>
    <numFmt numFmtId="218" formatCode="_(* #,##0.000_);_(* \(#,##0.000\);_(* &quot;0.0&quot;_);_(@_)"/>
    <numFmt numFmtId="219" formatCode="_(&quot;$&quot;* #,##0_);_(&quot;$&quot;* \(#,##0\);_(&quot;$&quot;* &quot;-&quot;_);_(@_)"/>
    <numFmt numFmtId="220" formatCode="#,##0.0%_);\(#,##0.0%\)"/>
    <numFmt numFmtId="221" formatCode="_(&quot;R$&quot;* #,##0_);_(&quot;R$&quot;* \(#,##0\);_(&quot;R$&quot;* &quot;-&quot;_);_(@_)"/>
    <numFmt numFmtId="222" formatCode="#,##0.0\ _);\(#,##0.0\)"/>
    <numFmt numFmtId="223" formatCode="#,##0.0\ _]"/>
    <numFmt numFmtId="224" formatCode="#,##0.0\ _);[Red]\(#,##0.0\)"/>
    <numFmt numFmtId="225" formatCode="#,##0.0\ \ _);\(#,##0.0\ \ \)"/>
    <numFmt numFmtId="226" formatCode="0.0%_);\(0.0%\);;&quot;N/A&quot;\ "/>
    <numFmt numFmtId="227" formatCode="#,##0.0;\(#,##0.0\)"/>
    <numFmt numFmtId="228" formatCode="#,##0.0;\(#,##0.\)"/>
    <numFmt numFmtId="229" formatCode="\(0\)"/>
    <numFmt numFmtId="230" formatCode="&quot;$&quot;#,##0_);\(&quot;$&quot;#,##0\)"/>
    <numFmt numFmtId="231" formatCode="\•\ \ @"/>
    <numFmt numFmtId="232" formatCode="#."/>
    <numFmt numFmtId="233" formatCode="#,##0.000000000000000_);\(#,##0.000000000000000\)"/>
    <numFmt numFmtId="234" formatCode="\C&quot;$&quot;#,##0_);[Red]\(\C&quot;$&quot;#,##0\)"/>
    <numFmt numFmtId="235" formatCode="_-* #,##0.00\ _€_-;\-* #,##0.00\ _€_-;_-* &quot;-&quot;??\ _€_-;_-@_-"/>
    <numFmt numFmtId="236" formatCode="_(* #,##0.000000000000_);_(* \(#,##0.000000000000\);_(* &quot;-&quot;_);_(@_)"/>
    <numFmt numFmtId="237" formatCode="#,##0.00000000000_);\(#,##0.00000000000\)"/>
    <numFmt numFmtId="238" formatCode="#,##0_)_%;\(#,##0\)_%;"/>
    <numFmt numFmtId="239" formatCode="#,##0.0_);[Red]\(#,##0.0\)"/>
    <numFmt numFmtId="240" formatCode="_._.* #,##0.0_)_%;_._.* \(#,##0.0\)_%"/>
    <numFmt numFmtId="241" formatCode="#,##0.0_)_%;\(#,##0.0\)_%;\ \ .0_)_%"/>
    <numFmt numFmtId="242" formatCode="_._.* #,##0.00_)_%;_._.* \(#,##0.00\)_%"/>
    <numFmt numFmtId="243" formatCode="#,##0.00_)_%;\(#,##0.00\)_%;\ \ .00_)_%"/>
    <numFmt numFmtId="244" formatCode="_._.* #,##0.000_)_%;_._.* \(#,##0.000\)_%"/>
    <numFmt numFmtId="245" formatCode="#,##0.000_)_%;\(#,##0.000\)_%;\ \ .000_)_%"/>
    <numFmt numFmtId="246" formatCode="#,##0_%_);\(#,##0\)_%;#,##0_%_);@_%_)"/>
    <numFmt numFmtId="247" formatCode="&quot;S/&quot;\ #,##0.00_-;[Red]&quot;S/&quot;\ #,##0.00\-"/>
    <numFmt numFmtId="248" formatCode="0.00_)"/>
    <numFmt numFmtId="249" formatCode="_._.* \(#,##0\)_%;_._.* #,##0_)_%;_._.* 0_)_%;_._.@_)_%"/>
    <numFmt numFmtId="250" formatCode="_._.&quot;$&quot;* \(#,##0\)_%;_._.&quot;$&quot;* #,##0_)_%;_._.&quot;$&quot;* 0_)_%;_._.@_)_%"/>
    <numFmt numFmtId="251" formatCode="* \(#,##0\);* #,##0_);&quot;-&quot;??_);@"/>
    <numFmt numFmtId="252" formatCode="&quot;N$&quot;#,##0_);\(&quot;N$&quot;#,##0\)"/>
    <numFmt numFmtId="253" formatCode="&quot;$&quot;\ #,##0;[Red]\-&quot;$&quot;\ #,##0"/>
    <numFmt numFmtId="254" formatCode="_-* #,##0\ _P_t_s_-;\-* #,##0\ _P_t_s_-;_-* &quot;-&quot;\ _P_t_s_-;_-@_-"/>
    <numFmt numFmtId="255" formatCode="&quot;$&quot;* #,##0_)_%;&quot;$&quot;* \(#,##0\)_%;&quot;$&quot;* &quot;-&quot;??_)_%;@_)_%"/>
    <numFmt numFmtId="256" formatCode="&quot;$&quot;#,##0_);[Red]\(&quot;$&quot;#,##0\)"/>
    <numFmt numFmtId="257" formatCode="&quot;R$ &quot;#,##0_);[Red]\(&quot;R$ &quot;#,##0\)"/>
    <numFmt numFmtId="258" formatCode="&quot;$&quot;#,##0.00_);[Red]\(&quot;$&quot;#,##0.00\)"/>
    <numFmt numFmtId="259" formatCode="_._.&quot;$&quot;* #,##0.0_)_%;_._.&quot;$&quot;* \(#,##0.0\)_%"/>
    <numFmt numFmtId="260" formatCode="&quot;$&quot;* #,##0.0_)_%;&quot;$&quot;* \(#,##0.0\)_%;&quot;$&quot;* \ .0_)_%"/>
    <numFmt numFmtId="261" formatCode="_._.&quot;$&quot;* #,##0.00_)_%;_._.&quot;$&quot;* \(#,##0.00\)_%"/>
    <numFmt numFmtId="262" formatCode="&quot;$&quot;* #,##0.00_)_%;&quot;$&quot;* \(#,##0.00\)_%;&quot;$&quot;* \ .00_)_%"/>
    <numFmt numFmtId="263" formatCode="_._.&quot;$&quot;* #,##0.000_)_%;_._.&quot;$&quot;* \(#,##0.000\)_%"/>
    <numFmt numFmtId="264" formatCode="&quot;$&quot;* #,##0.000_)_%;&quot;$&quot;* \(#,##0.000\)_%;&quot;$&quot;* \ .000_)_%"/>
    <numFmt numFmtId="265" formatCode="_(&quot;R$ &quot;* #,##0.00_);_(&quot;R$ &quot;* \(#,##0.00\);_(&quot;R$ &quot;* &quot;-&quot;??_);_(@_)"/>
    <numFmt numFmtId="266" formatCode="_(&quot;RD$&quot;* #,##0.00_);_(&quot;RD$&quot;* \(#,##0.00\);_(&quot;RD$&quot;* &quot;-&quot;??_);_(@_)"/>
    <numFmt numFmtId="267" formatCode="&quot;NU$&quot;\ #,##0_);\(&quot;NU$&quot;\ #,##0\)"/>
    <numFmt numFmtId="268" formatCode="&quot;$&quot;#,##0\ ;\(&quot;$&quot;#,##0\)"/>
    <numFmt numFmtId="269" formatCode="&quot;$&quot;#,##0.00_)\ \ ;\(&quot;$&quot;#,##0.00\)\ \ "/>
    <numFmt numFmtId="270" formatCode="\ \ _•\–\ \ \ \ @"/>
    <numFmt numFmtId="271" formatCode="_-* #,##0.000000_-;\-* #,##0.000000_-;_-* &quot;-&quot;??_-;_-@_-"/>
    <numFmt numFmtId="272" formatCode="* #,##0_);* \(#,##0\);&quot;-&quot;??_);@"/>
    <numFmt numFmtId="273" formatCode="_-* #,##0\ _B_F_-;\-* #,##0\ _B_F_-;_-* &quot;-&quot;\ _B_F_-;_-@_-"/>
    <numFmt numFmtId="274" formatCode="#,##0.00&quot;Cr$&quot;_);\(#,##0.00&quot;Cr$&quot;\)"/>
    <numFmt numFmtId="275" formatCode="_-* #,##0\ _$_-;\-* #,##0\ _$_-;_-* &quot;-&quot;\ _$_-;_-@_-"/>
    <numFmt numFmtId="276" formatCode="#,##0.00\ &quot;pta&quot;;[Red]\-#,##0.00\ &quot;pta&quot;"/>
    <numFmt numFmtId="277" formatCode="#,##0."/>
    <numFmt numFmtId="278" formatCode="_(&quot;R$ &quot;* #,##0_);_(&quot;R$ &quot;* \(#,##0\);_(&quot;R$ &quot;* \-??_);_(@_)"/>
    <numFmt numFmtId="279" formatCode="#,##0.000_);\(#,##0.000\)"/>
    <numFmt numFmtId="280" formatCode="_-* #,##0_-;_-* #,##0\-;_-* &quot;-&quot;??_-;_-@_-"/>
    <numFmt numFmtId="281" formatCode="0.00%;\(0.00%\)"/>
    <numFmt numFmtId="282" formatCode="&quot;$&quot;#,##0.0_)\ \ ;\(&quot;$&quot;#,##0.0\)\ \ "/>
    <numFmt numFmtId="283" formatCode="0.0%_)\ \ ;\(0.0%\)\ \ "/>
    <numFmt numFmtId="284" formatCode="#,##0.0%;\(#,##0.0\)%"/>
    <numFmt numFmtId="285" formatCode="_(* #,##0.000_);_(* \(#,##0.000\);_(* &quot;-&quot;_);_(@_)"/>
    <numFmt numFmtId="286" formatCode="0_)%;\(0\)%"/>
    <numFmt numFmtId="287" formatCode="0.0_)%;\(0.0\)%"/>
    <numFmt numFmtId="288" formatCode="&quot;£&quot;#,##0_);&quot;£&quot;\(#,##0\)"/>
    <numFmt numFmtId="289" formatCode="&quot;£&quot;#,##0.00_);&quot;£&quot;\(#,##0.00\)"/>
    <numFmt numFmtId="290" formatCode="_(* #,##0.000_);[Red]_(* \(#,##0.000\);_(* &quot;-&quot;??_);_(@_)"/>
    <numFmt numFmtId="291" formatCode="_-* #,##0\ &quot;BF&quot;_-;\-* #,##0\ &quot;BF&quot;_-;_-* &quot;-&quot;\ &quot;BF&quot;_-;_-@_-"/>
    <numFmt numFmtId="292" formatCode="_-* #,##0.00\ &quot;BF&quot;_-;\-* #,##0.00\ &quot;BF&quot;_-;_-* &quot;-&quot;??\ &quot;BF&quot;_-;_-@_-"/>
    <numFmt numFmtId="293" formatCode="&quot;NU$&quot;\ #,##0.00_);\(&quot;NU$&quot;\ #,##0.00\)"/>
    <numFmt numFmtId="294" formatCode="#,##0.0\ \x\ _);\(#,##0.0\ \x\)"/>
    <numFmt numFmtId="295" formatCode="0.00\x"/>
    <numFmt numFmtId="296" formatCode="_-&quot;F&quot;\ * #,##0_-;_-&quot;F&quot;\ * #,##0\-;_-&quot;F&quot;\ * &quot;-&quot;_-;_-@_-"/>
    <numFmt numFmtId="297" formatCode="_-&quot;F&quot;\ * #,##0.00_-;_-&quot;F&quot;\ * #,##0.00\-;_-&quot;F&quot;\ * &quot;-&quot;??_-;_-@_-"/>
    <numFmt numFmtId="298" formatCode="#,##0.0\x_);\(#,##0.0\x\)"/>
    <numFmt numFmtId="299" formatCode="\N\P\ #,##0_);[Red]\(\N\P\ #,##0\)"/>
    <numFmt numFmtId="300" formatCode="#,##0.0000_);[Red]\(#,##0.0000\)"/>
    <numFmt numFmtId="301" formatCode="General_)"/>
    <numFmt numFmtId="302" formatCode="#,##0.00;\(#,##0.00\)"/>
    <numFmt numFmtId="303" formatCode="#,##0.00_)\ \ ;\(#,##0.00\)\ \ "/>
    <numFmt numFmtId="304" formatCode="#,##0.0\x;\ \(#,##0.0\x\)"/>
    <numFmt numFmtId="305" formatCode="0.0\ &quot;MM.&quot;"/>
    <numFmt numFmtId="306" formatCode="#,##0;\(#,##0\)"/>
    <numFmt numFmtId="307" formatCode="_._._(* 0_)%;_._.* \(0\)%"/>
    <numFmt numFmtId="308" formatCode="_(0_)%;\(0\)%"/>
    <numFmt numFmtId="309" formatCode="0%_);\(0%\)"/>
    <numFmt numFmtId="310" formatCode="&quot;Cr$&quot;#,##0_);\(&quot;Cr$&quot;#,##0\)"/>
    <numFmt numFmtId="311" formatCode="#,##0.00000000000000_);\(#,##0.00000000000000\)"/>
    <numFmt numFmtId="312" formatCode="_(0.0_)%;\(0.0\)%"/>
    <numFmt numFmtId="313" formatCode="_._._(* 0.0_)%;_._.* \(0.0\)%"/>
    <numFmt numFmtId="314" formatCode="_(0.00_)%;\(0.00\)%"/>
    <numFmt numFmtId="315" formatCode="_._._(* 0.00_)%;_._.* \(0.00\)%"/>
    <numFmt numFmtId="316" formatCode="_(0.000_)%;\(0.000\)%"/>
    <numFmt numFmtId="317" formatCode="_._._(* 0.000_)%;_._.* \(0.000\)%"/>
    <numFmt numFmtId="318" formatCode="0.0%_);\(0.0%\)"/>
    <numFmt numFmtId="319" formatCode="&quot;S/&quot;#,##0;&quot;S/&quot;\-#,##0"/>
    <numFmt numFmtId="320" formatCode="_(&quot;N$&quot;* #,##0_);_(&quot;N$&quot;* \(#,##0\);_(&quot;N$&quot;* &quot;-&quot;_);_(@_)"/>
    <numFmt numFmtId="321" formatCode="0;;&quot;-&quot;"/>
    <numFmt numFmtId="322" formatCode="00"/>
    <numFmt numFmtId="323" formatCode="\£#,##0_);[Red]\(\£#,##0\)"/>
    <numFmt numFmtId="324" formatCode="_-* #,##0.00\ &quot;Pts&quot;_-;\-* #,##0.00\ &quot;Pts&quot;_-;_-* &quot;-&quot;??\ &quot;Pts&quot;_-;_-@_-"/>
    <numFmt numFmtId="325" formatCode="#,##0.0000000"/>
    <numFmt numFmtId="326" formatCode="#,##0_.;\-#,##0_.;"/>
    <numFmt numFmtId="327" formatCode="_(* #,##0.0_);_(* \(#,##0.0\);_(* &quot;-&quot;?_);_(@_)"/>
    <numFmt numFmtId="328" formatCode="0.0_)%;\(0.0\)%;"/>
    <numFmt numFmtId="329" formatCode="#,##0_);\(#,##0\);"/>
    <numFmt numFmtId="330" formatCode="mmm\ yy"/>
    <numFmt numFmtId="331" formatCode="#,##0.0000_);\(#,##0.0000\)"/>
    <numFmt numFmtId="332" formatCode="0000_);\(0000\)"/>
    <numFmt numFmtId="333" formatCode="#,##0.000000000000_);\(#,##0.000000000000\)"/>
    <numFmt numFmtId="334" formatCode="#,##0.000000;\(#,##0.000000\)"/>
    <numFmt numFmtId="335" formatCode="#,##0.0\ ;\(#,##0.0\)\ "/>
  </numFmts>
  <fonts count="3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8"/>
      <name val="Tahoma"/>
      <family val="2"/>
    </font>
    <font>
      <b/>
      <sz val="12"/>
      <name val="Tahoma"/>
      <family val="2"/>
    </font>
    <font>
      <b/>
      <sz val="10"/>
      <name val="Tahoma"/>
      <family val="2"/>
    </font>
    <font>
      <sz val="10"/>
      <name val="Tahoma"/>
      <family val="2"/>
    </font>
    <font>
      <sz val="8"/>
      <color rgb="FFFF0000"/>
      <name val="Tahoma"/>
      <family val="2"/>
    </font>
    <font>
      <sz val="10"/>
      <color rgb="FFFF0000"/>
      <name val="Arial"/>
      <family val="2"/>
    </font>
    <font>
      <sz val="8"/>
      <color theme="0" tint="-0.14999847407452621"/>
      <name val="Tahoma"/>
      <family val="2"/>
    </font>
    <font>
      <b/>
      <sz val="8"/>
      <color indexed="9"/>
      <name val="Tahoma"/>
      <family val="2"/>
    </font>
    <font>
      <b/>
      <sz val="10"/>
      <color theme="0"/>
      <name val="Arial"/>
      <family val="2"/>
    </font>
    <font>
      <b/>
      <sz val="10"/>
      <name val="Arial"/>
      <family val="2"/>
    </font>
    <font>
      <sz val="22"/>
      <name val="Arial"/>
      <family val="2"/>
    </font>
    <font>
      <b/>
      <sz val="8"/>
      <name val="Tahoma"/>
      <family val="2"/>
    </font>
    <font>
      <b/>
      <sz val="9"/>
      <color indexed="9"/>
      <name val="Tahoma"/>
      <family val="2"/>
    </font>
    <font>
      <b/>
      <sz val="7"/>
      <color indexed="9"/>
      <name val="Tahoma"/>
      <family val="2"/>
    </font>
    <font>
      <b/>
      <sz val="8"/>
      <color theme="0"/>
      <name val="Tahoma"/>
      <family val="2"/>
    </font>
    <font>
      <b/>
      <sz val="8"/>
      <color theme="4" tint="0.39997558519241921"/>
      <name val="Tahoma"/>
      <family val="2"/>
    </font>
    <font>
      <sz val="10"/>
      <color theme="0"/>
      <name val="Arial"/>
      <family val="2"/>
    </font>
    <font>
      <sz val="10"/>
      <color theme="1"/>
      <name val="Arial"/>
      <family val="2"/>
    </font>
    <font>
      <b/>
      <sz val="7.5"/>
      <name val="Tahoma"/>
      <family val="2"/>
    </font>
    <font>
      <sz val="8"/>
      <name val="Arial"/>
      <family val="2"/>
    </font>
    <font>
      <sz val="8"/>
      <color theme="0" tint="-0.249977111117893"/>
      <name val="Tahoma"/>
      <family val="2"/>
    </font>
    <font>
      <sz val="8"/>
      <color theme="0"/>
      <name val="Tahoma"/>
      <family val="2"/>
    </font>
    <font>
      <sz val="9"/>
      <name val="Arial"/>
      <family val="2"/>
    </font>
    <font>
      <b/>
      <sz val="9"/>
      <name val="Arial"/>
      <family val="2"/>
    </font>
    <font>
      <sz val="11"/>
      <name val="Calibri"/>
      <family val="2"/>
      <scheme val="minor"/>
    </font>
    <font>
      <sz val="9"/>
      <color rgb="FFFF0000"/>
      <name val="Arial"/>
      <family val="2"/>
    </font>
    <font>
      <b/>
      <sz val="8"/>
      <color rgb="FFFF0000"/>
      <name val="Tahoma"/>
      <family val="2"/>
    </font>
    <font>
      <b/>
      <sz val="8"/>
      <color theme="0" tint="-0.249977111117893"/>
      <name val="Tahoma"/>
      <family val="2"/>
    </font>
    <font>
      <sz val="12"/>
      <name val="Tahoma"/>
      <family val="2"/>
    </font>
    <font>
      <sz val="11"/>
      <name val="Tahoma"/>
      <family val="2"/>
    </font>
    <font>
      <sz val="8"/>
      <color theme="1" tint="4.9989318521683403E-2"/>
      <name val="Tahoma"/>
      <family val="2"/>
    </font>
    <font>
      <b/>
      <sz val="9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u/>
      <sz val="11"/>
      <color theme="10"/>
      <name val="Calibri"/>
      <family val="2"/>
    </font>
    <font>
      <sz val="8"/>
      <color indexed="9"/>
      <name val="Tahoma"/>
      <family val="2"/>
    </font>
    <font>
      <sz val="9"/>
      <color theme="1"/>
      <name val="Arial"/>
      <family val="2"/>
    </font>
    <font>
      <sz val="8"/>
      <color theme="1"/>
      <name val="Arial"/>
      <family val="2"/>
    </font>
    <font>
      <sz val="10"/>
      <color rgb="FFFF0000"/>
      <name val="Tahoma"/>
      <family val="2"/>
    </font>
    <font>
      <b/>
      <sz val="8"/>
      <name val="Arial"/>
      <family val="2"/>
    </font>
    <font>
      <sz val="8"/>
      <color rgb="FFFF0000"/>
      <name val="Arial"/>
      <family val="2"/>
    </font>
    <font>
      <sz val="10"/>
      <name val="Univers (WN)"/>
    </font>
    <font>
      <sz val="11"/>
      <color indexed="8"/>
      <name val="Calibri"/>
      <family val="2"/>
    </font>
    <font>
      <sz val="1"/>
      <color indexed="16"/>
      <name val="Courier"/>
      <family val="3"/>
    </font>
    <font>
      <sz val="10"/>
      <name val="Helv"/>
    </font>
    <font>
      <sz val="9"/>
      <color indexed="10"/>
      <name val="Geneva"/>
      <family val="2"/>
    </font>
    <font>
      <sz val="12"/>
      <name val="바탕체"/>
      <family val="1"/>
      <charset val="129"/>
    </font>
    <font>
      <sz val="8.5"/>
      <name val="MS Sans Serif"/>
      <family val="2"/>
    </font>
    <font>
      <sz val="10"/>
      <name val="Times New Roman"/>
      <family val="1"/>
    </font>
    <font>
      <sz val="12"/>
      <name val="돋움체"/>
      <family val="3"/>
      <charset val="129"/>
    </font>
    <font>
      <sz val="9"/>
      <color indexed="10"/>
      <name val="Geneva"/>
    </font>
    <font>
      <sz val="14"/>
      <name val="Arial"/>
      <family val="2"/>
    </font>
    <font>
      <sz val="8"/>
      <name val="Times New Roman"/>
      <family val="1"/>
    </font>
    <font>
      <sz val="10"/>
      <name val="Arial"/>
      <family val="2"/>
      <charset val="204"/>
    </font>
    <font>
      <sz val="10"/>
      <name val="Verdana"/>
      <family val="2"/>
    </font>
    <font>
      <sz val="12"/>
      <name val="Times New Roman"/>
      <family val="1"/>
    </font>
    <font>
      <sz val="10"/>
      <color indexed="8"/>
      <name val="MS Sans Serif"/>
      <family val="2"/>
    </font>
    <font>
      <sz val="10"/>
      <name val="Book Antiqua"/>
      <family val="1"/>
    </font>
    <font>
      <sz val="14"/>
      <name val="??"/>
      <family val="3"/>
      <charset val="129"/>
    </font>
    <font>
      <u/>
      <sz val="11"/>
      <color indexed="36"/>
      <name val="??"/>
      <family val="3"/>
      <charset val="129"/>
    </font>
    <font>
      <sz val="12"/>
      <name val="바탕체"/>
      <family val="3"/>
      <charset val="129"/>
    </font>
    <font>
      <sz val="12"/>
      <name val="???"/>
      <family val="1"/>
      <charset val="129"/>
    </font>
    <font>
      <u/>
      <sz val="8"/>
      <color indexed="12"/>
      <name val="Arial"/>
      <family val="2"/>
    </font>
    <font>
      <u/>
      <sz val="8"/>
      <color indexed="36"/>
      <name val="Arial"/>
      <family val="2"/>
    </font>
    <font>
      <sz val="8"/>
      <name val="Arial"/>
      <family val="2"/>
      <charset val="204"/>
    </font>
    <font>
      <u/>
      <sz val="8.4"/>
      <color indexed="12"/>
      <name val="Arial"/>
      <family val="2"/>
    </font>
    <font>
      <sz val="11"/>
      <name val="?? ?????"/>
      <charset val="128"/>
    </font>
    <font>
      <sz val="11"/>
      <name val="Arial"/>
      <family val="2"/>
    </font>
    <font>
      <b/>
      <sz val="10"/>
      <name val="Helvetica"/>
      <family val="2"/>
    </font>
    <font>
      <b/>
      <u/>
      <sz val="10"/>
      <name val="Courier"/>
      <family val="3"/>
    </font>
    <font>
      <sz val="10"/>
      <name val="Helv"/>
      <charset val="204"/>
    </font>
    <font>
      <sz val="10"/>
      <name val="Helv"/>
      <family val="2"/>
    </font>
    <font>
      <sz val="10"/>
      <name val="Palacio CS ATT"/>
    </font>
    <font>
      <sz val="10"/>
      <color indexed="8"/>
      <name val="Arial"/>
      <family val="2"/>
    </font>
    <font>
      <sz val="10"/>
      <name val="Helv"/>
      <family val="2"/>
      <charset val="204"/>
    </font>
    <font>
      <sz val="12"/>
      <name val="Arial"/>
      <family val="2"/>
    </font>
    <font>
      <sz val="10"/>
      <name val="Courier"/>
      <family val="3"/>
    </font>
    <font>
      <sz val="9"/>
      <color indexed="10"/>
      <name val="Geneva"/>
      <family val="2"/>
      <charset val="204"/>
    </font>
    <font>
      <sz val="9"/>
      <color indexed="8"/>
      <name val="Tahoma"/>
      <family val="2"/>
    </font>
    <font>
      <b/>
      <sz val="10"/>
      <name val="Arial"/>
      <family val="2"/>
      <charset val="204"/>
    </font>
    <font>
      <sz val="10"/>
      <color indexed="9"/>
      <name val="Arial"/>
      <family val="2"/>
    </font>
    <font>
      <b/>
      <i/>
      <sz val="36"/>
      <name val="Tahoma"/>
      <family val="2"/>
    </font>
    <font>
      <b/>
      <i/>
      <sz val="36"/>
      <name val="Tahoma"/>
      <family val="2"/>
      <charset val="204"/>
    </font>
    <font>
      <i/>
      <sz val="10"/>
      <name val="Arial"/>
      <family val="2"/>
    </font>
    <font>
      <i/>
      <sz val="10"/>
      <name val="Arial"/>
      <family val="2"/>
      <charset val="204"/>
    </font>
    <font>
      <i/>
      <sz val="10"/>
      <color indexed="13"/>
      <name val="Arial"/>
      <family val="2"/>
    </font>
    <font>
      <b/>
      <i/>
      <sz val="28"/>
      <name val="Tahoma"/>
      <family val="2"/>
    </font>
    <font>
      <b/>
      <i/>
      <sz val="28"/>
      <name val="Tahoma"/>
      <family val="2"/>
      <charset val="204"/>
    </font>
    <font>
      <b/>
      <i/>
      <sz val="10"/>
      <name val="Arial"/>
      <family val="2"/>
    </font>
    <font>
      <sz val="10"/>
      <color indexed="13"/>
      <name val="Arial"/>
      <family val="2"/>
    </font>
    <font>
      <b/>
      <i/>
      <sz val="10"/>
      <name val="Tahoma"/>
      <family val="2"/>
    </font>
    <font>
      <b/>
      <i/>
      <sz val="10"/>
      <name val="Tahoma"/>
      <family val="2"/>
      <charset val="204"/>
    </font>
    <font>
      <b/>
      <i/>
      <sz val="9"/>
      <name val="Arial"/>
      <family val="2"/>
    </font>
    <font>
      <b/>
      <i/>
      <sz val="9"/>
      <name val="Arial"/>
      <family val="2"/>
      <charset val="204"/>
    </font>
    <font>
      <b/>
      <sz val="9"/>
      <name val="Arial"/>
      <family val="2"/>
      <charset val="204"/>
    </font>
    <font>
      <b/>
      <vertAlign val="superscript"/>
      <sz val="12"/>
      <color indexed="8"/>
      <name val="Arial"/>
      <family val="2"/>
    </font>
    <font>
      <b/>
      <vertAlign val="superscript"/>
      <sz val="12"/>
      <color indexed="8"/>
      <name val="Arial"/>
      <family val="2"/>
      <charset val="204"/>
    </font>
    <font>
      <sz val="12"/>
      <color indexed="8"/>
      <name val="Arial"/>
      <family val="2"/>
    </font>
    <font>
      <sz val="12"/>
      <color indexed="8"/>
      <name val="Arial"/>
      <family val="2"/>
      <charset val="204"/>
    </font>
    <font>
      <sz val="9"/>
      <name val="Tahoma"/>
      <family val="2"/>
    </font>
    <font>
      <sz val="10"/>
      <name val="MS Sans Serif"/>
      <family val="2"/>
    </font>
    <font>
      <u/>
      <sz val="10"/>
      <name val="Arial"/>
      <family val="2"/>
    </font>
    <font>
      <b/>
      <sz val="11"/>
      <name val="Book Antiqua"/>
      <family val="1"/>
    </font>
    <font>
      <b/>
      <i/>
      <sz val="12"/>
      <name val="Arial"/>
      <family val="2"/>
    </font>
    <font>
      <b/>
      <sz val="12"/>
      <name val="Arial"/>
      <family val="2"/>
    </font>
    <font>
      <b/>
      <sz val="12"/>
      <color indexed="9"/>
      <name val="Arial"/>
      <family val="2"/>
    </font>
    <font>
      <b/>
      <sz val="14"/>
      <color indexed="9"/>
      <name val="Arial"/>
      <family val="2"/>
    </font>
    <font>
      <b/>
      <i/>
      <sz val="14"/>
      <name val="Arial"/>
      <family val="2"/>
    </font>
    <font>
      <b/>
      <i/>
      <sz val="20"/>
      <name val="Arial"/>
      <family val="2"/>
    </font>
    <font>
      <b/>
      <sz val="16"/>
      <color indexed="9"/>
      <name val="Arial"/>
      <family val="2"/>
    </font>
    <font>
      <b/>
      <sz val="14"/>
      <name val="Arial"/>
      <family val="2"/>
    </font>
    <font>
      <b/>
      <i/>
      <sz val="22"/>
      <name val="Arial"/>
      <family val="2"/>
    </font>
    <font>
      <sz val="11"/>
      <color theme="1"/>
      <name val="Century Schoolbook"/>
      <family val="2"/>
    </font>
    <font>
      <sz val="11"/>
      <color indexed="9"/>
      <name val="Calibri"/>
      <family val="2"/>
    </font>
    <font>
      <sz val="11"/>
      <color theme="0"/>
      <name val="Century Schoolbook"/>
      <family val="2"/>
    </font>
    <font>
      <sz val="12"/>
      <name val="Arial MT"/>
    </font>
    <font>
      <sz val="8"/>
      <name val="Helv"/>
      <charset val="204"/>
    </font>
    <font>
      <sz val="10"/>
      <color indexed="48"/>
      <name val="Arial"/>
      <family val="2"/>
    </font>
    <font>
      <b/>
      <sz val="10"/>
      <name val="Times New Roman"/>
      <family val="1"/>
    </font>
    <font>
      <sz val="10"/>
      <color indexed="12"/>
      <name val="Arial"/>
      <family val="2"/>
    </font>
    <font>
      <sz val="8"/>
      <color indexed="12"/>
      <name val="Helv"/>
    </font>
    <font>
      <sz val="10"/>
      <name val="Geneva"/>
    </font>
    <font>
      <sz val="12"/>
      <name val="¹UAAA¼"/>
      <family val="1"/>
      <charset val="129"/>
    </font>
    <font>
      <sz val="11"/>
      <color indexed="10"/>
      <name val="Calibri"/>
      <family val="2"/>
    </font>
    <font>
      <sz val="8"/>
      <color indexed="12"/>
      <name val="DKBRHelvetica"/>
      <family val="2"/>
    </font>
    <font>
      <sz val="11"/>
      <color indexed="37"/>
      <name val="Calibri"/>
      <family val="2"/>
    </font>
    <font>
      <sz val="11"/>
      <color indexed="20"/>
      <name val="Calibri"/>
      <family val="2"/>
    </font>
    <font>
      <sz val="11"/>
      <color rgb="FF9C0006"/>
      <name val="Century Schoolbook"/>
      <family val="2"/>
    </font>
    <font>
      <b/>
      <sz val="10"/>
      <color indexed="8"/>
      <name val="Arial"/>
      <family val="2"/>
    </font>
    <font>
      <b/>
      <sz val="10"/>
      <color indexed="9"/>
      <name val="Arial"/>
      <family val="2"/>
    </font>
    <font>
      <b/>
      <sz val="10"/>
      <name val="N Helvetica Narrow"/>
    </font>
    <font>
      <sz val="12"/>
      <name val="Futura Hv BT"/>
      <family val="2"/>
    </font>
    <font>
      <u/>
      <sz val="10"/>
      <color indexed="36"/>
      <name val="Arial"/>
      <family val="2"/>
    </font>
    <font>
      <sz val="10"/>
      <color indexed="8"/>
      <name val="Tms Rmn"/>
    </font>
    <font>
      <sz val="11"/>
      <name val="Times New Roman"/>
      <family val="1"/>
    </font>
    <font>
      <b/>
      <sz val="12"/>
      <name val="Times New Roman"/>
      <family val="1"/>
    </font>
    <font>
      <sz val="11"/>
      <color indexed="17"/>
      <name val="Calibri"/>
      <family val="2"/>
    </font>
    <font>
      <b/>
      <sz val="10"/>
      <name val="MS Sans Serif"/>
      <family val="2"/>
    </font>
    <font>
      <sz val="10"/>
      <name val="Univers 47 CondensedLight"/>
    </font>
    <font>
      <b/>
      <sz val="1"/>
      <color indexed="16"/>
      <name val="Courier"/>
      <family val="3"/>
    </font>
    <font>
      <b/>
      <sz val="11"/>
      <color indexed="52"/>
      <name val="Calibri"/>
      <family val="2"/>
    </font>
    <font>
      <b/>
      <sz val="11"/>
      <color indexed="17"/>
      <name val="Calibri"/>
      <family val="2"/>
    </font>
    <font>
      <b/>
      <sz val="11"/>
      <color rgb="FFFA7D00"/>
      <name val="Century Schoolbook"/>
      <family val="2"/>
    </font>
    <font>
      <sz val="10"/>
      <color indexed="12"/>
      <name val="Times New Roman"/>
      <family val="1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name val="Arial"/>
      <family val="2"/>
    </font>
    <font>
      <sz val="10"/>
      <color indexed="18"/>
      <name val="Times New Roman"/>
      <family val="1"/>
    </font>
    <font>
      <b/>
      <sz val="11"/>
      <color theme="0"/>
      <name val="Century Schoolbook"/>
      <family val="2"/>
    </font>
    <font>
      <b/>
      <sz val="10"/>
      <color indexed="54"/>
      <name val="Verdana"/>
      <family val="2"/>
    </font>
    <font>
      <b/>
      <sz val="9.75"/>
      <name val="Abadi MT Condensed"/>
      <family val="2"/>
    </font>
    <font>
      <sz val="8"/>
      <color indexed="12"/>
      <name val="Times New Roman"/>
      <family val="1"/>
    </font>
    <font>
      <sz val="8"/>
      <name val="Palatino"/>
      <family val="1"/>
    </font>
    <font>
      <u val="singleAccounting"/>
      <sz val="11"/>
      <name val="Times New Roman"/>
      <family val="1"/>
    </font>
    <font>
      <sz val="8"/>
      <name val="Verdana"/>
      <family val="2"/>
    </font>
    <font>
      <sz val="10"/>
      <color theme="1"/>
      <name val="Calibri"/>
      <family val="2"/>
    </font>
    <font>
      <sz val="10"/>
      <name val="Century Gothic"/>
      <family val="2"/>
    </font>
    <font>
      <sz val="12"/>
      <name val="Book Antiqua"/>
      <family val="1"/>
    </font>
    <font>
      <b/>
      <sz val="16"/>
      <name val="Times New Roman"/>
      <family val="1"/>
    </font>
    <font>
      <sz val="11"/>
      <color indexed="12"/>
      <name val="Times New Roman"/>
      <family val="1"/>
    </font>
    <font>
      <sz val="10"/>
      <name val="Univers (W1)"/>
    </font>
    <font>
      <sz val="10"/>
      <name val="Univers"/>
      <family val="2"/>
    </font>
    <font>
      <sz val="8"/>
      <color indexed="12"/>
      <name val="Tms Rmn"/>
    </font>
    <font>
      <sz val="10"/>
      <color indexed="12"/>
      <name val="Abadi MT Condensed"/>
      <family val="2"/>
    </font>
    <font>
      <sz val="12"/>
      <color indexed="24"/>
      <name val="Arial"/>
      <family val="2"/>
    </font>
    <font>
      <b/>
      <sz val="14"/>
      <color indexed="10"/>
      <name val="Times New Roman"/>
      <family val="1"/>
    </font>
    <font>
      <u val="doubleAccounting"/>
      <sz val="10"/>
      <name val="Arial"/>
      <family val="2"/>
    </font>
    <font>
      <b/>
      <sz val="11"/>
      <color indexed="8"/>
      <name val="Calibri"/>
      <family val="2"/>
    </font>
    <font>
      <b/>
      <sz val="18"/>
      <name val="Arial"/>
      <family val="2"/>
    </font>
    <font>
      <b/>
      <sz val="11"/>
      <color indexed="56"/>
      <name val="Calibri"/>
      <family val="2"/>
    </font>
    <font>
      <b/>
      <sz val="12"/>
      <name val="N Helvetica Narrow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i/>
      <sz val="11"/>
      <color rgb="FF7F7F7F"/>
      <name val="Century Schoolbook"/>
      <family val="2"/>
    </font>
    <font>
      <b/>
      <u/>
      <sz val="1"/>
      <color indexed="12"/>
      <name val="Courier"/>
      <family val="3"/>
    </font>
    <font>
      <b/>
      <sz val="1"/>
      <color indexed="8"/>
      <name val="Courier"/>
      <family val="3"/>
    </font>
    <font>
      <b/>
      <sz val="1"/>
      <color indexed="12"/>
      <name val="Courier"/>
      <family val="3"/>
    </font>
    <font>
      <sz val="1"/>
      <color indexed="8"/>
      <name val="Courier"/>
      <family val="3"/>
    </font>
    <font>
      <b/>
      <u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0"/>
      <color indexed="8"/>
      <name val="Tahoma"/>
      <family val="2"/>
      <charset val="1"/>
    </font>
    <font>
      <b/>
      <sz val="10"/>
      <color indexed="9"/>
      <name val="Tahoma"/>
      <family val="2"/>
      <charset val="1"/>
    </font>
    <font>
      <sz val="8"/>
      <color indexed="18"/>
      <name val="Times New Roman"/>
      <family val="1"/>
    </font>
    <font>
      <sz val="7"/>
      <name val="Palatino"/>
      <family val="1"/>
    </font>
    <font>
      <sz val="11"/>
      <color rgb="FF006100"/>
      <name val="Century Schoolbook"/>
      <family val="2"/>
    </font>
    <font>
      <sz val="12"/>
      <color indexed="9"/>
      <name val="Times New Roman"/>
      <family val="1"/>
    </font>
    <font>
      <b/>
      <sz val="28"/>
      <name val="Times New Roman"/>
      <family val="1"/>
    </font>
    <font>
      <sz val="6"/>
      <color indexed="16"/>
      <name val="Palatino"/>
      <family val="1"/>
    </font>
    <font>
      <b/>
      <sz val="15"/>
      <color indexed="62"/>
      <name val="Calibri"/>
      <family val="2"/>
    </font>
    <font>
      <b/>
      <sz val="15"/>
      <color indexed="56"/>
      <name val="Calibri"/>
      <family val="2"/>
    </font>
    <font>
      <b/>
      <sz val="15"/>
      <color theme="3"/>
      <name val="Century Schoolbook"/>
      <family val="2"/>
    </font>
    <font>
      <b/>
      <sz val="8"/>
      <name val="Palatino"/>
    </font>
    <font>
      <b/>
      <sz val="13"/>
      <color indexed="62"/>
      <name val="Calibri"/>
      <family val="2"/>
    </font>
    <font>
      <b/>
      <sz val="13"/>
      <color indexed="56"/>
      <name val="Calibri"/>
      <family val="2"/>
    </font>
    <font>
      <b/>
      <sz val="13"/>
      <color theme="3"/>
      <name val="Century Schoolbook"/>
      <family val="2"/>
    </font>
    <font>
      <b/>
      <sz val="11"/>
      <color indexed="62"/>
      <name val="Calibri"/>
      <family val="2"/>
    </font>
    <font>
      <b/>
      <sz val="11"/>
      <color theme="3"/>
      <name val="Century Schoolbook"/>
      <family val="2"/>
    </font>
    <font>
      <sz val="10"/>
      <color indexed="9"/>
      <name val="Univers (WN)"/>
    </font>
    <font>
      <u/>
      <sz val="9"/>
      <color indexed="12"/>
      <name val="Arial"/>
      <family val="2"/>
    </font>
    <font>
      <u/>
      <sz val="10"/>
      <color indexed="12"/>
      <name val="Arial"/>
      <family val="2"/>
    </font>
    <font>
      <u/>
      <sz val="7.5"/>
      <color indexed="12"/>
      <name val="Arial"/>
      <family val="2"/>
    </font>
    <font>
      <b/>
      <sz val="9"/>
      <name val="Times New Roman"/>
      <family val="1"/>
    </font>
    <font>
      <vertAlign val="superscript"/>
      <sz val="9"/>
      <name val="Arial"/>
      <family val="2"/>
    </font>
    <font>
      <u/>
      <sz val="7.5"/>
      <color indexed="36"/>
      <name val="Arial"/>
      <family val="2"/>
    </font>
    <font>
      <sz val="10"/>
      <color indexed="18"/>
      <name val="Palatino"/>
    </font>
    <font>
      <sz val="11"/>
      <color indexed="48"/>
      <name val="Calibri"/>
      <family val="2"/>
    </font>
    <font>
      <sz val="11"/>
      <color rgb="FF3F3F76"/>
      <name val="Century Schoolbook"/>
      <family val="2"/>
    </font>
    <font>
      <sz val="10"/>
      <color indexed="18"/>
      <name val="Univers (W1)"/>
    </font>
    <font>
      <sz val="8"/>
      <color indexed="12"/>
      <name val="Palatino"/>
      <family val="1"/>
    </font>
    <font>
      <sz val="8"/>
      <color indexed="12"/>
      <name val="Arial"/>
      <family val="2"/>
    </font>
    <font>
      <i/>
      <sz val="16"/>
      <name val="Times New Roman"/>
      <family val="1"/>
    </font>
    <font>
      <u/>
      <sz val="10"/>
      <color indexed="36"/>
      <name val="MS Sans Serif"/>
      <family val="2"/>
    </font>
    <font>
      <u/>
      <sz val="10"/>
      <color indexed="12"/>
      <name val="MS Sans Serif"/>
      <family val="2"/>
    </font>
    <font>
      <sz val="11"/>
      <color rgb="FFFA7D00"/>
      <name val="Century Schoolbook"/>
      <family val="2"/>
    </font>
    <font>
      <sz val="8"/>
      <color indexed="8"/>
      <name val="Helv"/>
    </font>
    <font>
      <b/>
      <sz val="14"/>
      <name val="Times New Roman"/>
      <family val="1"/>
    </font>
    <font>
      <sz val="10"/>
      <name val="Tms Rmn"/>
    </font>
    <font>
      <u/>
      <sz val="9"/>
      <color indexed="36"/>
      <name val="Arial"/>
      <family val="2"/>
    </font>
    <font>
      <sz val="10"/>
      <color indexed="20"/>
      <name val="Times New Roman"/>
      <family val="1"/>
    </font>
    <font>
      <sz val="10"/>
      <name val="Helvetica"/>
      <family val="2"/>
    </font>
    <font>
      <sz val="11"/>
      <color indexed="60"/>
      <name val="Calibri"/>
      <family val="2"/>
    </font>
    <font>
      <sz val="11"/>
      <color rgb="FF9C6500"/>
      <name val="Century Schoolbook"/>
      <family val="2"/>
    </font>
    <font>
      <sz val="12"/>
      <color indexed="8"/>
      <name val="Times New Roman"/>
      <family val="1"/>
    </font>
    <font>
      <b/>
      <i/>
      <sz val="16"/>
      <name val="Helv"/>
    </font>
    <font>
      <sz val="12"/>
      <name val="Helv"/>
    </font>
    <font>
      <sz val="10"/>
      <name val="Palatino"/>
    </font>
    <font>
      <sz val="8"/>
      <color indexed="17"/>
      <name val="Tms Rmn"/>
    </font>
    <font>
      <sz val="8"/>
      <name val="DKBRHelvetica"/>
      <family val="2"/>
    </font>
    <font>
      <sz val="10"/>
      <color theme="1"/>
      <name val="Calibri"/>
      <family val="2"/>
      <scheme val="minor"/>
    </font>
    <font>
      <b/>
      <sz val="10"/>
      <color indexed="12"/>
      <name val="Times New Roman"/>
      <family val="1"/>
    </font>
    <font>
      <sz val="10"/>
      <name val="Times New Roman CE"/>
      <charset val="238"/>
    </font>
    <font>
      <sz val="10"/>
      <name val="Palatino"/>
      <family val="1"/>
    </font>
    <font>
      <sz val="11"/>
      <color indexed="8"/>
      <name val="Century Schoolbook"/>
      <family val="2"/>
    </font>
    <font>
      <i/>
      <sz val="10"/>
      <name val="Helv"/>
    </font>
    <font>
      <sz val="12"/>
      <color indexed="12"/>
      <name val="Times New Roman"/>
      <family val="1"/>
    </font>
    <font>
      <i/>
      <sz val="10"/>
      <color rgb="FF595959"/>
      <name val="Arial"/>
      <family val="2"/>
    </font>
    <font>
      <sz val="10"/>
      <color rgb="FF595959"/>
      <name val="Arial"/>
      <family val="2"/>
    </font>
    <font>
      <b/>
      <i/>
      <sz val="14"/>
      <name val="Times New Roman"/>
      <family val="1"/>
    </font>
    <font>
      <b/>
      <sz val="13.5"/>
      <name val="MS Sans Serif"/>
      <family val="2"/>
    </font>
    <font>
      <b/>
      <sz val="11"/>
      <color indexed="63"/>
      <name val="Calibri"/>
      <family val="2"/>
    </font>
    <font>
      <b/>
      <sz val="11"/>
      <color rgb="FF3F3F3F"/>
      <name val="Century Schoolbook"/>
      <family val="2"/>
    </font>
    <font>
      <sz val="11"/>
      <color indexed="8"/>
      <name val="Times New Roman"/>
      <family val="1"/>
    </font>
    <font>
      <b/>
      <i/>
      <sz val="10"/>
      <color indexed="8"/>
      <name val="Arial"/>
      <family val="2"/>
    </font>
    <font>
      <b/>
      <sz val="10"/>
      <color indexed="17"/>
      <name val="Arial"/>
      <family val="2"/>
    </font>
    <font>
      <b/>
      <sz val="10"/>
      <color indexed="13"/>
      <name val="Arial"/>
      <family val="2"/>
    </font>
    <font>
      <sz val="7"/>
      <name val="Arial"/>
      <family val="2"/>
    </font>
    <font>
      <i/>
      <sz val="10"/>
      <name val="Arial Unicode MS"/>
      <family val="2"/>
    </font>
    <font>
      <sz val="12"/>
      <name val="Univers (W1)"/>
    </font>
    <font>
      <b/>
      <u/>
      <sz val="10"/>
      <name val="Arial"/>
      <family val="2"/>
    </font>
    <font>
      <b/>
      <sz val="26"/>
      <name val="Times New Roman"/>
      <family val="1"/>
    </font>
    <font>
      <b/>
      <sz val="18"/>
      <name val="Times New Roman"/>
      <family val="1"/>
    </font>
    <font>
      <sz val="12"/>
      <name val="CG Times (WN)"/>
    </font>
    <font>
      <sz val="10"/>
      <name val="N Helvetica Narrow"/>
    </font>
    <font>
      <sz val="10"/>
      <name val="Arial Narrow"/>
      <family val="2"/>
    </font>
    <font>
      <b/>
      <sz val="10"/>
      <color indexed="8"/>
      <name val="Arial Narrow"/>
      <family val="2"/>
    </font>
    <font>
      <sz val="10"/>
      <color indexed="10"/>
      <name val="Times New Roman"/>
      <family val="1"/>
    </font>
    <font>
      <sz val="10"/>
      <color indexed="10"/>
      <name val="MS Sans Serif"/>
      <family val="2"/>
    </font>
    <font>
      <sz val="11"/>
      <name val="Abadi MT Condensed Extra Bold"/>
      <family val="2"/>
    </font>
    <font>
      <sz val="10"/>
      <name val="Abadi MT Condensed"/>
      <family val="2"/>
    </font>
    <font>
      <sz val="9.75"/>
      <name val="Abadi MT Condensed"/>
      <family val="2"/>
    </font>
    <font>
      <sz val="10"/>
      <name val="Helvetica"/>
    </font>
    <font>
      <sz val="9.5"/>
      <color indexed="23"/>
      <name val="Helvetica-Black"/>
    </font>
    <font>
      <sz val="8"/>
      <color indexed="62"/>
      <name val="Arial"/>
      <family val="2"/>
    </font>
    <font>
      <b/>
      <sz val="10"/>
      <color indexed="39"/>
      <name val="Arial"/>
      <family val="2"/>
    </font>
    <font>
      <b/>
      <sz val="10"/>
      <color indexed="18"/>
      <name val="Arial"/>
      <family val="2"/>
    </font>
    <font>
      <b/>
      <sz val="8"/>
      <color indexed="8"/>
      <name val="Arial"/>
      <family val="2"/>
    </font>
    <font>
      <b/>
      <sz val="12"/>
      <color indexed="8"/>
      <name val="Arial"/>
      <family val="2"/>
    </font>
    <font>
      <sz val="8"/>
      <color indexed="8"/>
      <name val="Arial"/>
      <family val="2"/>
    </font>
    <font>
      <sz val="10"/>
      <color indexed="39"/>
      <name val="Arial"/>
      <family val="2"/>
    </font>
    <font>
      <sz val="19"/>
      <name val="Arial"/>
      <family val="2"/>
    </font>
    <font>
      <sz val="19"/>
      <color indexed="48"/>
      <name val="Arial"/>
      <family val="2"/>
    </font>
    <font>
      <sz val="10"/>
      <color indexed="10"/>
      <name val="Arial"/>
      <family val="2"/>
    </font>
    <font>
      <sz val="8"/>
      <color indexed="14"/>
      <name val="Arial"/>
      <family val="2"/>
    </font>
    <font>
      <b/>
      <sz val="18"/>
      <color indexed="62"/>
      <name val="Cambria"/>
      <family val="2"/>
    </font>
    <font>
      <u val="singleAccounting"/>
      <sz val="10"/>
      <name val="Arial"/>
      <family val="2"/>
    </font>
    <font>
      <sz val="8"/>
      <color indexed="39"/>
      <name val="Arial"/>
      <family val="2"/>
    </font>
    <font>
      <b/>
      <sz val="8"/>
      <color indexed="10"/>
      <name val="Arial"/>
      <family val="2"/>
    </font>
    <font>
      <b/>
      <sz val="8"/>
      <color indexed="63"/>
      <name val="Arial"/>
      <family val="2"/>
    </font>
    <font>
      <b/>
      <sz val="8"/>
      <color indexed="9"/>
      <name val="Arial"/>
      <family val="2"/>
    </font>
    <font>
      <sz val="12"/>
      <name val="Abadi MT Condensed Extra Bold"/>
      <family val="2"/>
    </font>
    <font>
      <b/>
      <sz val="9"/>
      <name val="Palatino"/>
      <family val="1"/>
    </font>
    <font>
      <sz val="9"/>
      <color indexed="21"/>
      <name val="Helvetica-Black"/>
    </font>
    <font>
      <sz val="9"/>
      <name val="Helvetica-Black"/>
    </font>
    <font>
      <b/>
      <u val="singleAccounting"/>
      <sz val="14"/>
      <name val="Times New Roman"/>
      <family val="1"/>
    </font>
    <font>
      <i/>
      <sz val="14"/>
      <name val="Times New Roman"/>
      <family val="1"/>
    </font>
    <font>
      <sz val="14"/>
      <name val="Times New Roman"/>
      <family val="1"/>
    </font>
    <font>
      <sz val="12"/>
      <color indexed="8"/>
      <name val="Palatino"/>
      <family val="1"/>
    </font>
    <font>
      <sz val="11"/>
      <name val="Helvetica-Black"/>
    </font>
    <font>
      <sz val="11"/>
      <color indexed="8"/>
      <name val="Helvetica-Black"/>
    </font>
    <font>
      <b/>
      <sz val="10"/>
      <color indexed="10"/>
      <name val="Arial"/>
      <family val="2"/>
    </font>
    <font>
      <b/>
      <sz val="18"/>
      <color indexed="56"/>
      <name val="Cambria"/>
      <family val="2"/>
    </font>
    <font>
      <sz val="24"/>
      <name val="N Helvetica Narrow"/>
    </font>
    <font>
      <sz val="18"/>
      <name val="N Helvetica Narrow"/>
    </font>
    <font>
      <sz val="8"/>
      <name val="Helv"/>
    </font>
    <font>
      <b/>
      <sz val="10"/>
      <name val="Helv"/>
    </font>
    <font>
      <b/>
      <sz val="11"/>
      <color theme="1"/>
      <name val="Century Schoolbook"/>
      <family val="2"/>
    </font>
    <font>
      <b/>
      <sz val="10"/>
      <name val="Univers (W1)"/>
    </font>
    <font>
      <b/>
      <sz val="8"/>
      <name val="Palatino"/>
      <family val="1"/>
    </font>
    <font>
      <sz val="11"/>
      <color indexed="14"/>
      <name val="Calibri"/>
      <family val="2"/>
    </font>
    <font>
      <b/>
      <sz val="10"/>
      <color theme="0"/>
      <name val="Tahoma"/>
      <family val="2"/>
    </font>
    <font>
      <b/>
      <sz val="11"/>
      <color indexed="81"/>
      <name val="Tahoma"/>
      <family val="2"/>
    </font>
  </fonts>
  <fills count="16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rgb="FF2C15B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6DFA1E"/>
        <bgColor indexed="64"/>
      </patternFill>
    </fill>
    <fill>
      <patternFill patternType="solid">
        <fgColor rgb="FF32F10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00F66F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6"/>
      </patternFill>
    </fill>
    <fill>
      <patternFill patternType="solid">
        <fgColor indexed="8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43"/>
        <bgColor indexed="64"/>
      </patternFill>
    </fill>
    <fill>
      <patternFill patternType="solid">
        <fgColor indexed="61"/>
        <bgColor indexed="61"/>
      </patternFill>
    </fill>
    <fill>
      <patternFill patternType="solid">
        <fgColor indexed="31"/>
        <bgColor indexed="3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44"/>
        <bgColor indexed="44"/>
      </patternFill>
    </fill>
    <fill>
      <patternFill patternType="solid">
        <fgColor indexed="48"/>
        <bgColor indexed="48"/>
      </patternFill>
    </fill>
    <fill>
      <patternFill patternType="solid">
        <fgColor indexed="62"/>
      </patternFill>
    </fill>
    <fill>
      <patternFill patternType="solid">
        <fgColor indexed="26"/>
        <bgColor indexed="26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25"/>
        <bgColor indexed="25"/>
      </patternFill>
    </fill>
    <fill>
      <patternFill patternType="solid">
        <fgColor indexed="10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42"/>
        <bgColor indexed="42"/>
      </patternFill>
    </fill>
    <fill>
      <patternFill patternType="solid">
        <fgColor indexed="50"/>
        <bgColor indexed="50"/>
      </patternFill>
    </fill>
    <fill>
      <patternFill patternType="solid">
        <fgColor indexed="57"/>
        <bgColor indexed="57"/>
      </patternFill>
    </fill>
    <fill>
      <patternFill patternType="solid">
        <fgColor indexed="57"/>
      </patternFill>
    </fill>
    <fill>
      <patternFill patternType="solid">
        <fgColor indexed="18"/>
        <bgColor indexed="18"/>
      </patternFill>
    </fill>
    <fill>
      <patternFill patternType="solid">
        <fgColor indexed="41"/>
        <bgColor indexed="41"/>
      </patternFill>
    </fill>
    <fill>
      <patternFill patternType="solid">
        <fgColor indexed="27"/>
        <bgColor indexed="27"/>
      </patternFill>
    </fill>
    <fill>
      <patternFill patternType="solid">
        <fgColor indexed="54"/>
        <bgColor indexed="54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53"/>
        <bgColor indexed="53"/>
      </patternFill>
    </fill>
    <fill>
      <patternFill patternType="solid">
        <fgColor indexed="53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indexed="35"/>
        <bgColor indexed="35"/>
      </patternFill>
    </fill>
    <fill>
      <patternFill patternType="lightGray">
        <fgColor indexed="15"/>
      </patternFill>
    </fill>
    <fill>
      <patternFill patternType="solid">
        <fgColor indexed="55"/>
      </patternFill>
    </fill>
    <fill>
      <patternFill patternType="solid">
        <fgColor indexed="33"/>
        <bgColor indexed="33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lightUp">
        <fgColor indexed="9"/>
        <bgColor indexed="22"/>
      </patternFill>
    </fill>
    <fill>
      <patternFill patternType="solid">
        <fgColor indexed="11"/>
        <bgColor indexed="49"/>
      </patternFill>
    </fill>
    <fill>
      <patternFill patternType="solid">
        <fgColor indexed="10"/>
        <bgColor indexed="60"/>
      </patternFill>
    </fill>
    <fill>
      <patternFill patternType="gray125">
        <fgColor indexed="11"/>
      </patternFill>
    </fill>
    <fill>
      <patternFill patternType="solid">
        <fgColor indexed="43"/>
      </patternFill>
    </fill>
    <fill>
      <patternFill patternType="solid">
        <fgColor indexed="60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17"/>
      </patternFill>
    </fill>
    <fill>
      <patternFill patternType="solid">
        <fgColor indexed="41"/>
        <bgColor indexed="64"/>
      </patternFill>
    </fill>
    <fill>
      <patternFill patternType="solid">
        <fgColor indexed="9"/>
        <bgColor indexed="8"/>
      </patternFill>
    </fill>
    <fill>
      <patternFill patternType="mediumGray">
        <fgColor indexed="22"/>
      </patternFill>
    </fill>
    <fill>
      <patternFill patternType="darkVertical"/>
    </fill>
    <fill>
      <patternFill patternType="solid">
        <fgColor indexed="3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2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0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lightUp">
        <fgColor indexed="48"/>
        <bgColor indexed="41"/>
      </patternFill>
    </fill>
    <fill>
      <patternFill patternType="solid">
        <fgColor indexed="35"/>
        <bgColor indexed="64"/>
      </patternFill>
    </fill>
    <fill>
      <patternFill patternType="solid">
        <fgColor indexed="54"/>
      </patternFill>
    </fill>
    <fill>
      <patternFill patternType="solid">
        <fgColor indexed="40"/>
      </patternFill>
    </fill>
    <fill>
      <patternFill patternType="solid">
        <fgColor indexed="41"/>
      </patternFill>
    </fill>
    <fill>
      <patternFill patternType="solid">
        <fgColor indexed="23"/>
        <bgColor indexed="64"/>
      </patternFill>
    </fill>
    <fill>
      <patternFill patternType="solid">
        <fgColor indexed="23"/>
      </patternFill>
    </fill>
    <fill>
      <patternFill patternType="solid">
        <fgColor indexed="15"/>
      </patternFill>
    </fill>
    <fill>
      <patternFill patternType="solid">
        <fgColor indexed="20"/>
      </patternFill>
    </fill>
    <fill>
      <patternFill patternType="solid">
        <fgColor indexed="13"/>
        <bgColor indexed="64"/>
      </patternFill>
    </fill>
    <fill>
      <patternFill patternType="gray0625">
        <fgColor indexed="15"/>
      </patternFill>
    </fill>
    <fill>
      <patternFill patternType="solid">
        <fgColor indexed="34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theme="1" tint="0.24994659260841701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</fills>
  <borders count="9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indexed="8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64"/>
      </top>
      <bottom/>
      <diagonal/>
    </border>
    <border>
      <left/>
      <right/>
      <top/>
      <bottom style="hair">
        <color indexed="22"/>
      </bottom>
      <diagonal/>
    </border>
    <border>
      <left/>
      <right style="thin">
        <color indexed="8"/>
      </right>
      <top style="thin">
        <color indexed="20"/>
      </top>
      <bottom style="thin">
        <color indexed="20"/>
      </bottom>
      <diagonal/>
    </border>
    <border>
      <left/>
      <right/>
      <top style="thin">
        <color indexed="20"/>
      </top>
      <bottom style="thin">
        <color indexed="20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9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/>
      <right/>
      <top/>
      <bottom style="thin">
        <color indexed="4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48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8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58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/>
      <top/>
      <bottom style="double">
        <color indexed="17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45"/>
      </bottom>
      <diagonal/>
    </border>
    <border>
      <left/>
      <right/>
      <top/>
      <bottom style="thin">
        <color indexed="45"/>
      </bottom>
      <diagonal/>
    </border>
    <border>
      <left/>
      <right/>
      <top style="medium">
        <color indexed="45"/>
      </top>
      <bottom/>
      <diagonal/>
    </border>
    <border>
      <left/>
      <right/>
      <top/>
      <bottom style="double">
        <color indexed="45"/>
      </bottom>
      <diagonal/>
    </border>
    <border>
      <left/>
      <right/>
      <top style="medium">
        <color indexed="23"/>
      </top>
      <bottom style="medium">
        <color indexed="2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18"/>
      </bottom>
      <diagonal/>
    </border>
    <border>
      <left/>
      <right style="thin">
        <color indexed="56"/>
      </right>
      <top style="thin">
        <color indexed="18"/>
      </top>
      <bottom style="thin">
        <color indexed="56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auto="1"/>
      </top>
      <bottom style="thin">
        <color indexed="63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thin">
        <color indexed="18"/>
      </left>
      <right style="thin">
        <color indexed="48"/>
      </right>
      <top style="thin">
        <color indexed="48"/>
      </top>
      <bottom style="thin">
        <color indexed="18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48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thin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64417">
    <xf numFmtId="0" fontId="0" fillId="0" borderId="0"/>
    <xf numFmtId="167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18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  <xf numFmtId="175" fontId="60" fillId="0" borderId="0" applyFont="0" applyFill="0" applyProtection="0"/>
    <xf numFmtId="176" fontId="18" fillId="0" borderId="0" applyFont="0" applyFill="0" applyBorder="0" applyAlignment="0" applyProtection="0"/>
    <xf numFmtId="0" fontId="61" fillId="0" borderId="0"/>
    <xf numFmtId="0" fontId="62" fillId="0" borderId="0">
      <protection locked="0"/>
    </xf>
    <xf numFmtId="0" fontId="18" fillId="0" borderId="0"/>
    <xf numFmtId="0" fontId="18" fillId="0" borderId="0"/>
    <xf numFmtId="0" fontId="18" fillId="0" borderId="0"/>
    <xf numFmtId="0" fontId="18" fillId="0" borderId="0" applyNumberFormat="0" applyFill="0" applyBorder="0" applyAlignment="0" applyProtection="0"/>
    <xf numFmtId="0" fontId="18" fillId="0" borderId="0"/>
    <xf numFmtId="0" fontId="18" fillId="0" borderId="0"/>
    <xf numFmtId="177" fontId="62" fillId="0" borderId="0">
      <protection locked="0"/>
    </xf>
    <xf numFmtId="177" fontId="62" fillId="0" borderId="0">
      <protection locked="0"/>
    </xf>
    <xf numFmtId="177" fontId="62" fillId="0" borderId="0">
      <protection locked="0"/>
    </xf>
    <xf numFmtId="177" fontId="62" fillId="0" borderId="0">
      <protection locked="0"/>
    </xf>
    <xf numFmtId="177" fontId="62" fillId="0" borderId="0">
      <protection locked="0"/>
    </xf>
    <xf numFmtId="177" fontId="62" fillId="0" borderId="0">
      <protection locked="0"/>
    </xf>
    <xf numFmtId="0" fontId="62" fillId="0" borderId="0">
      <protection locked="0"/>
    </xf>
    <xf numFmtId="0" fontId="63" fillId="0" borderId="0"/>
    <xf numFmtId="0" fontId="64" fillId="0" borderId="0"/>
    <xf numFmtId="0" fontId="41" fillId="0" borderId="0">
      <alignment vertical="top"/>
    </xf>
    <xf numFmtId="0" fontId="65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5" fontId="66" fillId="0" borderId="0" applyFont="0" applyFill="0" applyBorder="0" applyAlignment="0" applyProtection="0"/>
    <xf numFmtId="167" fontId="18" fillId="0" borderId="0" applyFont="0" applyFill="0" applyBorder="0" applyAlignment="0" applyProtection="0"/>
    <xf numFmtId="179" fontId="18" fillId="0" borderId="0">
      <alignment horizontal="right"/>
    </xf>
    <xf numFmtId="180" fontId="67" fillId="0" borderId="0"/>
    <xf numFmtId="3" fontId="68" fillId="0" borderId="21"/>
    <xf numFmtId="181" fontId="67" fillId="0" borderId="0"/>
    <xf numFmtId="0" fontId="69" fillId="0" borderId="0"/>
    <xf numFmtId="0" fontId="18" fillId="0" borderId="0"/>
    <xf numFmtId="0" fontId="69" fillId="0" borderId="0"/>
    <xf numFmtId="0" fontId="69" fillId="0" borderId="0"/>
    <xf numFmtId="178" fontId="69" fillId="0" borderId="0"/>
    <xf numFmtId="178" fontId="69" fillId="0" borderId="0"/>
    <xf numFmtId="1" fontId="70" fillId="0" borderId="0">
      <alignment horizontal="left"/>
    </xf>
    <xf numFmtId="0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71" fillId="0" borderId="0" applyBorder="0"/>
    <xf numFmtId="0" fontId="71" fillId="0" borderId="0" applyBorder="0"/>
    <xf numFmtId="178" fontId="71" fillId="0" borderId="0" applyBorder="0"/>
    <xf numFmtId="178" fontId="71" fillId="0" borderId="0" applyBorder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" fontId="70" fillId="0" borderId="0">
      <alignment horizontal="left"/>
    </xf>
    <xf numFmtId="1" fontId="70" fillId="0" borderId="0">
      <alignment horizontal="left"/>
    </xf>
    <xf numFmtId="0" fontId="18" fillId="0" borderId="0"/>
    <xf numFmtId="0" fontId="18" fillId="0" borderId="0"/>
    <xf numFmtId="0" fontId="72" fillId="0" borderId="0"/>
    <xf numFmtId="0" fontId="18" fillId="0" borderId="0"/>
    <xf numFmtId="0" fontId="18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1" fontId="70" fillId="0" borderId="0">
      <alignment horizontal="left"/>
    </xf>
    <xf numFmtId="1" fontId="70" fillId="0" borderId="0">
      <alignment horizontal="left"/>
    </xf>
    <xf numFmtId="0" fontId="69" fillId="0" borderId="0"/>
    <xf numFmtId="0" fontId="18" fillId="0" borderId="0"/>
    <xf numFmtId="0" fontId="69" fillId="0" borderId="0"/>
    <xf numFmtId="0" fontId="73" fillId="0" borderId="0"/>
    <xf numFmtId="0" fontId="18" fillId="0" borderId="0"/>
    <xf numFmtId="0" fontId="18" fillId="0" borderId="0"/>
    <xf numFmtId="0" fontId="18" fillId="0" borderId="0"/>
    <xf numFmtId="0" fontId="72" fillId="0" borderId="0"/>
    <xf numFmtId="0" fontId="73" fillId="0" borderId="0"/>
    <xf numFmtId="0" fontId="73" fillId="0" borderId="0"/>
    <xf numFmtId="0" fontId="18" fillId="0" borderId="0"/>
    <xf numFmtId="0" fontId="64" fillId="0" borderId="0"/>
    <xf numFmtId="1" fontId="70" fillId="0" borderId="0">
      <alignment horizontal="left"/>
    </xf>
    <xf numFmtId="0" fontId="18" fillId="0" borderId="0"/>
    <xf numFmtId="0" fontId="72" fillId="0" borderId="0"/>
    <xf numFmtId="0" fontId="18" fillId="0" borderId="0"/>
    <xf numFmtId="0" fontId="69" fillId="0" borderId="0"/>
    <xf numFmtId="0" fontId="69" fillId="0" borderId="0"/>
    <xf numFmtId="182" fontId="18" fillId="0" borderId="0"/>
    <xf numFmtId="0" fontId="18" fillId="0" borderId="0"/>
    <xf numFmtId="0" fontId="64" fillId="0" borderId="0"/>
    <xf numFmtId="166" fontId="74" fillId="0" borderId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178" fontId="75" fillId="0" borderId="0" applyNumberFormat="0" applyFont="0" applyFill="0" applyBorder="0" applyAlignment="0" applyProtection="0"/>
    <xf numFmtId="178" fontId="75" fillId="0" borderId="0" applyNumberFormat="0" applyFont="0" applyFill="0" applyBorder="0" applyAlignment="0" applyProtection="0"/>
    <xf numFmtId="0" fontId="76" fillId="0" borderId="0" applyFont="0" applyFill="0" applyBorder="0" applyAlignment="0"/>
    <xf numFmtId="0" fontId="76" fillId="0" borderId="0" applyFont="0" applyFill="0" applyBorder="0" applyAlignment="0"/>
    <xf numFmtId="178" fontId="76" fillId="0" borderId="0" applyFont="0" applyFill="0" applyBorder="0" applyAlignment="0"/>
    <xf numFmtId="178" fontId="76" fillId="0" borderId="0" applyFont="0" applyFill="0" applyBorder="0" applyAlignment="0"/>
    <xf numFmtId="0" fontId="76" fillId="0" borderId="0" applyFont="0" applyFill="0" applyBorder="0" applyAlignment="0"/>
    <xf numFmtId="0" fontId="76" fillId="0" borderId="0" applyFont="0" applyFill="0" applyBorder="0" applyAlignment="0"/>
    <xf numFmtId="0" fontId="76" fillId="0" borderId="0" applyFont="0" applyFill="0" applyBorder="0" applyAlignment="0"/>
    <xf numFmtId="0" fontId="76" fillId="0" borderId="0" applyFont="0" applyFill="0" applyBorder="0" applyAlignment="0"/>
    <xf numFmtId="0" fontId="76" fillId="0" borderId="0" applyFont="0" applyFill="0" applyBorder="0" applyAlignment="0"/>
    <xf numFmtId="0" fontId="77" fillId="0" borderId="0">
      <alignment vertical="center"/>
    </xf>
    <xf numFmtId="0" fontId="78" fillId="0" borderId="0" applyNumberFormat="0" applyFill="0" applyBorder="0" applyAlignment="0" applyProtection="0">
      <alignment vertical="top"/>
      <protection locked="0"/>
    </xf>
    <xf numFmtId="41" fontId="74" fillId="0" borderId="0" applyFont="0" applyFill="0" applyBorder="0" applyAlignment="0" applyProtection="0"/>
    <xf numFmtId="0" fontId="77" fillId="0" borderId="0">
      <alignment vertical="center"/>
    </xf>
    <xf numFmtId="178" fontId="77" fillId="0" borderId="0">
      <alignment vertical="center"/>
    </xf>
    <xf numFmtId="0" fontId="77" fillId="0" borderId="0">
      <alignment vertical="center"/>
    </xf>
    <xf numFmtId="178" fontId="77" fillId="0" borderId="0">
      <alignment vertical="center"/>
    </xf>
    <xf numFmtId="0" fontId="77" fillId="0" borderId="0">
      <alignment vertical="center"/>
    </xf>
    <xf numFmtId="178" fontId="77" fillId="0" borderId="0">
      <alignment vertical="center"/>
    </xf>
    <xf numFmtId="183" fontId="18" fillId="0" borderId="0" applyFont="0" applyFill="0" applyBorder="0" applyAlignment="0" applyProtection="0"/>
    <xf numFmtId="0" fontId="79" fillId="0" borderId="0"/>
    <xf numFmtId="0" fontId="79" fillId="0" borderId="0"/>
    <xf numFmtId="178" fontId="79" fillId="0" borderId="0"/>
    <xf numFmtId="178" fontId="79" fillId="0" borderId="0"/>
    <xf numFmtId="0" fontId="65" fillId="0" borderId="0"/>
    <xf numFmtId="0" fontId="79" fillId="0" borderId="0"/>
    <xf numFmtId="0" fontId="79" fillId="0" borderId="0"/>
    <xf numFmtId="178" fontId="79" fillId="0" borderId="0"/>
    <xf numFmtId="178" fontId="79" fillId="0" borderId="0"/>
    <xf numFmtId="0" fontId="65" fillId="0" borderId="0"/>
    <xf numFmtId="178" fontId="65" fillId="0" borderId="0"/>
    <xf numFmtId="178" fontId="65" fillId="0" borderId="0"/>
    <xf numFmtId="0" fontId="80" fillId="0" borderId="0"/>
    <xf numFmtId="0" fontId="80" fillId="0" borderId="0"/>
    <xf numFmtId="178" fontId="80" fillId="0" borderId="0"/>
    <xf numFmtId="178" fontId="80" fillId="0" borderId="0"/>
    <xf numFmtId="43" fontId="18" fillId="0" borderId="0" applyFont="0" applyFill="0" applyBorder="0" applyAlignment="0" applyProtection="0"/>
    <xf numFmtId="184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81" fillId="0" borderId="0" applyNumberFormat="0" applyFill="0" applyBorder="0" applyAlignment="0" applyProtection="0">
      <alignment vertical="top"/>
      <protection locked="0"/>
    </xf>
    <xf numFmtId="0" fontId="82" fillId="0" borderId="0" applyNumberFormat="0" applyFill="0" applyBorder="0" applyAlignment="0" applyProtection="0">
      <alignment vertical="top"/>
      <protection locked="0"/>
    </xf>
    <xf numFmtId="43" fontId="18" fillId="0" borderId="0" applyFont="0" applyFill="0" applyBorder="0" applyAlignment="0" applyProtection="0"/>
    <xf numFmtId="185" fontId="18" fillId="0" borderId="0" applyFont="0" applyFill="0" applyBorder="0" applyAlignment="0" applyProtection="0"/>
    <xf numFmtId="0" fontId="83" fillId="0" borderId="0">
      <alignment horizontal="left"/>
    </xf>
    <xf numFmtId="0" fontId="84" fillId="0" borderId="0" applyNumberFormat="0" applyFill="0" applyBorder="0" applyAlignment="0" applyProtection="0">
      <alignment vertical="top"/>
      <protection locked="0"/>
    </xf>
    <xf numFmtId="38" fontId="85" fillId="0" borderId="0" applyFont="0" applyFill="0" applyBorder="0" applyAlignment="0" applyProtection="0"/>
    <xf numFmtId="0" fontId="86" fillId="0" borderId="0"/>
    <xf numFmtId="186" fontId="18" fillId="0" borderId="0" applyFont="0" applyFill="0" applyBorder="0" applyAlignment="0" applyProtection="0"/>
    <xf numFmtId="49" fontId="67" fillId="0" borderId="0" applyProtection="0">
      <alignment horizontal="left"/>
    </xf>
    <xf numFmtId="16" fontId="87" fillId="50" borderId="10" applyFont="0" applyFill="0" applyBorder="0" applyAlignment="0" applyProtection="0">
      <alignment horizontal="right"/>
    </xf>
    <xf numFmtId="16" fontId="87" fillId="50" borderId="10" applyFont="0" applyFill="0" applyBorder="0" applyAlignment="0" applyProtection="0">
      <alignment horizontal="right"/>
    </xf>
    <xf numFmtId="16" fontId="87" fillId="50" borderId="10" applyFont="0" applyFill="0" applyBorder="0" applyAlignment="0" applyProtection="0">
      <alignment horizontal="right"/>
    </xf>
    <xf numFmtId="16" fontId="87" fillId="50" borderId="10" applyFont="0" applyFill="0" applyBorder="0" applyAlignment="0" applyProtection="0">
      <alignment horizontal="right"/>
    </xf>
    <xf numFmtId="16" fontId="87" fillId="50" borderId="10" applyFont="0" applyFill="0" applyBorder="0" applyAlignment="0" applyProtection="0">
      <alignment horizontal="right"/>
    </xf>
    <xf numFmtId="16" fontId="87" fillId="50" borderId="10" applyFont="0" applyFill="0" applyBorder="0" applyAlignment="0" applyProtection="0">
      <alignment horizontal="right"/>
    </xf>
    <xf numFmtId="16" fontId="87" fillId="50" borderId="10" applyFont="0" applyFill="0" applyBorder="0" applyAlignment="0" applyProtection="0">
      <alignment horizontal="right"/>
    </xf>
    <xf numFmtId="16" fontId="87" fillId="50" borderId="10" applyFont="0" applyFill="0" applyBorder="0" applyAlignment="0" applyProtection="0">
      <alignment horizontal="right"/>
    </xf>
    <xf numFmtId="15" fontId="87" fillId="50" borderId="20" applyFont="0" applyFill="0" applyBorder="0" applyAlignment="0" applyProtection="0">
      <alignment horizontal="right"/>
    </xf>
    <xf numFmtId="187" fontId="87" fillId="50" borderId="10" applyFont="0" applyFill="0" applyBorder="0" applyAlignment="0" applyProtection="0">
      <alignment horizontal="right"/>
    </xf>
    <xf numFmtId="187" fontId="87" fillId="50" borderId="10" applyFont="0" applyFill="0" applyBorder="0" applyAlignment="0" applyProtection="0">
      <alignment horizontal="right"/>
    </xf>
    <xf numFmtId="187" fontId="87" fillId="50" borderId="10" applyFont="0" applyFill="0" applyBorder="0" applyAlignment="0" applyProtection="0">
      <alignment horizontal="right"/>
    </xf>
    <xf numFmtId="187" fontId="87" fillId="50" borderId="10" applyFont="0" applyFill="0" applyBorder="0" applyAlignment="0" applyProtection="0">
      <alignment horizontal="right"/>
    </xf>
    <xf numFmtId="187" fontId="87" fillId="50" borderId="10" applyFont="0" applyFill="0" applyBorder="0" applyAlignment="0" applyProtection="0">
      <alignment horizontal="right"/>
    </xf>
    <xf numFmtId="187" fontId="87" fillId="50" borderId="10" applyFont="0" applyFill="0" applyBorder="0" applyAlignment="0" applyProtection="0">
      <alignment horizontal="right"/>
    </xf>
    <xf numFmtId="187" fontId="87" fillId="50" borderId="10" applyFont="0" applyFill="0" applyBorder="0" applyAlignment="0" applyProtection="0">
      <alignment horizontal="right"/>
    </xf>
    <xf numFmtId="187" fontId="87" fillId="50" borderId="10" applyFont="0" applyFill="0" applyBorder="0" applyAlignment="0" applyProtection="0">
      <alignment horizontal="right"/>
    </xf>
    <xf numFmtId="17" fontId="88" fillId="0" borderId="0">
      <alignment horizontal="center"/>
    </xf>
    <xf numFmtId="0" fontId="18" fillId="0" borderId="0"/>
    <xf numFmtId="0" fontId="38" fillId="0" borderId="0"/>
    <xf numFmtId="0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8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18" fillId="0" borderId="0"/>
    <xf numFmtId="0" fontId="18" fillId="0" borderId="0"/>
    <xf numFmtId="0" fontId="18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Font="0" applyFill="0" applyBorder="0" applyAlignment="0" applyProtection="0"/>
    <xf numFmtId="0" fontId="74" fillId="0" borderId="0" applyNumberFormat="0" applyFill="0" applyBorder="0" applyAlignment="0" applyProtection="0"/>
    <xf numFmtId="0" fontId="18" fillId="0" borderId="0"/>
    <xf numFmtId="0" fontId="18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/>
    <xf numFmtId="0" fontId="18" fillId="0" borderId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Font="0" applyFill="0" applyBorder="0" applyAlignment="0" applyProtection="0"/>
    <xf numFmtId="0" fontId="7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/>
    <xf numFmtId="0" fontId="18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Font="0" applyFill="0" applyBorder="0" applyAlignment="0" applyProtection="0"/>
    <xf numFmtId="0" fontId="63" fillId="0" borderId="0"/>
    <xf numFmtId="0" fontId="18" fillId="0" borderId="0" applyNumberFormat="0" applyFill="0" applyBorder="0" applyAlignment="0" applyProtection="0"/>
    <xf numFmtId="0" fontId="18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/>
    <xf numFmtId="0" fontId="18" fillId="0" borderId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7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8" fillId="0" borderId="0"/>
    <xf numFmtId="0" fontId="18" fillId="0" borderId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90" fillId="0" borderId="0"/>
    <xf numFmtId="0" fontId="90" fillId="0" borderId="0"/>
    <xf numFmtId="178" fontId="90" fillId="0" borderId="0"/>
    <xf numFmtId="178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3" fillId="0" borderId="0"/>
    <xf numFmtId="0" fontId="1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8" fillId="0" borderId="0" applyFont="0" applyFill="0" applyBorder="0" applyAlignment="0" applyProtection="0"/>
    <xf numFmtId="0" fontId="69" fillId="0" borderId="0"/>
    <xf numFmtId="0" fontId="69" fillId="0" borderId="0"/>
    <xf numFmtId="178" fontId="69" fillId="0" borderId="0"/>
    <xf numFmtId="178" fontId="69" fillId="0" borderId="0"/>
    <xf numFmtId="0" fontId="18" fillId="0" borderId="0" applyFont="0" applyFill="0" applyBorder="0" applyAlignment="0" applyProtection="0"/>
    <xf numFmtId="0" fontId="69" fillId="0" borderId="0"/>
    <xf numFmtId="0" fontId="69" fillId="0" borderId="0"/>
    <xf numFmtId="178" fontId="69" fillId="0" borderId="0"/>
    <xf numFmtId="178" fontId="6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18" fillId="0" borderId="0"/>
    <xf numFmtId="0" fontId="18" fillId="0" borderId="0"/>
    <xf numFmtId="0" fontId="90" fillId="0" borderId="0"/>
    <xf numFmtId="0" fontId="18" fillId="0" borderId="0" applyFont="0" applyFill="0" applyBorder="0" applyAlignment="0" applyProtection="0"/>
    <xf numFmtId="0" fontId="18" fillId="0" borderId="0"/>
    <xf numFmtId="0" fontId="74" fillId="0" borderId="0" applyNumberFormat="0" applyFill="0" applyBorder="0" applyAlignment="0" applyProtection="0"/>
    <xf numFmtId="0" fontId="18" fillId="0" borderId="0" applyFont="0" applyFill="0" applyBorder="0" applyAlignment="0" applyProtection="0"/>
    <xf numFmtId="0" fontId="89" fillId="0" borderId="0"/>
    <xf numFmtId="0" fontId="64" fillId="0" borderId="0"/>
    <xf numFmtId="0" fontId="64" fillId="0" borderId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Font="0" applyFill="0" applyBorder="0" applyAlignment="0" applyProtection="0"/>
    <xf numFmtId="0" fontId="18" fillId="0" borderId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 applyFont="0" applyFill="0" applyBorder="0" applyAlignment="0" applyProtection="0"/>
    <xf numFmtId="0" fontId="18" fillId="0" borderId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4" fillId="0" borderId="0" applyNumberForma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74" fillId="0" borderId="0" applyNumberForma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 applyFont="0" applyFill="0" applyBorder="0" applyAlignment="0" applyProtection="0"/>
    <xf numFmtId="0" fontId="74" fillId="0" borderId="0" applyNumberForma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/>
    <xf numFmtId="0" fontId="18" fillId="0" borderId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/>
    <xf numFmtId="0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 applyFont="0" applyFill="0" applyBorder="0" applyAlignment="0" applyProtection="0"/>
    <xf numFmtId="0" fontId="74" fillId="0" borderId="0" applyNumberFormat="0" applyFill="0" applyBorder="0" applyAlignment="0" applyProtection="0"/>
    <xf numFmtId="0" fontId="18" fillId="0" borderId="0"/>
    <xf numFmtId="0" fontId="18" fillId="0" borderId="0"/>
    <xf numFmtId="0" fontId="18" fillId="0" borderId="0" applyFont="0" applyFill="0" applyBorder="0" applyAlignment="0" applyProtection="0"/>
    <xf numFmtId="0" fontId="18" fillId="0" borderId="0"/>
    <xf numFmtId="0" fontId="18" fillId="0" borderId="0" applyFont="0" applyFill="0" applyBorder="0" applyAlignment="0" applyProtection="0"/>
    <xf numFmtId="0" fontId="18" fillId="0" borderId="0"/>
    <xf numFmtId="0" fontId="18" fillId="0" borderId="0" applyNumberForma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64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89" fillId="0" borderId="0"/>
    <xf numFmtId="0" fontId="69" fillId="0" borderId="0"/>
    <xf numFmtId="0" fontId="64" fillId="0" borderId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18" fillId="0" borderId="0"/>
    <xf numFmtId="0" fontId="18" fillId="0" borderId="0"/>
    <xf numFmtId="0" fontId="18" fillId="0" borderId="0" applyFont="0" applyFill="0" applyBorder="0" applyAlignment="0" applyProtection="0"/>
    <xf numFmtId="3" fontId="72" fillId="0" borderId="0">
      <alignment horizontal="center"/>
    </xf>
    <xf numFmtId="0" fontId="18" fillId="0" borderId="0" applyFont="0" applyFill="0" applyBorder="0" applyAlignment="0" applyProtection="0"/>
    <xf numFmtId="0" fontId="18" fillId="0" borderId="0"/>
    <xf numFmtId="0" fontId="18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 applyFon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69" fillId="0" borderId="0"/>
    <xf numFmtId="0" fontId="64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178" fontId="69" fillId="0" borderId="0"/>
    <xf numFmtId="178" fontId="69" fillId="0" borderId="0"/>
    <xf numFmtId="0" fontId="63" fillId="0" borderId="0"/>
    <xf numFmtId="0" fontId="64" fillId="0" borderId="0"/>
    <xf numFmtId="0" fontId="64" fillId="0" borderId="0"/>
    <xf numFmtId="0" fontId="90" fillId="0" borderId="0"/>
    <xf numFmtId="0" fontId="90" fillId="0" borderId="0"/>
    <xf numFmtId="0" fontId="90" fillId="0" borderId="0"/>
    <xf numFmtId="178" fontId="90" fillId="0" borderId="0"/>
    <xf numFmtId="178" fontId="9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9" fillId="0" borderId="0"/>
    <xf numFmtId="0" fontId="6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18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/>
    <xf numFmtId="0" fontId="18" fillId="0" borderId="0"/>
    <xf numFmtId="0" fontId="63" fillId="0" borderId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74" fillId="0" borderId="0" applyNumberFormat="0" applyFill="0" applyBorder="0" applyAlignment="0" applyProtection="0"/>
    <xf numFmtId="0" fontId="18" fillId="0" borderId="0"/>
    <xf numFmtId="0" fontId="18" fillId="0" borderId="0" applyNumberForma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/>
    <xf numFmtId="0" fontId="18" fillId="0" borderId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 applyFont="0" applyFill="0" applyBorder="0" applyAlignment="0" applyProtection="0"/>
    <xf numFmtId="0" fontId="75" fillId="0" borderId="0"/>
    <xf numFmtId="0" fontId="18" fillId="0" borderId="0" applyNumberFormat="0" applyFill="0" applyBorder="0" applyAlignment="0" applyProtection="0"/>
    <xf numFmtId="0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89" fillId="0" borderId="0"/>
    <xf numFmtId="0" fontId="89" fillId="0" borderId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9" fillId="0" borderId="0"/>
    <xf numFmtId="0" fontId="69" fillId="0" borderId="0"/>
    <xf numFmtId="178" fontId="69" fillId="0" borderId="0"/>
    <xf numFmtId="178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9" fillId="0" borderId="0"/>
    <xf numFmtId="0" fontId="64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9" fillId="0" borderId="0"/>
    <xf numFmtId="0" fontId="69" fillId="0" borderId="0"/>
    <xf numFmtId="178" fontId="69" fillId="0" borderId="0"/>
    <xf numFmtId="178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178" fontId="69" fillId="0" borderId="0"/>
    <xf numFmtId="178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8" fontId="18" fillId="0" borderId="0"/>
    <xf numFmtId="0" fontId="18" fillId="0" borderId="0"/>
    <xf numFmtId="178" fontId="18" fillId="0" borderId="0"/>
    <xf numFmtId="0" fontId="18" fillId="0" borderId="0"/>
    <xf numFmtId="178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18" fillId="0" borderId="0"/>
    <xf numFmtId="0" fontId="18" fillId="0" borderId="0"/>
    <xf numFmtId="0" fontId="18" fillId="0" borderId="0"/>
    <xf numFmtId="0" fontId="91" fillId="0" borderId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/>
    <xf numFmtId="0" fontId="18" fillId="0" borderId="0" applyFont="0" applyFill="0" applyBorder="0" applyAlignment="0" applyProtection="0"/>
    <xf numFmtId="0" fontId="18" fillId="0" borderId="0"/>
    <xf numFmtId="0" fontId="18" fillId="0" borderId="0" applyFont="0" applyFill="0" applyBorder="0" applyAlignment="0" applyProtection="0"/>
    <xf numFmtId="0" fontId="18" fillId="0" borderId="0"/>
    <xf numFmtId="0" fontId="63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69" fillId="0" borderId="0"/>
    <xf numFmtId="0" fontId="69" fillId="0" borderId="0"/>
    <xf numFmtId="178" fontId="69" fillId="0" borderId="0"/>
    <xf numFmtId="178" fontId="69" fillId="0" borderId="0"/>
    <xf numFmtId="0" fontId="18" fillId="0" borderId="0"/>
    <xf numFmtId="0" fontId="90" fillId="0" borderId="0"/>
    <xf numFmtId="0" fontId="90" fillId="0" borderId="0"/>
    <xf numFmtId="0" fontId="63" fillId="0" borderId="0"/>
    <xf numFmtId="0" fontId="63" fillId="0" borderId="0"/>
    <xf numFmtId="0" fontId="18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0" fontId="18" fillId="0" borderId="0"/>
    <xf numFmtId="0" fontId="18" fillId="0" borderId="0"/>
    <xf numFmtId="0" fontId="18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92" fillId="0" borderId="0">
      <alignment vertical="top"/>
    </xf>
    <xf numFmtId="0" fontId="63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74" fillId="0" borderId="0" applyNumberFormat="0" applyFill="0" applyBorder="0" applyAlignment="0" applyProtection="0"/>
    <xf numFmtId="0" fontId="92" fillId="0" borderId="0">
      <alignment vertical="top"/>
    </xf>
    <xf numFmtId="0" fontId="18" fillId="0" borderId="0"/>
    <xf numFmtId="0" fontId="18" fillId="0" borderId="0" applyNumberFormat="0" applyFill="0" applyBorder="0" applyAlignment="0" applyProtection="0"/>
    <xf numFmtId="0" fontId="18" fillId="0" borderId="0" applyFont="0" applyFill="0" applyBorder="0" applyAlignment="0" applyProtection="0"/>
    <xf numFmtId="0" fontId="18" fillId="0" borderId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18" fillId="0" borderId="0" applyFont="0" applyFill="0" applyBorder="0" applyAlignment="0" applyProtection="0"/>
    <xf numFmtId="0" fontId="6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90" fillId="0" borderId="0"/>
    <xf numFmtId="0" fontId="90" fillId="0" borderId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9" fillId="0" borderId="0"/>
    <xf numFmtId="0" fontId="64" fillId="0" borderId="0"/>
    <xf numFmtId="0" fontId="74" fillId="0" borderId="0" applyNumberFormat="0" applyFill="0" applyBorder="0" applyAlignment="0" applyProtection="0"/>
    <xf numFmtId="0" fontId="64" fillId="0" borderId="0"/>
    <xf numFmtId="0" fontId="18" fillId="0" borderId="0" applyFont="0" applyFill="0" applyBorder="0" applyAlignment="0" applyProtection="0"/>
    <xf numFmtId="0" fontId="63" fillId="0" borderId="0"/>
    <xf numFmtId="0" fontId="89" fillId="0" borderId="0"/>
    <xf numFmtId="0" fontId="90" fillId="0" borderId="0"/>
    <xf numFmtId="0" fontId="93" fillId="0" borderId="0"/>
    <xf numFmtId="0" fontId="90" fillId="0" borderId="0"/>
    <xf numFmtId="0" fontId="93" fillId="0" borderId="0"/>
    <xf numFmtId="0" fontId="90" fillId="0" borderId="0"/>
    <xf numFmtId="0" fontId="9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 applyFont="0" applyFill="0" applyBorder="0" applyAlignment="0" applyProtection="0"/>
    <xf numFmtId="0" fontId="94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90" fillId="0" borderId="0"/>
    <xf numFmtId="0" fontId="90" fillId="0" borderId="0"/>
    <xf numFmtId="0" fontId="90" fillId="0" borderId="0"/>
    <xf numFmtId="0" fontId="9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3" fillId="0" borderId="0"/>
    <xf numFmtId="0" fontId="18" fillId="0" borderId="0"/>
    <xf numFmtId="178" fontId="18" fillId="0" borderId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90" fillId="0" borderId="0"/>
    <xf numFmtId="0" fontId="95" fillId="0" borderId="0">
      <alignment vertical="center"/>
    </xf>
    <xf numFmtId="0" fontId="95" fillId="0" borderId="0">
      <alignment vertical="center"/>
    </xf>
    <xf numFmtId="0" fontId="95" fillId="0" borderId="0">
      <alignment vertical="center"/>
    </xf>
    <xf numFmtId="0" fontId="74" fillId="0" borderId="0" applyNumberFormat="0" applyFill="0" applyBorder="0" applyAlignment="0" applyProtection="0"/>
    <xf numFmtId="0" fontId="18" fillId="0" borderId="0"/>
    <xf numFmtId="0" fontId="89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89" fillId="0" borderId="0"/>
    <xf numFmtId="178" fontId="89" fillId="0" borderId="0"/>
    <xf numFmtId="178" fontId="89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89" fillId="0" borderId="0"/>
    <xf numFmtId="0" fontId="89" fillId="0" borderId="0"/>
    <xf numFmtId="0" fontId="89" fillId="0" borderId="0"/>
    <xf numFmtId="178" fontId="89" fillId="0" borderId="0"/>
    <xf numFmtId="178" fontId="8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89" fillId="0" borderId="0"/>
    <xf numFmtId="0" fontId="89" fillId="0" borderId="0"/>
    <xf numFmtId="0" fontId="8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89" fillId="0" borderId="0"/>
    <xf numFmtId="178" fontId="89" fillId="0" borderId="0"/>
    <xf numFmtId="178" fontId="8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89" fillId="0" borderId="0"/>
    <xf numFmtId="178" fontId="89" fillId="0" borderId="0"/>
    <xf numFmtId="0" fontId="89" fillId="0" borderId="0"/>
    <xf numFmtId="178" fontId="89" fillId="0" borderId="0"/>
    <xf numFmtId="0" fontId="89" fillId="0" borderId="0"/>
    <xf numFmtId="178" fontId="89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178" fontId="89" fillId="0" borderId="0"/>
    <xf numFmtId="178" fontId="89" fillId="0" borderId="0"/>
    <xf numFmtId="0" fontId="89" fillId="0" borderId="0"/>
    <xf numFmtId="0" fontId="89" fillId="0" borderId="0"/>
    <xf numFmtId="178" fontId="89" fillId="0" borderId="0"/>
    <xf numFmtId="178" fontId="89" fillId="0" borderId="0"/>
    <xf numFmtId="0" fontId="8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89" fillId="0" borderId="0"/>
    <xf numFmtId="178" fontId="89" fillId="0" borderId="0"/>
    <xf numFmtId="178" fontId="89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64" fillId="0" borderId="0"/>
    <xf numFmtId="0" fontId="18" fillId="0" borderId="0"/>
    <xf numFmtId="0" fontId="63" fillId="0" borderId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89" fillId="0" borderId="0"/>
    <xf numFmtId="0" fontId="63" fillId="0" borderId="0"/>
    <xf numFmtId="0" fontId="18" fillId="0" borderId="0"/>
    <xf numFmtId="0" fontId="18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3" fillId="0" borderId="0"/>
    <xf numFmtId="0" fontId="69" fillId="0" borderId="0"/>
    <xf numFmtId="0" fontId="18" fillId="0" borderId="0" applyFont="0" applyFill="0" applyBorder="0" applyAlignment="0" applyProtection="0"/>
    <xf numFmtId="0" fontId="63" fillId="0" borderId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 applyNumberFormat="0" applyFill="0" applyBorder="0" applyAlignment="0" applyProtection="0"/>
    <xf numFmtId="0" fontId="18" fillId="0" borderId="0" applyFont="0" applyFill="0" applyBorder="0" applyAlignment="0" applyProtection="0"/>
    <xf numFmtId="0" fontId="64" fillId="0" borderId="0"/>
    <xf numFmtId="0" fontId="64" fillId="0" borderId="0"/>
    <xf numFmtId="0" fontId="69" fillId="0" borderId="0"/>
    <xf numFmtId="0" fontId="69" fillId="0" borderId="0"/>
    <xf numFmtId="178" fontId="69" fillId="0" borderId="0"/>
    <xf numFmtId="178" fontId="69" fillId="0" borderId="0"/>
    <xf numFmtId="0" fontId="64" fillId="0" borderId="0"/>
    <xf numFmtId="0" fontId="64" fillId="0" borderId="0"/>
    <xf numFmtId="0" fontId="64" fillId="0" borderId="0"/>
    <xf numFmtId="0" fontId="69" fillId="0" borderId="0"/>
    <xf numFmtId="0" fontId="69" fillId="0" borderId="0"/>
    <xf numFmtId="178" fontId="69" fillId="0" borderId="0"/>
    <xf numFmtId="178" fontId="69" fillId="0" borderId="0"/>
    <xf numFmtId="0" fontId="64" fillId="0" borderId="0"/>
    <xf numFmtId="178" fontId="64" fillId="0" borderId="0"/>
    <xf numFmtId="178" fontId="64" fillId="0" borderId="0"/>
    <xf numFmtId="0" fontId="96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4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4" fillId="0" borderId="0"/>
    <xf numFmtId="0" fontId="64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3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3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89" fillId="0" borderId="0"/>
    <xf numFmtId="0" fontId="89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89" fillId="0" borderId="0"/>
    <xf numFmtId="0" fontId="18" fillId="0" borderId="0" applyFont="0" applyFill="0" applyBorder="0" applyAlignment="0" applyProtection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4" fillId="0" borderId="0"/>
    <xf numFmtId="0" fontId="90" fillId="0" borderId="0"/>
    <xf numFmtId="0" fontId="90" fillId="0" borderId="0"/>
    <xf numFmtId="0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 applyFon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18" fillId="0" borderId="0"/>
    <xf numFmtId="0" fontId="90" fillId="0" borderId="0"/>
    <xf numFmtId="0" fontId="18" fillId="0" borderId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64" fillId="0" borderId="0"/>
    <xf numFmtId="0" fontId="64" fillId="0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53" borderId="0"/>
    <xf numFmtId="0" fontId="18" fillId="53" borderId="0"/>
    <xf numFmtId="0" fontId="18" fillId="53" borderId="0"/>
    <xf numFmtId="0" fontId="18" fillId="53" borderId="0"/>
    <xf numFmtId="0" fontId="18" fillId="53" borderId="0"/>
    <xf numFmtId="0" fontId="18" fillId="53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97" fillId="51" borderId="37">
      <alignment vertical="center"/>
    </xf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188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188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188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188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52" borderId="0"/>
    <xf numFmtId="0" fontId="18" fillId="52" borderId="0"/>
    <xf numFmtId="0" fontId="97" fillId="51" borderId="37">
      <alignment vertical="center"/>
    </xf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42" borderId="0"/>
    <xf numFmtId="0" fontId="18" fillId="52" borderId="0"/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97" fillId="51" borderId="37">
      <alignment vertical="center"/>
    </xf>
    <xf numFmtId="0" fontId="18" fillId="42" borderId="0"/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178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178" fontId="97" fillId="51" borderId="37">
      <alignment vertical="center"/>
    </xf>
    <xf numFmtId="188" fontId="97" fillId="51" borderId="37">
      <alignment vertical="center"/>
    </xf>
    <xf numFmtId="178" fontId="97" fillId="51" borderId="37">
      <alignment vertical="center"/>
    </xf>
    <xf numFmtId="0" fontId="97" fillId="51" borderId="37">
      <alignment vertical="center"/>
    </xf>
    <xf numFmtId="178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178" fontId="97" fillId="51" borderId="37">
      <alignment vertical="center"/>
    </xf>
    <xf numFmtId="188" fontId="97" fillId="51" borderId="37">
      <alignment vertical="center"/>
    </xf>
    <xf numFmtId="178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188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188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42" borderId="0"/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178" fontId="18" fillId="42" borderId="0"/>
    <xf numFmtId="0" fontId="18" fillId="42" borderId="0"/>
    <xf numFmtId="178" fontId="18" fillId="42" borderId="0"/>
    <xf numFmtId="0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5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53" borderId="0"/>
    <xf numFmtId="0" fontId="18" fillId="53" borderId="0"/>
    <xf numFmtId="0" fontId="18" fillId="53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8" fillId="42" borderId="0"/>
    <xf numFmtId="0" fontId="18" fillId="42" borderId="0"/>
    <xf numFmtId="178" fontId="18" fillId="42" borderId="0"/>
    <xf numFmtId="178" fontId="18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52" borderId="0"/>
    <xf numFmtId="0" fontId="18" fillId="52" borderId="0"/>
    <xf numFmtId="0" fontId="28" fillId="42" borderId="0"/>
    <xf numFmtId="0" fontId="28" fillId="42" borderId="0"/>
    <xf numFmtId="178" fontId="28" fillId="42" borderId="0"/>
    <xf numFmtId="178" fontId="28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28" fillId="42" borderId="0"/>
    <xf numFmtId="0" fontId="97" fillId="51" borderId="37">
      <alignment vertical="center"/>
    </xf>
    <xf numFmtId="0" fontId="97" fillId="51" borderId="37">
      <alignment vertical="center"/>
    </xf>
    <xf numFmtId="0" fontId="28" fillId="42" borderId="0"/>
    <xf numFmtId="0" fontId="28" fillId="42" borderId="0"/>
    <xf numFmtId="0" fontId="28" fillId="42" borderId="0"/>
    <xf numFmtId="0" fontId="97" fillId="51" borderId="37">
      <alignment vertical="center"/>
    </xf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28" fillId="42" borderId="0"/>
    <xf numFmtId="0" fontId="98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28" fillId="42" borderId="0"/>
    <xf numFmtId="0" fontId="99" fillId="54" borderId="0"/>
    <xf numFmtId="0" fontId="99" fillId="54" borderId="0"/>
    <xf numFmtId="0" fontId="28" fillId="42" borderId="0"/>
    <xf numFmtId="0" fontId="99" fillId="54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9" fillId="54" borderId="0"/>
    <xf numFmtId="0" fontId="99" fillId="54" borderId="0"/>
    <xf numFmtId="0" fontId="99" fillId="54" borderId="0"/>
    <xf numFmtId="0" fontId="97" fillId="51" borderId="37">
      <alignment vertical="center"/>
    </xf>
    <xf numFmtId="0" fontId="28" fillId="42" borderId="0"/>
    <xf numFmtId="0" fontId="97" fillId="51" borderId="37">
      <alignment vertical="center"/>
    </xf>
    <xf numFmtId="0" fontId="2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28" fillId="42" borderId="0"/>
    <xf numFmtId="0" fontId="28" fillId="42" borderId="0"/>
    <xf numFmtId="0" fontId="97" fillId="51" borderId="37">
      <alignment vertical="center"/>
    </xf>
    <xf numFmtId="0" fontId="28" fillId="42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28" fillId="42" borderId="0"/>
    <xf numFmtId="0" fontId="28" fillId="42" borderId="0"/>
    <xf numFmtId="0" fontId="99" fillId="54" borderId="0"/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28" fillId="42" borderId="0"/>
    <xf numFmtId="0" fontId="28" fillId="42" borderId="0"/>
    <xf numFmtId="0" fontId="28" fillId="52" borderId="0"/>
    <xf numFmtId="0" fontId="99" fillId="54" borderId="0"/>
    <xf numFmtId="0" fontId="99" fillId="54" borderId="0"/>
    <xf numFmtId="0" fontId="99" fillId="54" borderId="0"/>
    <xf numFmtId="0" fontId="97" fillId="51" borderId="37">
      <alignment vertical="center"/>
    </xf>
    <xf numFmtId="0" fontId="28" fillId="42" borderId="0"/>
    <xf numFmtId="0" fontId="28" fillId="42" borderId="0"/>
    <xf numFmtId="0" fontId="97" fillId="51" borderId="37">
      <alignment vertical="center"/>
    </xf>
    <xf numFmtId="0" fontId="28" fillId="42" borderId="0"/>
    <xf numFmtId="0" fontId="97" fillId="51" borderId="37">
      <alignment vertical="center"/>
    </xf>
    <xf numFmtId="0" fontId="28" fillId="52" borderId="0"/>
    <xf numFmtId="0" fontId="28" fillId="42" borderId="0"/>
    <xf numFmtId="0" fontId="28" fillId="42" borderId="0"/>
    <xf numFmtId="0" fontId="99" fillId="54" borderId="0"/>
    <xf numFmtId="0" fontId="99" fillId="54" borderId="0"/>
    <xf numFmtId="0" fontId="97" fillId="51" borderId="37">
      <alignment vertical="center"/>
    </xf>
    <xf numFmtId="0" fontId="28" fillId="42" borderId="0"/>
    <xf numFmtId="0" fontId="28" fillId="42" borderId="0"/>
    <xf numFmtId="0" fontId="28" fillId="42" borderId="0"/>
    <xf numFmtId="178" fontId="28" fillId="42" borderId="0"/>
    <xf numFmtId="178" fontId="28" fillId="42" borderId="0"/>
    <xf numFmtId="0" fontId="28" fillId="53" borderId="0"/>
    <xf numFmtId="0" fontId="28" fillId="53" borderId="0"/>
    <xf numFmtId="0" fontId="97" fillId="51" borderId="37">
      <alignment vertical="center"/>
    </xf>
    <xf numFmtId="0" fontId="28" fillId="42" borderId="0"/>
    <xf numFmtId="0" fontId="99" fillId="54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9" fillId="54" borderId="0"/>
    <xf numFmtId="0" fontId="97" fillId="51" borderId="37">
      <alignment vertical="center"/>
    </xf>
    <xf numFmtId="0" fontId="28" fillId="42" borderId="0"/>
    <xf numFmtId="0" fontId="99" fillId="54" borderId="0"/>
    <xf numFmtId="0" fontId="99" fillId="54" borderId="0"/>
    <xf numFmtId="0" fontId="97" fillId="51" borderId="37">
      <alignment vertical="center"/>
    </xf>
    <xf numFmtId="0" fontId="99" fillId="54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9" fillId="54" borderId="0"/>
    <xf numFmtId="0" fontId="99" fillId="54" borderId="0"/>
    <xf numFmtId="0" fontId="99" fillId="54" borderId="0"/>
    <xf numFmtId="0" fontId="99" fillId="54" borderId="0"/>
    <xf numFmtId="0" fontId="99" fillId="54" borderId="0"/>
    <xf numFmtId="0" fontId="99" fillId="54" borderId="0"/>
    <xf numFmtId="0" fontId="99" fillId="54" borderId="0"/>
    <xf numFmtId="0" fontId="28" fillId="42" borderId="0"/>
    <xf numFmtId="0" fontId="28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28" fillId="42" borderId="0"/>
    <xf numFmtId="0" fontId="97" fillId="51" borderId="37">
      <alignment vertical="center"/>
    </xf>
    <xf numFmtId="0" fontId="99" fillId="54" borderId="0"/>
    <xf numFmtId="0" fontId="97" fillId="51" borderId="37">
      <alignment vertical="center"/>
    </xf>
    <xf numFmtId="0" fontId="97" fillId="51" borderId="37">
      <alignment vertical="center"/>
    </xf>
    <xf numFmtId="0" fontId="99" fillId="54" borderId="0"/>
    <xf numFmtId="0" fontId="97" fillId="51" borderId="37">
      <alignment vertical="center"/>
    </xf>
    <xf numFmtId="0" fontId="99" fillId="54" borderId="0"/>
    <xf numFmtId="0" fontId="99" fillId="54" borderId="0"/>
    <xf numFmtId="0" fontId="99" fillId="54" borderId="0"/>
    <xf numFmtId="0" fontId="97" fillId="51" borderId="37">
      <alignment vertical="center"/>
    </xf>
    <xf numFmtId="0" fontId="97" fillId="51" borderId="37">
      <alignment vertical="center"/>
    </xf>
    <xf numFmtId="0" fontId="99" fillId="54" borderId="0"/>
    <xf numFmtId="0" fontId="97" fillId="51" borderId="37">
      <alignment vertical="center"/>
    </xf>
    <xf numFmtId="0" fontId="97" fillId="51" borderId="37">
      <alignment vertical="center"/>
    </xf>
    <xf numFmtId="0" fontId="99" fillId="54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9" fillId="54" borderId="0"/>
    <xf numFmtId="0" fontId="99" fillId="54" borderId="0"/>
    <xf numFmtId="0" fontId="97" fillId="51" borderId="37">
      <alignment vertical="center"/>
    </xf>
    <xf numFmtId="0" fontId="99" fillId="54" borderId="0"/>
    <xf numFmtId="0" fontId="97" fillId="51" borderId="37">
      <alignment vertical="center"/>
    </xf>
    <xf numFmtId="0" fontId="97" fillId="51" borderId="37">
      <alignment vertical="center"/>
    </xf>
    <xf numFmtId="0" fontId="99" fillId="54" borderId="0"/>
    <xf numFmtId="0" fontId="99" fillId="54" borderId="0"/>
    <xf numFmtId="0" fontId="97" fillId="51" borderId="37">
      <alignment vertical="center"/>
    </xf>
    <xf numFmtId="0" fontId="99" fillId="54" borderId="0"/>
    <xf numFmtId="0" fontId="97" fillId="51" borderId="37">
      <alignment vertical="center"/>
    </xf>
    <xf numFmtId="0" fontId="97" fillId="51" borderId="37">
      <alignment vertical="center"/>
    </xf>
    <xf numFmtId="0" fontId="99" fillId="54" borderId="0"/>
    <xf numFmtId="0" fontId="99" fillId="54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9" fillId="54" borderId="0"/>
    <xf numFmtId="0" fontId="99" fillId="54" borderId="0"/>
    <xf numFmtId="0" fontId="97" fillId="51" borderId="37">
      <alignment vertical="center"/>
    </xf>
    <xf numFmtId="0" fontId="97" fillId="51" borderId="37">
      <alignment vertical="center"/>
    </xf>
    <xf numFmtId="0" fontId="28" fillId="42" borderId="0"/>
    <xf numFmtId="0" fontId="28" fillId="42" borderId="0"/>
    <xf numFmtId="0" fontId="28" fillId="42" borderId="0"/>
    <xf numFmtId="0" fontId="28" fillId="42" borderId="0"/>
    <xf numFmtId="0" fontId="97" fillId="51" borderId="37">
      <alignment vertical="center"/>
    </xf>
    <xf numFmtId="0" fontId="99" fillId="54" borderId="0"/>
    <xf numFmtId="0" fontId="97" fillId="51" borderId="37">
      <alignment vertical="center"/>
    </xf>
    <xf numFmtId="0" fontId="97" fillId="51" borderId="37">
      <alignment vertical="center"/>
    </xf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28" fillId="42" borderId="0"/>
    <xf numFmtId="0" fontId="28" fillId="42" borderId="0"/>
    <xf numFmtId="0" fontId="28" fillId="42" borderId="0"/>
    <xf numFmtId="0" fontId="28" fillId="42" borderId="0"/>
    <xf numFmtId="0" fontId="99" fillId="54" borderId="0"/>
    <xf numFmtId="0" fontId="99" fillId="54" borderId="0"/>
    <xf numFmtId="0" fontId="97" fillId="51" borderId="37">
      <alignment vertical="center"/>
    </xf>
    <xf numFmtId="0" fontId="97" fillId="51" borderId="37">
      <alignment vertical="center"/>
    </xf>
    <xf numFmtId="0" fontId="28" fillId="52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97" fillId="51" borderId="37">
      <alignment vertical="center"/>
    </xf>
    <xf numFmtId="0" fontId="99" fillId="54" borderId="0"/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188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188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97" fillId="51" borderId="37">
      <alignment vertical="center"/>
    </xf>
    <xf numFmtId="0" fontId="99" fillId="54" borderId="0"/>
    <xf numFmtId="0" fontId="28" fillId="42" borderId="0"/>
    <xf numFmtId="0" fontId="28" fillId="42" borderId="0"/>
    <xf numFmtId="0" fontId="99" fillId="54" borderId="0"/>
    <xf numFmtId="0" fontId="28" fillId="42" borderId="0"/>
    <xf numFmtId="0" fontId="28" fillId="52" borderId="0"/>
    <xf numFmtId="0" fontId="28" fillId="52" borderId="0"/>
    <xf numFmtId="0" fontId="28" fillId="42" borderId="0"/>
    <xf numFmtId="0" fontId="28" fillId="42" borderId="0"/>
    <xf numFmtId="0" fontId="28" fillId="42" borderId="0"/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188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188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99" fillId="54" borderId="0"/>
    <xf numFmtId="0" fontId="28" fillId="52" borderId="0"/>
    <xf numFmtId="0" fontId="97" fillId="51" borderId="37">
      <alignment vertical="center"/>
    </xf>
    <xf numFmtId="0" fontId="99" fillId="54" borderId="0"/>
    <xf numFmtId="0" fontId="28" fillId="42" borderId="0"/>
    <xf numFmtId="0" fontId="28" fillId="52" borderId="0"/>
    <xf numFmtId="0" fontId="99" fillId="54" borderId="0"/>
    <xf numFmtId="0" fontId="99" fillId="54" borderId="0"/>
    <xf numFmtId="0" fontId="99" fillId="54" borderId="0"/>
    <xf numFmtId="0" fontId="99" fillId="54" borderId="0"/>
    <xf numFmtId="0" fontId="99" fillId="54" borderId="0"/>
    <xf numFmtId="0" fontId="99" fillId="54" borderId="0"/>
    <xf numFmtId="0" fontId="28" fillId="42" borderId="0"/>
    <xf numFmtId="0" fontId="28" fillId="42" borderId="0"/>
    <xf numFmtId="0" fontId="28" fillId="42" borderId="0"/>
    <xf numFmtId="0" fontId="99" fillId="54" borderId="0"/>
    <xf numFmtId="0" fontId="99" fillId="54" borderId="0"/>
    <xf numFmtId="0" fontId="97" fillId="51" borderId="37">
      <alignment vertical="center"/>
    </xf>
    <xf numFmtId="0" fontId="99" fillId="54" borderId="0"/>
    <xf numFmtId="0" fontId="28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178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178" fontId="97" fillId="51" borderId="37">
      <alignment vertical="center"/>
    </xf>
    <xf numFmtId="188" fontId="97" fillId="51" borderId="37">
      <alignment vertical="center"/>
    </xf>
    <xf numFmtId="178" fontId="97" fillId="51" borderId="37">
      <alignment vertical="center"/>
    </xf>
    <xf numFmtId="0" fontId="97" fillId="51" borderId="37">
      <alignment vertical="center"/>
    </xf>
    <xf numFmtId="178" fontId="97" fillId="51" borderId="37">
      <alignment vertical="center"/>
    </xf>
    <xf numFmtId="0" fontId="18" fillId="54" borderId="0"/>
    <xf numFmtId="0" fontId="18" fillId="54" borderId="0"/>
    <xf numFmtId="0" fontId="97" fillId="51" borderId="37">
      <alignment vertical="center"/>
    </xf>
    <xf numFmtId="0" fontId="97" fillId="51" borderId="37">
      <alignment vertical="center"/>
    </xf>
    <xf numFmtId="178" fontId="97" fillId="51" borderId="37">
      <alignment vertical="center"/>
    </xf>
    <xf numFmtId="188" fontId="97" fillId="51" borderId="37">
      <alignment vertical="center"/>
    </xf>
    <xf numFmtId="178" fontId="97" fillId="51" borderId="37">
      <alignment vertical="center"/>
    </xf>
    <xf numFmtId="0" fontId="28" fillId="42" borderId="0"/>
    <xf numFmtId="0" fontId="99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99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99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99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28" fillId="42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28" fillId="42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28" fillId="52" borderId="0"/>
    <xf numFmtId="0" fontId="28" fillId="52" borderId="0"/>
    <xf numFmtId="0" fontId="28" fillId="52" borderId="0"/>
    <xf numFmtId="178" fontId="28" fillId="52" borderId="0"/>
    <xf numFmtId="178" fontId="28" fillId="52" borderId="0"/>
    <xf numFmtId="0" fontId="28" fillId="52" borderId="0"/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188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188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28" fillId="42" borderId="0"/>
    <xf numFmtId="0" fontId="97" fillId="51" borderId="37">
      <alignment vertical="center"/>
    </xf>
    <xf numFmtId="0" fontId="97" fillId="51" borderId="37">
      <alignment vertical="center"/>
    </xf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99" fillId="54" borderId="0"/>
    <xf numFmtId="0" fontId="97" fillId="51" borderId="37">
      <alignment vertical="center"/>
    </xf>
    <xf numFmtId="0" fontId="97" fillId="51" borderId="37">
      <alignment vertical="center"/>
    </xf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99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99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18" fillId="54" borderId="0"/>
    <xf numFmtId="0" fontId="28" fillId="42" borderId="0"/>
    <xf numFmtId="0" fontId="28" fillId="42" borderId="0"/>
    <xf numFmtId="0" fontId="99" fillId="54" borderId="0"/>
    <xf numFmtId="0" fontId="99" fillId="54" borderId="0"/>
    <xf numFmtId="0" fontId="97" fillId="51" borderId="37">
      <alignment vertical="center"/>
    </xf>
    <xf numFmtId="0" fontId="97" fillId="51" borderId="37">
      <alignment vertical="center"/>
    </xf>
    <xf numFmtId="0" fontId="99" fillId="54" borderId="0"/>
    <xf numFmtId="0" fontId="99" fillId="54" borderId="0"/>
    <xf numFmtId="0" fontId="97" fillId="51" borderId="37">
      <alignment vertical="center"/>
    </xf>
    <xf numFmtId="0" fontId="97" fillId="51" borderId="37">
      <alignment vertical="center"/>
    </xf>
    <xf numFmtId="0" fontId="99" fillId="54" borderId="0"/>
    <xf numFmtId="0" fontId="28" fillId="42" borderId="0"/>
    <xf numFmtId="0" fontId="99" fillId="54" borderId="0"/>
    <xf numFmtId="0" fontId="99" fillId="54" borderId="0"/>
    <xf numFmtId="0" fontId="99" fillId="54" borderId="0"/>
    <xf numFmtId="0" fontId="99" fillId="54" borderId="0"/>
    <xf numFmtId="0" fontId="99" fillId="54" borderId="0"/>
    <xf numFmtId="0" fontId="28" fillId="42" borderId="0"/>
    <xf numFmtId="0" fontId="97" fillId="51" borderId="37">
      <alignment vertical="center"/>
    </xf>
    <xf numFmtId="0" fontId="28" fillId="42" borderId="0"/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28" fillId="42" borderId="0"/>
    <xf numFmtId="0" fontId="28" fillId="42" borderId="0"/>
    <xf numFmtId="0" fontId="97" fillId="51" borderId="37">
      <alignment vertical="center"/>
    </xf>
    <xf numFmtId="0" fontId="28" fillId="42" borderId="0"/>
    <xf numFmtId="0" fontId="28" fillId="42" borderId="0"/>
    <xf numFmtId="0" fontId="28" fillId="52" borderId="0"/>
    <xf numFmtId="0" fontId="28" fillId="52" borderId="0"/>
    <xf numFmtId="0" fontId="97" fillId="51" borderId="37">
      <alignment vertical="center"/>
    </xf>
    <xf numFmtId="0" fontId="99" fillId="54" borderId="0"/>
    <xf numFmtId="0" fontId="97" fillId="51" borderId="37">
      <alignment vertical="center"/>
    </xf>
    <xf numFmtId="0" fontId="99" fillId="54" borderId="0"/>
    <xf numFmtId="0" fontId="99" fillId="54" borderId="0"/>
    <xf numFmtId="0" fontId="28" fillId="52" borderId="0"/>
    <xf numFmtId="0" fontId="28" fillId="42" borderId="0"/>
    <xf numFmtId="0" fontId="28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28" fillId="42" borderId="0"/>
    <xf numFmtId="0" fontId="97" fillId="51" borderId="37">
      <alignment vertical="center"/>
    </xf>
    <xf numFmtId="0" fontId="28" fillId="42" borderId="0"/>
    <xf numFmtId="0" fontId="28" fillId="42" borderId="0"/>
    <xf numFmtId="0" fontId="28" fillId="42" borderId="0"/>
    <xf numFmtId="0" fontId="28" fillId="42" borderId="0"/>
    <xf numFmtId="0" fontId="28" fillId="42" borderId="0"/>
    <xf numFmtId="0" fontId="28" fillId="42" borderId="0"/>
    <xf numFmtId="0" fontId="28" fillId="42" borderId="0"/>
    <xf numFmtId="0" fontId="28" fillId="42" borderId="0"/>
    <xf numFmtId="0" fontId="28" fillId="42" borderId="0"/>
    <xf numFmtId="0" fontId="97" fillId="51" borderId="37">
      <alignment vertical="center"/>
    </xf>
    <xf numFmtId="0" fontId="28" fillId="42" borderId="0"/>
    <xf numFmtId="0" fontId="28" fillId="42" borderId="0"/>
    <xf numFmtId="0" fontId="28" fillId="42" borderId="0"/>
    <xf numFmtId="0" fontId="28" fillId="42" borderId="0"/>
    <xf numFmtId="0" fontId="28" fillId="42" borderId="0"/>
    <xf numFmtId="0" fontId="28" fillId="42" borderId="0"/>
    <xf numFmtId="0" fontId="97" fillId="51" borderId="37">
      <alignment vertical="center"/>
    </xf>
    <xf numFmtId="0" fontId="97" fillId="51" borderId="37">
      <alignment vertical="center"/>
    </xf>
    <xf numFmtId="0" fontId="28" fillId="42" borderId="0"/>
    <xf numFmtId="0" fontId="28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28" fillId="42" borderId="0"/>
    <xf numFmtId="0" fontId="97" fillId="51" borderId="37">
      <alignment vertical="center"/>
    </xf>
    <xf numFmtId="0" fontId="28" fillId="42" borderId="0"/>
    <xf numFmtId="0" fontId="28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28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28" fillId="42" borderId="0"/>
    <xf numFmtId="0" fontId="28" fillId="42" borderId="0"/>
    <xf numFmtId="0" fontId="97" fillId="51" borderId="37">
      <alignment vertical="center"/>
    </xf>
    <xf numFmtId="0" fontId="99" fillId="54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99" fillId="54" borderId="0"/>
    <xf numFmtId="0" fontId="97" fillId="51" borderId="37">
      <alignment vertical="center"/>
    </xf>
    <xf numFmtId="0" fontId="28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00" fillId="42" borderId="0"/>
    <xf numFmtId="178" fontId="100" fillId="42" borderId="0"/>
    <xf numFmtId="178" fontId="100" fillId="42" borderId="0"/>
    <xf numFmtId="0" fontId="100" fillId="42" borderId="0"/>
    <xf numFmtId="0" fontId="100" fillId="42" borderId="0"/>
    <xf numFmtId="178" fontId="100" fillId="42" borderId="0"/>
    <xf numFmtId="178" fontId="100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00" fillId="42" borderId="0"/>
    <xf numFmtId="0" fontId="101" fillId="42" borderId="0"/>
    <xf numFmtId="0" fontId="100" fillId="42" borderId="0"/>
    <xf numFmtId="0" fontId="100" fillId="42" borderId="0"/>
    <xf numFmtId="0" fontId="100" fillId="42" borderId="0"/>
    <xf numFmtId="0" fontId="100" fillId="42" borderId="0"/>
    <xf numFmtId="0" fontId="100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00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00" fillId="42" borderId="0"/>
    <xf numFmtId="0" fontId="18" fillId="42" borderId="0"/>
    <xf numFmtId="0" fontId="100" fillId="42" borderId="0"/>
    <xf numFmtId="0" fontId="100" fillId="42" borderId="0"/>
    <xf numFmtId="178" fontId="100" fillId="42" borderId="0"/>
    <xf numFmtId="178" fontId="100" fillId="42" borderId="0"/>
    <xf numFmtId="0" fontId="100" fillId="42" borderId="0"/>
    <xf numFmtId="0" fontId="100" fillId="42" borderId="0"/>
    <xf numFmtId="178" fontId="100" fillId="42" borderId="0"/>
    <xf numFmtId="178" fontId="100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0" fontId="18" fillId="42" borderId="0"/>
    <xf numFmtId="178" fontId="18" fillId="42" borderId="0"/>
    <xf numFmtId="0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00" fillId="42" borderId="0"/>
    <xf numFmtId="0" fontId="100" fillId="42" borderId="0"/>
    <xf numFmtId="0" fontId="100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00" fillId="42" borderId="0"/>
    <xf numFmtId="0" fontId="100" fillId="42" borderId="0"/>
    <xf numFmtId="0" fontId="100" fillId="42" borderId="0"/>
    <xf numFmtId="178" fontId="100" fillId="42" borderId="0"/>
    <xf numFmtId="178" fontId="100" fillId="42" borderId="0"/>
    <xf numFmtId="0" fontId="100" fillId="42" borderId="0"/>
    <xf numFmtId="0" fontId="100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00" fillId="42" borderId="0"/>
    <xf numFmtId="0" fontId="100" fillId="42" borderId="0"/>
    <xf numFmtId="0" fontId="100" fillId="42" borderId="0"/>
    <xf numFmtId="178" fontId="100" fillId="42" borderId="0"/>
    <xf numFmtId="178" fontId="100" fillId="42" borderId="0"/>
    <xf numFmtId="0" fontId="100" fillId="42" borderId="0"/>
    <xf numFmtId="178" fontId="100" fillId="42" borderId="0"/>
    <xf numFmtId="0" fontId="100" fillId="42" borderId="0"/>
    <xf numFmtId="178" fontId="100" fillId="42" borderId="0"/>
    <xf numFmtId="0" fontId="100" fillId="42" borderId="0"/>
    <xf numFmtId="178" fontId="100" fillId="42" borderId="0"/>
    <xf numFmtId="0" fontId="100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00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00" fillId="42" borderId="0"/>
    <xf numFmtId="0" fontId="100" fillId="42" borderId="0"/>
    <xf numFmtId="0" fontId="100" fillId="42" borderId="0"/>
    <xf numFmtId="178" fontId="100" fillId="42" borderId="0"/>
    <xf numFmtId="178" fontId="100" fillId="42" borderId="0"/>
    <xf numFmtId="0" fontId="100" fillId="42" borderId="0"/>
    <xf numFmtId="0" fontId="100" fillId="42" borderId="0"/>
    <xf numFmtId="178" fontId="100" fillId="42" borderId="0"/>
    <xf numFmtId="178" fontId="100" fillId="42" borderId="0"/>
    <xf numFmtId="0" fontId="100" fillId="42" borderId="0"/>
    <xf numFmtId="0" fontId="100" fillId="42" borderId="0"/>
    <xf numFmtId="178" fontId="100" fillId="42" borderId="0"/>
    <xf numFmtId="178" fontId="100" fillId="42" borderId="0"/>
    <xf numFmtId="0" fontId="28" fillId="42" borderId="0"/>
    <xf numFmtId="0" fontId="18" fillId="42" borderId="0"/>
    <xf numFmtId="0" fontId="18" fillId="42" borderId="0"/>
    <xf numFmtId="0" fontId="18" fillId="42" borderId="0"/>
    <xf numFmtId="0" fontId="99" fillId="54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28" fillId="42" borderId="0"/>
    <xf numFmtId="0" fontId="2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99" fillId="54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28" fillId="42" borderId="0"/>
    <xf numFmtId="0" fontId="97" fillId="51" borderId="37">
      <alignment vertical="center"/>
    </xf>
    <xf numFmtId="0" fontId="28" fillId="42" borderId="0"/>
    <xf numFmtId="0" fontId="28" fillId="42" borderId="0"/>
    <xf numFmtId="0" fontId="28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28" fillId="42" borderId="0"/>
    <xf numFmtId="0" fontId="28" fillId="42" borderId="0"/>
    <xf numFmtId="0" fontId="97" fillId="51" borderId="37">
      <alignment vertical="center"/>
    </xf>
    <xf numFmtId="0" fontId="28" fillId="52" borderId="0"/>
    <xf numFmtId="0" fontId="28" fillId="42" borderId="0"/>
    <xf numFmtId="0" fontId="28" fillId="42" borderId="0"/>
    <xf numFmtId="0" fontId="99" fillId="54" borderId="0"/>
    <xf numFmtId="0" fontId="97" fillId="51" borderId="37">
      <alignment vertical="center"/>
    </xf>
    <xf numFmtId="0" fontId="97" fillId="51" borderId="37">
      <alignment vertical="center"/>
    </xf>
    <xf numFmtId="0" fontId="28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9" fillId="54" borderId="0"/>
    <xf numFmtId="0" fontId="97" fillId="51" borderId="37">
      <alignment vertical="center"/>
    </xf>
    <xf numFmtId="0" fontId="99" fillId="54" borderId="0"/>
    <xf numFmtId="0" fontId="99" fillId="54" borderId="0"/>
    <xf numFmtId="0" fontId="97" fillId="51" borderId="37">
      <alignment vertical="center"/>
    </xf>
    <xf numFmtId="0" fontId="99" fillId="54" borderId="0"/>
    <xf numFmtId="0" fontId="99" fillId="54" borderId="0"/>
    <xf numFmtId="0" fontId="99" fillId="54" borderId="0"/>
    <xf numFmtId="178" fontId="99" fillId="54" borderId="0"/>
    <xf numFmtId="178" fontId="99" fillId="54" borderId="0"/>
    <xf numFmtId="0" fontId="99" fillId="54" borderId="0"/>
    <xf numFmtId="0" fontId="99" fillId="54" borderId="0"/>
    <xf numFmtId="0" fontId="99" fillId="54" borderId="0"/>
    <xf numFmtId="0" fontId="97" fillId="51" borderId="37">
      <alignment vertical="center"/>
    </xf>
    <xf numFmtId="0" fontId="99" fillId="54" borderId="0"/>
    <xf numFmtId="0" fontId="99" fillId="54" borderId="0"/>
    <xf numFmtId="0" fontId="99" fillId="54" borderId="0"/>
    <xf numFmtId="0" fontId="99" fillId="54" borderId="0"/>
    <xf numFmtId="0" fontId="99" fillId="54" borderId="0"/>
    <xf numFmtId="0" fontId="99" fillId="54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28" fillId="42" borderId="0"/>
    <xf numFmtId="0" fontId="99" fillId="54" borderId="0"/>
    <xf numFmtId="0" fontId="99" fillId="54" borderId="0"/>
    <xf numFmtId="0" fontId="99" fillId="54" borderId="0"/>
    <xf numFmtId="0" fontId="99" fillId="54" borderId="0"/>
    <xf numFmtId="0" fontId="99" fillId="54" borderId="0"/>
    <xf numFmtId="0" fontId="28" fillId="42" borderId="0"/>
    <xf numFmtId="0" fontId="28" fillId="42" borderId="0"/>
    <xf numFmtId="0" fontId="28" fillId="42" borderId="0"/>
    <xf numFmtId="0" fontId="99" fillId="54" borderId="0"/>
    <xf numFmtId="0" fontId="99" fillId="54" borderId="0"/>
    <xf numFmtId="0" fontId="99" fillId="54" borderId="0"/>
    <xf numFmtId="0" fontId="28" fillId="42" borderId="0"/>
    <xf numFmtId="0" fontId="28" fillId="42" borderId="0"/>
    <xf numFmtId="178" fontId="28" fillId="42" borderId="0"/>
    <xf numFmtId="178" fontId="28" fillId="42" borderId="0"/>
    <xf numFmtId="0" fontId="28" fillId="42" borderId="0"/>
    <xf numFmtId="0" fontId="28" fillId="42" borderId="0"/>
    <xf numFmtId="0" fontId="28" fillId="42" borderId="0"/>
    <xf numFmtId="178" fontId="28" fillId="42" borderId="0"/>
    <xf numFmtId="178" fontId="28" fillId="42" borderId="0"/>
    <xf numFmtId="0" fontId="28" fillId="42" borderId="0"/>
    <xf numFmtId="178" fontId="28" fillId="42" borderId="0"/>
    <xf numFmtId="0" fontId="28" fillId="42" borderId="0"/>
    <xf numFmtId="178" fontId="28" fillId="42" borderId="0"/>
    <xf numFmtId="0" fontId="28" fillId="42" borderId="0"/>
    <xf numFmtId="178" fontId="28" fillId="42" borderId="0"/>
    <xf numFmtId="0" fontId="28" fillId="53" borderId="0"/>
    <xf numFmtId="0" fontId="99" fillId="54" borderId="0"/>
    <xf numFmtId="0" fontId="28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28" fillId="42" borderId="0"/>
    <xf numFmtId="0" fontId="28" fillId="42" borderId="0"/>
    <xf numFmtId="0" fontId="102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02" fillId="42" borderId="0"/>
    <xf numFmtId="178" fontId="102" fillId="42" borderId="0"/>
    <xf numFmtId="178" fontId="102" fillId="42" borderId="0"/>
    <xf numFmtId="0" fontId="102" fillId="42" borderId="0"/>
    <xf numFmtId="0" fontId="102" fillId="42" borderId="0"/>
    <xf numFmtId="178" fontId="102" fillId="42" borderId="0"/>
    <xf numFmtId="178" fontId="102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02" fillId="42" borderId="0"/>
    <xf numFmtId="0" fontId="97" fillId="51" borderId="37">
      <alignment vertical="center"/>
    </xf>
    <xf numFmtId="0" fontId="102" fillId="42" borderId="0"/>
    <xf numFmtId="0" fontId="102" fillId="42" borderId="0"/>
    <xf numFmtId="0" fontId="102" fillId="42" borderId="0"/>
    <xf numFmtId="0" fontId="97" fillId="51" borderId="37">
      <alignment vertical="center"/>
    </xf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02" fillId="42" borderId="0"/>
    <xf numFmtId="0" fontId="103" fillId="42" borderId="0"/>
    <xf numFmtId="0" fontId="102" fillId="42" borderId="0"/>
    <xf numFmtId="0" fontId="102" fillId="42" borderId="0"/>
    <xf numFmtId="0" fontId="102" fillId="42" borderId="0"/>
    <xf numFmtId="0" fontId="102" fillId="42" borderId="0"/>
    <xf numFmtId="0" fontId="102" fillId="42" borderId="0"/>
    <xf numFmtId="0" fontId="102" fillId="42" borderId="0"/>
    <xf numFmtId="0" fontId="104" fillId="55" borderId="0"/>
    <xf numFmtId="0" fontId="104" fillId="55" borderId="0"/>
    <xf numFmtId="0" fontId="102" fillId="42" borderId="0"/>
    <xf numFmtId="0" fontId="104" fillId="55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04" fillId="55" borderId="0"/>
    <xf numFmtId="0" fontId="104" fillId="55" borderId="0"/>
    <xf numFmtId="0" fontId="102" fillId="42" borderId="0"/>
    <xf numFmtId="0" fontId="97" fillId="51" borderId="37">
      <alignment vertical="center"/>
    </xf>
    <xf numFmtId="0" fontId="102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02" fillId="42" borderId="0"/>
    <xf numFmtId="0" fontId="102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02" fillId="42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02" fillId="42" borderId="0"/>
    <xf numFmtId="0" fontId="102" fillId="42" borderId="0"/>
    <xf numFmtId="0" fontId="104" fillId="55" borderId="0"/>
    <xf numFmtId="0" fontId="102" fillId="52" borderId="0"/>
    <xf numFmtId="0" fontId="104" fillId="55" borderId="0"/>
    <xf numFmtId="0" fontId="104" fillId="55" borderId="0"/>
    <xf numFmtId="0" fontId="102" fillId="42" borderId="0"/>
    <xf numFmtId="0" fontId="97" fillId="51" borderId="37">
      <alignment vertical="center"/>
    </xf>
    <xf numFmtId="0" fontId="102" fillId="42" borderId="0"/>
    <xf numFmtId="0" fontId="102" fillId="42" borderId="0"/>
    <xf numFmtId="0" fontId="102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02" fillId="52" borderId="0"/>
    <xf numFmtId="0" fontId="102" fillId="42" borderId="0"/>
    <xf numFmtId="0" fontId="102" fillId="42" borderId="0"/>
    <xf numFmtId="0" fontId="104" fillId="55" borderId="0"/>
    <xf numFmtId="0" fontId="104" fillId="55" borderId="0"/>
    <xf numFmtId="0" fontId="102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02" fillId="53" borderId="0"/>
    <xf numFmtId="0" fontId="102" fillId="53" borderId="0"/>
    <xf numFmtId="0" fontId="97" fillId="51" borderId="37">
      <alignment vertical="center"/>
    </xf>
    <xf numFmtId="0" fontId="102" fillId="42" borderId="0"/>
    <xf numFmtId="0" fontId="104" fillId="55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04" fillId="55" borderId="0"/>
    <xf numFmtId="0" fontId="97" fillId="51" borderId="37">
      <alignment vertical="center"/>
    </xf>
    <xf numFmtId="0" fontId="102" fillId="42" borderId="0"/>
    <xf numFmtId="0" fontId="104" fillId="55" borderId="0"/>
    <xf numFmtId="0" fontId="104" fillId="55" borderId="0"/>
    <xf numFmtId="0" fontId="97" fillId="51" borderId="37">
      <alignment vertical="center"/>
    </xf>
    <xf numFmtId="0" fontId="104" fillId="55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02" fillId="42" borderId="0"/>
    <xf numFmtId="0" fontId="102" fillId="42" borderId="0"/>
    <xf numFmtId="178" fontId="102" fillId="42" borderId="0"/>
    <xf numFmtId="178" fontId="102" fillId="42" borderId="0"/>
    <xf numFmtId="0" fontId="102" fillId="42" borderId="0"/>
    <xf numFmtId="0" fontId="102" fillId="42" borderId="0"/>
    <xf numFmtId="178" fontId="102" fillId="42" borderId="0"/>
    <xf numFmtId="178" fontId="102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0" fontId="18" fillId="42" borderId="0"/>
    <xf numFmtId="178" fontId="18" fillId="42" borderId="0"/>
    <xf numFmtId="0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04" fillId="55" borderId="0"/>
    <xf numFmtId="0" fontId="102" fillId="42" borderId="0"/>
    <xf numFmtId="0" fontId="102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178" fontId="18" fillId="42" borderId="0"/>
    <xf numFmtId="178" fontId="18" fillId="42" borderId="0"/>
    <xf numFmtId="0" fontId="102" fillId="42" borderId="0"/>
    <xf numFmtId="0" fontId="97" fillId="51" borderId="37">
      <alignment vertical="center"/>
    </xf>
    <xf numFmtId="0" fontId="104" fillId="55" borderId="0"/>
    <xf numFmtId="0" fontId="97" fillId="51" borderId="37">
      <alignment vertical="center"/>
    </xf>
    <xf numFmtId="0" fontId="97" fillId="51" borderId="37">
      <alignment vertical="center"/>
    </xf>
    <xf numFmtId="0" fontId="104" fillId="55" borderId="0"/>
    <xf numFmtId="0" fontId="104" fillId="55" borderId="0"/>
    <xf numFmtId="0" fontId="104" fillId="55" borderId="0"/>
    <xf numFmtId="0" fontId="104" fillId="55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04" fillId="55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04" fillId="55" borderId="0"/>
    <xf numFmtId="0" fontId="104" fillId="55" borderId="0"/>
    <xf numFmtId="0" fontId="97" fillId="51" borderId="37">
      <alignment vertical="center"/>
    </xf>
    <xf numFmtId="0" fontId="104" fillId="55" borderId="0"/>
    <xf numFmtId="0" fontId="97" fillId="51" borderId="37">
      <alignment vertical="center"/>
    </xf>
    <xf numFmtId="0" fontId="97" fillId="51" borderId="37">
      <alignment vertical="center"/>
    </xf>
    <xf numFmtId="0" fontId="104" fillId="55" borderId="0"/>
    <xf numFmtId="0" fontId="104" fillId="55" borderId="0"/>
    <xf numFmtId="0" fontId="97" fillId="51" borderId="37">
      <alignment vertical="center"/>
    </xf>
    <xf numFmtId="0" fontId="104" fillId="55" borderId="0"/>
    <xf numFmtId="0" fontId="97" fillId="51" borderId="37">
      <alignment vertical="center"/>
    </xf>
    <xf numFmtId="0" fontId="97" fillId="51" borderId="37">
      <alignment vertical="center"/>
    </xf>
    <xf numFmtId="0" fontId="104" fillId="55" borderId="0"/>
    <xf numFmtId="0" fontId="104" fillId="55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04" fillId="55" borderId="0"/>
    <xf numFmtId="0" fontId="104" fillId="55" borderId="0"/>
    <xf numFmtId="0" fontId="97" fillId="51" borderId="37">
      <alignment vertical="center"/>
    </xf>
    <xf numFmtId="0" fontId="97" fillId="51" borderId="37">
      <alignment vertical="center"/>
    </xf>
    <xf numFmtId="0" fontId="102" fillId="42" borderId="0"/>
    <xf numFmtId="0" fontId="102" fillId="42" borderId="0"/>
    <xf numFmtId="178" fontId="102" fillId="42" borderId="0"/>
    <xf numFmtId="178" fontId="102" fillId="42" borderId="0"/>
    <xf numFmtId="0" fontId="102" fillId="42" borderId="0"/>
    <xf numFmtId="0" fontId="102" fillId="42" borderId="0"/>
    <xf numFmtId="0" fontId="102" fillId="42" borderId="0"/>
    <xf numFmtId="0" fontId="102" fillId="42" borderId="0"/>
    <xf numFmtId="0" fontId="97" fillId="51" borderId="37">
      <alignment vertical="center"/>
    </xf>
    <xf numFmtId="0" fontId="104" fillId="55" borderId="0"/>
    <xf numFmtId="0" fontId="97" fillId="51" borderId="37">
      <alignment vertical="center"/>
    </xf>
    <xf numFmtId="0" fontId="97" fillId="51" borderId="37">
      <alignment vertical="center"/>
    </xf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02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02" fillId="42" borderId="0"/>
    <xf numFmtId="0" fontId="102" fillId="42" borderId="0"/>
    <xf numFmtId="0" fontId="102" fillId="42" borderId="0"/>
    <xf numFmtId="0" fontId="104" fillId="55" borderId="0"/>
    <xf numFmtId="0" fontId="104" fillId="55" borderId="0"/>
    <xf numFmtId="0" fontId="102" fillId="52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97" fillId="51" borderId="37">
      <alignment vertical="center"/>
    </xf>
    <xf numFmtId="0" fontId="104" fillId="55" borderId="0"/>
    <xf numFmtId="0" fontId="104" fillId="55" borderId="0"/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188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188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02" fillId="42" borderId="0"/>
    <xf numFmtId="0" fontId="102" fillId="42" borderId="0"/>
    <xf numFmtId="178" fontId="102" fillId="42" borderId="0"/>
    <xf numFmtId="178" fontId="102" fillId="42" borderId="0"/>
    <xf numFmtId="0" fontId="97" fillId="51" borderId="37">
      <alignment vertical="center"/>
    </xf>
    <xf numFmtId="0" fontId="104" fillId="55" borderId="0"/>
    <xf numFmtId="0" fontId="102" fillId="42" borderId="0"/>
    <xf numFmtId="0" fontId="102" fillId="42" borderId="0"/>
    <xf numFmtId="0" fontId="104" fillId="55" borderId="0"/>
    <xf numFmtId="0" fontId="102" fillId="42" borderId="0"/>
    <xf numFmtId="0" fontId="102" fillId="52" borderId="0"/>
    <xf numFmtId="0" fontId="102" fillId="52" borderId="0"/>
    <xf numFmtId="0" fontId="102" fillId="42" borderId="0"/>
    <xf numFmtId="0" fontId="102" fillId="42" borderId="0"/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188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188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04" fillId="55" borderId="0"/>
    <xf numFmtId="0" fontId="102" fillId="52" borderId="0"/>
    <xf numFmtId="0" fontId="97" fillId="51" borderId="37">
      <alignment vertical="center"/>
    </xf>
    <xf numFmtId="0" fontId="104" fillId="55" borderId="0"/>
    <xf numFmtId="0" fontId="102" fillId="42" borderId="0"/>
    <xf numFmtId="0" fontId="102" fillId="52" borderId="0"/>
    <xf numFmtId="0" fontId="104" fillId="55" borderId="0"/>
    <xf numFmtId="0" fontId="104" fillId="55" borderId="0"/>
    <xf numFmtId="0" fontId="104" fillId="55" borderId="0"/>
    <xf numFmtId="0" fontId="104" fillId="55" borderId="0"/>
    <xf numFmtId="0" fontId="104" fillId="55" borderId="0"/>
    <xf numFmtId="0" fontId="104" fillId="55" borderId="0"/>
    <xf numFmtId="0" fontId="102" fillId="42" borderId="0"/>
    <xf numFmtId="0" fontId="102" fillId="42" borderId="0"/>
    <xf numFmtId="0" fontId="102" fillId="42" borderId="0"/>
    <xf numFmtId="0" fontId="104" fillId="55" borderId="0"/>
    <xf numFmtId="0" fontId="104" fillId="55" borderId="0"/>
    <xf numFmtId="0" fontId="97" fillId="51" borderId="37">
      <alignment vertical="center"/>
    </xf>
    <xf numFmtId="0" fontId="104" fillId="55" borderId="0"/>
    <xf numFmtId="0" fontId="102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178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178" fontId="97" fillId="51" borderId="37">
      <alignment vertical="center"/>
    </xf>
    <xf numFmtId="188" fontId="97" fillId="51" borderId="37">
      <alignment vertical="center"/>
    </xf>
    <xf numFmtId="178" fontId="97" fillId="51" borderId="37">
      <alignment vertical="center"/>
    </xf>
    <xf numFmtId="0" fontId="97" fillId="51" borderId="37">
      <alignment vertical="center"/>
    </xf>
    <xf numFmtId="178" fontId="97" fillId="51" borderId="37">
      <alignment vertical="center"/>
    </xf>
    <xf numFmtId="0" fontId="18" fillId="55" borderId="0"/>
    <xf numFmtId="0" fontId="18" fillId="55" borderId="0"/>
    <xf numFmtId="0" fontId="97" fillId="51" borderId="37">
      <alignment vertical="center"/>
    </xf>
    <xf numFmtId="0" fontId="97" fillId="51" borderId="37">
      <alignment vertical="center"/>
    </xf>
    <xf numFmtId="178" fontId="97" fillId="51" borderId="37">
      <alignment vertical="center"/>
    </xf>
    <xf numFmtId="188" fontId="97" fillId="51" borderId="37">
      <alignment vertical="center"/>
    </xf>
    <xf numFmtId="178" fontId="97" fillId="51" borderId="37">
      <alignment vertical="center"/>
    </xf>
    <xf numFmtId="0" fontId="102" fillId="42" borderId="0"/>
    <xf numFmtId="0" fontId="104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04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04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04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02" fillId="42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02" fillId="42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02" fillId="52" borderId="0"/>
    <xf numFmtId="0" fontId="102" fillId="52" borderId="0"/>
    <xf numFmtId="0" fontId="102" fillId="52" borderId="0"/>
    <xf numFmtId="178" fontId="102" fillId="52" borderId="0"/>
    <xf numFmtId="178" fontId="102" fillId="52" borderId="0"/>
    <xf numFmtId="0" fontId="102" fillId="52" borderId="0"/>
    <xf numFmtId="0" fontId="102" fillId="52" borderId="0"/>
    <xf numFmtId="178" fontId="102" fillId="52" borderId="0"/>
    <xf numFmtId="178" fontId="102" fillId="52" borderId="0"/>
    <xf numFmtId="0" fontId="102" fillId="52" borderId="0"/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188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188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02" fillId="42" borderId="0"/>
    <xf numFmtId="0" fontId="97" fillId="51" borderId="37">
      <alignment vertical="center"/>
    </xf>
    <xf numFmtId="0" fontId="97" fillId="51" borderId="37">
      <alignment vertical="center"/>
    </xf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04" fillId="55" borderId="0"/>
    <xf numFmtId="0" fontId="97" fillId="51" borderId="37">
      <alignment vertical="center"/>
    </xf>
    <xf numFmtId="0" fontId="97" fillId="51" borderId="37">
      <alignment vertical="center"/>
    </xf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04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04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8" fillId="55" borderId="0"/>
    <xf numFmtId="0" fontId="102" fillId="42" borderId="0"/>
    <xf numFmtId="0" fontId="102" fillId="42" borderId="0"/>
    <xf numFmtId="0" fontId="104" fillId="55" borderId="0"/>
    <xf numFmtId="0" fontId="104" fillId="55" borderId="0"/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04" fillId="55" borderId="0"/>
    <xf numFmtId="0" fontId="104" fillId="55" borderId="0"/>
    <xf numFmtId="0" fontId="97" fillId="51" borderId="37">
      <alignment vertical="center"/>
    </xf>
    <xf numFmtId="0" fontId="97" fillId="51" borderId="37">
      <alignment vertical="center"/>
    </xf>
    <xf numFmtId="0" fontId="104" fillId="55" borderId="0"/>
    <xf numFmtId="0" fontId="102" fillId="42" borderId="0"/>
    <xf numFmtId="0" fontId="104" fillId="55" borderId="0"/>
    <xf numFmtId="0" fontId="104" fillId="55" borderId="0"/>
    <xf numFmtId="0" fontId="104" fillId="55" borderId="0"/>
    <xf numFmtId="0" fontId="104" fillId="55" borderId="0"/>
    <xf numFmtId="0" fontId="104" fillId="55" borderId="0"/>
    <xf numFmtId="0" fontId="102" fillId="42" borderId="0"/>
    <xf numFmtId="0" fontId="97" fillId="51" borderId="37">
      <alignment vertical="center"/>
    </xf>
    <xf numFmtId="0" fontId="102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02" fillId="42" borderId="0"/>
    <xf numFmtId="0" fontId="102" fillId="42" borderId="0"/>
    <xf numFmtId="0" fontId="102" fillId="42" borderId="0"/>
    <xf numFmtId="178" fontId="102" fillId="42" borderId="0"/>
    <xf numFmtId="178" fontId="102" fillId="42" borderId="0"/>
    <xf numFmtId="0" fontId="102" fillId="42" borderId="0"/>
    <xf numFmtId="178" fontId="102" fillId="42" borderId="0"/>
    <xf numFmtId="0" fontId="102" fillId="42" borderId="0"/>
    <xf numFmtId="178" fontId="102" fillId="42" borderId="0"/>
    <xf numFmtId="0" fontId="102" fillId="42" borderId="0"/>
    <xf numFmtId="178" fontId="102" fillId="42" borderId="0"/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02" fillId="42" borderId="0"/>
    <xf numFmtId="0" fontId="102" fillId="42" borderId="0"/>
    <xf numFmtId="0" fontId="97" fillId="51" borderId="37">
      <alignment vertical="center"/>
    </xf>
    <xf numFmtId="0" fontId="102" fillId="42" borderId="0"/>
    <xf numFmtId="0" fontId="102" fillId="42" borderId="0"/>
    <xf numFmtId="0" fontId="102" fillId="52" borderId="0"/>
    <xf numFmtId="0" fontId="102" fillId="52" borderId="0"/>
    <xf numFmtId="0" fontId="97" fillId="51" borderId="37">
      <alignment vertical="center"/>
    </xf>
    <xf numFmtId="0" fontId="104" fillId="55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97" fillId="51" borderId="37">
      <alignment vertical="center"/>
    </xf>
    <xf numFmtId="0" fontId="104" fillId="55" borderId="0"/>
    <xf numFmtId="0" fontId="102" fillId="52" borderId="0"/>
    <xf numFmtId="0" fontId="102" fillId="42" borderId="0"/>
    <xf numFmtId="0" fontId="102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02" fillId="42" borderId="0"/>
    <xf numFmtId="0" fontId="97" fillId="51" borderId="37">
      <alignment vertical="center"/>
    </xf>
    <xf numFmtId="0" fontId="102" fillId="42" borderId="0"/>
    <xf numFmtId="0" fontId="102" fillId="42" borderId="0"/>
    <xf numFmtId="0" fontId="102" fillId="42" borderId="0"/>
    <xf numFmtId="0" fontId="102" fillId="42" borderId="0"/>
    <xf numFmtId="0" fontId="102" fillId="42" borderId="0"/>
    <xf numFmtId="0" fontId="102" fillId="42" borderId="0"/>
    <xf numFmtId="0" fontId="102" fillId="42" borderId="0"/>
    <xf numFmtId="0" fontId="102" fillId="42" borderId="0"/>
    <xf numFmtId="0" fontId="102" fillId="42" borderId="0"/>
    <xf numFmtId="0" fontId="97" fillId="51" borderId="37">
      <alignment vertical="center"/>
    </xf>
    <xf numFmtId="0" fontId="102" fillId="42" borderId="0"/>
    <xf numFmtId="0" fontId="102" fillId="42" borderId="0"/>
    <xf numFmtId="0" fontId="102" fillId="42" borderId="0"/>
    <xf numFmtId="0" fontId="102" fillId="42" borderId="0"/>
    <xf numFmtId="0" fontId="102" fillId="42" borderId="0"/>
    <xf numFmtId="0" fontId="102" fillId="42" borderId="0"/>
    <xf numFmtId="0" fontId="97" fillId="51" borderId="37">
      <alignment vertical="center"/>
    </xf>
    <xf numFmtId="0" fontId="97" fillId="51" borderId="37">
      <alignment vertical="center"/>
    </xf>
    <xf numFmtId="0" fontId="102" fillId="42" borderId="0"/>
    <xf numFmtId="0" fontId="102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02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02" fillId="42" borderId="0"/>
    <xf numFmtId="0" fontId="97" fillId="51" borderId="37">
      <alignment vertical="center"/>
    </xf>
    <xf numFmtId="0" fontId="102" fillId="42" borderId="0"/>
    <xf numFmtId="0" fontId="102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02" fillId="42" borderId="0"/>
    <xf numFmtId="0" fontId="97" fillId="51" borderId="37">
      <alignment vertical="center"/>
    </xf>
    <xf numFmtId="0" fontId="102" fillId="42" borderId="0"/>
    <xf numFmtId="0" fontId="102" fillId="42" borderId="0"/>
    <xf numFmtId="178" fontId="102" fillId="42" borderId="0"/>
    <xf numFmtId="178" fontId="102" fillId="42" borderId="0"/>
    <xf numFmtId="0" fontId="104" fillId="55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04" fillId="55" borderId="0"/>
    <xf numFmtId="0" fontId="97" fillId="51" borderId="37">
      <alignment vertical="center"/>
    </xf>
    <xf numFmtId="0" fontId="102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05" fillId="42" borderId="0"/>
    <xf numFmtId="178" fontId="105" fillId="42" borderId="0"/>
    <xf numFmtId="178" fontId="105" fillId="42" borderId="0"/>
    <xf numFmtId="0" fontId="105" fillId="42" borderId="0"/>
    <xf numFmtId="0" fontId="105" fillId="42" borderId="0"/>
    <xf numFmtId="178" fontId="105" fillId="42" borderId="0"/>
    <xf numFmtId="178" fontId="105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05" fillId="42" borderId="0"/>
    <xf numFmtId="0" fontId="106" fillId="42" borderId="0"/>
    <xf numFmtId="0" fontId="105" fillId="42" borderId="0"/>
    <xf numFmtId="0" fontId="105" fillId="42" borderId="0"/>
    <xf numFmtId="0" fontId="105" fillId="42" borderId="0"/>
    <xf numFmtId="0" fontId="105" fillId="42" borderId="0"/>
    <xf numFmtId="0" fontId="105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05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05" fillId="42" borderId="0"/>
    <xf numFmtId="0" fontId="18" fillId="42" borderId="0"/>
    <xf numFmtId="0" fontId="105" fillId="42" borderId="0"/>
    <xf numFmtId="0" fontId="105" fillId="42" borderId="0"/>
    <xf numFmtId="178" fontId="105" fillId="42" borderId="0"/>
    <xf numFmtId="178" fontId="105" fillId="42" borderId="0"/>
    <xf numFmtId="0" fontId="105" fillId="42" borderId="0"/>
    <xf numFmtId="0" fontId="105" fillId="42" borderId="0"/>
    <xf numFmtId="178" fontId="105" fillId="42" borderId="0"/>
    <xf numFmtId="178" fontId="105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0" fontId="18" fillId="42" borderId="0"/>
    <xf numFmtId="178" fontId="18" fillId="42" borderId="0"/>
    <xf numFmtId="0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05" fillId="42" borderId="0"/>
    <xf numFmtId="0" fontId="105" fillId="42" borderId="0"/>
    <xf numFmtId="0" fontId="105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05" fillId="42" borderId="0"/>
    <xf numFmtId="0" fontId="105" fillId="42" borderId="0"/>
    <xf numFmtId="0" fontId="105" fillId="42" borderId="0"/>
    <xf numFmtId="178" fontId="105" fillId="42" borderId="0"/>
    <xf numFmtId="178" fontId="105" fillId="42" borderId="0"/>
    <xf numFmtId="0" fontId="105" fillId="42" borderId="0"/>
    <xf numFmtId="0" fontId="105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05" fillId="42" borderId="0"/>
    <xf numFmtId="0" fontId="105" fillId="42" borderId="0"/>
    <xf numFmtId="0" fontId="105" fillId="42" borderId="0"/>
    <xf numFmtId="178" fontId="105" fillId="42" borderId="0"/>
    <xf numFmtId="178" fontId="105" fillId="42" borderId="0"/>
    <xf numFmtId="0" fontId="105" fillId="42" borderId="0"/>
    <xf numFmtId="178" fontId="105" fillId="42" borderId="0"/>
    <xf numFmtId="0" fontId="105" fillId="42" borderId="0"/>
    <xf numFmtId="178" fontId="105" fillId="42" borderId="0"/>
    <xf numFmtId="0" fontId="105" fillId="42" borderId="0"/>
    <xf numFmtId="178" fontId="105" fillId="42" borderId="0"/>
    <xf numFmtId="0" fontId="105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05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05" fillId="42" borderId="0"/>
    <xf numFmtId="0" fontId="105" fillId="42" borderId="0"/>
    <xf numFmtId="0" fontId="105" fillId="42" borderId="0"/>
    <xf numFmtId="178" fontId="105" fillId="42" borderId="0"/>
    <xf numFmtId="178" fontId="105" fillId="42" borderId="0"/>
    <xf numFmtId="0" fontId="105" fillId="42" borderId="0"/>
    <xf numFmtId="0" fontId="105" fillId="42" borderId="0"/>
    <xf numFmtId="178" fontId="105" fillId="42" borderId="0"/>
    <xf numFmtId="178" fontId="105" fillId="42" borderId="0"/>
    <xf numFmtId="0" fontId="105" fillId="42" borderId="0"/>
    <xf numFmtId="0" fontId="105" fillId="42" borderId="0"/>
    <xf numFmtId="178" fontId="105" fillId="42" borderId="0"/>
    <xf numFmtId="178" fontId="105" fillId="42" borderId="0"/>
    <xf numFmtId="0" fontId="102" fillId="42" borderId="0"/>
    <xf numFmtId="0" fontId="18" fillId="42" borderId="0"/>
    <xf numFmtId="0" fontId="18" fillId="42" borderId="0"/>
    <xf numFmtId="0" fontId="18" fillId="42" borderId="0"/>
    <xf numFmtId="0" fontId="104" fillId="55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02" fillId="42" borderId="0"/>
    <xf numFmtId="0" fontId="102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04" fillId="55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02" fillId="42" borderId="0"/>
    <xf numFmtId="0" fontId="97" fillId="51" borderId="37">
      <alignment vertical="center"/>
    </xf>
    <xf numFmtId="0" fontId="102" fillId="42" borderId="0"/>
    <xf numFmtId="0" fontId="102" fillId="42" borderId="0"/>
    <xf numFmtId="0" fontId="102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02" fillId="42" borderId="0"/>
    <xf numFmtId="0" fontId="102" fillId="42" borderId="0"/>
    <xf numFmtId="0" fontId="97" fillId="51" borderId="37">
      <alignment vertical="center"/>
    </xf>
    <xf numFmtId="0" fontId="102" fillId="52" borderId="0"/>
    <xf numFmtId="0" fontId="102" fillId="42" borderId="0"/>
    <xf numFmtId="0" fontId="102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04" fillId="55" borderId="0"/>
    <xf numFmtId="0" fontId="97" fillId="51" borderId="37">
      <alignment vertical="center"/>
    </xf>
    <xf numFmtId="0" fontId="97" fillId="51" borderId="37">
      <alignment vertical="center"/>
    </xf>
    <xf numFmtId="0" fontId="102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04" fillId="55" borderId="0"/>
    <xf numFmtId="0" fontId="97" fillId="51" borderId="37">
      <alignment vertical="center"/>
    </xf>
    <xf numFmtId="0" fontId="104" fillId="55" borderId="0"/>
    <xf numFmtId="0" fontId="104" fillId="55" borderId="0"/>
    <xf numFmtId="0" fontId="97" fillId="51" borderId="37">
      <alignment vertical="center"/>
    </xf>
    <xf numFmtId="0" fontId="104" fillId="55" borderId="0"/>
    <xf numFmtId="0" fontId="104" fillId="55" borderId="0"/>
    <xf numFmtId="0" fontId="104" fillId="55" borderId="0"/>
    <xf numFmtId="0" fontId="104" fillId="55" borderId="0"/>
    <xf numFmtId="0" fontId="104" fillId="55" borderId="0"/>
    <xf numFmtId="0" fontId="97" fillId="51" borderId="37">
      <alignment vertical="center"/>
    </xf>
    <xf numFmtId="0" fontId="104" fillId="55" borderId="0"/>
    <xf numFmtId="0" fontId="104" fillId="55" borderId="0"/>
    <xf numFmtId="0" fontId="104" fillId="55" borderId="0"/>
    <xf numFmtId="0" fontId="104" fillId="55" borderId="0"/>
    <xf numFmtId="0" fontId="104" fillId="55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02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04" fillId="55" borderId="0"/>
    <xf numFmtId="0" fontId="104" fillId="55" borderId="0"/>
    <xf numFmtId="0" fontId="104" fillId="55" borderId="0"/>
    <xf numFmtId="0" fontId="104" fillId="55" borderId="0"/>
    <xf numFmtId="0" fontId="104" fillId="55" borderId="0"/>
    <xf numFmtId="0" fontId="102" fillId="42" borderId="0"/>
    <xf numFmtId="0" fontId="102" fillId="42" borderId="0"/>
    <xf numFmtId="0" fontId="102" fillId="42" borderId="0"/>
    <xf numFmtId="0" fontId="104" fillId="55" borderId="0"/>
    <xf numFmtId="0" fontId="104" fillId="55" borderId="0"/>
    <xf numFmtId="0" fontId="102" fillId="42" borderId="0"/>
    <xf numFmtId="0" fontId="102" fillId="42" borderId="0"/>
    <xf numFmtId="178" fontId="102" fillId="42" borderId="0"/>
    <xf numFmtId="0" fontId="104" fillId="55" borderId="0"/>
    <xf numFmtId="178" fontId="102" fillId="42" borderId="0"/>
    <xf numFmtId="0" fontId="102" fillId="53" borderId="0"/>
    <xf numFmtId="0" fontId="104" fillId="55" borderId="0"/>
    <xf numFmtId="0" fontId="102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02" fillId="42" borderId="0"/>
    <xf numFmtId="0" fontId="102" fillId="42" borderId="0"/>
    <xf numFmtId="0" fontId="107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0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97" fillId="51" borderId="37">
      <alignment vertical="center"/>
    </xf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97" fillId="51" borderId="37">
      <alignment vertical="center"/>
    </xf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8" fillId="56" borderId="0"/>
    <xf numFmtId="0" fontId="108" fillId="56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8" fillId="56" borderId="0"/>
    <xf numFmtId="0" fontId="97" fillId="51" borderId="37">
      <alignment vertical="center"/>
    </xf>
    <xf numFmtId="0" fontId="97" fillId="51" borderId="37">
      <alignment vertical="center"/>
    </xf>
    <xf numFmtId="0" fontId="107" fillId="42" borderId="0"/>
    <xf numFmtId="0" fontId="97" fillId="51" borderId="37">
      <alignment vertical="center"/>
    </xf>
    <xf numFmtId="0" fontId="97" fillId="51" borderId="37">
      <alignment vertical="center"/>
    </xf>
    <xf numFmtId="0" fontId="108" fillId="56" borderId="0"/>
    <xf numFmtId="0" fontId="108" fillId="56" borderId="0"/>
    <xf numFmtId="0" fontId="107" fillId="42" borderId="0"/>
    <xf numFmtId="0" fontId="97" fillId="51" borderId="37">
      <alignment vertical="center"/>
    </xf>
    <xf numFmtId="0" fontId="107" fillId="42" borderId="0"/>
    <xf numFmtId="0" fontId="107" fillId="42" borderId="0"/>
    <xf numFmtId="0" fontId="107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07" fillId="42" borderId="0"/>
    <xf numFmtId="0" fontId="107" fillId="42" borderId="0"/>
    <xf numFmtId="0" fontId="107" fillId="42" borderId="0"/>
    <xf numFmtId="0" fontId="97" fillId="51" borderId="37">
      <alignment vertical="center"/>
    </xf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8" fillId="56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0" fontId="108" fillId="56" borderId="0"/>
    <xf numFmtId="0" fontId="108" fillId="56" borderId="0"/>
    <xf numFmtId="0" fontId="107" fillId="42" borderId="0"/>
    <xf numFmtId="0" fontId="107" fillId="42" borderId="0"/>
    <xf numFmtId="0" fontId="107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8" fillId="56" borderId="0"/>
    <xf numFmtId="0" fontId="108" fillId="56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07" fillId="53" borderId="0"/>
    <xf numFmtId="0" fontId="107" fillId="53" borderId="0"/>
    <xf numFmtId="0" fontId="107" fillId="53" borderId="0"/>
    <xf numFmtId="0" fontId="107" fillId="53" borderId="0"/>
    <xf numFmtId="0" fontId="107" fillId="42" borderId="0"/>
    <xf numFmtId="0" fontId="107" fillId="42" borderId="0"/>
    <xf numFmtId="0" fontId="97" fillId="51" borderId="37">
      <alignment vertical="center"/>
    </xf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8" fillId="56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08" fillId="56" borderId="0"/>
    <xf numFmtId="0" fontId="97" fillId="51" borderId="37">
      <alignment vertical="center"/>
    </xf>
    <xf numFmtId="0" fontId="107" fillId="42" borderId="0"/>
    <xf numFmtId="0" fontId="108" fillId="56" borderId="0"/>
    <xf numFmtId="0" fontId="108" fillId="56" borderId="0"/>
    <xf numFmtId="0" fontId="97" fillId="51" borderId="37">
      <alignment vertical="center"/>
    </xf>
    <xf numFmtId="0" fontId="108" fillId="56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0" fontId="18" fillId="42" borderId="0"/>
    <xf numFmtId="178" fontId="18" fillId="42" borderId="0"/>
    <xf numFmtId="0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08" fillId="56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178" fontId="18" fillId="42" borderId="0"/>
    <xf numFmtId="178" fontId="18" fillId="42" borderId="0"/>
    <xf numFmtId="0" fontId="107" fillId="42" borderId="0"/>
    <xf numFmtId="0" fontId="97" fillId="51" borderId="37">
      <alignment vertical="center"/>
    </xf>
    <xf numFmtId="0" fontId="108" fillId="56" borderId="0"/>
    <xf numFmtId="0" fontId="97" fillId="51" borderId="37">
      <alignment vertical="center"/>
    </xf>
    <xf numFmtId="0" fontId="97" fillId="51" borderId="37">
      <alignment vertical="center"/>
    </xf>
    <xf numFmtId="0" fontId="108" fillId="56" borderId="0"/>
    <xf numFmtId="0" fontId="108" fillId="56" borderId="0"/>
    <xf numFmtId="0" fontId="108" fillId="56" borderId="0"/>
    <xf numFmtId="0" fontId="108" fillId="56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08" fillId="56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08" fillId="56" borderId="0"/>
    <xf numFmtId="0" fontId="108" fillId="56" borderId="0"/>
    <xf numFmtId="0" fontId="97" fillId="51" borderId="37">
      <alignment vertical="center"/>
    </xf>
    <xf numFmtId="0" fontId="108" fillId="56" borderId="0"/>
    <xf numFmtId="0" fontId="97" fillId="51" borderId="37">
      <alignment vertical="center"/>
    </xf>
    <xf numFmtId="0" fontId="97" fillId="51" borderId="37">
      <alignment vertical="center"/>
    </xf>
    <xf numFmtId="0" fontId="108" fillId="56" borderId="0"/>
    <xf numFmtId="0" fontId="108" fillId="56" borderId="0"/>
    <xf numFmtId="0" fontId="97" fillId="51" borderId="37">
      <alignment vertical="center"/>
    </xf>
    <xf numFmtId="0" fontId="108" fillId="56" borderId="0"/>
    <xf numFmtId="0" fontId="97" fillId="51" borderId="37">
      <alignment vertical="center"/>
    </xf>
    <xf numFmtId="0" fontId="97" fillId="51" borderId="37">
      <alignment vertical="center"/>
    </xf>
    <xf numFmtId="0" fontId="108" fillId="56" borderId="0"/>
    <xf numFmtId="0" fontId="108" fillId="56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08" fillId="56" borderId="0"/>
    <xf numFmtId="0" fontId="108" fillId="56" borderId="0"/>
    <xf numFmtId="0" fontId="97" fillId="51" borderId="37">
      <alignment vertical="center"/>
    </xf>
    <xf numFmtId="0" fontId="97" fillId="51" borderId="37">
      <alignment vertical="center"/>
    </xf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97" fillId="51" borderId="37">
      <alignment vertical="center"/>
    </xf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8" fillId="56" borderId="0"/>
    <xf numFmtId="0" fontId="97" fillId="51" borderId="37">
      <alignment vertical="center"/>
    </xf>
    <xf numFmtId="0" fontId="97" fillId="51" borderId="37">
      <alignment vertical="center"/>
    </xf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07" fillId="42" borderId="0"/>
    <xf numFmtId="0" fontId="107" fillId="42" borderId="0"/>
    <xf numFmtId="0" fontId="107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8" fillId="56" borderId="0"/>
    <xf numFmtId="0" fontId="108" fillId="56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97" fillId="51" borderId="37">
      <alignment vertical="center"/>
    </xf>
    <xf numFmtId="0" fontId="108" fillId="56" borderId="0"/>
    <xf numFmtId="0" fontId="108" fillId="56" borderId="0"/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188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188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07" fillId="42" borderId="0"/>
    <xf numFmtId="0" fontId="107" fillId="42" borderId="0"/>
    <xf numFmtId="178" fontId="107" fillId="42" borderId="0"/>
    <xf numFmtId="178" fontId="107" fillId="42" borderId="0"/>
    <xf numFmtId="0" fontId="97" fillId="51" borderId="37">
      <alignment vertical="center"/>
    </xf>
    <xf numFmtId="0" fontId="108" fillId="56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8" fillId="56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188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188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08" fillId="56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52" borderId="0"/>
    <xf numFmtId="0" fontId="107" fillId="52" borderId="0"/>
    <xf numFmtId="0" fontId="97" fillId="51" borderId="37">
      <alignment vertical="center"/>
    </xf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8" fillId="56" borderId="0"/>
    <xf numFmtId="0" fontId="107" fillId="5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8" fillId="56" borderId="0"/>
    <xf numFmtId="0" fontId="108" fillId="56" borderId="0"/>
    <xf numFmtId="0" fontId="108" fillId="56" borderId="0"/>
    <xf numFmtId="0" fontId="108" fillId="56" borderId="0"/>
    <xf numFmtId="0" fontId="108" fillId="56" borderId="0"/>
    <xf numFmtId="0" fontId="108" fillId="56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8" fillId="56" borderId="0"/>
    <xf numFmtId="0" fontId="108" fillId="56" borderId="0"/>
    <xf numFmtId="0" fontId="97" fillId="51" borderId="37">
      <alignment vertical="center"/>
    </xf>
    <xf numFmtId="0" fontId="108" fillId="56" borderId="0"/>
    <xf numFmtId="0" fontId="107" fillId="42" borderId="0"/>
    <xf numFmtId="0" fontId="107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178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178" fontId="97" fillId="51" borderId="37">
      <alignment vertical="center"/>
    </xf>
    <xf numFmtId="188" fontId="97" fillId="51" borderId="37">
      <alignment vertical="center"/>
    </xf>
    <xf numFmtId="178" fontId="97" fillId="51" borderId="37">
      <alignment vertical="center"/>
    </xf>
    <xf numFmtId="0" fontId="97" fillId="51" borderId="37">
      <alignment vertical="center"/>
    </xf>
    <xf numFmtId="178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178" fontId="97" fillId="51" borderId="37">
      <alignment vertical="center"/>
    </xf>
    <xf numFmtId="188" fontId="97" fillId="51" borderId="37">
      <alignment vertical="center"/>
    </xf>
    <xf numFmtId="178" fontId="97" fillId="51" borderId="37">
      <alignment vertical="center"/>
    </xf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08" fillId="56" borderId="0"/>
    <xf numFmtId="0" fontId="108" fillId="56" borderId="0"/>
    <xf numFmtId="0" fontId="10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07" fillId="42" borderId="0"/>
    <xf numFmtId="0" fontId="107" fillId="42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07" fillId="42" borderId="0"/>
    <xf numFmtId="0" fontId="18" fillId="56" borderId="0"/>
    <xf numFmtId="0" fontId="18" fillId="56" borderId="0"/>
    <xf numFmtId="0" fontId="18" fillId="56" borderId="0"/>
    <xf numFmtId="0" fontId="18" fillId="56" borderId="0"/>
    <xf numFmtId="0" fontId="107" fillId="42" borderId="0"/>
    <xf numFmtId="0" fontId="18" fillId="56" borderId="0"/>
    <xf numFmtId="0" fontId="18" fillId="56" borderId="0"/>
    <xf numFmtId="0" fontId="18" fillId="56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178" fontId="107" fillId="52" borderId="0"/>
    <xf numFmtId="178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188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188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07" fillId="42" borderId="0"/>
    <xf numFmtId="0" fontId="97" fillId="51" borderId="37">
      <alignment vertical="center"/>
    </xf>
    <xf numFmtId="0" fontId="97" fillId="51" borderId="37">
      <alignment vertical="center"/>
    </xf>
    <xf numFmtId="0" fontId="107" fillId="42" borderId="0"/>
    <xf numFmtId="0" fontId="108" fillId="56" borderId="0"/>
    <xf numFmtId="0" fontId="97" fillId="51" borderId="37">
      <alignment vertical="center"/>
    </xf>
    <xf numFmtId="0" fontId="97" fillId="51" borderId="37">
      <alignment vertical="center"/>
    </xf>
    <xf numFmtId="0" fontId="107" fillId="42" borderId="0"/>
    <xf numFmtId="0" fontId="107" fillId="42" borderId="0"/>
    <xf numFmtId="0" fontId="107" fillId="42" borderId="0"/>
    <xf numFmtId="0" fontId="108" fillId="56" borderId="0"/>
    <xf numFmtId="0" fontId="108" fillId="56" borderId="0"/>
    <xf numFmtId="0" fontId="107" fillId="42" borderId="0"/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08" fillId="56" borderId="0"/>
    <xf numFmtId="0" fontId="108" fillId="56" borderId="0"/>
    <xf numFmtId="0" fontId="107" fillId="42" borderId="0"/>
    <xf numFmtId="0" fontId="107" fillId="42" borderId="0"/>
    <xf numFmtId="0" fontId="97" fillId="51" borderId="37">
      <alignment vertical="center"/>
    </xf>
    <xf numFmtId="0" fontId="97" fillId="51" borderId="37">
      <alignment vertical="center"/>
    </xf>
    <xf numFmtId="0" fontId="108" fillId="56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8" fillId="56" borderId="0"/>
    <xf numFmtId="0" fontId="108" fillId="56" borderId="0"/>
    <xf numFmtId="0" fontId="108" fillId="56" borderId="0"/>
    <xf numFmtId="0" fontId="107" fillId="42" borderId="0"/>
    <xf numFmtId="0" fontId="107" fillId="42" borderId="0"/>
    <xf numFmtId="0" fontId="107" fillId="42" borderId="0"/>
    <xf numFmtId="0" fontId="108" fillId="56" borderId="0"/>
    <xf numFmtId="0" fontId="108" fillId="56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97" fillId="51" borderId="37">
      <alignment vertical="center"/>
    </xf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178" fontId="107" fillId="42" borderId="0"/>
    <xf numFmtId="0" fontId="107" fillId="42" borderId="0"/>
    <xf numFmtId="178" fontId="107" fillId="42" borderId="0"/>
    <xf numFmtId="0" fontId="107" fillId="42" borderId="0"/>
    <xf numFmtId="178" fontId="107" fillId="42" borderId="0"/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0" fontId="107" fillId="42" borderId="0"/>
    <xf numFmtId="178" fontId="107" fillId="42" borderId="0"/>
    <xf numFmtId="0" fontId="107" fillId="42" borderId="0"/>
    <xf numFmtId="178" fontId="107" fillId="42" borderId="0"/>
    <xf numFmtId="0" fontId="107" fillId="42" borderId="0"/>
    <xf numFmtId="178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97" fillId="51" borderId="37">
      <alignment vertical="center"/>
    </xf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97" fillId="51" borderId="37">
      <alignment vertical="center"/>
    </xf>
    <xf numFmtId="0" fontId="108" fillId="56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97" fillId="51" borderId="37">
      <alignment vertical="center"/>
    </xf>
    <xf numFmtId="0" fontId="108" fillId="56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97" fillId="51" borderId="37">
      <alignment vertical="center"/>
    </xf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97" fillId="51" borderId="37">
      <alignment vertical="center"/>
    </xf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97" fillId="51" borderId="37">
      <alignment vertical="center"/>
    </xf>
    <xf numFmtId="0" fontId="97" fillId="51" borderId="37">
      <alignment vertical="center"/>
    </xf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07" fillId="42" borderId="0"/>
    <xf numFmtId="0" fontId="107" fillId="42" borderId="0"/>
    <xf numFmtId="0" fontId="97" fillId="51" borderId="37">
      <alignment vertical="center"/>
    </xf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97" fillId="51" borderId="37">
      <alignment vertical="center"/>
    </xf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8" fillId="56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07" fillId="42" borderId="0"/>
    <xf numFmtId="0" fontId="108" fillId="56" borderId="0"/>
    <xf numFmtId="0" fontId="97" fillId="51" borderId="37">
      <alignment vertical="center"/>
    </xf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09" fillId="42" borderId="0"/>
    <xf numFmtId="178" fontId="109" fillId="42" borderId="0"/>
    <xf numFmtId="178" fontId="109" fillId="42" borderId="0"/>
    <xf numFmtId="0" fontId="109" fillId="42" borderId="0"/>
    <xf numFmtId="0" fontId="109" fillId="42" borderId="0"/>
    <xf numFmtId="178" fontId="109" fillId="42" borderId="0"/>
    <xf numFmtId="178" fontId="109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09" fillId="42" borderId="0"/>
    <xf numFmtId="0" fontId="110" fillId="42" borderId="0"/>
    <xf numFmtId="0" fontId="109" fillId="42" borderId="0"/>
    <xf numFmtId="0" fontId="109" fillId="42" borderId="0"/>
    <xf numFmtId="0" fontId="109" fillId="42" borderId="0"/>
    <xf numFmtId="0" fontId="109" fillId="42" borderId="0"/>
    <xf numFmtId="0" fontId="109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09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09" fillId="42" borderId="0"/>
    <xf numFmtId="0" fontId="18" fillId="42" borderId="0"/>
    <xf numFmtId="0" fontId="109" fillId="42" borderId="0"/>
    <xf numFmtId="0" fontId="109" fillId="42" borderId="0"/>
    <xf numFmtId="178" fontId="109" fillId="42" borderId="0"/>
    <xf numFmtId="178" fontId="109" fillId="42" borderId="0"/>
    <xf numFmtId="0" fontId="109" fillId="42" borderId="0"/>
    <xf numFmtId="0" fontId="109" fillId="42" borderId="0"/>
    <xf numFmtId="178" fontId="109" fillId="42" borderId="0"/>
    <xf numFmtId="178" fontId="109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0" fontId="18" fillId="42" borderId="0"/>
    <xf numFmtId="178" fontId="18" fillId="42" borderId="0"/>
    <xf numFmtId="0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09" fillId="42" borderId="0"/>
    <xf numFmtId="0" fontId="109" fillId="42" borderId="0"/>
    <xf numFmtId="0" fontId="109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09" fillId="42" borderId="0"/>
    <xf numFmtId="0" fontId="109" fillId="42" borderId="0"/>
    <xf numFmtId="0" fontId="109" fillId="42" borderId="0"/>
    <xf numFmtId="178" fontId="109" fillId="42" borderId="0"/>
    <xf numFmtId="178" fontId="109" fillId="42" borderId="0"/>
    <xf numFmtId="0" fontId="109" fillId="42" borderId="0"/>
    <xf numFmtId="0" fontId="109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09" fillId="42" borderId="0"/>
    <xf numFmtId="0" fontId="109" fillId="42" borderId="0"/>
    <xf numFmtId="0" fontId="109" fillId="42" borderId="0"/>
    <xf numFmtId="178" fontId="109" fillId="42" borderId="0"/>
    <xf numFmtId="178" fontId="109" fillId="42" borderId="0"/>
    <xf numFmtId="0" fontId="109" fillId="42" borderId="0"/>
    <xf numFmtId="178" fontId="109" fillId="42" borderId="0"/>
    <xf numFmtId="0" fontId="109" fillId="42" borderId="0"/>
    <xf numFmtId="178" fontId="109" fillId="42" borderId="0"/>
    <xf numFmtId="0" fontId="109" fillId="42" borderId="0"/>
    <xf numFmtId="178" fontId="109" fillId="42" borderId="0"/>
    <xf numFmtId="0" fontId="109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09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09" fillId="42" borderId="0"/>
    <xf numFmtId="0" fontId="109" fillId="42" borderId="0"/>
    <xf numFmtId="0" fontId="109" fillId="42" borderId="0"/>
    <xf numFmtId="178" fontId="109" fillId="42" borderId="0"/>
    <xf numFmtId="178" fontId="109" fillId="42" borderId="0"/>
    <xf numFmtId="0" fontId="109" fillId="42" borderId="0"/>
    <xf numFmtId="0" fontId="109" fillId="42" borderId="0"/>
    <xf numFmtId="178" fontId="109" fillId="42" borderId="0"/>
    <xf numFmtId="178" fontId="109" fillId="42" borderId="0"/>
    <xf numFmtId="0" fontId="109" fillId="42" borderId="0"/>
    <xf numFmtId="0" fontId="109" fillId="42" borderId="0"/>
    <xf numFmtId="178" fontId="109" fillId="42" borderId="0"/>
    <xf numFmtId="178" fontId="109" fillId="42" borderId="0"/>
    <xf numFmtId="0" fontId="107" fillId="42" borderId="0"/>
    <xf numFmtId="0" fontId="18" fillId="42" borderId="0"/>
    <xf numFmtId="0" fontId="18" fillId="42" borderId="0"/>
    <xf numFmtId="0" fontId="18" fillId="42" borderId="0"/>
    <xf numFmtId="0" fontId="108" fillId="56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08" fillId="56" borderId="0"/>
    <xf numFmtId="0" fontId="18" fillId="42" borderId="0"/>
    <xf numFmtId="0" fontId="107" fillId="42" borderId="0"/>
    <xf numFmtId="0" fontId="18" fillId="42" borderId="0"/>
    <xf numFmtId="0" fontId="18" fillId="42" borderId="0"/>
    <xf numFmtId="0" fontId="18" fillId="42" borderId="0"/>
    <xf numFmtId="0" fontId="107" fillId="42" borderId="0"/>
    <xf numFmtId="0" fontId="107" fillId="42" borderId="0"/>
    <xf numFmtId="0" fontId="107" fillId="42" borderId="0"/>
    <xf numFmtId="0" fontId="97" fillId="51" borderId="37">
      <alignment vertical="center"/>
    </xf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97" fillId="51" borderId="37">
      <alignment vertical="center"/>
    </xf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5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08" fillId="56" borderId="0"/>
    <xf numFmtId="0" fontId="97" fillId="51" borderId="37">
      <alignment vertical="center"/>
    </xf>
    <xf numFmtId="0" fontId="97" fillId="51" borderId="37">
      <alignment vertical="center"/>
    </xf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08" fillId="56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97" fillId="51" borderId="37">
      <alignment vertical="center"/>
    </xf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8" fillId="56" borderId="0"/>
    <xf numFmtId="0" fontId="108" fillId="56" borderId="0"/>
    <xf numFmtId="0" fontId="97" fillId="51" borderId="37">
      <alignment vertical="center"/>
    </xf>
    <xf numFmtId="0" fontId="108" fillId="56" borderId="0"/>
    <xf numFmtId="0" fontId="108" fillId="56" borderId="0"/>
    <xf numFmtId="0" fontId="108" fillId="56" borderId="0"/>
    <xf numFmtId="0" fontId="108" fillId="56" borderId="0"/>
    <xf numFmtId="0" fontId="108" fillId="56" borderId="0"/>
    <xf numFmtId="0" fontId="97" fillId="51" borderId="37">
      <alignment vertical="center"/>
    </xf>
    <xf numFmtId="0" fontId="108" fillId="56" borderId="0"/>
    <xf numFmtId="0" fontId="108" fillId="56" borderId="0"/>
    <xf numFmtId="0" fontId="108" fillId="56" borderId="0"/>
    <xf numFmtId="0" fontId="108" fillId="56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08" fillId="56" borderId="0"/>
    <xf numFmtId="0" fontId="108" fillId="56" borderId="0"/>
    <xf numFmtId="0" fontId="108" fillId="56" borderId="0"/>
    <xf numFmtId="0" fontId="108" fillId="56" borderId="0"/>
    <xf numFmtId="0" fontId="108" fillId="56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8" fillId="56" borderId="0"/>
    <xf numFmtId="0" fontId="108" fillId="56" borderId="0"/>
    <xf numFmtId="0" fontId="107" fillId="42" borderId="0"/>
    <xf numFmtId="0" fontId="107" fillId="42" borderId="0"/>
    <xf numFmtId="178" fontId="107" fillId="42" borderId="0"/>
    <xf numFmtId="0" fontId="108" fillId="56" borderId="0"/>
    <xf numFmtId="178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0" fontId="107" fillId="53" borderId="0"/>
    <xf numFmtId="0" fontId="107" fillId="53" borderId="0"/>
    <xf numFmtId="0" fontId="107" fillId="42" borderId="0"/>
    <xf numFmtId="0" fontId="107" fillId="42" borderId="0"/>
    <xf numFmtId="0" fontId="108" fillId="56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178" fontId="107" fillId="42" borderId="0"/>
    <xf numFmtId="178" fontId="107" fillId="42" borderId="0"/>
    <xf numFmtId="0" fontId="107" fillId="42" borderId="0"/>
    <xf numFmtId="0" fontId="107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07" fillId="42" borderId="0"/>
    <xf numFmtId="0" fontId="111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11" fillId="42" borderId="0"/>
    <xf numFmtId="178" fontId="111" fillId="42" borderId="0"/>
    <xf numFmtId="178" fontId="111" fillId="42" borderId="0"/>
    <xf numFmtId="0" fontId="111" fillId="42" borderId="0"/>
    <xf numFmtId="0" fontId="111" fillId="42" borderId="0"/>
    <xf numFmtId="178" fontId="111" fillId="42" borderId="0"/>
    <xf numFmtId="178" fontId="111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11" fillId="42" borderId="0"/>
    <xf numFmtId="0" fontId="97" fillId="51" borderId="37">
      <alignment vertical="center"/>
    </xf>
    <xf numFmtId="0" fontId="111" fillId="42" borderId="0"/>
    <xf numFmtId="0" fontId="111" fillId="42" borderId="0"/>
    <xf numFmtId="0" fontId="111" fillId="42" borderId="0"/>
    <xf numFmtId="0" fontId="97" fillId="51" borderId="37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11" fillId="42" borderId="0"/>
    <xf numFmtId="0" fontId="112" fillId="42" borderId="0"/>
    <xf numFmtId="0" fontId="111" fillId="42" borderId="0"/>
    <xf numFmtId="0" fontId="111" fillId="42" borderId="0"/>
    <xf numFmtId="0" fontId="111" fillId="42" borderId="0"/>
    <xf numFmtId="0" fontId="111" fillId="42" borderId="0"/>
    <xf numFmtId="0" fontId="111" fillId="42" borderId="0"/>
    <xf numFmtId="0" fontId="111" fillId="42" borderId="0"/>
    <xf numFmtId="0" fontId="111" fillId="0" borderId="0"/>
    <xf numFmtId="0" fontId="111" fillId="0" borderId="0"/>
    <xf numFmtId="0" fontId="111" fillId="42" borderId="0"/>
    <xf numFmtId="0" fontId="111" fillId="0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11" fillId="0" borderId="0"/>
    <xf numFmtId="0" fontId="111" fillId="0" borderId="0"/>
    <xf numFmtId="0" fontId="111" fillId="42" borderId="0"/>
    <xf numFmtId="0" fontId="97" fillId="51" borderId="37">
      <alignment vertical="center"/>
    </xf>
    <xf numFmtId="0" fontId="111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11" fillId="42" borderId="0"/>
    <xf numFmtId="0" fontId="111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11" fillId="42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11" fillId="42" borderId="0"/>
    <xf numFmtId="0" fontId="111" fillId="42" borderId="0"/>
    <xf numFmtId="0" fontId="111" fillId="0" borderId="0"/>
    <xf numFmtId="0" fontId="111" fillId="52" borderId="0"/>
    <xf numFmtId="0" fontId="111" fillId="0" borderId="0"/>
    <xf numFmtId="0" fontId="111" fillId="0" borderId="0"/>
    <xf numFmtId="0" fontId="111" fillId="42" borderId="0"/>
    <xf numFmtId="0" fontId="97" fillId="51" borderId="37">
      <alignment vertical="center"/>
    </xf>
    <xf numFmtId="0" fontId="111" fillId="42" borderId="0"/>
    <xf numFmtId="0" fontId="111" fillId="42" borderId="0"/>
    <xf numFmtId="0" fontId="111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11" fillId="52" borderId="0"/>
    <xf numFmtId="0" fontId="111" fillId="42" borderId="0"/>
    <xf numFmtId="0" fontId="111" fillId="42" borderId="0"/>
    <xf numFmtId="0" fontId="111" fillId="0" borderId="0"/>
    <xf numFmtId="0" fontId="111" fillId="0" borderId="0"/>
    <xf numFmtId="0" fontId="111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11" fillId="53" borderId="0"/>
    <xf numFmtId="0" fontId="111" fillId="53" borderId="0"/>
    <xf numFmtId="0" fontId="97" fillId="51" borderId="37">
      <alignment vertical="center"/>
    </xf>
    <xf numFmtId="0" fontId="111" fillId="42" borderId="0"/>
    <xf numFmtId="0" fontId="111" fillId="0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11" fillId="0" borderId="0"/>
    <xf numFmtId="0" fontId="97" fillId="51" borderId="37">
      <alignment vertical="center"/>
    </xf>
    <xf numFmtId="0" fontId="111" fillId="42" borderId="0"/>
    <xf numFmtId="0" fontId="111" fillId="0" borderId="0"/>
    <xf numFmtId="0" fontId="111" fillId="0" borderId="0"/>
    <xf numFmtId="0" fontId="97" fillId="51" borderId="37">
      <alignment vertical="center"/>
    </xf>
    <xf numFmtId="0" fontId="111" fillId="0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11" fillId="42" borderId="0"/>
    <xf numFmtId="0" fontId="111" fillId="42" borderId="0"/>
    <xf numFmtId="178" fontId="111" fillId="42" borderId="0"/>
    <xf numFmtId="178" fontId="111" fillId="42" borderId="0"/>
    <xf numFmtId="0" fontId="111" fillId="42" borderId="0"/>
    <xf numFmtId="0" fontId="111" fillId="42" borderId="0"/>
    <xf numFmtId="178" fontId="111" fillId="42" borderId="0"/>
    <xf numFmtId="178" fontId="111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0" fontId="18" fillId="42" borderId="0"/>
    <xf numFmtId="178" fontId="18" fillId="42" borderId="0"/>
    <xf numFmtId="0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11" fillId="0" borderId="0"/>
    <xf numFmtId="0" fontId="111" fillId="42" borderId="0"/>
    <xf numFmtId="0" fontId="111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178" fontId="18" fillId="42" borderId="0"/>
    <xf numFmtId="178" fontId="18" fillId="42" borderId="0"/>
    <xf numFmtId="0" fontId="111" fillId="42" borderId="0"/>
    <xf numFmtId="0" fontId="97" fillId="51" borderId="37">
      <alignment vertical="center"/>
    </xf>
    <xf numFmtId="0" fontId="111" fillId="0" borderId="0"/>
    <xf numFmtId="0" fontId="97" fillId="51" borderId="37">
      <alignment vertical="center"/>
    </xf>
    <xf numFmtId="0" fontId="97" fillId="51" borderId="37">
      <alignment vertical="center"/>
    </xf>
    <xf numFmtId="0" fontId="111" fillId="0" borderId="0"/>
    <xf numFmtId="0" fontId="111" fillId="0" borderId="0"/>
    <xf numFmtId="0" fontId="111" fillId="0" borderId="0"/>
    <xf numFmtId="0" fontId="111" fillId="0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11" fillId="0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11" fillId="0" borderId="0"/>
    <xf numFmtId="0" fontId="111" fillId="0" borderId="0"/>
    <xf numFmtId="0" fontId="97" fillId="51" borderId="37">
      <alignment vertical="center"/>
    </xf>
    <xf numFmtId="0" fontId="111" fillId="0" borderId="0"/>
    <xf numFmtId="0" fontId="97" fillId="51" borderId="37">
      <alignment vertical="center"/>
    </xf>
    <xf numFmtId="0" fontId="97" fillId="51" borderId="37">
      <alignment vertical="center"/>
    </xf>
    <xf numFmtId="0" fontId="111" fillId="0" borderId="0"/>
    <xf numFmtId="0" fontId="111" fillId="0" borderId="0"/>
    <xf numFmtId="0" fontId="97" fillId="51" borderId="37">
      <alignment vertical="center"/>
    </xf>
    <xf numFmtId="0" fontId="111" fillId="0" borderId="0"/>
    <xf numFmtId="0" fontId="97" fillId="51" borderId="37">
      <alignment vertical="center"/>
    </xf>
    <xf numFmtId="0" fontId="97" fillId="51" borderId="37">
      <alignment vertical="center"/>
    </xf>
    <xf numFmtId="0" fontId="111" fillId="0" borderId="0"/>
    <xf numFmtId="0" fontId="111" fillId="0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11" fillId="0" borderId="0"/>
    <xf numFmtId="0" fontId="111" fillId="0" borderId="0"/>
    <xf numFmtId="0" fontId="97" fillId="51" borderId="37">
      <alignment vertical="center"/>
    </xf>
    <xf numFmtId="0" fontId="97" fillId="51" borderId="37">
      <alignment vertical="center"/>
    </xf>
    <xf numFmtId="0" fontId="111" fillId="42" borderId="0"/>
    <xf numFmtId="0" fontId="111" fillId="42" borderId="0"/>
    <xf numFmtId="178" fontId="111" fillId="42" borderId="0"/>
    <xf numFmtId="178" fontId="111" fillId="42" borderId="0"/>
    <xf numFmtId="0" fontId="111" fillId="42" borderId="0"/>
    <xf numFmtId="0" fontId="111" fillId="42" borderId="0"/>
    <xf numFmtId="0" fontId="111" fillId="42" borderId="0"/>
    <xf numFmtId="0" fontId="111" fillId="42" borderId="0"/>
    <xf numFmtId="0" fontId="97" fillId="51" borderId="37">
      <alignment vertical="center"/>
    </xf>
    <xf numFmtId="0" fontId="111" fillId="0" borderId="0"/>
    <xf numFmtId="0" fontId="97" fillId="51" borderId="37">
      <alignment vertical="center"/>
    </xf>
    <xf numFmtId="0" fontId="97" fillId="51" borderId="37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11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11" fillId="42" borderId="0"/>
    <xf numFmtId="0" fontId="111" fillId="42" borderId="0"/>
    <xf numFmtId="0" fontId="111" fillId="42" borderId="0"/>
    <xf numFmtId="0" fontId="111" fillId="0" borderId="0"/>
    <xf numFmtId="0" fontId="111" fillId="0" borderId="0"/>
    <xf numFmtId="0" fontId="111" fillId="52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97" fillId="51" borderId="37">
      <alignment vertical="center"/>
    </xf>
    <xf numFmtId="0" fontId="111" fillId="0" borderId="0"/>
    <xf numFmtId="0" fontId="111" fillId="0" borderId="0"/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188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188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11" fillId="42" borderId="0"/>
    <xf numFmtId="0" fontId="111" fillId="42" borderId="0"/>
    <xf numFmtId="178" fontId="111" fillId="42" borderId="0"/>
    <xf numFmtId="178" fontId="111" fillId="42" borderId="0"/>
    <xf numFmtId="0" fontId="97" fillId="51" borderId="37">
      <alignment vertical="center"/>
    </xf>
    <xf numFmtId="0" fontId="111" fillId="0" borderId="0"/>
    <xf numFmtId="0" fontId="111" fillId="42" borderId="0"/>
    <xf numFmtId="0" fontId="111" fillId="42" borderId="0"/>
    <xf numFmtId="0" fontId="111" fillId="0" borderId="0"/>
    <xf numFmtId="0" fontId="111" fillId="42" borderId="0"/>
    <xf numFmtId="0" fontId="111" fillId="52" borderId="0"/>
    <xf numFmtId="0" fontId="111" fillId="52" borderId="0"/>
    <xf numFmtId="0" fontId="111" fillId="42" borderId="0"/>
    <xf numFmtId="0" fontId="111" fillId="42" borderId="0"/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188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188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11" fillId="0" borderId="0"/>
    <xf numFmtId="0" fontId="111" fillId="52" borderId="0"/>
    <xf numFmtId="0" fontId="97" fillId="51" borderId="37">
      <alignment vertical="center"/>
    </xf>
    <xf numFmtId="0" fontId="111" fillId="0" borderId="0"/>
    <xf numFmtId="0" fontId="111" fillId="42" borderId="0"/>
    <xf numFmtId="0" fontId="111" fillId="52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42" borderId="0"/>
    <xf numFmtId="0" fontId="111" fillId="42" borderId="0"/>
    <xf numFmtId="0" fontId="111" fillId="42" borderId="0"/>
    <xf numFmtId="0" fontId="111" fillId="0" borderId="0"/>
    <xf numFmtId="0" fontId="111" fillId="0" borderId="0"/>
    <xf numFmtId="0" fontId="97" fillId="51" borderId="37">
      <alignment vertical="center"/>
    </xf>
    <xf numFmtId="0" fontId="111" fillId="0" borderId="0"/>
    <xf numFmtId="0" fontId="111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178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178" fontId="97" fillId="51" borderId="37">
      <alignment vertical="center"/>
    </xf>
    <xf numFmtId="188" fontId="97" fillId="51" borderId="37">
      <alignment vertical="center"/>
    </xf>
    <xf numFmtId="178" fontId="97" fillId="51" borderId="37">
      <alignment vertical="center"/>
    </xf>
    <xf numFmtId="0" fontId="97" fillId="51" borderId="37">
      <alignment vertical="center"/>
    </xf>
    <xf numFmtId="178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178" fontId="97" fillId="51" borderId="37">
      <alignment vertical="center"/>
    </xf>
    <xf numFmtId="188" fontId="97" fillId="51" borderId="37">
      <alignment vertical="center"/>
    </xf>
    <xf numFmtId="178" fontId="97" fillId="51" borderId="37">
      <alignment vertical="center"/>
    </xf>
    <xf numFmtId="0" fontId="111" fillId="42" borderId="0"/>
    <xf numFmtId="0" fontId="11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11" fillId="0" borderId="0"/>
    <xf numFmtId="0" fontId="111" fillId="0" borderId="0"/>
    <xf numFmtId="0" fontId="11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11" fillId="42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11" fillId="42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11" fillId="52" borderId="0"/>
    <xf numFmtId="0" fontId="111" fillId="52" borderId="0"/>
    <xf numFmtId="0" fontId="111" fillId="52" borderId="0"/>
    <xf numFmtId="178" fontId="111" fillId="52" borderId="0"/>
    <xf numFmtId="178" fontId="111" fillId="52" borderId="0"/>
    <xf numFmtId="0" fontId="111" fillId="52" borderId="0"/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188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188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11" fillId="42" borderId="0"/>
    <xf numFmtId="0" fontId="97" fillId="51" borderId="37">
      <alignment vertical="center"/>
    </xf>
    <xf numFmtId="0" fontId="97" fillId="51" borderId="37">
      <alignment vertical="center"/>
    </xf>
    <xf numFmtId="0" fontId="111" fillId="0" borderId="0"/>
    <xf numFmtId="0" fontId="97" fillId="51" borderId="37">
      <alignment vertical="center"/>
    </xf>
    <xf numFmtId="0" fontId="97" fillId="51" borderId="37">
      <alignment vertical="center"/>
    </xf>
    <xf numFmtId="0" fontId="111" fillId="42" borderId="0"/>
    <xf numFmtId="0" fontId="111" fillId="42" borderId="0"/>
    <xf numFmtId="0" fontId="111" fillId="0" borderId="0"/>
    <xf numFmtId="0" fontId="111" fillId="0" borderId="0"/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11" fillId="0" borderId="0"/>
    <xf numFmtId="0" fontId="111" fillId="0" borderId="0"/>
    <xf numFmtId="0" fontId="97" fillId="51" borderId="37">
      <alignment vertical="center"/>
    </xf>
    <xf numFmtId="0" fontId="97" fillId="51" borderId="37">
      <alignment vertical="center"/>
    </xf>
    <xf numFmtId="0" fontId="111" fillId="0" borderId="0"/>
    <xf numFmtId="0" fontId="111" fillId="42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42" borderId="0"/>
    <xf numFmtId="0" fontId="97" fillId="51" borderId="37">
      <alignment vertical="center"/>
    </xf>
    <xf numFmtId="0" fontId="111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11" fillId="42" borderId="0"/>
    <xf numFmtId="0" fontId="111" fillId="42" borderId="0"/>
    <xf numFmtId="0" fontId="111" fillId="42" borderId="0"/>
    <xf numFmtId="178" fontId="111" fillId="42" borderId="0"/>
    <xf numFmtId="178" fontId="111" fillId="42" borderId="0"/>
    <xf numFmtId="0" fontId="111" fillId="42" borderId="0"/>
    <xf numFmtId="178" fontId="111" fillId="42" borderId="0"/>
    <xf numFmtId="0" fontId="111" fillId="42" borderId="0"/>
    <xf numFmtId="178" fontId="111" fillId="42" borderId="0"/>
    <xf numFmtId="0" fontId="111" fillId="42" borderId="0"/>
    <xf numFmtId="178" fontId="111" fillId="42" borderId="0"/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11" fillId="42" borderId="0"/>
    <xf numFmtId="0" fontId="111" fillId="42" borderId="0"/>
    <xf numFmtId="0" fontId="97" fillId="51" borderId="37">
      <alignment vertical="center"/>
    </xf>
    <xf numFmtId="0" fontId="111" fillId="42" borderId="0"/>
    <xf numFmtId="0" fontId="111" fillId="42" borderId="0"/>
    <xf numFmtId="0" fontId="111" fillId="52" borderId="0"/>
    <xf numFmtId="0" fontId="111" fillId="52" borderId="0"/>
    <xf numFmtId="0" fontId="97" fillId="51" borderId="37">
      <alignment vertical="center"/>
    </xf>
    <xf numFmtId="0" fontId="111" fillId="0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97" fillId="51" borderId="37">
      <alignment vertical="center"/>
    </xf>
    <xf numFmtId="0" fontId="111" fillId="0" borderId="0"/>
    <xf numFmtId="0" fontId="111" fillId="52" borderId="0"/>
    <xf numFmtId="0" fontId="111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11" fillId="42" borderId="0"/>
    <xf numFmtId="0" fontId="97" fillId="51" borderId="37">
      <alignment vertical="center"/>
    </xf>
    <xf numFmtId="0" fontId="111" fillId="42" borderId="0"/>
    <xf numFmtId="0" fontId="111" fillId="42" borderId="0"/>
    <xf numFmtId="0" fontId="111" fillId="42" borderId="0"/>
    <xf numFmtId="0" fontId="111" fillId="42" borderId="0"/>
    <xf numFmtId="0" fontId="111" fillId="42" borderId="0"/>
    <xf numFmtId="0" fontId="111" fillId="42" borderId="0"/>
    <xf numFmtId="0" fontId="111" fillId="42" borderId="0"/>
    <xf numFmtId="0" fontId="111" fillId="42" borderId="0"/>
    <xf numFmtId="0" fontId="111" fillId="42" borderId="0"/>
    <xf numFmtId="0" fontId="97" fillId="51" borderId="37">
      <alignment vertical="center"/>
    </xf>
    <xf numFmtId="0" fontId="111" fillId="42" borderId="0"/>
    <xf numFmtId="0" fontId="111" fillId="42" borderId="0"/>
    <xf numFmtId="0" fontId="111" fillId="42" borderId="0"/>
    <xf numFmtId="0" fontId="111" fillId="42" borderId="0"/>
    <xf numFmtId="0" fontId="111" fillId="42" borderId="0"/>
    <xf numFmtId="0" fontId="111" fillId="42" borderId="0"/>
    <xf numFmtId="0" fontId="97" fillId="51" borderId="37">
      <alignment vertical="center"/>
    </xf>
    <xf numFmtId="0" fontId="97" fillId="51" borderId="37">
      <alignment vertical="center"/>
    </xf>
    <xf numFmtId="0" fontId="111" fillId="42" borderId="0"/>
    <xf numFmtId="0" fontId="111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11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11" fillId="42" borderId="0"/>
    <xf numFmtId="0" fontId="97" fillId="51" borderId="37">
      <alignment vertical="center"/>
    </xf>
    <xf numFmtId="0" fontId="111" fillId="42" borderId="0"/>
    <xf numFmtId="0" fontId="111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11" fillId="42" borderId="0"/>
    <xf numFmtId="0" fontId="97" fillId="51" borderId="37">
      <alignment vertical="center"/>
    </xf>
    <xf numFmtId="0" fontId="111" fillId="0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11" fillId="0" borderId="0"/>
    <xf numFmtId="0" fontId="97" fillId="51" borderId="37">
      <alignment vertical="center"/>
    </xf>
    <xf numFmtId="0" fontId="111" fillId="42" borderId="0"/>
    <xf numFmtId="0" fontId="97" fillId="51" borderId="37">
      <alignment vertical="center"/>
    </xf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11" fillId="42" borderId="0"/>
    <xf numFmtId="0" fontId="18" fillId="42" borderId="0"/>
    <xf numFmtId="0" fontId="18" fillId="42" borderId="0"/>
    <xf numFmtId="0" fontId="18" fillId="42" borderId="0"/>
    <xf numFmtId="0" fontId="111" fillId="0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11" fillId="42" borderId="0"/>
    <xf numFmtId="0" fontId="111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111" fillId="0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11" fillId="42" borderId="0"/>
    <xf numFmtId="0" fontId="97" fillId="51" borderId="37">
      <alignment vertical="center"/>
    </xf>
    <xf numFmtId="0" fontId="111" fillId="42" borderId="0"/>
    <xf numFmtId="0" fontId="111" fillId="42" borderId="0"/>
    <xf numFmtId="0" fontId="111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11" fillId="42" borderId="0"/>
    <xf numFmtId="0" fontId="111" fillId="42" borderId="0"/>
    <xf numFmtId="0" fontId="97" fillId="51" borderId="37">
      <alignment vertical="center"/>
    </xf>
    <xf numFmtId="0" fontId="111" fillId="52" borderId="0"/>
    <xf numFmtId="0" fontId="111" fillId="42" borderId="0"/>
    <xf numFmtId="0" fontId="111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11" fillId="0" borderId="0"/>
    <xf numFmtId="0" fontId="97" fillId="51" borderId="37">
      <alignment vertical="center"/>
    </xf>
    <xf numFmtId="0" fontId="97" fillId="51" borderId="37">
      <alignment vertical="center"/>
    </xf>
    <xf numFmtId="0" fontId="111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11" fillId="0" borderId="0"/>
    <xf numFmtId="0" fontId="97" fillId="51" borderId="37">
      <alignment vertical="center"/>
    </xf>
    <xf numFmtId="0" fontId="111" fillId="0" borderId="0"/>
    <xf numFmtId="0" fontId="111" fillId="0" borderId="0"/>
    <xf numFmtId="0" fontId="97" fillId="51" borderId="37">
      <alignment vertical="center"/>
    </xf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97" fillId="51" borderId="37">
      <alignment vertical="center"/>
    </xf>
    <xf numFmtId="0" fontId="111" fillId="0" borderId="0"/>
    <xf numFmtId="0" fontId="111" fillId="0" borderId="0"/>
    <xf numFmtId="0" fontId="111" fillId="0" borderId="0"/>
    <xf numFmtId="0" fontId="111" fillId="0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11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11" fillId="42" borderId="0"/>
    <xf numFmtId="0" fontId="111" fillId="42" borderId="0"/>
    <xf numFmtId="0" fontId="111" fillId="0" borderId="0"/>
    <xf numFmtId="0" fontId="111" fillId="0" borderId="0"/>
    <xf numFmtId="0" fontId="111" fillId="42" borderId="0"/>
    <xf numFmtId="0" fontId="111" fillId="42" borderId="0"/>
    <xf numFmtId="178" fontId="111" fillId="42" borderId="0"/>
    <xf numFmtId="0" fontId="111" fillId="0" borderId="0"/>
    <xf numFmtId="178" fontId="111" fillId="42" borderId="0"/>
    <xf numFmtId="0" fontId="111" fillId="53" borderId="0"/>
    <xf numFmtId="0" fontId="111" fillId="0" borderId="0"/>
    <xf numFmtId="0" fontId="111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11" fillId="42" borderId="0"/>
    <xf numFmtId="0" fontId="111" fillId="42" borderId="0"/>
    <xf numFmtId="0" fontId="42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42" fillId="42" borderId="0"/>
    <xf numFmtId="178" fontId="42" fillId="42" borderId="0"/>
    <xf numFmtId="178" fontId="42" fillId="42" borderId="0"/>
    <xf numFmtId="0" fontId="42" fillId="42" borderId="0"/>
    <xf numFmtId="0" fontId="42" fillId="42" borderId="0"/>
    <xf numFmtId="178" fontId="42" fillId="42" borderId="0"/>
    <xf numFmtId="178" fontId="42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42" fillId="42" borderId="0"/>
    <xf numFmtId="0" fontId="97" fillId="51" borderId="37">
      <alignment vertical="center"/>
    </xf>
    <xf numFmtId="0" fontId="42" fillId="42" borderId="0"/>
    <xf numFmtId="0" fontId="42" fillId="42" borderId="0"/>
    <xf numFmtId="0" fontId="42" fillId="42" borderId="0"/>
    <xf numFmtId="0" fontId="97" fillId="51" borderId="37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2" fillId="42" borderId="0"/>
    <xf numFmtId="0" fontId="113" fillId="42" borderId="0"/>
    <xf numFmtId="0" fontId="42" fillId="42" borderId="0"/>
    <xf numFmtId="0" fontId="42" fillId="42" borderId="0"/>
    <xf numFmtId="0" fontId="42" fillId="42" borderId="0"/>
    <xf numFmtId="0" fontId="42" fillId="42" borderId="0"/>
    <xf numFmtId="0" fontId="42" fillId="42" borderId="0"/>
    <xf numFmtId="0" fontId="42" fillId="42" borderId="0"/>
    <xf numFmtId="0" fontId="42" fillId="0" borderId="0"/>
    <xf numFmtId="0" fontId="42" fillId="0" borderId="0"/>
    <xf numFmtId="0" fontId="42" fillId="42" borderId="0"/>
    <xf numFmtId="0" fontId="42" fillId="0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42" fillId="0" borderId="0"/>
    <xf numFmtId="0" fontId="42" fillId="0" borderId="0"/>
    <xf numFmtId="0" fontId="42" fillId="42" borderId="0"/>
    <xf numFmtId="0" fontId="97" fillId="51" borderId="37">
      <alignment vertical="center"/>
    </xf>
    <xf numFmtId="0" fontId="42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42" fillId="42" borderId="0"/>
    <xf numFmtId="0" fontId="42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42" fillId="42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2" fillId="42" borderId="0"/>
    <xf numFmtId="0" fontId="42" fillId="42" borderId="0"/>
    <xf numFmtId="0" fontId="42" fillId="0" borderId="0"/>
    <xf numFmtId="0" fontId="42" fillId="52" borderId="0"/>
    <xf numFmtId="0" fontId="42" fillId="0" borderId="0"/>
    <xf numFmtId="0" fontId="42" fillId="0" borderId="0"/>
    <xf numFmtId="0" fontId="42" fillId="42" borderId="0"/>
    <xf numFmtId="0" fontId="97" fillId="51" borderId="37">
      <alignment vertical="center"/>
    </xf>
    <xf numFmtId="0" fontId="42" fillId="42" borderId="0"/>
    <xf numFmtId="0" fontId="42" fillId="42" borderId="0"/>
    <xf numFmtId="0" fontId="42" fillId="42" borderId="0"/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42" fillId="52" borderId="0"/>
    <xf numFmtId="0" fontId="42" fillId="42" borderId="0"/>
    <xf numFmtId="0" fontId="42" fillId="42" borderId="0"/>
    <xf numFmtId="0" fontId="42" fillId="0" borderId="0"/>
    <xf numFmtId="0" fontId="42" fillId="0" borderId="0"/>
    <xf numFmtId="0" fontId="42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42" fillId="53" borderId="0"/>
    <xf numFmtId="0" fontId="42" fillId="53" borderId="0"/>
    <xf numFmtId="0" fontId="97" fillId="51" borderId="37">
      <alignment vertical="center"/>
    </xf>
    <xf numFmtId="0" fontId="42" fillId="42" borderId="0"/>
    <xf numFmtId="0" fontId="42" fillId="0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42" fillId="0" borderId="0"/>
    <xf numFmtId="0" fontId="97" fillId="51" borderId="37">
      <alignment vertical="center"/>
    </xf>
    <xf numFmtId="0" fontId="42" fillId="42" borderId="0"/>
    <xf numFmtId="0" fontId="42" fillId="0" borderId="0"/>
    <xf numFmtId="0" fontId="42" fillId="0" borderId="0"/>
    <xf numFmtId="0" fontId="97" fillId="51" borderId="37">
      <alignment vertical="center"/>
    </xf>
    <xf numFmtId="0" fontId="42" fillId="0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42" fillId="42" borderId="0"/>
    <xf numFmtId="0" fontId="42" fillId="42" borderId="0"/>
    <xf numFmtId="178" fontId="42" fillId="42" borderId="0"/>
    <xf numFmtId="178" fontId="42" fillId="42" borderId="0"/>
    <xf numFmtId="0" fontId="42" fillId="42" borderId="0"/>
    <xf numFmtId="0" fontId="42" fillId="42" borderId="0"/>
    <xf numFmtId="178" fontId="42" fillId="42" borderId="0"/>
    <xf numFmtId="178" fontId="42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0" fontId="18" fillId="42" borderId="0"/>
    <xf numFmtId="178" fontId="18" fillId="42" borderId="0"/>
    <xf numFmtId="0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42" fillId="0" borderId="0"/>
    <xf numFmtId="0" fontId="42" fillId="42" borderId="0"/>
    <xf numFmtId="0" fontId="42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178" fontId="18" fillId="42" borderId="0"/>
    <xf numFmtId="178" fontId="18" fillId="42" borderId="0"/>
    <xf numFmtId="0" fontId="42" fillId="42" borderId="0"/>
    <xf numFmtId="0" fontId="97" fillId="51" borderId="37">
      <alignment vertical="center"/>
    </xf>
    <xf numFmtId="0" fontId="42" fillId="0" borderId="0"/>
    <xf numFmtId="0" fontId="97" fillId="51" borderId="37">
      <alignment vertical="center"/>
    </xf>
    <xf numFmtId="0" fontId="97" fillId="51" borderId="37">
      <alignment vertical="center"/>
    </xf>
    <xf numFmtId="0" fontId="42" fillId="0" borderId="0"/>
    <xf numFmtId="0" fontId="42" fillId="0" borderId="0"/>
    <xf numFmtId="0" fontId="42" fillId="0" borderId="0"/>
    <xf numFmtId="0" fontId="42" fillId="0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42" fillId="0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42" fillId="0" borderId="0"/>
    <xf numFmtId="0" fontId="42" fillId="0" borderId="0"/>
    <xf numFmtId="0" fontId="97" fillId="51" borderId="37">
      <alignment vertical="center"/>
    </xf>
    <xf numFmtId="0" fontId="42" fillId="0" borderId="0"/>
    <xf numFmtId="0" fontId="97" fillId="51" borderId="37">
      <alignment vertical="center"/>
    </xf>
    <xf numFmtId="0" fontId="97" fillId="51" borderId="37">
      <alignment vertical="center"/>
    </xf>
    <xf numFmtId="0" fontId="42" fillId="0" borderId="0"/>
    <xf numFmtId="0" fontId="42" fillId="0" borderId="0"/>
    <xf numFmtId="0" fontId="97" fillId="51" borderId="37">
      <alignment vertical="center"/>
    </xf>
    <xf numFmtId="0" fontId="42" fillId="0" borderId="0"/>
    <xf numFmtId="0" fontId="97" fillId="51" borderId="37">
      <alignment vertical="center"/>
    </xf>
    <xf numFmtId="0" fontId="97" fillId="51" borderId="37">
      <alignment vertical="center"/>
    </xf>
    <xf numFmtId="0" fontId="42" fillId="0" borderId="0"/>
    <xf numFmtId="0" fontId="42" fillId="0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42" fillId="0" borderId="0"/>
    <xf numFmtId="0" fontId="42" fillId="0" borderId="0"/>
    <xf numFmtId="0" fontId="97" fillId="51" borderId="37">
      <alignment vertical="center"/>
    </xf>
    <xf numFmtId="0" fontId="97" fillId="51" borderId="37">
      <alignment vertical="center"/>
    </xf>
    <xf numFmtId="0" fontId="42" fillId="42" borderId="0"/>
    <xf numFmtId="0" fontId="42" fillId="42" borderId="0"/>
    <xf numFmtId="178" fontId="42" fillId="42" borderId="0"/>
    <xf numFmtId="178" fontId="42" fillId="42" borderId="0"/>
    <xf numFmtId="0" fontId="42" fillId="42" borderId="0"/>
    <xf numFmtId="0" fontId="42" fillId="42" borderId="0"/>
    <xf numFmtId="0" fontId="42" fillId="42" borderId="0"/>
    <xf numFmtId="0" fontId="42" fillId="42" borderId="0"/>
    <xf numFmtId="0" fontId="97" fillId="51" borderId="37">
      <alignment vertical="center"/>
    </xf>
    <xf numFmtId="0" fontId="42" fillId="0" borderId="0"/>
    <xf numFmtId="0" fontId="97" fillId="51" borderId="37">
      <alignment vertical="center"/>
    </xf>
    <xf numFmtId="0" fontId="97" fillId="51" borderId="37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2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42" fillId="42" borderId="0"/>
    <xf numFmtId="0" fontId="42" fillId="42" borderId="0"/>
    <xf numFmtId="0" fontId="42" fillId="42" borderId="0"/>
    <xf numFmtId="0" fontId="42" fillId="0" borderId="0"/>
    <xf numFmtId="0" fontId="42" fillId="0" borderId="0"/>
    <xf numFmtId="0" fontId="42" fillId="52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97" fillId="51" borderId="37">
      <alignment vertical="center"/>
    </xf>
    <xf numFmtId="0" fontId="42" fillId="0" borderId="0"/>
    <xf numFmtId="0" fontId="42" fillId="0" borderId="0"/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188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188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42" fillId="42" borderId="0"/>
    <xf numFmtId="0" fontId="42" fillId="42" borderId="0"/>
    <xf numFmtId="178" fontId="42" fillId="42" borderId="0"/>
    <xf numFmtId="178" fontId="42" fillId="42" borderId="0"/>
    <xf numFmtId="0" fontId="97" fillId="51" borderId="37">
      <alignment vertical="center"/>
    </xf>
    <xf numFmtId="0" fontId="42" fillId="0" borderId="0"/>
    <xf numFmtId="0" fontId="42" fillId="42" borderId="0"/>
    <xf numFmtId="0" fontId="42" fillId="42" borderId="0"/>
    <xf numFmtId="0" fontId="42" fillId="0" borderId="0"/>
    <xf numFmtId="0" fontId="42" fillId="42" borderId="0"/>
    <xf numFmtId="0" fontId="42" fillId="52" borderId="0"/>
    <xf numFmtId="0" fontId="42" fillId="52" borderId="0"/>
    <xf numFmtId="0" fontId="42" fillId="42" borderId="0"/>
    <xf numFmtId="0" fontId="42" fillId="42" borderId="0"/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188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188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42" fillId="0" borderId="0"/>
    <xf numFmtId="0" fontId="42" fillId="52" borderId="0"/>
    <xf numFmtId="0" fontId="97" fillId="51" borderId="37">
      <alignment vertical="center"/>
    </xf>
    <xf numFmtId="0" fontId="42" fillId="0" borderId="0"/>
    <xf numFmtId="0" fontId="42" fillId="42" borderId="0"/>
    <xf numFmtId="0" fontId="42" fillId="52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42" borderId="0"/>
    <xf numFmtId="0" fontId="42" fillId="42" borderId="0"/>
    <xf numFmtId="0" fontId="42" fillId="42" borderId="0"/>
    <xf numFmtId="0" fontId="42" fillId="0" borderId="0"/>
    <xf numFmtId="0" fontId="42" fillId="0" borderId="0"/>
    <xf numFmtId="0" fontId="97" fillId="51" borderId="37">
      <alignment vertical="center"/>
    </xf>
    <xf numFmtId="0" fontId="42" fillId="0" borderId="0"/>
    <xf numFmtId="0" fontId="42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178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178" fontId="97" fillId="51" borderId="37">
      <alignment vertical="center"/>
    </xf>
    <xf numFmtId="188" fontId="97" fillId="51" borderId="37">
      <alignment vertical="center"/>
    </xf>
    <xf numFmtId="178" fontId="97" fillId="51" borderId="37">
      <alignment vertical="center"/>
    </xf>
    <xf numFmtId="0" fontId="97" fillId="51" borderId="37">
      <alignment vertical="center"/>
    </xf>
    <xf numFmtId="178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178" fontId="97" fillId="51" borderId="37">
      <alignment vertical="center"/>
    </xf>
    <xf numFmtId="188" fontId="97" fillId="51" borderId="37">
      <alignment vertical="center"/>
    </xf>
    <xf numFmtId="178" fontId="97" fillId="51" borderId="37">
      <alignment vertical="center"/>
    </xf>
    <xf numFmtId="0" fontId="42" fillId="42" borderId="0"/>
    <xf numFmtId="0" fontId="42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2" fillId="0" borderId="0"/>
    <xf numFmtId="0" fontId="42" fillId="0" borderId="0"/>
    <xf numFmtId="0" fontId="42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2" fillId="42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2" fillId="42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2" fillId="52" borderId="0"/>
    <xf numFmtId="0" fontId="42" fillId="52" borderId="0"/>
    <xf numFmtId="0" fontId="42" fillId="52" borderId="0"/>
    <xf numFmtId="178" fontId="42" fillId="52" borderId="0"/>
    <xf numFmtId="178" fontId="42" fillId="52" borderId="0"/>
    <xf numFmtId="0" fontId="42" fillId="52" borderId="0"/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188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178" fontId="18" fillId="51" borderId="37">
      <alignment vertical="center"/>
    </xf>
    <xf numFmtId="188" fontId="18" fillId="51" borderId="37">
      <alignment vertical="center"/>
    </xf>
    <xf numFmtId="178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18" fillId="51" borderId="37">
      <alignment vertical="center"/>
    </xf>
    <xf numFmtId="0" fontId="42" fillId="42" borderId="0"/>
    <xf numFmtId="0" fontId="97" fillId="51" borderId="37">
      <alignment vertical="center"/>
    </xf>
    <xf numFmtId="0" fontId="97" fillId="51" borderId="37">
      <alignment vertical="center"/>
    </xf>
    <xf numFmtId="0" fontId="42" fillId="0" borderId="0"/>
    <xf numFmtId="0" fontId="97" fillId="51" borderId="37">
      <alignment vertical="center"/>
    </xf>
    <xf numFmtId="0" fontId="97" fillId="51" borderId="37">
      <alignment vertical="center"/>
    </xf>
    <xf numFmtId="0" fontId="42" fillId="42" borderId="0"/>
    <xf numFmtId="0" fontId="42" fillId="42" borderId="0"/>
    <xf numFmtId="0" fontId="42" fillId="0" borderId="0"/>
    <xf numFmtId="0" fontId="42" fillId="0" borderId="0"/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42" fillId="0" borderId="0"/>
    <xf numFmtId="0" fontId="42" fillId="0" borderId="0"/>
    <xf numFmtId="0" fontId="97" fillId="51" borderId="37">
      <alignment vertical="center"/>
    </xf>
    <xf numFmtId="0" fontId="97" fillId="51" borderId="37">
      <alignment vertical="center"/>
    </xf>
    <xf numFmtId="0" fontId="42" fillId="0" borderId="0"/>
    <xf numFmtId="0" fontId="42" fillId="42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42" borderId="0"/>
    <xf numFmtId="0" fontId="97" fillId="51" borderId="37">
      <alignment vertical="center"/>
    </xf>
    <xf numFmtId="0" fontId="42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42" fillId="42" borderId="0"/>
    <xf numFmtId="0" fontId="42" fillId="42" borderId="0"/>
    <xf numFmtId="0" fontId="42" fillId="42" borderId="0"/>
    <xf numFmtId="178" fontId="42" fillId="42" borderId="0"/>
    <xf numFmtId="178" fontId="42" fillId="42" borderId="0"/>
    <xf numFmtId="0" fontId="42" fillId="42" borderId="0"/>
    <xf numFmtId="178" fontId="42" fillId="42" borderId="0"/>
    <xf numFmtId="0" fontId="42" fillId="42" borderId="0"/>
    <xf numFmtId="178" fontId="42" fillId="42" borderId="0"/>
    <xf numFmtId="0" fontId="42" fillId="42" borderId="0"/>
    <xf numFmtId="178" fontId="42" fillId="42" borderId="0"/>
    <xf numFmtId="0" fontId="97" fillId="51" borderId="37">
      <alignment vertical="center"/>
    </xf>
    <xf numFmtId="0" fontId="97" fillId="51" borderId="37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42" fillId="42" borderId="0"/>
    <xf numFmtId="0" fontId="42" fillId="42" borderId="0"/>
    <xf numFmtId="0" fontId="97" fillId="51" borderId="37">
      <alignment vertical="center"/>
    </xf>
    <xf numFmtId="0" fontId="42" fillId="42" borderId="0"/>
    <xf numFmtId="0" fontId="42" fillId="42" borderId="0"/>
    <xf numFmtId="0" fontId="42" fillId="52" borderId="0"/>
    <xf numFmtId="0" fontId="42" fillId="52" borderId="0"/>
    <xf numFmtId="0" fontId="97" fillId="51" borderId="37">
      <alignment vertical="center"/>
    </xf>
    <xf numFmtId="0" fontId="42" fillId="0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97" fillId="51" borderId="37">
      <alignment vertical="center"/>
    </xf>
    <xf numFmtId="0" fontId="42" fillId="0" borderId="0"/>
    <xf numFmtId="0" fontId="42" fillId="5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42" fillId="42" borderId="0"/>
    <xf numFmtId="0" fontId="97" fillId="51" borderId="37">
      <alignment vertical="center"/>
    </xf>
    <xf numFmtId="0" fontId="42" fillId="42" borderId="0"/>
    <xf numFmtId="0" fontId="42" fillId="42" borderId="0"/>
    <xf numFmtId="0" fontId="42" fillId="42" borderId="0"/>
    <xf numFmtId="0" fontId="42" fillId="42" borderId="0"/>
    <xf numFmtId="0" fontId="42" fillId="42" borderId="0"/>
    <xf numFmtId="0" fontId="42" fillId="42" borderId="0"/>
    <xf numFmtId="0" fontId="42" fillId="42" borderId="0"/>
    <xf numFmtId="0" fontId="42" fillId="42" borderId="0"/>
    <xf numFmtId="0" fontId="42" fillId="42" borderId="0"/>
    <xf numFmtId="0" fontId="97" fillId="51" borderId="37">
      <alignment vertical="center"/>
    </xf>
    <xf numFmtId="0" fontId="42" fillId="42" borderId="0"/>
    <xf numFmtId="0" fontId="42" fillId="42" borderId="0"/>
    <xf numFmtId="0" fontId="42" fillId="42" borderId="0"/>
    <xf numFmtId="0" fontId="42" fillId="42" borderId="0"/>
    <xf numFmtId="0" fontId="42" fillId="42" borderId="0"/>
    <xf numFmtId="0" fontId="42" fillId="42" borderId="0"/>
    <xf numFmtId="0" fontId="97" fillId="51" borderId="37">
      <alignment vertical="center"/>
    </xf>
    <xf numFmtId="0" fontId="97" fillId="51" borderId="37">
      <alignment vertical="center"/>
    </xf>
    <xf numFmtId="0" fontId="42" fillId="42" borderId="0"/>
    <xf numFmtId="0" fontId="42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42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42" fillId="42" borderId="0"/>
    <xf numFmtId="0" fontId="97" fillId="51" borderId="37">
      <alignment vertical="center"/>
    </xf>
    <xf numFmtId="0" fontId="42" fillId="42" borderId="0"/>
    <xf numFmtId="0" fontId="42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42" fillId="42" borderId="0"/>
    <xf numFmtId="0" fontId="97" fillId="51" borderId="37">
      <alignment vertical="center"/>
    </xf>
    <xf numFmtId="0" fontId="42" fillId="0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42" fillId="0" borderId="0"/>
    <xf numFmtId="0" fontId="97" fillId="51" borderId="37">
      <alignment vertical="center"/>
    </xf>
    <xf numFmtId="0" fontId="42" fillId="42" borderId="0"/>
    <xf numFmtId="0" fontId="97" fillId="51" borderId="37">
      <alignment vertical="center"/>
    </xf>
    <xf numFmtId="0" fontId="38" fillId="42" borderId="0"/>
    <xf numFmtId="0" fontId="38" fillId="42" borderId="0"/>
    <xf numFmtId="178" fontId="38" fillId="42" borderId="0"/>
    <xf numFmtId="178" fontId="38" fillId="42" borderId="0"/>
    <xf numFmtId="0" fontId="83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42" borderId="0"/>
    <xf numFmtId="0" fontId="38" fillId="42" borderId="0"/>
    <xf numFmtId="0" fontId="3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38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42" borderId="0"/>
    <xf numFmtId="0" fontId="38" fillId="42" borderId="0"/>
    <xf numFmtId="0" fontId="38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42" borderId="0"/>
    <xf numFmtId="0" fontId="38" fillId="42" borderId="0"/>
    <xf numFmtId="0" fontId="38" fillId="42" borderId="0"/>
    <xf numFmtId="178" fontId="38" fillId="42" borderId="0"/>
    <xf numFmtId="0" fontId="38" fillId="42" borderId="0"/>
    <xf numFmtId="178" fontId="38" fillId="42" borderId="0"/>
    <xf numFmtId="0" fontId="38" fillId="42" borderId="0"/>
    <xf numFmtId="178" fontId="38" fillId="42" borderId="0"/>
    <xf numFmtId="0" fontId="38" fillId="42" borderId="0"/>
    <xf numFmtId="0" fontId="38" fillId="42" borderId="0"/>
    <xf numFmtId="0" fontId="42" fillId="42" borderId="0"/>
    <xf numFmtId="0" fontId="18" fillId="42" borderId="0"/>
    <xf numFmtId="0" fontId="18" fillId="42" borderId="0"/>
    <xf numFmtId="0" fontId="18" fillId="42" borderId="0"/>
    <xf numFmtId="0" fontId="42" fillId="0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42" fillId="42" borderId="0"/>
    <xf numFmtId="0" fontId="42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7">
      <alignment vertical="center"/>
    </xf>
    <xf numFmtId="0" fontId="42" fillId="0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42" fillId="42" borderId="0"/>
    <xf numFmtId="0" fontId="97" fillId="51" borderId="37">
      <alignment vertical="center"/>
    </xf>
    <xf numFmtId="0" fontId="42" fillId="42" borderId="0"/>
    <xf numFmtId="0" fontId="42" fillId="42" borderId="0"/>
    <xf numFmtId="0" fontId="42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42" fillId="42" borderId="0"/>
    <xf numFmtId="0" fontId="42" fillId="42" borderId="0"/>
    <xf numFmtId="0" fontId="97" fillId="51" borderId="37">
      <alignment vertical="center"/>
    </xf>
    <xf numFmtId="0" fontId="42" fillId="52" borderId="0"/>
    <xf numFmtId="0" fontId="42" fillId="42" borderId="0"/>
    <xf numFmtId="0" fontId="42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42" fillId="0" borderId="0"/>
    <xf numFmtId="0" fontId="97" fillId="51" borderId="37">
      <alignment vertical="center"/>
    </xf>
    <xf numFmtId="0" fontId="97" fillId="51" borderId="37">
      <alignment vertical="center"/>
    </xf>
    <xf numFmtId="0" fontId="42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42" fillId="0" borderId="0"/>
    <xf numFmtId="0" fontId="97" fillId="51" borderId="37">
      <alignment vertical="center"/>
    </xf>
    <xf numFmtId="0" fontId="42" fillId="0" borderId="0"/>
    <xf numFmtId="0" fontId="42" fillId="0" borderId="0"/>
    <xf numFmtId="0" fontId="97" fillId="51" borderId="37">
      <alignment vertical="center"/>
    </xf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97" fillId="51" borderId="37">
      <alignment vertical="center"/>
    </xf>
    <xf numFmtId="0" fontId="42" fillId="0" borderId="0"/>
    <xf numFmtId="0" fontId="42" fillId="0" borderId="0"/>
    <xf numFmtId="0" fontId="42" fillId="0" borderId="0"/>
    <xf numFmtId="0" fontId="42" fillId="0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42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42" fillId="42" borderId="0"/>
    <xf numFmtId="0" fontId="42" fillId="42" borderId="0"/>
    <xf numFmtId="0" fontId="42" fillId="0" borderId="0"/>
    <xf numFmtId="0" fontId="42" fillId="0" borderId="0"/>
    <xf numFmtId="0" fontId="42" fillId="42" borderId="0"/>
    <xf numFmtId="0" fontId="42" fillId="42" borderId="0"/>
    <xf numFmtId="178" fontId="42" fillId="42" borderId="0"/>
    <xf numFmtId="0" fontId="42" fillId="0" borderId="0"/>
    <xf numFmtId="178" fontId="42" fillId="42" borderId="0"/>
    <xf numFmtId="0" fontId="42" fillId="53" borderId="0"/>
    <xf numFmtId="0" fontId="42" fillId="0" borderId="0"/>
    <xf numFmtId="0" fontId="42" fillId="42" borderId="0"/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97" fillId="51" borderId="37">
      <alignment vertical="center"/>
    </xf>
    <xf numFmtId="0" fontId="42" fillId="42" borderId="0"/>
    <xf numFmtId="0" fontId="42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97" fillId="51" borderId="38">
      <alignment vertical="center"/>
    </xf>
    <xf numFmtId="0" fontId="97" fillId="51" borderId="38">
      <alignment vertical="center"/>
    </xf>
    <xf numFmtId="0" fontId="97" fillId="51" borderId="38">
      <alignment vertical="center"/>
    </xf>
    <xf numFmtId="0" fontId="97" fillId="51" borderId="38">
      <alignment vertical="center"/>
    </xf>
    <xf numFmtId="0" fontId="38" fillId="42" borderId="0"/>
    <xf numFmtId="0" fontId="97" fillId="51" borderId="38">
      <alignment vertical="center"/>
    </xf>
    <xf numFmtId="0" fontId="38" fillId="42" borderId="0"/>
    <xf numFmtId="0" fontId="38" fillId="42" borderId="0"/>
    <xf numFmtId="0" fontId="38" fillId="42" borderId="0"/>
    <xf numFmtId="0" fontId="97" fillId="51" borderId="38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42" borderId="0"/>
    <xf numFmtId="0" fontId="83" fillId="42" borderId="0"/>
    <xf numFmtId="0" fontId="38" fillId="42" borderId="0"/>
    <xf numFmtId="0" fontId="38" fillId="0" borderId="0"/>
    <xf numFmtId="0" fontId="38" fillId="0" borderId="0"/>
    <xf numFmtId="0" fontId="38" fillId="42" borderId="0"/>
    <xf numFmtId="0" fontId="38" fillId="0" borderId="0"/>
    <xf numFmtId="0" fontId="97" fillId="51" borderId="38">
      <alignment vertical="center"/>
    </xf>
    <xf numFmtId="0" fontId="97" fillId="51" borderId="38">
      <alignment vertical="center"/>
    </xf>
    <xf numFmtId="0" fontId="97" fillId="51" borderId="38">
      <alignment vertical="center"/>
    </xf>
    <xf numFmtId="0" fontId="97" fillId="51" borderId="38">
      <alignment vertical="center"/>
    </xf>
    <xf numFmtId="0" fontId="38" fillId="0" borderId="0"/>
    <xf numFmtId="0" fontId="38" fillId="0" borderId="0"/>
    <xf numFmtId="0" fontId="38" fillId="42" borderId="0"/>
    <xf numFmtId="0" fontId="97" fillId="51" borderId="38">
      <alignment vertical="center"/>
    </xf>
    <xf numFmtId="0" fontId="3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8">
      <alignment vertical="center"/>
    </xf>
    <xf numFmtId="0" fontId="38" fillId="42" borderId="0"/>
    <xf numFmtId="0" fontId="38" fillId="42" borderId="0"/>
    <xf numFmtId="0" fontId="38" fillId="42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42" borderId="0"/>
    <xf numFmtId="0" fontId="38" fillId="42" borderId="0"/>
    <xf numFmtId="0" fontId="38" fillId="0" borderId="0"/>
    <xf numFmtId="0" fontId="38" fillId="5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0" borderId="0"/>
    <xf numFmtId="0" fontId="38" fillId="0" borderId="0"/>
    <xf numFmtId="0" fontId="97" fillId="51" borderId="38">
      <alignment vertical="center"/>
    </xf>
    <xf numFmtId="0" fontId="38" fillId="42" borderId="0"/>
    <xf numFmtId="0" fontId="38" fillId="42" borderId="0"/>
    <xf numFmtId="0" fontId="38" fillId="42" borderId="0"/>
    <xf numFmtId="0" fontId="97" fillId="51" borderId="38">
      <alignment vertical="center"/>
    </xf>
    <xf numFmtId="0" fontId="38" fillId="52" borderId="0"/>
    <xf numFmtId="0" fontId="38" fillId="42" borderId="0"/>
    <xf numFmtId="0" fontId="38" fillId="42" borderId="0"/>
    <xf numFmtId="0" fontId="38" fillId="0" borderId="0"/>
    <xf numFmtId="0" fontId="38" fillId="0" borderId="0"/>
    <xf numFmtId="0" fontId="38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42" borderId="0"/>
    <xf numFmtId="0" fontId="38" fillId="42" borderId="0"/>
    <xf numFmtId="0" fontId="38" fillId="42" borderId="0"/>
    <xf numFmtId="0" fontId="38" fillId="53" borderId="0"/>
    <xf numFmtId="0" fontId="38" fillId="53" borderId="0"/>
    <xf numFmtId="0" fontId="97" fillId="51" borderId="38">
      <alignment vertical="center"/>
    </xf>
    <xf numFmtId="0" fontId="38" fillId="42" borderId="0"/>
    <xf numFmtId="0" fontId="38" fillId="0" borderId="0"/>
    <xf numFmtId="0" fontId="97" fillId="51" borderId="38">
      <alignment vertical="center"/>
    </xf>
    <xf numFmtId="0" fontId="97" fillId="51" borderId="38">
      <alignment vertical="center"/>
    </xf>
    <xf numFmtId="0" fontId="97" fillId="51" borderId="38">
      <alignment vertical="center"/>
    </xf>
    <xf numFmtId="0" fontId="38" fillId="0" borderId="0"/>
    <xf numFmtId="0" fontId="97" fillId="51" borderId="38">
      <alignment vertical="center"/>
    </xf>
    <xf numFmtId="0" fontId="38" fillId="42" borderId="0"/>
    <xf numFmtId="0" fontId="38" fillId="0" borderId="0"/>
    <xf numFmtId="0" fontId="38" fillId="0" borderId="0"/>
    <xf numFmtId="0" fontId="97" fillId="51" borderId="38">
      <alignment vertical="center"/>
    </xf>
    <xf numFmtId="0" fontId="38" fillId="0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97" fillId="51" borderId="38">
      <alignment vertical="center"/>
    </xf>
    <xf numFmtId="0" fontId="97" fillId="51" borderId="38">
      <alignment vertical="center"/>
    </xf>
    <xf numFmtId="0" fontId="97" fillId="51" borderId="38">
      <alignment vertical="center"/>
    </xf>
    <xf numFmtId="0" fontId="38" fillId="0" borderId="0"/>
    <xf numFmtId="0" fontId="38" fillId="42" borderId="0"/>
    <xf numFmtId="0" fontId="38" fillId="42" borderId="0"/>
    <xf numFmtId="0" fontId="97" fillId="51" borderId="38">
      <alignment vertical="center"/>
    </xf>
    <xf numFmtId="0" fontId="97" fillId="51" borderId="38">
      <alignment vertical="center"/>
    </xf>
    <xf numFmtId="0" fontId="97" fillId="51" borderId="38">
      <alignment vertical="center"/>
    </xf>
    <xf numFmtId="0" fontId="97" fillId="51" borderId="38">
      <alignment vertical="center"/>
    </xf>
    <xf numFmtId="0" fontId="97" fillId="51" borderId="38">
      <alignment vertical="center"/>
    </xf>
    <xf numFmtId="0" fontId="97" fillId="51" borderId="38">
      <alignment vertical="center"/>
    </xf>
    <xf numFmtId="0" fontId="38" fillId="42" borderId="0"/>
    <xf numFmtId="0" fontId="97" fillId="51" borderId="38">
      <alignment vertical="center"/>
    </xf>
    <xf numFmtId="0" fontId="38" fillId="0" borderId="0"/>
    <xf numFmtId="0" fontId="97" fillId="51" borderId="38">
      <alignment vertical="center"/>
    </xf>
    <xf numFmtId="0" fontId="97" fillId="51" borderId="38">
      <alignment vertical="center"/>
    </xf>
    <xf numFmtId="0" fontId="38" fillId="0" borderId="0"/>
    <xf numFmtId="0" fontId="38" fillId="0" borderId="0"/>
    <xf numFmtId="0" fontId="38" fillId="0" borderId="0"/>
    <xf numFmtId="0" fontId="38" fillId="0" borderId="0"/>
    <xf numFmtId="0" fontId="97" fillId="51" borderId="38">
      <alignment vertical="center"/>
    </xf>
    <xf numFmtId="0" fontId="97" fillId="51" borderId="38">
      <alignment vertical="center"/>
    </xf>
    <xf numFmtId="0" fontId="97" fillId="51" borderId="38">
      <alignment vertical="center"/>
    </xf>
    <xf numFmtId="0" fontId="38" fillId="0" borderId="0"/>
    <xf numFmtId="0" fontId="97" fillId="51" borderId="38">
      <alignment vertical="center"/>
    </xf>
    <xf numFmtId="0" fontId="97" fillId="51" borderId="38">
      <alignment vertical="center"/>
    </xf>
    <xf numFmtId="0" fontId="97" fillId="51" borderId="38">
      <alignment vertical="center"/>
    </xf>
    <xf numFmtId="0" fontId="97" fillId="51" borderId="38">
      <alignment vertical="center"/>
    </xf>
    <xf numFmtId="0" fontId="38" fillId="0" borderId="0"/>
    <xf numFmtId="0" fontId="38" fillId="0" borderId="0"/>
    <xf numFmtId="0" fontId="97" fillId="51" borderId="38">
      <alignment vertical="center"/>
    </xf>
    <xf numFmtId="0" fontId="38" fillId="0" borderId="0"/>
    <xf numFmtId="0" fontId="97" fillId="51" borderId="38">
      <alignment vertical="center"/>
    </xf>
    <xf numFmtId="0" fontId="97" fillId="51" borderId="38">
      <alignment vertical="center"/>
    </xf>
    <xf numFmtId="0" fontId="38" fillId="0" borderId="0"/>
    <xf numFmtId="0" fontId="38" fillId="0" borderId="0"/>
    <xf numFmtId="0" fontId="97" fillId="51" borderId="38">
      <alignment vertical="center"/>
    </xf>
    <xf numFmtId="0" fontId="38" fillId="0" borderId="0"/>
    <xf numFmtId="0" fontId="97" fillId="51" borderId="38">
      <alignment vertical="center"/>
    </xf>
    <xf numFmtId="0" fontId="97" fillId="51" borderId="38">
      <alignment vertical="center"/>
    </xf>
    <xf numFmtId="0" fontId="38" fillId="0" borderId="0"/>
    <xf numFmtId="0" fontId="38" fillId="0" borderId="0"/>
    <xf numFmtId="0" fontId="97" fillId="51" borderId="38">
      <alignment vertical="center"/>
    </xf>
    <xf numFmtId="0" fontId="97" fillId="51" borderId="38">
      <alignment vertical="center"/>
    </xf>
    <xf numFmtId="0" fontId="97" fillId="51" borderId="38">
      <alignment vertical="center"/>
    </xf>
    <xf numFmtId="0" fontId="97" fillId="51" borderId="38">
      <alignment vertical="center"/>
    </xf>
    <xf numFmtId="0" fontId="38" fillId="0" borderId="0"/>
    <xf numFmtId="0" fontId="38" fillId="0" borderId="0"/>
    <xf numFmtId="0" fontId="97" fillId="51" borderId="38">
      <alignment vertical="center"/>
    </xf>
    <xf numFmtId="0" fontId="97" fillId="51" borderId="38">
      <alignment vertical="center"/>
    </xf>
    <xf numFmtId="0" fontId="38" fillId="42" borderId="0"/>
    <xf numFmtId="0" fontId="38" fillId="42" borderId="0"/>
    <xf numFmtId="0" fontId="38" fillId="42" borderId="0"/>
    <xf numFmtId="0" fontId="38" fillId="42" borderId="0"/>
    <xf numFmtId="0" fontId="97" fillId="51" borderId="38">
      <alignment vertical="center"/>
    </xf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0" borderId="0"/>
    <xf numFmtId="0" fontId="97" fillId="51" borderId="38">
      <alignment vertical="center"/>
    </xf>
    <xf numFmtId="0" fontId="97" fillId="51" borderId="38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42" borderId="0"/>
    <xf numFmtId="0" fontId="38" fillId="42" borderId="0"/>
    <xf numFmtId="0" fontId="38" fillId="42" borderId="0"/>
    <xf numFmtId="0" fontId="38" fillId="42" borderId="0"/>
    <xf numFmtId="0" fontId="38" fillId="0" borderId="0"/>
    <xf numFmtId="0" fontId="38" fillId="0" borderId="0"/>
    <xf numFmtId="0" fontId="38" fillId="52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97" fillId="51" borderId="38">
      <alignment vertical="center"/>
    </xf>
    <xf numFmtId="0" fontId="38" fillId="0" borderId="0"/>
    <xf numFmtId="0" fontId="38" fillId="0" borderId="0"/>
    <xf numFmtId="0" fontId="18" fillId="51" borderId="38">
      <alignment vertical="center"/>
    </xf>
    <xf numFmtId="0" fontId="18" fillId="51" borderId="38">
      <alignment vertical="center"/>
    </xf>
    <xf numFmtId="0" fontId="18" fillId="51" borderId="38">
      <alignment vertical="center"/>
    </xf>
    <xf numFmtId="178" fontId="18" fillId="51" borderId="38">
      <alignment vertical="center"/>
    </xf>
    <xf numFmtId="0" fontId="18" fillId="51" borderId="38">
      <alignment vertical="center"/>
    </xf>
    <xf numFmtId="0" fontId="18" fillId="51" borderId="38">
      <alignment vertical="center"/>
    </xf>
    <xf numFmtId="178" fontId="18" fillId="51" borderId="38">
      <alignment vertical="center"/>
    </xf>
    <xf numFmtId="188" fontId="18" fillId="51" borderId="38">
      <alignment vertical="center"/>
    </xf>
    <xf numFmtId="178" fontId="18" fillId="51" borderId="38">
      <alignment vertical="center"/>
    </xf>
    <xf numFmtId="0" fontId="18" fillId="51" borderId="38">
      <alignment vertical="center"/>
    </xf>
    <xf numFmtId="0" fontId="18" fillId="51" borderId="38">
      <alignment vertical="center"/>
    </xf>
    <xf numFmtId="0" fontId="18" fillId="51" borderId="38">
      <alignment vertical="center"/>
    </xf>
    <xf numFmtId="178" fontId="18" fillId="51" borderId="38">
      <alignment vertical="center"/>
    </xf>
    <xf numFmtId="178" fontId="18" fillId="51" borderId="38">
      <alignment vertical="center"/>
    </xf>
    <xf numFmtId="0" fontId="18" fillId="51" borderId="38">
      <alignment vertical="center"/>
    </xf>
    <xf numFmtId="0" fontId="18" fillId="51" borderId="38">
      <alignment vertical="center"/>
    </xf>
    <xf numFmtId="0" fontId="18" fillId="51" borderId="38">
      <alignment vertical="center"/>
    </xf>
    <xf numFmtId="178" fontId="18" fillId="51" borderId="38">
      <alignment vertical="center"/>
    </xf>
    <xf numFmtId="188" fontId="18" fillId="51" borderId="38">
      <alignment vertical="center"/>
    </xf>
    <xf numFmtId="178" fontId="18" fillId="51" borderId="38">
      <alignment vertical="center"/>
    </xf>
    <xf numFmtId="0" fontId="18" fillId="51" borderId="38">
      <alignment vertical="center"/>
    </xf>
    <xf numFmtId="0" fontId="18" fillId="51" borderId="38">
      <alignment vertical="center"/>
    </xf>
    <xf numFmtId="0" fontId="18" fillId="51" borderId="38">
      <alignment vertical="center"/>
    </xf>
    <xf numFmtId="0" fontId="18" fillId="51" borderId="38">
      <alignment vertical="center"/>
    </xf>
    <xf numFmtId="0" fontId="97" fillId="51" borderId="38">
      <alignment vertical="center"/>
    </xf>
    <xf numFmtId="0" fontId="38" fillId="0" borderId="0"/>
    <xf numFmtId="0" fontId="38" fillId="42" borderId="0"/>
    <xf numFmtId="0" fontId="38" fillId="42" borderId="0"/>
    <xf numFmtId="0" fontId="38" fillId="0" borderId="0"/>
    <xf numFmtId="0" fontId="38" fillId="42" borderId="0"/>
    <xf numFmtId="0" fontId="38" fillId="52" borderId="0"/>
    <xf numFmtId="0" fontId="38" fillId="52" borderId="0"/>
    <xf numFmtId="0" fontId="38" fillId="42" borderId="0"/>
    <xf numFmtId="0" fontId="38" fillId="42" borderId="0"/>
    <xf numFmtId="0" fontId="18" fillId="51" borderId="38">
      <alignment vertical="center"/>
    </xf>
    <xf numFmtId="0" fontId="18" fillId="51" borderId="38">
      <alignment vertical="center"/>
    </xf>
    <xf numFmtId="0" fontId="18" fillId="51" borderId="38">
      <alignment vertical="center"/>
    </xf>
    <xf numFmtId="178" fontId="18" fillId="51" borderId="38">
      <alignment vertical="center"/>
    </xf>
    <xf numFmtId="0" fontId="18" fillId="51" borderId="38">
      <alignment vertical="center"/>
    </xf>
    <xf numFmtId="0" fontId="18" fillId="51" borderId="38">
      <alignment vertical="center"/>
    </xf>
    <xf numFmtId="178" fontId="18" fillId="51" borderId="38">
      <alignment vertical="center"/>
    </xf>
    <xf numFmtId="188" fontId="18" fillId="51" borderId="38">
      <alignment vertical="center"/>
    </xf>
    <xf numFmtId="178" fontId="18" fillId="51" borderId="38">
      <alignment vertical="center"/>
    </xf>
    <xf numFmtId="0" fontId="18" fillId="51" borderId="38">
      <alignment vertical="center"/>
    </xf>
    <xf numFmtId="0" fontId="18" fillId="51" borderId="38">
      <alignment vertical="center"/>
    </xf>
    <xf numFmtId="0" fontId="18" fillId="51" borderId="38">
      <alignment vertical="center"/>
    </xf>
    <xf numFmtId="178" fontId="18" fillId="51" borderId="38">
      <alignment vertical="center"/>
    </xf>
    <xf numFmtId="178" fontId="18" fillId="51" borderId="38">
      <alignment vertical="center"/>
    </xf>
    <xf numFmtId="0" fontId="18" fillId="51" borderId="38">
      <alignment vertical="center"/>
    </xf>
    <xf numFmtId="0" fontId="18" fillId="51" borderId="38">
      <alignment vertical="center"/>
    </xf>
    <xf numFmtId="0" fontId="18" fillId="51" borderId="38">
      <alignment vertical="center"/>
    </xf>
    <xf numFmtId="178" fontId="18" fillId="51" borderId="38">
      <alignment vertical="center"/>
    </xf>
    <xf numFmtId="188" fontId="18" fillId="51" borderId="38">
      <alignment vertical="center"/>
    </xf>
    <xf numFmtId="178" fontId="18" fillId="51" borderId="38">
      <alignment vertical="center"/>
    </xf>
    <xf numFmtId="0" fontId="18" fillId="51" borderId="38">
      <alignment vertical="center"/>
    </xf>
    <xf numFmtId="0" fontId="18" fillId="51" borderId="38">
      <alignment vertical="center"/>
    </xf>
    <xf numFmtId="0" fontId="18" fillId="51" borderId="38">
      <alignment vertical="center"/>
    </xf>
    <xf numFmtId="0" fontId="18" fillId="51" borderId="38">
      <alignment vertical="center"/>
    </xf>
    <xf numFmtId="0" fontId="38" fillId="0" borderId="0"/>
    <xf numFmtId="0" fontId="38" fillId="52" borderId="0"/>
    <xf numFmtId="0" fontId="97" fillId="51" borderId="38">
      <alignment vertical="center"/>
    </xf>
    <xf numFmtId="0" fontId="38" fillId="0" borderId="0"/>
    <xf numFmtId="0" fontId="38" fillId="42" borderId="0"/>
    <xf numFmtId="0" fontId="38" fillId="52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42" borderId="0"/>
    <xf numFmtId="0" fontId="38" fillId="42" borderId="0"/>
    <xf numFmtId="0" fontId="38" fillId="42" borderId="0"/>
    <xf numFmtId="0" fontId="38" fillId="0" borderId="0"/>
    <xf numFmtId="0" fontId="38" fillId="0" borderId="0"/>
    <xf numFmtId="0" fontId="97" fillId="51" borderId="38">
      <alignment vertical="center"/>
    </xf>
    <xf numFmtId="0" fontId="38" fillId="0" borderId="0"/>
    <xf numFmtId="0" fontId="38" fillId="42" borderId="0"/>
    <xf numFmtId="0" fontId="97" fillId="51" borderId="38">
      <alignment vertical="center"/>
    </xf>
    <xf numFmtId="0" fontId="97" fillId="51" borderId="38">
      <alignment vertical="center"/>
    </xf>
    <xf numFmtId="0" fontId="97" fillId="51" borderId="38">
      <alignment vertical="center"/>
    </xf>
    <xf numFmtId="178" fontId="97" fillId="51" borderId="38">
      <alignment vertical="center"/>
    </xf>
    <xf numFmtId="0" fontId="97" fillId="51" borderId="38">
      <alignment vertical="center"/>
    </xf>
    <xf numFmtId="0" fontId="97" fillId="51" borderId="38">
      <alignment vertical="center"/>
    </xf>
    <xf numFmtId="178" fontId="97" fillId="51" borderId="38">
      <alignment vertical="center"/>
    </xf>
    <xf numFmtId="188" fontId="97" fillId="51" borderId="38">
      <alignment vertical="center"/>
    </xf>
    <xf numFmtId="178" fontId="97" fillId="51" borderId="38">
      <alignment vertical="center"/>
    </xf>
    <xf numFmtId="0" fontId="97" fillId="51" borderId="38">
      <alignment vertical="center"/>
    </xf>
    <xf numFmtId="0" fontId="97" fillId="51" borderId="38">
      <alignment vertical="center"/>
    </xf>
    <xf numFmtId="0" fontId="97" fillId="51" borderId="38">
      <alignment vertical="center"/>
    </xf>
    <xf numFmtId="178" fontId="97" fillId="51" borderId="38">
      <alignment vertical="center"/>
    </xf>
    <xf numFmtId="178" fontId="97" fillId="51" borderId="38">
      <alignment vertical="center"/>
    </xf>
    <xf numFmtId="0" fontId="97" fillId="51" borderId="38">
      <alignment vertical="center"/>
    </xf>
    <xf numFmtId="0" fontId="97" fillId="51" borderId="38">
      <alignment vertical="center"/>
    </xf>
    <xf numFmtId="178" fontId="97" fillId="51" borderId="38">
      <alignment vertical="center"/>
    </xf>
    <xf numFmtId="188" fontId="97" fillId="51" borderId="38">
      <alignment vertical="center"/>
    </xf>
    <xf numFmtId="178" fontId="97" fillId="51" borderId="38">
      <alignment vertical="center"/>
    </xf>
    <xf numFmtId="0" fontId="38" fillId="42" borderId="0"/>
    <xf numFmtId="0" fontId="3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0" borderId="0"/>
    <xf numFmtId="0" fontId="38" fillId="0" borderId="0"/>
    <xf numFmtId="0" fontId="3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42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42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52" borderId="0"/>
    <xf numFmtId="0" fontId="38" fillId="52" borderId="0"/>
    <xf numFmtId="0" fontId="38" fillId="52" borderId="0"/>
    <xf numFmtId="178" fontId="38" fillId="52" borderId="0"/>
    <xf numFmtId="178" fontId="38" fillId="52" borderId="0"/>
    <xf numFmtId="0" fontId="38" fillId="52" borderId="0"/>
    <xf numFmtId="0" fontId="38" fillId="52" borderId="0"/>
    <xf numFmtId="178" fontId="38" fillId="52" borderId="0"/>
    <xf numFmtId="178" fontId="38" fillId="52" borderId="0"/>
    <xf numFmtId="0" fontId="38" fillId="52" borderId="0"/>
    <xf numFmtId="0" fontId="38" fillId="52" borderId="0"/>
    <xf numFmtId="178" fontId="38" fillId="52" borderId="0"/>
    <xf numFmtId="178" fontId="38" fillId="52" borderId="0"/>
    <xf numFmtId="0" fontId="38" fillId="52" borderId="0"/>
    <xf numFmtId="0" fontId="38" fillId="52" borderId="0"/>
    <xf numFmtId="178" fontId="38" fillId="52" borderId="0"/>
    <xf numFmtId="178" fontId="38" fillId="52" borderId="0"/>
    <xf numFmtId="0" fontId="38" fillId="52" borderId="0"/>
    <xf numFmtId="0" fontId="38" fillId="52" borderId="0"/>
    <xf numFmtId="178" fontId="38" fillId="52" borderId="0"/>
    <xf numFmtId="178" fontId="38" fillId="52" borderId="0"/>
    <xf numFmtId="0" fontId="38" fillId="52" borderId="0"/>
    <xf numFmtId="0" fontId="38" fillId="52" borderId="0"/>
    <xf numFmtId="178" fontId="38" fillId="52" borderId="0"/>
    <xf numFmtId="178" fontId="38" fillId="52" borderId="0"/>
    <xf numFmtId="0" fontId="38" fillId="52" borderId="0"/>
    <xf numFmtId="0" fontId="38" fillId="52" borderId="0"/>
    <xf numFmtId="178" fontId="38" fillId="52" borderId="0"/>
    <xf numFmtId="178" fontId="38" fillId="52" borderId="0"/>
    <xf numFmtId="0" fontId="38" fillId="52" borderId="0"/>
    <xf numFmtId="0" fontId="38" fillId="52" borderId="0"/>
    <xf numFmtId="178" fontId="38" fillId="52" borderId="0"/>
    <xf numFmtId="178" fontId="38" fillId="52" borderId="0"/>
    <xf numFmtId="0" fontId="38" fillId="52" borderId="0"/>
    <xf numFmtId="0" fontId="38" fillId="52" borderId="0"/>
    <xf numFmtId="178" fontId="38" fillId="52" borderId="0"/>
    <xf numFmtId="178" fontId="38" fillId="52" borderId="0"/>
    <xf numFmtId="0" fontId="38" fillId="52" borderId="0"/>
    <xf numFmtId="0" fontId="38" fillId="52" borderId="0"/>
    <xf numFmtId="178" fontId="38" fillId="52" borderId="0"/>
    <xf numFmtId="178" fontId="38" fillId="52" borderId="0"/>
    <xf numFmtId="0" fontId="38" fillId="52" borderId="0"/>
    <xf numFmtId="0" fontId="38" fillId="52" borderId="0"/>
    <xf numFmtId="178" fontId="38" fillId="52" borderId="0"/>
    <xf numFmtId="178" fontId="38" fillId="52" borderId="0"/>
    <xf numFmtId="0" fontId="38" fillId="52" borderId="0"/>
    <xf numFmtId="0" fontId="38" fillId="52" borderId="0"/>
    <xf numFmtId="178" fontId="38" fillId="52" borderId="0"/>
    <xf numFmtId="178" fontId="38" fillId="52" borderId="0"/>
    <xf numFmtId="0" fontId="38" fillId="52" borderId="0"/>
    <xf numFmtId="0" fontId="38" fillId="52" borderId="0"/>
    <xf numFmtId="178" fontId="38" fillId="52" borderId="0"/>
    <xf numFmtId="178" fontId="38" fillId="52" borderId="0"/>
    <xf numFmtId="0" fontId="38" fillId="52" borderId="0"/>
    <xf numFmtId="0" fontId="38" fillId="52" borderId="0"/>
    <xf numFmtId="178" fontId="38" fillId="52" borderId="0"/>
    <xf numFmtId="178" fontId="38" fillId="52" borderId="0"/>
    <xf numFmtId="0" fontId="38" fillId="52" borderId="0"/>
    <xf numFmtId="0" fontId="38" fillId="52" borderId="0"/>
    <xf numFmtId="178" fontId="38" fillId="52" borderId="0"/>
    <xf numFmtId="178" fontId="38" fillId="52" borderId="0"/>
    <xf numFmtId="0" fontId="38" fillId="52" borderId="0"/>
    <xf numFmtId="0" fontId="38" fillId="52" borderId="0"/>
    <xf numFmtId="178" fontId="38" fillId="52" borderId="0"/>
    <xf numFmtId="178" fontId="38" fillId="52" borderId="0"/>
    <xf numFmtId="0" fontId="38" fillId="52" borderId="0"/>
    <xf numFmtId="0" fontId="38" fillId="52" borderId="0"/>
    <xf numFmtId="178" fontId="38" fillId="52" borderId="0"/>
    <xf numFmtId="178" fontId="38" fillId="52" borderId="0"/>
    <xf numFmtId="0" fontId="38" fillId="52" borderId="0"/>
    <xf numFmtId="0" fontId="38" fillId="52" borderId="0"/>
    <xf numFmtId="178" fontId="38" fillId="52" borderId="0"/>
    <xf numFmtId="178" fontId="38" fillId="52" borderId="0"/>
    <xf numFmtId="0" fontId="38" fillId="52" borderId="0"/>
    <xf numFmtId="0" fontId="38" fillId="52" borderId="0"/>
    <xf numFmtId="178" fontId="38" fillId="52" borderId="0"/>
    <xf numFmtId="178" fontId="38" fillId="52" borderId="0"/>
    <xf numFmtId="0" fontId="38" fillId="52" borderId="0"/>
    <xf numFmtId="0" fontId="38" fillId="52" borderId="0"/>
    <xf numFmtId="178" fontId="38" fillId="52" borderId="0"/>
    <xf numFmtId="178" fontId="38" fillId="52" borderId="0"/>
    <xf numFmtId="0" fontId="38" fillId="52" borderId="0"/>
    <xf numFmtId="0" fontId="18" fillId="51" borderId="38">
      <alignment vertical="center"/>
    </xf>
    <xf numFmtId="0" fontId="18" fillId="51" borderId="38">
      <alignment vertical="center"/>
    </xf>
    <xf numFmtId="0" fontId="18" fillId="51" borderId="38">
      <alignment vertical="center"/>
    </xf>
    <xf numFmtId="178" fontId="18" fillId="51" borderId="38">
      <alignment vertical="center"/>
    </xf>
    <xf numFmtId="0" fontId="18" fillId="51" borderId="38">
      <alignment vertical="center"/>
    </xf>
    <xf numFmtId="0" fontId="18" fillId="51" borderId="38">
      <alignment vertical="center"/>
    </xf>
    <xf numFmtId="178" fontId="18" fillId="51" borderId="38">
      <alignment vertical="center"/>
    </xf>
    <xf numFmtId="188" fontId="18" fillId="51" borderId="38">
      <alignment vertical="center"/>
    </xf>
    <xf numFmtId="178" fontId="18" fillId="51" borderId="38">
      <alignment vertical="center"/>
    </xf>
    <xf numFmtId="0" fontId="18" fillId="51" borderId="38">
      <alignment vertical="center"/>
    </xf>
    <xf numFmtId="0" fontId="18" fillId="51" borderId="38">
      <alignment vertical="center"/>
    </xf>
    <xf numFmtId="0" fontId="18" fillId="51" borderId="38">
      <alignment vertical="center"/>
    </xf>
    <xf numFmtId="178" fontId="18" fillId="51" borderId="38">
      <alignment vertical="center"/>
    </xf>
    <xf numFmtId="178" fontId="18" fillId="51" borderId="38">
      <alignment vertical="center"/>
    </xf>
    <xf numFmtId="0" fontId="18" fillId="51" borderId="38">
      <alignment vertical="center"/>
    </xf>
    <xf numFmtId="0" fontId="18" fillId="51" borderId="38">
      <alignment vertical="center"/>
    </xf>
    <xf numFmtId="0" fontId="18" fillId="51" borderId="38">
      <alignment vertical="center"/>
    </xf>
    <xf numFmtId="178" fontId="18" fillId="51" borderId="38">
      <alignment vertical="center"/>
    </xf>
    <xf numFmtId="188" fontId="18" fillId="51" borderId="38">
      <alignment vertical="center"/>
    </xf>
    <xf numFmtId="178" fontId="18" fillId="51" borderId="38">
      <alignment vertical="center"/>
    </xf>
    <xf numFmtId="0" fontId="18" fillId="51" borderId="38">
      <alignment vertical="center"/>
    </xf>
    <xf numFmtId="0" fontId="18" fillId="51" borderId="38">
      <alignment vertical="center"/>
    </xf>
    <xf numFmtId="0" fontId="18" fillId="51" borderId="38">
      <alignment vertical="center"/>
    </xf>
    <xf numFmtId="0" fontId="18" fillId="51" borderId="38">
      <alignment vertical="center"/>
    </xf>
    <xf numFmtId="0" fontId="38" fillId="42" borderId="0"/>
    <xf numFmtId="0" fontId="97" fillId="51" borderId="38">
      <alignment vertical="center"/>
    </xf>
    <xf numFmtId="0" fontId="97" fillId="51" borderId="38">
      <alignment vertical="center"/>
    </xf>
    <xf numFmtId="0" fontId="38" fillId="0" borderId="0"/>
    <xf numFmtId="0" fontId="97" fillId="51" borderId="38">
      <alignment vertical="center"/>
    </xf>
    <xf numFmtId="0" fontId="97" fillId="51" borderId="38">
      <alignment vertical="center"/>
    </xf>
    <xf numFmtId="0" fontId="38" fillId="42" borderId="0"/>
    <xf numFmtId="0" fontId="38" fillId="42" borderId="0"/>
    <xf numFmtId="0" fontId="38" fillId="0" borderId="0"/>
    <xf numFmtId="0" fontId="38" fillId="0" borderId="0"/>
    <xf numFmtId="0" fontId="97" fillId="51" borderId="38">
      <alignment vertical="center"/>
    </xf>
    <xf numFmtId="0" fontId="97" fillId="51" borderId="38">
      <alignment vertical="center"/>
    </xf>
    <xf numFmtId="0" fontId="38" fillId="0" borderId="0"/>
    <xf numFmtId="0" fontId="38" fillId="0" borderId="0"/>
    <xf numFmtId="0" fontId="97" fillId="51" borderId="38">
      <alignment vertical="center"/>
    </xf>
    <xf numFmtId="0" fontId="97" fillId="51" borderId="38">
      <alignment vertical="center"/>
    </xf>
    <xf numFmtId="0" fontId="38" fillId="0" borderId="0"/>
    <xf numFmtId="0" fontId="38" fillId="42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42" borderId="0"/>
    <xf numFmtId="0" fontId="97" fillId="51" borderId="38">
      <alignment vertical="center"/>
    </xf>
    <xf numFmtId="0" fontId="38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97" fillId="51" borderId="38">
      <alignment vertical="center"/>
    </xf>
    <xf numFmtId="0" fontId="97" fillId="51" borderId="38">
      <alignment vertical="center"/>
    </xf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42" borderId="0"/>
    <xf numFmtId="0" fontId="38" fillId="42" borderId="0"/>
    <xf numFmtId="0" fontId="97" fillId="51" borderId="38">
      <alignment vertical="center"/>
    </xf>
    <xf numFmtId="0" fontId="38" fillId="42" borderId="0"/>
    <xf numFmtId="0" fontId="38" fillId="42" borderId="0"/>
    <xf numFmtId="0" fontId="38" fillId="52" borderId="0"/>
    <xf numFmtId="0" fontId="38" fillId="52" borderId="0"/>
    <xf numFmtId="0" fontId="97" fillId="51" borderId="38">
      <alignment vertical="center"/>
    </xf>
    <xf numFmtId="0" fontId="38" fillId="0" borderId="0"/>
    <xf numFmtId="0" fontId="97" fillId="51" borderId="38">
      <alignment vertical="center"/>
    </xf>
    <xf numFmtId="0" fontId="38" fillId="0" borderId="0"/>
    <xf numFmtId="0" fontId="38" fillId="52" borderId="0"/>
    <xf numFmtId="0" fontId="97" fillId="51" borderId="38">
      <alignment vertical="center"/>
    </xf>
    <xf numFmtId="0" fontId="97" fillId="51" borderId="38">
      <alignment vertical="center"/>
    </xf>
    <xf numFmtId="0" fontId="97" fillId="51" borderId="38">
      <alignment vertical="center"/>
    </xf>
    <xf numFmtId="0" fontId="97" fillId="51" borderId="38">
      <alignment vertical="center"/>
    </xf>
    <xf numFmtId="0" fontId="38" fillId="42" borderId="0"/>
    <xf numFmtId="0" fontId="97" fillId="51" borderId="38">
      <alignment vertical="center"/>
    </xf>
    <xf numFmtId="0" fontId="38" fillId="42" borderId="0"/>
    <xf numFmtId="0" fontId="38" fillId="42" borderId="0"/>
    <xf numFmtId="0" fontId="38" fillId="42" borderId="0"/>
    <xf numFmtId="0" fontId="38" fillId="42" borderId="0"/>
    <xf numFmtId="0" fontId="38" fillId="42" borderId="0"/>
    <xf numFmtId="0" fontId="38" fillId="42" borderId="0"/>
    <xf numFmtId="0" fontId="38" fillId="42" borderId="0"/>
    <xf numFmtId="0" fontId="38" fillId="42" borderId="0"/>
    <xf numFmtId="0" fontId="38" fillId="42" borderId="0"/>
    <xf numFmtId="0" fontId="97" fillId="51" borderId="38">
      <alignment vertical="center"/>
    </xf>
    <xf numFmtId="0" fontId="38" fillId="42" borderId="0"/>
    <xf numFmtId="0" fontId="38" fillId="42" borderId="0"/>
    <xf numFmtId="0" fontId="38" fillId="42" borderId="0"/>
    <xf numFmtId="0" fontId="38" fillId="42" borderId="0"/>
    <xf numFmtId="0" fontId="38" fillId="42" borderId="0"/>
    <xf numFmtId="0" fontId="38" fillId="42" borderId="0"/>
    <xf numFmtId="0" fontId="97" fillId="51" borderId="38">
      <alignment vertical="center"/>
    </xf>
    <xf numFmtId="0" fontId="97" fillId="51" borderId="38">
      <alignment vertical="center"/>
    </xf>
    <xf numFmtId="0" fontId="38" fillId="42" borderId="0"/>
    <xf numFmtId="0" fontId="38" fillId="42" borderId="0"/>
    <xf numFmtId="0" fontId="97" fillId="51" borderId="38">
      <alignment vertical="center"/>
    </xf>
    <xf numFmtId="0" fontId="97" fillId="51" borderId="38">
      <alignment vertical="center"/>
    </xf>
    <xf numFmtId="0" fontId="97" fillId="51" borderId="38">
      <alignment vertical="center"/>
    </xf>
    <xf numFmtId="0" fontId="38" fillId="42" borderId="0"/>
    <xf numFmtId="0" fontId="97" fillId="51" borderId="38">
      <alignment vertical="center"/>
    </xf>
    <xf numFmtId="0" fontId="97" fillId="51" borderId="38">
      <alignment vertical="center"/>
    </xf>
    <xf numFmtId="0" fontId="97" fillId="51" borderId="38">
      <alignment vertical="center"/>
    </xf>
    <xf numFmtId="0" fontId="38" fillId="42" borderId="0"/>
    <xf numFmtId="0" fontId="97" fillId="51" borderId="38">
      <alignment vertical="center"/>
    </xf>
    <xf numFmtId="0" fontId="38" fillId="42" borderId="0"/>
    <xf numFmtId="0" fontId="38" fillId="42" borderId="0"/>
    <xf numFmtId="0" fontId="97" fillId="51" borderId="38">
      <alignment vertical="center"/>
    </xf>
    <xf numFmtId="0" fontId="97" fillId="51" borderId="38">
      <alignment vertical="center"/>
    </xf>
    <xf numFmtId="0" fontId="97" fillId="51" borderId="38">
      <alignment vertical="center"/>
    </xf>
    <xf numFmtId="0" fontId="97" fillId="51" borderId="38">
      <alignment vertical="center"/>
    </xf>
    <xf numFmtId="0" fontId="38" fillId="42" borderId="0"/>
    <xf numFmtId="0" fontId="97" fillId="51" borderId="38">
      <alignment vertical="center"/>
    </xf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0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8">
      <alignment vertical="center"/>
    </xf>
    <xf numFmtId="0" fontId="38" fillId="0" borderId="0"/>
    <xf numFmtId="0" fontId="97" fillId="51" borderId="38">
      <alignment vertical="center"/>
    </xf>
    <xf numFmtId="0" fontId="38" fillId="42" borderId="0"/>
    <xf numFmtId="0" fontId="97" fillId="51" borderId="38">
      <alignment vertical="center"/>
    </xf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14" fillId="42" borderId="0"/>
    <xf numFmtId="0" fontId="18" fillId="42" borderId="0"/>
    <xf numFmtId="0" fontId="18" fillId="42" borderId="0"/>
    <xf numFmtId="0" fontId="18" fillId="42" borderId="0"/>
    <xf numFmtId="0" fontId="114" fillId="42" borderId="0"/>
    <xf numFmtId="0" fontId="114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14" fillId="42" borderId="0"/>
    <xf numFmtId="0" fontId="114" fillId="42" borderId="0"/>
    <xf numFmtId="0" fontId="114" fillId="42" borderId="0"/>
    <xf numFmtId="0" fontId="114" fillId="42" borderId="0"/>
    <xf numFmtId="0" fontId="18" fillId="42" borderId="0"/>
    <xf numFmtId="0" fontId="114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14" fillId="42" borderId="0"/>
    <xf numFmtId="0" fontId="114" fillId="42" borderId="0"/>
    <xf numFmtId="0" fontId="114" fillId="42" borderId="0"/>
    <xf numFmtId="0" fontId="114" fillId="42" borderId="0"/>
    <xf numFmtId="0" fontId="18" fillId="42" borderId="0"/>
    <xf numFmtId="0" fontId="114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14" fillId="42" borderId="0"/>
    <xf numFmtId="0" fontId="114" fillId="42" borderId="0"/>
    <xf numFmtId="0" fontId="114" fillId="42" borderId="0"/>
    <xf numFmtId="0" fontId="114" fillId="42" borderId="0"/>
    <xf numFmtId="0" fontId="114" fillId="42" borderId="0"/>
    <xf numFmtId="0" fontId="18" fillId="42" borderId="0"/>
    <xf numFmtId="0" fontId="114" fillId="42" borderId="0"/>
    <xf numFmtId="0" fontId="114" fillId="42" borderId="0"/>
    <xf numFmtId="0" fontId="114" fillId="42" borderId="0"/>
    <xf numFmtId="0" fontId="114" fillId="42" borderId="0"/>
    <xf numFmtId="0" fontId="114" fillId="42" borderId="0"/>
    <xf numFmtId="0" fontId="114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14" fillId="42" borderId="0"/>
    <xf numFmtId="0" fontId="114" fillId="42" borderId="0"/>
    <xf numFmtId="0" fontId="114" fillId="42" borderId="0"/>
    <xf numFmtId="0" fontId="18" fillId="42" borderId="0"/>
    <xf numFmtId="0" fontId="114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14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14" fillId="42" borderId="0"/>
    <xf numFmtId="178" fontId="114" fillId="42" borderId="0"/>
    <xf numFmtId="178" fontId="114" fillId="42" borderId="0"/>
    <xf numFmtId="0" fontId="114" fillId="42" borderId="0"/>
    <xf numFmtId="0" fontId="114" fillId="42" borderId="0"/>
    <xf numFmtId="178" fontId="114" fillId="42" borderId="0"/>
    <xf numFmtId="178" fontId="114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15" fillId="42" borderId="0"/>
    <xf numFmtId="0" fontId="114" fillId="42" borderId="0"/>
    <xf numFmtId="0" fontId="114" fillId="42" borderId="0"/>
    <xf numFmtId="0" fontId="114" fillId="42" borderId="0"/>
    <xf numFmtId="0" fontId="114" fillId="42" borderId="0"/>
    <xf numFmtId="0" fontId="114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14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14" fillId="42" borderId="0"/>
    <xf numFmtId="0" fontId="114" fillId="42" borderId="0"/>
    <xf numFmtId="178" fontId="114" fillId="42" borderId="0"/>
    <xf numFmtId="178" fontId="114" fillId="42" borderId="0"/>
    <xf numFmtId="0" fontId="114" fillId="42" borderId="0"/>
    <xf numFmtId="0" fontId="114" fillId="42" borderId="0"/>
    <xf numFmtId="178" fontId="114" fillId="42" borderId="0"/>
    <xf numFmtId="178" fontId="114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0" fontId="18" fillId="42" borderId="0"/>
    <xf numFmtId="178" fontId="18" fillId="42" borderId="0"/>
    <xf numFmtId="0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14" fillId="42" borderId="0"/>
    <xf numFmtId="0" fontId="114" fillId="42" borderId="0"/>
    <xf numFmtId="0" fontId="114" fillId="42" borderId="0"/>
    <xf numFmtId="178" fontId="114" fillId="42" borderId="0"/>
    <xf numFmtId="178" fontId="114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14" fillId="42" borderId="0"/>
    <xf numFmtId="0" fontId="114" fillId="42" borderId="0"/>
    <xf numFmtId="0" fontId="114" fillId="42" borderId="0"/>
    <xf numFmtId="178" fontId="114" fillId="42" borderId="0"/>
    <xf numFmtId="178" fontId="114" fillId="42" borderId="0"/>
    <xf numFmtId="0" fontId="114" fillId="42" borderId="0"/>
    <xf numFmtId="178" fontId="114" fillId="42" borderId="0"/>
    <xf numFmtId="0" fontId="114" fillId="42" borderId="0"/>
    <xf numFmtId="178" fontId="114" fillId="42" borderId="0"/>
    <xf numFmtId="0" fontId="114" fillId="42" borderId="0"/>
    <xf numFmtId="178" fontId="114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14" fillId="42" borderId="0"/>
    <xf numFmtId="0" fontId="114" fillId="42" borderId="0"/>
    <xf numFmtId="178" fontId="114" fillId="42" borderId="0"/>
    <xf numFmtId="178" fontId="114" fillId="42" borderId="0"/>
    <xf numFmtId="0" fontId="114" fillId="42" borderId="0"/>
    <xf numFmtId="0" fontId="114" fillId="42" borderId="0"/>
    <xf numFmtId="178" fontId="114" fillId="42" borderId="0"/>
    <xf numFmtId="178" fontId="114" fillId="42" borderId="0"/>
    <xf numFmtId="0" fontId="114" fillId="42" borderId="0"/>
    <xf numFmtId="0" fontId="114" fillId="42" borderId="0"/>
    <xf numFmtId="178" fontId="114" fillId="42" borderId="0"/>
    <xf numFmtId="178" fontId="114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14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14" fillId="42" borderId="0"/>
    <xf numFmtId="0" fontId="114" fillId="42" borderId="0"/>
    <xf numFmtId="0" fontId="114" fillId="42" borderId="0"/>
    <xf numFmtId="0" fontId="114" fillId="42" borderId="0"/>
    <xf numFmtId="0" fontId="18" fillId="42" borderId="0"/>
    <xf numFmtId="0" fontId="114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38" fillId="42" borderId="0"/>
    <xf numFmtId="0" fontId="18" fillId="42" borderId="0"/>
    <xf numFmtId="0" fontId="18" fillId="42" borderId="0"/>
    <xf numFmtId="0" fontId="18" fillId="42" borderId="0"/>
    <xf numFmtId="0" fontId="38" fillId="0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38" fillId="42" borderId="0"/>
    <xf numFmtId="0" fontId="3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97" fillId="51" borderId="38">
      <alignment vertical="center"/>
    </xf>
    <xf numFmtId="0" fontId="38" fillId="0" borderId="0"/>
    <xf numFmtId="0" fontId="18" fillId="42" borderId="0"/>
    <xf numFmtId="0" fontId="18" fillId="42" borderId="0"/>
    <xf numFmtId="0" fontId="18" fillId="42" borderId="0"/>
    <xf numFmtId="0" fontId="18" fillId="42" borderId="0"/>
    <xf numFmtId="0" fontId="38" fillId="42" borderId="0"/>
    <xf numFmtId="0" fontId="97" fillId="51" borderId="38">
      <alignment vertical="center"/>
    </xf>
    <xf numFmtId="0" fontId="38" fillId="42" borderId="0"/>
    <xf numFmtId="0" fontId="38" fillId="42" borderId="0"/>
    <xf numFmtId="0" fontId="38" fillId="42" borderId="0"/>
    <xf numFmtId="0" fontId="97" fillId="51" borderId="38">
      <alignment vertical="center"/>
    </xf>
    <xf numFmtId="0" fontId="97" fillId="51" borderId="38">
      <alignment vertical="center"/>
    </xf>
    <xf numFmtId="0" fontId="97" fillId="51" borderId="38">
      <alignment vertical="center"/>
    </xf>
    <xf numFmtId="0" fontId="38" fillId="42" borderId="0"/>
    <xf numFmtId="0" fontId="38" fillId="42" borderId="0"/>
    <xf numFmtId="0" fontId="97" fillId="51" borderId="38">
      <alignment vertical="center"/>
    </xf>
    <xf numFmtId="0" fontId="38" fillId="52" borderId="0"/>
    <xf numFmtId="0" fontId="38" fillId="42" borderId="0"/>
    <xf numFmtId="0" fontId="38" fillId="42" borderId="0"/>
    <xf numFmtId="0" fontId="38" fillId="42" borderId="0"/>
    <xf numFmtId="0" fontId="38" fillId="0" borderId="0"/>
    <xf numFmtId="0" fontId="97" fillId="51" borderId="38">
      <alignment vertical="center"/>
    </xf>
    <xf numFmtId="0" fontId="97" fillId="51" borderId="38">
      <alignment vertical="center"/>
    </xf>
    <xf numFmtId="0" fontId="38" fillId="42" borderId="0"/>
    <xf numFmtId="0" fontId="97" fillId="51" borderId="38">
      <alignment vertical="center"/>
    </xf>
    <xf numFmtId="0" fontId="97" fillId="51" borderId="38">
      <alignment vertical="center"/>
    </xf>
    <xf numFmtId="0" fontId="97" fillId="51" borderId="38">
      <alignment vertical="center"/>
    </xf>
    <xf numFmtId="0" fontId="97" fillId="51" borderId="38">
      <alignment vertical="center"/>
    </xf>
    <xf numFmtId="0" fontId="97" fillId="51" borderId="38">
      <alignment vertical="center"/>
    </xf>
    <xf numFmtId="0" fontId="97" fillId="51" borderId="38">
      <alignment vertical="center"/>
    </xf>
    <xf numFmtId="0" fontId="38" fillId="0" borderId="0"/>
    <xf numFmtId="0" fontId="97" fillId="51" borderId="38">
      <alignment vertical="center"/>
    </xf>
    <xf numFmtId="0" fontId="38" fillId="0" borderId="0"/>
    <xf numFmtId="0" fontId="38" fillId="0" borderId="0"/>
    <xf numFmtId="0" fontId="97" fillId="51" borderId="38">
      <alignment vertical="center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97" fillId="51" borderId="38">
      <alignment vertical="center"/>
    </xf>
    <xf numFmtId="0" fontId="38" fillId="0" borderId="0"/>
    <xf numFmtId="0" fontId="38" fillId="0" borderId="0"/>
    <xf numFmtId="0" fontId="38" fillId="0" borderId="0"/>
    <xf numFmtId="0" fontId="38" fillId="0" borderId="0"/>
    <xf numFmtId="0" fontId="97" fillId="51" borderId="38">
      <alignment vertical="center"/>
    </xf>
    <xf numFmtId="0" fontId="97" fillId="51" borderId="38">
      <alignment vertical="center"/>
    </xf>
    <xf numFmtId="0" fontId="97" fillId="51" borderId="38">
      <alignment vertical="center"/>
    </xf>
    <xf numFmtId="0" fontId="38" fillId="42" borderId="0"/>
    <xf numFmtId="0" fontId="38" fillId="42" borderId="0"/>
    <xf numFmtId="0" fontId="38" fillId="42" borderId="0"/>
    <xf numFmtId="0" fontId="38" fillId="0" borderId="0"/>
    <xf numFmtId="0" fontId="38" fillId="0" borderId="0"/>
    <xf numFmtId="0" fontId="38" fillId="0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42" borderId="0"/>
    <xf numFmtId="0" fontId="38" fillId="42" borderId="0"/>
    <xf numFmtId="0" fontId="38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42" borderId="0"/>
    <xf numFmtId="0" fontId="38" fillId="42" borderId="0"/>
    <xf numFmtId="0" fontId="38" fillId="42" borderId="0"/>
    <xf numFmtId="178" fontId="38" fillId="42" borderId="0"/>
    <xf numFmtId="0" fontId="38" fillId="42" borderId="0"/>
    <xf numFmtId="178" fontId="38" fillId="42" borderId="0"/>
    <xf numFmtId="0" fontId="38" fillId="42" borderId="0"/>
    <xf numFmtId="178" fontId="38" fillId="42" borderId="0"/>
    <xf numFmtId="0" fontId="38" fillId="42" borderId="0"/>
    <xf numFmtId="0" fontId="38" fillId="42" borderId="0"/>
    <xf numFmtId="0" fontId="38" fillId="53" borderId="0"/>
    <xf numFmtId="0" fontId="38" fillId="0" borderId="0"/>
    <xf numFmtId="0" fontId="38" fillId="42" borderId="0"/>
    <xf numFmtId="0" fontId="97" fillId="51" borderId="38">
      <alignment vertical="center"/>
    </xf>
    <xf numFmtId="0" fontId="97" fillId="51" borderId="38">
      <alignment vertical="center"/>
    </xf>
    <xf numFmtId="0" fontId="97" fillId="51" borderId="38">
      <alignment vertical="center"/>
    </xf>
    <xf numFmtId="0" fontId="97" fillId="51" borderId="38">
      <alignment vertical="center"/>
    </xf>
    <xf numFmtId="0" fontId="38" fillId="42" borderId="0"/>
    <xf numFmtId="0" fontId="38" fillId="42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9" fillId="0" borderId="0"/>
    <xf numFmtId="0" fontId="69" fillId="0" borderId="0"/>
    <xf numFmtId="178" fontId="69" fillId="0" borderId="0"/>
    <xf numFmtId="178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9" fillId="0" borderId="0"/>
    <xf numFmtId="0" fontId="64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9" fillId="0" borderId="0"/>
    <xf numFmtId="0" fontId="69" fillId="0" borderId="0"/>
    <xf numFmtId="178" fontId="69" fillId="0" borderId="0"/>
    <xf numFmtId="178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178" fontId="69" fillId="0" borderId="0"/>
    <xf numFmtId="178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8" fontId="18" fillId="0" borderId="0"/>
    <xf numFmtId="0" fontId="18" fillId="0" borderId="0"/>
    <xf numFmtId="178" fontId="18" fillId="0" borderId="0"/>
    <xf numFmtId="0" fontId="18" fillId="0" borderId="0"/>
    <xf numFmtId="178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18" fillId="0" borderId="0" applyNumberForma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89" fillId="0" borderId="0"/>
    <xf numFmtId="189" fontId="18" fillId="0" borderId="0" applyFont="0" applyFill="0" applyBorder="0" applyAlignment="0" applyProtection="0"/>
    <xf numFmtId="0" fontId="8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18" fillId="0" borderId="0" applyNumberFormat="0" applyFill="0" applyBorder="0" applyAlignment="0" applyProtection="0"/>
    <xf numFmtId="0" fontId="69" fillId="0" borderId="0"/>
    <xf numFmtId="0" fontId="69" fillId="0" borderId="0"/>
    <xf numFmtId="178" fontId="69" fillId="0" borderId="0"/>
    <xf numFmtId="178" fontId="69" fillId="0" borderId="0"/>
    <xf numFmtId="0" fontId="64" fillId="0" borderId="0"/>
    <xf numFmtId="0" fontId="63" fillId="0" borderId="0"/>
    <xf numFmtId="0" fontId="63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3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178" fontId="63" fillId="0" borderId="0"/>
    <xf numFmtId="0" fontId="63" fillId="0" borderId="0"/>
    <xf numFmtId="178" fontId="63" fillId="0" borderId="0"/>
    <xf numFmtId="0" fontId="63" fillId="0" borderId="0"/>
    <xf numFmtId="178" fontId="63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4" fillId="0" borderId="0"/>
    <xf numFmtId="0" fontId="64" fillId="0" borderId="0"/>
    <xf numFmtId="178" fontId="64" fillId="0" borderId="0"/>
    <xf numFmtId="178" fontId="64" fillId="0" borderId="0"/>
    <xf numFmtId="0" fontId="89" fillId="0" borderId="0"/>
    <xf numFmtId="0" fontId="90" fillId="0" borderId="0"/>
    <xf numFmtId="0" fontId="18" fillId="0" borderId="0"/>
    <xf numFmtId="0" fontId="18" fillId="0" borderId="0"/>
    <xf numFmtId="0" fontId="64" fillId="0" borderId="0"/>
    <xf numFmtId="0" fontId="64" fillId="0" borderId="0"/>
    <xf numFmtId="0" fontId="63" fillId="0" borderId="0"/>
    <xf numFmtId="0" fontId="63" fillId="0" borderId="0"/>
    <xf numFmtId="0" fontId="38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67" fillId="0" borderId="0" applyFont="0" applyFill="0" applyBorder="0" applyAlignment="0" applyProtection="0"/>
    <xf numFmtId="0" fontId="67" fillId="0" borderId="0" applyFont="0" applyFill="0" applyBorder="0" applyAlignment="0" applyProtection="0"/>
    <xf numFmtId="178" fontId="67" fillId="0" borderId="0" applyFont="0" applyFill="0" applyBorder="0" applyAlignment="0" applyProtection="0"/>
    <xf numFmtId="178" fontId="67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2" fontId="67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67" fillId="0" borderId="0" applyFont="0" applyFill="0" applyBorder="0" applyAlignment="0" applyProtection="0"/>
    <xf numFmtId="178" fontId="67" fillId="0" borderId="0" applyFont="0" applyFill="0" applyBorder="0" applyAlignment="0" applyProtection="0"/>
    <xf numFmtId="178" fontId="67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67" fillId="0" borderId="0" applyFont="0" applyFill="0" applyBorder="0" applyAlignment="0" applyProtection="0"/>
    <xf numFmtId="178" fontId="67" fillId="0" borderId="0" applyFont="0" applyFill="0" applyBorder="0" applyAlignment="0" applyProtection="0"/>
    <xf numFmtId="178" fontId="67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3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63" fillId="0" borderId="0"/>
    <xf numFmtId="0" fontId="63" fillId="0" borderId="0"/>
    <xf numFmtId="178" fontId="63" fillId="0" borderId="0"/>
    <xf numFmtId="178" fontId="63" fillId="0" borderId="0"/>
    <xf numFmtId="0" fontId="18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18" fillId="0" borderId="0" applyNumberFormat="0" applyFill="0" applyBorder="0" applyAlignment="0" applyProtection="0"/>
    <xf numFmtId="0" fontId="18" fillId="0" borderId="0" applyFont="0" applyFill="0" applyBorder="0" applyAlignment="0" applyProtection="0"/>
    <xf numFmtId="0" fontId="18" fillId="0" borderId="0"/>
    <xf numFmtId="0" fontId="64" fillId="0" borderId="0"/>
    <xf numFmtId="0" fontId="64" fillId="0" borderId="0"/>
    <xf numFmtId="178" fontId="64" fillId="0" borderId="0"/>
    <xf numFmtId="178" fontId="64" fillId="0" borderId="0"/>
    <xf numFmtId="0" fontId="64" fillId="0" borderId="0"/>
    <xf numFmtId="0" fontId="64" fillId="0" borderId="0"/>
    <xf numFmtId="178" fontId="64" fillId="0" borderId="0"/>
    <xf numFmtId="178" fontId="64" fillId="0" borderId="0"/>
    <xf numFmtId="193" fontId="18" fillId="57" borderId="39"/>
    <xf numFmtId="193" fontId="18" fillId="57" borderId="39"/>
    <xf numFmtId="194" fontId="18" fillId="57" borderId="39"/>
    <xf numFmtId="194" fontId="18" fillId="57" borderId="39"/>
    <xf numFmtId="194" fontId="18" fillId="57" borderId="39"/>
    <xf numFmtId="193" fontId="18" fillId="57" borderId="39"/>
    <xf numFmtId="193" fontId="18" fillId="57" borderId="39"/>
    <xf numFmtId="3" fontId="18" fillId="57" borderId="39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17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0" fontId="18" fillId="57" borderId="39"/>
    <xf numFmtId="0" fontId="18" fillId="57" borderId="39"/>
    <xf numFmtId="0" fontId="18" fillId="57" borderId="39"/>
    <xf numFmtId="178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16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0" fontId="18" fillId="57" borderId="39"/>
    <xf numFmtId="0" fontId="18" fillId="57" borderId="39"/>
    <xf numFmtId="0" fontId="18" fillId="57" borderId="39"/>
    <xf numFmtId="178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178" fontId="18" fillId="57" borderId="39"/>
    <xf numFmtId="0" fontId="18" fillId="57" borderId="39"/>
    <xf numFmtId="178" fontId="18" fillId="57" borderId="39"/>
    <xf numFmtId="0" fontId="18" fillId="57" borderId="39"/>
    <xf numFmtId="188" fontId="18" fillId="57" borderId="39"/>
    <xf numFmtId="0" fontId="18" fillId="57" borderId="39"/>
    <xf numFmtId="0" fontId="18" fillId="57" borderId="39"/>
    <xf numFmtId="0" fontId="18" fillId="57" borderId="39"/>
    <xf numFmtId="178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193" fontId="116" fillId="57" borderId="39"/>
    <xf numFmtId="193" fontId="116" fillId="57" borderId="39"/>
    <xf numFmtId="193" fontId="116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16" fillId="57" borderId="39"/>
    <xf numFmtId="193" fontId="116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5" fontId="118" fillId="58" borderId="40"/>
    <xf numFmtId="195" fontId="118" fillId="58" borderId="40"/>
    <xf numFmtId="0" fontId="63" fillId="0" borderId="0"/>
    <xf numFmtId="195" fontId="118" fillId="58" borderId="40"/>
    <xf numFmtId="195" fontId="118" fillId="58" borderId="40"/>
    <xf numFmtId="193" fontId="18" fillId="57" borderId="39"/>
    <xf numFmtId="193" fontId="18" fillId="57" borderId="39"/>
    <xf numFmtId="193" fontId="18" fillId="57" borderId="39"/>
    <xf numFmtId="19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195" fontId="118" fillId="58" borderId="40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5" fontId="118" fillId="58" borderId="40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193" fontId="18" fillId="57" borderId="39"/>
    <xf numFmtId="193" fontId="72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4" fontId="18" fillId="57" borderId="0"/>
    <xf numFmtId="4" fontId="18" fillId="57" borderId="0"/>
    <xf numFmtId="193" fontId="18" fillId="57" borderId="39"/>
    <xf numFmtId="193" fontId="18" fillId="57" borderId="39"/>
    <xf numFmtId="4" fontId="18" fillId="57" borderId="0"/>
    <xf numFmtId="195" fontId="118" fillId="58" borderId="40"/>
    <xf numFmtId="195" fontId="118" fillId="58" borderId="40"/>
    <xf numFmtId="193" fontId="18" fillId="57" borderId="39"/>
    <xf numFmtId="193" fontId="18" fillId="57" borderId="39"/>
    <xf numFmtId="193" fontId="18" fillId="57" borderId="39"/>
    <xf numFmtId="193" fontId="18" fillId="57" borderId="39"/>
    <xf numFmtId="195" fontId="118" fillId="58" borderId="40"/>
    <xf numFmtId="195" fontId="118" fillId="58" borderId="40"/>
    <xf numFmtId="4" fontId="18" fillId="57" borderId="0"/>
    <xf numFmtId="4" fontId="18" fillId="57" borderId="0"/>
    <xf numFmtId="0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72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3" fontId="18" fillId="57" borderId="39"/>
    <xf numFmtId="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72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72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5" fontId="118" fillId="58" borderId="40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5" fontId="118" fillId="58" borderId="40"/>
    <xf numFmtId="193" fontId="18" fillId="57" borderId="39"/>
    <xf numFmtId="193" fontId="18" fillId="57" borderId="39"/>
    <xf numFmtId="0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17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0" fontId="18" fillId="57" borderId="39"/>
    <xf numFmtId="0" fontId="18" fillId="57" borderId="39"/>
    <xf numFmtId="0" fontId="18" fillId="57" borderId="39"/>
    <xf numFmtId="178" fontId="18" fillId="57" borderId="39"/>
    <xf numFmtId="0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0" fontId="18" fillId="57" borderId="39"/>
    <xf numFmtId="0" fontId="18" fillId="57" borderId="39"/>
    <xf numFmtId="0" fontId="18" fillId="57" borderId="39"/>
    <xf numFmtId="178" fontId="18" fillId="57" borderId="39"/>
    <xf numFmtId="0" fontId="18" fillId="57" borderId="39"/>
    <xf numFmtId="0" fontId="18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178" fontId="18" fillId="57" borderId="39"/>
    <xf numFmtId="0" fontId="18" fillId="57" borderId="39"/>
    <xf numFmtId="178" fontId="18" fillId="57" borderId="39"/>
    <xf numFmtId="0" fontId="18" fillId="57" borderId="39"/>
    <xf numFmtId="188" fontId="18" fillId="57" borderId="39"/>
    <xf numFmtId="0" fontId="18" fillId="57" borderId="39"/>
    <xf numFmtId="0" fontId="18" fillId="57" borderId="39"/>
    <xf numFmtId="0" fontId="18" fillId="57" borderId="39"/>
    <xf numFmtId="178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193" fontId="116" fillId="57" borderId="39"/>
    <xf numFmtId="193" fontId="116" fillId="57" borderId="39"/>
    <xf numFmtId="193" fontId="116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16" fillId="57" borderId="39"/>
    <xf numFmtId="193" fontId="116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0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4" fontId="18" fillId="57" borderId="39"/>
    <xf numFmtId="194" fontId="18" fillId="57" borderId="39"/>
    <xf numFmtId="194" fontId="18" fillId="57" borderId="39"/>
    <xf numFmtId="196" fontId="18" fillId="57" borderId="39"/>
    <xf numFmtId="196" fontId="18" fillId="57" borderId="39"/>
    <xf numFmtId="194" fontId="18" fillId="57" borderId="39"/>
    <xf numFmtId="194" fontId="18" fillId="57" borderId="39"/>
    <xf numFmtId="194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8" fillId="57" borderId="39"/>
    <xf numFmtId="3" fontId="18" fillId="57" borderId="39"/>
    <xf numFmtId="3" fontId="18" fillId="57" borderId="39"/>
    <xf numFmtId="3" fontId="116" fillId="57" borderId="39"/>
    <xf numFmtId="3" fontId="117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72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16" fillId="57" borderId="39"/>
    <xf numFmtId="3" fontId="18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16" fillId="57" borderId="39"/>
    <xf numFmtId="3" fontId="116" fillId="57" borderId="39"/>
    <xf numFmtId="3" fontId="18" fillId="57" borderId="39"/>
    <xf numFmtId="3" fontId="18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16" fillId="57" borderId="39"/>
    <xf numFmtId="3" fontId="18" fillId="57" borderId="39"/>
    <xf numFmtId="3" fontId="18" fillId="57" borderId="39"/>
    <xf numFmtId="3" fontId="18" fillId="57" borderId="39"/>
    <xf numFmtId="3" fontId="72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16" fillId="57" borderId="39"/>
    <xf numFmtId="3" fontId="116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72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16" fillId="57" borderId="39"/>
    <xf numFmtId="3" fontId="116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72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16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193" fontId="18" fillId="57" borderId="39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193" fontId="18" fillId="57" borderId="39"/>
    <xf numFmtId="193" fontId="18" fillId="57" borderId="39"/>
    <xf numFmtId="4" fontId="18" fillId="57" borderId="0"/>
    <xf numFmtId="4" fontId="18" fillId="57" borderId="0"/>
    <xf numFmtId="4" fontId="18" fillId="57" borderId="0"/>
    <xf numFmtId="4" fontId="18" fillId="57" borderId="0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4" fontId="18" fillId="57" borderId="0"/>
    <xf numFmtId="4" fontId="18" fillId="57" borderId="0"/>
    <xf numFmtId="4" fontId="18" fillId="57" borderId="0"/>
    <xf numFmtId="4" fontId="18" fillId="57" borderId="0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4" fontId="18" fillId="57" borderId="0"/>
    <xf numFmtId="195" fontId="118" fillId="58" borderId="40"/>
    <xf numFmtId="193" fontId="18" fillId="57" borderId="39"/>
    <xf numFmtId="193" fontId="18" fillId="57" borderId="39"/>
    <xf numFmtId="193" fontId="18" fillId="57" borderId="39"/>
    <xf numFmtId="0" fontId="69" fillId="0" borderId="0"/>
    <xf numFmtId="195" fontId="118" fillId="58" borderId="40"/>
    <xf numFmtId="193" fontId="18" fillId="57" borderId="39"/>
    <xf numFmtId="194" fontId="18" fillId="57" borderId="39"/>
    <xf numFmtId="194" fontId="18" fillId="57" borderId="39"/>
    <xf numFmtId="194" fontId="18" fillId="57" borderId="39"/>
    <xf numFmtId="194" fontId="18" fillId="57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4" fontId="18" fillId="57" borderId="0"/>
    <xf numFmtId="4" fontId="18" fillId="57" borderId="0"/>
    <xf numFmtId="193" fontId="18" fillId="57" borderId="39"/>
    <xf numFmtId="193" fontId="18" fillId="57" borderId="39"/>
    <xf numFmtId="193" fontId="18" fillId="57" borderId="39"/>
    <xf numFmtId="193" fontId="18" fillId="57" borderId="39"/>
    <xf numFmtId="194" fontId="18" fillId="57" borderId="39"/>
    <xf numFmtId="194" fontId="18" fillId="57" borderId="39"/>
    <xf numFmtId="194" fontId="18" fillId="57" borderId="39"/>
    <xf numFmtId="196" fontId="18" fillId="57" borderId="39"/>
    <xf numFmtId="196" fontId="18" fillId="57" borderId="39"/>
    <xf numFmtId="196" fontId="18" fillId="57" borderId="39"/>
    <xf numFmtId="196" fontId="18" fillId="57" borderId="39"/>
    <xf numFmtId="193" fontId="18" fillId="59" borderId="39"/>
    <xf numFmtId="193" fontId="18" fillId="59" borderId="39"/>
    <xf numFmtId="193" fontId="18" fillId="59" borderId="39"/>
    <xf numFmtId="193" fontId="18" fillId="59" borderId="39"/>
    <xf numFmtId="193" fontId="18" fillId="59" borderId="39"/>
    <xf numFmtId="193" fontId="18" fillId="59" borderId="39"/>
    <xf numFmtId="195" fontId="118" fillId="58" borderId="40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16" fillId="57" borderId="39"/>
    <xf numFmtId="193" fontId="116" fillId="57" borderId="39"/>
    <xf numFmtId="193" fontId="72" fillId="57" borderId="39"/>
    <xf numFmtId="0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16" fillId="57" borderId="39"/>
    <xf numFmtId="193" fontId="116" fillId="57" borderId="39"/>
    <xf numFmtId="193" fontId="116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0" fontId="18" fillId="57" borderId="39"/>
    <xf numFmtId="178" fontId="18" fillId="57" borderId="39"/>
    <xf numFmtId="0" fontId="18" fillId="57" borderId="39"/>
    <xf numFmtId="178" fontId="18" fillId="57" borderId="39"/>
    <xf numFmtId="0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0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4" fontId="18" fillId="57" borderId="39"/>
    <xf numFmtId="194" fontId="18" fillId="57" borderId="39"/>
    <xf numFmtId="194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0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178" fontId="18" fillId="57" borderId="39"/>
    <xf numFmtId="0" fontId="18" fillId="57" borderId="39"/>
    <xf numFmtId="178" fontId="18" fillId="57" borderId="39"/>
    <xf numFmtId="0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0" fontId="18" fillId="57" borderId="39"/>
    <xf numFmtId="178" fontId="18" fillId="57" borderId="39"/>
    <xf numFmtId="0" fontId="18" fillId="57" borderId="39"/>
    <xf numFmtId="178" fontId="18" fillId="57" borderId="39"/>
    <xf numFmtId="0" fontId="18" fillId="57" borderId="39"/>
    <xf numFmtId="188" fontId="18" fillId="57" borderId="39"/>
    <xf numFmtId="178" fontId="18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0" fontId="18" fillId="57" borderId="39"/>
    <xf numFmtId="178" fontId="18" fillId="57" borderId="39"/>
    <xf numFmtId="0" fontId="18" fillId="57" borderId="39"/>
    <xf numFmtId="178" fontId="18" fillId="57" borderId="39"/>
    <xf numFmtId="0" fontId="18" fillId="57" borderId="39"/>
    <xf numFmtId="188" fontId="18" fillId="57" borderId="39"/>
    <xf numFmtId="178" fontId="18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4" fontId="18" fillId="57" borderId="39"/>
    <xf numFmtId="194" fontId="18" fillId="57" borderId="39"/>
    <xf numFmtId="194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4" fontId="18" fillId="57" borderId="39"/>
    <xf numFmtId="194" fontId="18" fillId="57" borderId="39"/>
    <xf numFmtId="194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0" fontId="18" fillId="58" borderId="40"/>
    <xf numFmtId="0" fontId="18" fillId="58" borderId="40"/>
    <xf numFmtId="0" fontId="18" fillId="58" borderId="40"/>
    <xf numFmtId="178" fontId="18" fillId="58" borderId="40"/>
    <xf numFmtId="0" fontId="18" fillId="58" borderId="40"/>
    <xf numFmtId="0" fontId="18" fillId="58" borderId="40"/>
    <xf numFmtId="178" fontId="18" fillId="58" borderId="40"/>
    <xf numFmtId="188" fontId="18" fillId="58" borderId="40"/>
    <xf numFmtId="178" fontId="18" fillId="58" borderId="40"/>
    <xf numFmtId="0" fontId="18" fillId="58" borderId="40"/>
    <xf numFmtId="0" fontId="18" fillId="58" borderId="40"/>
    <xf numFmtId="0" fontId="18" fillId="58" borderId="40"/>
    <xf numFmtId="178" fontId="18" fillId="58" borderId="40"/>
    <xf numFmtId="178" fontId="18" fillId="58" borderId="40"/>
    <xf numFmtId="0" fontId="18" fillId="58" borderId="40"/>
    <xf numFmtId="0" fontId="18" fillId="58" borderId="40"/>
    <xf numFmtId="178" fontId="18" fillId="58" borderId="40"/>
    <xf numFmtId="188" fontId="18" fillId="58" borderId="40"/>
    <xf numFmtId="178" fontId="18" fillId="58" borderId="40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8" borderId="40"/>
    <xf numFmtId="0" fontId="18" fillId="58" borderId="40"/>
    <xf numFmtId="0" fontId="18" fillId="58" borderId="40"/>
    <xf numFmtId="178" fontId="18" fillId="58" borderId="40"/>
    <xf numFmtId="0" fontId="18" fillId="58" borderId="40"/>
    <xf numFmtId="0" fontId="18" fillId="58" borderId="40"/>
    <xf numFmtId="178" fontId="18" fillId="58" borderId="40"/>
    <xf numFmtId="188" fontId="18" fillId="58" borderId="40"/>
    <xf numFmtId="178" fontId="18" fillId="58" borderId="40"/>
    <xf numFmtId="0" fontId="18" fillId="58" borderId="40"/>
    <xf numFmtId="0" fontId="18" fillId="58" borderId="40"/>
    <xf numFmtId="0" fontId="18" fillId="58" borderId="40"/>
    <xf numFmtId="178" fontId="18" fillId="58" borderId="40"/>
    <xf numFmtId="178" fontId="18" fillId="58" borderId="40"/>
    <xf numFmtId="0" fontId="18" fillId="58" borderId="40"/>
    <xf numFmtId="0" fontId="18" fillId="58" borderId="40"/>
    <xf numFmtId="178" fontId="18" fillId="58" borderId="40"/>
    <xf numFmtId="188" fontId="18" fillId="58" borderId="40"/>
    <xf numFmtId="178" fontId="18" fillId="58" borderId="40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178" fontId="18" fillId="57" borderId="39"/>
    <xf numFmtId="0" fontId="18" fillId="57" borderId="39"/>
    <xf numFmtId="178" fontId="18" fillId="57" borderId="39"/>
    <xf numFmtId="0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195" fontId="118" fillId="58" borderId="40"/>
    <xf numFmtId="195" fontId="118" fillId="58" borderId="40"/>
    <xf numFmtId="195" fontId="118" fillId="58" borderId="40"/>
    <xf numFmtId="195" fontId="118" fillId="58" borderId="40"/>
    <xf numFmtId="195" fontId="118" fillId="58" borderId="40"/>
    <xf numFmtId="195" fontId="118" fillId="58" borderId="40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0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8" borderId="40"/>
    <xf numFmtId="0" fontId="18" fillId="58" borderId="40"/>
    <xf numFmtId="0" fontId="18" fillId="58" borderId="40"/>
    <xf numFmtId="178" fontId="18" fillId="58" borderId="40"/>
    <xf numFmtId="0" fontId="18" fillId="58" borderId="40"/>
    <xf numFmtId="0" fontId="18" fillId="58" borderId="40"/>
    <xf numFmtId="178" fontId="18" fillId="58" borderId="40"/>
    <xf numFmtId="188" fontId="18" fillId="58" borderId="40"/>
    <xf numFmtId="178" fontId="18" fillId="58" borderId="40"/>
    <xf numFmtId="0" fontId="18" fillId="58" borderId="40"/>
    <xf numFmtId="0" fontId="18" fillId="58" borderId="40"/>
    <xf numFmtId="0" fontId="18" fillId="58" borderId="40"/>
    <xf numFmtId="178" fontId="18" fillId="58" borderId="40"/>
    <xf numFmtId="178" fontId="18" fillId="58" borderId="40"/>
    <xf numFmtId="0" fontId="18" fillId="58" borderId="40"/>
    <xf numFmtId="0" fontId="18" fillId="58" borderId="40"/>
    <xf numFmtId="178" fontId="18" fillId="58" borderId="40"/>
    <xf numFmtId="188" fontId="18" fillId="58" borderId="40"/>
    <xf numFmtId="178" fontId="18" fillId="58" borderId="40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0" fontId="18" fillId="57" borderId="39"/>
    <xf numFmtId="178" fontId="18" fillId="57" borderId="39"/>
    <xf numFmtId="0" fontId="18" fillId="57" borderId="39"/>
    <xf numFmtId="178" fontId="18" fillId="57" borderId="39"/>
    <xf numFmtId="0" fontId="18" fillId="57" borderId="39"/>
    <xf numFmtId="188" fontId="18" fillId="57" borderId="39"/>
    <xf numFmtId="178" fontId="18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4" fontId="18" fillId="57" borderId="39"/>
    <xf numFmtId="194" fontId="18" fillId="57" borderId="39"/>
    <xf numFmtId="194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0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194" fontId="18" fillId="57" borderId="39"/>
    <xf numFmtId="194" fontId="18" fillId="57" borderId="39"/>
    <xf numFmtId="194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69" fillId="0" borderId="0"/>
    <xf numFmtId="0" fontId="69" fillId="0" borderId="0"/>
    <xf numFmtId="178" fontId="69" fillId="0" borderId="0"/>
    <xf numFmtId="178" fontId="69" fillId="0" borderId="0"/>
    <xf numFmtId="0" fontId="64" fillId="0" borderId="0"/>
    <xf numFmtId="0" fontId="69" fillId="0" borderId="0"/>
    <xf numFmtId="0" fontId="69" fillId="0" borderId="0"/>
    <xf numFmtId="178" fontId="69" fillId="0" borderId="0"/>
    <xf numFmtId="178" fontId="69" fillId="0" borderId="0"/>
    <xf numFmtId="0" fontId="64" fillId="0" borderId="0"/>
    <xf numFmtId="178" fontId="64" fillId="0" borderId="0"/>
    <xf numFmtId="178" fontId="64" fillId="0" borderId="0"/>
    <xf numFmtId="0" fontId="64" fillId="0" borderId="0"/>
    <xf numFmtId="0" fontId="69" fillId="0" borderId="0"/>
    <xf numFmtId="0" fontId="69" fillId="0" borderId="0"/>
    <xf numFmtId="178" fontId="69" fillId="0" borderId="0"/>
    <xf numFmtId="178" fontId="69" fillId="0" borderId="0"/>
    <xf numFmtId="0" fontId="64" fillId="0" borderId="0"/>
    <xf numFmtId="178" fontId="64" fillId="0" borderId="0"/>
    <xf numFmtId="178" fontId="64" fillId="0" borderId="0"/>
    <xf numFmtId="0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7" fontId="18" fillId="0" borderId="39"/>
    <xf numFmtId="194" fontId="18" fillId="57" borderId="39"/>
    <xf numFmtId="194" fontId="18" fillId="57" borderId="39"/>
    <xf numFmtId="194" fontId="18" fillId="57" borderId="39"/>
    <xf numFmtId="0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0" fontId="18" fillId="57" borderId="39"/>
    <xf numFmtId="178" fontId="18" fillId="57" borderId="39"/>
    <xf numFmtId="0" fontId="18" fillId="57" borderId="39"/>
    <xf numFmtId="178" fontId="18" fillId="57" borderId="39"/>
    <xf numFmtId="0" fontId="18" fillId="57" borderId="39"/>
    <xf numFmtId="188" fontId="18" fillId="57" borderId="39"/>
    <xf numFmtId="178" fontId="18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0" fontId="18" fillId="57" borderId="39"/>
    <xf numFmtId="178" fontId="18" fillId="57" borderId="39"/>
    <xf numFmtId="0" fontId="18" fillId="57" borderId="39"/>
    <xf numFmtId="178" fontId="18" fillId="57" borderId="39"/>
    <xf numFmtId="0" fontId="18" fillId="57" borderId="39"/>
    <xf numFmtId="188" fontId="18" fillId="57" borderId="39"/>
    <xf numFmtId="178" fontId="18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16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18" fillId="57" borderId="39"/>
    <xf numFmtId="178" fontId="18" fillId="57" borderId="39"/>
    <xf numFmtId="0" fontId="18" fillId="57" borderId="39"/>
    <xf numFmtId="178" fontId="18" fillId="57" borderId="39"/>
    <xf numFmtId="0" fontId="18" fillId="57" borderId="39"/>
    <xf numFmtId="188" fontId="18" fillId="57" borderId="39"/>
    <xf numFmtId="178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16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194" fontId="18" fillId="57" borderId="39"/>
    <xf numFmtId="194" fontId="18" fillId="57" borderId="39"/>
    <xf numFmtId="194" fontId="18" fillId="57" borderId="39"/>
    <xf numFmtId="4" fontId="18" fillId="57" borderId="0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3" fontId="18" fillId="57" borderId="39"/>
    <xf numFmtId="194" fontId="18" fillId="57" borderId="39"/>
    <xf numFmtId="194" fontId="18" fillId="57" borderId="39"/>
    <xf numFmtId="194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193" fontId="18" fillId="57" borderId="39"/>
    <xf numFmtId="0" fontId="18" fillId="57" borderId="39"/>
    <xf numFmtId="0" fontId="18" fillId="57" borderId="39"/>
    <xf numFmtId="178" fontId="18" fillId="57" borderId="39"/>
    <xf numFmtId="188" fontId="18" fillId="57" borderId="39"/>
    <xf numFmtId="178" fontId="18" fillId="57" borderId="39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2" fillId="0" borderId="0">
      <alignment vertical="top"/>
    </xf>
    <xf numFmtId="0" fontId="92" fillId="0" borderId="0">
      <alignment vertical="top"/>
    </xf>
    <xf numFmtId="178" fontId="92" fillId="0" borderId="0">
      <alignment vertical="top"/>
    </xf>
    <xf numFmtId="178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178" fontId="92" fillId="0" borderId="0">
      <alignment vertical="top"/>
    </xf>
    <xf numFmtId="178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178" fontId="92" fillId="0" borderId="0">
      <alignment vertical="top"/>
    </xf>
    <xf numFmtId="178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178" fontId="92" fillId="0" borderId="0">
      <alignment vertical="top"/>
    </xf>
    <xf numFmtId="178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178" fontId="92" fillId="0" borderId="0">
      <alignment vertical="top"/>
    </xf>
    <xf numFmtId="178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178" fontId="92" fillId="0" borderId="0">
      <alignment vertical="top"/>
    </xf>
    <xf numFmtId="178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178" fontId="92" fillId="0" borderId="0">
      <alignment vertical="top"/>
    </xf>
    <xf numFmtId="178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178" fontId="92" fillId="0" borderId="0">
      <alignment vertical="top"/>
    </xf>
    <xf numFmtId="178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178" fontId="92" fillId="0" borderId="0">
      <alignment vertical="top"/>
    </xf>
    <xf numFmtId="178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178" fontId="92" fillId="0" borderId="0">
      <alignment vertical="top"/>
    </xf>
    <xf numFmtId="178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178" fontId="92" fillId="0" borderId="0">
      <alignment vertical="top"/>
    </xf>
    <xf numFmtId="178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178" fontId="92" fillId="0" borderId="0">
      <alignment vertical="top"/>
    </xf>
    <xf numFmtId="178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178" fontId="92" fillId="0" borderId="0">
      <alignment vertical="top"/>
    </xf>
    <xf numFmtId="178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178" fontId="92" fillId="0" borderId="0">
      <alignment vertical="top"/>
    </xf>
    <xf numFmtId="178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178" fontId="92" fillId="0" borderId="0">
      <alignment vertical="top"/>
    </xf>
    <xf numFmtId="178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178" fontId="92" fillId="0" borderId="0">
      <alignment vertical="top"/>
    </xf>
    <xf numFmtId="178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178" fontId="92" fillId="0" borderId="0">
      <alignment vertical="top"/>
    </xf>
    <xf numFmtId="178" fontId="92" fillId="0" borderId="0">
      <alignment vertical="top"/>
    </xf>
    <xf numFmtId="0" fontId="63" fillId="0" borderId="0"/>
    <xf numFmtId="0" fontId="63" fillId="0" borderId="0"/>
    <xf numFmtId="178" fontId="63" fillId="0" borderId="0"/>
    <xf numFmtId="178" fontId="63" fillId="0" borderId="0"/>
    <xf numFmtId="0" fontId="69" fillId="0" borderId="0"/>
    <xf numFmtId="178" fontId="6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69" fillId="0" borderId="0"/>
    <xf numFmtId="0" fontId="69" fillId="0" borderId="0"/>
    <xf numFmtId="178" fontId="69" fillId="0" borderId="0"/>
    <xf numFmtId="178" fontId="69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69" fillId="0" borderId="0"/>
    <xf numFmtId="0" fontId="69" fillId="0" borderId="0"/>
    <xf numFmtId="178" fontId="69" fillId="0" borderId="0"/>
    <xf numFmtId="178" fontId="69" fillId="0" borderId="0"/>
    <xf numFmtId="0" fontId="69" fillId="0" borderId="0"/>
    <xf numFmtId="0" fontId="69" fillId="0" borderId="0"/>
    <xf numFmtId="178" fontId="69" fillId="0" borderId="0"/>
    <xf numFmtId="178" fontId="69" fillId="0" borderId="0"/>
    <xf numFmtId="0" fontId="18" fillId="0" borderId="0"/>
    <xf numFmtId="178" fontId="18" fillId="0" borderId="0"/>
    <xf numFmtId="0" fontId="18" fillId="0" borderId="0"/>
    <xf numFmtId="178" fontId="18" fillId="0" borderId="0"/>
    <xf numFmtId="0" fontId="18" fillId="0" borderId="0"/>
    <xf numFmtId="178" fontId="18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9" fillId="0" borderId="0"/>
    <xf numFmtId="178" fontId="69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2" fillId="0" borderId="0">
      <alignment vertical="top"/>
    </xf>
    <xf numFmtId="0" fontId="63" fillId="0" borderId="0"/>
    <xf numFmtId="0" fontId="63" fillId="0" borderId="0"/>
    <xf numFmtId="178" fontId="63" fillId="0" borderId="0"/>
    <xf numFmtId="178" fontId="63" fillId="0" borderId="0"/>
    <xf numFmtId="0" fontId="92" fillId="0" borderId="0">
      <alignment vertical="top"/>
    </xf>
    <xf numFmtId="178" fontId="92" fillId="0" borderId="0">
      <alignment vertical="top"/>
    </xf>
    <xf numFmtId="178" fontId="92" fillId="0" borderId="0">
      <alignment vertical="top"/>
    </xf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2" fillId="0" borderId="0">
      <alignment vertical="top"/>
    </xf>
    <xf numFmtId="0" fontId="92" fillId="0" borderId="0">
      <alignment vertical="top"/>
    </xf>
    <xf numFmtId="178" fontId="92" fillId="0" borderId="0">
      <alignment vertical="top"/>
    </xf>
    <xf numFmtId="178" fontId="92" fillId="0" borderId="0">
      <alignment vertical="top"/>
    </xf>
    <xf numFmtId="0" fontId="63" fillId="0" borderId="0"/>
    <xf numFmtId="0" fontId="63" fillId="0" borderId="0"/>
    <xf numFmtId="178" fontId="63" fillId="0" borderId="0"/>
    <xf numFmtId="178" fontId="63" fillId="0" borderId="0"/>
    <xf numFmtId="0" fontId="102" fillId="57" borderId="0"/>
    <xf numFmtId="0" fontId="18" fillId="57" borderId="0"/>
    <xf numFmtId="0" fontId="18" fillId="57" borderId="0"/>
    <xf numFmtId="178" fontId="18" fillId="57" borderId="0"/>
    <xf numFmtId="178" fontId="18" fillId="57" borderId="0"/>
    <xf numFmtId="0" fontId="102" fillId="57" borderId="0"/>
    <xf numFmtId="178" fontId="102" fillId="57" borderId="0"/>
    <xf numFmtId="178" fontId="102" fillId="57" borderId="0"/>
    <xf numFmtId="0" fontId="102" fillId="57" borderId="0"/>
    <xf numFmtId="0" fontId="102" fillId="57" borderId="0"/>
    <xf numFmtId="178" fontId="102" fillId="57" borderId="0"/>
    <xf numFmtId="178" fontId="102" fillId="57" borderId="0"/>
    <xf numFmtId="0" fontId="18" fillId="57" borderId="0"/>
    <xf numFmtId="0" fontId="18" fillId="57" borderId="0"/>
    <xf numFmtId="178" fontId="18" fillId="57" borderId="0"/>
    <xf numFmtId="178" fontId="18" fillId="57" borderId="0"/>
    <xf numFmtId="0" fontId="18" fillId="57" borderId="0"/>
    <xf numFmtId="0" fontId="18" fillId="57" borderId="0"/>
    <xf numFmtId="178" fontId="18" fillId="57" borderId="0"/>
    <xf numFmtId="178" fontId="18" fillId="57" borderId="0"/>
    <xf numFmtId="0" fontId="18" fillId="57" borderId="0"/>
    <xf numFmtId="0" fontId="18" fillId="57" borderId="0"/>
    <xf numFmtId="178" fontId="18" fillId="57" borderId="0"/>
    <xf numFmtId="178" fontId="18" fillId="57" borderId="0"/>
    <xf numFmtId="0" fontId="18" fillId="57" borderId="0"/>
    <xf numFmtId="0" fontId="18" fillId="57" borderId="0"/>
    <xf numFmtId="178" fontId="18" fillId="57" borderId="0"/>
    <xf numFmtId="178" fontId="18" fillId="57" borderId="0"/>
    <xf numFmtId="0" fontId="18" fillId="57" borderId="0"/>
    <xf numFmtId="0" fontId="102" fillId="57" borderId="0"/>
    <xf numFmtId="0" fontId="102" fillId="57" borderId="0"/>
    <xf numFmtId="178" fontId="102" fillId="57" borderId="0"/>
    <xf numFmtId="178" fontId="102" fillId="57" borderId="0"/>
    <xf numFmtId="0" fontId="102" fillId="57" borderId="0"/>
    <xf numFmtId="0" fontId="102" fillId="57" borderId="0"/>
    <xf numFmtId="178" fontId="102" fillId="57" borderId="0"/>
    <xf numFmtId="178" fontId="102" fillId="57" borderId="0"/>
    <xf numFmtId="0" fontId="18" fillId="57" borderId="0"/>
    <xf numFmtId="178" fontId="18" fillId="57" borderId="0"/>
    <xf numFmtId="0" fontId="18" fillId="57" borderId="0"/>
    <xf numFmtId="178" fontId="18" fillId="57" borderId="0"/>
    <xf numFmtId="0" fontId="18" fillId="57" borderId="0"/>
    <xf numFmtId="178" fontId="18" fillId="57" borderId="0"/>
    <xf numFmtId="0" fontId="18" fillId="57" borderId="0"/>
    <xf numFmtId="0" fontId="18" fillId="57" borderId="0"/>
    <xf numFmtId="178" fontId="18" fillId="57" borderId="0"/>
    <xf numFmtId="178" fontId="18" fillId="57" borderId="0"/>
    <xf numFmtId="0" fontId="102" fillId="57" borderId="0"/>
    <xf numFmtId="0" fontId="102" fillId="57" borderId="0"/>
    <xf numFmtId="178" fontId="102" fillId="57" borderId="0"/>
    <xf numFmtId="178" fontId="102" fillId="57" borderId="0"/>
    <xf numFmtId="0" fontId="18" fillId="57" borderId="0"/>
    <xf numFmtId="0" fontId="18" fillId="57" borderId="0"/>
    <xf numFmtId="178" fontId="18" fillId="57" borderId="0"/>
    <xf numFmtId="178" fontId="18" fillId="57" borderId="0"/>
    <xf numFmtId="0" fontId="18" fillId="0" borderId="10"/>
    <xf numFmtId="0" fontId="18" fillId="0" borderId="10"/>
    <xf numFmtId="0" fontId="18" fillId="0" borderId="10"/>
    <xf numFmtId="178" fontId="18" fillId="0" borderId="10"/>
    <xf numFmtId="0" fontId="18" fillId="0" borderId="10"/>
    <xf numFmtId="0" fontId="18" fillId="0" borderId="10"/>
    <xf numFmtId="178" fontId="18" fillId="0" borderId="10"/>
    <xf numFmtId="188" fontId="18" fillId="0" borderId="10"/>
    <xf numFmtId="178" fontId="18" fillId="0" borderId="10"/>
    <xf numFmtId="0" fontId="18" fillId="0" borderId="10"/>
    <xf numFmtId="0" fontId="18" fillId="0" borderId="10"/>
    <xf numFmtId="178" fontId="18" fillId="0" borderId="10"/>
    <xf numFmtId="0" fontId="18" fillId="0" borderId="10"/>
    <xf numFmtId="0" fontId="18" fillId="0" borderId="10"/>
    <xf numFmtId="178" fontId="18" fillId="0" borderId="10"/>
    <xf numFmtId="188" fontId="18" fillId="0" borderId="10"/>
    <xf numFmtId="178" fontId="18" fillId="0" borderId="10"/>
    <xf numFmtId="0" fontId="18" fillId="0" borderId="10"/>
    <xf numFmtId="178" fontId="18" fillId="0" borderId="10"/>
    <xf numFmtId="0" fontId="18" fillId="0" borderId="10"/>
    <xf numFmtId="0" fontId="18" fillId="0" borderId="10"/>
    <xf numFmtId="178" fontId="18" fillId="0" borderId="10"/>
    <xf numFmtId="188" fontId="18" fillId="0" borderId="10"/>
    <xf numFmtId="178" fontId="18" fillId="0" borderId="10"/>
    <xf numFmtId="0" fontId="102" fillId="57" borderId="0"/>
    <xf numFmtId="0" fontId="102" fillId="57" borderId="0"/>
    <xf numFmtId="178" fontId="102" fillId="57" borderId="0"/>
    <xf numFmtId="178" fontId="102" fillId="57" borderId="0"/>
    <xf numFmtId="0" fontId="18" fillId="0" borderId="10"/>
    <xf numFmtId="0" fontId="18" fillId="0" borderId="10"/>
    <xf numFmtId="0" fontId="18" fillId="0" borderId="10"/>
    <xf numFmtId="178" fontId="18" fillId="0" borderId="10"/>
    <xf numFmtId="0" fontId="18" fillId="0" borderId="10"/>
    <xf numFmtId="0" fontId="18" fillId="0" borderId="10"/>
    <xf numFmtId="178" fontId="18" fillId="0" borderId="10"/>
    <xf numFmtId="188" fontId="18" fillId="0" borderId="10"/>
    <xf numFmtId="178" fontId="18" fillId="0" borderId="10"/>
    <xf numFmtId="0" fontId="18" fillId="0" borderId="10"/>
    <xf numFmtId="0" fontId="18" fillId="0" borderId="10"/>
    <xf numFmtId="178" fontId="18" fillId="0" borderId="10"/>
    <xf numFmtId="0" fontId="18" fillId="0" borderId="10"/>
    <xf numFmtId="0" fontId="18" fillId="0" borderId="10"/>
    <xf numFmtId="178" fontId="18" fillId="0" borderId="10"/>
    <xf numFmtId="188" fontId="18" fillId="0" borderId="10"/>
    <xf numFmtId="178" fontId="18" fillId="0" borderId="10"/>
    <xf numFmtId="0" fontId="18" fillId="0" borderId="10"/>
    <xf numFmtId="178" fontId="18" fillId="0" borderId="10"/>
    <xf numFmtId="0" fontId="18" fillId="0" borderId="10"/>
    <xf numFmtId="0" fontId="18" fillId="0" borderId="10"/>
    <xf numFmtId="178" fontId="18" fillId="0" borderId="10"/>
    <xf numFmtId="188" fontId="18" fillId="0" borderId="10"/>
    <xf numFmtId="178" fontId="18" fillId="0" borderId="10"/>
    <xf numFmtId="0" fontId="118" fillId="0" borderId="10"/>
    <xf numFmtId="0" fontId="118" fillId="0" borderId="10"/>
    <xf numFmtId="0" fontId="118" fillId="0" borderId="10"/>
    <xf numFmtId="178" fontId="118" fillId="0" borderId="10"/>
    <xf numFmtId="0" fontId="118" fillId="0" borderId="10"/>
    <xf numFmtId="0" fontId="118" fillId="0" borderId="10"/>
    <xf numFmtId="178" fontId="118" fillId="0" borderId="10"/>
    <xf numFmtId="188" fontId="118" fillId="0" borderId="10"/>
    <xf numFmtId="178" fontId="118" fillId="0" borderId="10"/>
    <xf numFmtId="0" fontId="118" fillId="0" borderId="10"/>
    <xf numFmtId="0" fontId="118" fillId="0" borderId="10"/>
    <xf numFmtId="178" fontId="118" fillId="0" borderId="10"/>
    <xf numFmtId="0" fontId="118" fillId="0" borderId="10"/>
    <xf numFmtId="0" fontId="118" fillId="0" borderId="10"/>
    <xf numFmtId="178" fontId="118" fillId="0" borderId="10"/>
    <xf numFmtId="188" fontId="118" fillId="0" borderId="10"/>
    <xf numFmtId="178" fontId="118" fillId="0" borderId="10"/>
    <xf numFmtId="0" fontId="118" fillId="0" borderId="10"/>
    <xf numFmtId="178" fontId="118" fillId="0" borderId="10"/>
    <xf numFmtId="0" fontId="118" fillId="0" borderId="10"/>
    <xf numFmtId="0" fontId="118" fillId="0" borderId="10"/>
    <xf numFmtId="178" fontId="118" fillId="0" borderId="10"/>
    <xf numFmtId="188" fontId="118" fillId="0" borderId="10"/>
    <xf numFmtId="178" fontId="118" fillId="0" borderId="10"/>
    <xf numFmtId="0" fontId="18" fillId="0" borderId="10"/>
    <xf numFmtId="0" fontId="18" fillId="0" borderId="10"/>
    <xf numFmtId="0" fontId="18" fillId="0" borderId="10"/>
    <xf numFmtId="178" fontId="18" fillId="0" borderId="10"/>
    <xf numFmtId="0" fontId="18" fillId="0" borderId="10"/>
    <xf numFmtId="0" fontId="18" fillId="0" borderId="10"/>
    <xf numFmtId="178" fontId="18" fillId="0" borderId="10"/>
    <xf numFmtId="188" fontId="18" fillId="0" borderId="10"/>
    <xf numFmtId="178" fontId="18" fillId="0" borderId="10"/>
    <xf numFmtId="0" fontId="18" fillId="0" borderId="10"/>
    <xf numFmtId="0" fontId="18" fillId="0" borderId="10"/>
    <xf numFmtId="178" fontId="18" fillId="0" borderId="10"/>
    <xf numFmtId="0" fontId="18" fillId="0" borderId="10"/>
    <xf numFmtId="0" fontId="18" fillId="0" borderId="10"/>
    <xf numFmtId="178" fontId="18" fillId="0" borderId="10"/>
    <xf numFmtId="188" fontId="18" fillId="0" borderId="10"/>
    <xf numFmtId="178" fontId="18" fillId="0" borderId="10"/>
    <xf numFmtId="0" fontId="18" fillId="0" borderId="10"/>
    <xf numFmtId="178" fontId="18" fillId="0" borderId="10"/>
    <xf numFmtId="0" fontId="18" fillId="0" borderId="10"/>
    <xf numFmtId="0" fontId="18" fillId="0" borderId="10"/>
    <xf numFmtId="178" fontId="18" fillId="0" borderId="10"/>
    <xf numFmtId="188" fontId="18" fillId="0" borderId="10"/>
    <xf numFmtId="178" fontId="18" fillId="0" borderId="10"/>
    <xf numFmtId="0" fontId="18" fillId="57" borderId="0"/>
    <xf numFmtId="0" fontId="18" fillId="57" borderId="0"/>
    <xf numFmtId="178" fontId="18" fillId="57" borderId="0"/>
    <xf numFmtId="178" fontId="18" fillId="57" borderId="0"/>
    <xf numFmtId="0" fontId="102" fillId="57" borderId="0"/>
    <xf numFmtId="0" fontId="102" fillId="57" borderId="0"/>
    <xf numFmtId="0" fontId="102" fillId="57" borderId="0"/>
    <xf numFmtId="178" fontId="102" fillId="57" borderId="0"/>
    <xf numFmtId="178" fontId="102" fillId="57" borderId="0"/>
    <xf numFmtId="0" fontId="102" fillId="57" borderId="0"/>
    <xf numFmtId="178" fontId="102" fillId="57" borderId="0"/>
    <xf numFmtId="0" fontId="102" fillId="57" borderId="0"/>
    <xf numFmtId="178" fontId="102" fillId="57" borderId="0"/>
    <xf numFmtId="0" fontId="102" fillId="57" borderId="0"/>
    <xf numFmtId="178" fontId="102" fillId="57" borderId="0"/>
    <xf numFmtId="0" fontId="18" fillId="57" borderId="0"/>
    <xf numFmtId="0" fontId="18" fillId="57" borderId="0"/>
    <xf numFmtId="178" fontId="18" fillId="57" borderId="0"/>
    <xf numFmtId="178" fontId="18" fillId="57" borderId="0"/>
    <xf numFmtId="0" fontId="18" fillId="57" borderId="0"/>
    <xf numFmtId="0" fontId="18" fillId="57" borderId="0"/>
    <xf numFmtId="178" fontId="18" fillId="57" borderId="0"/>
    <xf numFmtId="178" fontId="18" fillId="57" borderId="0"/>
    <xf numFmtId="0" fontId="102" fillId="57" borderId="0"/>
    <xf numFmtId="0" fontId="102" fillId="57" borderId="0"/>
    <xf numFmtId="178" fontId="102" fillId="57" borderId="0"/>
    <xf numFmtId="178" fontId="102" fillId="57" borderId="0"/>
    <xf numFmtId="0" fontId="18" fillId="57" borderId="0"/>
    <xf numFmtId="0" fontId="18" fillId="57" borderId="0"/>
    <xf numFmtId="0" fontId="18" fillId="57" borderId="0"/>
    <xf numFmtId="178" fontId="18" fillId="57" borderId="0"/>
    <xf numFmtId="178" fontId="18" fillId="57" borderId="0"/>
    <xf numFmtId="0" fontId="105" fillId="57" borderId="0"/>
    <xf numFmtId="178" fontId="105" fillId="57" borderId="0"/>
    <xf numFmtId="178" fontId="105" fillId="57" borderId="0"/>
    <xf numFmtId="0" fontId="105" fillId="57" borderId="0"/>
    <xf numFmtId="0" fontId="105" fillId="57" borderId="0"/>
    <xf numFmtId="178" fontId="105" fillId="57" borderId="0"/>
    <xf numFmtId="178" fontId="105" fillId="57" borderId="0"/>
    <xf numFmtId="0" fontId="18" fillId="57" borderId="0"/>
    <xf numFmtId="0" fontId="18" fillId="57" borderId="0"/>
    <xf numFmtId="178" fontId="18" fillId="57" borderId="0"/>
    <xf numFmtId="178" fontId="18" fillId="57" borderId="0"/>
    <xf numFmtId="0" fontId="18" fillId="57" borderId="0"/>
    <xf numFmtId="0" fontId="18" fillId="57" borderId="0"/>
    <xf numFmtId="178" fontId="18" fillId="57" borderId="0"/>
    <xf numFmtId="178" fontId="18" fillId="57" borderId="0"/>
    <xf numFmtId="0" fontId="18" fillId="57" borderId="0"/>
    <xf numFmtId="0" fontId="18" fillId="57" borderId="0"/>
    <xf numFmtId="178" fontId="18" fillId="57" borderId="0"/>
    <xf numFmtId="178" fontId="18" fillId="57" borderId="0"/>
    <xf numFmtId="0" fontId="18" fillId="57" borderId="0"/>
    <xf numFmtId="0" fontId="18" fillId="57" borderId="0"/>
    <xf numFmtId="178" fontId="18" fillId="57" borderId="0"/>
    <xf numFmtId="178" fontId="18" fillId="57" borderId="0"/>
    <xf numFmtId="0" fontId="18" fillId="57" borderId="0"/>
    <xf numFmtId="0" fontId="18" fillId="57" borderId="0"/>
    <xf numFmtId="178" fontId="18" fillId="57" borderId="0"/>
    <xf numFmtId="178" fontId="18" fillId="57" borderId="0"/>
    <xf numFmtId="0" fontId="18" fillId="57" borderId="0"/>
    <xf numFmtId="0" fontId="105" fillId="57" borderId="0"/>
    <xf numFmtId="0" fontId="105" fillId="57" borderId="0"/>
    <xf numFmtId="178" fontId="105" fillId="57" borderId="0"/>
    <xf numFmtId="178" fontId="105" fillId="57" borderId="0"/>
    <xf numFmtId="0" fontId="105" fillId="57" borderId="0"/>
    <xf numFmtId="0" fontId="105" fillId="57" borderId="0"/>
    <xf numFmtId="178" fontId="105" fillId="57" borderId="0"/>
    <xf numFmtId="178" fontId="105" fillId="57" borderId="0"/>
    <xf numFmtId="0" fontId="18" fillId="57" borderId="0"/>
    <xf numFmtId="178" fontId="18" fillId="57" borderId="0"/>
    <xf numFmtId="0" fontId="18" fillId="57" borderId="0"/>
    <xf numFmtId="178" fontId="18" fillId="57" borderId="0"/>
    <xf numFmtId="0" fontId="18" fillId="57" borderId="0"/>
    <xf numFmtId="178" fontId="18" fillId="57" borderId="0"/>
    <xf numFmtId="0" fontId="105" fillId="57" borderId="0"/>
    <xf numFmtId="0" fontId="105" fillId="57" borderId="0"/>
    <xf numFmtId="178" fontId="105" fillId="57" borderId="0"/>
    <xf numFmtId="178" fontId="105" fillId="57" borderId="0"/>
    <xf numFmtId="0" fontId="105" fillId="57" borderId="0"/>
    <xf numFmtId="0" fontId="105" fillId="57" borderId="0"/>
    <xf numFmtId="0" fontId="105" fillId="57" borderId="0"/>
    <xf numFmtId="178" fontId="105" fillId="57" borderId="0"/>
    <xf numFmtId="178" fontId="105" fillId="57" borderId="0"/>
    <xf numFmtId="0" fontId="105" fillId="57" borderId="0"/>
    <xf numFmtId="178" fontId="105" fillId="57" borderId="0"/>
    <xf numFmtId="0" fontId="105" fillId="57" borderId="0"/>
    <xf numFmtId="178" fontId="105" fillId="57" borderId="0"/>
    <xf numFmtId="0" fontId="105" fillId="57" borderId="0"/>
    <xf numFmtId="178" fontId="105" fillId="57" borderId="0"/>
    <xf numFmtId="0" fontId="18" fillId="57" borderId="0"/>
    <xf numFmtId="0" fontId="18" fillId="57" borderId="0"/>
    <xf numFmtId="178" fontId="18" fillId="57" borderId="0"/>
    <xf numFmtId="178" fontId="18" fillId="57" borderId="0"/>
    <xf numFmtId="0" fontId="18" fillId="57" borderId="0"/>
    <xf numFmtId="0" fontId="18" fillId="57" borderId="0"/>
    <xf numFmtId="178" fontId="18" fillId="57" borderId="0"/>
    <xf numFmtId="178" fontId="18" fillId="57" borderId="0"/>
    <xf numFmtId="0" fontId="105" fillId="57" borderId="0"/>
    <xf numFmtId="0" fontId="105" fillId="57" borderId="0"/>
    <xf numFmtId="178" fontId="105" fillId="57" borderId="0"/>
    <xf numFmtId="178" fontId="105" fillId="57" borderId="0"/>
    <xf numFmtId="0" fontId="105" fillId="57" borderId="0"/>
    <xf numFmtId="0" fontId="105" fillId="57" borderId="0"/>
    <xf numFmtId="178" fontId="105" fillId="57" borderId="0"/>
    <xf numFmtId="178" fontId="105" fillId="57" borderId="0"/>
    <xf numFmtId="0" fontId="105" fillId="57" borderId="0"/>
    <xf numFmtId="0" fontId="105" fillId="57" borderId="0"/>
    <xf numFmtId="178" fontId="105" fillId="57" borderId="0"/>
    <xf numFmtId="178" fontId="105" fillId="57" borderId="0"/>
    <xf numFmtId="0" fontId="18" fillId="57" borderId="0"/>
    <xf numFmtId="0" fontId="18" fillId="57" borderId="0"/>
    <xf numFmtId="178" fontId="18" fillId="57" borderId="0"/>
    <xf numFmtId="178" fontId="18" fillId="57" borderId="0"/>
    <xf numFmtId="0" fontId="18" fillId="57" borderId="0"/>
    <xf numFmtId="0" fontId="18" fillId="57" borderId="0"/>
    <xf numFmtId="178" fontId="18" fillId="57" borderId="0"/>
    <xf numFmtId="178" fontId="18" fillId="57" borderId="0"/>
    <xf numFmtId="0" fontId="102" fillId="57" borderId="0"/>
    <xf numFmtId="0" fontId="102" fillId="57" borderId="0"/>
    <xf numFmtId="178" fontId="102" fillId="57" borderId="0"/>
    <xf numFmtId="178" fontId="102" fillId="57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2" fillId="0" borderId="0">
      <alignment vertical="top"/>
    </xf>
    <xf numFmtId="0" fontId="92" fillId="0" borderId="0">
      <alignment vertical="top"/>
    </xf>
    <xf numFmtId="178" fontId="92" fillId="0" borderId="0">
      <alignment vertical="top"/>
    </xf>
    <xf numFmtId="178" fontId="92" fillId="0" borderId="0">
      <alignment vertical="top"/>
    </xf>
    <xf numFmtId="0" fontId="92" fillId="0" borderId="0">
      <alignment vertical="top"/>
    </xf>
    <xf numFmtId="178" fontId="92" fillId="0" borderId="0">
      <alignment vertical="top"/>
    </xf>
    <xf numFmtId="0" fontId="69" fillId="0" borderId="0"/>
    <xf numFmtId="178" fontId="6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89" fillId="0" borderId="0"/>
    <xf numFmtId="178" fontId="89" fillId="0" borderId="0"/>
    <xf numFmtId="178" fontId="89" fillId="0" borderId="0"/>
    <xf numFmtId="0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89" fillId="0" borderId="0"/>
    <xf numFmtId="178" fontId="89" fillId="0" borderId="0"/>
    <xf numFmtId="178" fontId="89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89" fillId="0" borderId="0"/>
    <xf numFmtId="0" fontId="89" fillId="0" borderId="0"/>
    <xf numFmtId="178" fontId="89" fillId="0" borderId="0"/>
    <xf numFmtId="178" fontId="89" fillId="0" borderId="0"/>
    <xf numFmtId="0" fontId="89" fillId="0" borderId="0"/>
    <xf numFmtId="0" fontId="8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89" fillId="0" borderId="0"/>
    <xf numFmtId="178" fontId="89" fillId="0" borderId="0"/>
    <xf numFmtId="178" fontId="8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89" fillId="0" borderId="0"/>
    <xf numFmtId="178" fontId="89" fillId="0" borderId="0"/>
    <xf numFmtId="0" fontId="89" fillId="0" borderId="0"/>
    <xf numFmtId="178" fontId="89" fillId="0" borderId="0"/>
    <xf numFmtId="0" fontId="89" fillId="0" borderId="0"/>
    <xf numFmtId="178" fontId="89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89" fillId="0" borderId="0"/>
    <xf numFmtId="0" fontId="89" fillId="0" borderId="0"/>
    <xf numFmtId="178" fontId="89" fillId="0" borderId="0"/>
    <xf numFmtId="178" fontId="89" fillId="0" borderId="0"/>
    <xf numFmtId="0" fontId="89" fillId="0" borderId="0"/>
    <xf numFmtId="0" fontId="89" fillId="0" borderId="0"/>
    <xf numFmtId="178" fontId="89" fillId="0" borderId="0"/>
    <xf numFmtId="178" fontId="89" fillId="0" borderId="0"/>
    <xf numFmtId="0" fontId="8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89" fillId="0" borderId="0"/>
    <xf numFmtId="178" fontId="89" fillId="0" borderId="0"/>
    <xf numFmtId="178" fontId="89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89" fillId="0" borderId="0"/>
    <xf numFmtId="178" fontId="89" fillId="0" borderId="0"/>
    <xf numFmtId="178" fontId="89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89" fillId="0" borderId="0"/>
    <xf numFmtId="0" fontId="89" fillId="0" borderId="0"/>
    <xf numFmtId="178" fontId="89" fillId="0" borderId="0"/>
    <xf numFmtId="178" fontId="89" fillId="0" borderId="0"/>
    <xf numFmtId="0" fontId="89" fillId="0" borderId="0"/>
    <xf numFmtId="0" fontId="8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89" fillId="0" borderId="0"/>
    <xf numFmtId="178" fontId="89" fillId="0" borderId="0"/>
    <xf numFmtId="178" fontId="8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89" fillId="0" borderId="0"/>
    <xf numFmtId="178" fontId="89" fillId="0" borderId="0"/>
    <xf numFmtId="0" fontId="89" fillId="0" borderId="0"/>
    <xf numFmtId="178" fontId="89" fillId="0" borderId="0"/>
    <xf numFmtId="0" fontId="89" fillId="0" borderId="0"/>
    <xf numFmtId="178" fontId="89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89" fillId="0" borderId="0"/>
    <xf numFmtId="0" fontId="89" fillId="0" borderId="0"/>
    <xf numFmtId="178" fontId="89" fillId="0" borderId="0"/>
    <xf numFmtId="178" fontId="89" fillId="0" borderId="0"/>
    <xf numFmtId="0" fontId="89" fillId="0" borderId="0"/>
    <xf numFmtId="0" fontId="89" fillId="0" borderId="0"/>
    <xf numFmtId="178" fontId="89" fillId="0" borderId="0"/>
    <xf numFmtId="178" fontId="89" fillId="0" borderId="0"/>
    <xf numFmtId="0" fontId="8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89" fillId="0" borderId="0"/>
    <xf numFmtId="178" fontId="89" fillId="0" borderId="0"/>
    <xf numFmtId="178" fontId="89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89" fillId="0" borderId="0"/>
    <xf numFmtId="178" fontId="89" fillId="0" borderId="0"/>
    <xf numFmtId="178" fontId="89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89" fillId="0" borderId="0"/>
    <xf numFmtId="0" fontId="89" fillId="0" borderId="0"/>
    <xf numFmtId="178" fontId="89" fillId="0" borderId="0"/>
    <xf numFmtId="178" fontId="89" fillId="0" borderId="0"/>
    <xf numFmtId="0" fontId="89" fillId="0" borderId="0"/>
    <xf numFmtId="0" fontId="8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89" fillId="0" borderId="0"/>
    <xf numFmtId="178" fontId="89" fillId="0" borderId="0"/>
    <xf numFmtId="178" fontId="8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89" fillId="0" borderId="0"/>
    <xf numFmtId="178" fontId="89" fillId="0" borderId="0"/>
    <xf numFmtId="0" fontId="89" fillId="0" borderId="0"/>
    <xf numFmtId="178" fontId="89" fillId="0" borderId="0"/>
    <xf numFmtId="0" fontId="89" fillId="0" borderId="0"/>
    <xf numFmtId="178" fontId="89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89" fillId="0" borderId="0"/>
    <xf numFmtId="0" fontId="89" fillId="0" borderId="0"/>
    <xf numFmtId="178" fontId="89" fillId="0" borderId="0"/>
    <xf numFmtId="178" fontId="89" fillId="0" borderId="0"/>
    <xf numFmtId="0" fontId="89" fillId="0" borderId="0"/>
    <xf numFmtId="0" fontId="89" fillId="0" borderId="0"/>
    <xf numFmtId="178" fontId="89" fillId="0" borderId="0"/>
    <xf numFmtId="178" fontId="89" fillId="0" borderId="0"/>
    <xf numFmtId="0" fontId="8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89" fillId="0" borderId="0"/>
    <xf numFmtId="178" fontId="89" fillId="0" borderId="0"/>
    <xf numFmtId="178" fontId="89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89" fillId="0" borderId="0"/>
    <xf numFmtId="0" fontId="89" fillId="0" borderId="0"/>
    <xf numFmtId="178" fontId="89" fillId="0" borderId="0"/>
    <xf numFmtId="178" fontId="89" fillId="0" borderId="0"/>
    <xf numFmtId="0" fontId="89" fillId="0" borderId="0"/>
    <xf numFmtId="0" fontId="8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89" fillId="0" borderId="0"/>
    <xf numFmtId="178" fontId="89" fillId="0" borderId="0"/>
    <xf numFmtId="178" fontId="8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89" fillId="0" borderId="0"/>
    <xf numFmtId="178" fontId="89" fillId="0" borderId="0"/>
    <xf numFmtId="0" fontId="89" fillId="0" borderId="0"/>
    <xf numFmtId="178" fontId="89" fillId="0" borderId="0"/>
    <xf numFmtId="0" fontId="89" fillId="0" borderId="0"/>
    <xf numFmtId="178" fontId="89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89" fillId="0" borderId="0"/>
    <xf numFmtId="0" fontId="89" fillId="0" borderId="0"/>
    <xf numFmtId="178" fontId="89" fillId="0" borderId="0"/>
    <xf numFmtId="178" fontId="89" fillId="0" borderId="0"/>
    <xf numFmtId="0" fontId="89" fillId="0" borderId="0"/>
    <xf numFmtId="0" fontId="89" fillId="0" borderId="0"/>
    <xf numFmtId="178" fontId="89" fillId="0" borderId="0"/>
    <xf numFmtId="178" fontId="89" fillId="0" borderId="0"/>
    <xf numFmtId="0" fontId="8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89" fillId="0" borderId="0"/>
    <xf numFmtId="178" fontId="89" fillId="0" borderId="0"/>
    <xf numFmtId="178" fontId="89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89" fillId="0" borderId="0"/>
    <xf numFmtId="178" fontId="89" fillId="0" borderId="0"/>
    <xf numFmtId="178" fontId="89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89" fillId="0" borderId="0"/>
    <xf numFmtId="0" fontId="89" fillId="0" borderId="0"/>
    <xf numFmtId="178" fontId="89" fillId="0" borderId="0"/>
    <xf numFmtId="178" fontId="89" fillId="0" borderId="0"/>
    <xf numFmtId="0" fontId="89" fillId="0" borderId="0"/>
    <xf numFmtId="0" fontId="8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89" fillId="0" borderId="0"/>
    <xf numFmtId="178" fontId="89" fillId="0" borderId="0"/>
    <xf numFmtId="178" fontId="8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89" fillId="0" borderId="0"/>
    <xf numFmtId="178" fontId="89" fillId="0" borderId="0"/>
    <xf numFmtId="0" fontId="89" fillId="0" borderId="0"/>
    <xf numFmtId="178" fontId="89" fillId="0" borderId="0"/>
    <xf numFmtId="0" fontId="89" fillId="0" borderId="0"/>
    <xf numFmtId="178" fontId="89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89" fillId="0" borderId="0"/>
    <xf numFmtId="0" fontId="89" fillId="0" borderId="0"/>
    <xf numFmtId="178" fontId="89" fillId="0" borderId="0"/>
    <xf numFmtId="178" fontId="89" fillId="0" borderId="0"/>
    <xf numFmtId="0" fontId="89" fillId="0" borderId="0"/>
    <xf numFmtId="0" fontId="89" fillId="0" borderId="0"/>
    <xf numFmtId="178" fontId="89" fillId="0" borderId="0"/>
    <xf numFmtId="178" fontId="89" fillId="0" borderId="0"/>
    <xf numFmtId="0" fontId="8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89" fillId="0" borderId="0"/>
    <xf numFmtId="178" fontId="89" fillId="0" borderId="0"/>
    <xf numFmtId="178" fontId="89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89" fillId="0" borderId="0"/>
    <xf numFmtId="178" fontId="89" fillId="0" borderId="0"/>
    <xf numFmtId="178" fontId="89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89" fillId="0" borderId="0"/>
    <xf numFmtId="0" fontId="89" fillId="0" borderId="0"/>
    <xf numFmtId="178" fontId="89" fillId="0" borderId="0"/>
    <xf numFmtId="178" fontId="89" fillId="0" borderId="0"/>
    <xf numFmtId="0" fontId="89" fillId="0" borderId="0"/>
    <xf numFmtId="0" fontId="8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89" fillId="0" borderId="0"/>
    <xf numFmtId="178" fontId="89" fillId="0" borderId="0"/>
    <xf numFmtId="178" fontId="8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89" fillId="0" borderId="0"/>
    <xf numFmtId="178" fontId="89" fillId="0" borderId="0"/>
    <xf numFmtId="0" fontId="89" fillId="0" borderId="0"/>
    <xf numFmtId="178" fontId="89" fillId="0" borderId="0"/>
    <xf numFmtId="0" fontId="89" fillId="0" borderId="0"/>
    <xf numFmtId="178" fontId="89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89" fillId="0" borderId="0"/>
    <xf numFmtId="0" fontId="89" fillId="0" borderId="0"/>
    <xf numFmtId="178" fontId="89" fillId="0" borderId="0"/>
    <xf numFmtId="178" fontId="89" fillId="0" borderId="0"/>
    <xf numFmtId="0" fontId="89" fillId="0" borderId="0"/>
    <xf numFmtId="0" fontId="89" fillId="0" borderId="0"/>
    <xf numFmtId="178" fontId="89" fillId="0" borderId="0"/>
    <xf numFmtId="178" fontId="89" fillId="0" borderId="0"/>
    <xf numFmtId="0" fontId="8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89" fillId="0" borderId="0"/>
    <xf numFmtId="178" fontId="89" fillId="0" borderId="0"/>
    <xf numFmtId="178" fontId="89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63" fillId="0" borderId="0"/>
    <xf numFmtId="178" fontId="63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2" fillId="0" borderId="0">
      <alignment vertical="top"/>
    </xf>
    <xf numFmtId="0" fontId="92" fillId="0" borderId="0">
      <alignment vertical="top"/>
    </xf>
    <xf numFmtId="178" fontId="92" fillId="0" borderId="0">
      <alignment vertical="top"/>
    </xf>
    <xf numFmtId="178" fontId="92" fillId="0" borderId="0">
      <alignment vertical="top"/>
    </xf>
    <xf numFmtId="198" fontId="67" fillId="0" borderId="0" applyFont="0" applyFill="0" applyBorder="0" applyAlignment="0" applyProtection="0"/>
    <xf numFmtId="198" fontId="67" fillId="0" borderId="0" applyFont="0" applyFill="0" applyBorder="0" applyAlignment="0" applyProtection="0"/>
    <xf numFmtId="199" fontId="67" fillId="0" borderId="0" applyFont="0" applyFill="0" applyBorder="0" applyAlignment="0" applyProtection="0"/>
    <xf numFmtId="199" fontId="67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67" fillId="0" borderId="0" applyFont="0" applyFill="0" applyBorder="0" applyAlignment="0" applyProtection="0"/>
    <xf numFmtId="178" fontId="67" fillId="0" borderId="0" applyFont="0" applyFill="0" applyBorder="0" applyAlignment="0" applyProtection="0"/>
    <xf numFmtId="178" fontId="67" fillId="0" borderId="0" applyFont="0" applyFill="0" applyBorder="0" applyAlignment="0" applyProtection="0"/>
    <xf numFmtId="200" fontId="18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67" fillId="0" borderId="0" applyFont="0" applyFill="0" applyBorder="0" applyAlignment="0" applyProtection="0"/>
    <xf numFmtId="178" fontId="67" fillId="0" borderId="0" applyFont="0" applyFill="0" applyBorder="0" applyAlignment="0" applyProtection="0"/>
    <xf numFmtId="178" fontId="67" fillId="0" borderId="0" applyFont="0" applyFill="0" applyBorder="0" applyAlignment="0" applyProtection="0"/>
    <xf numFmtId="201" fontId="18" fillId="0" borderId="0" applyFont="0" applyFill="0" applyBorder="0" applyAlignment="0" applyProtection="0"/>
    <xf numFmtId="173" fontId="67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67" fillId="0" borderId="0" applyFont="0" applyFill="0" applyBorder="0" applyAlignment="0" applyProtection="0"/>
    <xf numFmtId="178" fontId="67" fillId="0" borderId="0" applyFont="0" applyFill="0" applyBorder="0" applyAlignment="0" applyProtection="0"/>
    <xf numFmtId="178" fontId="67" fillId="0" borderId="0" applyFont="0" applyFill="0" applyBorder="0" applyAlignment="0" applyProtection="0"/>
    <xf numFmtId="202" fontId="18" fillId="0" borderId="0" applyFont="0" applyFill="0" applyBorder="0" applyAlignment="0" applyProtection="0"/>
    <xf numFmtId="203" fontId="18" fillId="0" borderId="0" applyFont="0" applyFill="0" applyBorder="0" applyAlignment="0" applyProtection="0"/>
    <xf numFmtId="203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204" fontId="67" fillId="0" borderId="0" applyFont="0" applyFill="0" applyBorder="0" applyAlignment="0" applyProtection="0"/>
    <xf numFmtId="0" fontId="90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90" fillId="0" borderId="0"/>
    <xf numFmtId="178" fontId="90" fillId="0" borderId="0"/>
    <xf numFmtId="178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18" fillId="0" borderId="0"/>
    <xf numFmtId="0" fontId="18" fillId="0" borderId="0"/>
    <xf numFmtId="0" fontId="69" fillId="0" borderId="0"/>
    <xf numFmtId="178" fontId="69" fillId="0" borderId="0"/>
    <xf numFmtId="178" fontId="69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69" fillId="0" borderId="0"/>
    <xf numFmtId="0" fontId="69" fillId="0" borderId="0"/>
    <xf numFmtId="178" fontId="69" fillId="0" borderId="0"/>
    <xf numFmtId="178" fontId="69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69" fillId="0" borderId="0"/>
    <xf numFmtId="0" fontId="69" fillId="0" borderId="0"/>
    <xf numFmtId="178" fontId="69" fillId="0" borderId="0"/>
    <xf numFmtId="178" fontId="69" fillId="0" borderId="0"/>
    <xf numFmtId="0" fontId="69" fillId="0" borderId="0"/>
    <xf numFmtId="0" fontId="69" fillId="0" borderId="0"/>
    <xf numFmtId="178" fontId="69" fillId="0" borderId="0"/>
    <xf numFmtId="178" fontId="69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69" fillId="0" borderId="0"/>
    <xf numFmtId="0" fontId="69" fillId="0" borderId="0"/>
    <xf numFmtId="178" fontId="69" fillId="0" borderId="0"/>
    <xf numFmtId="178" fontId="69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69" fillId="0" borderId="0"/>
    <xf numFmtId="0" fontId="69" fillId="0" borderId="0"/>
    <xf numFmtId="178" fontId="69" fillId="0" borderId="0"/>
    <xf numFmtId="178" fontId="69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1" fontId="18" fillId="0" borderId="0"/>
    <xf numFmtId="1" fontId="18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69" fillId="0" borderId="0"/>
    <xf numFmtId="0" fontId="69" fillId="0" borderId="0"/>
    <xf numFmtId="178" fontId="69" fillId="0" borderId="0"/>
    <xf numFmtId="178" fontId="69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69" fillId="0" borderId="0"/>
    <xf numFmtId="178" fontId="69" fillId="0" borderId="0"/>
    <xf numFmtId="0" fontId="63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7" fillId="0" borderId="0" applyFont="0" applyFill="0" applyBorder="0" applyAlignment="0" applyProtection="0"/>
    <xf numFmtId="0" fontId="67" fillId="0" borderId="0" applyFont="0" applyFill="0" applyBorder="0" applyAlignment="0" applyProtection="0"/>
    <xf numFmtId="178" fontId="67" fillId="0" borderId="0" applyFont="0" applyFill="0" applyBorder="0" applyAlignment="0" applyProtection="0"/>
    <xf numFmtId="178" fontId="67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67" fillId="0" borderId="0" applyFont="0" applyFill="0" applyBorder="0" applyAlignment="0" applyProtection="0"/>
    <xf numFmtId="178" fontId="67" fillId="0" borderId="0" applyFont="0" applyFill="0" applyBorder="0" applyAlignment="0" applyProtection="0"/>
    <xf numFmtId="178" fontId="67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67" fillId="0" borderId="0" applyFont="0" applyFill="0" applyBorder="0" applyAlignment="0" applyProtection="0"/>
    <xf numFmtId="178" fontId="67" fillId="0" borderId="0" applyFont="0" applyFill="0" applyBorder="0" applyAlignment="0" applyProtection="0"/>
    <xf numFmtId="178" fontId="67" fillId="0" borderId="0" applyFont="0" applyFill="0" applyBorder="0" applyAlignment="0" applyProtection="0"/>
    <xf numFmtId="205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206" fontId="67" fillId="0" borderId="0" applyFont="0" applyFill="0" applyBorder="0" applyAlignment="0" applyProtection="0"/>
    <xf numFmtId="207" fontId="67" fillId="0" borderId="0" applyFont="0" applyFill="0" applyBorder="0" applyAlignment="0" applyProtection="0"/>
    <xf numFmtId="208" fontId="18" fillId="0" borderId="0" applyFont="0" applyFill="0" applyBorder="0" applyAlignment="0" applyProtection="0"/>
    <xf numFmtId="209" fontId="18" fillId="0" borderId="0" applyFont="0" applyFill="0" applyBorder="0" applyAlignment="0" applyProtection="0"/>
    <xf numFmtId="210" fontId="18" fillId="0" borderId="0" applyFont="0" applyFill="0" applyBorder="0" applyAlignment="0" applyProtection="0"/>
    <xf numFmtId="0" fontId="69" fillId="0" borderId="0"/>
    <xf numFmtId="0" fontId="69" fillId="0" borderId="0"/>
    <xf numFmtId="178" fontId="69" fillId="0" borderId="0"/>
    <xf numFmtId="178" fontId="69" fillId="0" borderId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178" fontId="18" fillId="0" borderId="0" applyNumberFormat="0" applyFont="0" applyFill="0" applyBorder="0" applyAlignment="0" applyProtection="0"/>
    <xf numFmtId="178" fontId="18" fillId="0" borderId="0" applyNumberFormat="0" applyFont="0" applyFill="0" applyBorder="0" applyAlignment="0" applyProtection="0"/>
    <xf numFmtId="0" fontId="69" fillId="0" borderId="0"/>
    <xf numFmtId="178" fontId="69" fillId="0" borderId="0"/>
    <xf numFmtId="0" fontId="92" fillId="0" borderId="0">
      <alignment vertical="top"/>
    </xf>
    <xf numFmtId="0" fontId="92" fillId="0" borderId="0">
      <alignment vertical="top"/>
    </xf>
    <xf numFmtId="178" fontId="92" fillId="0" borderId="0">
      <alignment vertical="top"/>
    </xf>
    <xf numFmtId="178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178" fontId="92" fillId="0" borderId="0">
      <alignment vertical="top"/>
    </xf>
    <xf numFmtId="178" fontId="92" fillId="0" borderId="0">
      <alignment vertical="top"/>
    </xf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0" fontId="92" fillId="0" borderId="0">
      <alignment vertical="top"/>
    </xf>
    <xf numFmtId="0" fontId="92" fillId="0" borderId="0">
      <alignment vertical="top"/>
    </xf>
    <xf numFmtId="178" fontId="92" fillId="0" borderId="0">
      <alignment vertical="top"/>
    </xf>
    <xf numFmtId="178" fontId="92" fillId="0" borderId="0">
      <alignment vertical="top"/>
    </xf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2" fillId="0" borderId="0">
      <alignment vertical="top"/>
    </xf>
    <xf numFmtId="0" fontId="92" fillId="0" borderId="0">
      <alignment vertical="top"/>
    </xf>
    <xf numFmtId="178" fontId="92" fillId="0" borderId="0">
      <alignment vertical="top"/>
    </xf>
    <xf numFmtId="178" fontId="92" fillId="0" borderId="0">
      <alignment vertical="top"/>
    </xf>
    <xf numFmtId="0" fontId="63" fillId="0" borderId="0"/>
    <xf numFmtId="0" fontId="63" fillId="0" borderId="0"/>
    <xf numFmtId="178" fontId="63" fillId="0" borderId="0"/>
    <xf numFmtId="178" fontId="63" fillId="0" borderId="0"/>
    <xf numFmtId="0" fontId="8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89" fillId="0" borderId="0"/>
    <xf numFmtId="178" fontId="89" fillId="0" borderId="0"/>
    <xf numFmtId="178" fontId="89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167" fontId="18" fillId="0" borderId="0" applyFont="0" applyFill="0" applyBorder="0" applyAlignment="0" applyProtection="0"/>
    <xf numFmtId="0" fontId="18" fillId="0" borderId="0"/>
    <xf numFmtId="0" fontId="18" fillId="0" borderId="0"/>
    <xf numFmtId="178" fontId="18" fillId="0" borderId="0"/>
    <xf numFmtId="178" fontId="18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178" fontId="18" fillId="42" borderId="0"/>
    <xf numFmtId="0" fontId="18" fillId="42" borderId="0"/>
    <xf numFmtId="178" fontId="18" fillId="42" borderId="0"/>
    <xf numFmtId="0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178" fontId="18" fillId="42" borderId="0"/>
    <xf numFmtId="0" fontId="18" fillId="42" borderId="0"/>
    <xf numFmtId="178" fontId="18" fillId="42" borderId="0"/>
    <xf numFmtId="0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60" borderId="41"/>
    <xf numFmtId="0" fontId="18" fillId="60" borderId="41"/>
    <xf numFmtId="0" fontId="18" fillId="60" borderId="41"/>
    <xf numFmtId="178" fontId="18" fillId="60" borderId="41"/>
    <xf numFmtId="0" fontId="18" fillId="60" borderId="41"/>
    <xf numFmtId="0" fontId="18" fillId="60" borderId="41"/>
    <xf numFmtId="178" fontId="18" fillId="60" borderId="41"/>
    <xf numFmtId="188" fontId="18" fillId="60" borderId="41"/>
    <xf numFmtId="178" fontId="18" fillId="60" borderId="41"/>
    <xf numFmtId="0" fontId="18" fillId="60" borderId="41"/>
    <xf numFmtId="0" fontId="18" fillId="60" borderId="41"/>
    <xf numFmtId="0" fontId="18" fillId="60" borderId="41"/>
    <xf numFmtId="178" fontId="18" fillId="60" borderId="41"/>
    <xf numFmtId="178" fontId="18" fillId="60" borderId="41"/>
    <xf numFmtId="0" fontId="18" fillId="60" borderId="41"/>
    <xf numFmtId="0" fontId="18" fillId="60" borderId="41"/>
    <xf numFmtId="178" fontId="18" fillId="60" borderId="41"/>
    <xf numFmtId="188" fontId="18" fillId="60" borderId="41"/>
    <xf numFmtId="178" fontId="18" fillId="60" borderId="41"/>
    <xf numFmtId="0" fontId="18" fillId="60" borderId="41"/>
    <xf numFmtId="0" fontId="18" fillId="60" borderId="41"/>
    <xf numFmtId="0" fontId="18" fillId="60" borderId="41"/>
    <xf numFmtId="178" fontId="18" fillId="60" borderId="41"/>
    <xf numFmtId="0" fontId="18" fillId="60" borderId="41"/>
    <xf numFmtId="0" fontId="18" fillId="60" borderId="41"/>
    <xf numFmtId="178" fontId="18" fillId="60" borderId="41"/>
    <xf numFmtId="188" fontId="18" fillId="60" borderId="41"/>
    <xf numFmtId="178" fontId="18" fillId="60" borderId="41"/>
    <xf numFmtId="0" fontId="18" fillId="60" borderId="41"/>
    <xf numFmtId="0" fontId="18" fillId="60" borderId="41"/>
    <xf numFmtId="0" fontId="18" fillId="60" borderId="41"/>
    <xf numFmtId="178" fontId="18" fillId="60" borderId="41"/>
    <xf numFmtId="178" fontId="18" fillId="60" borderId="41"/>
    <xf numFmtId="0" fontId="18" fillId="60" borderId="41"/>
    <xf numFmtId="0" fontId="18" fillId="60" borderId="41"/>
    <xf numFmtId="178" fontId="18" fillId="60" borderId="41"/>
    <xf numFmtId="188" fontId="18" fillId="60" borderId="41"/>
    <xf numFmtId="178" fontId="18" fillId="60" borderId="41"/>
    <xf numFmtId="0" fontId="118" fillId="60" borderId="41"/>
    <xf numFmtId="0" fontId="118" fillId="60" borderId="41"/>
    <xf numFmtId="0" fontId="118" fillId="60" borderId="41"/>
    <xf numFmtId="178" fontId="118" fillId="60" borderId="41"/>
    <xf numFmtId="0" fontId="118" fillId="60" borderId="41"/>
    <xf numFmtId="0" fontId="118" fillId="60" borderId="41"/>
    <xf numFmtId="178" fontId="118" fillId="60" borderId="41"/>
    <xf numFmtId="188" fontId="118" fillId="60" borderId="41"/>
    <xf numFmtId="178" fontId="118" fillId="60" borderId="41"/>
    <xf numFmtId="0" fontId="118" fillId="60" borderId="41"/>
    <xf numFmtId="0" fontId="118" fillId="60" borderId="41"/>
    <xf numFmtId="0" fontId="118" fillId="60" borderId="41"/>
    <xf numFmtId="178" fontId="118" fillId="60" borderId="41"/>
    <xf numFmtId="178" fontId="118" fillId="60" borderId="41"/>
    <xf numFmtId="0" fontId="118" fillId="60" borderId="41"/>
    <xf numFmtId="0" fontId="118" fillId="60" borderId="41"/>
    <xf numFmtId="178" fontId="118" fillId="60" borderId="41"/>
    <xf numFmtId="188" fontId="118" fillId="60" borderId="41"/>
    <xf numFmtId="178" fontId="118" fillId="60" borderId="41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60" borderId="41"/>
    <xf numFmtId="0" fontId="18" fillId="60" borderId="41"/>
    <xf numFmtId="0" fontId="18" fillId="60" borderId="41"/>
    <xf numFmtId="178" fontId="18" fillId="60" borderId="41"/>
    <xf numFmtId="0" fontId="18" fillId="60" borderId="41"/>
    <xf numFmtId="0" fontId="18" fillId="60" borderId="41"/>
    <xf numFmtId="178" fontId="18" fillId="60" borderId="41"/>
    <xf numFmtId="188" fontId="18" fillId="60" borderId="41"/>
    <xf numFmtId="178" fontId="18" fillId="60" borderId="41"/>
    <xf numFmtId="0" fontId="18" fillId="60" borderId="41"/>
    <xf numFmtId="0" fontId="18" fillId="60" borderId="41"/>
    <xf numFmtId="0" fontId="18" fillId="60" borderId="41"/>
    <xf numFmtId="178" fontId="18" fillId="60" borderId="41"/>
    <xf numFmtId="178" fontId="18" fillId="60" borderId="41"/>
    <xf numFmtId="0" fontId="18" fillId="60" borderId="41"/>
    <xf numFmtId="0" fontId="18" fillId="60" borderId="41"/>
    <xf numFmtId="178" fontId="18" fillId="60" borderId="41"/>
    <xf numFmtId="188" fontId="18" fillId="60" borderId="41"/>
    <xf numFmtId="178" fontId="18" fillId="60" borderId="41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18" fillId="60" borderId="41"/>
    <xf numFmtId="0" fontId="118" fillId="60" borderId="41"/>
    <xf numFmtId="0" fontId="118" fillId="60" borderId="41"/>
    <xf numFmtId="178" fontId="118" fillId="60" borderId="41"/>
    <xf numFmtId="0" fontId="118" fillId="60" borderId="41"/>
    <xf numFmtId="0" fontId="118" fillId="60" borderId="41"/>
    <xf numFmtId="178" fontId="118" fillId="60" borderId="41"/>
    <xf numFmtId="188" fontId="118" fillId="60" borderId="41"/>
    <xf numFmtId="178" fontId="118" fillId="60" borderId="41"/>
    <xf numFmtId="0" fontId="118" fillId="60" borderId="41"/>
    <xf numFmtId="0" fontId="118" fillId="60" borderId="41"/>
    <xf numFmtId="0" fontId="118" fillId="60" borderId="41"/>
    <xf numFmtId="178" fontId="118" fillId="60" borderId="41"/>
    <xf numFmtId="178" fontId="118" fillId="60" borderId="41"/>
    <xf numFmtId="0" fontId="118" fillId="60" borderId="41"/>
    <xf numFmtId="0" fontId="118" fillId="60" borderId="41"/>
    <xf numFmtId="178" fontId="118" fillId="60" borderId="41"/>
    <xf numFmtId="188" fontId="118" fillId="60" borderId="41"/>
    <xf numFmtId="178" fontId="118" fillId="60" borderId="41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28" fillId="42" borderId="0"/>
    <xf numFmtId="0" fontId="28" fillId="42" borderId="0"/>
    <xf numFmtId="178" fontId="28" fillId="42" borderId="0"/>
    <xf numFmtId="178" fontId="28" fillId="42" borderId="0"/>
    <xf numFmtId="0" fontId="28" fillId="42" borderId="0"/>
    <xf numFmtId="0" fontId="28" fillId="42" borderId="0"/>
    <xf numFmtId="178" fontId="28" fillId="42" borderId="0"/>
    <xf numFmtId="178" fontId="28" fillId="42" borderId="0"/>
    <xf numFmtId="0" fontId="18" fillId="60" borderId="41"/>
    <xf numFmtId="0" fontId="18" fillId="60" borderId="41"/>
    <xf numFmtId="0" fontId="18" fillId="60" borderId="41"/>
    <xf numFmtId="178" fontId="18" fillId="60" borderId="41"/>
    <xf numFmtId="0" fontId="18" fillId="60" borderId="41"/>
    <xf numFmtId="0" fontId="18" fillId="60" borderId="41"/>
    <xf numFmtId="178" fontId="18" fillId="60" borderId="41"/>
    <xf numFmtId="188" fontId="18" fillId="60" borderId="41"/>
    <xf numFmtId="178" fontId="18" fillId="60" borderId="41"/>
    <xf numFmtId="0" fontId="18" fillId="60" borderId="41"/>
    <xf numFmtId="0" fontId="18" fillId="60" borderId="41"/>
    <xf numFmtId="0" fontId="18" fillId="60" borderId="41"/>
    <xf numFmtId="178" fontId="18" fillId="60" borderId="41"/>
    <xf numFmtId="178" fontId="18" fillId="60" borderId="41"/>
    <xf numFmtId="0" fontId="18" fillId="60" borderId="41"/>
    <xf numFmtId="0" fontId="18" fillId="60" borderId="41"/>
    <xf numFmtId="178" fontId="18" fillId="60" borderId="41"/>
    <xf numFmtId="188" fontId="18" fillId="60" borderId="41"/>
    <xf numFmtId="178" fontId="18" fillId="60" borderId="41"/>
    <xf numFmtId="0" fontId="18" fillId="60" borderId="41"/>
    <xf numFmtId="0" fontId="18" fillId="60" borderId="41"/>
    <xf numFmtId="0" fontId="18" fillId="60" borderId="41"/>
    <xf numFmtId="178" fontId="18" fillId="60" borderId="41"/>
    <xf numFmtId="0" fontId="18" fillId="60" borderId="41"/>
    <xf numFmtId="0" fontId="18" fillId="60" borderId="41"/>
    <xf numFmtId="178" fontId="18" fillId="60" borderId="41"/>
    <xf numFmtId="188" fontId="18" fillId="60" borderId="41"/>
    <xf numFmtId="178" fontId="18" fillId="60" borderId="41"/>
    <xf numFmtId="0" fontId="18" fillId="60" borderId="41"/>
    <xf numFmtId="0" fontId="18" fillId="60" borderId="41"/>
    <xf numFmtId="0" fontId="18" fillId="60" borderId="41"/>
    <xf numFmtId="178" fontId="18" fillId="60" borderId="41"/>
    <xf numFmtId="178" fontId="18" fillId="60" borderId="41"/>
    <xf numFmtId="0" fontId="18" fillId="60" borderId="41"/>
    <xf numFmtId="0" fontId="18" fillId="60" borderId="41"/>
    <xf numFmtId="178" fontId="18" fillId="60" borderId="41"/>
    <xf numFmtId="188" fontId="18" fillId="60" borderId="41"/>
    <xf numFmtId="178" fontId="18" fillId="60" borderId="41"/>
    <xf numFmtId="0" fontId="118" fillId="60" borderId="41"/>
    <xf numFmtId="0" fontId="118" fillId="60" borderId="41"/>
    <xf numFmtId="0" fontId="118" fillId="60" borderId="41"/>
    <xf numFmtId="178" fontId="118" fillId="60" borderId="41"/>
    <xf numFmtId="0" fontId="118" fillId="60" borderId="41"/>
    <xf numFmtId="0" fontId="118" fillId="60" borderId="41"/>
    <xf numFmtId="178" fontId="118" fillId="60" borderId="41"/>
    <xf numFmtId="188" fontId="118" fillId="60" borderId="41"/>
    <xf numFmtId="178" fontId="118" fillId="60" borderId="41"/>
    <xf numFmtId="0" fontId="118" fillId="60" borderId="41"/>
    <xf numFmtId="0" fontId="118" fillId="60" borderId="41"/>
    <xf numFmtId="0" fontId="118" fillId="60" borderId="41"/>
    <xf numFmtId="178" fontId="118" fillId="60" borderId="41"/>
    <xf numFmtId="178" fontId="118" fillId="60" borderId="41"/>
    <xf numFmtId="0" fontId="118" fillId="60" borderId="41"/>
    <xf numFmtId="0" fontId="118" fillId="60" borderId="41"/>
    <xf numFmtId="178" fontId="118" fillId="60" borderId="41"/>
    <xf numFmtId="188" fontId="118" fillId="60" borderId="41"/>
    <xf numFmtId="178" fontId="118" fillId="60" borderId="41"/>
    <xf numFmtId="0" fontId="28" fillId="52" borderId="0"/>
    <xf numFmtId="0" fontId="28" fillId="52" borderId="0"/>
    <xf numFmtId="178" fontId="28" fillId="52" borderId="0"/>
    <xf numFmtId="178" fontId="28" fillId="52" borderId="0"/>
    <xf numFmtId="0" fontId="18" fillId="60" borderId="41"/>
    <xf numFmtId="0" fontId="18" fillId="60" borderId="41"/>
    <xf numFmtId="0" fontId="18" fillId="60" borderId="41"/>
    <xf numFmtId="178" fontId="18" fillId="60" borderId="41"/>
    <xf numFmtId="0" fontId="18" fillId="60" borderId="41"/>
    <xf numFmtId="0" fontId="18" fillId="60" borderId="41"/>
    <xf numFmtId="178" fontId="18" fillId="60" borderId="41"/>
    <xf numFmtId="188" fontId="18" fillId="60" borderId="41"/>
    <xf numFmtId="178" fontId="18" fillId="60" borderId="41"/>
    <xf numFmtId="0" fontId="18" fillId="60" borderId="41"/>
    <xf numFmtId="0" fontId="18" fillId="60" borderId="41"/>
    <xf numFmtId="0" fontId="18" fillId="60" borderId="41"/>
    <xf numFmtId="178" fontId="18" fillId="60" borderId="41"/>
    <xf numFmtId="178" fontId="18" fillId="60" borderId="41"/>
    <xf numFmtId="0" fontId="18" fillId="60" borderId="41"/>
    <xf numFmtId="0" fontId="18" fillId="60" borderId="41"/>
    <xf numFmtId="178" fontId="18" fillId="60" borderId="41"/>
    <xf numFmtId="188" fontId="18" fillId="60" borderId="41"/>
    <xf numFmtId="178" fontId="18" fillId="60" borderId="41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00" fillId="42" borderId="0"/>
    <xf numFmtId="178" fontId="100" fillId="42" borderId="0"/>
    <xf numFmtId="178" fontId="100" fillId="42" borderId="0"/>
    <xf numFmtId="0" fontId="100" fillId="42" borderId="0"/>
    <xf numFmtId="0" fontId="100" fillId="42" borderId="0"/>
    <xf numFmtId="178" fontId="100" fillId="42" borderId="0"/>
    <xf numFmtId="178" fontId="100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00" fillId="42" borderId="0"/>
    <xf numFmtId="0" fontId="100" fillId="42" borderId="0"/>
    <xf numFmtId="178" fontId="100" fillId="42" borderId="0"/>
    <xf numFmtId="178" fontId="100" fillId="42" borderId="0"/>
    <xf numFmtId="0" fontId="100" fillId="42" borderId="0"/>
    <xf numFmtId="0" fontId="100" fillId="42" borderId="0"/>
    <xf numFmtId="178" fontId="100" fillId="42" borderId="0"/>
    <xf numFmtId="178" fontId="100" fillId="42" borderId="0"/>
    <xf numFmtId="0" fontId="18" fillId="42" borderId="0"/>
    <xf numFmtId="178" fontId="18" fillId="42" borderId="0"/>
    <xf numFmtId="0" fontId="18" fillId="42" borderId="0"/>
    <xf numFmtId="178" fontId="18" fillId="42" borderId="0"/>
    <xf numFmtId="0" fontId="18" fillId="42" borderId="0"/>
    <xf numFmtId="178" fontId="18" fillId="42" borderId="0"/>
    <xf numFmtId="0" fontId="100" fillId="42" borderId="0"/>
    <xf numFmtId="0" fontId="100" fillId="42" borderId="0"/>
    <xf numFmtId="178" fontId="100" fillId="42" borderId="0"/>
    <xf numFmtId="178" fontId="100" fillId="42" borderId="0"/>
    <xf numFmtId="0" fontId="100" fillId="42" borderId="0"/>
    <xf numFmtId="0" fontId="100" fillId="42" borderId="0"/>
    <xf numFmtId="0" fontId="100" fillId="42" borderId="0"/>
    <xf numFmtId="178" fontId="100" fillId="42" borderId="0"/>
    <xf numFmtId="178" fontId="100" fillId="42" borderId="0"/>
    <xf numFmtId="0" fontId="100" fillId="42" borderId="0"/>
    <xf numFmtId="178" fontId="100" fillId="42" borderId="0"/>
    <xf numFmtId="0" fontId="100" fillId="42" borderId="0"/>
    <xf numFmtId="178" fontId="100" fillId="42" borderId="0"/>
    <xf numFmtId="0" fontId="100" fillId="42" borderId="0"/>
    <xf numFmtId="178" fontId="100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00" fillId="42" borderId="0"/>
    <xf numFmtId="0" fontId="100" fillId="42" borderId="0"/>
    <xf numFmtId="178" fontId="100" fillId="42" borderId="0"/>
    <xf numFmtId="178" fontId="100" fillId="42" borderId="0"/>
    <xf numFmtId="0" fontId="100" fillId="42" borderId="0"/>
    <xf numFmtId="0" fontId="100" fillId="42" borderId="0"/>
    <xf numFmtId="178" fontId="100" fillId="42" borderId="0"/>
    <xf numFmtId="178" fontId="100" fillId="42" borderId="0"/>
    <xf numFmtId="0" fontId="100" fillId="42" borderId="0"/>
    <xf numFmtId="0" fontId="100" fillId="42" borderId="0"/>
    <xf numFmtId="178" fontId="100" fillId="42" borderId="0"/>
    <xf numFmtId="178" fontId="100" fillId="42" borderId="0"/>
    <xf numFmtId="0" fontId="28" fillId="42" borderId="0"/>
    <xf numFmtId="0" fontId="28" fillId="42" borderId="0"/>
    <xf numFmtId="178" fontId="28" fillId="42" borderId="0"/>
    <xf numFmtId="178" fontId="28" fillId="42" borderId="0"/>
    <xf numFmtId="0" fontId="28" fillId="42" borderId="0"/>
    <xf numFmtId="0" fontId="28" fillId="42" borderId="0"/>
    <xf numFmtId="0" fontId="28" fillId="42" borderId="0"/>
    <xf numFmtId="178" fontId="28" fillId="42" borderId="0"/>
    <xf numFmtId="178" fontId="28" fillId="42" borderId="0"/>
    <xf numFmtId="0" fontId="28" fillId="42" borderId="0"/>
    <xf numFmtId="178" fontId="28" fillId="42" borderId="0"/>
    <xf numFmtId="0" fontId="28" fillId="42" borderId="0"/>
    <xf numFmtId="178" fontId="28" fillId="42" borderId="0"/>
    <xf numFmtId="0" fontId="28" fillId="42" borderId="0"/>
    <xf numFmtId="178" fontId="28" fillId="42" borderId="0"/>
    <xf numFmtId="0" fontId="102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02" fillId="42" borderId="0"/>
    <xf numFmtId="178" fontId="102" fillId="42" borderId="0"/>
    <xf numFmtId="178" fontId="102" fillId="42" borderId="0"/>
    <xf numFmtId="0" fontId="102" fillId="42" borderId="0"/>
    <xf numFmtId="0" fontId="102" fillId="42" borderId="0"/>
    <xf numFmtId="178" fontId="102" fillId="42" borderId="0"/>
    <xf numFmtId="178" fontId="102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02" fillId="42" borderId="0"/>
    <xf numFmtId="0" fontId="102" fillId="42" borderId="0"/>
    <xf numFmtId="178" fontId="102" fillId="42" borderId="0"/>
    <xf numFmtId="178" fontId="102" fillId="42" borderId="0"/>
    <xf numFmtId="0" fontId="102" fillId="42" borderId="0"/>
    <xf numFmtId="0" fontId="102" fillId="42" borderId="0"/>
    <xf numFmtId="178" fontId="102" fillId="42" borderId="0"/>
    <xf numFmtId="178" fontId="102" fillId="42" borderId="0"/>
    <xf numFmtId="0" fontId="18" fillId="42" borderId="0"/>
    <xf numFmtId="178" fontId="18" fillId="42" borderId="0"/>
    <xf numFmtId="0" fontId="18" fillId="42" borderId="0"/>
    <xf numFmtId="178" fontId="18" fillId="42" borderId="0"/>
    <xf numFmtId="0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02" fillId="42" borderId="0"/>
    <xf numFmtId="0" fontId="102" fillId="42" borderId="0"/>
    <xf numFmtId="178" fontId="102" fillId="42" borderId="0"/>
    <xf numFmtId="178" fontId="102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60" borderId="41"/>
    <xf numFmtId="0" fontId="18" fillId="60" borderId="41"/>
    <xf numFmtId="0" fontId="18" fillId="60" borderId="41"/>
    <xf numFmtId="178" fontId="18" fillId="60" borderId="41"/>
    <xf numFmtId="0" fontId="18" fillId="60" borderId="41"/>
    <xf numFmtId="0" fontId="18" fillId="60" borderId="41"/>
    <xf numFmtId="178" fontId="18" fillId="60" borderId="41"/>
    <xf numFmtId="188" fontId="18" fillId="60" borderId="41"/>
    <xf numFmtId="178" fontId="18" fillId="60" borderId="41"/>
    <xf numFmtId="0" fontId="18" fillId="60" borderId="41"/>
    <xf numFmtId="0" fontId="18" fillId="60" borderId="41"/>
    <xf numFmtId="0" fontId="18" fillId="60" borderId="41"/>
    <xf numFmtId="178" fontId="18" fillId="60" borderId="41"/>
    <xf numFmtId="178" fontId="18" fillId="60" borderId="41"/>
    <xf numFmtId="0" fontId="18" fillId="60" borderId="41"/>
    <xf numFmtId="0" fontId="18" fillId="60" borderId="41"/>
    <xf numFmtId="178" fontId="18" fillId="60" borderId="41"/>
    <xf numFmtId="188" fontId="18" fillId="60" borderId="41"/>
    <xf numFmtId="178" fontId="18" fillId="60" borderId="41"/>
    <xf numFmtId="0" fontId="102" fillId="42" borderId="0"/>
    <xf numFmtId="0" fontId="102" fillId="42" borderId="0"/>
    <xf numFmtId="178" fontId="102" fillId="42" borderId="0"/>
    <xf numFmtId="178" fontId="102" fillId="42" borderId="0"/>
    <xf numFmtId="0" fontId="18" fillId="60" borderId="41"/>
    <xf numFmtId="0" fontId="18" fillId="60" borderId="41"/>
    <xf numFmtId="0" fontId="18" fillId="60" borderId="41"/>
    <xf numFmtId="178" fontId="18" fillId="60" borderId="41"/>
    <xf numFmtId="0" fontId="18" fillId="60" borderId="41"/>
    <xf numFmtId="0" fontId="18" fillId="60" borderId="41"/>
    <xf numFmtId="178" fontId="18" fillId="60" borderId="41"/>
    <xf numFmtId="188" fontId="18" fillId="60" borderId="41"/>
    <xf numFmtId="178" fontId="18" fillId="60" borderId="41"/>
    <xf numFmtId="0" fontId="18" fillId="60" borderId="41"/>
    <xf numFmtId="0" fontId="18" fillId="60" borderId="41"/>
    <xf numFmtId="0" fontId="18" fillId="60" borderId="41"/>
    <xf numFmtId="178" fontId="18" fillId="60" borderId="41"/>
    <xf numFmtId="178" fontId="18" fillId="60" borderId="41"/>
    <xf numFmtId="0" fontId="18" fillId="60" borderId="41"/>
    <xf numFmtId="0" fontId="18" fillId="60" borderId="41"/>
    <xf numFmtId="178" fontId="18" fillId="60" borderId="41"/>
    <xf numFmtId="188" fontId="18" fillId="60" borderId="41"/>
    <xf numFmtId="178" fontId="18" fillId="60" borderId="41"/>
    <xf numFmtId="0" fontId="118" fillId="60" borderId="41"/>
    <xf numFmtId="0" fontId="118" fillId="60" borderId="41"/>
    <xf numFmtId="0" fontId="118" fillId="60" borderId="41"/>
    <xf numFmtId="178" fontId="118" fillId="60" borderId="41"/>
    <xf numFmtId="0" fontId="118" fillId="60" borderId="41"/>
    <xf numFmtId="0" fontId="118" fillId="60" borderId="41"/>
    <xf numFmtId="178" fontId="118" fillId="60" borderId="41"/>
    <xf numFmtId="188" fontId="118" fillId="60" borderId="41"/>
    <xf numFmtId="178" fontId="118" fillId="60" borderId="41"/>
    <xf numFmtId="0" fontId="118" fillId="60" borderId="41"/>
    <xf numFmtId="0" fontId="118" fillId="60" borderId="41"/>
    <xf numFmtId="0" fontId="118" fillId="60" borderId="41"/>
    <xf numFmtId="178" fontId="118" fillId="60" borderId="41"/>
    <xf numFmtId="178" fontId="118" fillId="60" borderId="41"/>
    <xf numFmtId="0" fontId="118" fillId="60" borderId="41"/>
    <xf numFmtId="0" fontId="118" fillId="60" borderId="41"/>
    <xf numFmtId="178" fontId="118" fillId="60" borderId="41"/>
    <xf numFmtId="188" fontId="118" fillId="60" borderId="41"/>
    <xf numFmtId="178" fontId="118" fillId="60" borderId="41"/>
    <xf numFmtId="0" fontId="102" fillId="52" borderId="0"/>
    <xf numFmtId="0" fontId="102" fillId="52" borderId="0"/>
    <xf numFmtId="178" fontId="102" fillId="52" borderId="0"/>
    <xf numFmtId="178" fontId="102" fillId="52" borderId="0"/>
    <xf numFmtId="0" fontId="102" fillId="52" borderId="0"/>
    <xf numFmtId="0" fontId="102" fillId="52" borderId="0"/>
    <xf numFmtId="178" fontId="102" fillId="52" borderId="0"/>
    <xf numFmtId="178" fontId="102" fillId="52" borderId="0"/>
    <xf numFmtId="0" fontId="18" fillId="60" borderId="41"/>
    <xf numFmtId="0" fontId="18" fillId="60" borderId="41"/>
    <xf numFmtId="0" fontId="18" fillId="60" borderId="41"/>
    <xf numFmtId="178" fontId="18" fillId="60" borderId="41"/>
    <xf numFmtId="0" fontId="18" fillId="60" borderId="41"/>
    <xf numFmtId="0" fontId="18" fillId="60" borderId="41"/>
    <xf numFmtId="178" fontId="18" fillId="60" borderId="41"/>
    <xf numFmtId="188" fontId="18" fillId="60" borderId="41"/>
    <xf numFmtId="178" fontId="18" fillId="60" borderId="41"/>
    <xf numFmtId="0" fontId="18" fillId="60" borderId="41"/>
    <xf numFmtId="0" fontId="18" fillId="60" borderId="41"/>
    <xf numFmtId="0" fontId="18" fillId="60" borderId="41"/>
    <xf numFmtId="178" fontId="18" fillId="60" borderId="41"/>
    <xf numFmtId="178" fontId="18" fillId="60" borderId="41"/>
    <xf numFmtId="0" fontId="18" fillId="60" borderId="41"/>
    <xf numFmtId="0" fontId="18" fillId="60" borderId="41"/>
    <xf numFmtId="178" fontId="18" fillId="60" borderId="41"/>
    <xf numFmtId="188" fontId="18" fillId="60" borderId="41"/>
    <xf numFmtId="178" fontId="18" fillId="60" borderId="41"/>
    <xf numFmtId="0" fontId="18" fillId="42" borderId="0"/>
    <xf numFmtId="0" fontId="18" fillId="42" borderId="0"/>
    <xf numFmtId="178" fontId="18" fillId="42" borderId="0"/>
    <xf numFmtId="178" fontId="18" fillId="42" borderId="0"/>
    <xf numFmtId="0" fontId="102" fillId="42" borderId="0"/>
    <xf numFmtId="0" fontId="102" fillId="42" borderId="0"/>
    <xf numFmtId="0" fontId="102" fillId="42" borderId="0"/>
    <xf numFmtId="178" fontId="102" fillId="42" borderId="0"/>
    <xf numFmtId="178" fontId="102" fillId="42" borderId="0"/>
    <xf numFmtId="0" fontId="102" fillId="42" borderId="0"/>
    <xf numFmtId="178" fontId="102" fillId="42" borderId="0"/>
    <xf numFmtId="0" fontId="102" fillId="42" borderId="0"/>
    <xf numFmtId="178" fontId="102" fillId="42" borderId="0"/>
    <xf numFmtId="0" fontId="102" fillId="42" borderId="0"/>
    <xf numFmtId="178" fontId="102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02" fillId="42" borderId="0"/>
    <xf numFmtId="0" fontId="102" fillId="42" borderId="0"/>
    <xf numFmtId="178" fontId="102" fillId="42" borderId="0"/>
    <xf numFmtId="178" fontId="102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05" fillId="42" borderId="0"/>
    <xf numFmtId="178" fontId="105" fillId="42" borderId="0"/>
    <xf numFmtId="178" fontId="105" fillId="42" borderId="0"/>
    <xf numFmtId="0" fontId="105" fillId="42" borderId="0"/>
    <xf numFmtId="0" fontId="105" fillId="42" borderId="0"/>
    <xf numFmtId="178" fontId="105" fillId="42" borderId="0"/>
    <xf numFmtId="178" fontId="105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05" fillId="42" borderId="0"/>
    <xf numFmtId="0" fontId="105" fillId="42" borderId="0"/>
    <xf numFmtId="178" fontId="105" fillId="42" borderId="0"/>
    <xf numFmtId="178" fontId="105" fillId="42" borderId="0"/>
    <xf numFmtId="0" fontId="105" fillId="42" borderId="0"/>
    <xf numFmtId="0" fontId="105" fillId="42" borderId="0"/>
    <xf numFmtId="178" fontId="105" fillId="42" borderId="0"/>
    <xf numFmtId="178" fontId="105" fillId="42" borderId="0"/>
    <xf numFmtId="0" fontId="18" fillId="42" borderId="0"/>
    <xf numFmtId="178" fontId="18" fillId="42" borderId="0"/>
    <xf numFmtId="0" fontId="18" fillId="42" borderId="0"/>
    <xf numFmtId="178" fontId="18" fillId="42" borderId="0"/>
    <xf numFmtId="0" fontId="18" fillId="42" borderId="0"/>
    <xf numFmtId="178" fontId="18" fillId="42" borderId="0"/>
    <xf numFmtId="0" fontId="105" fillId="42" borderId="0"/>
    <xf numFmtId="0" fontId="105" fillId="42" borderId="0"/>
    <xf numFmtId="178" fontId="105" fillId="42" borderId="0"/>
    <xf numFmtId="178" fontId="105" fillId="42" borderId="0"/>
    <xf numFmtId="0" fontId="105" fillId="42" borderId="0"/>
    <xf numFmtId="0" fontId="105" fillId="42" borderId="0"/>
    <xf numFmtId="0" fontId="105" fillId="42" borderId="0"/>
    <xf numFmtId="178" fontId="105" fillId="42" borderId="0"/>
    <xf numFmtId="178" fontId="105" fillId="42" borderId="0"/>
    <xf numFmtId="0" fontId="105" fillId="42" borderId="0"/>
    <xf numFmtId="178" fontId="105" fillId="42" borderId="0"/>
    <xf numFmtId="0" fontId="105" fillId="42" borderId="0"/>
    <xf numFmtId="178" fontId="105" fillId="42" borderId="0"/>
    <xf numFmtId="0" fontId="105" fillId="42" borderId="0"/>
    <xf numFmtId="178" fontId="105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05" fillId="42" borderId="0"/>
    <xf numFmtId="0" fontId="105" fillId="42" borderId="0"/>
    <xf numFmtId="178" fontId="105" fillId="42" borderId="0"/>
    <xf numFmtId="178" fontId="105" fillId="42" borderId="0"/>
    <xf numFmtId="0" fontId="105" fillId="42" borderId="0"/>
    <xf numFmtId="0" fontId="105" fillId="42" borderId="0"/>
    <xf numFmtId="178" fontId="105" fillId="42" borderId="0"/>
    <xf numFmtId="178" fontId="105" fillId="42" borderId="0"/>
    <xf numFmtId="0" fontId="105" fillId="42" borderId="0"/>
    <xf numFmtId="0" fontId="105" fillId="42" borderId="0"/>
    <xf numFmtId="178" fontId="105" fillId="42" borderId="0"/>
    <xf numFmtId="178" fontId="105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02" fillId="42" borderId="0"/>
    <xf numFmtId="0" fontId="102" fillId="42" borderId="0"/>
    <xf numFmtId="178" fontId="102" fillId="42" borderId="0"/>
    <xf numFmtId="178" fontId="102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178" fontId="18" fillId="42" borderId="0"/>
    <xf numFmtId="0" fontId="18" fillId="42" borderId="0"/>
    <xf numFmtId="178" fontId="18" fillId="42" borderId="0"/>
    <xf numFmtId="0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178" fontId="18" fillId="42" borderId="0"/>
    <xf numFmtId="0" fontId="18" fillId="42" borderId="0"/>
    <xf numFmtId="178" fontId="18" fillId="42" borderId="0"/>
    <xf numFmtId="0" fontId="18" fillId="42" borderId="0"/>
    <xf numFmtId="178" fontId="18" fillId="42" borderId="0"/>
    <xf numFmtId="0" fontId="18" fillId="60" borderId="41"/>
    <xf numFmtId="0" fontId="18" fillId="60" borderId="41"/>
    <xf numFmtId="0" fontId="18" fillId="60" borderId="41"/>
    <xf numFmtId="178" fontId="18" fillId="60" borderId="41"/>
    <xf numFmtId="0" fontId="18" fillId="60" borderId="41"/>
    <xf numFmtId="0" fontId="18" fillId="60" borderId="41"/>
    <xf numFmtId="178" fontId="18" fillId="60" borderId="41"/>
    <xf numFmtId="188" fontId="18" fillId="60" borderId="41"/>
    <xf numFmtId="178" fontId="18" fillId="60" borderId="41"/>
    <xf numFmtId="0" fontId="18" fillId="60" borderId="41"/>
    <xf numFmtId="0" fontId="18" fillId="60" borderId="41"/>
    <xf numFmtId="0" fontId="18" fillId="60" borderId="41"/>
    <xf numFmtId="178" fontId="18" fillId="60" borderId="41"/>
    <xf numFmtId="178" fontId="18" fillId="60" borderId="41"/>
    <xf numFmtId="0" fontId="18" fillId="60" borderId="41"/>
    <xf numFmtId="0" fontId="18" fillId="60" borderId="41"/>
    <xf numFmtId="178" fontId="18" fillId="60" borderId="41"/>
    <xf numFmtId="188" fontId="18" fillId="60" borderId="41"/>
    <xf numFmtId="178" fontId="18" fillId="60" borderId="41"/>
    <xf numFmtId="0" fontId="18" fillId="60" borderId="41"/>
    <xf numFmtId="0" fontId="18" fillId="60" borderId="41"/>
    <xf numFmtId="0" fontId="18" fillId="60" borderId="41"/>
    <xf numFmtId="178" fontId="18" fillId="60" borderId="41"/>
    <xf numFmtId="0" fontId="18" fillId="60" borderId="41"/>
    <xf numFmtId="0" fontId="18" fillId="60" borderId="41"/>
    <xf numFmtId="178" fontId="18" fillId="60" borderId="41"/>
    <xf numFmtId="188" fontId="18" fillId="60" borderId="41"/>
    <xf numFmtId="178" fontId="18" fillId="60" borderId="41"/>
    <xf numFmtId="0" fontId="18" fillId="60" borderId="41"/>
    <xf numFmtId="0" fontId="18" fillId="60" borderId="41"/>
    <xf numFmtId="0" fontId="18" fillId="60" borderId="41"/>
    <xf numFmtId="178" fontId="18" fillId="60" borderId="41"/>
    <xf numFmtId="178" fontId="18" fillId="60" borderId="41"/>
    <xf numFmtId="0" fontId="18" fillId="60" borderId="41"/>
    <xf numFmtId="0" fontId="18" fillId="60" borderId="41"/>
    <xf numFmtId="178" fontId="18" fillId="60" borderId="41"/>
    <xf numFmtId="188" fontId="18" fillId="60" borderId="41"/>
    <xf numFmtId="178" fontId="18" fillId="60" borderId="41"/>
    <xf numFmtId="0" fontId="118" fillId="60" borderId="41"/>
    <xf numFmtId="0" fontId="118" fillId="60" borderId="41"/>
    <xf numFmtId="0" fontId="118" fillId="60" borderId="41"/>
    <xf numFmtId="178" fontId="118" fillId="60" borderId="41"/>
    <xf numFmtId="0" fontId="118" fillId="60" borderId="41"/>
    <xf numFmtId="0" fontId="118" fillId="60" borderId="41"/>
    <xf numFmtId="178" fontId="118" fillId="60" borderId="41"/>
    <xf numFmtId="188" fontId="118" fillId="60" borderId="41"/>
    <xf numFmtId="178" fontId="118" fillId="60" borderId="41"/>
    <xf numFmtId="0" fontId="118" fillId="60" borderId="41"/>
    <xf numFmtId="0" fontId="118" fillId="60" borderId="41"/>
    <xf numFmtId="0" fontId="118" fillId="60" borderId="41"/>
    <xf numFmtId="178" fontId="118" fillId="60" borderId="41"/>
    <xf numFmtId="178" fontId="118" fillId="60" borderId="41"/>
    <xf numFmtId="0" fontId="118" fillId="60" borderId="41"/>
    <xf numFmtId="0" fontId="118" fillId="60" borderId="41"/>
    <xf numFmtId="178" fontId="118" fillId="60" borderId="41"/>
    <xf numFmtId="188" fontId="118" fillId="60" borderId="41"/>
    <xf numFmtId="178" fontId="118" fillId="60" borderId="41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52" borderId="0"/>
    <xf numFmtId="0" fontId="18" fillId="52" borderId="0"/>
    <xf numFmtId="178" fontId="18" fillId="52" borderId="0"/>
    <xf numFmtId="178" fontId="18" fillId="52" borderId="0"/>
    <xf numFmtId="0" fontId="18" fillId="60" borderId="41"/>
    <xf numFmtId="0" fontId="18" fillId="60" borderId="41"/>
    <xf numFmtId="0" fontId="18" fillId="60" borderId="41"/>
    <xf numFmtId="178" fontId="18" fillId="60" borderId="41"/>
    <xf numFmtId="0" fontId="18" fillId="60" borderId="41"/>
    <xf numFmtId="0" fontId="18" fillId="60" borderId="41"/>
    <xf numFmtId="178" fontId="18" fillId="60" borderId="41"/>
    <xf numFmtId="188" fontId="18" fillId="60" borderId="41"/>
    <xf numFmtId="178" fontId="18" fillId="60" borderId="41"/>
    <xf numFmtId="0" fontId="18" fillId="60" borderId="41"/>
    <xf numFmtId="0" fontId="18" fillId="60" borderId="41"/>
    <xf numFmtId="0" fontId="18" fillId="60" borderId="41"/>
    <xf numFmtId="178" fontId="18" fillId="60" borderId="41"/>
    <xf numFmtId="178" fontId="18" fillId="60" borderId="41"/>
    <xf numFmtId="0" fontId="18" fillId="60" borderId="41"/>
    <xf numFmtId="0" fontId="18" fillId="60" borderId="41"/>
    <xf numFmtId="178" fontId="18" fillId="60" borderId="41"/>
    <xf numFmtId="188" fontId="18" fillId="60" borderId="41"/>
    <xf numFmtId="178" fontId="18" fillId="60" borderId="41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16" fillId="42" borderId="0"/>
    <xf numFmtId="178" fontId="116" fillId="42" borderId="0"/>
    <xf numFmtId="178" fontId="116" fillId="42" borderId="0"/>
    <xf numFmtId="0" fontId="116" fillId="42" borderId="0"/>
    <xf numFmtId="0" fontId="116" fillId="42" borderId="0"/>
    <xf numFmtId="178" fontId="116" fillId="42" borderId="0"/>
    <xf numFmtId="178" fontId="116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16" fillId="42" borderId="0"/>
    <xf numFmtId="0" fontId="116" fillId="42" borderId="0"/>
    <xf numFmtId="178" fontId="116" fillId="42" borderId="0"/>
    <xf numFmtId="178" fontId="116" fillId="42" borderId="0"/>
    <xf numFmtId="0" fontId="116" fillId="42" borderId="0"/>
    <xf numFmtId="0" fontId="116" fillId="42" borderId="0"/>
    <xf numFmtId="178" fontId="116" fillId="42" borderId="0"/>
    <xf numFmtId="178" fontId="116" fillId="42" borderId="0"/>
    <xf numFmtId="0" fontId="18" fillId="42" borderId="0"/>
    <xf numFmtId="178" fontId="18" fillId="42" borderId="0"/>
    <xf numFmtId="0" fontId="18" fillId="42" borderId="0"/>
    <xf numFmtId="178" fontId="18" fillId="42" borderId="0"/>
    <xf numFmtId="0" fontId="18" fillId="42" borderId="0"/>
    <xf numFmtId="178" fontId="18" fillId="42" borderId="0"/>
    <xf numFmtId="0" fontId="116" fillId="42" borderId="0"/>
    <xf numFmtId="0" fontId="116" fillId="42" borderId="0"/>
    <xf numFmtId="178" fontId="116" fillId="42" borderId="0"/>
    <xf numFmtId="178" fontId="116" fillId="42" borderId="0"/>
    <xf numFmtId="0" fontId="116" fillId="42" borderId="0"/>
    <xf numFmtId="0" fontId="116" fillId="42" borderId="0"/>
    <xf numFmtId="0" fontId="116" fillId="42" borderId="0"/>
    <xf numFmtId="178" fontId="116" fillId="42" borderId="0"/>
    <xf numFmtId="178" fontId="116" fillId="42" borderId="0"/>
    <xf numFmtId="0" fontId="116" fillId="42" borderId="0"/>
    <xf numFmtId="178" fontId="116" fillId="42" borderId="0"/>
    <xf numFmtId="0" fontId="116" fillId="42" borderId="0"/>
    <xf numFmtId="178" fontId="116" fillId="42" borderId="0"/>
    <xf numFmtId="0" fontId="116" fillId="42" borderId="0"/>
    <xf numFmtId="178" fontId="116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16" fillId="42" borderId="0"/>
    <xf numFmtId="0" fontId="116" fillId="42" borderId="0"/>
    <xf numFmtId="178" fontId="116" fillId="42" borderId="0"/>
    <xf numFmtId="178" fontId="116" fillId="42" borderId="0"/>
    <xf numFmtId="0" fontId="116" fillId="42" borderId="0"/>
    <xf numFmtId="0" fontId="116" fillId="42" borderId="0"/>
    <xf numFmtId="178" fontId="116" fillId="42" borderId="0"/>
    <xf numFmtId="178" fontId="116" fillId="42" borderId="0"/>
    <xf numFmtId="0" fontId="116" fillId="42" borderId="0"/>
    <xf numFmtId="0" fontId="116" fillId="42" borderId="0"/>
    <xf numFmtId="178" fontId="116" fillId="42" borderId="0"/>
    <xf numFmtId="178" fontId="116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178" fontId="18" fillId="42" borderId="0"/>
    <xf numFmtId="0" fontId="18" fillId="42" borderId="0"/>
    <xf numFmtId="178" fontId="18" fillId="42" borderId="0"/>
    <xf numFmtId="0" fontId="18" fillId="42" borderId="0"/>
    <xf numFmtId="178" fontId="18" fillId="42" borderId="0"/>
    <xf numFmtId="0" fontId="111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11" fillId="42" borderId="0"/>
    <xf numFmtId="178" fontId="111" fillId="42" borderId="0"/>
    <xf numFmtId="178" fontId="111" fillId="42" borderId="0"/>
    <xf numFmtId="0" fontId="111" fillId="42" borderId="0"/>
    <xf numFmtId="0" fontId="111" fillId="42" borderId="0"/>
    <xf numFmtId="178" fontId="111" fillId="42" borderId="0"/>
    <xf numFmtId="178" fontId="111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11" fillId="42" borderId="0"/>
    <xf numFmtId="0" fontId="111" fillId="42" borderId="0"/>
    <xf numFmtId="178" fontId="111" fillId="42" borderId="0"/>
    <xf numFmtId="178" fontId="111" fillId="42" borderId="0"/>
    <xf numFmtId="0" fontId="111" fillId="42" borderId="0"/>
    <xf numFmtId="0" fontId="111" fillId="42" borderId="0"/>
    <xf numFmtId="178" fontId="111" fillId="42" borderId="0"/>
    <xf numFmtId="178" fontId="111" fillId="42" borderId="0"/>
    <xf numFmtId="0" fontId="18" fillId="42" borderId="0"/>
    <xf numFmtId="178" fontId="18" fillId="42" borderId="0"/>
    <xf numFmtId="0" fontId="18" fillId="42" borderId="0"/>
    <xf numFmtId="178" fontId="18" fillId="42" borderId="0"/>
    <xf numFmtId="0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11" fillId="42" borderId="0"/>
    <xf numFmtId="0" fontId="111" fillId="42" borderId="0"/>
    <xf numFmtId="178" fontId="111" fillId="42" borderId="0"/>
    <xf numFmtId="178" fontId="111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60" borderId="41"/>
    <xf numFmtId="0" fontId="18" fillId="60" borderId="41"/>
    <xf numFmtId="0" fontId="18" fillId="60" borderId="41"/>
    <xf numFmtId="178" fontId="18" fillId="60" borderId="41"/>
    <xf numFmtId="0" fontId="18" fillId="60" borderId="41"/>
    <xf numFmtId="0" fontId="18" fillId="60" borderId="41"/>
    <xf numFmtId="178" fontId="18" fillId="60" borderId="41"/>
    <xf numFmtId="188" fontId="18" fillId="60" borderId="41"/>
    <xf numFmtId="178" fontId="18" fillId="60" borderId="41"/>
    <xf numFmtId="0" fontId="18" fillId="60" borderId="41"/>
    <xf numFmtId="0" fontId="18" fillId="60" borderId="41"/>
    <xf numFmtId="0" fontId="18" fillId="60" borderId="41"/>
    <xf numFmtId="178" fontId="18" fillId="60" borderId="41"/>
    <xf numFmtId="178" fontId="18" fillId="60" borderId="41"/>
    <xf numFmtId="0" fontId="18" fillId="60" borderId="41"/>
    <xf numFmtId="0" fontId="18" fillId="60" borderId="41"/>
    <xf numFmtId="178" fontId="18" fillId="60" borderId="41"/>
    <xf numFmtId="188" fontId="18" fillId="60" borderId="41"/>
    <xf numFmtId="178" fontId="18" fillId="60" borderId="41"/>
    <xf numFmtId="0" fontId="111" fillId="42" borderId="0"/>
    <xf numFmtId="0" fontId="111" fillId="42" borderId="0"/>
    <xf numFmtId="178" fontId="111" fillId="42" borderId="0"/>
    <xf numFmtId="178" fontId="111" fillId="42" borderId="0"/>
    <xf numFmtId="0" fontId="18" fillId="60" borderId="41"/>
    <xf numFmtId="0" fontId="18" fillId="60" borderId="41"/>
    <xf numFmtId="0" fontId="18" fillId="60" borderId="41"/>
    <xf numFmtId="178" fontId="18" fillId="60" borderId="41"/>
    <xf numFmtId="0" fontId="18" fillId="60" borderId="41"/>
    <xf numFmtId="0" fontId="18" fillId="60" borderId="41"/>
    <xf numFmtId="178" fontId="18" fillId="60" borderId="41"/>
    <xf numFmtId="188" fontId="18" fillId="60" borderId="41"/>
    <xf numFmtId="178" fontId="18" fillId="60" borderId="41"/>
    <xf numFmtId="0" fontId="18" fillId="60" borderId="41"/>
    <xf numFmtId="0" fontId="18" fillId="60" borderId="41"/>
    <xf numFmtId="0" fontId="18" fillId="60" borderId="41"/>
    <xf numFmtId="178" fontId="18" fillId="60" borderId="41"/>
    <xf numFmtId="178" fontId="18" fillId="60" borderId="41"/>
    <xf numFmtId="0" fontId="18" fillId="60" borderId="41"/>
    <xf numFmtId="0" fontId="18" fillId="60" borderId="41"/>
    <xf numFmtId="178" fontId="18" fillId="60" borderId="41"/>
    <xf numFmtId="188" fontId="18" fillId="60" borderId="41"/>
    <xf numFmtId="178" fontId="18" fillId="60" borderId="41"/>
    <xf numFmtId="0" fontId="118" fillId="60" borderId="41"/>
    <xf numFmtId="0" fontId="118" fillId="60" borderId="41"/>
    <xf numFmtId="0" fontId="118" fillId="60" borderId="41"/>
    <xf numFmtId="178" fontId="118" fillId="60" borderId="41"/>
    <xf numFmtId="0" fontId="118" fillId="60" borderId="41"/>
    <xf numFmtId="0" fontId="118" fillId="60" borderId="41"/>
    <xf numFmtId="178" fontId="118" fillId="60" borderId="41"/>
    <xf numFmtId="188" fontId="118" fillId="60" borderId="41"/>
    <xf numFmtId="178" fontId="118" fillId="60" borderId="41"/>
    <xf numFmtId="0" fontId="118" fillId="60" borderId="41"/>
    <xf numFmtId="0" fontId="118" fillId="60" borderId="41"/>
    <xf numFmtId="0" fontId="118" fillId="60" borderId="41"/>
    <xf numFmtId="178" fontId="118" fillId="60" borderId="41"/>
    <xf numFmtId="178" fontId="118" fillId="60" borderId="41"/>
    <xf numFmtId="0" fontId="118" fillId="60" borderId="41"/>
    <xf numFmtId="0" fontId="118" fillId="60" borderId="41"/>
    <xf numFmtId="178" fontId="118" fillId="60" borderId="41"/>
    <xf numFmtId="188" fontId="118" fillId="60" borderId="41"/>
    <xf numFmtId="178" fontId="118" fillId="60" borderId="41"/>
    <xf numFmtId="0" fontId="111" fillId="52" borderId="0"/>
    <xf numFmtId="0" fontId="111" fillId="52" borderId="0"/>
    <xf numFmtId="178" fontId="111" fillId="52" borderId="0"/>
    <xf numFmtId="178" fontId="111" fillId="52" borderId="0"/>
    <xf numFmtId="0" fontId="18" fillId="60" borderId="41"/>
    <xf numFmtId="0" fontId="18" fillId="60" borderId="41"/>
    <xf numFmtId="0" fontId="18" fillId="60" borderId="41"/>
    <xf numFmtId="178" fontId="18" fillId="60" borderId="41"/>
    <xf numFmtId="0" fontId="18" fillId="60" borderId="41"/>
    <xf numFmtId="0" fontId="18" fillId="60" borderId="41"/>
    <xf numFmtId="178" fontId="18" fillId="60" borderId="41"/>
    <xf numFmtId="188" fontId="18" fillId="60" borderId="41"/>
    <xf numFmtId="178" fontId="18" fillId="60" borderId="41"/>
    <xf numFmtId="0" fontId="18" fillId="60" borderId="41"/>
    <xf numFmtId="0" fontId="18" fillId="60" borderId="41"/>
    <xf numFmtId="0" fontId="18" fillId="60" borderId="41"/>
    <xf numFmtId="178" fontId="18" fillId="60" borderId="41"/>
    <xf numFmtId="178" fontId="18" fillId="60" borderId="41"/>
    <xf numFmtId="0" fontId="18" fillId="60" borderId="41"/>
    <xf numFmtId="0" fontId="18" fillId="60" borderId="41"/>
    <xf numFmtId="178" fontId="18" fillId="60" borderId="41"/>
    <xf numFmtId="188" fontId="18" fillId="60" borderId="41"/>
    <xf numFmtId="178" fontId="18" fillId="60" borderId="41"/>
    <xf numFmtId="0" fontId="18" fillId="42" borderId="0"/>
    <xf numFmtId="0" fontId="18" fillId="42" borderId="0"/>
    <xf numFmtId="178" fontId="18" fillId="42" borderId="0"/>
    <xf numFmtId="178" fontId="18" fillId="42" borderId="0"/>
    <xf numFmtId="0" fontId="111" fillId="42" borderId="0"/>
    <xf numFmtId="0" fontId="111" fillId="42" borderId="0"/>
    <xf numFmtId="0" fontId="111" fillId="42" borderId="0"/>
    <xf numFmtId="178" fontId="111" fillId="42" borderId="0"/>
    <xf numFmtId="178" fontId="111" fillId="42" borderId="0"/>
    <xf numFmtId="0" fontId="111" fillId="42" borderId="0"/>
    <xf numFmtId="178" fontId="111" fillId="42" borderId="0"/>
    <xf numFmtId="0" fontId="111" fillId="42" borderId="0"/>
    <xf numFmtId="178" fontId="111" fillId="42" borderId="0"/>
    <xf numFmtId="0" fontId="111" fillId="42" borderId="0"/>
    <xf numFmtId="178" fontId="111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11" fillId="42" borderId="0"/>
    <xf numFmtId="0" fontId="111" fillId="42" borderId="0"/>
    <xf numFmtId="178" fontId="111" fillId="42" borderId="0"/>
    <xf numFmtId="178" fontId="111" fillId="42" borderId="0"/>
    <xf numFmtId="0" fontId="42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42" fillId="42" borderId="0"/>
    <xf numFmtId="178" fontId="42" fillId="42" borderId="0"/>
    <xf numFmtId="178" fontId="42" fillId="42" borderId="0"/>
    <xf numFmtId="0" fontId="42" fillId="42" borderId="0"/>
    <xf numFmtId="0" fontId="42" fillId="42" borderId="0"/>
    <xf numFmtId="178" fontId="42" fillId="42" borderId="0"/>
    <xf numFmtId="178" fontId="42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42" fillId="42" borderId="0"/>
    <xf numFmtId="0" fontId="42" fillId="42" borderId="0"/>
    <xf numFmtId="178" fontId="42" fillId="42" borderId="0"/>
    <xf numFmtId="178" fontId="42" fillId="42" borderId="0"/>
    <xf numFmtId="0" fontId="42" fillId="42" borderId="0"/>
    <xf numFmtId="0" fontId="42" fillId="42" borderId="0"/>
    <xf numFmtId="178" fontId="42" fillId="42" borderId="0"/>
    <xf numFmtId="178" fontId="42" fillId="42" borderId="0"/>
    <xf numFmtId="0" fontId="18" fillId="42" borderId="0"/>
    <xf numFmtId="178" fontId="18" fillId="42" borderId="0"/>
    <xf numFmtId="0" fontId="18" fillId="42" borderId="0"/>
    <xf numFmtId="178" fontId="18" fillId="42" borderId="0"/>
    <xf numFmtId="0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42" fillId="42" borderId="0"/>
    <xf numFmtId="0" fontId="42" fillId="42" borderId="0"/>
    <xf numFmtId="178" fontId="42" fillId="42" borderId="0"/>
    <xf numFmtId="178" fontId="42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60" borderId="41"/>
    <xf numFmtId="0" fontId="18" fillId="60" borderId="41"/>
    <xf numFmtId="0" fontId="18" fillId="60" borderId="41"/>
    <xf numFmtId="178" fontId="18" fillId="60" borderId="41"/>
    <xf numFmtId="0" fontId="18" fillId="60" borderId="41"/>
    <xf numFmtId="0" fontId="18" fillId="60" borderId="41"/>
    <xf numFmtId="178" fontId="18" fillId="60" borderId="41"/>
    <xf numFmtId="188" fontId="18" fillId="60" borderId="41"/>
    <xf numFmtId="178" fontId="18" fillId="60" borderId="41"/>
    <xf numFmtId="0" fontId="18" fillId="60" borderId="41"/>
    <xf numFmtId="0" fontId="18" fillId="60" borderId="41"/>
    <xf numFmtId="0" fontId="18" fillId="60" borderId="41"/>
    <xf numFmtId="178" fontId="18" fillId="60" borderId="41"/>
    <xf numFmtId="178" fontId="18" fillId="60" borderId="41"/>
    <xf numFmtId="0" fontId="18" fillId="60" borderId="41"/>
    <xf numFmtId="0" fontId="18" fillId="60" borderId="41"/>
    <xf numFmtId="178" fontId="18" fillId="60" borderId="41"/>
    <xf numFmtId="188" fontId="18" fillId="60" borderId="41"/>
    <xf numFmtId="178" fontId="18" fillId="60" borderId="41"/>
    <xf numFmtId="0" fontId="42" fillId="42" borderId="0"/>
    <xf numFmtId="0" fontId="42" fillId="42" borderId="0"/>
    <xf numFmtId="178" fontId="42" fillId="42" borderId="0"/>
    <xf numFmtId="178" fontId="42" fillId="42" borderId="0"/>
    <xf numFmtId="0" fontId="18" fillId="60" borderId="41"/>
    <xf numFmtId="0" fontId="18" fillId="60" borderId="41"/>
    <xf numFmtId="0" fontId="18" fillId="60" borderId="41"/>
    <xf numFmtId="178" fontId="18" fillId="60" borderId="41"/>
    <xf numFmtId="0" fontId="18" fillId="60" borderId="41"/>
    <xf numFmtId="0" fontId="18" fillId="60" borderId="41"/>
    <xf numFmtId="178" fontId="18" fillId="60" borderId="41"/>
    <xf numFmtId="188" fontId="18" fillId="60" borderId="41"/>
    <xf numFmtId="178" fontId="18" fillId="60" borderId="41"/>
    <xf numFmtId="0" fontId="18" fillId="60" borderId="41"/>
    <xf numFmtId="0" fontId="18" fillId="60" borderId="41"/>
    <xf numFmtId="0" fontId="18" fillId="60" borderId="41"/>
    <xf numFmtId="178" fontId="18" fillId="60" borderId="41"/>
    <xf numFmtId="178" fontId="18" fillId="60" borderId="41"/>
    <xf numFmtId="0" fontId="18" fillId="60" borderId="41"/>
    <xf numFmtId="0" fontId="18" fillId="60" borderId="41"/>
    <xf numFmtId="178" fontId="18" fillId="60" borderId="41"/>
    <xf numFmtId="188" fontId="18" fillId="60" borderId="41"/>
    <xf numFmtId="178" fontId="18" fillId="60" borderId="41"/>
    <xf numFmtId="0" fontId="118" fillId="60" borderId="41"/>
    <xf numFmtId="0" fontId="118" fillId="60" borderId="41"/>
    <xf numFmtId="0" fontId="118" fillId="60" borderId="41"/>
    <xf numFmtId="178" fontId="118" fillId="60" borderId="41"/>
    <xf numFmtId="0" fontId="118" fillId="60" borderId="41"/>
    <xf numFmtId="0" fontId="118" fillId="60" borderId="41"/>
    <xf numFmtId="178" fontId="118" fillId="60" borderId="41"/>
    <xf numFmtId="188" fontId="118" fillId="60" borderId="41"/>
    <xf numFmtId="178" fontId="118" fillId="60" borderId="41"/>
    <xf numFmtId="0" fontId="118" fillId="60" borderId="41"/>
    <xf numFmtId="0" fontId="118" fillId="60" borderId="41"/>
    <xf numFmtId="0" fontId="118" fillId="60" borderId="41"/>
    <xf numFmtId="178" fontId="118" fillId="60" borderId="41"/>
    <xf numFmtId="178" fontId="118" fillId="60" borderId="41"/>
    <xf numFmtId="0" fontId="118" fillId="60" borderId="41"/>
    <xf numFmtId="0" fontId="118" fillId="60" borderId="41"/>
    <xf numFmtId="178" fontId="118" fillId="60" borderId="41"/>
    <xf numFmtId="188" fontId="118" fillId="60" borderId="41"/>
    <xf numFmtId="178" fontId="118" fillId="60" borderId="41"/>
    <xf numFmtId="0" fontId="42" fillId="52" borderId="0"/>
    <xf numFmtId="0" fontId="42" fillId="52" borderId="0"/>
    <xf numFmtId="178" fontId="42" fillId="52" borderId="0"/>
    <xf numFmtId="178" fontId="42" fillId="52" borderId="0"/>
    <xf numFmtId="0" fontId="18" fillId="60" borderId="41"/>
    <xf numFmtId="0" fontId="18" fillId="60" borderId="41"/>
    <xf numFmtId="0" fontId="18" fillId="60" borderId="41"/>
    <xf numFmtId="178" fontId="18" fillId="60" borderId="41"/>
    <xf numFmtId="0" fontId="18" fillId="60" borderId="41"/>
    <xf numFmtId="0" fontId="18" fillId="60" borderId="41"/>
    <xf numFmtId="178" fontId="18" fillId="60" borderId="41"/>
    <xf numFmtId="188" fontId="18" fillId="60" borderId="41"/>
    <xf numFmtId="178" fontId="18" fillId="60" borderId="41"/>
    <xf numFmtId="0" fontId="18" fillId="60" borderId="41"/>
    <xf numFmtId="0" fontId="18" fillId="60" borderId="41"/>
    <xf numFmtId="0" fontId="18" fillId="60" borderId="41"/>
    <xf numFmtId="178" fontId="18" fillId="60" borderId="41"/>
    <xf numFmtId="178" fontId="18" fillId="60" borderId="41"/>
    <xf numFmtId="0" fontId="18" fillId="60" borderId="41"/>
    <xf numFmtId="0" fontId="18" fillId="60" borderId="41"/>
    <xf numFmtId="178" fontId="18" fillId="60" borderId="41"/>
    <xf numFmtId="188" fontId="18" fillId="60" borderId="41"/>
    <xf numFmtId="178" fontId="18" fillId="60" borderId="41"/>
    <xf numFmtId="0" fontId="18" fillId="42" borderId="0"/>
    <xf numFmtId="0" fontId="18" fillId="42" borderId="0"/>
    <xf numFmtId="178" fontId="18" fillId="42" borderId="0"/>
    <xf numFmtId="178" fontId="18" fillId="42" borderId="0"/>
    <xf numFmtId="0" fontId="42" fillId="42" borderId="0"/>
    <xf numFmtId="0" fontId="42" fillId="42" borderId="0"/>
    <xf numFmtId="0" fontId="42" fillId="42" borderId="0"/>
    <xf numFmtId="178" fontId="42" fillId="42" borderId="0"/>
    <xf numFmtId="178" fontId="42" fillId="42" borderId="0"/>
    <xf numFmtId="0" fontId="42" fillId="42" borderId="0"/>
    <xf numFmtId="178" fontId="42" fillId="42" borderId="0"/>
    <xf numFmtId="0" fontId="42" fillId="42" borderId="0"/>
    <xf numFmtId="178" fontId="42" fillId="42" borderId="0"/>
    <xf numFmtId="0" fontId="42" fillId="42" borderId="0"/>
    <xf numFmtId="178" fontId="42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42" borderId="0"/>
    <xf numFmtId="178" fontId="38" fillId="42" borderId="0"/>
    <xf numFmtId="0" fontId="38" fillId="42" borderId="0"/>
    <xf numFmtId="178" fontId="38" fillId="42" borderId="0"/>
    <xf numFmtId="0" fontId="38" fillId="42" borderId="0"/>
    <xf numFmtId="178" fontId="3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42" fillId="42" borderId="0"/>
    <xf numFmtId="0" fontId="42" fillId="42" borderId="0"/>
    <xf numFmtId="178" fontId="42" fillId="42" borderId="0"/>
    <xf numFmtId="178" fontId="42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18" fillId="60" borderId="41"/>
    <xf numFmtId="0" fontId="18" fillId="60" borderId="41"/>
    <xf numFmtId="0" fontId="18" fillId="60" borderId="41"/>
    <xf numFmtId="178" fontId="18" fillId="60" borderId="41"/>
    <xf numFmtId="0" fontId="18" fillId="60" borderId="41"/>
    <xf numFmtId="0" fontId="18" fillId="60" borderId="41"/>
    <xf numFmtId="178" fontId="18" fillId="60" borderId="41"/>
    <xf numFmtId="188" fontId="18" fillId="60" borderId="41"/>
    <xf numFmtId="178" fontId="18" fillId="60" borderId="41"/>
    <xf numFmtId="0" fontId="18" fillId="60" borderId="41"/>
    <xf numFmtId="0" fontId="18" fillId="60" borderId="41"/>
    <xf numFmtId="0" fontId="18" fillId="60" borderId="41"/>
    <xf numFmtId="178" fontId="18" fillId="60" borderId="41"/>
    <xf numFmtId="178" fontId="18" fillId="60" borderId="41"/>
    <xf numFmtId="0" fontId="18" fillId="60" borderId="41"/>
    <xf numFmtId="0" fontId="18" fillId="60" borderId="41"/>
    <xf numFmtId="178" fontId="18" fillId="60" borderId="41"/>
    <xf numFmtId="188" fontId="18" fillId="60" borderId="41"/>
    <xf numFmtId="178" fontId="18" fillId="60" borderId="41"/>
    <xf numFmtId="0" fontId="18" fillId="60" borderId="41"/>
    <xf numFmtId="0" fontId="18" fillId="60" borderId="41"/>
    <xf numFmtId="0" fontId="18" fillId="60" borderId="41"/>
    <xf numFmtId="178" fontId="18" fillId="60" borderId="41"/>
    <xf numFmtId="0" fontId="18" fillId="60" borderId="41"/>
    <xf numFmtId="0" fontId="18" fillId="60" borderId="41"/>
    <xf numFmtId="178" fontId="18" fillId="60" borderId="41"/>
    <xf numFmtId="188" fontId="18" fillId="60" borderId="41"/>
    <xf numFmtId="178" fontId="18" fillId="60" borderId="41"/>
    <xf numFmtId="0" fontId="18" fillId="60" borderId="41"/>
    <xf numFmtId="0" fontId="18" fillId="60" borderId="41"/>
    <xf numFmtId="0" fontId="18" fillId="60" borderId="41"/>
    <xf numFmtId="178" fontId="18" fillId="60" borderId="41"/>
    <xf numFmtId="178" fontId="18" fillId="60" borderId="41"/>
    <xf numFmtId="0" fontId="18" fillId="60" borderId="41"/>
    <xf numFmtId="0" fontId="18" fillId="60" borderId="41"/>
    <xf numFmtId="178" fontId="18" fillId="60" borderId="41"/>
    <xf numFmtId="188" fontId="18" fillId="60" borderId="41"/>
    <xf numFmtId="178" fontId="18" fillId="60" borderId="41"/>
    <xf numFmtId="0" fontId="118" fillId="60" borderId="41"/>
    <xf numFmtId="0" fontId="118" fillId="60" borderId="41"/>
    <xf numFmtId="0" fontId="118" fillId="60" borderId="41"/>
    <xf numFmtId="178" fontId="118" fillId="60" borderId="41"/>
    <xf numFmtId="0" fontId="118" fillId="60" borderId="41"/>
    <xf numFmtId="0" fontId="118" fillId="60" borderId="41"/>
    <xf numFmtId="178" fontId="118" fillId="60" borderId="41"/>
    <xf numFmtId="188" fontId="118" fillId="60" borderId="41"/>
    <xf numFmtId="178" fontId="118" fillId="60" borderId="41"/>
    <xf numFmtId="0" fontId="118" fillId="60" borderId="41"/>
    <xf numFmtId="0" fontId="118" fillId="60" borderId="41"/>
    <xf numFmtId="0" fontId="118" fillId="60" borderId="41"/>
    <xf numFmtId="178" fontId="118" fillId="60" borderId="41"/>
    <xf numFmtId="178" fontId="118" fillId="60" borderId="41"/>
    <xf numFmtId="0" fontId="118" fillId="60" borderId="41"/>
    <xf numFmtId="0" fontId="118" fillId="60" borderId="41"/>
    <xf numFmtId="178" fontId="118" fillId="60" borderId="41"/>
    <xf numFmtId="188" fontId="118" fillId="60" borderId="41"/>
    <xf numFmtId="178" fontId="118" fillId="60" borderId="41"/>
    <xf numFmtId="0" fontId="38" fillId="52" borderId="0"/>
    <xf numFmtId="0" fontId="38" fillId="52" borderId="0"/>
    <xf numFmtId="178" fontId="38" fillId="52" borderId="0"/>
    <xf numFmtId="178" fontId="38" fillId="52" borderId="0"/>
    <xf numFmtId="0" fontId="38" fillId="52" borderId="0"/>
    <xf numFmtId="0" fontId="38" fillId="52" borderId="0"/>
    <xf numFmtId="178" fontId="38" fillId="52" borderId="0"/>
    <xf numFmtId="178" fontId="38" fillId="52" borderId="0"/>
    <xf numFmtId="0" fontId="38" fillId="52" borderId="0"/>
    <xf numFmtId="0" fontId="38" fillId="52" borderId="0"/>
    <xf numFmtId="178" fontId="38" fillId="52" borderId="0"/>
    <xf numFmtId="178" fontId="38" fillId="52" borderId="0"/>
    <xf numFmtId="0" fontId="38" fillId="52" borderId="0"/>
    <xf numFmtId="0" fontId="38" fillId="52" borderId="0"/>
    <xf numFmtId="178" fontId="38" fillId="52" borderId="0"/>
    <xf numFmtId="178" fontId="38" fillId="52" borderId="0"/>
    <xf numFmtId="0" fontId="38" fillId="52" borderId="0"/>
    <xf numFmtId="0" fontId="38" fillId="52" borderId="0"/>
    <xf numFmtId="178" fontId="38" fillId="52" borderId="0"/>
    <xf numFmtId="178" fontId="38" fillId="52" borderId="0"/>
    <xf numFmtId="0" fontId="38" fillId="52" borderId="0"/>
    <xf numFmtId="0" fontId="38" fillId="52" borderId="0"/>
    <xf numFmtId="178" fontId="38" fillId="52" borderId="0"/>
    <xf numFmtId="178" fontId="38" fillId="52" borderId="0"/>
    <xf numFmtId="0" fontId="38" fillId="52" borderId="0"/>
    <xf numFmtId="0" fontId="38" fillId="52" borderId="0"/>
    <xf numFmtId="178" fontId="38" fillId="52" borderId="0"/>
    <xf numFmtId="178" fontId="38" fillId="52" borderId="0"/>
    <xf numFmtId="0" fontId="38" fillId="52" borderId="0"/>
    <xf numFmtId="0" fontId="38" fillId="52" borderId="0"/>
    <xf numFmtId="178" fontId="38" fillId="52" borderId="0"/>
    <xf numFmtId="178" fontId="38" fillId="52" borderId="0"/>
    <xf numFmtId="0" fontId="38" fillId="52" borderId="0"/>
    <xf numFmtId="0" fontId="38" fillId="52" borderId="0"/>
    <xf numFmtId="178" fontId="38" fillId="52" borderId="0"/>
    <xf numFmtId="178" fontId="38" fillId="52" borderId="0"/>
    <xf numFmtId="0" fontId="38" fillId="52" borderId="0"/>
    <xf numFmtId="0" fontId="38" fillId="52" borderId="0"/>
    <xf numFmtId="178" fontId="38" fillId="52" borderId="0"/>
    <xf numFmtId="178" fontId="38" fillId="52" borderId="0"/>
    <xf numFmtId="0" fontId="38" fillId="52" borderId="0"/>
    <xf numFmtId="0" fontId="38" fillId="52" borderId="0"/>
    <xf numFmtId="178" fontId="38" fillId="52" borderId="0"/>
    <xf numFmtId="178" fontId="38" fillId="52" borderId="0"/>
    <xf numFmtId="0" fontId="38" fillId="52" borderId="0"/>
    <xf numFmtId="0" fontId="38" fillId="52" borderId="0"/>
    <xf numFmtId="178" fontId="38" fillId="52" borderId="0"/>
    <xf numFmtId="178" fontId="38" fillId="52" borderId="0"/>
    <xf numFmtId="0" fontId="38" fillId="52" borderId="0"/>
    <xf numFmtId="0" fontId="38" fillId="52" borderId="0"/>
    <xf numFmtId="178" fontId="38" fillId="52" borderId="0"/>
    <xf numFmtId="178" fontId="38" fillId="52" borderId="0"/>
    <xf numFmtId="0" fontId="38" fillId="52" borderId="0"/>
    <xf numFmtId="0" fontId="38" fillId="52" borderId="0"/>
    <xf numFmtId="178" fontId="38" fillId="52" borderId="0"/>
    <xf numFmtId="178" fontId="38" fillId="52" borderId="0"/>
    <xf numFmtId="0" fontId="38" fillId="52" borderId="0"/>
    <xf numFmtId="0" fontId="38" fillId="52" borderId="0"/>
    <xf numFmtId="178" fontId="38" fillId="52" borderId="0"/>
    <xf numFmtId="178" fontId="38" fillId="52" borderId="0"/>
    <xf numFmtId="0" fontId="38" fillId="52" borderId="0"/>
    <xf numFmtId="0" fontId="38" fillId="52" borderId="0"/>
    <xf numFmtId="178" fontId="38" fillId="52" borderId="0"/>
    <xf numFmtId="178" fontId="38" fillId="52" borderId="0"/>
    <xf numFmtId="0" fontId="38" fillId="52" borderId="0"/>
    <xf numFmtId="0" fontId="38" fillId="52" borderId="0"/>
    <xf numFmtId="178" fontId="38" fillId="52" borderId="0"/>
    <xf numFmtId="178" fontId="38" fillId="52" borderId="0"/>
    <xf numFmtId="0" fontId="38" fillId="52" borderId="0"/>
    <xf numFmtId="0" fontId="38" fillId="52" borderId="0"/>
    <xf numFmtId="178" fontId="38" fillId="52" borderId="0"/>
    <xf numFmtId="178" fontId="38" fillId="52" borderId="0"/>
    <xf numFmtId="0" fontId="38" fillId="52" borderId="0"/>
    <xf numFmtId="0" fontId="38" fillId="52" borderId="0"/>
    <xf numFmtId="178" fontId="38" fillId="52" borderId="0"/>
    <xf numFmtId="178" fontId="38" fillId="52" borderId="0"/>
    <xf numFmtId="0" fontId="38" fillId="52" borderId="0"/>
    <xf numFmtId="0" fontId="38" fillId="52" borderId="0"/>
    <xf numFmtId="178" fontId="38" fillId="52" borderId="0"/>
    <xf numFmtId="178" fontId="38" fillId="52" borderId="0"/>
    <xf numFmtId="0" fontId="18" fillId="60" borderId="41"/>
    <xf numFmtId="0" fontId="18" fillId="60" borderId="41"/>
    <xf numFmtId="0" fontId="18" fillId="60" borderId="41"/>
    <xf numFmtId="178" fontId="18" fillId="60" borderId="41"/>
    <xf numFmtId="0" fontId="18" fillId="60" borderId="41"/>
    <xf numFmtId="0" fontId="18" fillId="60" borderId="41"/>
    <xf numFmtId="178" fontId="18" fillId="60" borderId="41"/>
    <xf numFmtId="188" fontId="18" fillId="60" borderId="41"/>
    <xf numFmtId="178" fontId="18" fillId="60" borderId="41"/>
    <xf numFmtId="0" fontId="18" fillId="60" borderId="41"/>
    <xf numFmtId="0" fontId="18" fillId="60" borderId="41"/>
    <xf numFmtId="0" fontId="18" fillId="60" borderId="41"/>
    <xf numFmtId="178" fontId="18" fillId="60" borderId="41"/>
    <xf numFmtId="178" fontId="18" fillId="60" borderId="41"/>
    <xf numFmtId="0" fontId="18" fillId="60" borderId="41"/>
    <xf numFmtId="0" fontId="18" fillId="60" borderId="41"/>
    <xf numFmtId="178" fontId="18" fillId="60" borderId="41"/>
    <xf numFmtId="188" fontId="18" fillId="60" borderId="41"/>
    <xf numFmtId="178" fontId="18" fillId="60" borderId="41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14" fillId="42" borderId="0"/>
    <xf numFmtId="178" fontId="114" fillId="42" borderId="0"/>
    <xf numFmtId="178" fontId="114" fillId="42" borderId="0"/>
    <xf numFmtId="0" fontId="114" fillId="42" borderId="0"/>
    <xf numFmtId="0" fontId="114" fillId="42" borderId="0"/>
    <xf numFmtId="178" fontId="114" fillId="42" borderId="0"/>
    <xf numFmtId="178" fontId="114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14" fillId="42" borderId="0"/>
    <xf numFmtId="0" fontId="114" fillId="42" borderId="0"/>
    <xf numFmtId="178" fontId="114" fillId="42" borderId="0"/>
    <xf numFmtId="178" fontId="114" fillId="42" borderId="0"/>
    <xf numFmtId="0" fontId="114" fillId="42" borderId="0"/>
    <xf numFmtId="0" fontId="114" fillId="42" borderId="0"/>
    <xf numFmtId="178" fontId="114" fillId="42" borderId="0"/>
    <xf numFmtId="178" fontId="114" fillId="42" borderId="0"/>
    <xf numFmtId="0" fontId="18" fillId="42" borderId="0"/>
    <xf numFmtId="178" fontId="18" fillId="42" borderId="0"/>
    <xf numFmtId="0" fontId="18" fillId="42" borderId="0"/>
    <xf numFmtId="178" fontId="18" fillId="42" borderId="0"/>
    <xf numFmtId="0" fontId="18" fillId="42" borderId="0"/>
    <xf numFmtId="178" fontId="18" fillId="42" borderId="0"/>
    <xf numFmtId="0" fontId="114" fillId="42" borderId="0"/>
    <xf numFmtId="0" fontId="114" fillId="42" borderId="0"/>
    <xf numFmtId="178" fontId="114" fillId="42" borderId="0"/>
    <xf numFmtId="178" fontId="114" fillId="42" borderId="0"/>
    <xf numFmtId="0" fontId="114" fillId="42" borderId="0"/>
    <xf numFmtId="0" fontId="114" fillId="42" borderId="0"/>
    <xf numFmtId="0" fontId="114" fillId="42" borderId="0"/>
    <xf numFmtId="178" fontId="114" fillId="42" borderId="0"/>
    <xf numFmtId="178" fontId="114" fillId="42" borderId="0"/>
    <xf numFmtId="0" fontId="114" fillId="42" borderId="0"/>
    <xf numFmtId="178" fontId="114" fillId="42" borderId="0"/>
    <xf numFmtId="0" fontId="114" fillId="42" borderId="0"/>
    <xf numFmtId="178" fontId="114" fillId="42" borderId="0"/>
    <xf numFmtId="0" fontId="114" fillId="42" borderId="0"/>
    <xf numFmtId="178" fontId="114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14" fillId="42" borderId="0"/>
    <xf numFmtId="0" fontId="114" fillId="42" borderId="0"/>
    <xf numFmtId="178" fontId="114" fillId="42" borderId="0"/>
    <xf numFmtId="178" fontId="114" fillId="42" borderId="0"/>
    <xf numFmtId="0" fontId="114" fillId="42" borderId="0"/>
    <xf numFmtId="0" fontId="114" fillId="42" borderId="0"/>
    <xf numFmtId="178" fontId="114" fillId="42" borderId="0"/>
    <xf numFmtId="178" fontId="114" fillId="42" borderId="0"/>
    <xf numFmtId="0" fontId="114" fillId="42" borderId="0"/>
    <xf numFmtId="0" fontId="114" fillId="42" borderId="0"/>
    <xf numFmtId="178" fontId="114" fillId="42" borderId="0"/>
    <xf numFmtId="178" fontId="114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18" fillId="42" borderId="0"/>
    <xf numFmtId="0" fontId="18" fillId="42" borderId="0"/>
    <xf numFmtId="178" fontId="18" fillId="42" borderId="0"/>
    <xf numFmtId="178" fontId="18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42" borderId="0"/>
    <xf numFmtId="0" fontId="38" fillId="42" borderId="0"/>
    <xf numFmtId="0" fontId="38" fillId="42" borderId="0"/>
    <xf numFmtId="178" fontId="38" fillId="42" borderId="0"/>
    <xf numFmtId="178" fontId="38" fillId="42" borderId="0"/>
    <xf numFmtId="0" fontId="38" fillId="42" borderId="0"/>
    <xf numFmtId="178" fontId="38" fillId="42" borderId="0"/>
    <xf numFmtId="0" fontId="38" fillId="42" borderId="0"/>
    <xf numFmtId="178" fontId="38" fillId="42" borderId="0"/>
    <xf numFmtId="0" fontId="38" fillId="42" borderId="0"/>
    <xf numFmtId="178" fontId="38" fillId="42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9" fillId="0" borderId="0"/>
    <xf numFmtId="0" fontId="69" fillId="0" borderId="0"/>
    <xf numFmtId="178" fontId="69" fillId="0" borderId="0"/>
    <xf numFmtId="178" fontId="69" fillId="0" borderId="0"/>
    <xf numFmtId="0" fontId="92" fillId="0" borderId="0">
      <alignment vertical="top"/>
    </xf>
    <xf numFmtId="0" fontId="92" fillId="0" borderId="0">
      <alignment vertical="top"/>
    </xf>
    <xf numFmtId="178" fontId="92" fillId="0" borderId="0">
      <alignment vertical="top"/>
    </xf>
    <xf numFmtId="178" fontId="92" fillId="0" borderId="0">
      <alignment vertical="top"/>
    </xf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2" fillId="0" borderId="0">
      <alignment vertical="top"/>
    </xf>
    <xf numFmtId="0" fontId="92" fillId="0" borderId="0">
      <alignment vertical="top"/>
    </xf>
    <xf numFmtId="0" fontId="92" fillId="0" borderId="0">
      <alignment vertical="top"/>
    </xf>
    <xf numFmtId="178" fontId="92" fillId="0" borderId="0">
      <alignment vertical="top"/>
    </xf>
    <xf numFmtId="178" fontId="92" fillId="0" borderId="0">
      <alignment vertical="top"/>
    </xf>
    <xf numFmtId="0" fontId="63" fillId="0" borderId="0"/>
    <xf numFmtId="0" fontId="63" fillId="0" borderId="0"/>
    <xf numFmtId="178" fontId="63" fillId="0" borderId="0"/>
    <xf numFmtId="178" fontId="63" fillId="0" borderId="0"/>
    <xf numFmtId="0" fontId="92" fillId="0" borderId="0">
      <alignment vertical="top"/>
    </xf>
    <xf numFmtId="0" fontId="92" fillId="0" borderId="0">
      <alignment vertical="top"/>
    </xf>
    <xf numFmtId="178" fontId="92" fillId="0" borderId="0">
      <alignment vertical="top"/>
    </xf>
    <xf numFmtId="178" fontId="92" fillId="0" borderId="0">
      <alignment vertical="top"/>
    </xf>
    <xf numFmtId="0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63" fillId="0" borderId="0"/>
    <xf numFmtId="178" fontId="63" fillId="0" borderId="0"/>
    <xf numFmtId="178" fontId="63" fillId="0" borderId="0"/>
    <xf numFmtId="0" fontId="69" fillId="0" borderId="0"/>
    <xf numFmtId="0" fontId="69" fillId="0" borderId="0"/>
    <xf numFmtId="178" fontId="69" fillId="0" borderId="0"/>
    <xf numFmtId="178" fontId="69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89" fillId="0" borderId="0"/>
    <xf numFmtId="178" fontId="89" fillId="0" borderId="0"/>
    <xf numFmtId="178" fontId="89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89" fillId="0" borderId="0"/>
    <xf numFmtId="0" fontId="89" fillId="0" borderId="0"/>
    <xf numFmtId="178" fontId="89" fillId="0" borderId="0"/>
    <xf numFmtId="178" fontId="89" fillId="0" borderId="0"/>
    <xf numFmtId="0" fontId="89" fillId="0" borderId="0"/>
    <xf numFmtId="0" fontId="8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89" fillId="0" borderId="0"/>
    <xf numFmtId="178" fontId="89" fillId="0" borderId="0"/>
    <xf numFmtId="178" fontId="8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89" fillId="0" borderId="0"/>
    <xf numFmtId="178" fontId="89" fillId="0" borderId="0"/>
    <xf numFmtId="0" fontId="89" fillId="0" borderId="0"/>
    <xf numFmtId="178" fontId="89" fillId="0" borderId="0"/>
    <xf numFmtId="0" fontId="89" fillId="0" borderId="0"/>
    <xf numFmtId="178" fontId="89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89" fillId="0" borderId="0"/>
    <xf numFmtId="0" fontId="89" fillId="0" borderId="0"/>
    <xf numFmtId="178" fontId="89" fillId="0" borderId="0"/>
    <xf numFmtId="178" fontId="89" fillId="0" borderId="0"/>
    <xf numFmtId="0" fontId="89" fillId="0" borderId="0"/>
    <xf numFmtId="0" fontId="89" fillId="0" borderId="0"/>
    <xf numFmtId="178" fontId="89" fillId="0" borderId="0"/>
    <xf numFmtId="178" fontId="89" fillId="0" borderId="0"/>
    <xf numFmtId="0" fontId="8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89" fillId="0" borderId="0"/>
    <xf numFmtId="178" fontId="89" fillId="0" borderId="0"/>
    <xf numFmtId="178" fontId="89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69" fillId="0" borderId="0"/>
    <xf numFmtId="0" fontId="69" fillId="0" borderId="0"/>
    <xf numFmtId="178" fontId="69" fillId="0" borderId="0"/>
    <xf numFmtId="178" fontId="69" fillId="0" borderId="0"/>
    <xf numFmtId="0" fontId="69" fillId="0" borderId="0"/>
    <xf numFmtId="0" fontId="69" fillId="0" borderId="0"/>
    <xf numFmtId="178" fontId="69" fillId="0" borderId="0"/>
    <xf numFmtId="178" fontId="69" fillId="0" borderId="0"/>
    <xf numFmtId="0" fontId="18" fillId="0" borderId="0"/>
    <xf numFmtId="178" fontId="18" fillId="0" borderId="0"/>
    <xf numFmtId="0" fontId="18" fillId="0" borderId="0"/>
    <xf numFmtId="178" fontId="18" fillId="0" borderId="0"/>
    <xf numFmtId="0" fontId="18" fillId="0" borderId="0"/>
    <xf numFmtId="178" fontId="18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178" fontId="63" fillId="0" borderId="0"/>
    <xf numFmtId="0" fontId="63" fillId="0" borderId="0"/>
    <xf numFmtId="178" fontId="63" fillId="0" borderId="0"/>
    <xf numFmtId="0" fontId="63" fillId="0" borderId="0"/>
    <xf numFmtId="178" fontId="63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2" fillId="0" borderId="0">
      <alignment vertical="top"/>
    </xf>
    <xf numFmtId="0" fontId="92" fillId="0" borderId="0">
      <alignment vertical="top"/>
    </xf>
    <xf numFmtId="178" fontId="92" fillId="0" borderId="0">
      <alignment vertical="top"/>
    </xf>
    <xf numFmtId="178" fontId="92" fillId="0" borderId="0">
      <alignment vertical="top"/>
    </xf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0" fontId="90" fillId="0" borderId="0"/>
    <xf numFmtId="178" fontId="90" fillId="0" borderId="0"/>
    <xf numFmtId="178" fontId="90" fillId="0" borderId="0"/>
    <xf numFmtId="0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89" fillId="0" borderId="0"/>
    <xf numFmtId="178" fontId="89" fillId="0" borderId="0"/>
    <xf numFmtId="178" fontId="89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89" fillId="0" borderId="0"/>
    <xf numFmtId="0" fontId="89" fillId="0" borderId="0"/>
    <xf numFmtId="178" fontId="89" fillId="0" borderId="0"/>
    <xf numFmtId="178" fontId="89" fillId="0" borderId="0"/>
    <xf numFmtId="0" fontId="89" fillId="0" borderId="0"/>
    <xf numFmtId="0" fontId="8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89" fillId="0" borderId="0"/>
    <xf numFmtId="178" fontId="89" fillId="0" borderId="0"/>
    <xf numFmtId="178" fontId="8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89" fillId="0" borderId="0"/>
    <xf numFmtId="178" fontId="89" fillId="0" borderId="0"/>
    <xf numFmtId="0" fontId="89" fillId="0" borderId="0"/>
    <xf numFmtId="178" fontId="89" fillId="0" borderId="0"/>
    <xf numFmtId="0" fontId="89" fillId="0" borderId="0"/>
    <xf numFmtId="178" fontId="89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89" fillId="0" borderId="0"/>
    <xf numFmtId="0" fontId="89" fillId="0" borderId="0"/>
    <xf numFmtId="178" fontId="89" fillId="0" borderId="0"/>
    <xf numFmtId="178" fontId="89" fillId="0" borderId="0"/>
    <xf numFmtId="0" fontId="89" fillId="0" borderId="0"/>
    <xf numFmtId="0" fontId="89" fillId="0" borderId="0"/>
    <xf numFmtId="178" fontId="89" fillId="0" borderId="0"/>
    <xf numFmtId="178" fontId="89" fillId="0" borderId="0"/>
    <xf numFmtId="0" fontId="8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89" fillId="0" borderId="0"/>
    <xf numFmtId="178" fontId="89" fillId="0" borderId="0"/>
    <xf numFmtId="178" fontId="89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69" fillId="0" borderId="0"/>
    <xf numFmtId="0" fontId="69" fillId="0" borderId="0"/>
    <xf numFmtId="178" fontId="69" fillId="0" borderId="0"/>
    <xf numFmtId="178" fontId="69" fillId="0" borderId="0"/>
    <xf numFmtId="0" fontId="94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90" fillId="0" borderId="0"/>
    <xf numFmtId="178" fontId="90" fillId="0" borderId="0"/>
    <xf numFmtId="178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0" fontId="90" fillId="0" borderId="0"/>
    <xf numFmtId="178" fontId="90" fillId="0" borderId="0"/>
    <xf numFmtId="178" fontId="90" fillId="0" borderId="0"/>
    <xf numFmtId="0" fontId="92" fillId="0" borderId="0">
      <alignment vertical="top"/>
    </xf>
    <xf numFmtId="0" fontId="92" fillId="0" borderId="0">
      <alignment vertical="top"/>
    </xf>
    <xf numFmtId="0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89" fillId="0" borderId="0"/>
    <xf numFmtId="178" fontId="89" fillId="0" borderId="0"/>
    <xf numFmtId="178" fontId="89" fillId="0" borderId="0"/>
    <xf numFmtId="0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89" fillId="0" borderId="0"/>
    <xf numFmtId="178" fontId="89" fillId="0" borderId="0"/>
    <xf numFmtId="178" fontId="89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89" fillId="0" borderId="0"/>
    <xf numFmtId="0" fontId="89" fillId="0" borderId="0"/>
    <xf numFmtId="178" fontId="89" fillId="0" borderId="0"/>
    <xf numFmtId="178" fontId="89" fillId="0" borderId="0"/>
    <xf numFmtId="0" fontId="89" fillId="0" borderId="0"/>
    <xf numFmtId="0" fontId="8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89" fillId="0" borderId="0"/>
    <xf numFmtId="178" fontId="89" fillId="0" borderId="0"/>
    <xf numFmtId="178" fontId="8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89" fillId="0" borderId="0"/>
    <xf numFmtId="178" fontId="89" fillId="0" borderId="0"/>
    <xf numFmtId="0" fontId="89" fillId="0" borderId="0"/>
    <xf numFmtId="178" fontId="89" fillId="0" borderId="0"/>
    <xf numFmtId="0" fontId="89" fillId="0" borderId="0"/>
    <xf numFmtId="178" fontId="89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89" fillId="0" borderId="0"/>
    <xf numFmtId="0" fontId="89" fillId="0" borderId="0"/>
    <xf numFmtId="178" fontId="89" fillId="0" borderId="0"/>
    <xf numFmtId="178" fontId="89" fillId="0" borderId="0"/>
    <xf numFmtId="0" fontId="89" fillId="0" borderId="0"/>
    <xf numFmtId="0" fontId="89" fillId="0" borderId="0"/>
    <xf numFmtId="178" fontId="89" fillId="0" borderId="0"/>
    <xf numFmtId="178" fontId="89" fillId="0" borderId="0"/>
    <xf numFmtId="0" fontId="8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89" fillId="0" borderId="0"/>
    <xf numFmtId="178" fontId="89" fillId="0" borderId="0"/>
    <xf numFmtId="178" fontId="89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89" fillId="0" borderId="0"/>
    <xf numFmtId="178" fontId="89" fillId="0" borderId="0"/>
    <xf numFmtId="178" fontId="89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89" fillId="0" borderId="0"/>
    <xf numFmtId="0" fontId="89" fillId="0" borderId="0"/>
    <xf numFmtId="178" fontId="89" fillId="0" borderId="0"/>
    <xf numFmtId="178" fontId="89" fillId="0" borderId="0"/>
    <xf numFmtId="0" fontId="89" fillId="0" borderId="0"/>
    <xf numFmtId="0" fontId="8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89" fillId="0" borderId="0"/>
    <xf numFmtId="178" fontId="89" fillId="0" borderId="0"/>
    <xf numFmtId="178" fontId="8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89" fillId="0" borderId="0"/>
    <xf numFmtId="178" fontId="89" fillId="0" borderId="0"/>
    <xf numFmtId="0" fontId="89" fillId="0" borderId="0"/>
    <xf numFmtId="178" fontId="89" fillId="0" borderId="0"/>
    <xf numFmtId="0" fontId="89" fillId="0" borderId="0"/>
    <xf numFmtId="178" fontId="89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89" fillId="0" borderId="0"/>
    <xf numFmtId="0" fontId="89" fillId="0" borderId="0"/>
    <xf numFmtId="178" fontId="89" fillId="0" borderId="0"/>
    <xf numFmtId="178" fontId="89" fillId="0" borderId="0"/>
    <xf numFmtId="0" fontId="89" fillId="0" borderId="0"/>
    <xf numFmtId="0" fontId="89" fillId="0" borderId="0"/>
    <xf numFmtId="178" fontId="89" fillId="0" borderId="0"/>
    <xf numFmtId="178" fontId="89" fillId="0" borderId="0"/>
    <xf numFmtId="0" fontId="8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89" fillId="0" borderId="0"/>
    <xf numFmtId="178" fontId="89" fillId="0" borderId="0"/>
    <xf numFmtId="178" fontId="89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89" fillId="0" borderId="0"/>
    <xf numFmtId="0" fontId="89" fillId="0" borderId="0"/>
    <xf numFmtId="178" fontId="89" fillId="0" borderId="0"/>
    <xf numFmtId="178" fontId="89" fillId="0" borderId="0"/>
    <xf numFmtId="0" fontId="89" fillId="0" borderId="0"/>
    <xf numFmtId="0" fontId="8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89" fillId="0" borderId="0"/>
    <xf numFmtId="178" fontId="89" fillId="0" borderId="0"/>
    <xf numFmtId="178" fontId="8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89" fillId="0" borderId="0"/>
    <xf numFmtId="178" fontId="89" fillId="0" borderId="0"/>
    <xf numFmtId="0" fontId="89" fillId="0" borderId="0"/>
    <xf numFmtId="178" fontId="89" fillId="0" borderId="0"/>
    <xf numFmtId="0" fontId="89" fillId="0" borderId="0"/>
    <xf numFmtId="178" fontId="89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89" fillId="0" borderId="0"/>
    <xf numFmtId="0" fontId="89" fillId="0" borderId="0"/>
    <xf numFmtId="178" fontId="89" fillId="0" borderId="0"/>
    <xf numFmtId="178" fontId="89" fillId="0" borderId="0"/>
    <xf numFmtId="0" fontId="89" fillId="0" borderId="0"/>
    <xf numFmtId="0" fontId="89" fillId="0" borderId="0"/>
    <xf numFmtId="178" fontId="89" fillId="0" borderId="0"/>
    <xf numFmtId="178" fontId="89" fillId="0" borderId="0"/>
    <xf numFmtId="0" fontId="8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89" fillId="0" borderId="0"/>
    <xf numFmtId="178" fontId="89" fillId="0" borderId="0"/>
    <xf numFmtId="178" fontId="89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69" fillId="0" borderId="0"/>
    <xf numFmtId="0" fontId="69" fillId="0" borderId="0"/>
    <xf numFmtId="178" fontId="69" fillId="0" borderId="0"/>
    <xf numFmtId="178" fontId="69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69" fillId="0" borderId="0"/>
    <xf numFmtId="0" fontId="69" fillId="0" borderId="0"/>
    <xf numFmtId="178" fontId="69" fillId="0" borderId="0"/>
    <xf numFmtId="178" fontId="69" fillId="0" borderId="0"/>
    <xf numFmtId="0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89" fillId="0" borderId="0"/>
    <xf numFmtId="178" fontId="89" fillId="0" borderId="0"/>
    <xf numFmtId="178" fontId="89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89" fillId="0" borderId="0"/>
    <xf numFmtId="0" fontId="89" fillId="0" borderId="0"/>
    <xf numFmtId="178" fontId="89" fillId="0" borderId="0"/>
    <xf numFmtId="178" fontId="89" fillId="0" borderId="0"/>
    <xf numFmtId="0" fontId="89" fillId="0" borderId="0"/>
    <xf numFmtId="0" fontId="8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89" fillId="0" borderId="0"/>
    <xf numFmtId="178" fontId="89" fillId="0" borderId="0"/>
    <xf numFmtId="178" fontId="8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89" fillId="0" borderId="0"/>
    <xf numFmtId="178" fontId="89" fillId="0" borderId="0"/>
    <xf numFmtId="0" fontId="89" fillId="0" borderId="0"/>
    <xf numFmtId="178" fontId="89" fillId="0" borderId="0"/>
    <xf numFmtId="0" fontId="89" fillId="0" borderId="0"/>
    <xf numFmtId="178" fontId="89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89" fillId="0" borderId="0"/>
    <xf numFmtId="0" fontId="89" fillId="0" borderId="0"/>
    <xf numFmtId="178" fontId="89" fillId="0" borderId="0"/>
    <xf numFmtId="178" fontId="89" fillId="0" borderId="0"/>
    <xf numFmtId="0" fontId="89" fillId="0" borderId="0"/>
    <xf numFmtId="0" fontId="89" fillId="0" borderId="0"/>
    <xf numFmtId="178" fontId="89" fillId="0" borderId="0"/>
    <xf numFmtId="178" fontId="89" fillId="0" borderId="0"/>
    <xf numFmtId="0" fontId="89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89" fillId="0" borderId="0"/>
    <xf numFmtId="178" fontId="89" fillId="0" borderId="0"/>
    <xf numFmtId="178" fontId="89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178" fontId="90" fillId="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211" fontId="67" fillId="0" borderId="0" applyFont="0" applyFill="0" applyBorder="0" applyAlignment="0" applyProtection="0"/>
    <xf numFmtId="0" fontId="67" fillId="0" borderId="0" applyFont="0" applyFill="0" applyBorder="0" applyAlignment="0" applyProtection="0"/>
    <xf numFmtId="212" fontId="74" fillId="0" borderId="0" applyFont="0" applyFill="0" applyBorder="0" applyAlignment="0" applyProtection="0"/>
    <xf numFmtId="213" fontId="67" fillId="0" borderId="0"/>
    <xf numFmtId="214" fontId="74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8" fontId="18" fillId="0" borderId="0" applyNumberFormat="0" applyFill="0" applyBorder="0" applyAlignment="0" applyProtection="0"/>
    <xf numFmtId="178" fontId="18" fillId="0" borderId="0" applyNumberFormat="0" applyFill="0" applyBorder="0" applyAlignment="0" applyProtection="0"/>
    <xf numFmtId="0" fontId="67" fillId="0" borderId="0"/>
    <xf numFmtId="0" fontId="67" fillId="0" borderId="0"/>
    <xf numFmtId="175" fontId="18" fillId="0" borderId="0" applyFont="0" applyFill="0" applyProtection="0"/>
    <xf numFmtId="215" fontId="119" fillId="0" borderId="0"/>
    <xf numFmtId="9" fontId="18" fillId="0" borderId="0"/>
    <xf numFmtId="216" fontId="18" fillId="0" borderId="0" applyFont="0" applyFill="0" applyBorder="0" applyAlignment="0" applyProtection="0"/>
    <xf numFmtId="216" fontId="18" fillId="0" borderId="0" applyFont="0" applyFill="0" applyBorder="0" applyAlignment="0" applyProtection="0"/>
    <xf numFmtId="166" fontId="119" fillId="0" borderId="0"/>
    <xf numFmtId="174" fontId="119" fillId="0" borderId="0"/>
    <xf numFmtId="2" fontId="119" fillId="0" borderId="0"/>
    <xf numFmtId="10" fontId="119" fillId="0" borderId="0"/>
    <xf numFmtId="1" fontId="120" fillId="0" borderId="0"/>
    <xf numFmtId="217" fontId="18" fillId="0" borderId="0" applyFont="0" applyFill="0" applyBorder="0" applyAlignment="0" applyProtection="0"/>
    <xf numFmtId="0" fontId="67" fillId="0" borderId="0"/>
    <xf numFmtId="0" fontId="67" fillId="0" borderId="0"/>
    <xf numFmtId="178" fontId="67" fillId="0" borderId="0"/>
    <xf numFmtId="178" fontId="67" fillId="0" borderId="0"/>
    <xf numFmtId="0" fontId="67" fillId="0" borderId="0"/>
    <xf numFmtId="0" fontId="67" fillId="0" borderId="0"/>
    <xf numFmtId="178" fontId="67" fillId="0" borderId="0"/>
    <xf numFmtId="178" fontId="67" fillId="0" borderId="0"/>
    <xf numFmtId="0" fontId="67" fillId="0" borderId="0"/>
    <xf numFmtId="0" fontId="67" fillId="0" borderId="0"/>
    <xf numFmtId="178" fontId="67" fillId="0" borderId="0"/>
    <xf numFmtId="178" fontId="67" fillId="0" borderId="0"/>
    <xf numFmtId="0" fontId="67" fillId="0" borderId="0"/>
    <xf numFmtId="0" fontId="67" fillId="0" borderId="0"/>
    <xf numFmtId="178" fontId="67" fillId="0" borderId="0"/>
    <xf numFmtId="178" fontId="67" fillId="0" borderId="0"/>
    <xf numFmtId="0" fontId="67" fillId="0" borderId="0"/>
    <xf numFmtId="0" fontId="67" fillId="0" borderId="0"/>
    <xf numFmtId="178" fontId="67" fillId="0" borderId="0"/>
    <xf numFmtId="178" fontId="67" fillId="0" borderId="0"/>
    <xf numFmtId="0" fontId="67" fillId="0" borderId="0"/>
    <xf numFmtId="0" fontId="67" fillId="0" borderId="0"/>
    <xf numFmtId="178" fontId="67" fillId="0" borderId="0"/>
    <xf numFmtId="178" fontId="67" fillId="0" borderId="0"/>
    <xf numFmtId="0" fontId="67" fillId="0" borderId="0"/>
    <xf numFmtId="0" fontId="67" fillId="0" borderId="0"/>
    <xf numFmtId="178" fontId="67" fillId="0" borderId="0"/>
    <xf numFmtId="178" fontId="67" fillId="0" borderId="0"/>
    <xf numFmtId="0" fontId="67" fillId="0" borderId="0"/>
    <xf numFmtId="0" fontId="67" fillId="0" borderId="0"/>
    <xf numFmtId="178" fontId="67" fillId="0" borderId="0"/>
    <xf numFmtId="178" fontId="67" fillId="0" borderId="0"/>
    <xf numFmtId="0" fontId="67" fillId="0" borderId="0"/>
    <xf numFmtId="0" fontId="67" fillId="0" borderId="0"/>
    <xf numFmtId="178" fontId="67" fillId="0" borderId="0"/>
    <xf numFmtId="178" fontId="67" fillId="0" borderId="0"/>
    <xf numFmtId="0" fontId="67" fillId="0" borderId="0"/>
    <xf numFmtId="0" fontId="67" fillId="0" borderId="0"/>
    <xf numFmtId="178" fontId="67" fillId="0" borderId="0"/>
    <xf numFmtId="178" fontId="67" fillId="0" borderId="0"/>
    <xf numFmtId="218" fontId="67" fillId="0" borderId="0"/>
    <xf numFmtId="0" fontId="67" fillId="0" borderId="0"/>
    <xf numFmtId="0" fontId="67" fillId="0" borderId="0"/>
    <xf numFmtId="178" fontId="67" fillId="0" borderId="0"/>
    <xf numFmtId="178" fontId="67" fillId="0" borderId="0"/>
    <xf numFmtId="0" fontId="67" fillId="0" borderId="0"/>
    <xf numFmtId="0" fontId="67" fillId="0" borderId="0"/>
    <xf numFmtId="178" fontId="67" fillId="0" borderId="0"/>
    <xf numFmtId="178" fontId="67" fillId="0" borderId="0"/>
    <xf numFmtId="0" fontId="67" fillId="0" borderId="0"/>
    <xf numFmtId="0" fontId="67" fillId="0" borderId="0"/>
    <xf numFmtId="178" fontId="67" fillId="0" borderId="0"/>
    <xf numFmtId="178" fontId="67" fillId="0" borderId="0"/>
    <xf numFmtId="164" fontId="67" fillId="0" borderId="0"/>
    <xf numFmtId="218" fontId="67" fillId="0" borderId="0"/>
    <xf numFmtId="0" fontId="67" fillId="0" borderId="0"/>
    <xf numFmtId="0" fontId="67" fillId="0" borderId="0"/>
    <xf numFmtId="178" fontId="67" fillId="0" borderId="0"/>
    <xf numFmtId="178" fontId="67" fillId="0" borderId="0"/>
    <xf numFmtId="0" fontId="67" fillId="0" borderId="0"/>
    <xf numFmtId="0" fontId="67" fillId="0" borderId="0"/>
    <xf numFmtId="178" fontId="67" fillId="0" borderId="0"/>
    <xf numFmtId="178" fontId="67" fillId="0" borderId="0"/>
    <xf numFmtId="0" fontId="67" fillId="0" borderId="0"/>
    <xf numFmtId="0" fontId="67" fillId="0" borderId="0"/>
    <xf numFmtId="178" fontId="67" fillId="0" borderId="0"/>
    <xf numFmtId="178" fontId="67" fillId="0" borderId="0"/>
    <xf numFmtId="218" fontId="67" fillId="0" borderId="0"/>
    <xf numFmtId="0" fontId="121" fillId="0" borderId="0">
      <alignment horizontal="centerContinuous"/>
    </xf>
    <xf numFmtId="0" fontId="121" fillId="0" borderId="0">
      <alignment horizontal="centerContinuous"/>
    </xf>
    <xf numFmtId="178" fontId="121" fillId="0" borderId="0">
      <alignment horizontal="centerContinuous"/>
    </xf>
    <xf numFmtId="178" fontId="121" fillId="0" borderId="0">
      <alignment horizontal="centerContinuous"/>
    </xf>
    <xf numFmtId="174" fontId="71" fillId="0" borderId="0"/>
    <xf numFmtId="0" fontId="18" fillId="61" borderId="10" applyNumberFormat="0" applyFill="0" applyBorder="0" applyAlignment="0">
      <alignment horizontal="left"/>
    </xf>
    <xf numFmtId="0" fontId="18" fillId="61" borderId="10" applyNumberFormat="0" applyFill="0" applyBorder="0" applyAlignment="0">
      <alignment horizontal="left"/>
    </xf>
    <xf numFmtId="0" fontId="18" fillId="61" borderId="10" applyNumberFormat="0" applyFill="0" applyBorder="0" applyAlignment="0">
      <alignment horizontal="left"/>
    </xf>
    <xf numFmtId="178" fontId="18" fillId="61" borderId="10" applyNumberFormat="0" applyFill="0" applyBorder="0" applyAlignment="0">
      <alignment horizontal="left"/>
    </xf>
    <xf numFmtId="0" fontId="18" fillId="61" borderId="10" applyNumberFormat="0" applyFill="0" applyBorder="0" applyAlignment="0">
      <alignment horizontal="left"/>
    </xf>
    <xf numFmtId="0" fontId="18" fillId="61" borderId="10" applyNumberFormat="0" applyFill="0" applyBorder="0" applyAlignment="0">
      <alignment horizontal="left"/>
    </xf>
    <xf numFmtId="178" fontId="18" fillId="61" borderId="10" applyNumberFormat="0" applyFill="0" applyBorder="0" applyAlignment="0">
      <alignment horizontal="left"/>
    </xf>
    <xf numFmtId="188" fontId="18" fillId="61" borderId="10" applyNumberFormat="0" applyFill="0" applyBorder="0" applyAlignment="0">
      <alignment horizontal="left"/>
    </xf>
    <xf numFmtId="178" fontId="18" fillId="61" borderId="10" applyNumberFormat="0" applyFill="0" applyBorder="0" applyAlignment="0">
      <alignment horizontal="left"/>
    </xf>
    <xf numFmtId="0" fontId="122" fillId="61" borderId="10" applyNumberFormat="0" applyFill="0" applyBorder="0" applyAlignment="0">
      <alignment horizontal="left"/>
    </xf>
    <xf numFmtId="0" fontId="122" fillId="61" borderId="10" applyNumberFormat="0" applyFill="0" applyBorder="0" applyAlignment="0">
      <alignment horizontal="left"/>
    </xf>
    <xf numFmtId="178" fontId="122" fillId="61" borderId="10" applyNumberFormat="0" applyFill="0" applyBorder="0" applyAlignment="0">
      <alignment horizontal="left"/>
    </xf>
    <xf numFmtId="0" fontId="122" fillId="61" borderId="10" applyNumberFormat="0" applyFill="0" applyBorder="0" applyAlignment="0">
      <alignment horizontal="left"/>
    </xf>
    <xf numFmtId="0" fontId="122" fillId="61" borderId="10" applyNumberFormat="0" applyFill="0" applyBorder="0" applyAlignment="0">
      <alignment horizontal="left"/>
    </xf>
    <xf numFmtId="178" fontId="122" fillId="61" borderId="10" applyNumberFormat="0" applyFill="0" applyBorder="0" applyAlignment="0">
      <alignment horizontal="left"/>
    </xf>
    <xf numFmtId="188" fontId="122" fillId="61" borderId="10" applyNumberFormat="0" applyFill="0" applyBorder="0" applyAlignment="0">
      <alignment horizontal="left"/>
    </xf>
    <xf numFmtId="178" fontId="122" fillId="61" borderId="10" applyNumberFormat="0" applyFill="0" applyBorder="0" applyAlignment="0">
      <alignment horizontal="left"/>
    </xf>
    <xf numFmtId="0" fontId="122" fillId="61" borderId="10" applyNumberFormat="0" applyFill="0" applyBorder="0" applyAlignment="0">
      <alignment horizontal="left"/>
    </xf>
    <xf numFmtId="0" fontId="122" fillId="61" borderId="10" applyNumberFormat="0" applyFill="0" applyBorder="0" applyAlignment="0">
      <alignment horizontal="left"/>
    </xf>
    <xf numFmtId="178" fontId="122" fillId="61" borderId="10" applyNumberFormat="0" applyFill="0" applyBorder="0" applyAlignment="0">
      <alignment horizontal="left"/>
    </xf>
    <xf numFmtId="0" fontId="122" fillId="61" borderId="10" applyNumberFormat="0" applyFill="0" applyBorder="0" applyAlignment="0">
      <alignment horizontal="left"/>
    </xf>
    <xf numFmtId="0" fontId="122" fillId="61" borderId="10" applyNumberFormat="0" applyFill="0" applyBorder="0" applyAlignment="0">
      <alignment horizontal="left"/>
    </xf>
    <xf numFmtId="178" fontId="122" fillId="61" borderId="10" applyNumberFormat="0" applyFill="0" applyBorder="0" applyAlignment="0">
      <alignment horizontal="left"/>
    </xf>
    <xf numFmtId="188" fontId="122" fillId="61" borderId="10" applyNumberFormat="0" applyFill="0" applyBorder="0" applyAlignment="0">
      <alignment horizontal="left"/>
    </xf>
    <xf numFmtId="178" fontId="122" fillId="61" borderId="10" applyNumberFormat="0" applyFill="0" applyBorder="0" applyAlignment="0">
      <alignment horizontal="left"/>
    </xf>
    <xf numFmtId="0" fontId="122" fillId="61" borderId="10" applyNumberFormat="0" applyFill="0" applyBorder="0" applyAlignment="0">
      <alignment horizontal="left"/>
    </xf>
    <xf numFmtId="178" fontId="122" fillId="61" borderId="10" applyNumberFormat="0" applyFill="0" applyBorder="0" applyAlignment="0">
      <alignment horizontal="left"/>
    </xf>
    <xf numFmtId="0" fontId="122" fillId="61" borderId="10" applyNumberFormat="0" applyFill="0" applyBorder="0" applyAlignment="0">
      <alignment horizontal="left"/>
    </xf>
    <xf numFmtId="0" fontId="122" fillId="61" borderId="10" applyNumberFormat="0" applyFill="0" applyBorder="0" applyAlignment="0">
      <alignment horizontal="left"/>
    </xf>
    <xf numFmtId="178" fontId="122" fillId="61" borderId="10" applyNumberFormat="0" applyFill="0" applyBorder="0" applyAlignment="0">
      <alignment horizontal="left"/>
    </xf>
    <xf numFmtId="188" fontId="122" fillId="61" borderId="10" applyNumberFormat="0" applyFill="0" applyBorder="0" applyAlignment="0">
      <alignment horizontal="left"/>
    </xf>
    <xf numFmtId="178" fontId="122" fillId="61" borderId="10" applyNumberFormat="0" applyFill="0" applyBorder="0" applyAlignment="0">
      <alignment horizontal="left"/>
    </xf>
    <xf numFmtId="0" fontId="18" fillId="61" borderId="0" applyNumberFormat="0" applyFill="0" applyBorder="0" applyAlignment="0"/>
    <xf numFmtId="0" fontId="18" fillId="61" borderId="0" applyNumberFormat="0" applyFill="0" applyBorder="0" applyAlignment="0"/>
    <xf numFmtId="0" fontId="18" fillId="61" borderId="0" applyNumberFormat="0" applyFill="0" applyBorder="0" applyAlignment="0"/>
    <xf numFmtId="178" fontId="18" fillId="61" borderId="0" applyNumberFormat="0" applyFill="0" applyBorder="0" applyAlignment="0"/>
    <xf numFmtId="178" fontId="18" fillId="61" borderId="0" applyNumberFormat="0" applyFill="0" applyBorder="0" applyAlignment="0"/>
    <xf numFmtId="0" fontId="123" fillId="61" borderId="0" applyNumberFormat="0" applyFill="0" applyBorder="0" applyAlignment="0"/>
    <xf numFmtId="178" fontId="123" fillId="61" borderId="0" applyNumberFormat="0" applyFill="0" applyBorder="0" applyAlignment="0"/>
    <xf numFmtId="178" fontId="123" fillId="61" borderId="0" applyNumberFormat="0" applyFill="0" applyBorder="0" applyAlignment="0"/>
    <xf numFmtId="0" fontId="18" fillId="54" borderId="10" applyNumberFormat="0" applyFill="0" applyBorder="0" applyAlignment="0">
      <alignment horizontal="left"/>
    </xf>
    <xf numFmtId="0" fontId="18" fillId="54" borderId="10" applyNumberFormat="0" applyFill="0" applyBorder="0" applyAlignment="0">
      <alignment horizontal="left"/>
    </xf>
    <xf numFmtId="0" fontId="18" fillId="54" borderId="10" applyNumberFormat="0" applyFill="0" applyBorder="0" applyAlignment="0">
      <alignment horizontal="left"/>
    </xf>
    <xf numFmtId="178" fontId="18" fillId="54" borderId="10" applyNumberFormat="0" applyFill="0" applyBorder="0" applyAlignment="0">
      <alignment horizontal="left"/>
    </xf>
    <xf numFmtId="0" fontId="18" fillId="54" borderId="10" applyNumberFormat="0" applyFill="0" applyBorder="0" applyAlignment="0">
      <alignment horizontal="left"/>
    </xf>
    <xf numFmtId="0" fontId="18" fillId="54" borderId="10" applyNumberFormat="0" applyFill="0" applyBorder="0" applyAlignment="0">
      <alignment horizontal="left"/>
    </xf>
    <xf numFmtId="178" fontId="18" fillId="54" borderId="10" applyNumberFormat="0" applyFill="0" applyBorder="0" applyAlignment="0">
      <alignment horizontal="left"/>
    </xf>
    <xf numFmtId="188" fontId="18" fillId="54" borderId="10" applyNumberFormat="0" applyFill="0" applyBorder="0" applyAlignment="0">
      <alignment horizontal="left"/>
    </xf>
    <xf numFmtId="178" fontId="18" fillId="54" borderId="10" applyNumberFormat="0" applyFill="0" applyBorder="0" applyAlignment="0">
      <alignment horizontal="left"/>
    </xf>
    <xf numFmtId="0" fontId="124" fillId="54" borderId="10" applyNumberFormat="0" applyFill="0" applyBorder="0" applyAlignment="0">
      <alignment horizontal="left"/>
    </xf>
    <xf numFmtId="0" fontId="124" fillId="54" borderId="10" applyNumberFormat="0" applyFill="0" applyBorder="0" applyAlignment="0">
      <alignment horizontal="left"/>
    </xf>
    <xf numFmtId="178" fontId="124" fillId="54" borderId="10" applyNumberFormat="0" applyFill="0" applyBorder="0" applyAlignment="0">
      <alignment horizontal="left"/>
    </xf>
    <xf numFmtId="0" fontId="124" fillId="54" borderId="10" applyNumberFormat="0" applyFill="0" applyBorder="0" applyAlignment="0">
      <alignment horizontal="left"/>
    </xf>
    <xf numFmtId="0" fontId="124" fillId="54" borderId="10" applyNumberFormat="0" applyFill="0" applyBorder="0" applyAlignment="0">
      <alignment horizontal="left"/>
    </xf>
    <xf numFmtId="178" fontId="124" fillId="54" borderId="10" applyNumberFormat="0" applyFill="0" applyBorder="0" applyAlignment="0">
      <alignment horizontal="left"/>
    </xf>
    <xf numFmtId="188" fontId="124" fillId="54" borderId="10" applyNumberFormat="0" applyFill="0" applyBorder="0" applyAlignment="0">
      <alignment horizontal="left"/>
    </xf>
    <xf numFmtId="178" fontId="124" fillId="54" borderId="10" applyNumberFormat="0" applyFill="0" applyBorder="0" applyAlignment="0">
      <alignment horizontal="left"/>
    </xf>
    <xf numFmtId="0" fontId="124" fillId="54" borderId="10" applyNumberFormat="0" applyFill="0" applyBorder="0" applyAlignment="0">
      <alignment horizontal="left"/>
    </xf>
    <xf numFmtId="0" fontId="124" fillId="54" borderId="10" applyNumberFormat="0" applyFill="0" applyBorder="0" applyAlignment="0">
      <alignment horizontal="left"/>
    </xf>
    <xf numFmtId="178" fontId="124" fillId="54" borderId="10" applyNumberFormat="0" applyFill="0" applyBorder="0" applyAlignment="0">
      <alignment horizontal="left"/>
    </xf>
    <xf numFmtId="0" fontId="124" fillId="54" borderId="10" applyNumberFormat="0" applyFill="0" applyBorder="0" applyAlignment="0">
      <alignment horizontal="left"/>
    </xf>
    <xf numFmtId="0" fontId="124" fillId="54" borderId="10" applyNumberFormat="0" applyFill="0" applyBorder="0" applyAlignment="0">
      <alignment horizontal="left"/>
    </xf>
    <xf numFmtId="178" fontId="124" fillId="54" borderId="10" applyNumberFormat="0" applyFill="0" applyBorder="0" applyAlignment="0">
      <alignment horizontal="left"/>
    </xf>
    <xf numFmtId="188" fontId="124" fillId="54" borderId="10" applyNumberFormat="0" applyFill="0" applyBorder="0" applyAlignment="0">
      <alignment horizontal="left"/>
    </xf>
    <xf numFmtId="178" fontId="124" fillId="54" borderId="10" applyNumberFormat="0" applyFill="0" applyBorder="0" applyAlignment="0">
      <alignment horizontal="left"/>
    </xf>
    <xf numFmtId="0" fontId="124" fillId="54" borderId="10" applyNumberFormat="0" applyFill="0" applyBorder="0" applyAlignment="0">
      <alignment horizontal="left"/>
    </xf>
    <xf numFmtId="178" fontId="124" fillId="54" borderId="10" applyNumberFormat="0" applyFill="0" applyBorder="0" applyAlignment="0">
      <alignment horizontal="left"/>
    </xf>
    <xf numFmtId="0" fontId="124" fillId="54" borderId="10" applyNumberFormat="0" applyFill="0" applyBorder="0" applyAlignment="0">
      <alignment horizontal="left"/>
    </xf>
    <xf numFmtId="0" fontId="124" fillId="54" borderId="10" applyNumberFormat="0" applyFill="0" applyBorder="0" applyAlignment="0">
      <alignment horizontal="left"/>
    </xf>
    <xf numFmtId="178" fontId="124" fillId="54" borderId="10" applyNumberFormat="0" applyFill="0" applyBorder="0" applyAlignment="0">
      <alignment horizontal="left"/>
    </xf>
    <xf numFmtId="188" fontId="124" fillId="54" borderId="10" applyNumberFormat="0" applyFill="0" applyBorder="0" applyAlignment="0">
      <alignment horizontal="left"/>
    </xf>
    <xf numFmtId="178" fontId="124" fillId="54" borderId="10" applyNumberFormat="0" applyFill="0" applyBorder="0" applyAlignment="0">
      <alignment horizontal="left"/>
    </xf>
    <xf numFmtId="0" fontId="18" fillId="55" borderId="0" applyNumberFormat="0" applyFill="0" applyBorder="0" applyAlignment="0"/>
    <xf numFmtId="0" fontId="18" fillId="55" borderId="0" applyNumberFormat="0" applyFill="0" applyBorder="0" applyAlignment="0"/>
    <xf numFmtId="0" fontId="18" fillId="55" borderId="0" applyNumberFormat="0" applyFill="0" applyBorder="0" applyAlignment="0"/>
    <xf numFmtId="178" fontId="18" fillId="55" borderId="0" applyNumberFormat="0" applyFill="0" applyBorder="0" applyAlignment="0"/>
    <xf numFmtId="178" fontId="18" fillId="55" borderId="0" applyNumberFormat="0" applyFill="0" applyBorder="0" applyAlignment="0"/>
    <xf numFmtId="0" fontId="125" fillId="55" borderId="0" applyNumberFormat="0" applyFill="0" applyBorder="0" applyAlignment="0"/>
    <xf numFmtId="178" fontId="125" fillId="55" borderId="0" applyNumberFormat="0" applyFill="0" applyBorder="0" applyAlignment="0"/>
    <xf numFmtId="178" fontId="125" fillId="55" borderId="0" applyNumberFormat="0" applyFill="0" applyBorder="0" applyAlignment="0"/>
    <xf numFmtId="0" fontId="18" fillId="0" borderId="0" applyNumberFormat="0" applyFill="0" applyBorder="0" applyAlignment="0"/>
    <xf numFmtId="0" fontId="18" fillId="0" borderId="0" applyNumberFormat="0" applyFill="0" applyBorder="0" applyAlignment="0"/>
    <xf numFmtId="0" fontId="18" fillId="0" borderId="0" applyNumberFormat="0" applyFill="0" applyBorder="0" applyAlignment="0"/>
    <xf numFmtId="178" fontId="18" fillId="0" borderId="0" applyNumberFormat="0" applyFill="0" applyBorder="0" applyAlignment="0"/>
    <xf numFmtId="178" fontId="18" fillId="0" borderId="0" applyNumberFormat="0" applyFill="0" applyBorder="0" applyAlignment="0"/>
    <xf numFmtId="0" fontId="126" fillId="0" borderId="0" applyNumberFormat="0" applyFill="0" applyBorder="0" applyAlignment="0"/>
    <xf numFmtId="178" fontId="126" fillId="0" borderId="0" applyNumberFormat="0" applyFill="0" applyBorder="0" applyAlignment="0"/>
    <xf numFmtId="178" fontId="126" fillId="0" borderId="0" applyNumberFormat="0" applyFill="0" applyBorder="0" applyAlignment="0"/>
    <xf numFmtId="0" fontId="18" fillId="0" borderId="42" applyNumberFormat="0" applyFill="0" applyBorder="0" applyAlignment="0">
      <alignment horizontal="left"/>
    </xf>
    <xf numFmtId="0" fontId="18" fillId="0" borderId="42" applyNumberFormat="0" applyFill="0" applyBorder="0" applyAlignment="0">
      <alignment horizontal="left"/>
    </xf>
    <xf numFmtId="0" fontId="18" fillId="0" borderId="42" applyNumberFormat="0" applyFill="0" applyBorder="0" applyAlignment="0">
      <alignment horizontal="left"/>
    </xf>
    <xf numFmtId="0" fontId="18" fillId="0" borderId="42" applyNumberFormat="0" applyFill="0" applyBorder="0" applyAlignment="0">
      <alignment horizontal="left"/>
    </xf>
    <xf numFmtId="178" fontId="18" fillId="0" borderId="42" applyNumberFormat="0" applyFill="0" applyBorder="0" applyAlignment="0">
      <alignment horizontal="left"/>
    </xf>
    <xf numFmtId="0" fontId="18" fillId="0" borderId="42" applyNumberFormat="0" applyFill="0" applyBorder="0" applyAlignment="0">
      <alignment horizontal="left"/>
    </xf>
    <xf numFmtId="178" fontId="18" fillId="0" borderId="42" applyNumberFormat="0" applyFill="0" applyBorder="0" applyAlignment="0">
      <alignment horizontal="left"/>
    </xf>
    <xf numFmtId="188" fontId="18" fillId="0" borderId="42" applyNumberFormat="0" applyFill="0" applyBorder="0" applyAlignment="0">
      <alignment horizontal="left"/>
    </xf>
    <xf numFmtId="178" fontId="18" fillId="0" borderId="42" applyNumberFormat="0" applyFill="0" applyBorder="0" applyAlignment="0">
      <alignment horizontal="left"/>
    </xf>
    <xf numFmtId="0" fontId="127" fillId="0" borderId="42" applyNumberFormat="0" applyFill="0" applyBorder="0" applyAlignment="0">
      <alignment horizontal="left"/>
    </xf>
    <xf numFmtId="0" fontId="127" fillId="0" borderId="42" applyNumberFormat="0" applyFill="0" applyBorder="0" applyAlignment="0">
      <alignment horizontal="left"/>
    </xf>
    <xf numFmtId="0" fontId="127" fillId="0" borderId="42" applyNumberFormat="0" applyFill="0" applyBorder="0" applyAlignment="0">
      <alignment horizontal="left"/>
    </xf>
    <xf numFmtId="178" fontId="127" fillId="0" borderId="42" applyNumberFormat="0" applyFill="0" applyBorder="0" applyAlignment="0">
      <alignment horizontal="left"/>
    </xf>
    <xf numFmtId="0" fontId="127" fillId="0" borderId="42" applyNumberFormat="0" applyFill="0" applyBorder="0" applyAlignment="0">
      <alignment horizontal="left"/>
    </xf>
    <xf numFmtId="178" fontId="127" fillId="0" borderId="42" applyNumberFormat="0" applyFill="0" applyBorder="0" applyAlignment="0">
      <alignment horizontal="left"/>
    </xf>
    <xf numFmtId="188" fontId="127" fillId="0" borderId="42" applyNumberFormat="0" applyFill="0" applyBorder="0" applyAlignment="0">
      <alignment horizontal="left"/>
    </xf>
    <xf numFmtId="178" fontId="127" fillId="0" borderId="42" applyNumberFormat="0" applyFill="0" applyBorder="0" applyAlignment="0">
      <alignment horizontal="left"/>
    </xf>
    <xf numFmtId="0" fontId="127" fillId="0" borderId="42" applyNumberFormat="0" applyFill="0" applyBorder="0" applyAlignment="0">
      <alignment horizontal="left"/>
    </xf>
    <xf numFmtId="178" fontId="127" fillId="0" borderId="42" applyNumberFormat="0" applyFill="0" applyBorder="0" applyAlignment="0">
      <alignment horizontal="left"/>
    </xf>
    <xf numFmtId="188" fontId="127" fillId="0" borderId="42" applyNumberFormat="0" applyFill="0" applyBorder="0" applyAlignment="0">
      <alignment horizontal="left"/>
    </xf>
    <xf numFmtId="178" fontId="127" fillId="0" borderId="42" applyNumberFormat="0" applyFill="0" applyBorder="0" applyAlignment="0">
      <alignment horizontal="left"/>
    </xf>
    <xf numFmtId="0" fontId="18" fillId="62" borderId="43" applyNumberFormat="0" applyFill="0" applyBorder="0" applyAlignment="0">
      <alignment horizontal="centerContinuous"/>
    </xf>
    <xf numFmtId="0" fontId="18" fillId="62" borderId="43" applyNumberFormat="0" applyFill="0" applyBorder="0" applyAlignment="0">
      <alignment horizontal="centerContinuous"/>
    </xf>
    <xf numFmtId="0" fontId="18" fillId="62" borderId="43" applyNumberFormat="0" applyFill="0" applyBorder="0" applyAlignment="0">
      <alignment horizontal="centerContinuous"/>
    </xf>
    <xf numFmtId="178" fontId="18" fillId="62" borderId="43" applyNumberFormat="0" applyFill="0" applyBorder="0" applyAlignment="0">
      <alignment horizontal="centerContinuous"/>
    </xf>
    <xf numFmtId="178" fontId="18" fillId="62" borderId="43" applyNumberFormat="0" applyFill="0" applyBorder="0" applyAlignment="0">
      <alignment horizontal="centerContinuous"/>
    </xf>
    <xf numFmtId="0" fontId="128" fillId="62" borderId="43" applyNumberFormat="0" applyFill="0" applyBorder="0" applyAlignment="0">
      <alignment horizontal="centerContinuous"/>
    </xf>
    <xf numFmtId="178" fontId="128" fillId="62" borderId="43" applyNumberFormat="0" applyFill="0" applyBorder="0" applyAlignment="0">
      <alignment horizontal="centerContinuous"/>
    </xf>
    <xf numFmtId="178" fontId="128" fillId="62" borderId="43" applyNumberFormat="0" applyFill="0" applyBorder="0" applyAlignment="0">
      <alignment horizontal="centerContinuous"/>
    </xf>
    <xf numFmtId="0" fontId="129" fillId="0" borderId="0" applyNumberFormat="0" applyFill="0" applyBorder="0" applyAlignment="0"/>
    <xf numFmtId="0" fontId="129" fillId="0" borderId="0" applyNumberFormat="0" applyFill="0" applyBorder="0" applyAlignment="0"/>
    <xf numFmtId="178" fontId="129" fillId="0" borderId="0" applyNumberFormat="0" applyFill="0" applyBorder="0" applyAlignment="0"/>
    <xf numFmtId="178" fontId="129" fillId="0" borderId="0" applyNumberFormat="0" applyFill="0" applyBorder="0" applyAlignment="0"/>
    <xf numFmtId="0" fontId="129" fillId="63" borderId="20" applyNumberFormat="0" applyFill="0" applyBorder="0" applyAlignment="0"/>
    <xf numFmtId="0" fontId="129" fillId="63" borderId="20" applyNumberFormat="0" applyFill="0" applyBorder="0" applyAlignment="0"/>
    <xf numFmtId="178" fontId="129" fillId="63" borderId="20" applyNumberFormat="0" applyFill="0" applyBorder="0" applyAlignment="0"/>
    <xf numFmtId="178" fontId="129" fillId="63" borderId="20" applyNumberFormat="0" applyFill="0" applyBorder="0" applyAlignment="0"/>
    <xf numFmtId="0" fontId="18" fillId="0" borderId="42" applyNumberFormat="0" applyFill="0" applyBorder="0" applyAlignment="0"/>
    <xf numFmtId="0" fontId="18" fillId="0" borderId="42" applyNumberFormat="0" applyFill="0" applyBorder="0" applyAlignment="0"/>
    <xf numFmtId="0" fontId="18" fillId="0" borderId="42" applyNumberFormat="0" applyFill="0" applyBorder="0" applyAlignment="0"/>
    <xf numFmtId="0" fontId="18" fillId="0" borderId="42" applyNumberFormat="0" applyFill="0" applyBorder="0" applyAlignment="0"/>
    <xf numFmtId="178" fontId="18" fillId="0" borderId="42" applyNumberFormat="0" applyFill="0" applyBorder="0" applyAlignment="0"/>
    <xf numFmtId="0" fontId="18" fillId="0" borderId="42" applyNumberFormat="0" applyFill="0" applyBorder="0" applyAlignment="0"/>
    <xf numFmtId="178" fontId="18" fillId="0" borderId="42" applyNumberFormat="0" applyFill="0" applyBorder="0" applyAlignment="0"/>
    <xf numFmtId="188" fontId="18" fillId="0" borderId="42" applyNumberFormat="0" applyFill="0" applyBorder="0" applyAlignment="0"/>
    <xf numFmtId="178" fontId="18" fillId="0" borderId="42" applyNumberFormat="0" applyFill="0" applyBorder="0" applyAlignment="0"/>
    <xf numFmtId="0" fontId="130" fillId="0" borderId="42" applyNumberFormat="0" applyFill="0" applyBorder="0" applyAlignment="0"/>
    <xf numFmtId="0" fontId="130" fillId="0" borderId="42" applyNumberFormat="0" applyFill="0" applyBorder="0" applyAlignment="0"/>
    <xf numFmtId="0" fontId="130" fillId="0" borderId="42" applyNumberFormat="0" applyFill="0" applyBorder="0" applyAlignment="0"/>
    <xf numFmtId="178" fontId="130" fillId="0" borderId="42" applyNumberFormat="0" applyFill="0" applyBorder="0" applyAlignment="0"/>
    <xf numFmtId="0" fontId="130" fillId="0" borderId="42" applyNumberFormat="0" applyFill="0" applyBorder="0" applyAlignment="0"/>
    <xf numFmtId="178" fontId="130" fillId="0" borderId="42" applyNumberFormat="0" applyFill="0" applyBorder="0" applyAlignment="0"/>
    <xf numFmtId="188" fontId="130" fillId="0" borderId="42" applyNumberFormat="0" applyFill="0" applyBorder="0" applyAlignment="0"/>
    <xf numFmtId="178" fontId="130" fillId="0" borderId="42" applyNumberFormat="0" applyFill="0" applyBorder="0" applyAlignment="0"/>
    <xf numFmtId="0" fontId="130" fillId="0" borderId="42" applyNumberFormat="0" applyFill="0" applyBorder="0" applyAlignment="0"/>
    <xf numFmtId="178" fontId="130" fillId="0" borderId="42" applyNumberFormat="0" applyFill="0" applyBorder="0" applyAlignment="0"/>
    <xf numFmtId="188" fontId="130" fillId="0" borderId="42" applyNumberFormat="0" applyFill="0" applyBorder="0" applyAlignment="0"/>
    <xf numFmtId="178" fontId="130" fillId="0" borderId="42" applyNumberFormat="0" applyFill="0" applyBorder="0" applyAlignment="0"/>
    <xf numFmtId="0" fontId="129" fillId="0" borderId="0" applyNumberFormat="0" applyFill="0" applyBorder="0" applyAlignment="0"/>
    <xf numFmtId="0" fontId="129" fillId="0" borderId="0" applyNumberFormat="0" applyFill="0" applyBorder="0" applyAlignment="0"/>
    <xf numFmtId="178" fontId="129" fillId="0" borderId="0" applyNumberFormat="0" applyFill="0" applyBorder="0" applyAlignment="0"/>
    <xf numFmtId="178" fontId="129" fillId="0" borderId="0" applyNumberFormat="0" applyFill="0" applyBorder="0" applyAlignment="0"/>
    <xf numFmtId="0" fontId="61" fillId="64" borderId="0" applyNumberFormat="0" applyBorder="0" applyAlignment="0" applyProtection="0"/>
    <xf numFmtId="0" fontId="61" fillId="64" borderId="0" applyNumberFormat="0" applyBorder="0" applyAlignment="0" applyProtection="0"/>
    <xf numFmtId="178" fontId="61" fillId="64" borderId="0" applyNumberFormat="0" applyBorder="0" applyAlignment="0" applyProtection="0"/>
    <xf numFmtId="178" fontId="61" fillId="64" borderId="0" applyNumberFormat="0" applyBorder="0" applyAlignment="0" applyProtection="0"/>
    <xf numFmtId="0" fontId="61" fillId="65" borderId="0" applyNumberFormat="0" applyBorder="0" applyAlignment="0" applyProtection="0"/>
    <xf numFmtId="0" fontId="61" fillId="65" borderId="0" applyNumberFormat="0" applyBorder="0" applyAlignment="0" applyProtection="0"/>
    <xf numFmtId="178" fontId="61" fillId="65" borderId="0" applyNumberFormat="0" applyBorder="0" applyAlignment="0" applyProtection="0"/>
    <xf numFmtId="178" fontId="61" fillId="65" borderId="0" applyNumberFormat="0" applyBorder="0" applyAlignment="0" applyProtection="0"/>
    <xf numFmtId="0" fontId="61" fillId="66" borderId="0" applyNumberFormat="0" applyBorder="0" applyAlignment="0" applyProtection="0"/>
    <xf numFmtId="0" fontId="61" fillId="66" borderId="0" applyNumberFormat="0" applyBorder="0" applyAlignment="0" applyProtection="0"/>
    <xf numFmtId="178" fontId="61" fillId="66" borderId="0" applyNumberFormat="0" applyBorder="0" applyAlignment="0" applyProtection="0"/>
    <xf numFmtId="178" fontId="61" fillId="66" borderId="0" applyNumberFormat="0" applyBorder="0" applyAlignment="0" applyProtection="0"/>
    <xf numFmtId="0" fontId="61" fillId="67" borderId="0" applyNumberFormat="0" applyBorder="0" applyAlignment="0" applyProtection="0"/>
    <xf numFmtId="0" fontId="61" fillId="67" borderId="0" applyNumberFormat="0" applyBorder="0" applyAlignment="0" applyProtection="0"/>
    <xf numFmtId="178" fontId="61" fillId="67" borderId="0" applyNumberFormat="0" applyBorder="0" applyAlignment="0" applyProtection="0"/>
    <xf numFmtId="178" fontId="61" fillId="67" borderId="0" applyNumberFormat="0" applyBorder="0" applyAlignment="0" applyProtection="0"/>
    <xf numFmtId="0" fontId="61" fillId="68" borderId="0" applyNumberFormat="0" applyBorder="0" applyAlignment="0" applyProtection="0"/>
    <xf numFmtId="0" fontId="61" fillId="68" borderId="0" applyNumberFormat="0" applyBorder="0" applyAlignment="0" applyProtection="0"/>
    <xf numFmtId="178" fontId="61" fillId="68" borderId="0" applyNumberFormat="0" applyBorder="0" applyAlignment="0" applyProtection="0"/>
    <xf numFmtId="178" fontId="61" fillId="68" borderId="0" applyNumberFormat="0" applyBorder="0" applyAlignment="0" applyProtection="0"/>
    <xf numFmtId="0" fontId="61" fillId="69" borderId="0" applyNumberFormat="0" applyBorder="0" applyAlignment="0" applyProtection="0"/>
    <xf numFmtId="0" fontId="61" fillId="69" borderId="0" applyNumberFormat="0" applyBorder="0" applyAlignment="0" applyProtection="0"/>
    <xf numFmtId="178" fontId="61" fillId="69" borderId="0" applyNumberFormat="0" applyBorder="0" applyAlignment="0" applyProtection="0"/>
    <xf numFmtId="178" fontId="61" fillId="69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0" fontId="61" fillId="64" borderId="0" applyNumberFormat="0" applyBorder="0" applyAlignment="0" applyProtection="0"/>
    <xf numFmtId="0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0" fontId="1" fillId="10" borderId="0" applyNumberFormat="0" applyBorder="0" applyAlignment="0" applyProtection="0"/>
    <xf numFmtId="178" fontId="1" fillId="10" borderId="0" applyNumberFormat="0" applyBorder="0" applyAlignment="0" applyProtection="0"/>
    <xf numFmtId="178" fontId="61" fillId="64" borderId="0" applyNumberFormat="0" applyBorder="0" applyAlignment="0" applyProtection="0"/>
    <xf numFmtId="188" fontId="61" fillId="64" borderId="0" applyNumberFormat="0" applyBorder="0" applyAlignment="0" applyProtection="0"/>
    <xf numFmtId="178" fontId="61" fillId="64" borderId="0" applyNumberFormat="0" applyBorder="0" applyAlignment="0" applyProtection="0"/>
    <xf numFmtId="188" fontId="61" fillId="64" borderId="0" applyNumberFormat="0" applyBorder="0" applyAlignment="0" applyProtection="0"/>
    <xf numFmtId="178" fontId="61" fillId="64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0" fontId="61" fillId="64" borderId="0" applyNumberFormat="0" applyBorder="0" applyAlignment="0" applyProtection="0"/>
    <xf numFmtId="178" fontId="61" fillId="64" borderId="0" applyNumberFormat="0" applyBorder="0" applyAlignment="0" applyProtection="0"/>
    <xf numFmtId="17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0" fontId="1" fillId="10" borderId="0" applyNumberFormat="0" applyBorder="0" applyAlignment="0" applyProtection="0"/>
    <xf numFmtId="188" fontId="131" fillId="10" borderId="0" applyNumberFormat="0" applyBorder="0" applyAlignment="0" applyProtection="0"/>
    <xf numFmtId="178" fontId="131" fillId="10" borderId="0" applyNumberFormat="0" applyBorder="0" applyAlignment="0" applyProtection="0"/>
    <xf numFmtId="188" fontId="131" fillId="10" borderId="0" applyNumberFormat="0" applyBorder="0" applyAlignment="0" applyProtection="0"/>
    <xf numFmtId="178" fontId="13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0" fontId="1" fillId="10" borderId="0" applyNumberFormat="0" applyBorder="0" applyAlignment="0" applyProtection="0"/>
    <xf numFmtId="178" fontId="1" fillId="10" borderId="0" applyNumberFormat="0" applyBorder="0" applyAlignment="0" applyProtection="0"/>
    <xf numFmtId="17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0" fontId="1" fillId="10" borderId="0" applyNumberFormat="0" applyBorder="0" applyAlignment="0" applyProtection="0"/>
    <xf numFmtId="188" fontId="131" fillId="10" borderId="0" applyNumberFormat="0" applyBorder="0" applyAlignment="0" applyProtection="0"/>
    <xf numFmtId="178" fontId="131" fillId="10" borderId="0" applyNumberFormat="0" applyBorder="0" applyAlignment="0" applyProtection="0"/>
    <xf numFmtId="188" fontId="131" fillId="10" borderId="0" applyNumberFormat="0" applyBorder="0" applyAlignment="0" applyProtection="0"/>
    <xf numFmtId="178" fontId="13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0" fontId="1" fillId="10" borderId="0" applyNumberFormat="0" applyBorder="0" applyAlignment="0" applyProtection="0"/>
    <xf numFmtId="178" fontId="1" fillId="10" borderId="0" applyNumberFormat="0" applyBorder="0" applyAlignment="0" applyProtection="0"/>
    <xf numFmtId="17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31" fillId="10" borderId="0" applyNumberFormat="0" applyBorder="0" applyAlignment="0" applyProtection="0"/>
    <xf numFmtId="178" fontId="131" fillId="10" borderId="0" applyNumberFormat="0" applyBorder="0" applyAlignment="0" applyProtection="0"/>
    <xf numFmtId="188" fontId="131" fillId="10" borderId="0" applyNumberFormat="0" applyBorder="0" applyAlignment="0" applyProtection="0"/>
    <xf numFmtId="178" fontId="13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31" fillId="10" borderId="0" applyNumberFormat="0" applyBorder="0" applyAlignment="0" applyProtection="0"/>
    <xf numFmtId="178" fontId="131" fillId="10" borderId="0" applyNumberFormat="0" applyBorder="0" applyAlignment="0" applyProtection="0"/>
    <xf numFmtId="188" fontId="131" fillId="10" borderId="0" applyNumberFormat="0" applyBorder="0" applyAlignment="0" applyProtection="0"/>
    <xf numFmtId="178" fontId="13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31" fillId="10" borderId="0" applyNumberFormat="0" applyBorder="0" applyAlignment="0" applyProtection="0"/>
    <xf numFmtId="178" fontId="131" fillId="10" borderId="0" applyNumberFormat="0" applyBorder="0" applyAlignment="0" applyProtection="0"/>
    <xf numFmtId="188" fontId="131" fillId="10" borderId="0" applyNumberFormat="0" applyBorder="0" applyAlignment="0" applyProtection="0"/>
    <xf numFmtId="178" fontId="13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31" fillId="10" borderId="0" applyNumberFormat="0" applyBorder="0" applyAlignment="0" applyProtection="0"/>
    <xf numFmtId="178" fontId="131" fillId="10" borderId="0" applyNumberFormat="0" applyBorder="0" applyAlignment="0" applyProtection="0"/>
    <xf numFmtId="188" fontId="131" fillId="10" borderId="0" applyNumberFormat="0" applyBorder="0" applyAlignment="0" applyProtection="0"/>
    <xf numFmtId="178" fontId="13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31" fillId="10" borderId="0" applyNumberFormat="0" applyBorder="0" applyAlignment="0" applyProtection="0"/>
    <xf numFmtId="178" fontId="131" fillId="10" borderId="0" applyNumberFormat="0" applyBorder="0" applyAlignment="0" applyProtection="0"/>
    <xf numFmtId="188" fontId="131" fillId="10" borderId="0" applyNumberFormat="0" applyBorder="0" applyAlignment="0" applyProtection="0"/>
    <xf numFmtId="178" fontId="13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0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0" fontId="61" fillId="65" borderId="0" applyNumberFormat="0" applyBorder="0" applyAlignment="0" applyProtection="0"/>
    <xf numFmtId="0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0" fontId="1" fillId="14" borderId="0" applyNumberFormat="0" applyBorder="0" applyAlignment="0" applyProtection="0"/>
    <xf numFmtId="178" fontId="1" fillId="14" borderId="0" applyNumberFormat="0" applyBorder="0" applyAlignment="0" applyProtection="0"/>
    <xf numFmtId="178" fontId="61" fillId="65" borderId="0" applyNumberFormat="0" applyBorder="0" applyAlignment="0" applyProtection="0"/>
    <xf numFmtId="188" fontId="61" fillId="65" borderId="0" applyNumberFormat="0" applyBorder="0" applyAlignment="0" applyProtection="0"/>
    <xf numFmtId="178" fontId="61" fillId="65" borderId="0" applyNumberFormat="0" applyBorder="0" applyAlignment="0" applyProtection="0"/>
    <xf numFmtId="188" fontId="61" fillId="65" borderId="0" applyNumberFormat="0" applyBorder="0" applyAlignment="0" applyProtection="0"/>
    <xf numFmtId="178" fontId="61" fillId="65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0" fontId="61" fillId="65" borderId="0" applyNumberFormat="0" applyBorder="0" applyAlignment="0" applyProtection="0"/>
    <xf numFmtId="178" fontId="61" fillId="65" borderId="0" applyNumberFormat="0" applyBorder="0" applyAlignment="0" applyProtection="0"/>
    <xf numFmtId="17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0" fontId="1" fillId="14" borderId="0" applyNumberFormat="0" applyBorder="0" applyAlignment="0" applyProtection="0"/>
    <xf numFmtId="188" fontId="131" fillId="14" borderId="0" applyNumberFormat="0" applyBorder="0" applyAlignment="0" applyProtection="0"/>
    <xf numFmtId="178" fontId="131" fillId="14" borderId="0" applyNumberFormat="0" applyBorder="0" applyAlignment="0" applyProtection="0"/>
    <xf numFmtId="188" fontId="131" fillId="14" borderId="0" applyNumberFormat="0" applyBorder="0" applyAlignment="0" applyProtection="0"/>
    <xf numFmtId="178" fontId="13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0" fontId="1" fillId="14" borderId="0" applyNumberFormat="0" applyBorder="0" applyAlignment="0" applyProtection="0"/>
    <xf numFmtId="178" fontId="1" fillId="14" borderId="0" applyNumberFormat="0" applyBorder="0" applyAlignment="0" applyProtection="0"/>
    <xf numFmtId="17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0" fontId="1" fillId="14" borderId="0" applyNumberFormat="0" applyBorder="0" applyAlignment="0" applyProtection="0"/>
    <xf numFmtId="188" fontId="131" fillId="14" borderId="0" applyNumberFormat="0" applyBorder="0" applyAlignment="0" applyProtection="0"/>
    <xf numFmtId="178" fontId="131" fillId="14" borderId="0" applyNumberFormat="0" applyBorder="0" applyAlignment="0" applyProtection="0"/>
    <xf numFmtId="188" fontId="131" fillId="14" borderId="0" applyNumberFormat="0" applyBorder="0" applyAlignment="0" applyProtection="0"/>
    <xf numFmtId="178" fontId="13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0" fontId="1" fillId="14" borderId="0" applyNumberFormat="0" applyBorder="0" applyAlignment="0" applyProtection="0"/>
    <xf numFmtId="178" fontId="1" fillId="14" borderId="0" applyNumberFormat="0" applyBorder="0" applyAlignment="0" applyProtection="0"/>
    <xf numFmtId="17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31" fillId="14" borderId="0" applyNumberFormat="0" applyBorder="0" applyAlignment="0" applyProtection="0"/>
    <xf numFmtId="178" fontId="131" fillId="14" borderId="0" applyNumberFormat="0" applyBorder="0" applyAlignment="0" applyProtection="0"/>
    <xf numFmtId="188" fontId="131" fillId="14" borderId="0" applyNumberFormat="0" applyBorder="0" applyAlignment="0" applyProtection="0"/>
    <xf numFmtId="178" fontId="13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31" fillId="14" borderId="0" applyNumberFormat="0" applyBorder="0" applyAlignment="0" applyProtection="0"/>
    <xf numFmtId="178" fontId="131" fillId="14" borderId="0" applyNumberFormat="0" applyBorder="0" applyAlignment="0" applyProtection="0"/>
    <xf numFmtId="188" fontId="131" fillId="14" borderId="0" applyNumberFormat="0" applyBorder="0" applyAlignment="0" applyProtection="0"/>
    <xf numFmtId="178" fontId="13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31" fillId="14" borderId="0" applyNumberFormat="0" applyBorder="0" applyAlignment="0" applyProtection="0"/>
    <xf numFmtId="178" fontId="131" fillId="14" borderId="0" applyNumberFormat="0" applyBorder="0" applyAlignment="0" applyProtection="0"/>
    <xf numFmtId="188" fontId="131" fillId="14" borderId="0" applyNumberFormat="0" applyBorder="0" applyAlignment="0" applyProtection="0"/>
    <xf numFmtId="178" fontId="13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31" fillId="14" borderId="0" applyNumberFormat="0" applyBorder="0" applyAlignment="0" applyProtection="0"/>
    <xf numFmtId="178" fontId="131" fillId="14" borderId="0" applyNumberFormat="0" applyBorder="0" applyAlignment="0" applyProtection="0"/>
    <xf numFmtId="188" fontId="131" fillId="14" borderId="0" applyNumberFormat="0" applyBorder="0" applyAlignment="0" applyProtection="0"/>
    <xf numFmtId="178" fontId="13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31" fillId="14" borderId="0" applyNumberFormat="0" applyBorder="0" applyAlignment="0" applyProtection="0"/>
    <xf numFmtId="178" fontId="131" fillId="14" borderId="0" applyNumberFormat="0" applyBorder="0" applyAlignment="0" applyProtection="0"/>
    <xf numFmtId="188" fontId="131" fillId="14" borderId="0" applyNumberFormat="0" applyBorder="0" applyAlignment="0" applyProtection="0"/>
    <xf numFmtId="178" fontId="13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4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0" fontId="61" fillId="66" borderId="0" applyNumberFormat="0" applyBorder="0" applyAlignment="0" applyProtection="0"/>
    <xf numFmtId="0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0" fontId="1" fillId="18" borderId="0" applyNumberFormat="0" applyBorder="0" applyAlignment="0" applyProtection="0"/>
    <xf numFmtId="178" fontId="1" fillId="18" borderId="0" applyNumberFormat="0" applyBorder="0" applyAlignment="0" applyProtection="0"/>
    <xf numFmtId="178" fontId="61" fillId="66" borderId="0" applyNumberFormat="0" applyBorder="0" applyAlignment="0" applyProtection="0"/>
    <xf numFmtId="188" fontId="61" fillId="66" borderId="0" applyNumberFormat="0" applyBorder="0" applyAlignment="0" applyProtection="0"/>
    <xf numFmtId="178" fontId="61" fillId="66" borderId="0" applyNumberFormat="0" applyBorder="0" applyAlignment="0" applyProtection="0"/>
    <xf numFmtId="188" fontId="61" fillId="66" borderId="0" applyNumberFormat="0" applyBorder="0" applyAlignment="0" applyProtection="0"/>
    <xf numFmtId="178" fontId="61" fillId="66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0" fontId="61" fillId="66" borderId="0" applyNumberFormat="0" applyBorder="0" applyAlignment="0" applyProtection="0"/>
    <xf numFmtId="178" fontId="61" fillId="66" borderId="0" applyNumberFormat="0" applyBorder="0" applyAlignment="0" applyProtection="0"/>
    <xf numFmtId="17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0" fontId="1" fillId="18" borderId="0" applyNumberFormat="0" applyBorder="0" applyAlignment="0" applyProtection="0"/>
    <xf numFmtId="188" fontId="131" fillId="18" borderId="0" applyNumberFormat="0" applyBorder="0" applyAlignment="0" applyProtection="0"/>
    <xf numFmtId="178" fontId="131" fillId="18" borderId="0" applyNumberFormat="0" applyBorder="0" applyAlignment="0" applyProtection="0"/>
    <xf numFmtId="188" fontId="131" fillId="18" borderId="0" applyNumberFormat="0" applyBorder="0" applyAlignment="0" applyProtection="0"/>
    <xf numFmtId="178" fontId="13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0" fontId="1" fillId="18" borderId="0" applyNumberFormat="0" applyBorder="0" applyAlignment="0" applyProtection="0"/>
    <xf numFmtId="178" fontId="1" fillId="18" borderId="0" applyNumberFormat="0" applyBorder="0" applyAlignment="0" applyProtection="0"/>
    <xf numFmtId="17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0" fontId="1" fillId="18" borderId="0" applyNumberFormat="0" applyBorder="0" applyAlignment="0" applyProtection="0"/>
    <xf numFmtId="188" fontId="131" fillId="18" borderId="0" applyNumberFormat="0" applyBorder="0" applyAlignment="0" applyProtection="0"/>
    <xf numFmtId="178" fontId="131" fillId="18" borderId="0" applyNumberFormat="0" applyBorder="0" applyAlignment="0" applyProtection="0"/>
    <xf numFmtId="188" fontId="131" fillId="18" borderId="0" applyNumberFormat="0" applyBorder="0" applyAlignment="0" applyProtection="0"/>
    <xf numFmtId="178" fontId="13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0" fontId="1" fillId="18" borderId="0" applyNumberFormat="0" applyBorder="0" applyAlignment="0" applyProtection="0"/>
    <xf numFmtId="178" fontId="1" fillId="18" borderId="0" applyNumberFormat="0" applyBorder="0" applyAlignment="0" applyProtection="0"/>
    <xf numFmtId="17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31" fillId="18" borderId="0" applyNumberFormat="0" applyBorder="0" applyAlignment="0" applyProtection="0"/>
    <xf numFmtId="178" fontId="131" fillId="18" borderId="0" applyNumberFormat="0" applyBorder="0" applyAlignment="0" applyProtection="0"/>
    <xf numFmtId="188" fontId="131" fillId="18" borderId="0" applyNumberFormat="0" applyBorder="0" applyAlignment="0" applyProtection="0"/>
    <xf numFmtId="178" fontId="13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31" fillId="18" borderId="0" applyNumberFormat="0" applyBorder="0" applyAlignment="0" applyProtection="0"/>
    <xf numFmtId="178" fontId="131" fillId="18" borderId="0" applyNumberFormat="0" applyBorder="0" applyAlignment="0" applyProtection="0"/>
    <xf numFmtId="188" fontId="131" fillId="18" borderId="0" applyNumberFormat="0" applyBorder="0" applyAlignment="0" applyProtection="0"/>
    <xf numFmtId="178" fontId="13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31" fillId="18" borderId="0" applyNumberFormat="0" applyBorder="0" applyAlignment="0" applyProtection="0"/>
    <xf numFmtId="178" fontId="131" fillId="18" borderId="0" applyNumberFormat="0" applyBorder="0" applyAlignment="0" applyProtection="0"/>
    <xf numFmtId="188" fontId="131" fillId="18" borderId="0" applyNumberFormat="0" applyBorder="0" applyAlignment="0" applyProtection="0"/>
    <xf numFmtId="178" fontId="13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31" fillId="18" borderId="0" applyNumberFormat="0" applyBorder="0" applyAlignment="0" applyProtection="0"/>
    <xf numFmtId="178" fontId="131" fillId="18" borderId="0" applyNumberFormat="0" applyBorder="0" applyAlignment="0" applyProtection="0"/>
    <xf numFmtId="188" fontId="131" fillId="18" borderId="0" applyNumberFormat="0" applyBorder="0" applyAlignment="0" applyProtection="0"/>
    <xf numFmtId="178" fontId="13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31" fillId="18" borderId="0" applyNumberFormat="0" applyBorder="0" applyAlignment="0" applyProtection="0"/>
    <xf numFmtId="178" fontId="131" fillId="18" borderId="0" applyNumberFormat="0" applyBorder="0" applyAlignment="0" applyProtection="0"/>
    <xf numFmtId="188" fontId="131" fillId="18" borderId="0" applyNumberFormat="0" applyBorder="0" applyAlignment="0" applyProtection="0"/>
    <xf numFmtId="178" fontId="13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18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0" fontId="61" fillId="67" borderId="0" applyNumberFormat="0" applyBorder="0" applyAlignment="0" applyProtection="0"/>
    <xf numFmtId="0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0" fontId="1" fillId="22" borderId="0" applyNumberFormat="0" applyBorder="0" applyAlignment="0" applyProtection="0"/>
    <xf numFmtId="178" fontId="1" fillId="22" borderId="0" applyNumberFormat="0" applyBorder="0" applyAlignment="0" applyProtection="0"/>
    <xf numFmtId="178" fontId="61" fillId="67" borderId="0" applyNumberFormat="0" applyBorder="0" applyAlignment="0" applyProtection="0"/>
    <xf numFmtId="188" fontId="61" fillId="67" borderId="0" applyNumberFormat="0" applyBorder="0" applyAlignment="0" applyProtection="0"/>
    <xf numFmtId="178" fontId="61" fillId="67" borderId="0" applyNumberFormat="0" applyBorder="0" applyAlignment="0" applyProtection="0"/>
    <xf numFmtId="188" fontId="61" fillId="67" borderId="0" applyNumberFormat="0" applyBorder="0" applyAlignment="0" applyProtection="0"/>
    <xf numFmtId="178" fontId="61" fillId="67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0" fontId="61" fillId="67" borderId="0" applyNumberFormat="0" applyBorder="0" applyAlignment="0" applyProtection="0"/>
    <xf numFmtId="178" fontId="61" fillId="67" borderId="0" applyNumberFormat="0" applyBorder="0" applyAlignment="0" applyProtection="0"/>
    <xf numFmtId="17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0" fontId="1" fillId="22" borderId="0" applyNumberFormat="0" applyBorder="0" applyAlignment="0" applyProtection="0"/>
    <xf numFmtId="188" fontId="131" fillId="22" borderId="0" applyNumberFormat="0" applyBorder="0" applyAlignment="0" applyProtection="0"/>
    <xf numFmtId="178" fontId="131" fillId="22" borderId="0" applyNumberFormat="0" applyBorder="0" applyAlignment="0" applyProtection="0"/>
    <xf numFmtId="188" fontId="131" fillId="22" borderId="0" applyNumberFormat="0" applyBorder="0" applyAlignment="0" applyProtection="0"/>
    <xf numFmtId="178" fontId="13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0" fontId="1" fillId="22" borderId="0" applyNumberFormat="0" applyBorder="0" applyAlignment="0" applyProtection="0"/>
    <xf numFmtId="178" fontId="1" fillId="22" borderId="0" applyNumberFormat="0" applyBorder="0" applyAlignment="0" applyProtection="0"/>
    <xf numFmtId="17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0" fontId="1" fillId="22" borderId="0" applyNumberFormat="0" applyBorder="0" applyAlignment="0" applyProtection="0"/>
    <xf numFmtId="188" fontId="131" fillId="22" borderId="0" applyNumberFormat="0" applyBorder="0" applyAlignment="0" applyProtection="0"/>
    <xf numFmtId="178" fontId="131" fillId="22" borderId="0" applyNumberFormat="0" applyBorder="0" applyAlignment="0" applyProtection="0"/>
    <xf numFmtId="188" fontId="131" fillId="22" borderId="0" applyNumberFormat="0" applyBorder="0" applyAlignment="0" applyProtection="0"/>
    <xf numFmtId="178" fontId="13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0" fontId="1" fillId="22" borderId="0" applyNumberFormat="0" applyBorder="0" applyAlignment="0" applyProtection="0"/>
    <xf numFmtId="178" fontId="1" fillId="22" borderId="0" applyNumberFormat="0" applyBorder="0" applyAlignment="0" applyProtection="0"/>
    <xf numFmtId="17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31" fillId="22" borderId="0" applyNumberFormat="0" applyBorder="0" applyAlignment="0" applyProtection="0"/>
    <xf numFmtId="178" fontId="131" fillId="22" borderId="0" applyNumberFormat="0" applyBorder="0" applyAlignment="0" applyProtection="0"/>
    <xf numFmtId="188" fontId="131" fillId="22" borderId="0" applyNumberFormat="0" applyBorder="0" applyAlignment="0" applyProtection="0"/>
    <xf numFmtId="178" fontId="13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31" fillId="22" borderId="0" applyNumberFormat="0" applyBorder="0" applyAlignment="0" applyProtection="0"/>
    <xf numFmtId="178" fontId="131" fillId="22" borderId="0" applyNumberFormat="0" applyBorder="0" applyAlignment="0" applyProtection="0"/>
    <xf numFmtId="188" fontId="131" fillId="22" borderId="0" applyNumberFormat="0" applyBorder="0" applyAlignment="0" applyProtection="0"/>
    <xf numFmtId="178" fontId="13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31" fillId="22" borderId="0" applyNumberFormat="0" applyBorder="0" applyAlignment="0" applyProtection="0"/>
    <xf numFmtId="178" fontId="131" fillId="22" borderId="0" applyNumberFormat="0" applyBorder="0" applyAlignment="0" applyProtection="0"/>
    <xf numFmtId="188" fontId="131" fillId="22" borderId="0" applyNumberFormat="0" applyBorder="0" applyAlignment="0" applyProtection="0"/>
    <xf numFmtId="178" fontId="13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31" fillId="22" borderId="0" applyNumberFormat="0" applyBorder="0" applyAlignment="0" applyProtection="0"/>
    <xf numFmtId="178" fontId="131" fillId="22" borderId="0" applyNumberFormat="0" applyBorder="0" applyAlignment="0" applyProtection="0"/>
    <xf numFmtId="188" fontId="131" fillId="22" borderId="0" applyNumberFormat="0" applyBorder="0" applyAlignment="0" applyProtection="0"/>
    <xf numFmtId="178" fontId="13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31" fillId="22" borderId="0" applyNumberFormat="0" applyBorder="0" applyAlignment="0" applyProtection="0"/>
    <xf numFmtId="178" fontId="131" fillId="22" borderId="0" applyNumberFormat="0" applyBorder="0" applyAlignment="0" applyProtection="0"/>
    <xf numFmtId="188" fontId="131" fillId="22" borderId="0" applyNumberFormat="0" applyBorder="0" applyAlignment="0" applyProtection="0"/>
    <xf numFmtId="178" fontId="13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2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0" fontId="61" fillId="68" borderId="0" applyNumberFormat="0" applyBorder="0" applyAlignment="0" applyProtection="0"/>
    <xf numFmtId="0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0" fontId="1" fillId="26" borderId="0" applyNumberFormat="0" applyBorder="0" applyAlignment="0" applyProtection="0"/>
    <xf numFmtId="178" fontId="1" fillId="26" borderId="0" applyNumberFormat="0" applyBorder="0" applyAlignment="0" applyProtection="0"/>
    <xf numFmtId="178" fontId="61" fillId="68" borderId="0" applyNumberFormat="0" applyBorder="0" applyAlignment="0" applyProtection="0"/>
    <xf numFmtId="188" fontId="61" fillId="68" borderId="0" applyNumberFormat="0" applyBorder="0" applyAlignment="0" applyProtection="0"/>
    <xf numFmtId="178" fontId="61" fillId="68" borderId="0" applyNumberFormat="0" applyBorder="0" applyAlignment="0" applyProtection="0"/>
    <xf numFmtId="188" fontId="61" fillId="68" borderId="0" applyNumberFormat="0" applyBorder="0" applyAlignment="0" applyProtection="0"/>
    <xf numFmtId="178" fontId="61" fillId="68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0" fontId="61" fillId="68" borderId="0" applyNumberFormat="0" applyBorder="0" applyAlignment="0" applyProtection="0"/>
    <xf numFmtId="178" fontId="61" fillId="68" borderId="0" applyNumberFormat="0" applyBorder="0" applyAlignment="0" applyProtection="0"/>
    <xf numFmtId="17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0" fontId="1" fillId="26" borderId="0" applyNumberFormat="0" applyBorder="0" applyAlignment="0" applyProtection="0"/>
    <xf numFmtId="188" fontId="131" fillId="26" borderId="0" applyNumberFormat="0" applyBorder="0" applyAlignment="0" applyProtection="0"/>
    <xf numFmtId="178" fontId="131" fillId="26" borderId="0" applyNumberFormat="0" applyBorder="0" applyAlignment="0" applyProtection="0"/>
    <xf numFmtId="188" fontId="131" fillId="26" borderId="0" applyNumberFormat="0" applyBorder="0" applyAlignment="0" applyProtection="0"/>
    <xf numFmtId="178" fontId="13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0" fontId="1" fillId="26" borderId="0" applyNumberFormat="0" applyBorder="0" applyAlignment="0" applyProtection="0"/>
    <xf numFmtId="178" fontId="1" fillId="26" borderId="0" applyNumberFormat="0" applyBorder="0" applyAlignment="0" applyProtection="0"/>
    <xf numFmtId="17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0" fontId="1" fillId="26" borderId="0" applyNumberFormat="0" applyBorder="0" applyAlignment="0" applyProtection="0"/>
    <xf numFmtId="188" fontId="131" fillId="26" borderId="0" applyNumberFormat="0" applyBorder="0" applyAlignment="0" applyProtection="0"/>
    <xf numFmtId="178" fontId="131" fillId="26" borderId="0" applyNumberFormat="0" applyBorder="0" applyAlignment="0" applyProtection="0"/>
    <xf numFmtId="188" fontId="131" fillId="26" borderId="0" applyNumberFormat="0" applyBorder="0" applyAlignment="0" applyProtection="0"/>
    <xf numFmtId="178" fontId="13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0" fontId="1" fillId="26" borderId="0" applyNumberFormat="0" applyBorder="0" applyAlignment="0" applyProtection="0"/>
    <xf numFmtId="178" fontId="1" fillId="26" borderId="0" applyNumberFormat="0" applyBorder="0" applyAlignment="0" applyProtection="0"/>
    <xf numFmtId="17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31" fillId="26" borderId="0" applyNumberFormat="0" applyBorder="0" applyAlignment="0" applyProtection="0"/>
    <xf numFmtId="178" fontId="131" fillId="26" borderId="0" applyNumberFormat="0" applyBorder="0" applyAlignment="0" applyProtection="0"/>
    <xf numFmtId="188" fontId="131" fillId="26" borderId="0" applyNumberFormat="0" applyBorder="0" applyAlignment="0" applyProtection="0"/>
    <xf numFmtId="178" fontId="13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31" fillId="26" borderId="0" applyNumberFormat="0" applyBorder="0" applyAlignment="0" applyProtection="0"/>
    <xf numFmtId="178" fontId="131" fillId="26" borderId="0" applyNumberFormat="0" applyBorder="0" applyAlignment="0" applyProtection="0"/>
    <xf numFmtId="188" fontId="131" fillId="26" borderId="0" applyNumberFormat="0" applyBorder="0" applyAlignment="0" applyProtection="0"/>
    <xf numFmtId="178" fontId="13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31" fillId="26" borderId="0" applyNumberFormat="0" applyBorder="0" applyAlignment="0" applyProtection="0"/>
    <xf numFmtId="178" fontId="131" fillId="26" borderId="0" applyNumberFormat="0" applyBorder="0" applyAlignment="0" applyProtection="0"/>
    <xf numFmtId="188" fontId="131" fillId="26" borderId="0" applyNumberFormat="0" applyBorder="0" applyAlignment="0" applyProtection="0"/>
    <xf numFmtId="178" fontId="13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31" fillId="26" borderId="0" applyNumberFormat="0" applyBorder="0" applyAlignment="0" applyProtection="0"/>
    <xf numFmtId="178" fontId="131" fillId="26" borderId="0" applyNumberFormat="0" applyBorder="0" applyAlignment="0" applyProtection="0"/>
    <xf numFmtId="188" fontId="131" fillId="26" borderId="0" applyNumberFormat="0" applyBorder="0" applyAlignment="0" applyProtection="0"/>
    <xf numFmtId="178" fontId="13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31" fillId="26" borderId="0" applyNumberFormat="0" applyBorder="0" applyAlignment="0" applyProtection="0"/>
    <xf numFmtId="178" fontId="131" fillId="26" borderId="0" applyNumberFormat="0" applyBorder="0" applyAlignment="0" applyProtection="0"/>
    <xf numFmtId="188" fontId="131" fillId="26" borderId="0" applyNumberFormat="0" applyBorder="0" applyAlignment="0" applyProtection="0"/>
    <xf numFmtId="178" fontId="13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26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0" fontId="61" fillId="69" borderId="0" applyNumberFormat="0" applyBorder="0" applyAlignment="0" applyProtection="0"/>
    <xf numFmtId="0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0" fontId="1" fillId="30" borderId="0" applyNumberFormat="0" applyBorder="0" applyAlignment="0" applyProtection="0"/>
    <xf numFmtId="178" fontId="1" fillId="30" borderId="0" applyNumberFormat="0" applyBorder="0" applyAlignment="0" applyProtection="0"/>
    <xf numFmtId="178" fontId="61" fillId="69" borderId="0" applyNumberFormat="0" applyBorder="0" applyAlignment="0" applyProtection="0"/>
    <xf numFmtId="188" fontId="61" fillId="69" borderId="0" applyNumberFormat="0" applyBorder="0" applyAlignment="0" applyProtection="0"/>
    <xf numFmtId="178" fontId="61" fillId="69" borderId="0" applyNumberFormat="0" applyBorder="0" applyAlignment="0" applyProtection="0"/>
    <xf numFmtId="188" fontId="61" fillId="69" borderId="0" applyNumberFormat="0" applyBorder="0" applyAlignment="0" applyProtection="0"/>
    <xf numFmtId="178" fontId="61" fillId="69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0" fontId="61" fillId="69" borderId="0" applyNumberFormat="0" applyBorder="0" applyAlignment="0" applyProtection="0"/>
    <xf numFmtId="178" fontId="61" fillId="69" borderId="0" applyNumberFormat="0" applyBorder="0" applyAlignment="0" applyProtection="0"/>
    <xf numFmtId="17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0" fontId="1" fillId="30" borderId="0" applyNumberFormat="0" applyBorder="0" applyAlignment="0" applyProtection="0"/>
    <xf numFmtId="188" fontId="131" fillId="30" borderId="0" applyNumberFormat="0" applyBorder="0" applyAlignment="0" applyProtection="0"/>
    <xf numFmtId="178" fontId="131" fillId="30" borderId="0" applyNumberFormat="0" applyBorder="0" applyAlignment="0" applyProtection="0"/>
    <xf numFmtId="188" fontId="131" fillId="30" borderId="0" applyNumberFormat="0" applyBorder="0" applyAlignment="0" applyProtection="0"/>
    <xf numFmtId="178" fontId="13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0" fontId="1" fillId="30" borderId="0" applyNumberFormat="0" applyBorder="0" applyAlignment="0" applyProtection="0"/>
    <xf numFmtId="178" fontId="1" fillId="30" borderId="0" applyNumberFormat="0" applyBorder="0" applyAlignment="0" applyProtection="0"/>
    <xf numFmtId="17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0" fontId="1" fillId="30" borderId="0" applyNumberFormat="0" applyBorder="0" applyAlignment="0" applyProtection="0"/>
    <xf numFmtId="188" fontId="131" fillId="30" borderId="0" applyNumberFormat="0" applyBorder="0" applyAlignment="0" applyProtection="0"/>
    <xf numFmtId="178" fontId="131" fillId="30" borderId="0" applyNumberFormat="0" applyBorder="0" applyAlignment="0" applyProtection="0"/>
    <xf numFmtId="188" fontId="131" fillId="30" borderId="0" applyNumberFormat="0" applyBorder="0" applyAlignment="0" applyProtection="0"/>
    <xf numFmtId="178" fontId="13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0" fontId="1" fillId="30" borderId="0" applyNumberFormat="0" applyBorder="0" applyAlignment="0" applyProtection="0"/>
    <xf numFmtId="178" fontId="1" fillId="30" borderId="0" applyNumberFormat="0" applyBorder="0" applyAlignment="0" applyProtection="0"/>
    <xf numFmtId="17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31" fillId="30" borderId="0" applyNumberFormat="0" applyBorder="0" applyAlignment="0" applyProtection="0"/>
    <xf numFmtId="178" fontId="131" fillId="30" borderId="0" applyNumberFormat="0" applyBorder="0" applyAlignment="0" applyProtection="0"/>
    <xf numFmtId="188" fontId="131" fillId="30" borderId="0" applyNumberFormat="0" applyBorder="0" applyAlignment="0" applyProtection="0"/>
    <xf numFmtId="178" fontId="13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31" fillId="30" borderId="0" applyNumberFormat="0" applyBorder="0" applyAlignment="0" applyProtection="0"/>
    <xf numFmtId="178" fontId="131" fillId="30" borderId="0" applyNumberFormat="0" applyBorder="0" applyAlignment="0" applyProtection="0"/>
    <xf numFmtId="188" fontId="131" fillId="30" borderId="0" applyNumberFormat="0" applyBorder="0" applyAlignment="0" applyProtection="0"/>
    <xf numFmtId="178" fontId="13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31" fillId="30" borderId="0" applyNumberFormat="0" applyBorder="0" applyAlignment="0" applyProtection="0"/>
    <xf numFmtId="178" fontId="131" fillId="30" borderId="0" applyNumberFormat="0" applyBorder="0" applyAlignment="0" applyProtection="0"/>
    <xf numFmtId="188" fontId="131" fillId="30" borderId="0" applyNumberFormat="0" applyBorder="0" applyAlignment="0" applyProtection="0"/>
    <xf numFmtId="178" fontId="13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31" fillId="30" borderId="0" applyNumberFormat="0" applyBorder="0" applyAlignment="0" applyProtection="0"/>
    <xf numFmtId="178" fontId="131" fillId="30" borderId="0" applyNumberFormat="0" applyBorder="0" applyAlignment="0" applyProtection="0"/>
    <xf numFmtId="188" fontId="131" fillId="30" borderId="0" applyNumberFormat="0" applyBorder="0" applyAlignment="0" applyProtection="0"/>
    <xf numFmtId="178" fontId="13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31" fillId="30" borderId="0" applyNumberFormat="0" applyBorder="0" applyAlignment="0" applyProtection="0"/>
    <xf numFmtId="178" fontId="131" fillId="30" borderId="0" applyNumberFormat="0" applyBorder="0" applyAlignment="0" applyProtection="0"/>
    <xf numFmtId="188" fontId="131" fillId="30" borderId="0" applyNumberFormat="0" applyBorder="0" applyAlignment="0" applyProtection="0"/>
    <xf numFmtId="178" fontId="13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188" fontId="1" fillId="30" borderId="0" applyNumberFormat="0" applyBorder="0" applyAlignment="0" applyProtection="0"/>
    <xf numFmtId="0" fontId="61" fillId="64" borderId="0" applyNumberFormat="0" applyBorder="0" applyAlignment="0" applyProtection="0"/>
    <xf numFmtId="178" fontId="61" fillId="64" borderId="0" applyNumberFormat="0" applyBorder="0" applyAlignment="0" applyProtection="0"/>
    <xf numFmtId="178" fontId="61" fillId="64" borderId="0" applyNumberFormat="0" applyBorder="0" applyAlignment="0" applyProtection="0"/>
    <xf numFmtId="0" fontId="61" fillId="65" borderId="0" applyNumberFormat="0" applyBorder="0" applyAlignment="0" applyProtection="0"/>
    <xf numFmtId="178" fontId="61" fillId="65" borderId="0" applyNumberFormat="0" applyBorder="0" applyAlignment="0" applyProtection="0"/>
    <xf numFmtId="178" fontId="61" fillId="65" borderId="0" applyNumberFormat="0" applyBorder="0" applyAlignment="0" applyProtection="0"/>
    <xf numFmtId="0" fontId="61" fillId="66" borderId="0" applyNumberFormat="0" applyBorder="0" applyAlignment="0" applyProtection="0"/>
    <xf numFmtId="178" fontId="61" fillId="66" borderId="0" applyNumberFormat="0" applyBorder="0" applyAlignment="0" applyProtection="0"/>
    <xf numFmtId="178" fontId="61" fillId="66" borderId="0" applyNumberFormat="0" applyBorder="0" applyAlignment="0" applyProtection="0"/>
    <xf numFmtId="0" fontId="61" fillId="67" borderId="0" applyNumberFormat="0" applyBorder="0" applyAlignment="0" applyProtection="0"/>
    <xf numFmtId="178" fontId="61" fillId="67" borderId="0" applyNumberFormat="0" applyBorder="0" applyAlignment="0" applyProtection="0"/>
    <xf numFmtId="178" fontId="61" fillId="67" borderId="0" applyNumberFormat="0" applyBorder="0" applyAlignment="0" applyProtection="0"/>
    <xf numFmtId="0" fontId="61" fillId="68" borderId="0" applyNumberFormat="0" applyBorder="0" applyAlignment="0" applyProtection="0"/>
    <xf numFmtId="178" fontId="61" fillId="68" borderId="0" applyNumberFormat="0" applyBorder="0" applyAlignment="0" applyProtection="0"/>
    <xf numFmtId="178" fontId="61" fillId="68" borderId="0" applyNumberFormat="0" applyBorder="0" applyAlignment="0" applyProtection="0"/>
    <xf numFmtId="0" fontId="61" fillId="69" borderId="0" applyNumberFormat="0" applyBorder="0" applyAlignment="0" applyProtection="0"/>
    <xf numFmtId="178" fontId="61" fillId="69" borderId="0" applyNumberFormat="0" applyBorder="0" applyAlignment="0" applyProtection="0"/>
    <xf numFmtId="178" fontId="61" fillId="69" borderId="0" applyNumberFormat="0" applyBorder="0" applyAlignment="0" applyProtection="0"/>
    <xf numFmtId="0" fontId="61" fillId="64" borderId="0" applyNumberFormat="0" applyBorder="0" applyAlignment="0" applyProtection="0"/>
    <xf numFmtId="0" fontId="61" fillId="64" borderId="0" applyNumberFormat="0" applyBorder="0" applyAlignment="0" applyProtection="0"/>
    <xf numFmtId="178" fontId="61" fillId="64" borderId="0" applyNumberFormat="0" applyBorder="0" applyAlignment="0" applyProtection="0"/>
    <xf numFmtId="178" fontId="61" fillId="64" borderId="0" applyNumberFormat="0" applyBorder="0" applyAlignment="0" applyProtection="0"/>
    <xf numFmtId="0" fontId="61" fillId="65" borderId="0" applyNumberFormat="0" applyBorder="0" applyAlignment="0" applyProtection="0"/>
    <xf numFmtId="0" fontId="61" fillId="65" borderId="0" applyNumberFormat="0" applyBorder="0" applyAlignment="0" applyProtection="0"/>
    <xf numFmtId="178" fontId="61" fillId="65" borderId="0" applyNumberFormat="0" applyBorder="0" applyAlignment="0" applyProtection="0"/>
    <xf numFmtId="178" fontId="61" fillId="65" borderId="0" applyNumberFormat="0" applyBorder="0" applyAlignment="0" applyProtection="0"/>
    <xf numFmtId="0" fontId="61" fillId="66" borderId="0" applyNumberFormat="0" applyBorder="0" applyAlignment="0" applyProtection="0"/>
    <xf numFmtId="0" fontId="61" fillId="66" borderId="0" applyNumberFormat="0" applyBorder="0" applyAlignment="0" applyProtection="0"/>
    <xf numFmtId="178" fontId="61" fillId="66" borderId="0" applyNumberFormat="0" applyBorder="0" applyAlignment="0" applyProtection="0"/>
    <xf numFmtId="178" fontId="61" fillId="66" borderId="0" applyNumberFormat="0" applyBorder="0" applyAlignment="0" applyProtection="0"/>
    <xf numFmtId="0" fontId="61" fillId="67" borderId="0" applyNumberFormat="0" applyBorder="0" applyAlignment="0" applyProtection="0"/>
    <xf numFmtId="0" fontId="61" fillId="67" borderId="0" applyNumberFormat="0" applyBorder="0" applyAlignment="0" applyProtection="0"/>
    <xf numFmtId="178" fontId="61" fillId="67" borderId="0" applyNumberFormat="0" applyBorder="0" applyAlignment="0" applyProtection="0"/>
    <xf numFmtId="178" fontId="61" fillId="67" borderId="0" applyNumberFormat="0" applyBorder="0" applyAlignment="0" applyProtection="0"/>
    <xf numFmtId="0" fontId="61" fillId="68" borderId="0" applyNumberFormat="0" applyBorder="0" applyAlignment="0" applyProtection="0"/>
    <xf numFmtId="0" fontId="61" fillId="68" borderId="0" applyNumberFormat="0" applyBorder="0" applyAlignment="0" applyProtection="0"/>
    <xf numFmtId="178" fontId="61" fillId="68" borderId="0" applyNumberFormat="0" applyBorder="0" applyAlignment="0" applyProtection="0"/>
    <xf numFmtId="178" fontId="61" fillId="68" borderId="0" applyNumberFormat="0" applyBorder="0" applyAlignment="0" applyProtection="0"/>
    <xf numFmtId="0" fontId="61" fillId="69" borderId="0" applyNumberFormat="0" applyBorder="0" applyAlignment="0" applyProtection="0"/>
    <xf numFmtId="0" fontId="61" fillId="69" borderId="0" applyNumberFormat="0" applyBorder="0" applyAlignment="0" applyProtection="0"/>
    <xf numFmtId="178" fontId="61" fillId="69" borderId="0" applyNumberFormat="0" applyBorder="0" applyAlignment="0" applyProtection="0"/>
    <xf numFmtId="178" fontId="61" fillId="69" borderId="0" applyNumberFormat="0" applyBorder="0" applyAlignment="0" applyProtection="0"/>
    <xf numFmtId="0" fontId="71" fillId="0" borderId="0"/>
    <xf numFmtId="0" fontId="71" fillId="0" borderId="0"/>
    <xf numFmtId="178" fontId="71" fillId="0" borderId="0"/>
    <xf numFmtId="178" fontId="71" fillId="0" borderId="0"/>
    <xf numFmtId="40" fontId="71" fillId="0" borderId="0"/>
    <xf numFmtId="0" fontId="61" fillId="70" borderId="0" applyNumberFormat="0" applyBorder="0" applyAlignment="0" applyProtection="0"/>
    <xf numFmtId="0" fontId="61" fillId="70" borderId="0" applyNumberFormat="0" applyBorder="0" applyAlignment="0" applyProtection="0"/>
    <xf numFmtId="178" fontId="61" fillId="70" borderId="0" applyNumberFormat="0" applyBorder="0" applyAlignment="0" applyProtection="0"/>
    <xf numFmtId="178" fontId="61" fillId="70" borderId="0" applyNumberFormat="0" applyBorder="0" applyAlignment="0" applyProtection="0"/>
    <xf numFmtId="0" fontId="61" fillId="71" borderId="0" applyNumberFormat="0" applyBorder="0" applyAlignment="0" applyProtection="0"/>
    <xf numFmtId="0" fontId="61" fillId="71" borderId="0" applyNumberFormat="0" applyBorder="0" applyAlignment="0" applyProtection="0"/>
    <xf numFmtId="178" fontId="61" fillId="71" borderId="0" applyNumberFormat="0" applyBorder="0" applyAlignment="0" applyProtection="0"/>
    <xf numFmtId="178" fontId="61" fillId="71" borderId="0" applyNumberFormat="0" applyBorder="0" applyAlignment="0" applyProtection="0"/>
    <xf numFmtId="0" fontId="61" fillId="72" borderId="0" applyNumberFormat="0" applyBorder="0" applyAlignment="0" applyProtection="0"/>
    <xf numFmtId="0" fontId="61" fillId="72" borderId="0" applyNumberFormat="0" applyBorder="0" applyAlignment="0" applyProtection="0"/>
    <xf numFmtId="178" fontId="61" fillId="72" borderId="0" applyNumberFormat="0" applyBorder="0" applyAlignment="0" applyProtection="0"/>
    <xf numFmtId="178" fontId="61" fillId="72" borderId="0" applyNumberFormat="0" applyBorder="0" applyAlignment="0" applyProtection="0"/>
    <xf numFmtId="0" fontId="61" fillId="67" borderId="0" applyNumberFormat="0" applyBorder="0" applyAlignment="0" applyProtection="0"/>
    <xf numFmtId="0" fontId="61" fillId="67" borderId="0" applyNumberFormat="0" applyBorder="0" applyAlignment="0" applyProtection="0"/>
    <xf numFmtId="178" fontId="61" fillId="67" borderId="0" applyNumberFormat="0" applyBorder="0" applyAlignment="0" applyProtection="0"/>
    <xf numFmtId="178" fontId="61" fillId="67" borderId="0" applyNumberFormat="0" applyBorder="0" applyAlignment="0" applyProtection="0"/>
    <xf numFmtId="0" fontId="61" fillId="70" borderId="0" applyNumberFormat="0" applyBorder="0" applyAlignment="0" applyProtection="0"/>
    <xf numFmtId="0" fontId="61" fillId="70" borderId="0" applyNumberFormat="0" applyBorder="0" applyAlignment="0" applyProtection="0"/>
    <xf numFmtId="178" fontId="61" fillId="70" borderId="0" applyNumberFormat="0" applyBorder="0" applyAlignment="0" applyProtection="0"/>
    <xf numFmtId="178" fontId="61" fillId="70" borderId="0" applyNumberFormat="0" applyBorder="0" applyAlignment="0" applyProtection="0"/>
    <xf numFmtId="0" fontId="61" fillId="73" borderId="0" applyNumberFormat="0" applyBorder="0" applyAlignment="0" applyProtection="0"/>
    <xf numFmtId="0" fontId="61" fillId="73" borderId="0" applyNumberFormat="0" applyBorder="0" applyAlignment="0" applyProtection="0"/>
    <xf numFmtId="178" fontId="61" fillId="73" borderId="0" applyNumberFormat="0" applyBorder="0" applyAlignment="0" applyProtection="0"/>
    <xf numFmtId="178" fontId="61" fillId="73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0" fontId="61" fillId="70" borderId="0" applyNumberFormat="0" applyBorder="0" applyAlignment="0" applyProtection="0"/>
    <xf numFmtId="0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0" fontId="1" fillId="11" borderId="0" applyNumberFormat="0" applyBorder="0" applyAlignment="0" applyProtection="0"/>
    <xf numFmtId="178" fontId="1" fillId="11" borderId="0" applyNumberFormat="0" applyBorder="0" applyAlignment="0" applyProtection="0"/>
    <xf numFmtId="178" fontId="61" fillId="70" borderId="0" applyNumberFormat="0" applyBorder="0" applyAlignment="0" applyProtection="0"/>
    <xf numFmtId="188" fontId="61" fillId="70" borderId="0" applyNumberFormat="0" applyBorder="0" applyAlignment="0" applyProtection="0"/>
    <xf numFmtId="178" fontId="61" fillId="70" borderId="0" applyNumberFormat="0" applyBorder="0" applyAlignment="0" applyProtection="0"/>
    <xf numFmtId="188" fontId="61" fillId="70" borderId="0" applyNumberFormat="0" applyBorder="0" applyAlignment="0" applyProtection="0"/>
    <xf numFmtId="178" fontId="61" fillId="70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0" fontId="61" fillId="70" borderId="0" applyNumberFormat="0" applyBorder="0" applyAlignment="0" applyProtection="0"/>
    <xf numFmtId="178" fontId="61" fillId="70" borderId="0" applyNumberFormat="0" applyBorder="0" applyAlignment="0" applyProtection="0"/>
    <xf numFmtId="17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0" fontId="1" fillId="11" borderId="0" applyNumberFormat="0" applyBorder="0" applyAlignment="0" applyProtection="0"/>
    <xf numFmtId="188" fontId="131" fillId="11" borderId="0" applyNumberFormat="0" applyBorder="0" applyAlignment="0" applyProtection="0"/>
    <xf numFmtId="178" fontId="131" fillId="11" borderId="0" applyNumberFormat="0" applyBorder="0" applyAlignment="0" applyProtection="0"/>
    <xf numFmtId="188" fontId="131" fillId="11" borderId="0" applyNumberFormat="0" applyBorder="0" applyAlignment="0" applyProtection="0"/>
    <xf numFmtId="178" fontId="13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0" fontId="1" fillId="11" borderId="0" applyNumberFormat="0" applyBorder="0" applyAlignment="0" applyProtection="0"/>
    <xf numFmtId="178" fontId="1" fillId="11" borderId="0" applyNumberFormat="0" applyBorder="0" applyAlignment="0" applyProtection="0"/>
    <xf numFmtId="17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0" fontId="1" fillId="11" borderId="0" applyNumberFormat="0" applyBorder="0" applyAlignment="0" applyProtection="0"/>
    <xf numFmtId="188" fontId="131" fillId="11" borderId="0" applyNumberFormat="0" applyBorder="0" applyAlignment="0" applyProtection="0"/>
    <xf numFmtId="178" fontId="131" fillId="11" borderId="0" applyNumberFormat="0" applyBorder="0" applyAlignment="0" applyProtection="0"/>
    <xf numFmtId="188" fontId="131" fillId="11" borderId="0" applyNumberFormat="0" applyBorder="0" applyAlignment="0" applyProtection="0"/>
    <xf numFmtId="178" fontId="13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0" fontId="1" fillId="11" borderId="0" applyNumberFormat="0" applyBorder="0" applyAlignment="0" applyProtection="0"/>
    <xf numFmtId="178" fontId="1" fillId="11" borderId="0" applyNumberFormat="0" applyBorder="0" applyAlignment="0" applyProtection="0"/>
    <xf numFmtId="17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31" fillId="11" borderId="0" applyNumberFormat="0" applyBorder="0" applyAlignment="0" applyProtection="0"/>
    <xf numFmtId="178" fontId="131" fillId="11" borderId="0" applyNumberFormat="0" applyBorder="0" applyAlignment="0" applyProtection="0"/>
    <xf numFmtId="188" fontId="131" fillId="11" borderId="0" applyNumberFormat="0" applyBorder="0" applyAlignment="0" applyProtection="0"/>
    <xf numFmtId="178" fontId="13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31" fillId="11" borderId="0" applyNumberFormat="0" applyBorder="0" applyAlignment="0" applyProtection="0"/>
    <xf numFmtId="178" fontId="131" fillId="11" borderId="0" applyNumberFormat="0" applyBorder="0" applyAlignment="0" applyProtection="0"/>
    <xf numFmtId="188" fontId="131" fillId="11" borderId="0" applyNumberFormat="0" applyBorder="0" applyAlignment="0" applyProtection="0"/>
    <xf numFmtId="178" fontId="13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31" fillId="11" borderId="0" applyNumberFormat="0" applyBorder="0" applyAlignment="0" applyProtection="0"/>
    <xf numFmtId="178" fontId="131" fillId="11" borderId="0" applyNumberFormat="0" applyBorder="0" applyAlignment="0" applyProtection="0"/>
    <xf numFmtId="188" fontId="131" fillId="11" borderId="0" applyNumberFormat="0" applyBorder="0" applyAlignment="0" applyProtection="0"/>
    <xf numFmtId="178" fontId="13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31" fillId="11" borderId="0" applyNumberFormat="0" applyBorder="0" applyAlignment="0" applyProtection="0"/>
    <xf numFmtId="178" fontId="131" fillId="11" borderId="0" applyNumberFormat="0" applyBorder="0" applyAlignment="0" applyProtection="0"/>
    <xf numFmtId="188" fontId="131" fillId="11" borderId="0" applyNumberFormat="0" applyBorder="0" applyAlignment="0" applyProtection="0"/>
    <xf numFmtId="178" fontId="13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31" fillId="11" borderId="0" applyNumberFormat="0" applyBorder="0" applyAlignment="0" applyProtection="0"/>
    <xf numFmtId="178" fontId="131" fillId="11" borderId="0" applyNumberFormat="0" applyBorder="0" applyAlignment="0" applyProtection="0"/>
    <xf numFmtId="188" fontId="131" fillId="11" borderId="0" applyNumberFormat="0" applyBorder="0" applyAlignment="0" applyProtection="0"/>
    <xf numFmtId="178" fontId="13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1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0" fontId="61" fillId="71" borderId="0" applyNumberFormat="0" applyBorder="0" applyAlignment="0" applyProtection="0"/>
    <xf numFmtId="0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0" fontId="1" fillId="15" borderId="0" applyNumberFormat="0" applyBorder="0" applyAlignment="0" applyProtection="0"/>
    <xf numFmtId="178" fontId="1" fillId="15" borderId="0" applyNumberFormat="0" applyBorder="0" applyAlignment="0" applyProtection="0"/>
    <xf numFmtId="178" fontId="61" fillId="71" borderId="0" applyNumberFormat="0" applyBorder="0" applyAlignment="0" applyProtection="0"/>
    <xf numFmtId="188" fontId="61" fillId="71" borderId="0" applyNumberFormat="0" applyBorder="0" applyAlignment="0" applyProtection="0"/>
    <xf numFmtId="178" fontId="61" fillId="71" borderId="0" applyNumberFormat="0" applyBorder="0" applyAlignment="0" applyProtection="0"/>
    <xf numFmtId="188" fontId="61" fillId="71" borderId="0" applyNumberFormat="0" applyBorder="0" applyAlignment="0" applyProtection="0"/>
    <xf numFmtId="178" fontId="61" fillId="71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0" fontId="61" fillId="71" borderId="0" applyNumberFormat="0" applyBorder="0" applyAlignment="0" applyProtection="0"/>
    <xf numFmtId="178" fontId="61" fillId="71" borderId="0" applyNumberFormat="0" applyBorder="0" applyAlignment="0" applyProtection="0"/>
    <xf numFmtId="17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0" fontId="1" fillId="15" borderId="0" applyNumberFormat="0" applyBorder="0" applyAlignment="0" applyProtection="0"/>
    <xf numFmtId="188" fontId="131" fillId="15" borderId="0" applyNumberFormat="0" applyBorder="0" applyAlignment="0" applyProtection="0"/>
    <xf numFmtId="178" fontId="131" fillId="15" borderId="0" applyNumberFormat="0" applyBorder="0" applyAlignment="0" applyProtection="0"/>
    <xf numFmtId="188" fontId="131" fillId="15" borderId="0" applyNumberFormat="0" applyBorder="0" applyAlignment="0" applyProtection="0"/>
    <xf numFmtId="178" fontId="13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0" fontId="1" fillId="15" borderId="0" applyNumberFormat="0" applyBorder="0" applyAlignment="0" applyProtection="0"/>
    <xf numFmtId="178" fontId="1" fillId="15" borderId="0" applyNumberFormat="0" applyBorder="0" applyAlignment="0" applyProtection="0"/>
    <xf numFmtId="17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0" fontId="1" fillId="15" borderId="0" applyNumberFormat="0" applyBorder="0" applyAlignment="0" applyProtection="0"/>
    <xf numFmtId="188" fontId="131" fillId="15" borderId="0" applyNumberFormat="0" applyBorder="0" applyAlignment="0" applyProtection="0"/>
    <xf numFmtId="178" fontId="131" fillId="15" borderId="0" applyNumberFormat="0" applyBorder="0" applyAlignment="0" applyProtection="0"/>
    <xf numFmtId="188" fontId="131" fillId="15" borderId="0" applyNumberFormat="0" applyBorder="0" applyAlignment="0" applyProtection="0"/>
    <xf numFmtId="178" fontId="13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0" fontId="1" fillId="15" borderId="0" applyNumberFormat="0" applyBorder="0" applyAlignment="0" applyProtection="0"/>
    <xf numFmtId="178" fontId="1" fillId="15" borderId="0" applyNumberFormat="0" applyBorder="0" applyAlignment="0" applyProtection="0"/>
    <xf numFmtId="17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31" fillId="15" borderId="0" applyNumberFormat="0" applyBorder="0" applyAlignment="0" applyProtection="0"/>
    <xf numFmtId="178" fontId="131" fillId="15" borderId="0" applyNumberFormat="0" applyBorder="0" applyAlignment="0" applyProtection="0"/>
    <xf numFmtId="188" fontId="131" fillId="15" borderId="0" applyNumberFormat="0" applyBorder="0" applyAlignment="0" applyProtection="0"/>
    <xf numFmtId="178" fontId="13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31" fillId="15" borderId="0" applyNumberFormat="0" applyBorder="0" applyAlignment="0" applyProtection="0"/>
    <xf numFmtId="178" fontId="131" fillId="15" borderId="0" applyNumberFormat="0" applyBorder="0" applyAlignment="0" applyProtection="0"/>
    <xf numFmtId="188" fontId="131" fillId="15" borderId="0" applyNumberFormat="0" applyBorder="0" applyAlignment="0" applyProtection="0"/>
    <xf numFmtId="178" fontId="13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31" fillId="15" borderId="0" applyNumberFormat="0" applyBorder="0" applyAlignment="0" applyProtection="0"/>
    <xf numFmtId="178" fontId="131" fillId="15" borderId="0" applyNumberFormat="0" applyBorder="0" applyAlignment="0" applyProtection="0"/>
    <xf numFmtId="188" fontId="131" fillId="15" borderId="0" applyNumberFormat="0" applyBorder="0" applyAlignment="0" applyProtection="0"/>
    <xf numFmtId="178" fontId="13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31" fillId="15" borderId="0" applyNumberFormat="0" applyBorder="0" applyAlignment="0" applyProtection="0"/>
    <xf numFmtId="178" fontId="131" fillId="15" borderId="0" applyNumberFormat="0" applyBorder="0" applyAlignment="0" applyProtection="0"/>
    <xf numFmtId="188" fontId="131" fillId="15" borderId="0" applyNumberFormat="0" applyBorder="0" applyAlignment="0" applyProtection="0"/>
    <xf numFmtId="178" fontId="13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31" fillId="15" borderId="0" applyNumberFormat="0" applyBorder="0" applyAlignment="0" applyProtection="0"/>
    <xf numFmtId="178" fontId="131" fillId="15" borderId="0" applyNumberFormat="0" applyBorder="0" applyAlignment="0" applyProtection="0"/>
    <xf numFmtId="188" fontId="131" fillId="15" borderId="0" applyNumberFormat="0" applyBorder="0" applyAlignment="0" applyProtection="0"/>
    <xf numFmtId="178" fontId="13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5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0" fontId="61" fillId="72" borderId="0" applyNumberFormat="0" applyBorder="0" applyAlignment="0" applyProtection="0"/>
    <xf numFmtId="0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0" fontId="1" fillId="19" borderId="0" applyNumberFormat="0" applyBorder="0" applyAlignment="0" applyProtection="0"/>
    <xf numFmtId="178" fontId="1" fillId="19" borderId="0" applyNumberFormat="0" applyBorder="0" applyAlignment="0" applyProtection="0"/>
    <xf numFmtId="178" fontId="61" fillId="72" borderId="0" applyNumberFormat="0" applyBorder="0" applyAlignment="0" applyProtection="0"/>
    <xf numFmtId="188" fontId="61" fillId="72" borderId="0" applyNumberFormat="0" applyBorder="0" applyAlignment="0" applyProtection="0"/>
    <xf numFmtId="178" fontId="61" fillId="72" borderId="0" applyNumberFormat="0" applyBorder="0" applyAlignment="0" applyProtection="0"/>
    <xf numFmtId="188" fontId="61" fillId="72" borderId="0" applyNumberFormat="0" applyBorder="0" applyAlignment="0" applyProtection="0"/>
    <xf numFmtId="178" fontId="61" fillId="72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0" fontId="61" fillId="72" borderId="0" applyNumberFormat="0" applyBorder="0" applyAlignment="0" applyProtection="0"/>
    <xf numFmtId="178" fontId="61" fillId="72" borderId="0" applyNumberFormat="0" applyBorder="0" applyAlignment="0" applyProtection="0"/>
    <xf numFmtId="17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0" fontId="1" fillId="19" borderId="0" applyNumberFormat="0" applyBorder="0" applyAlignment="0" applyProtection="0"/>
    <xf numFmtId="188" fontId="131" fillId="19" borderId="0" applyNumberFormat="0" applyBorder="0" applyAlignment="0" applyProtection="0"/>
    <xf numFmtId="178" fontId="131" fillId="19" borderId="0" applyNumberFormat="0" applyBorder="0" applyAlignment="0" applyProtection="0"/>
    <xf numFmtId="188" fontId="131" fillId="19" borderId="0" applyNumberFormat="0" applyBorder="0" applyAlignment="0" applyProtection="0"/>
    <xf numFmtId="178" fontId="13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0" fontId="1" fillId="19" borderId="0" applyNumberFormat="0" applyBorder="0" applyAlignment="0" applyProtection="0"/>
    <xf numFmtId="178" fontId="1" fillId="19" borderId="0" applyNumberFormat="0" applyBorder="0" applyAlignment="0" applyProtection="0"/>
    <xf numFmtId="17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0" fontId="1" fillId="19" borderId="0" applyNumberFormat="0" applyBorder="0" applyAlignment="0" applyProtection="0"/>
    <xf numFmtId="188" fontId="131" fillId="19" borderId="0" applyNumberFormat="0" applyBorder="0" applyAlignment="0" applyProtection="0"/>
    <xf numFmtId="178" fontId="131" fillId="19" borderId="0" applyNumberFormat="0" applyBorder="0" applyAlignment="0" applyProtection="0"/>
    <xf numFmtId="188" fontId="131" fillId="19" borderId="0" applyNumberFormat="0" applyBorder="0" applyAlignment="0" applyProtection="0"/>
    <xf numFmtId="178" fontId="13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0" fontId="1" fillId="19" borderId="0" applyNumberFormat="0" applyBorder="0" applyAlignment="0" applyProtection="0"/>
    <xf numFmtId="178" fontId="1" fillId="19" borderId="0" applyNumberFormat="0" applyBorder="0" applyAlignment="0" applyProtection="0"/>
    <xf numFmtId="17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31" fillId="19" borderId="0" applyNumberFormat="0" applyBorder="0" applyAlignment="0" applyProtection="0"/>
    <xf numFmtId="178" fontId="131" fillId="19" borderId="0" applyNumberFormat="0" applyBorder="0" applyAlignment="0" applyProtection="0"/>
    <xf numFmtId="188" fontId="131" fillId="19" borderId="0" applyNumberFormat="0" applyBorder="0" applyAlignment="0" applyProtection="0"/>
    <xf numFmtId="178" fontId="13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31" fillId="19" borderId="0" applyNumberFormat="0" applyBorder="0" applyAlignment="0" applyProtection="0"/>
    <xf numFmtId="178" fontId="131" fillId="19" borderId="0" applyNumberFormat="0" applyBorder="0" applyAlignment="0" applyProtection="0"/>
    <xf numFmtId="188" fontId="131" fillId="19" borderId="0" applyNumberFormat="0" applyBorder="0" applyAlignment="0" applyProtection="0"/>
    <xf numFmtId="178" fontId="13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31" fillId="19" borderId="0" applyNumberFormat="0" applyBorder="0" applyAlignment="0" applyProtection="0"/>
    <xf numFmtId="178" fontId="131" fillId="19" borderId="0" applyNumberFormat="0" applyBorder="0" applyAlignment="0" applyProtection="0"/>
    <xf numFmtId="188" fontId="131" fillId="19" borderId="0" applyNumberFormat="0" applyBorder="0" applyAlignment="0" applyProtection="0"/>
    <xf numFmtId="178" fontId="13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31" fillId="19" borderId="0" applyNumberFormat="0" applyBorder="0" applyAlignment="0" applyProtection="0"/>
    <xf numFmtId="178" fontId="131" fillId="19" borderId="0" applyNumberFormat="0" applyBorder="0" applyAlignment="0" applyProtection="0"/>
    <xf numFmtId="188" fontId="131" fillId="19" borderId="0" applyNumberFormat="0" applyBorder="0" applyAlignment="0" applyProtection="0"/>
    <xf numFmtId="178" fontId="13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31" fillId="19" borderId="0" applyNumberFormat="0" applyBorder="0" applyAlignment="0" applyProtection="0"/>
    <xf numFmtId="178" fontId="131" fillId="19" borderId="0" applyNumberFormat="0" applyBorder="0" applyAlignment="0" applyProtection="0"/>
    <xf numFmtId="188" fontId="131" fillId="19" borderId="0" applyNumberFormat="0" applyBorder="0" applyAlignment="0" applyProtection="0"/>
    <xf numFmtId="178" fontId="13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19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0" fontId="61" fillId="67" borderId="0" applyNumberFormat="0" applyBorder="0" applyAlignment="0" applyProtection="0"/>
    <xf numFmtId="0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0" fontId="1" fillId="23" borderId="0" applyNumberFormat="0" applyBorder="0" applyAlignment="0" applyProtection="0"/>
    <xf numFmtId="178" fontId="1" fillId="23" borderId="0" applyNumberFormat="0" applyBorder="0" applyAlignment="0" applyProtection="0"/>
    <xf numFmtId="178" fontId="61" fillId="67" borderId="0" applyNumberFormat="0" applyBorder="0" applyAlignment="0" applyProtection="0"/>
    <xf numFmtId="188" fontId="61" fillId="67" borderId="0" applyNumberFormat="0" applyBorder="0" applyAlignment="0" applyProtection="0"/>
    <xf numFmtId="178" fontId="61" fillId="67" borderId="0" applyNumberFormat="0" applyBorder="0" applyAlignment="0" applyProtection="0"/>
    <xf numFmtId="188" fontId="61" fillId="67" borderId="0" applyNumberFormat="0" applyBorder="0" applyAlignment="0" applyProtection="0"/>
    <xf numFmtId="178" fontId="61" fillId="67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0" fontId="61" fillId="67" borderId="0" applyNumberFormat="0" applyBorder="0" applyAlignment="0" applyProtection="0"/>
    <xf numFmtId="178" fontId="61" fillId="67" borderId="0" applyNumberFormat="0" applyBorder="0" applyAlignment="0" applyProtection="0"/>
    <xf numFmtId="17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0" fontId="1" fillId="23" borderId="0" applyNumberFormat="0" applyBorder="0" applyAlignment="0" applyProtection="0"/>
    <xf numFmtId="188" fontId="131" fillId="23" borderId="0" applyNumberFormat="0" applyBorder="0" applyAlignment="0" applyProtection="0"/>
    <xf numFmtId="178" fontId="131" fillId="23" borderId="0" applyNumberFormat="0" applyBorder="0" applyAlignment="0" applyProtection="0"/>
    <xf numFmtId="188" fontId="131" fillId="23" borderId="0" applyNumberFormat="0" applyBorder="0" applyAlignment="0" applyProtection="0"/>
    <xf numFmtId="178" fontId="13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0" fontId="1" fillId="23" borderId="0" applyNumberFormat="0" applyBorder="0" applyAlignment="0" applyProtection="0"/>
    <xf numFmtId="178" fontId="1" fillId="23" borderId="0" applyNumberFormat="0" applyBorder="0" applyAlignment="0" applyProtection="0"/>
    <xf numFmtId="17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0" fontId="1" fillId="23" borderId="0" applyNumberFormat="0" applyBorder="0" applyAlignment="0" applyProtection="0"/>
    <xf numFmtId="188" fontId="131" fillId="23" borderId="0" applyNumberFormat="0" applyBorder="0" applyAlignment="0" applyProtection="0"/>
    <xf numFmtId="178" fontId="131" fillId="23" borderId="0" applyNumberFormat="0" applyBorder="0" applyAlignment="0" applyProtection="0"/>
    <xf numFmtId="188" fontId="131" fillId="23" borderId="0" applyNumberFormat="0" applyBorder="0" applyAlignment="0" applyProtection="0"/>
    <xf numFmtId="178" fontId="13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0" fontId="1" fillId="23" borderId="0" applyNumberFormat="0" applyBorder="0" applyAlignment="0" applyProtection="0"/>
    <xf numFmtId="178" fontId="1" fillId="23" borderId="0" applyNumberFormat="0" applyBorder="0" applyAlignment="0" applyProtection="0"/>
    <xf numFmtId="17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31" fillId="23" borderId="0" applyNumberFormat="0" applyBorder="0" applyAlignment="0" applyProtection="0"/>
    <xf numFmtId="178" fontId="131" fillId="23" borderId="0" applyNumberFormat="0" applyBorder="0" applyAlignment="0" applyProtection="0"/>
    <xf numFmtId="188" fontId="131" fillId="23" borderId="0" applyNumberFormat="0" applyBorder="0" applyAlignment="0" applyProtection="0"/>
    <xf numFmtId="178" fontId="13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31" fillId="23" borderId="0" applyNumberFormat="0" applyBorder="0" applyAlignment="0" applyProtection="0"/>
    <xf numFmtId="178" fontId="131" fillId="23" borderId="0" applyNumberFormat="0" applyBorder="0" applyAlignment="0" applyProtection="0"/>
    <xf numFmtId="188" fontId="131" fillId="23" borderId="0" applyNumberFormat="0" applyBorder="0" applyAlignment="0" applyProtection="0"/>
    <xf numFmtId="178" fontId="13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31" fillId="23" borderId="0" applyNumberFormat="0" applyBorder="0" applyAlignment="0" applyProtection="0"/>
    <xf numFmtId="178" fontId="131" fillId="23" borderId="0" applyNumberFormat="0" applyBorder="0" applyAlignment="0" applyProtection="0"/>
    <xf numFmtId="188" fontId="131" fillId="23" borderId="0" applyNumberFormat="0" applyBorder="0" applyAlignment="0" applyProtection="0"/>
    <xf numFmtId="178" fontId="13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31" fillId="23" borderId="0" applyNumberFormat="0" applyBorder="0" applyAlignment="0" applyProtection="0"/>
    <xf numFmtId="178" fontId="131" fillId="23" borderId="0" applyNumberFormat="0" applyBorder="0" applyAlignment="0" applyProtection="0"/>
    <xf numFmtId="188" fontId="131" fillId="23" borderId="0" applyNumberFormat="0" applyBorder="0" applyAlignment="0" applyProtection="0"/>
    <xf numFmtId="178" fontId="13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31" fillId="23" borderId="0" applyNumberFormat="0" applyBorder="0" applyAlignment="0" applyProtection="0"/>
    <xf numFmtId="178" fontId="131" fillId="23" borderId="0" applyNumberFormat="0" applyBorder="0" applyAlignment="0" applyProtection="0"/>
    <xf numFmtId="188" fontId="131" fillId="23" borderId="0" applyNumberFormat="0" applyBorder="0" applyAlignment="0" applyProtection="0"/>
    <xf numFmtId="178" fontId="13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3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0" fontId="61" fillId="70" borderId="0" applyNumberFormat="0" applyBorder="0" applyAlignment="0" applyProtection="0"/>
    <xf numFmtId="0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0" fontId="1" fillId="27" borderId="0" applyNumberFormat="0" applyBorder="0" applyAlignment="0" applyProtection="0"/>
    <xf numFmtId="178" fontId="1" fillId="27" borderId="0" applyNumberFormat="0" applyBorder="0" applyAlignment="0" applyProtection="0"/>
    <xf numFmtId="178" fontId="61" fillId="70" borderId="0" applyNumberFormat="0" applyBorder="0" applyAlignment="0" applyProtection="0"/>
    <xf numFmtId="188" fontId="61" fillId="70" borderId="0" applyNumberFormat="0" applyBorder="0" applyAlignment="0" applyProtection="0"/>
    <xf numFmtId="178" fontId="61" fillId="70" borderId="0" applyNumberFormat="0" applyBorder="0" applyAlignment="0" applyProtection="0"/>
    <xf numFmtId="188" fontId="61" fillId="70" borderId="0" applyNumberFormat="0" applyBorder="0" applyAlignment="0" applyProtection="0"/>
    <xf numFmtId="178" fontId="61" fillId="70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0" fontId="61" fillId="70" borderId="0" applyNumberFormat="0" applyBorder="0" applyAlignment="0" applyProtection="0"/>
    <xf numFmtId="178" fontId="61" fillId="70" borderId="0" applyNumberFormat="0" applyBorder="0" applyAlignment="0" applyProtection="0"/>
    <xf numFmtId="17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0" fontId="1" fillId="27" borderId="0" applyNumberFormat="0" applyBorder="0" applyAlignment="0" applyProtection="0"/>
    <xf numFmtId="188" fontId="131" fillId="27" borderId="0" applyNumberFormat="0" applyBorder="0" applyAlignment="0" applyProtection="0"/>
    <xf numFmtId="178" fontId="131" fillId="27" borderId="0" applyNumberFormat="0" applyBorder="0" applyAlignment="0" applyProtection="0"/>
    <xf numFmtId="188" fontId="131" fillId="27" borderId="0" applyNumberFormat="0" applyBorder="0" applyAlignment="0" applyProtection="0"/>
    <xf numFmtId="178" fontId="13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0" fontId="1" fillId="27" borderId="0" applyNumberFormat="0" applyBorder="0" applyAlignment="0" applyProtection="0"/>
    <xf numFmtId="178" fontId="1" fillId="27" borderId="0" applyNumberFormat="0" applyBorder="0" applyAlignment="0" applyProtection="0"/>
    <xf numFmtId="17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0" fontId="1" fillId="27" borderId="0" applyNumberFormat="0" applyBorder="0" applyAlignment="0" applyProtection="0"/>
    <xf numFmtId="188" fontId="131" fillId="27" borderId="0" applyNumberFormat="0" applyBorder="0" applyAlignment="0" applyProtection="0"/>
    <xf numFmtId="178" fontId="131" fillId="27" borderId="0" applyNumberFormat="0" applyBorder="0" applyAlignment="0" applyProtection="0"/>
    <xf numFmtId="188" fontId="131" fillId="27" borderId="0" applyNumberFormat="0" applyBorder="0" applyAlignment="0" applyProtection="0"/>
    <xf numFmtId="178" fontId="13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0" fontId="1" fillId="27" borderId="0" applyNumberFormat="0" applyBorder="0" applyAlignment="0" applyProtection="0"/>
    <xf numFmtId="178" fontId="1" fillId="27" borderId="0" applyNumberFormat="0" applyBorder="0" applyAlignment="0" applyProtection="0"/>
    <xf numFmtId="17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31" fillId="27" borderId="0" applyNumberFormat="0" applyBorder="0" applyAlignment="0" applyProtection="0"/>
    <xf numFmtId="178" fontId="131" fillId="27" borderId="0" applyNumberFormat="0" applyBorder="0" applyAlignment="0" applyProtection="0"/>
    <xf numFmtId="188" fontId="131" fillId="27" borderId="0" applyNumberFormat="0" applyBorder="0" applyAlignment="0" applyProtection="0"/>
    <xf numFmtId="178" fontId="13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31" fillId="27" borderId="0" applyNumberFormat="0" applyBorder="0" applyAlignment="0" applyProtection="0"/>
    <xf numFmtId="178" fontId="131" fillId="27" borderId="0" applyNumberFormat="0" applyBorder="0" applyAlignment="0" applyProtection="0"/>
    <xf numFmtId="188" fontId="131" fillId="27" borderId="0" applyNumberFormat="0" applyBorder="0" applyAlignment="0" applyProtection="0"/>
    <xf numFmtId="178" fontId="13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31" fillId="27" borderId="0" applyNumberFormat="0" applyBorder="0" applyAlignment="0" applyProtection="0"/>
    <xf numFmtId="178" fontId="131" fillId="27" borderId="0" applyNumberFormat="0" applyBorder="0" applyAlignment="0" applyProtection="0"/>
    <xf numFmtId="188" fontId="131" fillId="27" borderId="0" applyNumberFormat="0" applyBorder="0" applyAlignment="0" applyProtection="0"/>
    <xf numFmtId="178" fontId="13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31" fillId="27" borderId="0" applyNumberFormat="0" applyBorder="0" applyAlignment="0" applyProtection="0"/>
    <xf numFmtId="178" fontId="131" fillId="27" borderId="0" applyNumberFormat="0" applyBorder="0" applyAlignment="0" applyProtection="0"/>
    <xf numFmtId="188" fontId="131" fillId="27" borderId="0" applyNumberFormat="0" applyBorder="0" applyAlignment="0" applyProtection="0"/>
    <xf numFmtId="178" fontId="13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31" fillId="27" borderId="0" applyNumberFormat="0" applyBorder="0" applyAlignment="0" applyProtection="0"/>
    <xf numFmtId="178" fontId="131" fillId="27" borderId="0" applyNumberFormat="0" applyBorder="0" applyAlignment="0" applyProtection="0"/>
    <xf numFmtId="188" fontId="131" fillId="27" borderId="0" applyNumberFormat="0" applyBorder="0" applyAlignment="0" applyProtection="0"/>
    <xf numFmtId="178" fontId="13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27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0" fontId="61" fillId="73" borderId="0" applyNumberFormat="0" applyBorder="0" applyAlignment="0" applyProtection="0"/>
    <xf numFmtId="0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0" fontId="1" fillId="31" borderId="0" applyNumberFormat="0" applyBorder="0" applyAlignment="0" applyProtection="0"/>
    <xf numFmtId="178" fontId="1" fillId="31" borderId="0" applyNumberFormat="0" applyBorder="0" applyAlignment="0" applyProtection="0"/>
    <xf numFmtId="178" fontId="61" fillId="73" borderId="0" applyNumberFormat="0" applyBorder="0" applyAlignment="0" applyProtection="0"/>
    <xf numFmtId="188" fontId="61" fillId="73" borderId="0" applyNumberFormat="0" applyBorder="0" applyAlignment="0" applyProtection="0"/>
    <xf numFmtId="178" fontId="61" fillId="73" borderId="0" applyNumberFormat="0" applyBorder="0" applyAlignment="0" applyProtection="0"/>
    <xf numFmtId="188" fontId="61" fillId="73" borderId="0" applyNumberFormat="0" applyBorder="0" applyAlignment="0" applyProtection="0"/>
    <xf numFmtId="178" fontId="61" fillId="73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0" fontId="61" fillId="73" borderId="0" applyNumberFormat="0" applyBorder="0" applyAlignment="0" applyProtection="0"/>
    <xf numFmtId="178" fontId="61" fillId="73" borderId="0" applyNumberFormat="0" applyBorder="0" applyAlignment="0" applyProtection="0"/>
    <xf numFmtId="17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0" fontId="1" fillId="31" borderId="0" applyNumberFormat="0" applyBorder="0" applyAlignment="0" applyProtection="0"/>
    <xf numFmtId="188" fontId="131" fillId="31" borderId="0" applyNumberFormat="0" applyBorder="0" applyAlignment="0" applyProtection="0"/>
    <xf numFmtId="178" fontId="131" fillId="31" borderId="0" applyNumberFormat="0" applyBorder="0" applyAlignment="0" applyProtection="0"/>
    <xf numFmtId="188" fontId="131" fillId="31" borderId="0" applyNumberFormat="0" applyBorder="0" applyAlignment="0" applyProtection="0"/>
    <xf numFmtId="178" fontId="13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0" fontId="1" fillId="31" borderId="0" applyNumberFormat="0" applyBorder="0" applyAlignment="0" applyProtection="0"/>
    <xf numFmtId="178" fontId="1" fillId="31" borderId="0" applyNumberFormat="0" applyBorder="0" applyAlignment="0" applyProtection="0"/>
    <xf numFmtId="17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0" fontId="1" fillId="31" borderId="0" applyNumberFormat="0" applyBorder="0" applyAlignment="0" applyProtection="0"/>
    <xf numFmtId="188" fontId="131" fillId="31" borderId="0" applyNumberFormat="0" applyBorder="0" applyAlignment="0" applyProtection="0"/>
    <xf numFmtId="178" fontId="131" fillId="31" borderId="0" applyNumberFormat="0" applyBorder="0" applyAlignment="0" applyProtection="0"/>
    <xf numFmtId="188" fontId="131" fillId="31" borderId="0" applyNumberFormat="0" applyBorder="0" applyAlignment="0" applyProtection="0"/>
    <xf numFmtId="178" fontId="13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0" fontId="1" fillId="31" borderId="0" applyNumberFormat="0" applyBorder="0" applyAlignment="0" applyProtection="0"/>
    <xf numFmtId="178" fontId="1" fillId="31" borderId="0" applyNumberFormat="0" applyBorder="0" applyAlignment="0" applyProtection="0"/>
    <xf numFmtId="17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31" fillId="31" borderId="0" applyNumberFormat="0" applyBorder="0" applyAlignment="0" applyProtection="0"/>
    <xf numFmtId="178" fontId="131" fillId="31" borderId="0" applyNumberFormat="0" applyBorder="0" applyAlignment="0" applyProtection="0"/>
    <xf numFmtId="188" fontId="131" fillId="31" borderId="0" applyNumberFormat="0" applyBorder="0" applyAlignment="0" applyProtection="0"/>
    <xf numFmtId="178" fontId="13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31" fillId="31" borderId="0" applyNumberFormat="0" applyBorder="0" applyAlignment="0" applyProtection="0"/>
    <xf numFmtId="178" fontId="131" fillId="31" borderId="0" applyNumberFormat="0" applyBorder="0" applyAlignment="0" applyProtection="0"/>
    <xf numFmtId="188" fontId="131" fillId="31" borderId="0" applyNumberFormat="0" applyBorder="0" applyAlignment="0" applyProtection="0"/>
    <xf numFmtId="178" fontId="13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31" fillId="31" borderId="0" applyNumberFormat="0" applyBorder="0" applyAlignment="0" applyProtection="0"/>
    <xf numFmtId="178" fontId="131" fillId="31" borderId="0" applyNumberFormat="0" applyBorder="0" applyAlignment="0" applyProtection="0"/>
    <xf numFmtId="188" fontId="131" fillId="31" borderId="0" applyNumberFormat="0" applyBorder="0" applyAlignment="0" applyProtection="0"/>
    <xf numFmtId="178" fontId="13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31" fillId="31" borderId="0" applyNumberFormat="0" applyBorder="0" applyAlignment="0" applyProtection="0"/>
    <xf numFmtId="178" fontId="131" fillId="31" borderId="0" applyNumberFormat="0" applyBorder="0" applyAlignment="0" applyProtection="0"/>
    <xf numFmtId="188" fontId="131" fillId="31" borderId="0" applyNumberFormat="0" applyBorder="0" applyAlignment="0" applyProtection="0"/>
    <xf numFmtId="178" fontId="13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31" fillId="31" borderId="0" applyNumberFormat="0" applyBorder="0" applyAlignment="0" applyProtection="0"/>
    <xf numFmtId="178" fontId="131" fillId="31" borderId="0" applyNumberFormat="0" applyBorder="0" applyAlignment="0" applyProtection="0"/>
    <xf numFmtId="188" fontId="131" fillId="31" borderId="0" applyNumberFormat="0" applyBorder="0" applyAlignment="0" applyProtection="0"/>
    <xf numFmtId="178" fontId="13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188" fontId="1" fillId="31" borderId="0" applyNumberFormat="0" applyBorder="0" applyAlignment="0" applyProtection="0"/>
    <xf numFmtId="0" fontId="61" fillId="70" borderId="0" applyNumberFormat="0" applyBorder="0" applyAlignment="0" applyProtection="0"/>
    <xf numFmtId="178" fontId="61" fillId="70" borderId="0" applyNumberFormat="0" applyBorder="0" applyAlignment="0" applyProtection="0"/>
    <xf numFmtId="178" fontId="61" fillId="70" borderId="0" applyNumberFormat="0" applyBorder="0" applyAlignment="0" applyProtection="0"/>
    <xf numFmtId="0" fontId="61" fillId="71" borderId="0" applyNumberFormat="0" applyBorder="0" applyAlignment="0" applyProtection="0"/>
    <xf numFmtId="178" fontId="61" fillId="71" borderId="0" applyNumberFormat="0" applyBorder="0" applyAlignment="0" applyProtection="0"/>
    <xf numFmtId="178" fontId="61" fillId="71" borderId="0" applyNumberFormat="0" applyBorder="0" applyAlignment="0" applyProtection="0"/>
    <xf numFmtId="0" fontId="61" fillId="72" borderId="0" applyNumberFormat="0" applyBorder="0" applyAlignment="0" applyProtection="0"/>
    <xf numFmtId="178" fontId="61" fillId="72" borderId="0" applyNumberFormat="0" applyBorder="0" applyAlignment="0" applyProtection="0"/>
    <xf numFmtId="178" fontId="61" fillId="72" borderId="0" applyNumberFormat="0" applyBorder="0" applyAlignment="0" applyProtection="0"/>
    <xf numFmtId="0" fontId="61" fillId="67" borderId="0" applyNumberFormat="0" applyBorder="0" applyAlignment="0" applyProtection="0"/>
    <xf numFmtId="178" fontId="61" fillId="67" borderId="0" applyNumberFormat="0" applyBorder="0" applyAlignment="0" applyProtection="0"/>
    <xf numFmtId="178" fontId="61" fillId="67" borderId="0" applyNumberFormat="0" applyBorder="0" applyAlignment="0" applyProtection="0"/>
    <xf numFmtId="0" fontId="61" fillId="70" borderId="0" applyNumberFormat="0" applyBorder="0" applyAlignment="0" applyProtection="0"/>
    <xf numFmtId="178" fontId="61" fillId="70" borderId="0" applyNumberFormat="0" applyBorder="0" applyAlignment="0" applyProtection="0"/>
    <xf numFmtId="178" fontId="61" fillId="70" borderId="0" applyNumberFormat="0" applyBorder="0" applyAlignment="0" applyProtection="0"/>
    <xf numFmtId="0" fontId="61" fillId="73" borderId="0" applyNumberFormat="0" applyBorder="0" applyAlignment="0" applyProtection="0"/>
    <xf numFmtId="178" fontId="61" fillId="73" borderId="0" applyNumberFormat="0" applyBorder="0" applyAlignment="0" applyProtection="0"/>
    <xf numFmtId="178" fontId="61" fillId="73" borderId="0" applyNumberFormat="0" applyBorder="0" applyAlignment="0" applyProtection="0"/>
    <xf numFmtId="0" fontId="61" fillId="70" borderId="0" applyNumberFormat="0" applyBorder="0" applyAlignment="0" applyProtection="0"/>
    <xf numFmtId="0" fontId="61" fillId="70" borderId="0" applyNumberFormat="0" applyBorder="0" applyAlignment="0" applyProtection="0"/>
    <xf numFmtId="178" fontId="61" fillId="70" borderId="0" applyNumberFormat="0" applyBorder="0" applyAlignment="0" applyProtection="0"/>
    <xf numFmtId="178" fontId="61" fillId="70" borderId="0" applyNumberFormat="0" applyBorder="0" applyAlignment="0" applyProtection="0"/>
    <xf numFmtId="0" fontId="61" fillId="71" borderId="0" applyNumberFormat="0" applyBorder="0" applyAlignment="0" applyProtection="0"/>
    <xf numFmtId="0" fontId="61" fillId="71" borderId="0" applyNumberFormat="0" applyBorder="0" applyAlignment="0" applyProtection="0"/>
    <xf numFmtId="178" fontId="61" fillId="71" borderId="0" applyNumberFormat="0" applyBorder="0" applyAlignment="0" applyProtection="0"/>
    <xf numFmtId="178" fontId="61" fillId="71" borderId="0" applyNumberFormat="0" applyBorder="0" applyAlignment="0" applyProtection="0"/>
    <xf numFmtId="0" fontId="61" fillId="72" borderId="0" applyNumberFormat="0" applyBorder="0" applyAlignment="0" applyProtection="0"/>
    <xf numFmtId="0" fontId="61" fillId="72" borderId="0" applyNumberFormat="0" applyBorder="0" applyAlignment="0" applyProtection="0"/>
    <xf numFmtId="178" fontId="61" fillId="72" borderId="0" applyNumberFormat="0" applyBorder="0" applyAlignment="0" applyProtection="0"/>
    <xf numFmtId="178" fontId="61" fillId="72" borderId="0" applyNumberFormat="0" applyBorder="0" applyAlignment="0" applyProtection="0"/>
    <xf numFmtId="0" fontId="61" fillId="67" borderId="0" applyNumberFormat="0" applyBorder="0" applyAlignment="0" applyProtection="0"/>
    <xf numFmtId="0" fontId="61" fillId="67" borderId="0" applyNumberFormat="0" applyBorder="0" applyAlignment="0" applyProtection="0"/>
    <xf numFmtId="178" fontId="61" fillId="67" borderId="0" applyNumberFormat="0" applyBorder="0" applyAlignment="0" applyProtection="0"/>
    <xf numFmtId="178" fontId="61" fillId="67" borderId="0" applyNumberFormat="0" applyBorder="0" applyAlignment="0" applyProtection="0"/>
    <xf numFmtId="0" fontId="61" fillId="70" borderId="0" applyNumberFormat="0" applyBorder="0" applyAlignment="0" applyProtection="0"/>
    <xf numFmtId="0" fontId="61" fillId="70" borderId="0" applyNumberFormat="0" applyBorder="0" applyAlignment="0" applyProtection="0"/>
    <xf numFmtId="178" fontId="61" fillId="70" borderId="0" applyNumberFormat="0" applyBorder="0" applyAlignment="0" applyProtection="0"/>
    <xf numFmtId="178" fontId="61" fillId="70" borderId="0" applyNumberFormat="0" applyBorder="0" applyAlignment="0" applyProtection="0"/>
    <xf numFmtId="0" fontId="61" fillId="73" borderId="0" applyNumberFormat="0" applyBorder="0" applyAlignment="0" applyProtection="0"/>
    <xf numFmtId="0" fontId="61" fillId="73" borderId="0" applyNumberFormat="0" applyBorder="0" applyAlignment="0" applyProtection="0"/>
    <xf numFmtId="178" fontId="61" fillId="73" borderId="0" applyNumberFormat="0" applyBorder="0" applyAlignment="0" applyProtection="0"/>
    <xf numFmtId="178" fontId="61" fillId="73" borderId="0" applyNumberFormat="0" applyBorder="0" applyAlignment="0" applyProtection="0"/>
    <xf numFmtId="0" fontId="132" fillId="74" borderId="0" applyNumberFormat="0" applyBorder="0" applyAlignment="0" applyProtection="0"/>
    <xf numFmtId="0" fontId="132" fillId="74" borderId="0" applyNumberFormat="0" applyBorder="0" applyAlignment="0" applyProtection="0"/>
    <xf numFmtId="178" fontId="132" fillId="74" borderId="0" applyNumberFormat="0" applyBorder="0" applyAlignment="0" applyProtection="0"/>
    <xf numFmtId="178" fontId="132" fillId="74" borderId="0" applyNumberFormat="0" applyBorder="0" applyAlignment="0" applyProtection="0"/>
    <xf numFmtId="0" fontId="132" fillId="71" borderId="0" applyNumberFormat="0" applyBorder="0" applyAlignment="0" applyProtection="0"/>
    <xf numFmtId="0" fontId="132" fillId="71" borderId="0" applyNumberFormat="0" applyBorder="0" applyAlignment="0" applyProtection="0"/>
    <xf numFmtId="178" fontId="132" fillId="71" borderId="0" applyNumberFormat="0" applyBorder="0" applyAlignment="0" applyProtection="0"/>
    <xf numFmtId="178" fontId="132" fillId="71" borderId="0" applyNumberFormat="0" applyBorder="0" applyAlignment="0" applyProtection="0"/>
    <xf numFmtId="0" fontId="132" fillId="72" borderId="0" applyNumberFormat="0" applyBorder="0" applyAlignment="0" applyProtection="0"/>
    <xf numFmtId="0" fontId="132" fillId="72" borderId="0" applyNumberFormat="0" applyBorder="0" applyAlignment="0" applyProtection="0"/>
    <xf numFmtId="178" fontId="132" fillId="72" borderId="0" applyNumberFormat="0" applyBorder="0" applyAlignment="0" applyProtection="0"/>
    <xf numFmtId="178" fontId="132" fillId="72" borderId="0" applyNumberFormat="0" applyBorder="0" applyAlignment="0" applyProtection="0"/>
    <xf numFmtId="0" fontId="132" fillId="75" borderId="0" applyNumberFormat="0" applyBorder="0" applyAlignment="0" applyProtection="0"/>
    <xf numFmtId="0" fontId="132" fillId="75" borderId="0" applyNumberFormat="0" applyBorder="0" applyAlignment="0" applyProtection="0"/>
    <xf numFmtId="178" fontId="132" fillId="75" borderId="0" applyNumberFormat="0" applyBorder="0" applyAlignment="0" applyProtection="0"/>
    <xf numFmtId="178" fontId="132" fillId="75" borderId="0" applyNumberFormat="0" applyBorder="0" applyAlignment="0" applyProtection="0"/>
    <xf numFmtId="0" fontId="132" fillId="76" borderId="0" applyNumberFormat="0" applyBorder="0" applyAlignment="0" applyProtection="0"/>
    <xf numFmtId="0" fontId="132" fillId="76" borderId="0" applyNumberFormat="0" applyBorder="0" applyAlignment="0" applyProtection="0"/>
    <xf numFmtId="178" fontId="132" fillId="76" borderId="0" applyNumberFormat="0" applyBorder="0" applyAlignment="0" applyProtection="0"/>
    <xf numFmtId="178" fontId="132" fillId="76" borderId="0" applyNumberFormat="0" applyBorder="0" applyAlignment="0" applyProtection="0"/>
    <xf numFmtId="0" fontId="132" fillId="77" borderId="0" applyNumberFormat="0" applyBorder="0" applyAlignment="0" applyProtection="0"/>
    <xf numFmtId="0" fontId="132" fillId="77" borderId="0" applyNumberFormat="0" applyBorder="0" applyAlignment="0" applyProtection="0"/>
    <xf numFmtId="178" fontId="132" fillId="77" borderId="0" applyNumberFormat="0" applyBorder="0" applyAlignment="0" applyProtection="0"/>
    <xf numFmtId="178" fontId="132" fillId="77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0" fontId="132" fillId="74" borderId="0" applyNumberFormat="0" applyBorder="0" applyAlignment="0" applyProtection="0"/>
    <xf numFmtId="188" fontId="132" fillId="74" borderId="0" applyNumberFormat="0" applyBorder="0" applyAlignment="0" applyProtection="0"/>
    <xf numFmtId="188" fontId="17" fillId="12" borderId="0" applyNumberFormat="0" applyBorder="0" applyAlignment="0" applyProtection="0"/>
    <xf numFmtId="188" fontId="132" fillId="74" borderId="0" applyNumberFormat="0" applyBorder="0" applyAlignment="0" applyProtection="0"/>
    <xf numFmtId="188" fontId="133" fillId="12" borderId="0" applyNumberFormat="0" applyBorder="0" applyAlignment="0" applyProtection="0"/>
    <xf numFmtId="178" fontId="133" fillId="12" borderId="0" applyNumberFormat="0" applyBorder="0" applyAlignment="0" applyProtection="0"/>
    <xf numFmtId="178" fontId="132" fillId="74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78" fontId="132" fillId="74" borderId="0" applyNumberFormat="0" applyBorder="0" applyAlignment="0" applyProtection="0"/>
    <xf numFmtId="188" fontId="132" fillId="74" borderId="0" applyNumberFormat="0" applyBorder="0" applyAlignment="0" applyProtection="0"/>
    <xf numFmtId="178" fontId="132" fillId="74" borderId="0" applyNumberFormat="0" applyBorder="0" applyAlignment="0" applyProtection="0"/>
    <xf numFmtId="188" fontId="132" fillId="74" borderId="0" applyNumberFormat="0" applyBorder="0" applyAlignment="0" applyProtection="0"/>
    <xf numFmtId="178" fontId="132" fillId="74" borderId="0" applyNumberFormat="0" applyBorder="0" applyAlignment="0" applyProtection="0"/>
    <xf numFmtId="0" fontId="132" fillId="74" borderId="0" applyNumberFormat="0" applyBorder="0" applyAlignment="0" applyProtection="0"/>
    <xf numFmtId="178" fontId="132" fillId="74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88" fontId="133" fillId="12" borderId="0" applyNumberFormat="0" applyBorder="0" applyAlignment="0" applyProtection="0"/>
    <xf numFmtId="178" fontId="133" fillId="12" borderId="0" applyNumberFormat="0" applyBorder="0" applyAlignment="0" applyProtection="0"/>
    <xf numFmtId="188" fontId="133" fillId="12" borderId="0" applyNumberFormat="0" applyBorder="0" applyAlignment="0" applyProtection="0"/>
    <xf numFmtId="178" fontId="133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88" fontId="133" fillId="12" borderId="0" applyNumberFormat="0" applyBorder="0" applyAlignment="0" applyProtection="0"/>
    <xf numFmtId="178" fontId="133" fillId="12" borderId="0" applyNumberFormat="0" applyBorder="0" applyAlignment="0" applyProtection="0"/>
    <xf numFmtId="188" fontId="133" fillId="12" borderId="0" applyNumberFormat="0" applyBorder="0" applyAlignment="0" applyProtection="0"/>
    <xf numFmtId="178" fontId="133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88" fontId="133" fillId="12" borderId="0" applyNumberFormat="0" applyBorder="0" applyAlignment="0" applyProtection="0"/>
    <xf numFmtId="178" fontId="133" fillId="12" borderId="0" applyNumberFormat="0" applyBorder="0" applyAlignment="0" applyProtection="0"/>
    <xf numFmtId="188" fontId="133" fillId="12" borderId="0" applyNumberFormat="0" applyBorder="0" applyAlignment="0" applyProtection="0"/>
    <xf numFmtId="178" fontId="133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88" fontId="133" fillId="12" borderId="0" applyNumberFormat="0" applyBorder="0" applyAlignment="0" applyProtection="0"/>
    <xf numFmtId="178" fontId="133" fillId="12" borderId="0" applyNumberFormat="0" applyBorder="0" applyAlignment="0" applyProtection="0"/>
    <xf numFmtId="188" fontId="133" fillId="12" borderId="0" applyNumberFormat="0" applyBorder="0" applyAlignment="0" applyProtection="0"/>
    <xf numFmtId="178" fontId="133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88" fontId="133" fillId="12" borderId="0" applyNumberFormat="0" applyBorder="0" applyAlignment="0" applyProtection="0"/>
    <xf numFmtId="178" fontId="133" fillId="12" borderId="0" applyNumberFormat="0" applyBorder="0" applyAlignment="0" applyProtection="0"/>
    <xf numFmtId="188" fontId="133" fillId="12" borderId="0" applyNumberFormat="0" applyBorder="0" applyAlignment="0" applyProtection="0"/>
    <xf numFmtId="178" fontId="133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88" fontId="133" fillId="12" borderId="0" applyNumberFormat="0" applyBorder="0" applyAlignment="0" applyProtection="0"/>
    <xf numFmtId="178" fontId="133" fillId="12" borderId="0" applyNumberFormat="0" applyBorder="0" applyAlignment="0" applyProtection="0"/>
    <xf numFmtId="188" fontId="133" fillId="12" borderId="0" applyNumberFormat="0" applyBorder="0" applyAlignment="0" applyProtection="0"/>
    <xf numFmtId="178" fontId="133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88" fontId="133" fillId="12" borderId="0" applyNumberFormat="0" applyBorder="0" applyAlignment="0" applyProtection="0"/>
    <xf numFmtId="178" fontId="133" fillId="12" borderId="0" applyNumberFormat="0" applyBorder="0" applyAlignment="0" applyProtection="0"/>
    <xf numFmtId="188" fontId="133" fillId="12" borderId="0" applyNumberFormat="0" applyBorder="0" applyAlignment="0" applyProtection="0"/>
    <xf numFmtId="178" fontId="133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2" borderId="0" applyNumberFormat="0" applyBorder="0" applyAlignment="0" applyProtection="0"/>
    <xf numFmtId="178" fontId="17" fillId="12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0" fontId="132" fillId="71" borderId="0" applyNumberFormat="0" applyBorder="0" applyAlignment="0" applyProtection="0"/>
    <xf numFmtId="188" fontId="132" fillId="71" borderId="0" applyNumberFormat="0" applyBorder="0" applyAlignment="0" applyProtection="0"/>
    <xf numFmtId="188" fontId="17" fillId="16" borderId="0" applyNumberFormat="0" applyBorder="0" applyAlignment="0" applyProtection="0"/>
    <xf numFmtId="188" fontId="132" fillId="71" borderId="0" applyNumberFormat="0" applyBorder="0" applyAlignment="0" applyProtection="0"/>
    <xf numFmtId="188" fontId="133" fillId="16" borderId="0" applyNumberFormat="0" applyBorder="0" applyAlignment="0" applyProtection="0"/>
    <xf numFmtId="178" fontId="133" fillId="16" borderId="0" applyNumberFormat="0" applyBorder="0" applyAlignment="0" applyProtection="0"/>
    <xf numFmtId="178" fontId="132" fillId="71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78" fontId="132" fillId="71" borderId="0" applyNumberFormat="0" applyBorder="0" applyAlignment="0" applyProtection="0"/>
    <xf numFmtId="188" fontId="132" fillId="71" borderId="0" applyNumberFormat="0" applyBorder="0" applyAlignment="0" applyProtection="0"/>
    <xf numFmtId="178" fontId="132" fillId="71" borderId="0" applyNumberFormat="0" applyBorder="0" applyAlignment="0" applyProtection="0"/>
    <xf numFmtId="188" fontId="132" fillId="71" borderId="0" applyNumberFormat="0" applyBorder="0" applyAlignment="0" applyProtection="0"/>
    <xf numFmtId="178" fontId="132" fillId="71" borderId="0" applyNumberFormat="0" applyBorder="0" applyAlignment="0" applyProtection="0"/>
    <xf numFmtId="0" fontId="132" fillId="71" borderId="0" applyNumberFormat="0" applyBorder="0" applyAlignment="0" applyProtection="0"/>
    <xf numFmtId="178" fontId="132" fillId="71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88" fontId="133" fillId="16" borderId="0" applyNumberFormat="0" applyBorder="0" applyAlignment="0" applyProtection="0"/>
    <xf numFmtId="178" fontId="133" fillId="16" borderId="0" applyNumberFormat="0" applyBorder="0" applyAlignment="0" applyProtection="0"/>
    <xf numFmtId="188" fontId="133" fillId="16" borderId="0" applyNumberFormat="0" applyBorder="0" applyAlignment="0" applyProtection="0"/>
    <xf numFmtId="178" fontId="133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88" fontId="133" fillId="16" borderId="0" applyNumberFormat="0" applyBorder="0" applyAlignment="0" applyProtection="0"/>
    <xf numFmtId="178" fontId="133" fillId="16" borderId="0" applyNumberFormat="0" applyBorder="0" applyAlignment="0" applyProtection="0"/>
    <xf numFmtId="188" fontId="133" fillId="16" borderId="0" applyNumberFormat="0" applyBorder="0" applyAlignment="0" applyProtection="0"/>
    <xf numFmtId="178" fontId="133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88" fontId="133" fillId="16" borderId="0" applyNumberFormat="0" applyBorder="0" applyAlignment="0" applyProtection="0"/>
    <xf numFmtId="178" fontId="133" fillId="16" borderId="0" applyNumberFormat="0" applyBorder="0" applyAlignment="0" applyProtection="0"/>
    <xf numFmtId="188" fontId="133" fillId="16" borderId="0" applyNumberFormat="0" applyBorder="0" applyAlignment="0" applyProtection="0"/>
    <xf numFmtId="178" fontId="133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88" fontId="133" fillId="16" borderId="0" applyNumberFormat="0" applyBorder="0" applyAlignment="0" applyProtection="0"/>
    <xf numFmtId="178" fontId="133" fillId="16" borderId="0" applyNumberFormat="0" applyBorder="0" applyAlignment="0" applyProtection="0"/>
    <xf numFmtId="188" fontId="133" fillId="16" borderId="0" applyNumberFormat="0" applyBorder="0" applyAlignment="0" applyProtection="0"/>
    <xf numFmtId="178" fontId="133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88" fontId="133" fillId="16" borderId="0" applyNumberFormat="0" applyBorder="0" applyAlignment="0" applyProtection="0"/>
    <xf numFmtId="178" fontId="133" fillId="16" borderId="0" applyNumberFormat="0" applyBorder="0" applyAlignment="0" applyProtection="0"/>
    <xf numFmtId="188" fontId="133" fillId="16" borderId="0" applyNumberFormat="0" applyBorder="0" applyAlignment="0" applyProtection="0"/>
    <xf numFmtId="178" fontId="133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88" fontId="133" fillId="16" borderId="0" applyNumberFormat="0" applyBorder="0" applyAlignment="0" applyProtection="0"/>
    <xf numFmtId="178" fontId="133" fillId="16" borderId="0" applyNumberFormat="0" applyBorder="0" applyAlignment="0" applyProtection="0"/>
    <xf numFmtId="188" fontId="133" fillId="16" borderId="0" applyNumberFormat="0" applyBorder="0" applyAlignment="0" applyProtection="0"/>
    <xf numFmtId="178" fontId="133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88" fontId="133" fillId="16" borderId="0" applyNumberFormat="0" applyBorder="0" applyAlignment="0" applyProtection="0"/>
    <xf numFmtId="178" fontId="133" fillId="16" borderId="0" applyNumberFormat="0" applyBorder="0" applyAlignment="0" applyProtection="0"/>
    <xf numFmtId="188" fontId="133" fillId="16" borderId="0" applyNumberFormat="0" applyBorder="0" applyAlignment="0" applyProtection="0"/>
    <xf numFmtId="178" fontId="133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16" borderId="0" applyNumberFormat="0" applyBorder="0" applyAlignment="0" applyProtection="0"/>
    <xf numFmtId="178" fontId="17" fillId="16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0" fontId="132" fillId="72" borderId="0" applyNumberFormat="0" applyBorder="0" applyAlignment="0" applyProtection="0"/>
    <xf numFmtId="188" fontId="132" fillId="72" borderId="0" applyNumberFormat="0" applyBorder="0" applyAlignment="0" applyProtection="0"/>
    <xf numFmtId="188" fontId="17" fillId="20" borderId="0" applyNumberFormat="0" applyBorder="0" applyAlignment="0" applyProtection="0"/>
    <xf numFmtId="188" fontId="132" fillId="72" borderId="0" applyNumberFormat="0" applyBorder="0" applyAlignment="0" applyProtection="0"/>
    <xf numFmtId="188" fontId="133" fillId="20" borderId="0" applyNumberFormat="0" applyBorder="0" applyAlignment="0" applyProtection="0"/>
    <xf numFmtId="178" fontId="133" fillId="20" borderId="0" applyNumberFormat="0" applyBorder="0" applyAlignment="0" applyProtection="0"/>
    <xf numFmtId="178" fontId="132" fillId="72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78" fontId="132" fillId="72" borderId="0" applyNumberFormat="0" applyBorder="0" applyAlignment="0" applyProtection="0"/>
    <xf numFmtId="188" fontId="132" fillId="72" borderId="0" applyNumberFormat="0" applyBorder="0" applyAlignment="0" applyProtection="0"/>
    <xf numFmtId="178" fontId="132" fillId="72" borderId="0" applyNumberFormat="0" applyBorder="0" applyAlignment="0" applyProtection="0"/>
    <xf numFmtId="188" fontId="132" fillId="72" borderId="0" applyNumberFormat="0" applyBorder="0" applyAlignment="0" applyProtection="0"/>
    <xf numFmtId="178" fontId="132" fillId="72" borderId="0" applyNumberFormat="0" applyBorder="0" applyAlignment="0" applyProtection="0"/>
    <xf numFmtId="0" fontId="132" fillId="72" borderId="0" applyNumberFormat="0" applyBorder="0" applyAlignment="0" applyProtection="0"/>
    <xf numFmtId="178" fontId="132" fillId="72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88" fontId="133" fillId="20" borderId="0" applyNumberFormat="0" applyBorder="0" applyAlignment="0" applyProtection="0"/>
    <xf numFmtId="178" fontId="133" fillId="20" borderId="0" applyNumberFormat="0" applyBorder="0" applyAlignment="0" applyProtection="0"/>
    <xf numFmtId="188" fontId="133" fillId="20" borderId="0" applyNumberFormat="0" applyBorder="0" applyAlignment="0" applyProtection="0"/>
    <xf numFmtId="178" fontId="133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88" fontId="133" fillId="20" borderId="0" applyNumberFormat="0" applyBorder="0" applyAlignment="0" applyProtection="0"/>
    <xf numFmtId="178" fontId="133" fillId="20" borderId="0" applyNumberFormat="0" applyBorder="0" applyAlignment="0" applyProtection="0"/>
    <xf numFmtId="188" fontId="133" fillId="20" borderId="0" applyNumberFormat="0" applyBorder="0" applyAlignment="0" applyProtection="0"/>
    <xf numFmtId="178" fontId="133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88" fontId="133" fillId="20" borderId="0" applyNumberFormat="0" applyBorder="0" applyAlignment="0" applyProtection="0"/>
    <xf numFmtId="178" fontId="133" fillId="20" borderId="0" applyNumberFormat="0" applyBorder="0" applyAlignment="0" applyProtection="0"/>
    <xf numFmtId="188" fontId="133" fillId="20" borderId="0" applyNumberFormat="0" applyBorder="0" applyAlignment="0" applyProtection="0"/>
    <xf numFmtId="178" fontId="133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88" fontId="133" fillId="20" borderId="0" applyNumberFormat="0" applyBorder="0" applyAlignment="0" applyProtection="0"/>
    <xf numFmtId="178" fontId="133" fillId="20" borderId="0" applyNumberFormat="0" applyBorder="0" applyAlignment="0" applyProtection="0"/>
    <xf numFmtId="188" fontId="133" fillId="20" borderId="0" applyNumberFormat="0" applyBorder="0" applyAlignment="0" applyProtection="0"/>
    <xf numFmtId="178" fontId="133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88" fontId="133" fillId="20" borderId="0" applyNumberFormat="0" applyBorder="0" applyAlignment="0" applyProtection="0"/>
    <xf numFmtId="178" fontId="133" fillId="20" borderId="0" applyNumberFormat="0" applyBorder="0" applyAlignment="0" applyProtection="0"/>
    <xf numFmtId="188" fontId="133" fillId="20" borderId="0" applyNumberFormat="0" applyBorder="0" applyAlignment="0" applyProtection="0"/>
    <xf numFmtId="178" fontId="133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88" fontId="133" fillId="20" borderId="0" applyNumberFormat="0" applyBorder="0" applyAlignment="0" applyProtection="0"/>
    <xf numFmtId="178" fontId="133" fillId="20" borderId="0" applyNumberFormat="0" applyBorder="0" applyAlignment="0" applyProtection="0"/>
    <xf numFmtId="188" fontId="133" fillId="20" borderId="0" applyNumberFormat="0" applyBorder="0" applyAlignment="0" applyProtection="0"/>
    <xf numFmtId="178" fontId="133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88" fontId="133" fillId="20" borderId="0" applyNumberFormat="0" applyBorder="0" applyAlignment="0" applyProtection="0"/>
    <xf numFmtId="178" fontId="133" fillId="20" borderId="0" applyNumberFormat="0" applyBorder="0" applyAlignment="0" applyProtection="0"/>
    <xf numFmtId="188" fontId="133" fillId="20" borderId="0" applyNumberFormat="0" applyBorder="0" applyAlignment="0" applyProtection="0"/>
    <xf numFmtId="178" fontId="133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0" borderId="0" applyNumberFormat="0" applyBorder="0" applyAlignment="0" applyProtection="0"/>
    <xf numFmtId="178" fontId="17" fillId="20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0" fontId="132" fillId="75" borderId="0" applyNumberFormat="0" applyBorder="0" applyAlignment="0" applyProtection="0"/>
    <xf numFmtId="188" fontId="132" fillId="75" borderId="0" applyNumberFormat="0" applyBorder="0" applyAlignment="0" applyProtection="0"/>
    <xf numFmtId="188" fontId="17" fillId="24" borderId="0" applyNumberFormat="0" applyBorder="0" applyAlignment="0" applyProtection="0"/>
    <xf numFmtId="188" fontId="132" fillId="75" borderId="0" applyNumberFormat="0" applyBorder="0" applyAlignment="0" applyProtection="0"/>
    <xf numFmtId="188" fontId="133" fillId="24" borderId="0" applyNumberFormat="0" applyBorder="0" applyAlignment="0" applyProtection="0"/>
    <xf numFmtId="178" fontId="133" fillId="24" borderId="0" applyNumberFormat="0" applyBorder="0" applyAlignment="0" applyProtection="0"/>
    <xf numFmtId="178" fontId="132" fillId="75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78" fontId="132" fillId="75" borderId="0" applyNumberFormat="0" applyBorder="0" applyAlignment="0" applyProtection="0"/>
    <xf numFmtId="188" fontId="132" fillId="75" borderId="0" applyNumberFormat="0" applyBorder="0" applyAlignment="0" applyProtection="0"/>
    <xf numFmtId="178" fontId="132" fillId="75" borderId="0" applyNumberFormat="0" applyBorder="0" applyAlignment="0" applyProtection="0"/>
    <xf numFmtId="188" fontId="132" fillId="75" borderId="0" applyNumberFormat="0" applyBorder="0" applyAlignment="0" applyProtection="0"/>
    <xf numFmtId="178" fontId="132" fillId="75" borderId="0" applyNumberFormat="0" applyBorder="0" applyAlignment="0" applyProtection="0"/>
    <xf numFmtId="0" fontId="132" fillId="75" borderId="0" applyNumberFormat="0" applyBorder="0" applyAlignment="0" applyProtection="0"/>
    <xf numFmtId="178" fontId="132" fillId="75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88" fontId="133" fillId="24" borderId="0" applyNumberFormat="0" applyBorder="0" applyAlignment="0" applyProtection="0"/>
    <xf numFmtId="178" fontId="133" fillId="24" borderId="0" applyNumberFormat="0" applyBorder="0" applyAlignment="0" applyProtection="0"/>
    <xf numFmtId="188" fontId="133" fillId="24" borderId="0" applyNumberFormat="0" applyBorder="0" applyAlignment="0" applyProtection="0"/>
    <xf numFmtId="178" fontId="133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88" fontId="133" fillId="24" borderId="0" applyNumberFormat="0" applyBorder="0" applyAlignment="0" applyProtection="0"/>
    <xf numFmtId="178" fontId="133" fillId="24" borderId="0" applyNumberFormat="0" applyBorder="0" applyAlignment="0" applyProtection="0"/>
    <xf numFmtId="188" fontId="133" fillId="24" borderId="0" applyNumberFormat="0" applyBorder="0" applyAlignment="0" applyProtection="0"/>
    <xf numFmtId="178" fontId="133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88" fontId="133" fillId="24" borderId="0" applyNumberFormat="0" applyBorder="0" applyAlignment="0" applyProtection="0"/>
    <xf numFmtId="178" fontId="133" fillId="24" borderId="0" applyNumberFormat="0" applyBorder="0" applyAlignment="0" applyProtection="0"/>
    <xf numFmtId="188" fontId="133" fillId="24" borderId="0" applyNumberFormat="0" applyBorder="0" applyAlignment="0" applyProtection="0"/>
    <xf numFmtId="178" fontId="133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88" fontId="133" fillId="24" borderId="0" applyNumberFormat="0" applyBorder="0" applyAlignment="0" applyProtection="0"/>
    <xf numFmtId="178" fontId="133" fillId="24" borderId="0" applyNumberFormat="0" applyBorder="0" applyAlignment="0" applyProtection="0"/>
    <xf numFmtId="188" fontId="133" fillId="24" borderId="0" applyNumberFormat="0" applyBorder="0" applyAlignment="0" applyProtection="0"/>
    <xf numFmtId="178" fontId="133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88" fontId="133" fillId="24" borderId="0" applyNumberFormat="0" applyBorder="0" applyAlignment="0" applyProtection="0"/>
    <xf numFmtId="178" fontId="133" fillId="24" borderId="0" applyNumberFormat="0" applyBorder="0" applyAlignment="0" applyProtection="0"/>
    <xf numFmtId="188" fontId="133" fillId="24" borderId="0" applyNumberFormat="0" applyBorder="0" applyAlignment="0" applyProtection="0"/>
    <xf numFmtId="178" fontId="133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88" fontId="133" fillId="24" borderId="0" applyNumberFormat="0" applyBorder="0" applyAlignment="0" applyProtection="0"/>
    <xf numFmtId="178" fontId="133" fillId="24" borderId="0" applyNumberFormat="0" applyBorder="0" applyAlignment="0" applyProtection="0"/>
    <xf numFmtId="188" fontId="133" fillId="24" borderId="0" applyNumberFormat="0" applyBorder="0" applyAlignment="0" applyProtection="0"/>
    <xf numFmtId="178" fontId="133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88" fontId="133" fillId="24" borderId="0" applyNumberFormat="0" applyBorder="0" applyAlignment="0" applyProtection="0"/>
    <xf numFmtId="178" fontId="133" fillId="24" borderId="0" applyNumberFormat="0" applyBorder="0" applyAlignment="0" applyProtection="0"/>
    <xf numFmtId="188" fontId="133" fillId="24" borderId="0" applyNumberFormat="0" applyBorder="0" applyAlignment="0" applyProtection="0"/>
    <xf numFmtId="178" fontId="133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4" borderId="0" applyNumberFormat="0" applyBorder="0" applyAlignment="0" applyProtection="0"/>
    <xf numFmtId="178" fontId="17" fillId="24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0" fontId="132" fillId="76" borderId="0" applyNumberFormat="0" applyBorder="0" applyAlignment="0" applyProtection="0"/>
    <xf numFmtId="188" fontId="132" fillId="76" borderId="0" applyNumberFormat="0" applyBorder="0" applyAlignment="0" applyProtection="0"/>
    <xf numFmtId="188" fontId="17" fillId="28" borderId="0" applyNumberFormat="0" applyBorder="0" applyAlignment="0" applyProtection="0"/>
    <xf numFmtId="188" fontId="132" fillId="76" borderId="0" applyNumberFormat="0" applyBorder="0" applyAlignment="0" applyProtection="0"/>
    <xf numFmtId="188" fontId="133" fillId="28" borderId="0" applyNumberFormat="0" applyBorder="0" applyAlignment="0" applyProtection="0"/>
    <xf numFmtId="178" fontId="133" fillId="28" borderId="0" applyNumberFormat="0" applyBorder="0" applyAlignment="0" applyProtection="0"/>
    <xf numFmtId="178" fontId="132" fillId="76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78" fontId="132" fillId="76" borderId="0" applyNumberFormat="0" applyBorder="0" applyAlignment="0" applyProtection="0"/>
    <xf numFmtId="188" fontId="132" fillId="76" borderId="0" applyNumberFormat="0" applyBorder="0" applyAlignment="0" applyProtection="0"/>
    <xf numFmtId="178" fontId="132" fillId="76" borderId="0" applyNumberFormat="0" applyBorder="0" applyAlignment="0" applyProtection="0"/>
    <xf numFmtId="188" fontId="132" fillId="76" borderId="0" applyNumberFormat="0" applyBorder="0" applyAlignment="0" applyProtection="0"/>
    <xf numFmtId="178" fontId="132" fillId="76" borderId="0" applyNumberFormat="0" applyBorder="0" applyAlignment="0" applyProtection="0"/>
    <xf numFmtId="0" fontId="132" fillId="76" borderId="0" applyNumberFormat="0" applyBorder="0" applyAlignment="0" applyProtection="0"/>
    <xf numFmtId="178" fontId="132" fillId="76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88" fontId="133" fillId="28" borderId="0" applyNumberFormat="0" applyBorder="0" applyAlignment="0" applyProtection="0"/>
    <xf numFmtId="178" fontId="133" fillId="28" borderId="0" applyNumberFormat="0" applyBorder="0" applyAlignment="0" applyProtection="0"/>
    <xf numFmtId="188" fontId="133" fillId="28" borderId="0" applyNumberFormat="0" applyBorder="0" applyAlignment="0" applyProtection="0"/>
    <xf numFmtId="178" fontId="133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88" fontId="133" fillId="28" borderId="0" applyNumberFormat="0" applyBorder="0" applyAlignment="0" applyProtection="0"/>
    <xf numFmtId="178" fontId="133" fillId="28" borderId="0" applyNumberFormat="0" applyBorder="0" applyAlignment="0" applyProtection="0"/>
    <xf numFmtId="188" fontId="133" fillId="28" borderId="0" applyNumberFormat="0" applyBorder="0" applyAlignment="0" applyProtection="0"/>
    <xf numFmtId="178" fontId="133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88" fontId="133" fillId="28" borderId="0" applyNumberFormat="0" applyBorder="0" applyAlignment="0" applyProtection="0"/>
    <xf numFmtId="178" fontId="133" fillId="28" borderId="0" applyNumberFormat="0" applyBorder="0" applyAlignment="0" applyProtection="0"/>
    <xf numFmtId="188" fontId="133" fillId="28" borderId="0" applyNumberFormat="0" applyBorder="0" applyAlignment="0" applyProtection="0"/>
    <xf numFmtId="178" fontId="133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88" fontId="133" fillId="28" borderId="0" applyNumberFormat="0" applyBorder="0" applyAlignment="0" applyProtection="0"/>
    <xf numFmtId="178" fontId="133" fillId="28" borderId="0" applyNumberFormat="0" applyBorder="0" applyAlignment="0" applyProtection="0"/>
    <xf numFmtId="188" fontId="133" fillId="28" borderId="0" applyNumberFormat="0" applyBorder="0" applyAlignment="0" applyProtection="0"/>
    <xf numFmtId="178" fontId="133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88" fontId="133" fillId="28" borderId="0" applyNumberFormat="0" applyBorder="0" applyAlignment="0" applyProtection="0"/>
    <xf numFmtId="178" fontId="133" fillId="28" borderId="0" applyNumberFormat="0" applyBorder="0" applyAlignment="0" applyProtection="0"/>
    <xf numFmtId="188" fontId="133" fillId="28" borderId="0" applyNumberFormat="0" applyBorder="0" applyAlignment="0" applyProtection="0"/>
    <xf numFmtId="178" fontId="133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88" fontId="133" fillId="28" borderId="0" applyNumberFormat="0" applyBorder="0" applyAlignment="0" applyProtection="0"/>
    <xf numFmtId="178" fontId="133" fillId="28" borderId="0" applyNumberFormat="0" applyBorder="0" applyAlignment="0" applyProtection="0"/>
    <xf numFmtId="188" fontId="133" fillId="28" borderId="0" applyNumberFormat="0" applyBorder="0" applyAlignment="0" applyProtection="0"/>
    <xf numFmtId="178" fontId="133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88" fontId="133" fillId="28" borderId="0" applyNumberFormat="0" applyBorder="0" applyAlignment="0" applyProtection="0"/>
    <xf numFmtId="178" fontId="133" fillId="28" borderId="0" applyNumberFormat="0" applyBorder="0" applyAlignment="0" applyProtection="0"/>
    <xf numFmtId="188" fontId="133" fillId="28" borderId="0" applyNumberFormat="0" applyBorder="0" applyAlignment="0" applyProtection="0"/>
    <xf numFmtId="178" fontId="133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28" borderId="0" applyNumberFormat="0" applyBorder="0" applyAlignment="0" applyProtection="0"/>
    <xf numFmtId="178" fontId="17" fillId="28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0" fontId="132" fillId="77" borderId="0" applyNumberFormat="0" applyBorder="0" applyAlignment="0" applyProtection="0"/>
    <xf numFmtId="188" fontId="132" fillId="77" borderId="0" applyNumberFormat="0" applyBorder="0" applyAlignment="0" applyProtection="0"/>
    <xf numFmtId="188" fontId="17" fillId="32" borderId="0" applyNumberFormat="0" applyBorder="0" applyAlignment="0" applyProtection="0"/>
    <xf numFmtId="188" fontId="132" fillId="77" borderId="0" applyNumberFormat="0" applyBorder="0" applyAlignment="0" applyProtection="0"/>
    <xf numFmtId="188" fontId="133" fillId="32" borderId="0" applyNumberFormat="0" applyBorder="0" applyAlignment="0" applyProtection="0"/>
    <xf numFmtId="178" fontId="133" fillId="32" borderId="0" applyNumberFormat="0" applyBorder="0" applyAlignment="0" applyProtection="0"/>
    <xf numFmtId="178" fontId="132" fillId="77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78" fontId="132" fillId="77" borderId="0" applyNumberFormat="0" applyBorder="0" applyAlignment="0" applyProtection="0"/>
    <xf numFmtId="188" fontId="132" fillId="77" borderId="0" applyNumberFormat="0" applyBorder="0" applyAlignment="0" applyProtection="0"/>
    <xf numFmtId="178" fontId="132" fillId="77" borderId="0" applyNumberFormat="0" applyBorder="0" applyAlignment="0" applyProtection="0"/>
    <xf numFmtId="188" fontId="132" fillId="77" borderId="0" applyNumberFormat="0" applyBorder="0" applyAlignment="0" applyProtection="0"/>
    <xf numFmtId="178" fontId="132" fillId="77" borderId="0" applyNumberFormat="0" applyBorder="0" applyAlignment="0" applyProtection="0"/>
    <xf numFmtId="0" fontId="132" fillId="77" borderId="0" applyNumberFormat="0" applyBorder="0" applyAlignment="0" applyProtection="0"/>
    <xf numFmtId="178" fontId="132" fillId="77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88" fontId="133" fillId="32" borderId="0" applyNumberFormat="0" applyBorder="0" applyAlignment="0" applyProtection="0"/>
    <xf numFmtId="178" fontId="133" fillId="32" borderId="0" applyNumberFormat="0" applyBorder="0" applyAlignment="0" applyProtection="0"/>
    <xf numFmtId="188" fontId="133" fillId="32" borderId="0" applyNumberFormat="0" applyBorder="0" applyAlignment="0" applyProtection="0"/>
    <xf numFmtId="178" fontId="133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88" fontId="133" fillId="32" borderId="0" applyNumberFormat="0" applyBorder="0" applyAlignment="0" applyProtection="0"/>
    <xf numFmtId="178" fontId="133" fillId="32" borderId="0" applyNumberFormat="0" applyBorder="0" applyAlignment="0" applyProtection="0"/>
    <xf numFmtId="188" fontId="133" fillId="32" borderId="0" applyNumberFormat="0" applyBorder="0" applyAlignment="0" applyProtection="0"/>
    <xf numFmtId="178" fontId="133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88" fontId="133" fillId="32" borderId="0" applyNumberFormat="0" applyBorder="0" applyAlignment="0" applyProtection="0"/>
    <xf numFmtId="178" fontId="133" fillId="32" borderId="0" applyNumberFormat="0" applyBorder="0" applyAlignment="0" applyProtection="0"/>
    <xf numFmtId="188" fontId="133" fillId="32" borderId="0" applyNumberFormat="0" applyBorder="0" applyAlignment="0" applyProtection="0"/>
    <xf numFmtId="178" fontId="133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88" fontId="133" fillId="32" borderId="0" applyNumberFormat="0" applyBorder="0" applyAlignment="0" applyProtection="0"/>
    <xf numFmtId="178" fontId="133" fillId="32" borderId="0" applyNumberFormat="0" applyBorder="0" applyAlignment="0" applyProtection="0"/>
    <xf numFmtId="188" fontId="133" fillId="32" borderId="0" applyNumberFormat="0" applyBorder="0" applyAlignment="0" applyProtection="0"/>
    <xf numFmtId="178" fontId="133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88" fontId="133" fillId="32" borderId="0" applyNumberFormat="0" applyBorder="0" applyAlignment="0" applyProtection="0"/>
    <xf numFmtId="178" fontId="133" fillId="32" borderId="0" applyNumberFormat="0" applyBorder="0" applyAlignment="0" applyProtection="0"/>
    <xf numFmtId="188" fontId="133" fillId="32" borderId="0" applyNumberFormat="0" applyBorder="0" applyAlignment="0" applyProtection="0"/>
    <xf numFmtId="178" fontId="133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88" fontId="133" fillId="32" borderId="0" applyNumberFormat="0" applyBorder="0" applyAlignment="0" applyProtection="0"/>
    <xf numFmtId="178" fontId="133" fillId="32" borderId="0" applyNumberFormat="0" applyBorder="0" applyAlignment="0" applyProtection="0"/>
    <xf numFmtId="188" fontId="133" fillId="32" borderId="0" applyNumberFormat="0" applyBorder="0" applyAlignment="0" applyProtection="0"/>
    <xf numFmtId="178" fontId="133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88" fontId="133" fillId="32" borderId="0" applyNumberFormat="0" applyBorder="0" applyAlignment="0" applyProtection="0"/>
    <xf numFmtId="178" fontId="133" fillId="32" borderId="0" applyNumberFormat="0" applyBorder="0" applyAlignment="0" applyProtection="0"/>
    <xf numFmtId="188" fontId="133" fillId="32" borderId="0" applyNumberFormat="0" applyBorder="0" applyAlignment="0" applyProtection="0"/>
    <xf numFmtId="178" fontId="133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188" fontId="17" fillId="32" borderId="0" applyNumberFormat="0" applyBorder="0" applyAlignment="0" applyProtection="0"/>
    <xf numFmtId="178" fontId="17" fillId="32" borderId="0" applyNumberFormat="0" applyBorder="0" applyAlignment="0" applyProtection="0"/>
    <xf numFmtId="0" fontId="132" fillId="74" borderId="0" applyNumberFormat="0" applyBorder="0" applyAlignment="0" applyProtection="0"/>
    <xf numFmtId="178" fontId="132" fillId="74" borderId="0" applyNumberFormat="0" applyBorder="0" applyAlignment="0" applyProtection="0"/>
    <xf numFmtId="178" fontId="132" fillId="74" borderId="0" applyNumberFormat="0" applyBorder="0" applyAlignment="0" applyProtection="0"/>
    <xf numFmtId="0" fontId="132" fillId="71" borderId="0" applyNumberFormat="0" applyBorder="0" applyAlignment="0" applyProtection="0"/>
    <xf numFmtId="178" fontId="132" fillId="71" borderId="0" applyNumberFormat="0" applyBorder="0" applyAlignment="0" applyProtection="0"/>
    <xf numFmtId="178" fontId="132" fillId="71" borderId="0" applyNumberFormat="0" applyBorder="0" applyAlignment="0" applyProtection="0"/>
    <xf numFmtId="0" fontId="132" fillId="72" borderId="0" applyNumberFormat="0" applyBorder="0" applyAlignment="0" applyProtection="0"/>
    <xf numFmtId="178" fontId="132" fillId="72" borderId="0" applyNumberFormat="0" applyBorder="0" applyAlignment="0" applyProtection="0"/>
    <xf numFmtId="178" fontId="132" fillId="72" borderId="0" applyNumberFormat="0" applyBorder="0" applyAlignment="0" applyProtection="0"/>
    <xf numFmtId="0" fontId="132" fillId="75" borderId="0" applyNumberFormat="0" applyBorder="0" applyAlignment="0" applyProtection="0"/>
    <xf numFmtId="178" fontId="132" fillId="75" borderId="0" applyNumberFormat="0" applyBorder="0" applyAlignment="0" applyProtection="0"/>
    <xf numFmtId="178" fontId="132" fillId="75" borderId="0" applyNumberFormat="0" applyBorder="0" applyAlignment="0" applyProtection="0"/>
    <xf numFmtId="0" fontId="132" fillId="76" borderId="0" applyNumberFormat="0" applyBorder="0" applyAlignment="0" applyProtection="0"/>
    <xf numFmtId="178" fontId="132" fillId="76" borderId="0" applyNumberFormat="0" applyBorder="0" applyAlignment="0" applyProtection="0"/>
    <xf numFmtId="178" fontId="132" fillId="76" borderId="0" applyNumberFormat="0" applyBorder="0" applyAlignment="0" applyProtection="0"/>
    <xf numFmtId="0" fontId="132" fillId="77" borderId="0" applyNumberFormat="0" applyBorder="0" applyAlignment="0" applyProtection="0"/>
    <xf numFmtId="178" fontId="132" fillId="77" borderId="0" applyNumberFormat="0" applyBorder="0" applyAlignment="0" applyProtection="0"/>
    <xf numFmtId="178" fontId="132" fillId="77" borderId="0" applyNumberFormat="0" applyBorder="0" applyAlignment="0" applyProtection="0"/>
    <xf numFmtId="0" fontId="132" fillId="74" borderId="0" applyNumberFormat="0" applyBorder="0" applyAlignment="0" applyProtection="0"/>
    <xf numFmtId="0" fontId="132" fillId="74" borderId="0" applyNumberFormat="0" applyBorder="0" applyAlignment="0" applyProtection="0"/>
    <xf numFmtId="178" fontId="132" fillId="74" borderId="0" applyNumberFormat="0" applyBorder="0" applyAlignment="0" applyProtection="0"/>
    <xf numFmtId="178" fontId="132" fillId="74" borderId="0" applyNumberFormat="0" applyBorder="0" applyAlignment="0" applyProtection="0"/>
    <xf numFmtId="0" fontId="132" fillId="71" borderId="0" applyNumberFormat="0" applyBorder="0" applyAlignment="0" applyProtection="0"/>
    <xf numFmtId="0" fontId="132" fillId="71" borderId="0" applyNumberFormat="0" applyBorder="0" applyAlignment="0" applyProtection="0"/>
    <xf numFmtId="178" fontId="132" fillId="71" borderId="0" applyNumberFormat="0" applyBorder="0" applyAlignment="0" applyProtection="0"/>
    <xf numFmtId="178" fontId="132" fillId="71" borderId="0" applyNumberFormat="0" applyBorder="0" applyAlignment="0" applyProtection="0"/>
    <xf numFmtId="0" fontId="132" fillId="72" borderId="0" applyNumberFormat="0" applyBorder="0" applyAlignment="0" applyProtection="0"/>
    <xf numFmtId="0" fontId="132" fillId="72" borderId="0" applyNumberFormat="0" applyBorder="0" applyAlignment="0" applyProtection="0"/>
    <xf numFmtId="178" fontId="132" fillId="72" borderId="0" applyNumberFormat="0" applyBorder="0" applyAlignment="0" applyProtection="0"/>
    <xf numFmtId="178" fontId="132" fillId="72" borderId="0" applyNumberFormat="0" applyBorder="0" applyAlignment="0" applyProtection="0"/>
    <xf numFmtId="0" fontId="132" fillId="75" borderId="0" applyNumberFormat="0" applyBorder="0" applyAlignment="0" applyProtection="0"/>
    <xf numFmtId="0" fontId="132" fillId="75" borderId="0" applyNumberFormat="0" applyBorder="0" applyAlignment="0" applyProtection="0"/>
    <xf numFmtId="178" fontId="132" fillId="75" borderId="0" applyNumberFormat="0" applyBorder="0" applyAlignment="0" applyProtection="0"/>
    <xf numFmtId="178" fontId="132" fillId="75" borderId="0" applyNumberFormat="0" applyBorder="0" applyAlignment="0" applyProtection="0"/>
    <xf numFmtId="0" fontId="132" fillId="76" borderId="0" applyNumberFormat="0" applyBorder="0" applyAlignment="0" applyProtection="0"/>
    <xf numFmtId="0" fontId="132" fillId="76" borderId="0" applyNumberFormat="0" applyBorder="0" applyAlignment="0" applyProtection="0"/>
    <xf numFmtId="178" fontId="132" fillId="76" borderId="0" applyNumberFormat="0" applyBorder="0" applyAlignment="0" applyProtection="0"/>
    <xf numFmtId="178" fontId="132" fillId="76" borderId="0" applyNumberFormat="0" applyBorder="0" applyAlignment="0" applyProtection="0"/>
    <xf numFmtId="0" fontId="132" fillId="77" borderId="0" applyNumberFormat="0" applyBorder="0" applyAlignment="0" applyProtection="0"/>
    <xf numFmtId="0" fontId="132" fillId="77" borderId="0" applyNumberFormat="0" applyBorder="0" applyAlignment="0" applyProtection="0"/>
    <xf numFmtId="178" fontId="132" fillId="77" borderId="0" applyNumberFormat="0" applyBorder="0" applyAlignment="0" applyProtection="0"/>
    <xf numFmtId="178" fontId="132" fillId="77" borderId="0" applyNumberFormat="0" applyBorder="0" applyAlignment="0" applyProtection="0"/>
    <xf numFmtId="37" fontId="134" fillId="0" borderId="0">
      <alignment horizontal="center"/>
    </xf>
    <xf numFmtId="0" fontId="18" fillId="0" borderId="0">
      <alignment horizontal="right"/>
    </xf>
    <xf numFmtId="0" fontId="18" fillId="0" borderId="0">
      <alignment horizontal="right"/>
    </xf>
    <xf numFmtId="0" fontId="18" fillId="0" borderId="0">
      <alignment horizontal="right"/>
    </xf>
    <xf numFmtId="178" fontId="18" fillId="0" borderId="0">
      <alignment horizontal="right"/>
    </xf>
    <xf numFmtId="178" fontId="18" fillId="0" borderId="0">
      <alignment horizontal="right"/>
    </xf>
    <xf numFmtId="0" fontId="135" fillId="0" borderId="0">
      <alignment horizontal="right"/>
    </xf>
    <xf numFmtId="178" fontId="135" fillId="0" borderId="0">
      <alignment horizontal="right"/>
    </xf>
    <xf numFmtId="178" fontId="135" fillId="0" borderId="0">
      <alignment horizontal="right"/>
    </xf>
    <xf numFmtId="219" fontId="18" fillId="0" borderId="0" applyFont="0" applyFill="0" applyBorder="0" applyAlignment="0" applyProtection="0"/>
    <xf numFmtId="211" fontId="18" fillId="0" borderId="0" applyFont="0" applyFill="0" applyBorder="0" applyAlignment="0" applyProtection="0"/>
    <xf numFmtId="219" fontId="18" fillId="0" borderId="0" applyFont="0" applyFill="0" applyBorder="0" applyAlignment="0" applyProtection="0"/>
    <xf numFmtId="211" fontId="18" fillId="0" borderId="0" applyFont="0" applyFill="0" applyBorder="0" applyAlignment="0" applyProtection="0"/>
    <xf numFmtId="220" fontId="136" fillId="33" borderId="0"/>
    <xf numFmtId="0" fontId="18" fillId="78" borderId="0" applyNumberFormat="0" applyBorder="0" applyAlignment="0" applyProtection="0">
      <alignment horizontal="center"/>
    </xf>
    <xf numFmtId="0" fontId="18" fillId="78" borderId="0" applyNumberFormat="0" applyBorder="0" applyAlignment="0" applyProtection="0">
      <alignment horizontal="center"/>
    </xf>
    <xf numFmtId="178" fontId="18" fillId="78" borderId="0" applyNumberFormat="0" applyBorder="0" applyAlignment="0" applyProtection="0">
      <alignment horizontal="center"/>
    </xf>
    <xf numFmtId="178" fontId="18" fillId="78" borderId="0" applyNumberFormat="0" applyBorder="0" applyAlignment="0" applyProtection="0">
      <alignment horizontal="center"/>
    </xf>
    <xf numFmtId="0" fontId="61" fillId="79" borderId="0" applyNumberFormat="0" applyBorder="0" applyAlignment="0" applyProtection="0"/>
    <xf numFmtId="188" fontId="61" fillId="80" borderId="0" applyNumberFormat="0" applyBorder="0" applyAlignment="0" applyProtection="0"/>
    <xf numFmtId="178" fontId="61" fillId="80" borderId="0" applyNumberFormat="0" applyBorder="0" applyAlignment="0" applyProtection="0"/>
    <xf numFmtId="188" fontId="61" fillId="80" borderId="0" applyNumberFormat="0" applyBorder="0" applyAlignment="0" applyProtection="0"/>
    <xf numFmtId="178" fontId="61" fillId="80" borderId="0" applyNumberFormat="0" applyBorder="0" applyAlignment="0" applyProtection="0"/>
    <xf numFmtId="188" fontId="61" fillId="80" borderId="0" applyNumberFormat="0" applyBorder="0" applyAlignment="0" applyProtection="0"/>
    <xf numFmtId="178" fontId="61" fillId="80" borderId="0" applyNumberFormat="0" applyBorder="0" applyAlignment="0" applyProtection="0"/>
    <xf numFmtId="0" fontId="61" fillId="79" borderId="0" applyNumberFormat="0" applyBorder="0" applyAlignment="0" applyProtection="0"/>
    <xf numFmtId="178" fontId="61" fillId="79" borderId="0" applyNumberFormat="0" applyBorder="0" applyAlignment="0" applyProtection="0"/>
    <xf numFmtId="178" fontId="61" fillId="79" borderId="0" applyNumberFormat="0" applyBorder="0" applyAlignment="0" applyProtection="0"/>
    <xf numFmtId="0" fontId="61" fillId="81" borderId="0" applyNumberFormat="0" applyBorder="0" applyAlignment="0" applyProtection="0"/>
    <xf numFmtId="188" fontId="61" fillId="80" borderId="0" applyNumberFormat="0" applyBorder="0" applyAlignment="0" applyProtection="0"/>
    <xf numFmtId="178" fontId="61" fillId="80" borderId="0" applyNumberFormat="0" applyBorder="0" applyAlignment="0" applyProtection="0"/>
    <xf numFmtId="188" fontId="61" fillId="80" borderId="0" applyNumberFormat="0" applyBorder="0" applyAlignment="0" applyProtection="0"/>
    <xf numFmtId="178" fontId="61" fillId="80" borderId="0" applyNumberFormat="0" applyBorder="0" applyAlignment="0" applyProtection="0"/>
    <xf numFmtId="188" fontId="61" fillId="80" borderId="0" applyNumberFormat="0" applyBorder="0" applyAlignment="0" applyProtection="0"/>
    <xf numFmtId="178" fontId="61" fillId="80" borderId="0" applyNumberFormat="0" applyBorder="0" applyAlignment="0" applyProtection="0"/>
    <xf numFmtId="0" fontId="61" fillId="81" borderId="0" applyNumberFormat="0" applyBorder="0" applyAlignment="0" applyProtection="0"/>
    <xf numFmtId="178" fontId="61" fillId="81" borderId="0" applyNumberFormat="0" applyBorder="0" applyAlignment="0" applyProtection="0"/>
    <xf numFmtId="178" fontId="61" fillId="81" borderId="0" applyNumberFormat="0" applyBorder="0" applyAlignment="0" applyProtection="0"/>
    <xf numFmtId="0" fontId="132" fillId="82" borderId="0" applyNumberFormat="0" applyBorder="0" applyAlignment="0" applyProtection="0"/>
    <xf numFmtId="188" fontId="132" fillId="83" borderId="0" applyNumberFormat="0" applyBorder="0" applyAlignment="0" applyProtection="0"/>
    <xf numFmtId="178" fontId="132" fillId="83" borderId="0" applyNumberFormat="0" applyBorder="0" applyAlignment="0" applyProtection="0"/>
    <xf numFmtId="188" fontId="132" fillId="83" borderId="0" applyNumberFormat="0" applyBorder="0" applyAlignment="0" applyProtection="0"/>
    <xf numFmtId="178" fontId="132" fillId="83" borderId="0" applyNumberFormat="0" applyBorder="0" applyAlignment="0" applyProtection="0"/>
    <xf numFmtId="188" fontId="132" fillId="83" borderId="0" applyNumberFormat="0" applyBorder="0" applyAlignment="0" applyProtection="0"/>
    <xf numFmtId="178" fontId="132" fillId="83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7" fillId="9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7" fillId="9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7" fillId="9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7" fillId="9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7" fillId="9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7" fillId="9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7" fillId="9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7" fillId="9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7" fillId="9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7" fillId="9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7" fillId="9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7" fillId="9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7" fillId="9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7" fillId="9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7" fillId="9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7" fillId="9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7" fillId="9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7" fillId="9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7" fillId="9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7" fillId="9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7" fillId="9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7" fillId="9" borderId="0" applyNumberFormat="0" applyBorder="0" applyAlignment="0" applyProtection="0"/>
    <xf numFmtId="188" fontId="17" fillId="9" borderId="0" applyNumberFormat="0" applyBorder="0" applyAlignment="0" applyProtection="0"/>
    <xf numFmtId="178" fontId="17" fillId="9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188" fontId="17" fillId="9" borderId="0" applyNumberFormat="0" applyBorder="0" applyAlignment="0" applyProtection="0"/>
    <xf numFmtId="178" fontId="17" fillId="9" borderId="0" applyNumberFormat="0" applyBorder="0" applyAlignment="0" applyProtection="0"/>
    <xf numFmtId="188" fontId="17" fillId="9" borderId="0" applyNumberFormat="0" applyBorder="0" applyAlignment="0" applyProtection="0"/>
    <xf numFmtId="178" fontId="17" fillId="9" borderId="0" applyNumberFormat="0" applyBorder="0" applyAlignment="0" applyProtection="0"/>
    <xf numFmtId="188" fontId="17" fillId="9" borderId="0" applyNumberFormat="0" applyBorder="0" applyAlignment="0" applyProtection="0"/>
    <xf numFmtId="178" fontId="17" fillId="9" borderId="0" applyNumberFormat="0" applyBorder="0" applyAlignment="0" applyProtection="0"/>
    <xf numFmtId="188" fontId="17" fillId="9" borderId="0" applyNumberFormat="0" applyBorder="0" applyAlignment="0" applyProtection="0"/>
    <xf numFmtId="178" fontId="17" fillId="9" borderId="0" applyNumberFormat="0" applyBorder="0" applyAlignment="0" applyProtection="0"/>
    <xf numFmtId="188" fontId="17" fillId="9" borderId="0" applyNumberFormat="0" applyBorder="0" applyAlignment="0" applyProtection="0"/>
    <xf numFmtId="178" fontId="17" fillId="9" borderId="0" applyNumberFormat="0" applyBorder="0" applyAlignment="0" applyProtection="0"/>
    <xf numFmtId="188" fontId="17" fillId="9" borderId="0" applyNumberFormat="0" applyBorder="0" applyAlignment="0" applyProtection="0"/>
    <xf numFmtId="178" fontId="17" fillId="9" borderId="0" applyNumberFormat="0" applyBorder="0" applyAlignment="0" applyProtection="0"/>
    <xf numFmtId="188" fontId="17" fillId="9" borderId="0" applyNumberFormat="0" applyBorder="0" applyAlignment="0" applyProtection="0"/>
    <xf numFmtId="178" fontId="17" fillId="9" borderId="0" applyNumberFormat="0" applyBorder="0" applyAlignment="0" applyProtection="0"/>
    <xf numFmtId="188" fontId="17" fillId="9" borderId="0" applyNumberFormat="0" applyBorder="0" applyAlignment="0" applyProtection="0"/>
    <xf numFmtId="178" fontId="17" fillId="9" borderId="0" applyNumberFormat="0" applyBorder="0" applyAlignment="0" applyProtection="0"/>
    <xf numFmtId="188" fontId="17" fillId="9" borderId="0" applyNumberFormat="0" applyBorder="0" applyAlignment="0" applyProtection="0"/>
    <xf numFmtId="178" fontId="17" fillId="9" borderId="0" applyNumberFormat="0" applyBorder="0" applyAlignment="0" applyProtection="0"/>
    <xf numFmtId="188" fontId="17" fillId="9" borderId="0" applyNumberFormat="0" applyBorder="0" applyAlignment="0" applyProtection="0"/>
    <xf numFmtId="178" fontId="17" fillId="9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188" fontId="17" fillId="9" borderId="0" applyNumberFormat="0" applyBorder="0" applyAlignment="0" applyProtection="0"/>
    <xf numFmtId="178" fontId="17" fillId="9" borderId="0" applyNumberFormat="0" applyBorder="0" applyAlignment="0" applyProtection="0"/>
    <xf numFmtId="188" fontId="17" fillId="9" borderId="0" applyNumberFormat="0" applyBorder="0" applyAlignment="0" applyProtection="0"/>
    <xf numFmtId="178" fontId="17" fillId="9" borderId="0" applyNumberFormat="0" applyBorder="0" applyAlignment="0" applyProtection="0"/>
    <xf numFmtId="188" fontId="17" fillId="9" borderId="0" applyNumberFormat="0" applyBorder="0" applyAlignment="0" applyProtection="0"/>
    <xf numFmtId="178" fontId="17" fillId="9" borderId="0" applyNumberFormat="0" applyBorder="0" applyAlignment="0" applyProtection="0"/>
    <xf numFmtId="188" fontId="17" fillId="9" borderId="0" applyNumberFormat="0" applyBorder="0" applyAlignment="0" applyProtection="0"/>
    <xf numFmtId="178" fontId="17" fillId="9" borderId="0" applyNumberFormat="0" applyBorder="0" applyAlignment="0" applyProtection="0"/>
    <xf numFmtId="188" fontId="17" fillId="9" borderId="0" applyNumberFormat="0" applyBorder="0" applyAlignment="0" applyProtection="0"/>
    <xf numFmtId="178" fontId="17" fillId="9" borderId="0" applyNumberFormat="0" applyBorder="0" applyAlignment="0" applyProtection="0"/>
    <xf numFmtId="188" fontId="17" fillId="9" borderId="0" applyNumberFormat="0" applyBorder="0" applyAlignment="0" applyProtection="0"/>
    <xf numFmtId="178" fontId="17" fillId="9" borderId="0" applyNumberFormat="0" applyBorder="0" applyAlignment="0" applyProtection="0"/>
    <xf numFmtId="188" fontId="17" fillId="9" borderId="0" applyNumberFormat="0" applyBorder="0" applyAlignment="0" applyProtection="0"/>
    <xf numFmtId="178" fontId="17" fillId="9" borderId="0" applyNumberFormat="0" applyBorder="0" applyAlignment="0" applyProtection="0"/>
    <xf numFmtId="188" fontId="17" fillId="9" borderId="0" applyNumberFormat="0" applyBorder="0" applyAlignment="0" applyProtection="0"/>
    <xf numFmtId="178" fontId="17" fillId="9" borderId="0" applyNumberFormat="0" applyBorder="0" applyAlignment="0" applyProtection="0"/>
    <xf numFmtId="188" fontId="17" fillId="9" borderId="0" applyNumberFormat="0" applyBorder="0" applyAlignment="0" applyProtection="0"/>
    <xf numFmtId="178" fontId="17" fillId="9" borderId="0" applyNumberFormat="0" applyBorder="0" applyAlignment="0" applyProtection="0"/>
    <xf numFmtId="188" fontId="17" fillId="9" borderId="0" applyNumberFormat="0" applyBorder="0" applyAlignment="0" applyProtection="0"/>
    <xf numFmtId="178" fontId="17" fillId="9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188" fontId="17" fillId="9" borderId="0" applyNumberFormat="0" applyBorder="0" applyAlignment="0" applyProtection="0"/>
    <xf numFmtId="178" fontId="17" fillId="9" borderId="0" applyNumberFormat="0" applyBorder="0" applyAlignment="0" applyProtection="0"/>
    <xf numFmtId="188" fontId="17" fillId="9" borderId="0" applyNumberFormat="0" applyBorder="0" applyAlignment="0" applyProtection="0"/>
    <xf numFmtId="178" fontId="17" fillId="9" borderId="0" applyNumberFormat="0" applyBorder="0" applyAlignment="0" applyProtection="0"/>
    <xf numFmtId="188" fontId="17" fillId="9" borderId="0" applyNumberFormat="0" applyBorder="0" applyAlignment="0" applyProtection="0"/>
    <xf numFmtId="178" fontId="17" fillId="9" borderId="0" applyNumberFormat="0" applyBorder="0" applyAlignment="0" applyProtection="0"/>
    <xf numFmtId="188" fontId="17" fillId="9" borderId="0" applyNumberFormat="0" applyBorder="0" applyAlignment="0" applyProtection="0"/>
    <xf numFmtId="178" fontId="17" fillId="9" borderId="0" applyNumberFormat="0" applyBorder="0" applyAlignment="0" applyProtection="0"/>
    <xf numFmtId="188" fontId="17" fillId="9" borderId="0" applyNumberFormat="0" applyBorder="0" applyAlignment="0" applyProtection="0"/>
    <xf numFmtId="178" fontId="17" fillId="9" borderId="0" applyNumberFormat="0" applyBorder="0" applyAlignment="0" applyProtection="0"/>
    <xf numFmtId="188" fontId="17" fillId="9" borderId="0" applyNumberFormat="0" applyBorder="0" applyAlignment="0" applyProtection="0"/>
    <xf numFmtId="178" fontId="17" fillId="9" borderId="0" applyNumberFormat="0" applyBorder="0" applyAlignment="0" applyProtection="0"/>
    <xf numFmtId="188" fontId="17" fillId="9" borderId="0" applyNumberFormat="0" applyBorder="0" applyAlignment="0" applyProtection="0"/>
    <xf numFmtId="178" fontId="17" fillId="9" borderId="0" applyNumberFormat="0" applyBorder="0" applyAlignment="0" applyProtection="0"/>
    <xf numFmtId="188" fontId="17" fillId="9" borderId="0" applyNumberFormat="0" applyBorder="0" applyAlignment="0" applyProtection="0"/>
    <xf numFmtId="178" fontId="17" fillId="9" borderId="0" applyNumberFormat="0" applyBorder="0" applyAlignment="0" applyProtection="0"/>
    <xf numFmtId="188" fontId="17" fillId="9" borderId="0" applyNumberFormat="0" applyBorder="0" applyAlignment="0" applyProtection="0"/>
    <xf numFmtId="178" fontId="17" fillId="9" borderId="0" applyNumberFormat="0" applyBorder="0" applyAlignment="0" applyProtection="0"/>
    <xf numFmtId="188" fontId="17" fillId="9" borderId="0" applyNumberFormat="0" applyBorder="0" applyAlignment="0" applyProtection="0"/>
    <xf numFmtId="178" fontId="17" fillId="9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188" fontId="17" fillId="9" borderId="0" applyNumberFormat="0" applyBorder="0" applyAlignment="0" applyProtection="0"/>
    <xf numFmtId="178" fontId="17" fillId="9" borderId="0" applyNumberFormat="0" applyBorder="0" applyAlignment="0" applyProtection="0"/>
    <xf numFmtId="188" fontId="17" fillId="9" borderId="0" applyNumberFormat="0" applyBorder="0" applyAlignment="0" applyProtection="0"/>
    <xf numFmtId="178" fontId="17" fillId="9" borderId="0" applyNumberFormat="0" applyBorder="0" applyAlignment="0" applyProtection="0"/>
    <xf numFmtId="188" fontId="17" fillId="9" borderId="0" applyNumberFormat="0" applyBorder="0" applyAlignment="0" applyProtection="0"/>
    <xf numFmtId="178" fontId="17" fillId="9" borderId="0" applyNumberFormat="0" applyBorder="0" applyAlignment="0" applyProtection="0"/>
    <xf numFmtId="188" fontId="17" fillId="9" borderId="0" applyNumberFormat="0" applyBorder="0" applyAlignment="0" applyProtection="0"/>
    <xf numFmtId="178" fontId="17" fillId="9" borderId="0" applyNumberFormat="0" applyBorder="0" applyAlignment="0" applyProtection="0"/>
    <xf numFmtId="188" fontId="17" fillId="9" borderId="0" applyNumberFormat="0" applyBorder="0" applyAlignment="0" applyProtection="0"/>
    <xf numFmtId="178" fontId="17" fillId="9" borderId="0" applyNumberFormat="0" applyBorder="0" applyAlignment="0" applyProtection="0"/>
    <xf numFmtId="188" fontId="17" fillId="9" borderId="0" applyNumberFormat="0" applyBorder="0" applyAlignment="0" applyProtection="0"/>
    <xf numFmtId="178" fontId="17" fillId="9" borderId="0" applyNumberFormat="0" applyBorder="0" applyAlignment="0" applyProtection="0"/>
    <xf numFmtId="188" fontId="17" fillId="9" borderId="0" applyNumberFormat="0" applyBorder="0" applyAlignment="0" applyProtection="0"/>
    <xf numFmtId="178" fontId="17" fillId="9" borderId="0" applyNumberFormat="0" applyBorder="0" applyAlignment="0" applyProtection="0"/>
    <xf numFmtId="188" fontId="17" fillId="9" borderId="0" applyNumberFormat="0" applyBorder="0" applyAlignment="0" applyProtection="0"/>
    <xf numFmtId="178" fontId="17" fillId="9" borderId="0" applyNumberFormat="0" applyBorder="0" applyAlignment="0" applyProtection="0"/>
    <xf numFmtId="188" fontId="17" fillId="9" borderId="0" applyNumberFormat="0" applyBorder="0" applyAlignment="0" applyProtection="0"/>
    <xf numFmtId="178" fontId="17" fillId="9" borderId="0" applyNumberFormat="0" applyBorder="0" applyAlignment="0" applyProtection="0"/>
    <xf numFmtId="0" fontId="132" fillId="84" borderId="0" applyNumberFormat="0" applyBorder="0" applyAlignment="0" applyProtection="0"/>
    <xf numFmtId="188" fontId="132" fillId="85" borderId="0" applyNumberFormat="0" applyBorder="0" applyAlignment="0" applyProtection="0"/>
    <xf numFmtId="188" fontId="17" fillId="9" borderId="0" applyNumberFormat="0" applyBorder="0" applyAlignment="0" applyProtection="0"/>
    <xf numFmtId="188" fontId="132" fillId="85" borderId="0" applyNumberFormat="0" applyBorder="0" applyAlignment="0" applyProtection="0"/>
    <xf numFmtId="188" fontId="133" fillId="9" borderId="0" applyNumberFormat="0" applyBorder="0" applyAlignment="0" applyProtection="0"/>
    <xf numFmtId="178" fontId="133" fillId="9" borderId="0" applyNumberFormat="0" applyBorder="0" applyAlignment="0" applyProtection="0"/>
    <xf numFmtId="178" fontId="132" fillId="85" borderId="0" applyNumberFormat="0" applyBorder="0" applyAlignment="0" applyProtection="0"/>
    <xf numFmtId="178" fontId="17" fillId="9" borderId="0" applyNumberFormat="0" applyBorder="0" applyAlignment="0" applyProtection="0"/>
    <xf numFmtId="188" fontId="17" fillId="9" borderId="0" applyNumberFormat="0" applyBorder="0" applyAlignment="0" applyProtection="0"/>
    <xf numFmtId="178" fontId="17" fillId="9" borderId="0" applyNumberFormat="0" applyBorder="0" applyAlignment="0" applyProtection="0"/>
    <xf numFmtId="188" fontId="17" fillId="9" borderId="0" applyNumberFormat="0" applyBorder="0" applyAlignment="0" applyProtection="0"/>
    <xf numFmtId="178" fontId="17" fillId="9" borderId="0" applyNumberFormat="0" applyBorder="0" applyAlignment="0" applyProtection="0"/>
    <xf numFmtId="178" fontId="132" fillId="85" borderId="0" applyNumberFormat="0" applyBorder="0" applyAlignment="0" applyProtection="0"/>
    <xf numFmtId="188" fontId="132" fillId="85" borderId="0" applyNumberFormat="0" applyBorder="0" applyAlignment="0" applyProtection="0"/>
    <xf numFmtId="178" fontId="132" fillId="85" borderId="0" applyNumberFormat="0" applyBorder="0" applyAlignment="0" applyProtection="0"/>
    <xf numFmtId="188" fontId="132" fillId="85" borderId="0" applyNumberFormat="0" applyBorder="0" applyAlignment="0" applyProtection="0"/>
    <xf numFmtId="178" fontId="132" fillId="85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188" fontId="133" fillId="9" borderId="0" applyNumberFormat="0" applyBorder="0" applyAlignment="0" applyProtection="0"/>
    <xf numFmtId="178" fontId="133" fillId="9" borderId="0" applyNumberFormat="0" applyBorder="0" applyAlignment="0" applyProtection="0"/>
    <xf numFmtId="188" fontId="133" fillId="9" borderId="0" applyNumberFormat="0" applyBorder="0" applyAlignment="0" applyProtection="0"/>
    <xf numFmtId="178" fontId="133" fillId="9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188" fontId="133" fillId="9" borderId="0" applyNumberFormat="0" applyBorder="0" applyAlignment="0" applyProtection="0"/>
    <xf numFmtId="178" fontId="133" fillId="9" borderId="0" applyNumberFormat="0" applyBorder="0" applyAlignment="0" applyProtection="0"/>
    <xf numFmtId="188" fontId="133" fillId="9" borderId="0" applyNumberFormat="0" applyBorder="0" applyAlignment="0" applyProtection="0"/>
    <xf numFmtId="178" fontId="133" fillId="9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188" fontId="133" fillId="9" borderId="0" applyNumberFormat="0" applyBorder="0" applyAlignment="0" applyProtection="0"/>
    <xf numFmtId="178" fontId="133" fillId="9" borderId="0" applyNumberFormat="0" applyBorder="0" applyAlignment="0" applyProtection="0"/>
    <xf numFmtId="188" fontId="133" fillId="9" borderId="0" applyNumberFormat="0" applyBorder="0" applyAlignment="0" applyProtection="0"/>
    <xf numFmtId="178" fontId="133" fillId="9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188" fontId="17" fillId="9" borderId="0" applyNumberFormat="0" applyBorder="0" applyAlignment="0" applyProtection="0"/>
    <xf numFmtId="178" fontId="17" fillId="9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188" fontId="133" fillId="9" borderId="0" applyNumberFormat="0" applyBorder="0" applyAlignment="0" applyProtection="0"/>
    <xf numFmtId="178" fontId="133" fillId="9" borderId="0" applyNumberFormat="0" applyBorder="0" applyAlignment="0" applyProtection="0"/>
    <xf numFmtId="188" fontId="133" fillId="9" borderId="0" applyNumberFormat="0" applyBorder="0" applyAlignment="0" applyProtection="0"/>
    <xf numFmtId="178" fontId="133" fillId="9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188" fontId="133" fillId="9" borderId="0" applyNumberFormat="0" applyBorder="0" applyAlignment="0" applyProtection="0"/>
    <xf numFmtId="178" fontId="133" fillId="9" borderId="0" applyNumberFormat="0" applyBorder="0" applyAlignment="0" applyProtection="0"/>
    <xf numFmtId="188" fontId="133" fillId="9" borderId="0" applyNumberFormat="0" applyBorder="0" applyAlignment="0" applyProtection="0"/>
    <xf numFmtId="178" fontId="133" fillId="9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188" fontId="133" fillId="9" borderId="0" applyNumberFormat="0" applyBorder="0" applyAlignment="0" applyProtection="0"/>
    <xf numFmtId="178" fontId="133" fillId="9" borderId="0" applyNumberFormat="0" applyBorder="0" applyAlignment="0" applyProtection="0"/>
    <xf numFmtId="188" fontId="133" fillId="9" borderId="0" applyNumberFormat="0" applyBorder="0" applyAlignment="0" applyProtection="0"/>
    <xf numFmtId="178" fontId="133" fillId="9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188" fontId="133" fillId="9" borderId="0" applyNumberFormat="0" applyBorder="0" applyAlignment="0" applyProtection="0"/>
    <xf numFmtId="178" fontId="133" fillId="9" borderId="0" applyNumberFormat="0" applyBorder="0" applyAlignment="0" applyProtection="0"/>
    <xf numFmtId="188" fontId="133" fillId="9" borderId="0" applyNumberFormat="0" applyBorder="0" applyAlignment="0" applyProtection="0"/>
    <xf numFmtId="178" fontId="133" fillId="9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132" fillId="84" borderId="0" applyNumberFormat="0" applyBorder="0" applyAlignment="0" applyProtection="0"/>
    <xf numFmtId="0" fontId="132" fillId="84" borderId="0" applyNumberFormat="0" applyBorder="0" applyAlignment="0" applyProtection="0"/>
    <xf numFmtId="178" fontId="132" fillId="84" borderId="0" applyNumberFormat="0" applyBorder="0" applyAlignment="0" applyProtection="0"/>
    <xf numFmtId="178" fontId="132" fillId="84" borderId="0" applyNumberFormat="0" applyBorder="0" applyAlignment="0" applyProtection="0"/>
    <xf numFmtId="0" fontId="61" fillId="80" borderId="0" applyNumberFormat="0" applyBorder="0" applyAlignment="0" applyProtection="0"/>
    <xf numFmtId="188" fontId="61" fillId="86" borderId="0" applyNumberFormat="0" applyBorder="0" applyAlignment="0" applyProtection="0"/>
    <xf numFmtId="178" fontId="61" fillId="86" borderId="0" applyNumberFormat="0" applyBorder="0" applyAlignment="0" applyProtection="0"/>
    <xf numFmtId="188" fontId="61" fillId="86" borderId="0" applyNumberFormat="0" applyBorder="0" applyAlignment="0" applyProtection="0"/>
    <xf numFmtId="178" fontId="61" fillId="86" borderId="0" applyNumberFormat="0" applyBorder="0" applyAlignment="0" applyProtection="0"/>
    <xf numFmtId="188" fontId="61" fillId="86" borderId="0" applyNumberFormat="0" applyBorder="0" applyAlignment="0" applyProtection="0"/>
    <xf numFmtId="178" fontId="61" fillId="86" borderId="0" applyNumberFormat="0" applyBorder="0" applyAlignment="0" applyProtection="0"/>
    <xf numFmtId="0" fontId="61" fillId="80" borderId="0" applyNumberFormat="0" applyBorder="0" applyAlignment="0" applyProtection="0"/>
    <xf numFmtId="178" fontId="61" fillId="80" borderId="0" applyNumberFormat="0" applyBorder="0" applyAlignment="0" applyProtection="0"/>
    <xf numFmtId="178" fontId="61" fillId="80" borderId="0" applyNumberFormat="0" applyBorder="0" applyAlignment="0" applyProtection="0"/>
    <xf numFmtId="0" fontId="61" fillId="87" borderId="0" applyNumberFormat="0" applyBorder="0" applyAlignment="0" applyProtection="0"/>
    <xf numFmtId="188" fontId="61" fillId="81" borderId="0" applyNumberFormat="0" applyBorder="0" applyAlignment="0" applyProtection="0"/>
    <xf numFmtId="178" fontId="61" fillId="81" borderId="0" applyNumberFormat="0" applyBorder="0" applyAlignment="0" applyProtection="0"/>
    <xf numFmtId="188" fontId="61" fillId="81" borderId="0" applyNumberFormat="0" applyBorder="0" applyAlignment="0" applyProtection="0"/>
    <xf numFmtId="178" fontId="61" fillId="81" borderId="0" applyNumberFormat="0" applyBorder="0" applyAlignment="0" applyProtection="0"/>
    <xf numFmtId="188" fontId="61" fillId="81" borderId="0" applyNumberFormat="0" applyBorder="0" applyAlignment="0" applyProtection="0"/>
    <xf numFmtId="178" fontId="61" fillId="81" borderId="0" applyNumberFormat="0" applyBorder="0" applyAlignment="0" applyProtection="0"/>
    <xf numFmtId="0" fontId="61" fillId="87" borderId="0" applyNumberFormat="0" applyBorder="0" applyAlignment="0" applyProtection="0"/>
    <xf numFmtId="178" fontId="61" fillId="87" borderId="0" applyNumberFormat="0" applyBorder="0" applyAlignment="0" applyProtection="0"/>
    <xf numFmtId="178" fontId="61" fillId="87" borderId="0" applyNumberFormat="0" applyBorder="0" applyAlignment="0" applyProtection="0"/>
    <xf numFmtId="0" fontId="132" fillId="88" borderId="0" applyNumberFormat="0" applyBorder="0" applyAlignment="0" applyProtection="0"/>
    <xf numFmtId="188" fontId="132" fillId="89" borderId="0" applyNumberFormat="0" applyBorder="0" applyAlignment="0" applyProtection="0"/>
    <xf numFmtId="178" fontId="132" fillId="89" borderId="0" applyNumberFormat="0" applyBorder="0" applyAlignment="0" applyProtection="0"/>
    <xf numFmtId="188" fontId="132" fillId="89" borderId="0" applyNumberFormat="0" applyBorder="0" applyAlignment="0" applyProtection="0"/>
    <xf numFmtId="178" fontId="132" fillId="89" borderId="0" applyNumberFormat="0" applyBorder="0" applyAlignment="0" applyProtection="0"/>
    <xf numFmtId="188" fontId="132" fillId="89" borderId="0" applyNumberFormat="0" applyBorder="0" applyAlignment="0" applyProtection="0"/>
    <xf numFmtId="178" fontId="132" fillId="89" borderId="0" applyNumberFormat="0" applyBorder="0" applyAlignment="0" applyProtection="0"/>
    <xf numFmtId="0" fontId="132" fillId="88" borderId="0" applyNumberFormat="0" applyBorder="0" applyAlignment="0" applyProtection="0"/>
    <xf numFmtId="178" fontId="132" fillId="88" borderId="0" applyNumberFormat="0" applyBorder="0" applyAlignment="0" applyProtection="0"/>
    <xf numFmtId="178" fontId="132" fillId="88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7" fillId="13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7" fillId="13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7" fillId="13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7" fillId="13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7" fillId="13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7" fillId="13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7" fillId="13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7" fillId="13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7" fillId="13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7" fillId="13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7" fillId="13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7" fillId="13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7" fillId="13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7" fillId="13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7" fillId="13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7" fillId="13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7" fillId="13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7" fillId="13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7" fillId="13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7" fillId="13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7" fillId="13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7" fillId="13" borderId="0" applyNumberFormat="0" applyBorder="0" applyAlignment="0" applyProtection="0"/>
    <xf numFmtId="188" fontId="17" fillId="13" borderId="0" applyNumberFormat="0" applyBorder="0" applyAlignment="0" applyProtection="0"/>
    <xf numFmtId="178" fontId="17" fillId="13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188" fontId="17" fillId="13" borderId="0" applyNumberFormat="0" applyBorder="0" applyAlignment="0" applyProtection="0"/>
    <xf numFmtId="178" fontId="17" fillId="13" borderId="0" applyNumberFormat="0" applyBorder="0" applyAlignment="0" applyProtection="0"/>
    <xf numFmtId="188" fontId="17" fillId="13" borderId="0" applyNumberFormat="0" applyBorder="0" applyAlignment="0" applyProtection="0"/>
    <xf numFmtId="178" fontId="17" fillId="13" borderId="0" applyNumberFormat="0" applyBorder="0" applyAlignment="0" applyProtection="0"/>
    <xf numFmtId="188" fontId="17" fillId="13" borderId="0" applyNumberFormat="0" applyBorder="0" applyAlignment="0" applyProtection="0"/>
    <xf numFmtId="178" fontId="17" fillId="13" borderId="0" applyNumberFormat="0" applyBorder="0" applyAlignment="0" applyProtection="0"/>
    <xf numFmtId="188" fontId="17" fillId="13" borderId="0" applyNumberFormat="0" applyBorder="0" applyAlignment="0" applyProtection="0"/>
    <xf numFmtId="178" fontId="17" fillId="13" borderId="0" applyNumberFormat="0" applyBorder="0" applyAlignment="0" applyProtection="0"/>
    <xf numFmtId="188" fontId="17" fillId="13" borderId="0" applyNumberFormat="0" applyBorder="0" applyAlignment="0" applyProtection="0"/>
    <xf numFmtId="178" fontId="17" fillId="13" borderId="0" applyNumberFormat="0" applyBorder="0" applyAlignment="0" applyProtection="0"/>
    <xf numFmtId="188" fontId="17" fillId="13" borderId="0" applyNumberFormat="0" applyBorder="0" applyAlignment="0" applyProtection="0"/>
    <xf numFmtId="178" fontId="17" fillId="13" borderId="0" applyNumberFormat="0" applyBorder="0" applyAlignment="0" applyProtection="0"/>
    <xf numFmtId="188" fontId="17" fillId="13" borderId="0" applyNumberFormat="0" applyBorder="0" applyAlignment="0" applyProtection="0"/>
    <xf numFmtId="178" fontId="17" fillId="13" borderId="0" applyNumberFormat="0" applyBorder="0" applyAlignment="0" applyProtection="0"/>
    <xf numFmtId="188" fontId="17" fillId="13" borderId="0" applyNumberFormat="0" applyBorder="0" applyAlignment="0" applyProtection="0"/>
    <xf numFmtId="178" fontId="17" fillId="13" borderId="0" applyNumberFormat="0" applyBorder="0" applyAlignment="0" applyProtection="0"/>
    <xf numFmtId="188" fontId="17" fillId="13" borderId="0" applyNumberFormat="0" applyBorder="0" applyAlignment="0" applyProtection="0"/>
    <xf numFmtId="178" fontId="17" fillId="13" borderId="0" applyNumberFormat="0" applyBorder="0" applyAlignment="0" applyProtection="0"/>
    <xf numFmtId="188" fontId="17" fillId="13" borderId="0" applyNumberFormat="0" applyBorder="0" applyAlignment="0" applyProtection="0"/>
    <xf numFmtId="178" fontId="17" fillId="13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188" fontId="17" fillId="13" borderId="0" applyNumberFormat="0" applyBorder="0" applyAlignment="0" applyProtection="0"/>
    <xf numFmtId="178" fontId="17" fillId="13" borderId="0" applyNumberFormat="0" applyBorder="0" applyAlignment="0" applyProtection="0"/>
    <xf numFmtId="188" fontId="17" fillId="13" borderId="0" applyNumberFormat="0" applyBorder="0" applyAlignment="0" applyProtection="0"/>
    <xf numFmtId="178" fontId="17" fillId="13" borderId="0" applyNumberFormat="0" applyBorder="0" applyAlignment="0" applyProtection="0"/>
    <xf numFmtId="188" fontId="17" fillId="13" borderId="0" applyNumberFormat="0" applyBorder="0" applyAlignment="0" applyProtection="0"/>
    <xf numFmtId="178" fontId="17" fillId="13" borderId="0" applyNumberFormat="0" applyBorder="0" applyAlignment="0" applyProtection="0"/>
    <xf numFmtId="188" fontId="17" fillId="13" borderId="0" applyNumberFormat="0" applyBorder="0" applyAlignment="0" applyProtection="0"/>
    <xf numFmtId="178" fontId="17" fillId="13" borderId="0" applyNumberFormat="0" applyBorder="0" applyAlignment="0" applyProtection="0"/>
    <xf numFmtId="188" fontId="17" fillId="13" borderId="0" applyNumberFormat="0" applyBorder="0" applyAlignment="0" applyProtection="0"/>
    <xf numFmtId="178" fontId="17" fillId="13" borderId="0" applyNumberFormat="0" applyBorder="0" applyAlignment="0" applyProtection="0"/>
    <xf numFmtId="188" fontId="17" fillId="13" borderId="0" applyNumberFormat="0" applyBorder="0" applyAlignment="0" applyProtection="0"/>
    <xf numFmtId="178" fontId="17" fillId="13" borderId="0" applyNumberFormat="0" applyBorder="0" applyAlignment="0" applyProtection="0"/>
    <xf numFmtId="188" fontId="17" fillId="13" borderId="0" applyNumberFormat="0" applyBorder="0" applyAlignment="0" applyProtection="0"/>
    <xf numFmtId="178" fontId="17" fillId="13" borderId="0" applyNumberFormat="0" applyBorder="0" applyAlignment="0" applyProtection="0"/>
    <xf numFmtId="188" fontId="17" fillId="13" borderId="0" applyNumberFormat="0" applyBorder="0" applyAlignment="0" applyProtection="0"/>
    <xf numFmtId="178" fontId="17" fillId="13" borderId="0" applyNumberFormat="0" applyBorder="0" applyAlignment="0" applyProtection="0"/>
    <xf numFmtId="188" fontId="17" fillId="13" borderId="0" applyNumberFormat="0" applyBorder="0" applyAlignment="0" applyProtection="0"/>
    <xf numFmtId="178" fontId="17" fillId="13" borderId="0" applyNumberFormat="0" applyBorder="0" applyAlignment="0" applyProtection="0"/>
    <xf numFmtId="188" fontId="17" fillId="13" borderId="0" applyNumberFormat="0" applyBorder="0" applyAlignment="0" applyProtection="0"/>
    <xf numFmtId="178" fontId="17" fillId="13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188" fontId="17" fillId="13" borderId="0" applyNumberFormat="0" applyBorder="0" applyAlignment="0" applyProtection="0"/>
    <xf numFmtId="178" fontId="17" fillId="13" borderId="0" applyNumberFormat="0" applyBorder="0" applyAlignment="0" applyProtection="0"/>
    <xf numFmtId="188" fontId="17" fillId="13" borderId="0" applyNumberFormat="0" applyBorder="0" applyAlignment="0" applyProtection="0"/>
    <xf numFmtId="178" fontId="17" fillId="13" borderId="0" applyNumberFormat="0" applyBorder="0" applyAlignment="0" applyProtection="0"/>
    <xf numFmtId="188" fontId="17" fillId="13" borderId="0" applyNumberFormat="0" applyBorder="0" applyAlignment="0" applyProtection="0"/>
    <xf numFmtId="178" fontId="17" fillId="13" borderId="0" applyNumberFormat="0" applyBorder="0" applyAlignment="0" applyProtection="0"/>
    <xf numFmtId="188" fontId="17" fillId="13" borderId="0" applyNumberFormat="0" applyBorder="0" applyAlignment="0" applyProtection="0"/>
    <xf numFmtId="178" fontId="17" fillId="13" borderId="0" applyNumberFormat="0" applyBorder="0" applyAlignment="0" applyProtection="0"/>
    <xf numFmtId="188" fontId="17" fillId="13" borderId="0" applyNumberFormat="0" applyBorder="0" applyAlignment="0" applyProtection="0"/>
    <xf numFmtId="178" fontId="17" fillId="13" borderId="0" applyNumberFormat="0" applyBorder="0" applyAlignment="0" applyProtection="0"/>
    <xf numFmtId="188" fontId="17" fillId="13" borderId="0" applyNumberFormat="0" applyBorder="0" applyAlignment="0" applyProtection="0"/>
    <xf numFmtId="178" fontId="17" fillId="13" borderId="0" applyNumberFormat="0" applyBorder="0" applyAlignment="0" applyProtection="0"/>
    <xf numFmtId="188" fontId="17" fillId="13" borderId="0" applyNumberFormat="0" applyBorder="0" applyAlignment="0" applyProtection="0"/>
    <xf numFmtId="178" fontId="17" fillId="13" borderId="0" applyNumberFormat="0" applyBorder="0" applyAlignment="0" applyProtection="0"/>
    <xf numFmtId="188" fontId="17" fillId="13" borderId="0" applyNumberFormat="0" applyBorder="0" applyAlignment="0" applyProtection="0"/>
    <xf numFmtId="178" fontId="17" fillId="13" borderId="0" applyNumberFormat="0" applyBorder="0" applyAlignment="0" applyProtection="0"/>
    <xf numFmtId="188" fontId="17" fillId="13" borderId="0" applyNumberFormat="0" applyBorder="0" applyAlignment="0" applyProtection="0"/>
    <xf numFmtId="178" fontId="17" fillId="13" borderId="0" applyNumberFormat="0" applyBorder="0" applyAlignment="0" applyProtection="0"/>
    <xf numFmtId="188" fontId="17" fillId="13" borderId="0" applyNumberFormat="0" applyBorder="0" applyAlignment="0" applyProtection="0"/>
    <xf numFmtId="178" fontId="17" fillId="13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188" fontId="17" fillId="13" borderId="0" applyNumberFormat="0" applyBorder="0" applyAlignment="0" applyProtection="0"/>
    <xf numFmtId="178" fontId="17" fillId="13" borderId="0" applyNumberFormat="0" applyBorder="0" applyAlignment="0" applyProtection="0"/>
    <xf numFmtId="188" fontId="17" fillId="13" borderId="0" applyNumberFormat="0" applyBorder="0" applyAlignment="0" applyProtection="0"/>
    <xf numFmtId="178" fontId="17" fillId="13" borderId="0" applyNumberFormat="0" applyBorder="0" applyAlignment="0" applyProtection="0"/>
    <xf numFmtId="188" fontId="17" fillId="13" borderId="0" applyNumberFormat="0" applyBorder="0" applyAlignment="0" applyProtection="0"/>
    <xf numFmtId="178" fontId="17" fillId="13" borderId="0" applyNumberFormat="0" applyBorder="0" applyAlignment="0" applyProtection="0"/>
    <xf numFmtId="188" fontId="17" fillId="13" borderId="0" applyNumberFormat="0" applyBorder="0" applyAlignment="0" applyProtection="0"/>
    <xf numFmtId="178" fontId="17" fillId="13" borderId="0" applyNumberFormat="0" applyBorder="0" applyAlignment="0" applyProtection="0"/>
    <xf numFmtId="188" fontId="17" fillId="13" borderId="0" applyNumberFormat="0" applyBorder="0" applyAlignment="0" applyProtection="0"/>
    <xf numFmtId="178" fontId="17" fillId="13" borderId="0" applyNumberFormat="0" applyBorder="0" applyAlignment="0" applyProtection="0"/>
    <xf numFmtId="188" fontId="17" fillId="13" borderId="0" applyNumberFormat="0" applyBorder="0" applyAlignment="0" applyProtection="0"/>
    <xf numFmtId="178" fontId="17" fillId="13" borderId="0" applyNumberFormat="0" applyBorder="0" applyAlignment="0" applyProtection="0"/>
    <xf numFmtId="188" fontId="17" fillId="13" borderId="0" applyNumberFormat="0" applyBorder="0" applyAlignment="0" applyProtection="0"/>
    <xf numFmtId="178" fontId="17" fillId="13" borderId="0" applyNumberFormat="0" applyBorder="0" applyAlignment="0" applyProtection="0"/>
    <xf numFmtId="188" fontId="17" fillId="13" borderId="0" applyNumberFormat="0" applyBorder="0" applyAlignment="0" applyProtection="0"/>
    <xf numFmtId="178" fontId="17" fillId="13" borderId="0" applyNumberFormat="0" applyBorder="0" applyAlignment="0" applyProtection="0"/>
    <xf numFmtId="188" fontId="17" fillId="13" borderId="0" applyNumberFormat="0" applyBorder="0" applyAlignment="0" applyProtection="0"/>
    <xf numFmtId="178" fontId="17" fillId="13" borderId="0" applyNumberFormat="0" applyBorder="0" applyAlignment="0" applyProtection="0"/>
    <xf numFmtId="0" fontId="132" fillId="90" borderId="0" applyNumberFormat="0" applyBorder="0" applyAlignment="0" applyProtection="0"/>
    <xf numFmtId="188" fontId="132" fillId="91" borderId="0" applyNumberFormat="0" applyBorder="0" applyAlignment="0" applyProtection="0"/>
    <xf numFmtId="188" fontId="17" fillId="13" borderId="0" applyNumberFormat="0" applyBorder="0" applyAlignment="0" applyProtection="0"/>
    <xf numFmtId="188" fontId="132" fillId="91" borderId="0" applyNumberFormat="0" applyBorder="0" applyAlignment="0" applyProtection="0"/>
    <xf numFmtId="188" fontId="133" fillId="13" borderId="0" applyNumberFormat="0" applyBorder="0" applyAlignment="0" applyProtection="0"/>
    <xf numFmtId="178" fontId="133" fillId="13" borderId="0" applyNumberFormat="0" applyBorder="0" applyAlignment="0" applyProtection="0"/>
    <xf numFmtId="178" fontId="132" fillId="91" borderId="0" applyNumberFormat="0" applyBorder="0" applyAlignment="0" applyProtection="0"/>
    <xf numFmtId="178" fontId="17" fillId="13" borderId="0" applyNumberFormat="0" applyBorder="0" applyAlignment="0" applyProtection="0"/>
    <xf numFmtId="188" fontId="17" fillId="13" borderId="0" applyNumberFormat="0" applyBorder="0" applyAlignment="0" applyProtection="0"/>
    <xf numFmtId="178" fontId="17" fillId="13" borderId="0" applyNumberFormat="0" applyBorder="0" applyAlignment="0" applyProtection="0"/>
    <xf numFmtId="188" fontId="17" fillId="13" borderId="0" applyNumberFormat="0" applyBorder="0" applyAlignment="0" applyProtection="0"/>
    <xf numFmtId="178" fontId="17" fillId="13" borderId="0" applyNumberFormat="0" applyBorder="0" applyAlignment="0" applyProtection="0"/>
    <xf numFmtId="178" fontId="132" fillId="91" borderId="0" applyNumberFormat="0" applyBorder="0" applyAlignment="0" applyProtection="0"/>
    <xf numFmtId="188" fontId="132" fillId="91" borderId="0" applyNumberFormat="0" applyBorder="0" applyAlignment="0" applyProtection="0"/>
    <xf numFmtId="178" fontId="132" fillId="91" borderId="0" applyNumberFormat="0" applyBorder="0" applyAlignment="0" applyProtection="0"/>
    <xf numFmtId="188" fontId="132" fillId="91" borderId="0" applyNumberFormat="0" applyBorder="0" applyAlignment="0" applyProtection="0"/>
    <xf numFmtId="178" fontId="132" fillId="91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188" fontId="133" fillId="13" borderId="0" applyNumberFormat="0" applyBorder="0" applyAlignment="0" applyProtection="0"/>
    <xf numFmtId="178" fontId="133" fillId="13" borderId="0" applyNumberFormat="0" applyBorder="0" applyAlignment="0" applyProtection="0"/>
    <xf numFmtId="188" fontId="133" fillId="13" borderId="0" applyNumberFormat="0" applyBorder="0" applyAlignment="0" applyProtection="0"/>
    <xf numFmtId="178" fontId="133" fillId="13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188" fontId="133" fillId="13" borderId="0" applyNumberFormat="0" applyBorder="0" applyAlignment="0" applyProtection="0"/>
    <xf numFmtId="178" fontId="133" fillId="13" borderId="0" applyNumberFormat="0" applyBorder="0" applyAlignment="0" applyProtection="0"/>
    <xf numFmtId="188" fontId="133" fillId="13" borderId="0" applyNumberFormat="0" applyBorder="0" applyAlignment="0" applyProtection="0"/>
    <xf numFmtId="178" fontId="133" fillId="13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188" fontId="133" fillId="13" borderId="0" applyNumberFormat="0" applyBorder="0" applyAlignment="0" applyProtection="0"/>
    <xf numFmtId="178" fontId="133" fillId="13" borderId="0" applyNumberFormat="0" applyBorder="0" applyAlignment="0" applyProtection="0"/>
    <xf numFmtId="188" fontId="133" fillId="13" borderId="0" applyNumberFormat="0" applyBorder="0" applyAlignment="0" applyProtection="0"/>
    <xf numFmtId="178" fontId="133" fillId="13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188" fontId="17" fillId="13" borderId="0" applyNumberFormat="0" applyBorder="0" applyAlignment="0" applyProtection="0"/>
    <xf numFmtId="178" fontId="17" fillId="13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188" fontId="133" fillId="13" borderId="0" applyNumberFormat="0" applyBorder="0" applyAlignment="0" applyProtection="0"/>
    <xf numFmtId="178" fontId="133" fillId="13" borderId="0" applyNumberFormat="0" applyBorder="0" applyAlignment="0" applyProtection="0"/>
    <xf numFmtId="188" fontId="133" fillId="13" borderId="0" applyNumberFormat="0" applyBorder="0" applyAlignment="0" applyProtection="0"/>
    <xf numFmtId="178" fontId="133" fillId="13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188" fontId="133" fillId="13" borderId="0" applyNumberFormat="0" applyBorder="0" applyAlignment="0" applyProtection="0"/>
    <xf numFmtId="178" fontId="133" fillId="13" borderId="0" applyNumberFormat="0" applyBorder="0" applyAlignment="0" applyProtection="0"/>
    <xf numFmtId="188" fontId="133" fillId="13" borderId="0" applyNumberFormat="0" applyBorder="0" applyAlignment="0" applyProtection="0"/>
    <xf numFmtId="178" fontId="133" fillId="13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188" fontId="133" fillId="13" borderId="0" applyNumberFormat="0" applyBorder="0" applyAlignment="0" applyProtection="0"/>
    <xf numFmtId="178" fontId="133" fillId="13" borderId="0" applyNumberFormat="0" applyBorder="0" applyAlignment="0" applyProtection="0"/>
    <xf numFmtId="188" fontId="133" fillId="13" borderId="0" applyNumberFormat="0" applyBorder="0" applyAlignment="0" applyProtection="0"/>
    <xf numFmtId="178" fontId="133" fillId="13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188" fontId="133" fillId="13" borderId="0" applyNumberFormat="0" applyBorder="0" applyAlignment="0" applyProtection="0"/>
    <xf numFmtId="178" fontId="133" fillId="13" borderId="0" applyNumberFormat="0" applyBorder="0" applyAlignment="0" applyProtection="0"/>
    <xf numFmtId="188" fontId="133" fillId="13" borderId="0" applyNumberFormat="0" applyBorder="0" applyAlignment="0" applyProtection="0"/>
    <xf numFmtId="178" fontId="133" fillId="13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132" fillId="90" borderId="0" applyNumberFormat="0" applyBorder="0" applyAlignment="0" applyProtection="0"/>
    <xf numFmtId="0" fontId="132" fillId="90" borderId="0" applyNumberFormat="0" applyBorder="0" applyAlignment="0" applyProtection="0"/>
    <xf numFmtId="178" fontId="132" fillId="90" borderId="0" applyNumberFormat="0" applyBorder="0" applyAlignment="0" applyProtection="0"/>
    <xf numFmtId="178" fontId="132" fillId="90" borderId="0" applyNumberFormat="0" applyBorder="0" applyAlignment="0" applyProtection="0"/>
    <xf numFmtId="0" fontId="61" fillId="92" borderId="0" applyNumberFormat="0" applyBorder="0" applyAlignment="0" applyProtection="0"/>
    <xf numFmtId="188" fontId="61" fillId="86" borderId="0" applyNumberFormat="0" applyBorder="0" applyAlignment="0" applyProtection="0"/>
    <xf numFmtId="178" fontId="61" fillId="86" borderId="0" applyNumberFormat="0" applyBorder="0" applyAlignment="0" applyProtection="0"/>
    <xf numFmtId="188" fontId="61" fillId="86" borderId="0" applyNumberFormat="0" applyBorder="0" applyAlignment="0" applyProtection="0"/>
    <xf numFmtId="178" fontId="61" fillId="86" borderId="0" applyNumberFormat="0" applyBorder="0" applyAlignment="0" applyProtection="0"/>
    <xf numFmtId="188" fontId="61" fillId="86" borderId="0" applyNumberFormat="0" applyBorder="0" applyAlignment="0" applyProtection="0"/>
    <xf numFmtId="178" fontId="61" fillId="86" borderId="0" applyNumberFormat="0" applyBorder="0" applyAlignment="0" applyProtection="0"/>
    <xf numFmtId="0" fontId="61" fillId="92" borderId="0" applyNumberFormat="0" applyBorder="0" applyAlignment="0" applyProtection="0"/>
    <xf numFmtId="178" fontId="61" fillId="92" borderId="0" applyNumberFormat="0" applyBorder="0" applyAlignment="0" applyProtection="0"/>
    <xf numFmtId="178" fontId="61" fillId="92" borderId="0" applyNumberFormat="0" applyBorder="0" applyAlignment="0" applyProtection="0"/>
    <xf numFmtId="0" fontId="61" fillId="93" borderId="0" applyNumberFormat="0" applyBorder="0" applyAlignment="0" applyProtection="0"/>
    <xf numFmtId="188" fontId="61" fillId="94" borderId="0" applyNumberFormat="0" applyBorder="0" applyAlignment="0" applyProtection="0"/>
    <xf numFmtId="178" fontId="61" fillId="94" borderId="0" applyNumberFormat="0" applyBorder="0" applyAlignment="0" applyProtection="0"/>
    <xf numFmtId="188" fontId="61" fillId="94" borderId="0" applyNumberFormat="0" applyBorder="0" applyAlignment="0" applyProtection="0"/>
    <xf numFmtId="178" fontId="61" fillId="94" borderId="0" applyNumberFormat="0" applyBorder="0" applyAlignment="0" applyProtection="0"/>
    <xf numFmtId="188" fontId="61" fillId="94" borderId="0" applyNumberFormat="0" applyBorder="0" applyAlignment="0" applyProtection="0"/>
    <xf numFmtId="178" fontId="61" fillId="94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132" fillId="95" borderId="0" applyNumberFormat="0" applyBorder="0" applyAlignment="0" applyProtection="0"/>
    <xf numFmtId="188" fontId="132" fillId="81" borderId="0" applyNumberFormat="0" applyBorder="0" applyAlignment="0" applyProtection="0"/>
    <xf numFmtId="178" fontId="132" fillId="81" borderId="0" applyNumberFormat="0" applyBorder="0" applyAlignment="0" applyProtection="0"/>
    <xf numFmtId="188" fontId="132" fillId="81" borderId="0" applyNumberFormat="0" applyBorder="0" applyAlignment="0" applyProtection="0"/>
    <xf numFmtId="178" fontId="132" fillId="81" borderId="0" applyNumberFormat="0" applyBorder="0" applyAlignment="0" applyProtection="0"/>
    <xf numFmtId="188" fontId="132" fillId="81" borderId="0" applyNumberFormat="0" applyBorder="0" applyAlignment="0" applyProtection="0"/>
    <xf numFmtId="178" fontId="132" fillId="81" borderId="0" applyNumberFormat="0" applyBorder="0" applyAlignment="0" applyProtection="0"/>
    <xf numFmtId="0" fontId="132" fillId="95" borderId="0" applyNumberFormat="0" applyBorder="0" applyAlignment="0" applyProtection="0"/>
    <xf numFmtId="178" fontId="132" fillId="95" borderId="0" applyNumberFormat="0" applyBorder="0" applyAlignment="0" applyProtection="0"/>
    <xf numFmtId="178" fontId="132" fillId="95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7" fillId="17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7" fillId="17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7" fillId="17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7" fillId="17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7" fillId="17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7" fillId="17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7" fillId="17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7" fillId="17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7" fillId="17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7" fillId="17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7" fillId="17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7" fillId="17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7" fillId="17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7" fillId="17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7" fillId="17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7" fillId="17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7" fillId="17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7" fillId="17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7" fillId="17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7" fillId="17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7" fillId="17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7" fillId="17" borderId="0" applyNumberFormat="0" applyBorder="0" applyAlignment="0" applyProtection="0"/>
    <xf numFmtId="188" fontId="17" fillId="17" borderId="0" applyNumberFormat="0" applyBorder="0" applyAlignment="0" applyProtection="0"/>
    <xf numFmtId="178" fontId="17" fillId="17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188" fontId="17" fillId="17" borderId="0" applyNumberFormat="0" applyBorder="0" applyAlignment="0" applyProtection="0"/>
    <xf numFmtId="178" fontId="17" fillId="17" borderId="0" applyNumberFormat="0" applyBorder="0" applyAlignment="0" applyProtection="0"/>
    <xf numFmtId="188" fontId="17" fillId="17" borderId="0" applyNumberFormat="0" applyBorder="0" applyAlignment="0" applyProtection="0"/>
    <xf numFmtId="178" fontId="17" fillId="17" borderId="0" applyNumberFormat="0" applyBorder="0" applyAlignment="0" applyProtection="0"/>
    <xf numFmtId="188" fontId="17" fillId="17" borderId="0" applyNumberFormat="0" applyBorder="0" applyAlignment="0" applyProtection="0"/>
    <xf numFmtId="178" fontId="17" fillId="17" borderId="0" applyNumberFormat="0" applyBorder="0" applyAlignment="0" applyProtection="0"/>
    <xf numFmtId="188" fontId="17" fillId="17" borderId="0" applyNumberFormat="0" applyBorder="0" applyAlignment="0" applyProtection="0"/>
    <xf numFmtId="178" fontId="17" fillId="17" borderId="0" applyNumberFormat="0" applyBorder="0" applyAlignment="0" applyProtection="0"/>
    <xf numFmtId="188" fontId="17" fillId="17" borderId="0" applyNumberFormat="0" applyBorder="0" applyAlignment="0" applyProtection="0"/>
    <xf numFmtId="178" fontId="17" fillId="17" borderId="0" applyNumberFormat="0" applyBorder="0" applyAlignment="0" applyProtection="0"/>
    <xf numFmtId="188" fontId="17" fillId="17" borderId="0" applyNumberFormat="0" applyBorder="0" applyAlignment="0" applyProtection="0"/>
    <xf numFmtId="178" fontId="17" fillId="17" borderId="0" applyNumberFormat="0" applyBorder="0" applyAlignment="0" applyProtection="0"/>
    <xf numFmtId="188" fontId="17" fillId="17" borderId="0" applyNumberFormat="0" applyBorder="0" applyAlignment="0" applyProtection="0"/>
    <xf numFmtId="178" fontId="17" fillId="17" borderId="0" applyNumberFormat="0" applyBorder="0" applyAlignment="0" applyProtection="0"/>
    <xf numFmtId="188" fontId="17" fillId="17" borderId="0" applyNumberFormat="0" applyBorder="0" applyAlignment="0" applyProtection="0"/>
    <xf numFmtId="178" fontId="17" fillId="17" borderId="0" applyNumberFormat="0" applyBorder="0" applyAlignment="0" applyProtection="0"/>
    <xf numFmtId="188" fontId="17" fillId="17" borderId="0" applyNumberFormat="0" applyBorder="0" applyAlignment="0" applyProtection="0"/>
    <xf numFmtId="178" fontId="17" fillId="17" borderId="0" applyNumberFormat="0" applyBorder="0" applyAlignment="0" applyProtection="0"/>
    <xf numFmtId="188" fontId="17" fillId="17" borderId="0" applyNumberFormat="0" applyBorder="0" applyAlignment="0" applyProtection="0"/>
    <xf numFmtId="178" fontId="17" fillId="17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188" fontId="17" fillId="17" borderId="0" applyNumberFormat="0" applyBorder="0" applyAlignment="0" applyProtection="0"/>
    <xf numFmtId="178" fontId="17" fillId="17" borderId="0" applyNumberFormat="0" applyBorder="0" applyAlignment="0" applyProtection="0"/>
    <xf numFmtId="188" fontId="17" fillId="17" borderId="0" applyNumberFormat="0" applyBorder="0" applyAlignment="0" applyProtection="0"/>
    <xf numFmtId="178" fontId="17" fillId="17" borderId="0" applyNumberFormat="0" applyBorder="0" applyAlignment="0" applyProtection="0"/>
    <xf numFmtId="188" fontId="17" fillId="17" borderId="0" applyNumberFormat="0" applyBorder="0" applyAlignment="0" applyProtection="0"/>
    <xf numFmtId="178" fontId="17" fillId="17" borderId="0" applyNumberFormat="0" applyBorder="0" applyAlignment="0" applyProtection="0"/>
    <xf numFmtId="188" fontId="17" fillId="17" borderId="0" applyNumberFormat="0" applyBorder="0" applyAlignment="0" applyProtection="0"/>
    <xf numFmtId="178" fontId="17" fillId="17" borderId="0" applyNumberFormat="0" applyBorder="0" applyAlignment="0" applyProtection="0"/>
    <xf numFmtId="188" fontId="17" fillId="17" borderId="0" applyNumberFormat="0" applyBorder="0" applyAlignment="0" applyProtection="0"/>
    <xf numFmtId="178" fontId="17" fillId="17" borderId="0" applyNumberFormat="0" applyBorder="0" applyAlignment="0" applyProtection="0"/>
    <xf numFmtId="188" fontId="17" fillId="17" borderId="0" applyNumberFormat="0" applyBorder="0" applyAlignment="0" applyProtection="0"/>
    <xf numFmtId="178" fontId="17" fillId="17" borderId="0" applyNumberFormat="0" applyBorder="0" applyAlignment="0" applyProtection="0"/>
    <xf numFmtId="188" fontId="17" fillId="17" borderId="0" applyNumberFormat="0" applyBorder="0" applyAlignment="0" applyProtection="0"/>
    <xf numFmtId="178" fontId="17" fillId="17" borderId="0" applyNumberFormat="0" applyBorder="0" applyAlignment="0" applyProtection="0"/>
    <xf numFmtId="188" fontId="17" fillId="17" borderId="0" applyNumberFormat="0" applyBorder="0" applyAlignment="0" applyProtection="0"/>
    <xf numFmtId="178" fontId="17" fillId="17" borderId="0" applyNumberFormat="0" applyBorder="0" applyAlignment="0" applyProtection="0"/>
    <xf numFmtId="188" fontId="17" fillId="17" borderId="0" applyNumberFormat="0" applyBorder="0" applyAlignment="0" applyProtection="0"/>
    <xf numFmtId="178" fontId="17" fillId="17" borderId="0" applyNumberFormat="0" applyBorder="0" applyAlignment="0" applyProtection="0"/>
    <xf numFmtId="188" fontId="17" fillId="17" borderId="0" applyNumberFormat="0" applyBorder="0" applyAlignment="0" applyProtection="0"/>
    <xf numFmtId="178" fontId="17" fillId="17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188" fontId="17" fillId="17" borderId="0" applyNumberFormat="0" applyBorder="0" applyAlignment="0" applyProtection="0"/>
    <xf numFmtId="178" fontId="17" fillId="17" borderId="0" applyNumberFormat="0" applyBorder="0" applyAlignment="0" applyProtection="0"/>
    <xf numFmtId="188" fontId="17" fillId="17" borderId="0" applyNumberFormat="0" applyBorder="0" applyAlignment="0" applyProtection="0"/>
    <xf numFmtId="178" fontId="17" fillId="17" borderId="0" applyNumberFormat="0" applyBorder="0" applyAlignment="0" applyProtection="0"/>
    <xf numFmtId="188" fontId="17" fillId="17" borderId="0" applyNumberFormat="0" applyBorder="0" applyAlignment="0" applyProtection="0"/>
    <xf numFmtId="178" fontId="17" fillId="17" borderId="0" applyNumberFormat="0" applyBorder="0" applyAlignment="0" applyProtection="0"/>
    <xf numFmtId="188" fontId="17" fillId="17" borderId="0" applyNumberFormat="0" applyBorder="0" applyAlignment="0" applyProtection="0"/>
    <xf numFmtId="178" fontId="17" fillId="17" borderId="0" applyNumberFormat="0" applyBorder="0" applyAlignment="0" applyProtection="0"/>
    <xf numFmtId="188" fontId="17" fillId="17" borderId="0" applyNumberFormat="0" applyBorder="0" applyAlignment="0" applyProtection="0"/>
    <xf numFmtId="178" fontId="17" fillId="17" borderId="0" applyNumberFormat="0" applyBorder="0" applyAlignment="0" applyProtection="0"/>
    <xf numFmtId="188" fontId="17" fillId="17" borderId="0" applyNumberFormat="0" applyBorder="0" applyAlignment="0" applyProtection="0"/>
    <xf numFmtId="178" fontId="17" fillId="17" borderId="0" applyNumberFormat="0" applyBorder="0" applyAlignment="0" applyProtection="0"/>
    <xf numFmtId="188" fontId="17" fillId="17" borderId="0" applyNumberFormat="0" applyBorder="0" applyAlignment="0" applyProtection="0"/>
    <xf numFmtId="178" fontId="17" fillId="17" borderId="0" applyNumberFormat="0" applyBorder="0" applyAlignment="0" applyProtection="0"/>
    <xf numFmtId="188" fontId="17" fillId="17" borderId="0" applyNumberFormat="0" applyBorder="0" applyAlignment="0" applyProtection="0"/>
    <xf numFmtId="178" fontId="17" fillId="17" borderId="0" applyNumberFormat="0" applyBorder="0" applyAlignment="0" applyProtection="0"/>
    <xf numFmtId="188" fontId="17" fillId="17" borderId="0" applyNumberFormat="0" applyBorder="0" applyAlignment="0" applyProtection="0"/>
    <xf numFmtId="178" fontId="17" fillId="17" borderId="0" applyNumberFormat="0" applyBorder="0" applyAlignment="0" applyProtection="0"/>
    <xf numFmtId="188" fontId="17" fillId="17" borderId="0" applyNumberFormat="0" applyBorder="0" applyAlignment="0" applyProtection="0"/>
    <xf numFmtId="178" fontId="17" fillId="17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188" fontId="17" fillId="17" borderId="0" applyNumberFormat="0" applyBorder="0" applyAlignment="0" applyProtection="0"/>
    <xf numFmtId="178" fontId="17" fillId="17" borderId="0" applyNumberFormat="0" applyBorder="0" applyAlignment="0" applyProtection="0"/>
    <xf numFmtId="188" fontId="17" fillId="17" borderId="0" applyNumberFormat="0" applyBorder="0" applyAlignment="0" applyProtection="0"/>
    <xf numFmtId="178" fontId="17" fillId="17" borderId="0" applyNumberFormat="0" applyBorder="0" applyAlignment="0" applyProtection="0"/>
    <xf numFmtId="188" fontId="17" fillId="17" borderId="0" applyNumberFormat="0" applyBorder="0" applyAlignment="0" applyProtection="0"/>
    <xf numFmtId="178" fontId="17" fillId="17" borderId="0" applyNumberFormat="0" applyBorder="0" applyAlignment="0" applyProtection="0"/>
    <xf numFmtId="188" fontId="17" fillId="17" borderId="0" applyNumberFormat="0" applyBorder="0" applyAlignment="0" applyProtection="0"/>
    <xf numFmtId="178" fontId="17" fillId="17" borderId="0" applyNumberFormat="0" applyBorder="0" applyAlignment="0" applyProtection="0"/>
    <xf numFmtId="188" fontId="17" fillId="17" borderId="0" applyNumberFormat="0" applyBorder="0" applyAlignment="0" applyProtection="0"/>
    <xf numFmtId="178" fontId="17" fillId="17" borderId="0" applyNumberFormat="0" applyBorder="0" applyAlignment="0" applyProtection="0"/>
    <xf numFmtId="188" fontId="17" fillId="17" borderId="0" applyNumberFormat="0" applyBorder="0" applyAlignment="0" applyProtection="0"/>
    <xf numFmtId="178" fontId="17" fillId="17" borderId="0" applyNumberFormat="0" applyBorder="0" applyAlignment="0" applyProtection="0"/>
    <xf numFmtId="188" fontId="17" fillId="17" borderId="0" applyNumberFormat="0" applyBorder="0" applyAlignment="0" applyProtection="0"/>
    <xf numFmtId="178" fontId="17" fillId="17" borderId="0" applyNumberFormat="0" applyBorder="0" applyAlignment="0" applyProtection="0"/>
    <xf numFmtId="188" fontId="17" fillId="17" borderId="0" applyNumberFormat="0" applyBorder="0" applyAlignment="0" applyProtection="0"/>
    <xf numFmtId="178" fontId="17" fillId="17" borderId="0" applyNumberFormat="0" applyBorder="0" applyAlignment="0" applyProtection="0"/>
    <xf numFmtId="188" fontId="17" fillId="17" borderId="0" applyNumberFormat="0" applyBorder="0" applyAlignment="0" applyProtection="0"/>
    <xf numFmtId="178" fontId="17" fillId="17" borderId="0" applyNumberFormat="0" applyBorder="0" applyAlignment="0" applyProtection="0"/>
    <xf numFmtId="0" fontId="132" fillId="96" borderId="0" applyNumberFormat="0" applyBorder="0" applyAlignment="0" applyProtection="0"/>
    <xf numFmtId="188" fontId="132" fillId="97" borderId="0" applyNumberFormat="0" applyBorder="0" applyAlignment="0" applyProtection="0"/>
    <xf numFmtId="188" fontId="17" fillId="17" borderId="0" applyNumberFormat="0" applyBorder="0" applyAlignment="0" applyProtection="0"/>
    <xf numFmtId="188" fontId="132" fillId="97" borderId="0" applyNumberFormat="0" applyBorder="0" applyAlignment="0" applyProtection="0"/>
    <xf numFmtId="188" fontId="133" fillId="17" borderId="0" applyNumberFormat="0" applyBorder="0" applyAlignment="0" applyProtection="0"/>
    <xf numFmtId="178" fontId="133" fillId="17" borderId="0" applyNumberFormat="0" applyBorder="0" applyAlignment="0" applyProtection="0"/>
    <xf numFmtId="178" fontId="132" fillId="97" borderId="0" applyNumberFormat="0" applyBorder="0" applyAlignment="0" applyProtection="0"/>
    <xf numFmtId="178" fontId="17" fillId="17" borderId="0" applyNumberFormat="0" applyBorder="0" applyAlignment="0" applyProtection="0"/>
    <xf numFmtId="188" fontId="17" fillId="17" borderId="0" applyNumberFormat="0" applyBorder="0" applyAlignment="0" applyProtection="0"/>
    <xf numFmtId="178" fontId="17" fillId="17" borderId="0" applyNumberFormat="0" applyBorder="0" applyAlignment="0" applyProtection="0"/>
    <xf numFmtId="188" fontId="17" fillId="17" borderId="0" applyNumberFormat="0" applyBorder="0" applyAlignment="0" applyProtection="0"/>
    <xf numFmtId="178" fontId="17" fillId="17" borderId="0" applyNumberFormat="0" applyBorder="0" applyAlignment="0" applyProtection="0"/>
    <xf numFmtId="178" fontId="132" fillId="97" borderId="0" applyNumberFormat="0" applyBorder="0" applyAlignment="0" applyProtection="0"/>
    <xf numFmtId="188" fontId="132" fillId="97" borderId="0" applyNumberFormat="0" applyBorder="0" applyAlignment="0" applyProtection="0"/>
    <xf numFmtId="178" fontId="132" fillId="97" borderId="0" applyNumberFormat="0" applyBorder="0" applyAlignment="0" applyProtection="0"/>
    <xf numFmtId="188" fontId="132" fillId="97" borderId="0" applyNumberFormat="0" applyBorder="0" applyAlignment="0" applyProtection="0"/>
    <xf numFmtId="178" fontId="132" fillId="97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188" fontId="133" fillId="17" borderId="0" applyNumberFormat="0" applyBorder="0" applyAlignment="0" applyProtection="0"/>
    <xf numFmtId="178" fontId="133" fillId="17" borderId="0" applyNumberFormat="0" applyBorder="0" applyAlignment="0" applyProtection="0"/>
    <xf numFmtId="188" fontId="133" fillId="17" borderId="0" applyNumberFormat="0" applyBorder="0" applyAlignment="0" applyProtection="0"/>
    <xf numFmtId="178" fontId="133" fillId="17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188" fontId="133" fillId="17" borderId="0" applyNumberFormat="0" applyBorder="0" applyAlignment="0" applyProtection="0"/>
    <xf numFmtId="178" fontId="133" fillId="17" borderId="0" applyNumberFormat="0" applyBorder="0" applyAlignment="0" applyProtection="0"/>
    <xf numFmtId="188" fontId="133" fillId="17" borderId="0" applyNumberFormat="0" applyBorder="0" applyAlignment="0" applyProtection="0"/>
    <xf numFmtId="178" fontId="133" fillId="17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188" fontId="133" fillId="17" borderId="0" applyNumberFormat="0" applyBorder="0" applyAlignment="0" applyProtection="0"/>
    <xf numFmtId="178" fontId="133" fillId="17" borderId="0" applyNumberFormat="0" applyBorder="0" applyAlignment="0" applyProtection="0"/>
    <xf numFmtId="188" fontId="133" fillId="17" borderId="0" applyNumberFormat="0" applyBorder="0" applyAlignment="0" applyProtection="0"/>
    <xf numFmtId="178" fontId="133" fillId="17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188" fontId="17" fillId="17" borderId="0" applyNumberFormat="0" applyBorder="0" applyAlignment="0" applyProtection="0"/>
    <xf numFmtId="178" fontId="17" fillId="17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188" fontId="133" fillId="17" borderId="0" applyNumberFormat="0" applyBorder="0" applyAlignment="0" applyProtection="0"/>
    <xf numFmtId="178" fontId="133" fillId="17" borderId="0" applyNumberFormat="0" applyBorder="0" applyAlignment="0" applyProtection="0"/>
    <xf numFmtId="188" fontId="133" fillId="17" borderId="0" applyNumberFormat="0" applyBorder="0" applyAlignment="0" applyProtection="0"/>
    <xf numFmtId="178" fontId="133" fillId="17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188" fontId="133" fillId="17" borderId="0" applyNumberFormat="0" applyBorder="0" applyAlignment="0" applyProtection="0"/>
    <xf numFmtId="178" fontId="133" fillId="17" borderId="0" applyNumberFormat="0" applyBorder="0" applyAlignment="0" applyProtection="0"/>
    <xf numFmtId="188" fontId="133" fillId="17" borderId="0" applyNumberFormat="0" applyBorder="0" applyAlignment="0" applyProtection="0"/>
    <xf numFmtId="178" fontId="133" fillId="17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188" fontId="133" fillId="17" borderId="0" applyNumberFormat="0" applyBorder="0" applyAlignment="0" applyProtection="0"/>
    <xf numFmtId="178" fontId="133" fillId="17" borderId="0" applyNumberFormat="0" applyBorder="0" applyAlignment="0" applyProtection="0"/>
    <xf numFmtId="188" fontId="133" fillId="17" borderId="0" applyNumberFormat="0" applyBorder="0" applyAlignment="0" applyProtection="0"/>
    <xf numFmtId="178" fontId="133" fillId="17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188" fontId="133" fillId="17" borderId="0" applyNumberFormat="0" applyBorder="0" applyAlignment="0" applyProtection="0"/>
    <xf numFmtId="178" fontId="133" fillId="17" borderId="0" applyNumberFormat="0" applyBorder="0" applyAlignment="0" applyProtection="0"/>
    <xf numFmtId="188" fontId="133" fillId="17" borderId="0" applyNumberFormat="0" applyBorder="0" applyAlignment="0" applyProtection="0"/>
    <xf numFmtId="178" fontId="133" fillId="17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132" fillId="96" borderId="0" applyNumberFormat="0" applyBorder="0" applyAlignment="0" applyProtection="0"/>
    <xf numFmtId="0" fontId="132" fillId="96" borderId="0" applyNumberFormat="0" applyBorder="0" applyAlignment="0" applyProtection="0"/>
    <xf numFmtId="178" fontId="132" fillId="96" borderId="0" applyNumberFormat="0" applyBorder="0" applyAlignment="0" applyProtection="0"/>
    <xf numFmtId="178" fontId="132" fillId="96" borderId="0" applyNumberFormat="0" applyBorder="0" applyAlignment="0" applyProtection="0"/>
    <xf numFmtId="0" fontId="61" fillId="80" borderId="0" applyNumberFormat="0" applyBorder="0" applyAlignment="0" applyProtection="0"/>
    <xf numFmtId="0" fontId="61" fillId="80" borderId="0" applyNumberFormat="0" applyBorder="0" applyAlignment="0" applyProtection="0"/>
    <xf numFmtId="178" fontId="61" fillId="80" borderId="0" applyNumberFormat="0" applyBorder="0" applyAlignment="0" applyProtection="0"/>
    <xf numFmtId="178" fontId="61" fillId="80" borderId="0" applyNumberFormat="0" applyBorder="0" applyAlignment="0" applyProtection="0"/>
    <xf numFmtId="0" fontId="61" fillId="89" borderId="0" applyNumberFormat="0" applyBorder="0" applyAlignment="0" applyProtection="0"/>
    <xf numFmtId="188" fontId="61" fillId="81" borderId="0" applyNumberFormat="0" applyBorder="0" applyAlignment="0" applyProtection="0"/>
    <xf numFmtId="178" fontId="61" fillId="81" borderId="0" applyNumberFormat="0" applyBorder="0" applyAlignment="0" applyProtection="0"/>
    <xf numFmtId="188" fontId="61" fillId="81" borderId="0" applyNumberFormat="0" applyBorder="0" applyAlignment="0" applyProtection="0"/>
    <xf numFmtId="178" fontId="61" fillId="81" borderId="0" applyNumberFormat="0" applyBorder="0" applyAlignment="0" applyProtection="0"/>
    <xf numFmtId="188" fontId="61" fillId="81" borderId="0" applyNumberFormat="0" applyBorder="0" applyAlignment="0" applyProtection="0"/>
    <xf numFmtId="178" fontId="61" fillId="81" borderId="0" applyNumberFormat="0" applyBorder="0" applyAlignment="0" applyProtection="0"/>
    <xf numFmtId="0" fontId="61" fillId="89" borderId="0" applyNumberFormat="0" applyBorder="0" applyAlignment="0" applyProtection="0"/>
    <xf numFmtId="178" fontId="61" fillId="89" borderId="0" applyNumberFormat="0" applyBorder="0" applyAlignment="0" applyProtection="0"/>
    <xf numFmtId="178" fontId="61" fillId="89" borderId="0" applyNumberFormat="0" applyBorder="0" applyAlignment="0" applyProtection="0"/>
    <xf numFmtId="0" fontId="132" fillId="87" borderId="0" applyNumberFormat="0" applyBorder="0" applyAlignment="0" applyProtection="0"/>
    <xf numFmtId="188" fontId="132" fillId="81" borderId="0" applyNumberFormat="0" applyBorder="0" applyAlignment="0" applyProtection="0"/>
    <xf numFmtId="178" fontId="132" fillId="81" borderId="0" applyNumberFormat="0" applyBorder="0" applyAlignment="0" applyProtection="0"/>
    <xf numFmtId="188" fontId="132" fillId="81" borderId="0" applyNumberFormat="0" applyBorder="0" applyAlignment="0" applyProtection="0"/>
    <xf numFmtId="178" fontId="132" fillId="81" borderId="0" applyNumberFormat="0" applyBorder="0" applyAlignment="0" applyProtection="0"/>
    <xf numFmtId="188" fontId="132" fillId="81" borderId="0" applyNumberFormat="0" applyBorder="0" applyAlignment="0" applyProtection="0"/>
    <xf numFmtId="178" fontId="132" fillId="81" borderId="0" applyNumberFormat="0" applyBorder="0" applyAlignment="0" applyProtection="0"/>
    <xf numFmtId="0" fontId="132" fillId="87" borderId="0" applyNumberFormat="0" applyBorder="0" applyAlignment="0" applyProtection="0"/>
    <xf numFmtId="178" fontId="132" fillId="87" borderId="0" applyNumberFormat="0" applyBorder="0" applyAlignment="0" applyProtection="0"/>
    <xf numFmtId="178" fontId="132" fillId="87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7" fillId="21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7" fillId="21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7" fillId="21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7" fillId="21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7" fillId="21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7" fillId="21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7" fillId="21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7" fillId="21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7" fillId="21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7" fillId="21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7" fillId="21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7" fillId="21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7" fillId="21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7" fillId="21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7" fillId="21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7" fillId="21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7" fillId="21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7" fillId="21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7" fillId="21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7" fillId="21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7" fillId="21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7" fillId="21" borderId="0" applyNumberFormat="0" applyBorder="0" applyAlignment="0" applyProtection="0"/>
    <xf numFmtId="188" fontId="17" fillId="21" borderId="0" applyNumberFormat="0" applyBorder="0" applyAlignment="0" applyProtection="0"/>
    <xf numFmtId="178" fontId="17" fillId="21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188" fontId="17" fillId="21" borderId="0" applyNumberFormat="0" applyBorder="0" applyAlignment="0" applyProtection="0"/>
    <xf numFmtId="178" fontId="17" fillId="21" borderId="0" applyNumberFormat="0" applyBorder="0" applyAlignment="0" applyProtection="0"/>
    <xf numFmtId="188" fontId="17" fillId="21" borderId="0" applyNumberFormat="0" applyBorder="0" applyAlignment="0" applyProtection="0"/>
    <xf numFmtId="178" fontId="17" fillId="21" borderId="0" applyNumberFormat="0" applyBorder="0" applyAlignment="0" applyProtection="0"/>
    <xf numFmtId="188" fontId="17" fillId="21" borderId="0" applyNumberFormat="0" applyBorder="0" applyAlignment="0" applyProtection="0"/>
    <xf numFmtId="178" fontId="17" fillId="21" borderId="0" applyNumberFormat="0" applyBorder="0" applyAlignment="0" applyProtection="0"/>
    <xf numFmtId="188" fontId="17" fillId="21" borderId="0" applyNumberFormat="0" applyBorder="0" applyAlignment="0" applyProtection="0"/>
    <xf numFmtId="178" fontId="17" fillId="21" borderId="0" applyNumberFormat="0" applyBorder="0" applyAlignment="0" applyProtection="0"/>
    <xf numFmtId="188" fontId="17" fillId="21" borderId="0" applyNumberFormat="0" applyBorder="0" applyAlignment="0" applyProtection="0"/>
    <xf numFmtId="178" fontId="17" fillId="21" borderId="0" applyNumberFormat="0" applyBorder="0" applyAlignment="0" applyProtection="0"/>
    <xf numFmtId="188" fontId="17" fillId="21" borderId="0" applyNumberFormat="0" applyBorder="0" applyAlignment="0" applyProtection="0"/>
    <xf numFmtId="178" fontId="17" fillId="21" borderId="0" applyNumberFormat="0" applyBorder="0" applyAlignment="0" applyProtection="0"/>
    <xf numFmtId="188" fontId="17" fillId="21" borderId="0" applyNumberFormat="0" applyBorder="0" applyAlignment="0" applyProtection="0"/>
    <xf numFmtId="178" fontId="17" fillId="21" borderId="0" applyNumberFormat="0" applyBorder="0" applyAlignment="0" applyProtection="0"/>
    <xf numFmtId="188" fontId="17" fillId="21" borderId="0" applyNumberFormat="0" applyBorder="0" applyAlignment="0" applyProtection="0"/>
    <xf numFmtId="178" fontId="17" fillId="21" borderId="0" applyNumberFormat="0" applyBorder="0" applyAlignment="0" applyProtection="0"/>
    <xf numFmtId="188" fontId="17" fillId="21" borderId="0" applyNumberFormat="0" applyBorder="0" applyAlignment="0" applyProtection="0"/>
    <xf numFmtId="178" fontId="17" fillId="21" borderId="0" applyNumberFormat="0" applyBorder="0" applyAlignment="0" applyProtection="0"/>
    <xf numFmtId="188" fontId="17" fillId="21" borderId="0" applyNumberFormat="0" applyBorder="0" applyAlignment="0" applyProtection="0"/>
    <xf numFmtId="178" fontId="17" fillId="21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188" fontId="17" fillId="21" borderId="0" applyNumberFormat="0" applyBorder="0" applyAlignment="0" applyProtection="0"/>
    <xf numFmtId="178" fontId="17" fillId="21" borderId="0" applyNumberFormat="0" applyBorder="0" applyAlignment="0" applyProtection="0"/>
    <xf numFmtId="188" fontId="17" fillId="21" borderId="0" applyNumberFormat="0" applyBorder="0" applyAlignment="0" applyProtection="0"/>
    <xf numFmtId="178" fontId="17" fillId="21" borderId="0" applyNumberFormat="0" applyBorder="0" applyAlignment="0" applyProtection="0"/>
    <xf numFmtId="188" fontId="17" fillId="21" borderId="0" applyNumberFormat="0" applyBorder="0" applyAlignment="0" applyProtection="0"/>
    <xf numFmtId="178" fontId="17" fillId="21" borderId="0" applyNumberFormat="0" applyBorder="0" applyAlignment="0" applyProtection="0"/>
    <xf numFmtId="188" fontId="17" fillId="21" borderId="0" applyNumberFormat="0" applyBorder="0" applyAlignment="0" applyProtection="0"/>
    <xf numFmtId="178" fontId="17" fillId="21" borderId="0" applyNumberFormat="0" applyBorder="0" applyAlignment="0" applyProtection="0"/>
    <xf numFmtId="188" fontId="17" fillId="21" borderId="0" applyNumberFormat="0" applyBorder="0" applyAlignment="0" applyProtection="0"/>
    <xf numFmtId="178" fontId="17" fillId="21" borderId="0" applyNumberFormat="0" applyBorder="0" applyAlignment="0" applyProtection="0"/>
    <xf numFmtId="188" fontId="17" fillId="21" borderId="0" applyNumberFormat="0" applyBorder="0" applyAlignment="0" applyProtection="0"/>
    <xf numFmtId="178" fontId="17" fillId="21" borderId="0" applyNumberFormat="0" applyBorder="0" applyAlignment="0" applyProtection="0"/>
    <xf numFmtId="188" fontId="17" fillId="21" borderId="0" applyNumberFormat="0" applyBorder="0" applyAlignment="0" applyProtection="0"/>
    <xf numFmtId="178" fontId="17" fillId="21" borderId="0" applyNumberFormat="0" applyBorder="0" applyAlignment="0" applyProtection="0"/>
    <xf numFmtId="188" fontId="17" fillId="21" borderId="0" applyNumberFormat="0" applyBorder="0" applyAlignment="0" applyProtection="0"/>
    <xf numFmtId="178" fontId="17" fillId="21" borderId="0" applyNumberFormat="0" applyBorder="0" applyAlignment="0" applyProtection="0"/>
    <xf numFmtId="188" fontId="17" fillId="21" borderId="0" applyNumberFormat="0" applyBorder="0" applyAlignment="0" applyProtection="0"/>
    <xf numFmtId="178" fontId="17" fillId="21" borderId="0" applyNumberFormat="0" applyBorder="0" applyAlignment="0" applyProtection="0"/>
    <xf numFmtId="188" fontId="17" fillId="21" borderId="0" applyNumberFormat="0" applyBorder="0" applyAlignment="0" applyProtection="0"/>
    <xf numFmtId="178" fontId="17" fillId="21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188" fontId="17" fillId="21" borderId="0" applyNumberFormat="0" applyBorder="0" applyAlignment="0" applyProtection="0"/>
    <xf numFmtId="178" fontId="17" fillId="21" borderId="0" applyNumberFormat="0" applyBorder="0" applyAlignment="0" applyProtection="0"/>
    <xf numFmtId="188" fontId="17" fillId="21" borderId="0" applyNumberFormat="0" applyBorder="0" applyAlignment="0" applyProtection="0"/>
    <xf numFmtId="178" fontId="17" fillId="21" borderId="0" applyNumberFormat="0" applyBorder="0" applyAlignment="0" applyProtection="0"/>
    <xf numFmtId="188" fontId="17" fillId="21" borderId="0" applyNumberFormat="0" applyBorder="0" applyAlignment="0" applyProtection="0"/>
    <xf numFmtId="178" fontId="17" fillId="21" borderId="0" applyNumberFormat="0" applyBorder="0" applyAlignment="0" applyProtection="0"/>
    <xf numFmtId="188" fontId="17" fillId="21" borderId="0" applyNumberFormat="0" applyBorder="0" applyAlignment="0" applyProtection="0"/>
    <xf numFmtId="178" fontId="17" fillId="21" borderId="0" applyNumberFormat="0" applyBorder="0" applyAlignment="0" applyProtection="0"/>
    <xf numFmtId="188" fontId="17" fillId="21" borderId="0" applyNumberFormat="0" applyBorder="0" applyAlignment="0" applyProtection="0"/>
    <xf numFmtId="178" fontId="17" fillId="21" borderId="0" applyNumberFormat="0" applyBorder="0" applyAlignment="0" applyProtection="0"/>
    <xf numFmtId="188" fontId="17" fillId="21" borderId="0" applyNumberFormat="0" applyBorder="0" applyAlignment="0" applyProtection="0"/>
    <xf numFmtId="178" fontId="17" fillId="21" borderId="0" applyNumberFormat="0" applyBorder="0" applyAlignment="0" applyProtection="0"/>
    <xf numFmtId="188" fontId="17" fillId="21" borderId="0" applyNumberFormat="0" applyBorder="0" applyAlignment="0" applyProtection="0"/>
    <xf numFmtId="178" fontId="17" fillId="21" borderId="0" applyNumberFormat="0" applyBorder="0" applyAlignment="0" applyProtection="0"/>
    <xf numFmtId="188" fontId="17" fillId="21" borderId="0" applyNumberFormat="0" applyBorder="0" applyAlignment="0" applyProtection="0"/>
    <xf numFmtId="178" fontId="17" fillId="21" borderId="0" applyNumberFormat="0" applyBorder="0" applyAlignment="0" applyProtection="0"/>
    <xf numFmtId="188" fontId="17" fillId="21" borderId="0" applyNumberFormat="0" applyBorder="0" applyAlignment="0" applyProtection="0"/>
    <xf numFmtId="178" fontId="17" fillId="21" borderId="0" applyNumberFormat="0" applyBorder="0" applyAlignment="0" applyProtection="0"/>
    <xf numFmtId="188" fontId="17" fillId="21" borderId="0" applyNumberFormat="0" applyBorder="0" applyAlignment="0" applyProtection="0"/>
    <xf numFmtId="178" fontId="17" fillId="21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188" fontId="17" fillId="21" borderId="0" applyNumberFormat="0" applyBorder="0" applyAlignment="0" applyProtection="0"/>
    <xf numFmtId="178" fontId="17" fillId="21" borderId="0" applyNumberFormat="0" applyBorder="0" applyAlignment="0" applyProtection="0"/>
    <xf numFmtId="188" fontId="17" fillId="21" borderId="0" applyNumberFormat="0" applyBorder="0" applyAlignment="0" applyProtection="0"/>
    <xf numFmtId="178" fontId="17" fillId="21" borderId="0" applyNumberFormat="0" applyBorder="0" applyAlignment="0" applyProtection="0"/>
    <xf numFmtId="188" fontId="17" fillId="21" borderId="0" applyNumberFormat="0" applyBorder="0" applyAlignment="0" applyProtection="0"/>
    <xf numFmtId="178" fontId="17" fillId="21" borderId="0" applyNumberFormat="0" applyBorder="0" applyAlignment="0" applyProtection="0"/>
    <xf numFmtId="188" fontId="17" fillId="21" borderId="0" applyNumberFormat="0" applyBorder="0" applyAlignment="0" applyProtection="0"/>
    <xf numFmtId="178" fontId="17" fillId="21" borderId="0" applyNumberFormat="0" applyBorder="0" applyAlignment="0" applyProtection="0"/>
    <xf numFmtId="188" fontId="17" fillId="21" borderId="0" applyNumberFormat="0" applyBorder="0" applyAlignment="0" applyProtection="0"/>
    <xf numFmtId="178" fontId="17" fillId="21" borderId="0" applyNumberFormat="0" applyBorder="0" applyAlignment="0" applyProtection="0"/>
    <xf numFmtId="188" fontId="17" fillId="21" borderId="0" applyNumberFormat="0" applyBorder="0" applyAlignment="0" applyProtection="0"/>
    <xf numFmtId="178" fontId="17" fillId="21" borderId="0" applyNumberFormat="0" applyBorder="0" applyAlignment="0" applyProtection="0"/>
    <xf numFmtId="188" fontId="17" fillId="21" borderId="0" applyNumberFormat="0" applyBorder="0" applyAlignment="0" applyProtection="0"/>
    <xf numFmtId="178" fontId="17" fillId="21" borderId="0" applyNumberFormat="0" applyBorder="0" applyAlignment="0" applyProtection="0"/>
    <xf numFmtId="188" fontId="17" fillId="21" borderId="0" applyNumberFormat="0" applyBorder="0" applyAlignment="0" applyProtection="0"/>
    <xf numFmtId="178" fontId="17" fillId="21" borderId="0" applyNumberFormat="0" applyBorder="0" applyAlignment="0" applyProtection="0"/>
    <xf numFmtId="188" fontId="17" fillId="21" borderId="0" applyNumberFormat="0" applyBorder="0" applyAlignment="0" applyProtection="0"/>
    <xf numFmtId="178" fontId="17" fillId="21" borderId="0" applyNumberFormat="0" applyBorder="0" applyAlignment="0" applyProtection="0"/>
    <xf numFmtId="0" fontId="132" fillId="98" borderId="0" applyNumberFormat="0" applyBorder="0" applyAlignment="0" applyProtection="0"/>
    <xf numFmtId="188" fontId="132" fillId="75" borderId="0" applyNumberFormat="0" applyBorder="0" applyAlignment="0" applyProtection="0"/>
    <xf numFmtId="188" fontId="17" fillId="21" borderId="0" applyNumberFormat="0" applyBorder="0" applyAlignment="0" applyProtection="0"/>
    <xf numFmtId="188" fontId="132" fillId="75" borderId="0" applyNumberFormat="0" applyBorder="0" applyAlignment="0" applyProtection="0"/>
    <xf numFmtId="188" fontId="133" fillId="21" borderId="0" applyNumberFormat="0" applyBorder="0" applyAlignment="0" applyProtection="0"/>
    <xf numFmtId="178" fontId="133" fillId="21" borderId="0" applyNumberFormat="0" applyBorder="0" applyAlignment="0" applyProtection="0"/>
    <xf numFmtId="178" fontId="132" fillId="75" borderId="0" applyNumberFormat="0" applyBorder="0" applyAlignment="0" applyProtection="0"/>
    <xf numFmtId="178" fontId="17" fillId="21" borderId="0" applyNumberFormat="0" applyBorder="0" applyAlignment="0" applyProtection="0"/>
    <xf numFmtId="188" fontId="17" fillId="21" borderId="0" applyNumberFormat="0" applyBorder="0" applyAlignment="0" applyProtection="0"/>
    <xf numFmtId="178" fontId="17" fillId="21" borderId="0" applyNumberFormat="0" applyBorder="0" applyAlignment="0" applyProtection="0"/>
    <xf numFmtId="188" fontId="17" fillId="21" borderId="0" applyNumberFormat="0" applyBorder="0" applyAlignment="0" applyProtection="0"/>
    <xf numFmtId="178" fontId="17" fillId="21" borderId="0" applyNumberFormat="0" applyBorder="0" applyAlignment="0" applyProtection="0"/>
    <xf numFmtId="178" fontId="132" fillId="75" borderId="0" applyNumberFormat="0" applyBorder="0" applyAlignment="0" applyProtection="0"/>
    <xf numFmtId="188" fontId="132" fillId="75" borderId="0" applyNumberFormat="0" applyBorder="0" applyAlignment="0" applyProtection="0"/>
    <xf numFmtId="178" fontId="132" fillId="75" borderId="0" applyNumberFormat="0" applyBorder="0" applyAlignment="0" applyProtection="0"/>
    <xf numFmtId="188" fontId="132" fillId="75" borderId="0" applyNumberFormat="0" applyBorder="0" applyAlignment="0" applyProtection="0"/>
    <xf numFmtId="178" fontId="132" fillId="75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188" fontId="133" fillId="21" borderId="0" applyNumberFormat="0" applyBorder="0" applyAlignment="0" applyProtection="0"/>
    <xf numFmtId="178" fontId="133" fillId="21" borderId="0" applyNumberFormat="0" applyBorder="0" applyAlignment="0" applyProtection="0"/>
    <xf numFmtId="188" fontId="133" fillId="21" borderId="0" applyNumberFormat="0" applyBorder="0" applyAlignment="0" applyProtection="0"/>
    <xf numFmtId="178" fontId="133" fillId="21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188" fontId="133" fillId="21" borderId="0" applyNumberFormat="0" applyBorder="0" applyAlignment="0" applyProtection="0"/>
    <xf numFmtId="178" fontId="133" fillId="21" borderId="0" applyNumberFormat="0" applyBorder="0" applyAlignment="0" applyProtection="0"/>
    <xf numFmtId="188" fontId="133" fillId="21" borderId="0" applyNumberFormat="0" applyBorder="0" applyAlignment="0" applyProtection="0"/>
    <xf numFmtId="178" fontId="133" fillId="21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188" fontId="133" fillId="21" borderId="0" applyNumberFormat="0" applyBorder="0" applyAlignment="0" applyProtection="0"/>
    <xf numFmtId="178" fontId="133" fillId="21" borderId="0" applyNumberFormat="0" applyBorder="0" applyAlignment="0" applyProtection="0"/>
    <xf numFmtId="188" fontId="133" fillId="21" borderId="0" applyNumberFormat="0" applyBorder="0" applyAlignment="0" applyProtection="0"/>
    <xf numFmtId="178" fontId="133" fillId="21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188" fontId="17" fillId="21" borderId="0" applyNumberFormat="0" applyBorder="0" applyAlignment="0" applyProtection="0"/>
    <xf numFmtId="178" fontId="17" fillId="21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188" fontId="133" fillId="21" borderId="0" applyNumberFormat="0" applyBorder="0" applyAlignment="0" applyProtection="0"/>
    <xf numFmtId="178" fontId="133" fillId="21" borderId="0" applyNumberFormat="0" applyBorder="0" applyAlignment="0" applyProtection="0"/>
    <xf numFmtId="188" fontId="133" fillId="21" borderId="0" applyNumberFormat="0" applyBorder="0" applyAlignment="0" applyProtection="0"/>
    <xf numFmtId="178" fontId="133" fillId="21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188" fontId="133" fillId="21" borderId="0" applyNumberFormat="0" applyBorder="0" applyAlignment="0" applyProtection="0"/>
    <xf numFmtId="178" fontId="133" fillId="21" borderId="0" applyNumberFormat="0" applyBorder="0" applyAlignment="0" applyProtection="0"/>
    <xf numFmtId="188" fontId="133" fillId="21" borderId="0" applyNumberFormat="0" applyBorder="0" applyAlignment="0" applyProtection="0"/>
    <xf numFmtId="178" fontId="133" fillId="21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188" fontId="133" fillId="21" borderId="0" applyNumberFormat="0" applyBorder="0" applyAlignment="0" applyProtection="0"/>
    <xf numFmtId="178" fontId="133" fillId="21" borderId="0" applyNumberFormat="0" applyBorder="0" applyAlignment="0" applyProtection="0"/>
    <xf numFmtId="188" fontId="133" fillId="21" borderId="0" applyNumberFormat="0" applyBorder="0" applyAlignment="0" applyProtection="0"/>
    <xf numFmtId="178" fontId="133" fillId="21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188" fontId="133" fillId="21" borderId="0" applyNumberFormat="0" applyBorder="0" applyAlignment="0" applyProtection="0"/>
    <xf numFmtId="178" fontId="133" fillId="21" borderId="0" applyNumberFormat="0" applyBorder="0" applyAlignment="0" applyProtection="0"/>
    <xf numFmtId="188" fontId="133" fillId="21" borderId="0" applyNumberFormat="0" applyBorder="0" applyAlignment="0" applyProtection="0"/>
    <xf numFmtId="178" fontId="133" fillId="21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132" fillId="98" borderId="0" applyNumberFormat="0" applyBorder="0" applyAlignment="0" applyProtection="0"/>
    <xf numFmtId="0" fontId="132" fillId="98" borderId="0" applyNumberFormat="0" applyBorder="0" applyAlignment="0" applyProtection="0"/>
    <xf numFmtId="178" fontId="132" fillId="98" borderId="0" applyNumberFormat="0" applyBorder="0" applyAlignment="0" applyProtection="0"/>
    <xf numFmtId="178" fontId="132" fillId="98" borderId="0" applyNumberFormat="0" applyBorder="0" applyAlignment="0" applyProtection="0"/>
    <xf numFmtId="0" fontId="61" fillId="99" borderId="0" applyNumberFormat="0" applyBorder="0" applyAlignment="0" applyProtection="0"/>
    <xf numFmtId="188" fontId="61" fillId="100" borderId="0" applyNumberFormat="0" applyBorder="0" applyAlignment="0" applyProtection="0"/>
    <xf numFmtId="178" fontId="61" fillId="100" borderId="0" applyNumberFormat="0" applyBorder="0" applyAlignment="0" applyProtection="0"/>
    <xf numFmtId="188" fontId="61" fillId="100" borderId="0" applyNumberFormat="0" applyBorder="0" applyAlignment="0" applyProtection="0"/>
    <xf numFmtId="178" fontId="61" fillId="100" borderId="0" applyNumberFormat="0" applyBorder="0" applyAlignment="0" applyProtection="0"/>
    <xf numFmtId="188" fontId="61" fillId="100" borderId="0" applyNumberFormat="0" applyBorder="0" applyAlignment="0" applyProtection="0"/>
    <xf numFmtId="178" fontId="61" fillId="100" borderId="0" applyNumberFormat="0" applyBorder="0" applyAlignment="0" applyProtection="0"/>
    <xf numFmtId="0" fontId="61" fillId="99" borderId="0" applyNumberFormat="0" applyBorder="0" applyAlignment="0" applyProtection="0"/>
    <xf numFmtId="178" fontId="61" fillId="99" borderId="0" applyNumberFormat="0" applyBorder="0" applyAlignment="0" applyProtection="0"/>
    <xf numFmtId="178" fontId="61" fillId="99" borderId="0" applyNumberFormat="0" applyBorder="0" applyAlignment="0" applyProtection="0"/>
    <xf numFmtId="0" fontId="61" fillId="101" borderId="0" applyNumberFormat="0" applyBorder="0" applyAlignment="0" applyProtection="0"/>
    <xf numFmtId="188" fontId="61" fillId="80" borderId="0" applyNumberFormat="0" applyBorder="0" applyAlignment="0" applyProtection="0"/>
    <xf numFmtId="178" fontId="61" fillId="80" borderId="0" applyNumberFormat="0" applyBorder="0" applyAlignment="0" applyProtection="0"/>
    <xf numFmtId="188" fontId="61" fillId="80" borderId="0" applyNumberFormat="0" applyBorder="0" applyAlignment="0" applyProtection="0"/>
    <xf numFmtId="178" fontId="61" fillId="80" borderId="0" applyNumberFormat="0" applyBorder="0" applyAlignment="0" applyProtection="0"/>
    <xf numFmtId="188" fontId="61" fillId="80" borderId="0" applyNumberFormat="0" applyBorder="0" applyAlignment="0" applyProtection="0"/>
    <xf numFmtId="178" fontId="61" fillId="80" borderId="0" applyNumberFormat="0" applyBorder="0" applyAlignment="0" applyProtection="0"/>
    <xf numFmtId="0" fontId="61" fillId="101" borderId="0" applyNumberFormat="0" applyBorder="0" applyAlignment="0" applyProtection="0"/>
    <xf numFmtId="178" fontId="61" fillId="101" borderId="0" applyNumberFormat="0" applyBorder="0" applyAlignment="0" applyProtection="0"/>
    <xf numFmtId="178" fontId="61" fillId="101" borderId="0" applyNumberFormat="0" applyBorder="0" applyAlignment="0" applyProtection="0"/>
    <xf numFmtId="0" fontId="132" fillId="82" borderId="0" applyNumberFormat="0" applyBorder="0" applyAlignment="0" applyProtection="0"/>
    <xf numFmtId="188" fontId="132" fillId="83" borderId="0" applyNumberFormat="0" applyBorder="0" applyAlignment="0" applyProtection="0"/>
    <xf numFmtId="178" fontId="132" fillId="83" borderId="0" applyNumberFormat="0" applyBorder="0" applyAlignment="0" applyProtection="0"/>
    <xf numFmtId="188" fontId="132" fillId="83" borderId="0" applyNumberFormat="0" applyBorder="0" applyAlignment="0" applyProtection="0"/>
    <xf numFmtId="178" fontId="132" fillId="83" borderId="0" applyNumberFormat="0" applyBorder="0" applyAlignment="0" applyProtection="0"/>
    <xf numFmtId="188" fontId="132" fillId="83" borderId="0" applyNumberFormat="0" applyBorder="0" applyAlignment="0" applyProtection="0"/>
    <xf numFmtId="178" fontId="132" fillId="83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7" fillId="25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7" fillId="25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7" fillId="25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7" fillId="25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7" fillId="25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7" fillId="25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7" fillId="25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7" fillId="25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7" fillId="25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7" fillId="25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7" fillId="25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7" fillId="25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7" fillId="25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7" fillId="25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7" fillId="25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7" fillId="25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7" fillId="25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7" fillId="25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7" fillId="25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7" fillId="25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7" fillId="25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7" fillId="25" borderId="0" applyNumberFormat="0" applyBorder="0" applyAlignment="0" applyProtection="0"/>
    <xf numFmtId="188" fontId="17" fillId="25" borderId="0" applyNumberFormat="0" applyBorder="0" applyAlignment="0" applyProtection="0"/>
    <xf numFmtId="178" fontId="17" fillId="25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188" fontId="17" fillId="25" borderId="0" applyNumberFormat="0" applyBorder="0" applyAlignment="0" applyProtection="0"/>
    <xf numFmtId="178" fontId="17" fillId="25" borderId="0" applyNumberFormat="0" applyBorder="0" applyAlignment="0" applyProtection="0"/>
    <xf numFmtId="188" fontId="17" fillId="25" borderId="0" applyNumberFormat="0" applyBorder="0" applyAlignment="0" applyProtection="0"/>
    <xf numFmtId="178" fontId="17" fillId="25" borderId="0" applyNumberFormat="0" applyBorder="0" applyAlignment="0" applyProtection="0"/>
    <xf numFmtId="188" fontId="17" fillId="25" borderId="0" applyNumberFormat="0" applyBorder="0" applyAlignment="0" applyProtection="0"/>
    <xf numFmtId="178" fontId="17" fillId="25" borderId="0" applyNumberFormat="0" applyBorder="0" applyAlignment="0" applyProtection="0"/>
    <xf numFmtId="188" fontId="17" fillId="25" borderId="0" applyNumberFormat="0" applyBorder="0" applyAlignment="0" applyProtection="0"/>
    <xf numFmtId="178" fontId="17" fillId="25" borderId="0" applyNumberFormat="0" applyBorder="0" applyAlignment="0" applyProtection="0"/>
    <xf numFmtId="188" fontId="17" fillId="25" borderId="0" applyNumberFormat="0" applyBorder="0" applyAlignment="0" applyProtection="0"/>
    <xf numFmtId="178" fontId="17" fillId="25" borderId="0" applyNumberFormat="0" applyBorder="0" applyAlignment="0" applyProtection="0"/>
    <xf numFmtId="188" fontId="17" fillId="25" borderId="0" applyNumberFormat="0" applyBorder="0" applyAlignment="0" applyProtection="0"/>
    <xf numFmtId="178" fontId="17" fillId="25" borderId="0" applyNumberFormat="0" applyBorder="0" applyAlignment="0" applyProtection="0"/>
    <xf numFmtId="188" fontId="17" fillId="25" borderId="0" applyNumberFormat="0" applyBorder="0" applyAlignment="0" applyProtection="0"/>
    <xf numFmtId="178" fontId="17" fillId="25" borderId="0" applyNumberFormat="0" applyBorder="0" applyAlignment="0" applyProtection="0"/>
    <xf numFmtId="188" fontId="17" fillId="25" borderId="0" applyNumberFormat="0" applyBorder="0" applyAlignment="0" applyProtection="0"/>
    <xf numFmtId="178" fontId="17" fillId="25" borderId="0" applyNumberFormat="0" applyBorder="0" applyAlignment="0" applyProtection="0"/>
    <xf numFmtId="188" fontId="17" fillId="25" borderId="0" applyNumberFormat="0" applyBorder="0" applyAlignment="0" applyProtection="0"/>
    <xf numFmtId="178" fontId="17" fillId="25" borderId="0" applyNumberFormat="0" applyBorder="0" applyAlignment="0" applyProtection="0"/>
    <xf numFmtId="188" fontId="17" fillId="25" borderId="0" applyNumberFormat="0" applyBorder="0" applyAlignment="0" applyProtection="0"/>
    <xf numFmtId="178" fontId="17" fillId="25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188" fontId="17" fillId="25" borderId="0" applyNumberFormat="0" applyBorder="0" applyAlignment="0" applyProtection="0"/>
    <xf numFmtId="178" fontId="17" fillId="25" borderId="0" applyNumberFormat="0" applyBorder="0" applyAlignment="0" applyProtection="0"/>
    <xf numFmtId="188" fontId="17" fillId="25" borderId="0" applyNumberFormat="0" applyBorder="0" applyAlignment="0" applyProtection="0"/>
    <xf numFmtId="178" fontId="17" fillId="25" borderId="0" applyNumberFormat="0" applyBorder="0" applyAlignment="0" applyProtection="0"/>
    <xf numFmtId="188" fontId="17" fillId="25" borderId="0" applyNumberFormat="0" applyBorder="0" applyAlignment="0" applyProtection="0"/>
    <xf numFmtId="178" fontId="17" fillId="25" borderId="0" applyNumberFormat="0" applyBorder="0" applyAlignment="0" applyProtection="0"/>
    <xf numFmtId="188" fontId="17" fillId="25" borderId="0" applyNumberFormat="0" applyBorder="0" applyAlignment="0" applyProtection="0"/>
    <xf numFmtId="178" fontId="17" fillId="25" borderId="0" applyNumberFormat="0" applyBorder="0" applyAlignment="0" applyProtection="0"/>
    <xf numFmtId="188" fontId="17" fillId="25" borderId="0" applyNumberFormat="0" applyBorder="0" applyAlignment="0" applyProtection="0"/>
    <xf numFmtId="178" fontId="17" fillId="25" borderId="0" applyNumberFormat="0" applyBorder="0" applyAlignment="0" applyProtection="0"/>
    <xf numFmtId="188" fontId="17" fillId="25" borderId="0" applyNumberFormat="0" applyBorder="0" applyAlignment="0" applyProtection="0"/>
    <xf numFmtId="178" fontId="17" fillId="25" borderId="0" applyNumberFormat="0" applyBorder="0" applyAlignment="0" applyProtection="0"/>
    <xf numFmtId="188" fontId="17" fillId="25" borderId="0" applyNumberFormat="0" applyBorder="0" applyAlignment="0" applyProtection="0"/>
    <xf numFmtId="178" fontId="17" fillId="25" borderId="0" applyNumberFormat="0" applyBorder="0" applyAlignment="0" applyProtection="0"/>
    <xf numFmtId="188" fontId="17" fillId="25" borderId="0" applyNumberFormat="0" applyBorder="0" applyAlignment="0" applyProtection="0"/>
    <xf numFmtId="178" fontId="17" fillId="25" borderId="0" applyNumberFormat="0" applyBorder="0" applyAlignment="0" applyProtection="0"/>
    <xf numFmtId="188" fontId="17" fillId="25" borderId="0" applyNumberFormat="0" applyBorder="0" applyAlignment="0" applyProtection="0"/>
    <xf numFmtId="178" fontId="17" fillId="25" borderId="0" applyNumberFormat="0" applyBorder="0" applyAlignment="0" applyProtection="0"/>
    <xf numFmtId="188" fontId="17" fillId="25" borderId="0" applyNumberFormat="0" applyBorder="0" applyAlignment="0" applyProtection="0"/>
    <xf numFmtId="178" fontId="17" fillId="25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188" fontId="17" fillId="25" borderId="0" applyNumberFormat="0" applyBorder="0" applyAlignment="0" applyProtection="0"/>
    <xf numFmtId="178" fontId="17" fillId="25" borderId="0" applyNumberFormat="0" applyBorder="0" applyAlignment="0" applyProtection="0"/>
    <xf numFmtId="188" fontId="17" fillId="25" borderId="0" applyNumberFormat="0" applyBorder="0" applyAlignment="0" applyProtection="0"/>
    <xf numFmtId="178" fontId="17" fillId="25" borderId="0" applyNumberFormat="0" applyBorder="0" applyAlignment="0" applyProtection="0"/>
    <xf numFmtId="188" fontId="17" fillId="25" borderId="0" applyNumberFormat="0" applyBorder="0" applyAlignment="0" applyProtection="0"/>
    <xf numFmtId="178" fontId="17" fillId="25" borderId="0" applyNumberFormat="0" applyBorder="0" applyAlignment="0" applyProtection="0"/>
    <xf numFmtId="188" fontId="17" fillId="25" borderId="0" applyNumberFormat="0" applyBorder="0" applyAlignment="0" applyProtection="0"/>
    <xf numFmtId="178" fontId="17" fillId="25" borderId="0" applyNumberFormat="0" applyBorder="0" applyAlignment="0" applyProtection="0"/>
    <xf numFmtId="188" fontId="17" fillId="25" borderId="0" applyNumberFormat="0" applyBorder="0" applyAlignment="0" applyProtection="0"/>
    <xf numFmtId="178" fontId="17" fillId="25" borderId="0" applyNumberFormat="0" applyBorder="0" applyAlignment="0" applyProtection="0"/>
    <xf numFmtId="188" fontId="17" fillId="25" borderId="0" applyNumberFormat="0" applyBorder="0" applyAlignment="0" applyProtection="0"/>
    <xf numFmtId="178" fontId="17" fillId="25" borderId="0" applyNumberFormat="0" applyBorder="0" applyAlignment="0" applyProtection="0"/>
    <xf numFmtId="188" fontId="17" fillId="25" borderId="0" applyNumberFormat="0" applyBorder="0" applyAlignment="0" applyProtection="0"/>
    <xf numFmtId="178" fontId="17" fillId="25" borderId="0" applyNumberFormat="0" applyBorder="0" applyAlignment="0" applyProtection="0"/>
    <xf numFmtId="188" fontId="17" fillId="25" borderId="0" applyNumberFormat="0" applyBorder="0" applyAlignment="0" applyProtection="0"/>
    <xf numFmtId="178" fontId="17" fillId="25" borderId="0" applyNumberFormat="0" applyBorder="0" applyAlignment="0" applyProtection="0"/>
    <xf numFmtId="188" fontId="17" fillId="25" borderId="0" applyNumberFormat="0" applyBorder="0" applyAlignment="0" applyProtection="0"/>
    <xf numFmtId="178" fontId="17" fillId="25" borderId="0" applyNumberFormat="0" applyBorder="0" applyAlignment="0" applyProtection="0"/>
    <xf numFmtId="188" fontId="17" fillId="25" borderId="0" applyNumberFormat="0" applyBorder="0" applyAlignment="0" applyProtection="0"/>
    <xf numFmtId="178" fontId="17" fillId="25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188" fontId="17" fillId="25" borderId="0" applyNumberFormat="0" applyBorder="0" applyAlignment="0" applyProtection="0"/>
    <xf numFmtId="178" fontId="17" fillId="25" borderId="0" applyNumberFormat="0" applyBorder="0" applyAlignment="0" applyProtection="0"/>
    <xf numFmtId="188" fontId="17" fillId="25" borderId="0" applyNumberFormat="0" applyBorder="0" applyAlignment="0" applyProtection="0"/>
    <xf numFmtId="178" fontId="17" fillId="25" borderId="0" applyNumberFormat="0" applyBorder="0" applyAlignment="0" applyProtection="0"/>
    <xf numFmtId="188" fontId="17" fillId="25" borderId="0" applyNumberFormat="0" applyBorder="0" applyAlignment="0" applyProtection="0"/>
    <xf numFmtId="178" fontId="17" fillId="25" borderId="0" applyNumberFormat="0" applyBorder="0" applyAlignment="0" applyProtection="0"/>
    <xf numFmtId="188" fontId="17" fillId="25" borderId="0" applyNumberFormat="0" applyBorder="0" applyAlignment="0" applyProtection="0"/>
    <xf numFmtId="178" fontId="17" fillId="25" borderId="0" applyNumberFormat="0" applyBorder="0" applyAlignment="0" applyProtection="0"/>
    <xf numFmtId="188" fontId="17" fillId="25" borderId="0" applyNumberFormat="0" applyBorder="0" applyAlignment="0" applyProtection="0"/>
    <xf numFmtId="178" fontId="17" fillId="25" borderId="0" applyNumberFormat="0" applyBorder="0" applyAlignment="0" applyProtection="0"/>
    <xf numFmtId="188" fontId="17" fillId="25" borderId="0" applyNumberFormat="0" applyBorder="0" applyAlignment="0" applyProtection="0"/>
    <xf numFmtId="178" fontId="17" fillId="25" borderId="0" applyNumberFormat="0" applyBorder="0" applyAlignment="0" applyProtection="0"/>
    <xf numFmtId="188" fontId="17" fillId="25" borderId="0" applyNumberFormat="0" applyBorder="0" applyAlignment="0" applyProtection="0"/>
    <xf numFmtId="178" fontId="17" fillId="25" borderId="0" applyNumberFormat="0" applyBorder="0" applyAlignment="0" applyProtection="0"/>
    <xf numFmtId="188" fontId="17" fillId="25" borderId="0" applyNumberFormat="0" applyBorder="0" applyAlignment="0" applyProtection="0"/>
    <xf numFmtId="178" fontId="17" fillId="25" borderId="0" applyNumberFormat="0" applyBorder="0" applyAlignment="0" applyProtection="0"/>
    <xf numFmtId="188" fontId="17" fillId="25" borderId="0" applyNumberFormat="0" applyBorder="0" applyAlignment="0" applyProtection="0"/>
    <xf numFmtId="178" fontId="17" fillId="25" borderId="0" applyNumberFormat="0" applyBorder="0" applyAlignment="0" applyProtection="0"/>
    <xf numFmtId="0" fontId="132" fillId="82" borderId="0" applyNumberFormat="0" applyBorder="0" applyAlignment="0" applyProtection="0"/>
    <xf numFmtId="188" fontId="132" fillId="76" borderId="0" applyNumberFormat="0" applyBorder="0" applyAlignment="0" applyProtection="0"/>
    <xf numFmtId="188" fontId="17" fillId="25" borderId="0" applyNumberFormat="0" applyBorder="0" applyAlignment="0" applyProtection="0"/>
    <xf numFmtId="188" fontId="132" fillId="76" borderId="0" applyNumberFormat="0" applyBorder="0" applyAlignment="0" applyProtection="0"/>
    <xf numFmtId="188" fontId="133" fillId="25" borderId="0" applyNumberFormat="0" applyBorder="0" applyAlignment="0" applyProtection="0"/>
    <xf numFmtId="178" fontId="133" fillId="25" borderId="0" applyNumberFormat="0" applyBorder="0" applyAlignment="0" applyProtection="0"/>
    <xf numFmtId="178" fontId="132" fillId="76" borderId="0" applyNumberFormat="0" applyBorder="0" applyAlignment="0" applyProtection="0"/>
    <xf numFmtId="178" fontId="17" fillId="25" borderId="0" applyNumberFormat="0" applyBorder="0" applyAlignment="0" applyProtection="0"/>
    <xf numFmtId="188" fontId="17" fillId="25" borderId="0" applyNumberFormat="0" applyBorder="0" applyAlignment="0" applyProtection="0"/>
    <xf numFmtId="178" fontId="17" fillId="25" borderId="0" applyNumberFormat="0" applyBorder="0" applyAlignment="0" applyProtection="0"/>
    <xf numFmtId="188" fontId="17" fillId="25" borderId="0" applyNumberFormat="0" applyBorder="0" applyAlignment="0" applyProtection="0"/>
    <xf numFmtId="178" fontId="17" fillId="25" borderId="0" applyNumberFormat="0" applyBorder="0" applyAlignment="0" applyProtection="0"/>
    <xf numFmtId="178" fontId="132" fillId="76" borderId="0" applyNumberFormat="0" applyBorder="0" applyAlignment="0" applyProtection="0"/>
    <xf numFmtId="188" fontId="132" fillId="76" borderId="0" applyNumberFormat="0" applyBorder="0" applyAlignment="0" applyProtection="0"/>
    <xf numFmtId="178" fontId="132" fillId="76" borderId="0" applyNumberFormat="0" applyBorder="0" applyAlignment="0" applyProtection="0"/>
    <xf numFmtId="188" fontId="132" fillId="76" borderId="0" applyNumberFormat="0" applyBorder="0" applyAlignment="0" applyProtection="0"/>
    <xf numFmtId="178" fontId="132" fillId="76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188" fontId="133" fillId="25" borderId="0" applyNumberFormat="0" applyBorder="0" applyAlignment="0" applyProtection="0"/>
    <xf numFmtId="178" fontId="133" fillId="25" borderId="0" applyNumberFormat="0" applyBorder="0" applyAlignment="0" applyProtection="0"/>
    <xf numFmtId="188" fontId="133" fillId="25" borderId="0" applyNumberFormat="0" applyBorder="0" applyAlignment="0" applyProtection="0"/>
    <xf numFmtId="178" fontId="133" fillId="25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188" fontId="133" fillId="25" borderId="0" applyNumberFormat="0" applyBorder="0" applyAlignment="0" applyProtection="0"/>
    <xf numFmtId="178" fontId="133" fillId="25" borderId="0" applyNumberFormat="0" applyBorder="0" applyAlignment="0" applyProtection="0"/>
    <xf numFmtId="188" fontId="133" fillId="25" borderId="0" applyNumberFormat="0" applyBorder="0" applyAlignment="0" applyProtection="0"/>
    <xf numFmtId="178" fontId="133" fillId="25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188" fontId="133" fillId="25" borderId="0" applyNumberFormat="0" applyBorder="0" applyAlignment="0" applyProtection="0"/>
    <xf numFmtId="178" fontId="133" fillId="25" borderId="0" applyNumberFormat="0" applyBorder="0" applyAlignment="0" applyProtection="0"/>
    <xf numFmtId="188" fontId="133" fillId="25" borderId="0" applyNumberFormat="0" applyBorder="0" applyAlignment="0" applyProtection="0"/>
    <xf numFmtId="178" fontId="133" fillId="25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188" fontId="17" fillId="25" borderId="0" applyNumberFormat="0" applyBorder="0" applyAlignment="0" applyProtection="0"/>
    <xf numFmtId="178" fontId="17" fillId="25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188" fontId="133" fillId="25" borderId="0" applyNumberFormat="0" applyBorder="0" applyAlignment="0" applyProtection="0"/>
    <xf numFmtId="178" fontId="133" fillId="25" borderId="0" applyNumberFormat="0" applyBorder="0" applyAlignment="0" applyProtection="0"/>
    <xf numFmtId="188" fontId="133" fillId="25" borderId="0" applyNumberFormat="0" applyBorder="0" applyAlignment="0" applyProtection="0"/>
    <xf numFmtId="178" fontId="133" fillId="25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188" fontId="133" fillId="25" borderId="0" applyNumberFormat="0" applyBorder="0" applyAlignment="0" applyProtection="0"/>
    <xf numFmtId="178" fontId="133" fillId="25" borderId="0" applyNumberFormat="0" applyBorder="0" applyAlignment="0" applyProtection="0"/>
    <xf numFmtId="188" fontId="133" fillId="25" borderId="0" applyNumberFormat="0" applyBorder="0" applyAlignment="0" applyProtection="0"/>
    <xf numFmtId="178" fontId="133" fillId="25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188" fontId="133" fillId="25" borderId="0" applyNumberFormat="0" applyBorder="0" applyAlignment="0" applyProtection="0"/>
    <xf numFmtId="178" fontId="133" fillId="25" borderId="0" applyNumberFormat="0" applyBorder="0" applyAlignment="0" applyProtection="0"/>
    <xf numFmtId="188" fontId="133" fillId="25" borderId="0" applyNumberFormat="0" applyBorder="0" applyAlignment="0" applyProtection="0"/>
    <xf numFmtId="178" fontId="133" fillId="25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188" fontId="133" fillId="25" borderId="0" applyNumberFormat="0" applyBorder="0" applyAlignment="0" applyProtection="0"/>
    <xf numFmtId="178" fontId="133" fillId="25" borderId="0" applyNumberFormat="0" applyBorder="0" applyAlignment="0" applyProtection="0"/>
    <xf numFmtId="188" fontId="133" fillId="25" borderId="0" applyNumberFormat="0" applyBorder="0" applyAlignment="0" applyProtection="0"/>
    <xf numFmtId="178" fontId="133" fillId="25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132" fillId="82" borderId="0" applyNumberFormat="0" applyBorder="0" applyAlignment="0" applyProtection="0"/>
    <xf numFmtId="0" fontId="132" fillId="82" borderId="0" applyNumberFormat="0" applyBorder="0" applyAlignment="0" applyProtection="0"/>
    <xf numFmtId="178" fontId="132" fillId="82" borderId="0" applyNumberFormat="0" applyBorder="0" applyAlignment="0" applyProtection="0"/>
    <xf numFmtId="178" fontId="132" fillId="82" borderId="0" applyNumberFormat="0" applyBorder="0" applyAlignment="0" applyProtection="0"/>
    <xf numFmtId="0" fontId="61" fillId="86" borderId="0" applyNumberFormat="0" applyBorder="0" applyAlignment="0" applyProtection="0"/>
    <xf numFmtId="0" fontId="61" fillId="86" borderId="0" applyNumberFormat="0" applyBorder="0" applyAlignment="0" applyProtection="0"/>
    <xf numFmtId="178" fontId="61" fillId="86" borderId="0" applyNumberFormat="0" applyBorder="0" applyAlignment="0" applyProtection="0"/>
    <xf numFmtId="178" fontId="61" fillId="86" borderId="0" applyNumberFormat="0" applyBorder="0" applyAlignment="0" applyProtection="0"/>
    <xf numFmtId="0" fontId="61" fillId="102" borderId="0" applyNumberFormat="0" applyBorder="0" applyAlignment="0" applyProtection="0"/>
    <xf numFmtId="0" fontId="61" fillId="102" borderId="0" applyNumberFormat="0" applyBorder="0" applyAlignment="0" applyProtection="0"/>
    <xf numFmtId="178" fontId="61" fillId="102" borderId="0" applyNumberFormat="0" applyBorder="0" applyAlignment="0" applyProtection="0"/>
    <xf numFmtId="178" fontId="61" fillId="102" borderId="0" applyNumberFormat="0" applyBorder="0" applyAlignment="0" applyProtection="0"/>
    <xf numFmtId="0" fontId="132" fillId="103" borderId="0" applyNumberFormat="0" applyBorder="0" applyAlignment="0" applyProtection="0"/>
    <xf numFmtId="188" fontId="132" fillId="102" borderId="0" applyNumberFormat="0" applyBorder="0" applyAlignment="0" applyProtection="0"/>
    <xf numFmtId="178" fontId="132" fillId="102" borderId="0" applyNumberFormat="0" applyBorder="0" applyAlignment="0" applyProtection="0"/>
    <xf numFmtId="188" fontId="132" fillId="102" borderId="0" applyNumberFormat="0" applyBorder="0" applyAlignment="0" applyProtection="0"/>
    <xf numFmtId="178" fontId="132" fillId="102" borderId="0" applyNumberFormat="0" applyBorder="0" applyAlignment="0" applyProtection="0"/>
    <xf numFmtId="188" fontId="132" fillId="102" borderId="0" applyNumberFormat="0" applyBorder="0" applyAlignment="0" applyProtection="0"/>
    <xf numFmtId="178" fontId="132" fillId="102" borderId="0" applyNumberFormat="0" applyBorder="0" applyAlignment="0" applyProtection="0"/>
    <xf numFmtId="0" fontId="132" fillId="103" borderId="0" applyNumberFormat="0" applyBorder="0" applyAlignment="0" applyProtection="0"/>
    <xf numFmtId="178" fontId="132" fillId="103" borderId="0" applyNumberFormat="0" applyBorder="0" applyAlignment="0" applyProtection="0"/>
    <xf numFmtId="178" fontId="132" fillId="103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7" fillId="29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7" fillId="29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7" fillId="29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7" fillId="29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7" fillId="29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7" fillId="29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7" fillId="29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7" fillId="29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7" fillId="29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7" fillId="29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7" fillId="29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7" fillId="29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7" fillId="29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7" fillId="29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7" fillId="29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7" fillId="29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7" fillId="29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7" fillId="29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7" fillId="29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7" fillId="29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7" fillId="29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7" fillId="29" borderId="0" applyNumberFormat="0" applyBorder="0" applyAlignment="0" applyProtection="0"/>
    <xf numFmtId="188" fontId="17" fillId="29" borderId="0" applyNumberFormat="0" applyBorder="0" applyAlignment="0" applyProtection="0"/>
    <xf numFmtId="178" fontId="17" fillId="29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88" fontId="17" fillId="29" borderId="0" applyNumberFormat="0" applyBorder="0" applyAlignment="0" applyProtection="0"/>
    <xf numFmtId="178" fontId="17" fillId="29" borderId="0" applyNumberFormat="0" applyBorder="0" applyAlignment="0" applyProtection="0"/>
    <xf numFmtId="188" fontId="17" fillId="29" borderId="0" applyNumberFormat="0" applyBorder="0" applyAlignment="0" applyProtection="0"/>
    <xf numFmtId="178" fontId="17" fillId="29" borderId="0" applyNumberFormat="0" applyBorder="0" applyAlignment="0" applyProtection="0"/>
    <xf numFmtId="188" fontId="17" fillId="29" borderId="0" applyNumberFormat="0" applyBorder="0" applyAlignment="0" applyProtection="0"/>
    <xf numFmtId="178" fontId="17" fillId="29" borderId="0" applyNumberFormat="0" applyBorder="0" applyAlignment="0" applyProtection="0"/>
    <xf numFmtId="188" fontId="17" fillId="29" borderId="0" applyNumberFormat="0" applyBorder="0" applyAlignment="0" applyProtection="0"/>
    <xf numFmtId="178" fontId="17" fillId="29" borderId="0" applyNumberFormat="0" applyBorder="0" applyAlignment="0" applyProtection="0"/>
    <xf numFmtId="188" fontId="17" fillId="29" borderId="0" applyNumberFormat="0" applyBorder="0" applyAlignment="0" applyProtection="0"/>
    <xf numFmtId="178" fontId="17" fillId="29" borderId="0" applyNumberFormat="0" applyBorder="0" applyAlignment="0" applyProtection="0"/>
    <xf numFmtId="188" fontId="17" fillId="29" borderId="0" applyNumberFormat="0" applyBorder="0" applyAlignment="0" applyProtection="0"/>
    <xf numFmtId="178" fontId="17" fillId="29" borderId="0" applyNumberFormat="0" applyBorder="0" applyAlignment="0" applyProtection="0"/>
    <xf numFmtId="188" fontId="17" fillId="29" borderId="0" applyNumberFormat="0" applyBorder="0" applyAlignment="0" applyProtection="0"/>
    <xf numFmtId="178" fontId="17" fillId="29" borderId="0" applyNumberFormat="0" applyBorder="0" applyAlignment="0" applyProtection="0"/>
    <xf numFmtId="188" fontId="17" fillId="29" borderId="0" applyNumberFormat="0" applyBorder="0" applyAlignment="0" applyProtection="0"/>
    <xf numFmtId="178" fontId="17" fillId="29" borderId="0" applyNumberFormat="0" applyBorder="0" applyAlignment="0" applyProtection="0"/>
    <xf numFmtId="188" fontId="17" fillId="29" borderId="0" applyNumberFormat="0" applyBorder="0" applyAlignment="0" applyProtection="0"/>
    <xf numFmtId="178" fontId="17" fillId="29" borderId="0" applyNumberFormat="0" applyBorder="0" applyAlignment="0" applyProtection="0"/>
    <xf numFmtId="188" fontId="17" fillId="29" borderId="0" applyNumberFormat="0" applyBorder="0" applyAlignment="0" applyProtection="0"/>
    <xf numFmtId="178" fontId="17" fillId="29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88" fontId="17" fillId="29" borderId="0" applyNumberFormat="0" applyBorder="0" applyAlignment="0" applyProtection="0"/>
    <xf numFmtId="178" fontId="17" fillId="29" borderId="0" applyNumberFormat="0" applyBorder="0" applyAlignment="0" applyProtection="0"/>
    <xf numFmtId="188" fontId="17" fillId="29" borderId="0" applyNumberFormat="0" applyBorder="0" applyAlignment="0" applyProtection="0"/>
    <xf numFmtId="178" fontId="17" fillId="29" borderId="0" applyNumberFormat="0" applyBorder="0" applyAlignment="0" applyProtection="0"/>
    <xf numFmtId="188" fontId="17" fillId="29" borderId="0" applyNumberFormat="0" applyBorder="0" applyAlignment="0" applyProtection="0"/>
    <xf numFmtId="178" fontId="17" fillId="29" borderId="0" applyNumberFormat="0" applyBorder="0" applyAlignment="0" applyProtection="0"/>
    <xf numFmtId="188" fontId="17" fillId="29" borderId="0" applyNumberFormat="0" applyBorder="0" applyAlignment="0" applyProtection="0"/>
    <xf numFmtId="178" fontId="17" fillId="29" borderId="0" applyNumberFormat="0" applyBorder="0" applyAlignment="0" applyProtection="0"/>
    <xf numFmtId="188" fontId="17" fillId="29" borderId="0" applyNumberFormat="0" applyBorder="0" applyAlignment="0" applyProtection="0"/>
    <xf numFmtId="178" fontId="17" fillId="29" borderId="0" applyNumberFormat="0" applyBorder="0" applyAlignment="0" applyProtection="0"/>
    <xf numFmtId="188" fontId="17" fillId="29" borderId="0" applyNumberFormat="0" applyBorder="0" applyAlignment="0" applyProtection="0"/>
    <xf numFmtId="178" fontId="17" fillId="29" borderId="0" applyNumberFormat="0" applyBorder="0" applyAlignment="0" applyProtection="0"/>
    <xf numFmtId="188" fontId="17" fillId="29" borderId="0" applyNumberFormat="0" applyBorder="0" applyAlignment="0" applyProtection="0"/>
    <xf numFmtId="178" fontId="17" fillId="29" borderId="0" applyNumberFormat="0" applyBorder="0" applyAlignment="0" applyProtection="0"/>
    <xf numFmtId="188" fontId="17" fillId="29" borderId="0" applyNumberFormat="0" applyBorder="0" applyAlignment="0" applyProtection="0"/>
    <xf numFmtId="178" fontId="17" fillId="29" borderId="0" applyNumberFormat="0" applyBorder="0" applyAlignment="0" applyProtection="0"/>
    <xf numFmtId="188" fontId="17" fillId="29" borderId="0" applyNumberFormat="0" applyBorder="0" applyAlignment="0" applyProtection="0"/>
    <xf numFmtId="178" fontId="17" fillId="29" borderId="0" applyNumberFormat="0" applyBorder="0" applyAlignment="0" applyProtection="0"/>
    <xf numFmtId="188" fontId="17" fillId="29" borderId="0" applyNumberFormat="0" applyBorder="0" applyAlignment="0" applyProtection="0"/>
    <xf numFmtId="178" fontId="17" fillId="29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88" fontId="17" fillId="29" borderId="0" applyNumberFormat="0" applyBorder="0" applyAlignment="0" applyProtection="0"/>
    <xf numFmtId="178" fontId="17" fillId="29" borderId="0" applyNumberFormat="0" applyBorder="0" applyAlignment="0" applyProtection="0"/>
    <xf numFmtId="188" fontId="17" fillId="29" borderId="0" applyNumberFormat="0" applyBorder="0" applyAlignment="0" applyProtection="0"/>
    <xf numFmtId="178" fontId="17" fillId="29" borderId="0" applyNumberFormat="0" applyBorder="0" applyAlignment="0" applyProtection="0"/>
    <xf numFmtId="188" fontId="17" fillId="29" borderId="0" applyNumberFormat="0" applyBorder="0" applyAlignment="0" applyProtection="0"/>
    <xf numFmtId="178" fontId="17" fillId="29" borderId="0" applyNumberFormat="0" applyBorder="0" applyAlignment="0" applyProtection="0"/>
    <xf numFmtId="188" fontId="17" fillId="29" borderId="0" applyNumberFormat="0" applyBorder="0" applyAlignment="0" applyProtection="0"/>
    <xf numFmtId="178" fontId="17" fillId="29" borderId="0" applyNumberFormat="0" applyBorder="0" applyAlignment="0" applyProtection="0"/>
    <xf numFmtId="188" fontId="17" fillId="29" borderId="0" applyNumberFormat="0" applyBorder="0" applyAlignment="0" applyProtection="0"/>
    <xf numFmtId="178" fontId="17" fillId="29" borderId="0" applyNumberFormat="0" applyBorder="0" applyAlignment="0" applyProtection="0"/>
    <xf numFmtId="188" fontId="17" fillId="29" borderId="0" applyNumberFormat="0" applyBorder="0" applyAlignment="0" applyProtection="0"/>
    <xf numFmtId="178" fontId="17" fillId="29" borderId="0" applyNumberFormat="0" applyBorder="0" applyAlignment="0" applyProtection="0"/>
    <xf numFmtId="188" fontId="17" fillId="29" borderId="0" applyNumberFormat="0" applyBorder="0" applyAlignment="0" applyProtection="0"/>
    <xf numFmtId="178" fontId="17" fillId="29" borderId="0" applyNumberFormat="0" applyBorder="0" applyAlignment="0" applyProtection="0"/>
    <xf numFmtId="188" fontId="17" fillId="29" borderId="0" applyNumberFormat="0" applyBorder="0" applyAlignment="0" applyProtection="0"/>
    <xf numFmtId="178" fontId="17" fillId="29" borderId="0" applyNumberFormat="0" applyBorder="0" applyAlignment="0" applyProtection="0"/>
    <xf numFmtId="188" fontId="17" fillId="29" borderId="0" applyNumberFormat="0" applyBorder="0" applyAlignment="0" applyProtection="0"/>
    <xf numFmtId="178" fontId="17" fillId="29" borderId="0" applyNumberFormat="0" applyBorder="0" applyAlignment="0" applyProtection="0"/>
    <xf numFmtId="188" fontId="17" fillId="29" borderId="0" applyNumberFormat="0" applyBorder="0" applyAlignment="0" applyProtection="0"/>
    <xf numFmtId="178" fontId="17" fillId="29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88" fontId="17" fillId="29" borderId="0" applyNumberFormat="0" applyBorder="0" applyAlignment="0" applyProtection="0"/>
    <xf numFmtId="178" fontId="17" fillId="29" borderId="0" applyNumberFormat="0" applyBorder="0" applyAlignment="0" applyProtection="0"/>
    <xf numFmtId="188" fontId="17" fillId="29" borderId="0" applyNumberFormat="0" applyBorder="0" applyAlignment="0" applyProtection="0"/>
    <xf numFmtId="178" fontId="17" fillId="29" borderId="0" applyNumberFormat="0" applyBorder="0" applyAlignment="0" applyProtection="0"/>
    <xf numFmtId="188" fontId="17" fillId="29" borderId="0" applyNumberFormat="0" applyBorder="0" applyAlignment="0" applyProtection="0"/>
    <xf numFmtId="178" fontId="17" fillId="29" borderId="0" applyNumberFormat="0" applyBorder="0" applyAlignment="0" applyProtection="0"/>
    <xf numFmtId="188" fontId="17" fillId="29" borderId="0" applyNumberFormat="0" applyBorder="0" applyAlignment="0" applyProtection="0"/>
    <xf numFmtId="178" fontId="17" fillId="29" borderId="0" applyNumberFormat="0" applyBorder="0" applyAlignment="0" applyProtection="0"/>
    <xf numFmtId="188" fontId="17" fillId="29" borderId="0" applyNumberFormat="0" applyBorder="0" applyAlignment="0" applyProtection="0"/>
    <xf numFmtId="178" fontId="17" fillId="29" borderId="0" applyNumberFormat="0" applyBorder="0" applyAlignment="0" applyProtection="0"/>
    <xf numFmtId="188" fontId="17" fillId="29" borderId="0" applyNumberFormat="0" applyBorder="0" applyAlignment="0" applyProtection="0"/>
    <xf numFmtId="178" fontId="17" fillId="29" borderId="0" applyNumberFormat="0" applyBorder="0" applyAlignment="0" applyProtection="0"/>
    <xf numFmtId="188" fontId="17" fillId="29" borderId="0" applyNumberFormat="0" applyBorder="0" applyAlignment="0" applyProtection="0"/>
    <xf numFmtId="178" fontId="17" fillId="29" borderId="0" applyNumberFormat="0" applyBorder="0" applyAlignment="0" applyProtection="0"/>
    <xf numFmtId="188" fontId="17" fillId="29" borderId="0" applyNumberFormat="0" applyBorder="0" applyAlignment="0" applyProtection="0"/>
    <xf numFmtId="178" fontId="17" fillId="29" borderId="0" applyNumberFormat="0" applyBorder="0" applyAlignment="0" applyProtection="0"/>
    <xf numFmtId="188" fontId="17" fillId="29" borderId="0" applyNumberFormat="0" applyBorder="0" applyAlignment="0" applyProtection="0"/>
    <xf numFmtId="178" fontId="17" fillId="29" borderId="0" applyNumberFormat="0" applyBorder="0" applyAlignment="0" applyProtection="0"/>
    <xf numFmtId="0" fontId="132" fillId="104" borderId="0" applyNumberFormat="0" applyBorder="0" applyAlignment="0" applyProtection="0"/>
    <xf numFmtId="188" fontId="132" fillId="105" borderId="0" applyNumberFormat="0" applyBorder="0" applyAlignment="0" applyProtection="0"/>
    <xf numFmtId="188" fontId="17" fillId="29" borderId="0" applyNumberFormat="0" applyBorder="0" applyAlignment="0" applyProtection="0"/>
    <xf numFmtId="188" fontId="132" fillId="105" borderId="0" applyNumberFormat="0" applyBorder="0" applyAlignment="0" applyProtection="0"/>
    <xf numFmtId="188" fontId="133" fillId="29" borderId="0" applyNumberFormat="0" applyBorder="0" applyAlignment="0" applyProtection="0"/>
    <xf numFmtId="178" fontId="133" fillId="29" borderId="0" applyNumberFormat="0" applyBorder="0" applyAlignment="0" applyProtection="0"/>
    <xf numFmtId="178" fontId="132" fillId="105" borderId="0" applyNumberFormat="0" applyBorder="0" applyAlignment="0" applyProtection="0"/>
    <xf numFmtId="178" fontId="17" fillId="29" borderId="0" applyNumberFormat="0" applyBorder="0" applyAlignment="0" applyProtection="0"/>
    <xf numFmtId="188" fontId="17" fillId="29" borderId="0" applyNumberFormat="0" applyBorder="0" applyAlignment="0" applyProtection="0"/>
    <xf numFmtId="178" fontId="17" fillId="29" borderId="0" applyNumberFormat="0" applyBorder="0" applyAlignment="0" applyProtection="0"/>
    <xf numFmtId="188" fontId="17" fillId="29" borderId="0" applyNumberFormat="0" applyBorder="0" applyAlignment="0" applyProtection="0"/>
    <xf numFmtId="178" fontId="17" fillId="29" borderId="0" applyNumberFormat="0" applyBorder="0" applyAlignment="0" applyProtection="0"/>
    <xf numFmtId="178" fontId="132" fillId="105" borderId="0" applyNumberFormat="0" applyBorder="0" applyAlignment="0" applyProtection="0"/>
    <xf numFmtId="188" fontId="132" fillId="105" borderId="0" applyNumberFormat="0" applyBorder="0" applyAlignment="0" applyProtection="0"/>
    <xf numFmtId="178" fontId="132" fillId="105" borderId="0" applyNumberFormat="0" applyBorder="0" applyAlignment="0" applyProtection="0"/>
    <xf numFmtId="188" fontId="132" fillId="105" borderId="0" applyNumberFormat="0" applyBorder="0" applyAlignment="0" applyProtection="0"/>
    <xf numFmtId="178" fontId="132" fillId="105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188" fontId="133" fillId="29" borderId="0" applyNumberFormat="0" applyBorder="0" applyAlignment="0" applyProtection="0"/>
    <xf numFmtId="178" fontId="133" fillId="29" borderId="0" applyNumberFormat="0" applyBorder="0" applyAlignment="0" applyProtection="0"/>
    <xf numFmtId="188" fontId="133" fillId="29" borderId="0" applyNumberFormat="0" applyBorder="0" applyAlignment="0" applyProtection="0"/>
    <xf numFmtId="178" fontId="133" fillId="29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188" fontId="133" fillId="29" borderId="0" applyNumberFormat="0" applyBorder="0" applyAlignment="0" applyProtection="0"/>
    <xf numFmtId="178" fontId="133" fillId="29" borderId="0" applyNumberFormat="0" applyBorder="0" applyAlignment="0" applyProtection="0"/>
    <xf numFmtId="188" fontId="133" fillId="29" borderId="0" applyNumberFormat="0" applyBorder="0" applyAlignment="0" applyProtection="0"/>
    <xf numFmtId="178" fontId="133" fillId="29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188" fontId="133" fillId="29" borderId="0" applyNumberFormat="0" applyBorder="0" applyAlignment="0" applyProtection="0"/>
    <xf numFmtId="178" fontId="133" fillId="29" borderId="0" applyNumberFormat="0" applyBorder="0" applyAlignment="0" applyProtection="0"/>
    <xf numFmtId="188" fontId="133" fillId="29" borderId="0" applyNumberFormat="0" applyBorder="0" applyAlignment="0" applyProtection="0"/>
    <xf numFmtId="178" fontId="133" fillId="29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188" fontId="17" fillId="29" borderId="0" applyNumberFormat="0" applyBorder="0" applyAlignment="0" applyProtection="0"/>
    <xf numFmtId="178" fontId="17" fillId="29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188" fontId="133" fillId="29" borderId="0" applyNumberFormat="0" applyBorder="0" applyAlignment="0" applyProtection="0"/>
    <xf numFmtId="178" fontId="133" fillId="29" borderId="0" applyNumberFormat="0" applyBorder="0" applyAlignment="0" applyProtection="0"/>
    <xf numFmtId="188" fontId="133" fillId="29" borderId="0" applyNumberFormat="0" applyBorder="0" applyAlignment="0" applyProtection="0"/>
    <xf numFmtId="178" fontId="133" fillId="29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188" fontId="133" fillId="29" borderId="0" applyNumberFormat="0" applyBorder="0" applyAlignment="0" applyProtection="0"/>
    <xf numFmtId="178" fontId="133" fillId="29" borderId="0" applyNumberFormat="0" applyBorder="0" applyAlignment="0" applyProtection="0"/>
    <xf numFmtId="188" fontId="133" fillId="29" borderId="0" applyNumberFormat="0" applyBorder="0" applyAlignment="0" applyProtection="0"/>
    <xf numFmtId="178" fontId="133" fillId="29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188" fontId="133" fillId="29" borderId="0" applyNumberFormat="0" applyBorder="0" applyAlignment="0" applyProtection="0"/>
    <xf numFmtId="178" fontId="133" fillId="29" borderId="0" applyNumberFormat="0" applyBorder="0" applyAlignment="0" applyProtection="0"/>
    <xf numFmtId="188" fontId="133" fillId="29" borderId="0" applyNumberFormat="0" applyBorder="0" applyAlignment="0" applyProtection="0"/>
    <xf numFmtId="178" fontId="133" fillId="29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188" fontId="133" fillId="29" borderId="0" applyNumberFormat="0" applyBorder="0" applyAlignment="0" applyProtection="0"/>
    <xf numFmtId="178" fontId="133" fillId="29" borderId="0" applyNumberFormat="0" applyBorder="0" applyAlignment="0" applyProtection="0"/>
    <xf numFmtId="188" fontId="133" fillId="29" borderId="0" applyNumberFormat="0" applyBorder="0" applyAlignment="0" applyProtection="0"/>
    <xf numFmtId="178" fontId="133" fillId="29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0" fontId="132" fillId="104" borderId="0" applyNumberFormat="0" applyBorder="0" applyAlignment="0" applyProtection="0"/>
    <xf numFmtId="0" fontId="132" fillId="104" borderId="0" applyNumberFormat="0" applyBorder="0" applyAlignment="0" applyProtection="0"/>
    <xf numFmtId="178" fontId="132" fillId="104" borderId="0" applyNumberFormat="0" applyBorder="0" applyAlignment="0" applyProtection="0"/>
    <xf numFmtId="178" fontId="132" fillId="104" borderId="0" applyNumberFormat="0" applyBorder="0" applyAlignment="0" applyProtection="0"/>
    <xf numFmtId="221" fontId="18" fillId="0" borderId="0" applyFont="0" applyFill="0" applyBorder="0" applyProtection="0"/>
    <xf numFmtId="221" fontId="18" fillId="0" borderId="0" applyFont="0" applyFill="0" applyBorder="0" applyProtection="0"/>
    <xf numFmtId="222" fontId="67" fillId="0" borderId="0"/>
    <xf numFmtId="223" fontId="137" fillId="0" borderId="20"/>
    <xf numFmtId="0" fontId="67" fillId="0" borderId="0" applyFont="0" applyFill="0" applyBorder="0" applyAlignment="0" applyProtection="0">
      <alignment horizontal="right"/>
    </xf>
    <xf numFmtId="0" fontId="67" fillId="0" borderId="0" applyFont="0" applyFill="0" applyBorder="0" applyAlignment="0" applyProtection="0">
      <alignment horizontal="right"/>
    </xf>
    <xf numFmtId="178" fontId="67" fillId="0" borderId="0" applyFont="0" applyFill="0" applyBorder="0" applyAlignment="0" applyProtection="0">
      <alignment horizontal="right"/>
    </xf>
    <xf numFmtId="178" fontId="67" fillId="0" borderId="0" applyFont="0" applyFill="0" applyBorder="0" applyAlignment="0" applyProtection="0">
      <alignment horizontal="right"/>
    </xf>
    <xf numFmtId="224" fontId="18" fillId="0" borderId="0">
      <alignment horizontal="right"/>
    </xf>
    <xf numFmtId="0" fontId="67" fillId="0" borderId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/>
    <xf numFmtId="0" fontId="18" fillId="0" borderId="0"/>
    <xf numFmtId="178" fontId="18" fillId="0" borderId="0"/>
    <xf numFmtId="178" fontId="18" fillId="0" borderId="0"/>
    <xf numFmtId="223" fontId="67" fillId="0" borderId="18" applyBorder="0"/>
    <xf numFmtId="0" fontId="138" fillId="78" borderId="0" applyNumberFormat="0" applyBorder="0" applyAlignment="0" applyProtection="0">
      <alignment horizontal="center"/>
    </xf>
    <xf numFmtId="0" fontId="138" fillId="78" borderId="0" applyNumberFormat="0" applyBorder="0" applyAlignment="0" applyProtection="0">
      <alignment horizontal="center"/>
    </xf>
    <xf numFmtId="178" fontId="138" fillId="78" borderId="0" applyNumberFormat="0" applyBorder="0" applyAlignment="0" applyProtection="0">
      <alignment horizontal="center"/>
    </xf>
    <xf numFmtId="178" fontId="138" fillId="78" borderId="0" applyNumberFormat="0" applyBorder="0" applyAlignment="0" applyProtection="0">
      <alignment horizontal="center"/>
    </xf>
    <xf numFmtId="225" fontId="67" fillId="0" borderId="0">
      <alignment horizontal="right"/>
    </xf>
    <xf numFmtId="168" fontId="18" fillId="0" borderId="0" applyNumberFormat="0">
      <alignment vertical="center"/>
    </xf>
    <xf numFmtId="222" fontId="71" fillId="0" borderId="0">
      <alignment horizontal="right"/>
    </xf>
    <xf numFmtId="0" fontId="18" fillId="0" borderId="44">
      <alignment horizontal="center" vertical="center" wrapText="1"/>
    </xf>
    <xf numFmtId="0" fontId="18" fillId="0" borderId="44">
      <alignment horizontal="center" vertical="center" wrapText="1"/>
    </xf>
    <xf numFmtId="0" fontId="18" fillId="0" borderId="44">
      <alignment horizontal="center" vertical="center" wrapText="1"/>
    </xf>
    <xf numFmtId="178" fontId="18" fillId="0" borderId="44">
      <alignment horizontal="center" vertical="center" wrapText="1"/>
    </xf>
    <xf numFmtId="0" fontId="18" fillId="0" borderId="44">
      <alignment horizontal="center" vertical="center" wrapText="1"/>
    </xf>
    <xf numFmtId="0" fontId="18" fillId="0" borderId="44">
      <alignment horizontal="center" vertical="center" wrapText="1"/>
    </xf>
    <xf numFmtId="178" fontId="18" fillId="0" borderId="44">
      <alignment horizontal="center" vertical="center" wrapText="1"/>
    </xf>
    <xf numFmtId="188" fontId="18" fillId="0" borderId="44">
      <alignment horizontal="center" vertical="center" wrapText="1"/>
    </xf>
    <xf numFmtId="178" fontId="18" fillId="0" borderId="44">
      <alignment horizontal="center" vertical="center" wrapText="1"/>
    </xf>
    <xf numFmtId="0" fontId="18" fillId="0" borderId="44">
      <alignment horizontal="center" vertical="center" wrapText="1"/>
    </xf>
    <xf numFmtId="0" fontId="18" fillId="0" borderId="44">
      <alignment horizontal="center" vertical="center" wrapText="1"/>
    </xf>
    <xf numFmtId="178" fontId="18" fillId="0" borderId="44">
      <alignment horizontal="center" vertical="center" wrapText="1"/>
    </xf>
    <xf numFmtId="0" fontId="18" fillId="0" borderId="44">
      <alignment horizontal="center" vertical="center" wrapText="1"/>
    </xf>
    <xf numFmtId="0" fontId="18" fillId="0" borderId="44">
      <alignment horizontal="center" vertical="center" wrapText="1"/>
    </xf>
    <xf numFmtId="178" fontId="18" fillId="0" borderId="44">
      <alignment horizontal="center" vertical="center" wrapText="1"/>
    </xf>
    <xf numFmtId="188" fontId="18" fillId="0" borderId="44">
      <alignment horizontal="center" vertical="center" wrapText="1"/>
    </xf>
    <xf numFmtId="178" fontId="18" fillId="0" borderId="44">
      <alignment horizontal="center" vertical="center" wrapText="1"/>
    </xf>
    <xf numFmtId="0" fontId="18" fillId="0" borderId="44">
      <alignment horizontal="center" vertical="center" wrapText="1"/>
    </xf>
    <xf numFmtId="0" fontId="18" fillId="0" borderId="44">
      <alignment horizontal="center" vertical="center" wrapText="1"/>
    </xf>
    <xf numFmtId="178" fontId="18" fillId="0" borderId="44">
      <alignment horizontal="center" vertical="center" wrapText="1"/>
    </xf>
    <xf numFmtId="188" fontId="18" fillId="0" borderId="44">
      <alignment horizontal="center" vertical="center" wrapText="1"/>
    </xf>
    <xf numFmtId="178" fontId="18" fillId="0" borderId="44">
      <alignment horizontal="center" vertical="center" wrapText="1"/>
    </xf>
    <xf numFmtId="0" fontId="71" fillId="0" borderId="0">
      <alignment horizontal="center" wrapText="1"/>
      <protection locked="0"/>
    </xf>
    <xf numFmtId="0" fontId="71" fillId="0" borderId="0">
      <alignment horizontal="center" wrapText="1"/>
      <protection locked="0"/>
    </xf>
    <xf numFmtId="178" fontId="71" fillId="0" borderId="0">
      <alignment horizontal="center" wrapText="1"/>
      <protection locked="0"/>
    </xf>
    <xf numFmtId="178" fontId="71" fillId="0" borderId="0">
      <alignment horizontal="center" wrapText="1"/>
      <protection locked="0"/>
    </xf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8" fontId="18" fillId="0" borderId="0" applyNumberFormat="0" applyFill="0" applyBorder="0" applyAlignment="0" applyProtection="0"/>
    <xf numFmtId="178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8" fontId="18" fillId="0" borderId="0" applyNumberFormat="0" applyFill="0" applyBorder="0" applyAlignment="0" applyProtection="0"/>
    <xf numFmtId="178" fontId="18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178" fontId="94" fillId="0" borderId="0" applyNumberFormat="0" applyFill="0" applyBorder="0" applyAlignment="0" applyProtection="0"/>
    <xf numFmtId="178" fontId="94" fillId="0" borderId="0" applyNumberFormat="0" applyFill="0" applyBorder="0" applyAlignment="0" applyProtection="0"/>
    <xf numFmtId="0" fontId="139" fillId="0" borderId="45">
      <protection hidden="1"/>
    </xf>
    <xf numFmtId="0" fontId="139" fillId="0" borderId="45">
      <protection hidden="1"/>
    </xf>
    <xf numFmtId="178" fontId="139" fillId="0" borderId="45">
      <protection hidden="1"/>
    </xf>
    <xf numFmtId="178" fontId="139" fillId="0" borderId="45">
      <protection hidden="1"/>
    </xf>
    <xf numFmtId="0" fontId="140" fillId="53" borderId="45" applyNumberFormat="0" applyFont="0" applyBorder="0" applyAlignment="0" applyProtection="0">
      <protection hidden="1"/>
    </xf>
    <xf numFmtId="0" fontId="140" fillId="53" borderId="45" applyNumberFormat="0" applyFont="0" applyBorder="0" applyAlignment="0" applyProtection="0">
      <protection hidden="1"/>
    </xf>
    <xf numFmtId="178" fontId="140" fillId="53" borderId="45" applyNumberFormat="0" applyFont="0" applyBorder="0" applyAlignment="0" applyProtection="0">
      <protection hidden="1"/>
    </xf>
    <xf numFmtId="178" fontId="140" fillId="53" borderId="45" applyNumberFormat="0" applyFont="0" applyBorder="0" applyAlignment="0" applyProtection="0">
      <protection hidden="1"/>
    </xf>
    <xf numFmtId="0" fontId="1" fillId="106" borderId="0" applyNumberFormat="0"/>
    <xf numFmtId="0" fontId="1" fillId="106" borderId="0" applyNumberFormat="0"/>
    <xf numFmtId="176" fontId="18" fillId="0" borderId="0" applyFont="0" applyFill="0" applyBorder="0" applyAlignment="0" applyProtection="0"/>
    <xf numFmtId="175" fontId="141" fillId="0" borderId="0" applyFont="0" applyFill="0" applyBorder="0" applyAlignment="0" applyProtection="0"/>
    <xf numFmtId="176" fontId="141" fillId="0" borderId="0" applyFont="0" applyFill="0" applyBorder="0" applyAlignment="0" applyProtection="0"/>
    <xf numFmtId="226" fontId="67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178" fontId="142" fillId="0" borderId="0" applyNumberFormat="0" applyFill="0" applyBorder="0" applyAlignment="0" applyProtection="0"/>
    <xf numFmtId="178" fontId="142" fillId="0" borderId="0" applyNumberFormat="0" applyFill="0" applyBorder="0" applyAlignment="0" applyProtection="0"/>
    <xf numFmtId="227" fontId="138" fillId="33" borderId="0" applyFill="0" applyBorder="0" applyAlignment="0" applyProtection="0">
      <alignment horizontal="center"/>
    </xf>
    <xf numFmtId="189" fontId="143" fillId="0" borderId="0" applyNumberFormat="0" applyFill="0" applyBorder="0" applyAlignment="0" applyProtection="0"/>
    <xf numFmtId="228" fontId="136" fillId="33" borderId="0" applyNumberFormat="0" applyFill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7" fillId="3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7" fillId="3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7" fillId="3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7" fillId="3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7" fillId="3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7" fillId="3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7" fillId="3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7" fillId="3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7" fillId="3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7" fillId="3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7" fillId="3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7" fillId="3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7" fillId="3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7" fillId="3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7" fillId="3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7" fillId="3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7" fillId="3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7" fillId="3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7" fillId="3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7" fillId="3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7" fillId="3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7" fillId="3" borderId="0" applyNumberFormat="0" applyBorder="0" applyAlignment="0" applyProtection="0"/>
    <xf numFmtId="188" fontId="7" fillId="3" borderId="0" applyNumberFormat="0" applyBorder="0" applyAlignment="0" applyProtection="0"/>
    <xf numFmtId="178" fontId="7" fillId="3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188" fontId="7" fillId="3" borderId="0" applyNumberFormat="0" applyBorder="0" applyAlignment="0" applyProtection="0"/>
    <xf numFmtId="178" fontId="7" fillId="3" borderId="0" applyNumberFormat="0" applyBorder="0" applyAlignment="0" applyProtection="0"/>
    <xf numFmtId="188" fontId="7" fillId="3" borderId="0" applyNumberFormat="0" applyBorder="0" applyAlignment="0" applyProtection="0"/>
    <xf numFmtId="178" fontId="7" fillId="3" borderId="0" applyNumberFormat="0" applyBorder="0" applyAlignment="0" applyProtection="0"/>
    <xf numFmtId="188" fontId="7" fillId="3" borderId="0" applyNumberFormat="0" applyBorder="0" applyAlignment="0" applyProtection="0"/>
    <xf numFmtId="178" fontId="7" fillId="3" borderId="0" applyNumberFormat="0" applyBorder="0" applyAlignment="0" applyProtection="0"/>
    <xf numFmtId="188" fontId="7" fillId="3" borderId="0" applyNumberFormat="0" applyBorder="0" applyAlignment="0" applyProtection="0"/>
    <xf numFmtId="178" fontId="7" fillId="3" borderId="0" applyNumberFormat="0" applyBorder="0" applyAlignment="0" applyProtection="0"/>
    <xf numFmtId="188" fontId="7" fillId="3" borderId="0" applyNumberFormat="0" applyBorder="0" applyAlignment="0" applyProtection="0"/>
    <xf numFmtId="178" fontId="7" fillId="3" borderId="0" applyNumberFormat="0" applyBorder="0" applyAlignment="0" applyProtection="0"/>
    <xf numFmtId="188" fontId="7" fillId="3" borderId="0" applyNumberFormat="0" applyBorder="0" applyAlignment="0" applyProtection="0"/>
    <xf numFmtId="178" fontId="7" fillId="3" borderId="0" applyNumberFormat="0" applyBorder="0" applyAlignment="0" applyProtection="0"/>
    <xf numFmtId="188" fontId="7" fillId="3" borderId="0" applyNumberFormat="0" applyBorder="0" applyAlignment="0" applyProtection="0"/>
    <xf numFmtId="178" fontId="7" fillId="3" borderId="0" applyNumberFormat="0" applyBorder="0" applyAlignment="0" applyProtection="0"/>
    <xf numFmtId="188" fontId="7" fillId="3" borderId="0" applyNumberFormat="0" applyBorder="0" applyAlignment="0" applyProtection="0"/>
    <xf numFmtId="178" fontId="7" fillId="3" borderId="0" applyNumberFormat="0" applyBorder="0" applyAlignment="0" applyProtection="0"/>
    <xf numFmtId="188" fontId="7" fillId="3" borderId="0" applyNumberFormat="0" applyBorder="0" applyAlignment="0" applyProtection="0"/>
    <xf numFmtId="178" fontId="7" fillId="3" borderId="0" applyNumberFormat="0" applyBorder="0" applyAlignment="0" applyProtection="0"/>
    <xf numFmtId="188" fontId="7" fillId="3" borderId="0" applyNumberFormat="0" applyBorder="0" applyAlignment="0" applyProtection="0"/>
    <xf numFmtId="178" fontId="7" fillId="3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188" fontId="7" fillId="3" borderId="0" applyNumberFormat="0" applyBorder="0" applyAlignment="0" applyProtection="0"/>
    <xf numFmtId="178" fontId="7" fillId="3" borderId="0" applyNumberFormat="0" applyBorder="0" applyAlignment="0" applyProtection="0"/>
    <xf numFmtId="188" fontId="7" fillId="3" borderId="0" applyNumberFormat="0" applyBorder="0" applyAlignment="0" applyProtection="0"/>
    <xf numFmtId="178" fontId="7" fillId="3" borderId="0" applyNumberFormat="0" applyBorder="0" applyAlignment="0" applyProtection="0"/>
    <xf numFmtId="188" fontId="7" fillId="3" borderId="0" applyNumberFormat="0" applyBorder="0" applyAlignment="0" applyProtection="0"/>
    <xf numFmtId="178" fontId="7" fillId="3" borderId="0" applyNumberFormat="0" applyBorder="0" applyAlignment="0" applyProtection="0"/>
    <xf numFmtId="188" fontId="7" fillId="3" borderId="0" applyNumberFormat="0" applyBorder="0" applyAlignment="0" applyProtection="0"/>
    <xf numFmtId="178" fontId="7" fillId="3" borderId="0" applyNumberFormat="0" applyBorder="0" applyAlignment="0" applyProtection="0"/>
    <xf numFmtId="188" fontId="7" fillId="3" borderId="0" applyNumberFormat="0" applyBorder="0" applyAlignment="0" applyProtection="0"/>
    <xf numFmtId="178" fontId="7" fillId="3" borderId="0" applyNumberFormat="0" applyBorder="0" applyAlignment="0" applyProtection="0"/>
    <xf numFmtId="188" fontId="7" fillId="3" borderId="0" applyNumberFormat="0" applyBorder="0" applyAlignment="0" applyProtection="0"/>
    <xf numFmtId="178" fontId="7" fillId="3" borderId="0" applyNumberFormat="0" applyBorder="0" applyAlignment="0" applyProtection="0"/>
    <xf numFmtId="188" fontId="7" fillId="3" borderId="0" applyNumberFormat="0" applyBorder="0" applyAlignment="0" applyProtection="0"/>
    <xf numFmtId="178" fontId="7" fillId="3" borderId="0" applyNumberFormat="0" applyBorder="0" applyAlignment="0" applyProtection="0"/>
    <xf numFmtId="188" fontId="7" fillId="3" borderId="0" applyNumberFormat="0" applyBorder="0" applyAlignment="0" applyProtection="0"/>
    <xf numFmtId="178" fontId="7" fillId="3" borderId="0" applyNumberFormat="0" applyBorder="0" applyAlignment="0" applyProtection="0"/>
    <xf numFmtId="188" fontId="7" fillId="3" borderId="0" applyNumberFormat="0" applyBorder="0" applyAlignment="0" applyProtection="0"/>
    <xf numFmtId="178" fontId="7" fillId="3" borderId="0" applyNumberFormat="0" applyBorder="0" applyAlignment="0" applyProtection="0"/>
    <xf numFmtId="188" fontId="7" fillId="3" borderId="0" applyNumberFormat="0" applyBorder="0" applyAlignment="0" applyProtection="0"/>
    <xf numFmtId="178" fontId="7" fillId="3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188" fontId="7" fillId="3" borderId="0" applyNumberFormat="0" applyBorder="0" applyAlignment="0" applyProtection="0"/>
    <xf numFmtId="178" fontId="7" fillId="3" borderId="0" applyNumberFormat="0" applyBorder="0" applyAlignment="0" applyProtection="0"/>
    <xf numFmtId="188" fontId="7" fillId="3" borderId="0" applyNumberFormat="0" applyBorder="0" applyAlignment="0" applyProtection="0"/>
    <xf numFmtId="178" fontId="7" fillId="3" borderId="0" applyNumberFormat="0" applyBorder="0" applyAlignment="0" applyProtection="0"/>
    <xf numFmtId="188" fontId="7" fillId="3" borderId="0" applyNumberFormat="0" applyBorder="0" applyAlignment="0" applyProtection="0"/>
    <xf numFmtId="178" fontId="7" fillId="3" borderId="0" applyNumberFormat="0" applyBorder="0" applyAlignment="0" applyProtection="0"/>
    <xf numFmtId="188" fontId="7" fillId="3" borderId="0" applyNumberFormat="0" applyBorder="0" applyAlignment="0" applyProtection="0"/>
    <xf numFmtId="178" fontId="7" fillId="3" borderId="0" applyNumberFormat="0" applyBorder="0" applyAlignment="0" applyProtection="0"/>
    <xf numFmtId="188" fontId="7" fillId="3" borderId="0" applyNumberFormat="0" applyBorder="0" applyAlignment="0" applyProtection="0"/>
    <xf numFmtId="178" fontId="7" fillId="3" borderId="0" applyNumberFormat="0" applyBorder="0" applyAlignment="0" applyProtection="0"/>
    <xf numFmtId="188" fontId="7" fillId="3" borderId="0" applyNumberFormat="0" applyBorder="0" applyAlignment="0" applyProtection="0"/>
    <xf numFmtId="178" fontId="7" fillId="3" borderId="0" applyNumberFormat="0" applyBorder="0" applyAlignment="0" applyProtection="0"/>
    <xf numFmtId="188" fontId="7" fillId="3" borderId="0" applyNumberFormat="0" applyBorder="0" applyAlignment="0" applyProtection="0"/>
    <xf numFmtId="178" fontId="7" fillId="3" borderId="0" applyNumberFormat="0" applyBorder="0" applyAlignment="0" applyProtection="0"/>
    <xf numFmtId="188" fontId="7" fillId="3" borderId="0" applyNumberFormat="0" applyBorder="0" applyAlignment="0" applyProtection="0"/>
    <xf numFmtId="178" fontId="7" fillId="3" borderId="0" applyNumberFormat="0" applyBorder="0" applyAlignment="0" applyProtection="0"/>
    <xf numFmtId="188" fontId="7" fillId="3" borderId="0" applyNumberFormat="0" applyBorder="0" applyAlignment="0" applyProtection="0"/>
    <xf numFmtId="178" fontId="7" fillId="3" borderId="0" applyNumberFormat="0" applyBorder="0" applyAlignment="0" applyProtection="0"/>
    <xf numFmtId="188" fontId="7" fillId="3" borderId="0" applyNumberFormat="0" applyBorder="0" applyAlignment="0" applyProtection="0"/>
    <xf numFmtId="178" fontId="7" fillId="3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188" fontId="7" fillId="3" borderId="0" applyNumberFormat="0" applyBorder="0" applyAlignment="0" applyProtection="0"/>
    <xf numFmtId="178" fontId="7" fillId="3" borderId="0" applyNumberFormat="0" applyBorder="0" applyAlignment="0" applyProtection="0"/>
    <xf numFmtId="188" fontId="7" fillId="3" borderId="0" applyNumberFormat="0" applyBorder="0" applyAlignment="0" applyProtection="0"/>
    <xf numFmtId="178" fontId="7" fillId="3" borderId="0" applyNumberFormat="0" applyBorder="0" applyAlignment="0" applyProtection="0"/>
    <xf numFmtId="188" fontId="7" fillId="3" borderId="0" applyNumberFormat="0" applyBorder="0" applyAlignment="0" applyProtection="0"/>
    <xf numFmtId="178" fontId="7" fillId="3" borderId="0" applyNumberFormat="0" applyBorder="0" applyAlignment="0" applyProtection="0"/>
    <xf numFmtId="188" fontId="7" fillId="3" borderId="0" applyNumberFormat="0" applyBorder="0" applyAlignment="0" applyProtection="0"/>
    <xf numFmtId="178" fontId="7" fillId="3" borderId="0" applyNumberFormat="0" applyBorder="0" applyAlignment="0" applyProtection="0"/>
    <xf numFmtId="188" fontId="7" fillId="3" borderId="0" applyNumberFormat="0" applyBorder="0" applyAlignment="0" applyProtection="0"/>
    <xf numFmtId="178" fontId="7" fillId="3" borderId="0" applyNumberFormat="0" applyBorder="0" applyAlignment="0" applyProtection="0"/>
    <xf numFmtId="188" fontId="7" fillId="3" borderId="0" applyNumberFormat="0" applyBorder="0" applyAlignment="0" applyProtection="0"/>
    <xf numFmtId="178" fontId="7" fillId="3" borderId="0" applyNumberFormat="0" applyBorder="0" applyAlignment="0" applyProtection="0"/>
    <xf numFmtId="188" fontId="7" fillId="3" borderId="0" applyNumberFormat="0" applyBorder="0" applyAlignment="0" applyProtection="0"/>
    <xf numFmtId="178" fontId="7" fillId="3" borderId="0" applyNumberFormat="0" applyBorder="0" applyAlignment="0" applyProtection="0"/>
    <xf numFmtId="188" fontId="7" fillId="3" borderId="0" applyNumberFormat="0" applyBorder="0" applyAlignment="0" applyProtection="0"/>
    <xf numFmtId="178" fontId="7" fillId="3" borderId="0" applyNumberFormat="0" applyBorder="0" applyAlignment="0" applyProtection="0"/>
    <xf numFmtId="188" fontId="7" fillId="3" borderId="0" applyNumberFormat="0" applyBorder="0" applyAlignment="0" applyProtection="0"/>
    <xf numFmtId="178" fontId="7" fillId="3" borderId="0" applyNumberFormat="0" applyBorder="0" applyAlignment="0" applyProtection="0"/>
    <xf numFmtId="0" fontId="144" fillId="86" borderId="0" applyNumberFormat="0" applyBorder="0" applyAlignment="0" applyProtection="0"/>
    <xf numFmtId="188" fontId="145" fillId="65" borderId="0" applyNumberFormat="0" applyBorder="0" applyAlignment="0" applyProtection="0"/>
    <xf numFmtId="188" fontId="7" fillId="3" borderId="0" applyNumberFormat="0" applyBorder="0" applyAlignment="0" applyProtection="0"/>
    <xf numFmtId="188" fontId="145" fillId="65" borderId="0" applyNumberFormat="0" applyBorder="0" applyAlignment="0" applyProtection="0"/>
    <xf numFmtId="188" fontId="146" fillId="3" borderId="0" applyNumberFormat="0" applyBorder="0" applyAlignment="0" applyProtection="0"/>
    <xf numFmtId="178" fontId="146" fillId="3" borderId="0" applyNumberFormat="0" applyBorder="0" applyAlignment="0" applyProtection="0"/>
    <xf numFmtId="178" fontId="145" fillId="65" borderId="0" applyNumberFormat="0" applyBorder="0" applyAlignment="0" applyProtection="0"/>
    <xf numFmtId="178" fontId="7" fillId="3" borderId="0" applyNumberFormat="0" applyBorder="0" applyAlignment="0" applyProtection="0"/>
    <xf numFmtId="188" fontId="7" fillId="3" borderId="0" applyNumberFormat="0" applyBorder="0" applyAlignment="0" applyProtection="0"/>
    <xf numFmtId="178" fontId="7" fillId="3" borderId="0" applyNumberFormat="0" applyBorder="0" applyAlignment="0" applyProtection="0"/>
    <xf numFmtId="188" fontId="7" fillId="3" borderId="0" applyNumberFormat="0" applyBorder="0" applyAlignment="0" applyProtection="0"/>
    <xf numFmtId="178" fontId="7" fillId="3" borderId="0" applyNumberFormat="0" applyBorder="0" applyAlignment="0" applyProtection="0"/>
    <xf numFmtId="178" fontId="145" fillId="65" borderId="0" applyNumberFormat="0" applyBorder="0" applyAlignment="0" applyProtection="0"/>
    <xf numFmtId="188" fontId="145" fillId="65" borderId="0" applyNumberFormat="0" applyBorder="0" applyAlignment="0" applyProtection="0"/>
    <xf numFmtId="178" fontId="145" fillId="65" borderId="0" applyNumberFormat="0" applyBorder="0" applyAlignment="0" applyProtection="0"/>
    <xf numFmtId="188" fontId="145" fillId="65" borderId="0" applyNumberFormat="0" applyBorder="0" applyAlignment="0" applyProtection="0"/>
    <xf numFmtId="178" fontId="145" fillId="65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188" fontId="146" fillId="3" borderId="0" applyNumberFormat="0" applyBorder="0" applyAlignment="0" applyProtection="0"/>
    <xf numFmtId="178" fontId="146" fillId="3" borderId="0" applyNumberFormat="0" applyBorder="0" applyAlignment="0" applyProtection="0"/>
    <xf numFmtId="188" fontId="146" fillId="3" borderId="0" applyNumberFormat="0" applyBorder="0" applyAlignment="0" applyProtection="0"/>
    <xf numFmtId="178" fontId="146" fillId="3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188" fontId="146" fillId="3" borderId="0" applyNumberFormat="0" applyBorder="0" applyAlignment="0" applyProtection="0"/>
    <xf numFmtId="178" fontId="146" fillId="3" borderId="0" applyNumberFormat="0" applyBorder="0" applyAlignment="0" applyProtection="0"/>
    <xf numFmtId="188" fontId="146" fillId="3" borderId="0" applyNumberFormat="0" applyBorder="0" applyAlignment="0" applyProtection="0"/>
    <xf numFmtId="178" fontId="146" fillId="3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188" fontId="146" fillId="3" borderId="0" applyNumberFormat="0" applyBorder="0" applyAlignment="0" applyProtection="0"/>
    <xf numFmtId="178" fontId="146" fillId="3" borderId="0" applyNumberFormat="0" applyBorder="0" applyAlignment="0" applyProtection="0"/>
    <xf numFmtId="188" fontId="146" fillId="3" borderId="0" applyNumberFormat="0" applyBorder="0" applyAlignment="0" applyProtection="0"/>
    <xf numFmtId="178" fontId="146" fillId="3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188" fontId="7" fillId="3" borderId="0" applyNumberFormat="0" applyBorder="0" applyAlignment="0" applyProtection="0"/>
    <xf numFmtId="178" fontId="7" fillId="3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188" fontId="146" fillId="3" borderId="0" applyNumberFormat="0" applyBorder="0" applyAlignment="0" applyProtection="0"/>
    <xf numFmtId="178" fontId="146" fillId="3" borderId="0" applyNumberFormat="0" applyBorder="0" applyAlignment="0" applyProtection="0"/>
    <xf numFmtId="188" fontId="146" fillId="3" borderId="0" applyNumberFormat="0" applyBorder="0" applyAlignment="0" applyProtection="0"/>
    <xf numFmtId="178" fontId="146" fillId="3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188" fontId="146" fillId="3" borderId="0" applyNumberFormat="0" applyBorder="0" applyAlignment="0" applyProtection="0"/>
    <xf numFmtId="178" fontId="146" fillId="3" borderId="0" applyNumberFormat="0" applyBorder="0" applyAlignment="0" applyProtection="0"/>
    <xf numFmtId="188" fontId="146" fillId="3" borderId="0" applyNumberFormat="0" applyBorder="0" applyAlignment="0" applyProtection="0"/>
    <xf numFmtId="178" fontId="146" fillId="3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188" fontId="146" fillId="3" borderId="0" applyNumberFormat="0" applyBorder="0" applyAlignment="0" applyProtection="0"/>
    <xf numFmtId="178" fontId="146" fillId="3" borderId="0" applyNumberFormat="0" applyBorder="0" applyAlignment="0" applyProtection="0"/>
    <xf numFmtId="188" fontId="146" fillId="3" borderId="0" applyNumberFormat="0" applyBorder="0" applyAlignment="0" applyProtection="0"/>
    <xf numFmtId="178" fontId="146" fillId="3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188" fontId="146" fillId="3" borderId="0" applyNumberFormat="0" applyBorder="0" applyAlignment="0" applyProtection="0"/>
    <xf numFmtId="178" fontId="146" fillId="3" borderId="0" applyNumberFormat="0" applyBorder="0" applyAlignment="0" applyProtection="0"/>
    <xf numFmtId="188" fontId="146" fillId="3" borderId="0" applyNumberFormat="0" applyBorder="0" applyAlignment="0" applyProtection="0"/>
    <xf numFmtId="178" fontId="146" fillId="3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144" fillId="86" borderId="0" applyNumberFormat="0" applyBorder="0" applyAlignment="0" applyProtection="0"/>
    <xf numFmtId="0" fontId="144" fillId="86" borderId="0" applyNumberFormat="0" applyBorder="0" applyAlignment="0" applyProtection="0"/>
    <xf numFmtId="178" fontId="144" fillId="86" borderId="0" applyNumberFormat="0" applyBorder="0" applyAlignment="0" applyProtection="0"/>
    <xf numFmtId="178" fontId="144" fillId="86" borderId="0" applyNumberFormat="0" applyBorder="0" applyAlignment="0" applyProtection="0"/>
    <xf numFmtId="0" fontId="95" fillId="93" borderId="0"/>
    <xf numFmtId="0" fontId="95" fillId="93" borderId="0"/>
    <xf numFmtId="178" fontId="95" fillId="93" borderId="0"/>
    <xf numFmtId="178" fontId="95" fillId="93" borderId="0"/>
    <xf numFmtId="0" fontId="147" fillId="93" borderId="0"/>
    <xf numFmtId="0" fontId="147" fillId="93" borderId="0"/>
    <xf numFmtId="178" fontId="147" fillId="93" borderId="0"/>
    <xf numFmtId="178" fontId="147" fillId="93" borderId="0"/>
    <xf numFmtId="0" fontId="148" fillId="51" borderId="46" applyNumberFormat="0" applyAlignment="0" applyProtection="0"/>
    <xf numFmtId="0" fontId="148" fillId="51" borderId="46" applyNumberFormat="0" applyAlignment="0" applyProtection="0"/>
    <xf numFmtId="178" fontId="148" fillId="51" borderId="46" applyNumberFormat="0" applyAlignment="0" applyProtection="0"/>
    <xf numFmtId="178" fontId="148" fillId="51" borderId="46" applyNumberFormat="0" applyAlignment="0" applyProtection="0"/>
    <xf numFmtId="229" fontId="149" fillId="0" borderId="21">
      <alignment horizontal="center"/>
    </xf>
    <xf numFmtId="229" fontId="149" fillId="0" borderId="21">
      <alignment horizontal="center"/>
    </xf>
    <xf numFmtId="229" fontId="149" fillId="0" borderId="21">
      <alignment horizontal="center"/>
    </xf>
    <xf numFmtId="229" fontId="149" fillId="0" borderId="21">
      <alignment horizontal="center"/>
    </xf>
    <xf numFmtId="229" fontId="149" fillId="0" borderId="21">
      <alignment horizontal="center"/>
    </xf>
    <xf numFmtId="229" fontId="149" fillId="0" borderId="21">
      <alignment horizontal="center"/>
    </xf>
    <xf numFmtId="0" fontId="149" fillId="0" borderId="0">
      <alignment horizontal="right"/>
    </xf>
    <xf numFmtId="0" fontId="149" fillId="0" borderId="0">
      <alignment horizontal="right"/>
    </xf>
    <xf numFmtId="178" fontId="149" fillId="0" borderId="0">
      <alignment horizontal="right"/>
    </xf>
    <xf numFmtId="178" fontId="149" fillId="0" borderId="0">
      <alignment horizontal="right"/>
    </xf>
    <xf numFmtId="0" fontId="1" fillId="107" borderId="0" applyNumberFormat="0"/>
    <xf numFmtId="0" fontId="1" fillId="107" borderId="0" applyNumberFormat="0"/>
    <xf numFmtId="0" fontId="150" fillId="0" borderId="0" applyNumberFormat="0" applyFill="0" applyBorder="0" applyAlignment="0" applyProtection="0">
      <alignment horizontal="left"/>
    </xf>
    <xf numFmtId="0" fontId="150" fillId="0" borderId="0" applyNumberFormat="0" applyFill="0" applyBorder="0" applyAlignment="0" applyProtection="0">
      <alignment horizontal="left"/>
    </xf>
    <xf numFmtId="178" fontId="150" fillId="0" borderId="0" applyNumberFormat="0" applyFill="0" applyBorder="0" applyAlignment="0" applyProtection="0">
      <alignment horizontal="left"/>
    </xf>
    <xf numFmtId="178" fontId="150" fillId="0" borderId="0" applyNumberFormat="0" applyFill="0" applyBorder="0" applyAlignment="0" applyProtection="0">
      <alignment horizontal="left"/>
    </xf>
    <xf numFmtId="37" fontId="38" fillId="0" borderId="0" applyFill="0" applyBorder="0">
      <alignment horizontal="left"/>
    </xf>
    <xf numFmtId="0" fontId="151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8" fontId="18" fillId="0" borderId="0" applyNumberFormat="0" applyFill="0" applyBorder="0" applyAlignment="0" applyProtection="0"/>
    <xf numFmtId="178" fontId="18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178" fontId="152" fillId="0" borderId="0" applyNumberFormat="0" applyFill="0" applyBorder="0" applyAlignment="0" applyProtection="0"/>
    <xf numFmtId="178" fontId="152" fillId="0" borderId="0" applyNumberFormat="0" applyFill="0" applyBorder="0" applyAlignment="0" applyProtection="0"/>
    <xf numFmtId="38" fontId="18" fillId="0" borderId="0" applyNumberFormat="0" applyFill="0" applyBorder="0" applyAlignment="0" applyProtection="0">
      <alignment horizontal="right"/>
      <protection locked="0"/>
    </xf>
    <xf numFmtId="38" fontId="18" fillId="0" borderId="0" applyNumberFormat="0" applyFill="0" applyBorder="0" applyAlignment="0" applyProtection="0">
      <alignment horizontal="right"/>
      <protection locked="0"/>
    </xf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8" fontId="18" fillId="0" borderId="0" applyNumberFormat="0" applyFill="0" applyBorder="0" applyAlignment="0" applyProtection="0"/>
    <xf numFmtId="178" fontId="18" fillId="0" borderId="0" applyNumberFormat="0" applyFill="0" applyBorder="0" applyAlignment="0" applyProtection="0"/>
    <xf numFmtId="0" fontId="153" fillId="0" borderId="0"/>
    <xf numFmtId="178" fontId="153" fillId="0" borderId="0"/>
    <xf numFmtId="0" fontId="153" fillId="0" borderId="0"/>
    <xf numFmtId="178" fontId="153" fillId="0" borderId="0"/>
    <xf numFmtId="0" fontId="153" fillId="0" borderId="0"/>
    <xf numFmtId="178" fontId="153" fillId="0" borderId="0"/>
    <xf numFmtId="0" fontId="154" fillId="0" borderId="20" applyNumberFormat="0" applyFill="0" applyAlignment="0" applyProtection="0"/>
    <xf numFmtId="0" fontId="154" fillId="0" borderId="20" applyNumberFormat="0" applyFill="0" applyAlignment="0" applyProtection="0"/>
    <xf numFmtId="178" fontId="154" fillId="0" borderId="20" applyNumberFormat="0" applyFill="0" applyAlignment="0" applyProtection="0"/>
    <xf numFmtId="178" fontId="154" fillId="0" borderId="20" applyNumberFormat="0" applyFill="0" applyAlignment="0" applyProtection="0"/>
    <xf numFmtId="0" fontId="155" fillId="66" borderId="0" applyNumberFormat="0" applyBorder="0" applyAlignment="0" applyProtection="0"/>
    <xf numFmtId="178" fontId="155" fillId="66" borderId="0" applyNumberFormat="0" applyBorder="0" applyAlignment="0" applyProtection="0"/>
    <xf numFmtId="178" fontId="155" fillId="66" borderId="0" applyNumberFormat="0" applyBorder="0" applyAlignment="0" applyProtection="0"/>
    <xf numFmtId="230" fontId="18" fillId="0" borderId="16" applyAlignment="0" applyProtection="0"/>
    <xf numFmtId="230" fontId="18" fillId="0" borderId="16" applyAlignment="0" applyProtection="0"/>
    <xf numFmtId="230" fontId="18" fillId="0" borderId="16" applyAlignment="0" applyProtection="0"/>
    <xf numFmtId="230" fontId="18" fillId="0" borderId="16" applyAlignment="0" applyProtection="0"/>
    <xf numFmtId="230" fontId="18" fillId="0" borderId="16" applyAlignment="0" applyProtection="0"/>
    <xf numFmtId="230" fontId="156" fillId="0" borderId="16" applyAlignment="0" applyProtection="0"/>
    <xf numFmtId="230" fontId="156" fillId="0" borderId="16" applyAlignment="0" applyProtection="0"/>
    <xf numFmtId="230" fontId="156" fillId="0" borderId="16" applyAlignment="0" applyProtection="0"/>
    <xf numFmtId="230" fontId="156" fillId="0" borderId="16" applyAlignment="0" applyProtection="0"/>
    <xf numFmtId="230" fontId="156" fillId="0" borderId="16" applyAlignment="0" applyProtection="0"/>
    <xf numFmtId="230" fontId="156" fillId="0" borderId="16" applyAlignment="0" applyProtection="0"/>
    <xf numFmtId="230" fontId="156" fillId="0" borderId="16" applyAlignment="0" applyProtection="0"/>
    <xf numFmtId="230" fontId="156" fillId="0" borderId="16" applyAlignment="0" applyProtection="0"/>
    <xf numFmtId="230" fontId="156" fillId="0" borderId="16" applyAlignment="0" applyProtection="0"/>
    <xf numFmtId="230" fontId="156" fillId="0" borderId="16" applyAlignment="0" applyProtection="0"/>
    <xf numFmtId="0" fontId="71" fillId="0" borderId="42" applyNumberFormat="0" applyFont="0" applyFill="0" applyAlignment="0" applyProtection="0"/>
    <xf numFmtId="0" fontId="71" fillId="0" borderId="42" applyNumberFormat="0" applyFont="0" applyFill="0" applyAlignment="0" applyProtection="0"/>
    <xf numFmtId="0" fontId="71" fillId="0" borderId="42" applyNumberFormat="0" applyFont="0" applyFill="0" applyAlignment="0" applyProtection="0"/>
    <xf numFmtId="0" fontId="71" fillId="0" borderId="42" applyNumberFormat="0" applyFont="0" applyFill="0" applyAlignment="0" applyProtection="0"/>
    <xf numFmtId="178" fontId="71" fillId="0" borderId="42" applyNumberFormat="0" applyFont="0" applyFill="0" applyAlignment="0" applyProtection="0"/>
    <xf numFmtId="0" fontId="71" fillId="0" borderId="42" applyNumberFormat="0" applyFont="0" applyFill="0" applyAlignment="0" applyProtection="0"/>
    <xf numFmtId="178" fontId="71" fillId="0" borderId="42" applyNumberFormat="0" applyFont="0" applyFill="0" applyAlignment="0" applyProtection="0"/>
    <xf numFmtId="188" fontId="71" fillId="0" borderId="42" applyNumberFormat="0" applyFont="0" applyFill="0" applyAlignment="0" applyProtection="0"/>
    <xf numFmtId="178" fontId="71" fillId="0" borderId="42" applyNumberFormat="0" applyFont="0" applyFill="0" applyAlignment="0" applyProtection="0"/>
    <xf numFmtId="0" fontId="71" fillId="0" borderId="42" applyNumberFormat="0" applyFont="0" applyFill="0" applyAlignment="0" applyProtection="0"/>
    <xf numFmtId="178" fontId="71" fillId="0" borderId="42" applyNumberFormat="0" applyFont="0" applyFill="0" applyAlignment="0" applyProtection="0"/>
    <xf numFmtId="188" fontId="71" fillId="0" borderId="42" applyNumberFormat="0" applyFont="0" applyFill="0" applyAlignment="0" applyProtection="0"/>
    <xf numFmtId="178" fontId="71" fillId="0" borderId="42" applyNumberFormat="0" applyFont="0" applyFill="0" applyAlignment="0" applyProtection="0"/>
    <xf numFmtId="0" fontId="71" fillId="0" borderId="47" applyNumberFormat="0" applyFont="0" applyFill="0" applyAlignment="0" applyProtection="0"/>
    <xf numFmtId="0" fontId="71" fillId="0" borderId="47" applyNumberFormat="0" applyFont="0" applyFill="0" applyAlignment="0" applyProtection="0"/>
    <xf numFmtId="178" fontId="71" fillId="0" borderId="47" applyNumberFormat="0" applyFont="0" applyFill="0" applyAlignment="0" applyProtection="0"/>
    <xf numFmtId="178" fontId="71" fillId="0" borderId="47" applyNumberFormat="0" applyFont="0" applyFill="0" applyAlignment="0" applyProtection="0"/>
    <xf numFmtId="230" fontId="156" fillId="0" borderId="16" applyAlignment="0" applyProtection="0"/>
    <xf numFmtId="0" fontId="157" fillId="0" borderId="20" applyNumberFormat="0" applyFont="0" applyFill="0" applyAlignment="0" applyProtection="0"/>
    <xf numFmtId="0" fontId="157" fillId="0" borderId="20" applyNumberFormat="0" applyFont="0" applyFill="0" applyAlignment="0" applyProtection="0"/>
    <xf numFmtId="178" fontId="157" fillId="0" borderId="20" applyNumberFormat="0" applyFont="0" applyFill="0" applyAlignment="0" applyProtection="0"/>
    <xf numFmtId="178" fontId="157" fillId="0" borderId="20" applyNumberFormat="0" applyFont="0" applyFill="0" applyAlignment="0" applyProtection="0"/>
    <xf numFmtId="37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0" fontId="155" fillId="66" borderId="0" applyNumberFormat="0" applyBorder="0" applyAlignment="0" applyProtection="0"/>
    <xf numFmtId="0" fontId="155" fillId="66" borderId="0" applyNumberFormat="0" applyBorder="0" applyAlignment="0" applyProtection="0"/>
    <xf numFmtId="178" fontId="155" fillId="66" borderId="0" applyNumberFormat="0" applyBorder="0" applyAlignment="0" applyProtection="0"/>
    <xf numFmtId="178" fontId="155" fillId="66" borderId="0" applyNumberFormat="0" applyBorder="0" applyAlignment="0" applyProtection="0"/>
    <xf numFmtId="231" fontId="74" fillId="0" borderId="0" applyFont="0" applyFill="0" applyBorder="0" applyAlignment="0" applyProtection="0"/>
    <xf numFmtId="0" fontId="86" fillId="0" borderId="0"/>
    <xf numFmtId="0" fontId="18" fillId="0" borderId="0"/>
    <xf numFmtId="0" fontId="86" fillId="0" borderId="0"/>
    <xf numFmtId="0" fontId="124" fillId="60" borderId="0" applyNumberFormat="0">
      <alignment horizontal="centerContinuous" vertical="center"/>
    </xf>
    <xf numFmtId="0" fontId="124" fillId="60" borderId="0" applyNumberFormat="0">
      <alignment horizontal="centerContinuous" vertical="center"/>
    </xf>
    <xf numFmtId="178" fontId="124" fillId="60" borderId="0" applyNumberFormat="0">
      <alignment horizontal="centerContinuous" vertical="center"/>
    </xf>
    <xf numFmtId="178" fontId="124" fillId="60" borderId="0" applyNumberFormat="0">
      <alignment horizontal="centerContinuous" vertical="center"/>
    </xf>
    <xf numFmtId="232" fontId="158" fillId="0" borderId="0">
      <protection locked="0"/>
    </xf>
    <xf numFmtId="232" fontId="62" fillId="0" borderId="0">
      <protection locked="0"/>
    </xf>
    <xf numFmtId="200" fontId="18" fillId="0" borderId="0" applyFill="0" applyBorder="0" applyAlignment="0"/>
    <xf numFmtId="0" fontId="41" fillId="0" borderId="0" applyFill="0" applyBorder="0" applyAlignment="0"/>
    <xf numFmtId="178" fontId="41" fillId="0" borderId="0" applyFill="0" applyBorder="0" applyAlignment="0"/>
    <xf numFmtId="0" fontId="41" fillId="0" borderId="0" applyFill="0" applyBorder="0" applyAlignment="0"/>
    <xf numFmtId="0" fontId="41" fillId="0" borderId="0" applyFill="0" applyBorder="0" applyAlignment="0"/>
    <xf numFmtId="178" fontId="41" fillId="0" borderId="0" applyFill="0" applyBorder="0" applyAlignment="0"/>
    <xf numFmtId="178" fontId="41" fillId="0" borderId="0" applyFill="0" applyBorder="0" applyAlignment="0"/>
    <xf numFmtId="0" fontId="119" fillId="0" borderId="0" applyFill="0" applyBorder="0" applyAlignment="0"/>
    <xf numFmtId="0" fontId="119" fillId="0" borderId="0" applyFill="0" applyBorder="0" applyAlignment="0"/>
    <xf numFmtId="178" fontId="119" fillId="0" borderId="0" applyFill="0" applyBorder="0" applyAlignment="0"/>
    <xf numFmtId="178" fontId="119" fillId="0" borderId="0" applyFill="0" applyBorder="0" applyAlignment="0"/>
    <xf numFmtId="0" fontId="18" fillId="0" borderId="0" applyFill="0" applyBorder="0" applyAlignment="0"/>
    <xf numFmtId="233" fontId="18" fillId="0" borderId="0" applyFill="0" applyBorder="0" applyAlignment="0"/>
    <xf numFmtId="233" fontId="18" fillId="0" borderId="0" applyFill="0" applyBorder="0" applyAlignment="0"/>
    <xf numFmtId="233" fontId="18" fillId="0" borderId="0" applyFill="0" applyBorder="0" applyAlignment="0"/>
    <xf numFmtId="0" fontId="18" fillId="0" borderId="0" applyFill="0" applyBorder="0" applyAlignment="0"/>
    <xf numFmtId="178" fontId="18" fillId="0" borderId="0" applyFill="0" applyBorder="0" applyAlignment="0"/>
    <xf numFmtId="178" fontId="18" fillId="0" borderId="0" applyFill="0" applyBorder="0" applyAlignment="0"/>
    <xf numFmtId="0" fontId="119" fillId="0" borderId="0" applyFill="0" applyBorder="0" applyAlignment="0"/>
    <xf numFmtId="0" fontId="119" fillId="0" borderId="0" applyFill="0" applyBorder="0" applyAlignment="0"/>
    <xf numFmtId="178" fontId="119" fillId="0" borderId="0" applyFill="0" applyBorder="0" applyAlignment="0"/>
    <xf numFmtId="178" fontId="119" fillId="0" borderId="0" applyFill="0" applyBorder="0" applyAlignment="0"/>
    <xf numFmtId="0" fontId="41" fillId="0" borderId="0" applyFill="0" applyBorder="0" applyAlignment="0"/>
    <xf numFmtId="0" fontId="41" fillId="0" borderId="0" applyFill="0" applyBorder="0" applyAlignment="0"/>
    <xf numFmtId="178" fontId="41" fillId="0" borderId="0" applyFill="0" applyBorder="0" applyAlignment="0"/>
    <xf numFmtId="178" fontId="41" fillId="0" borderId="0" applyFill="0" applyBorder="0" applyAlignment="0"/>
    <xf numFmtId="0" fontId="41" fillId="0" borderId="0" applyFill="0" applyBorder="0" applyAlignment="0"/>
    <xf numFmtId="0" fontId="41" fillId="0" borderId="0" applyFill="0" applyBorder="0" applyAlignment="0"/>
    <xf numFmtId="178" fontId="41" fillId="0" borderId="0" applyFill="0" applyBorder="0" applyAlignment="0"/>
    <xf numFmtId="178" fontId="41" fillId="0" borderId="0" applyFill="0" applyBorder="0" applyAlignment="0"/>
    <xf numFmtId="0" fontId="41" fillId="0" borderId="0" applyFill="0" applyBorder="0" applyAlignment="0"/>
    <xf numFmtId="0" fontId="41" fillId="0" borderId="0" applyFill="0" applyBorder="0" applyAlignment="0"/>
    <xf numFmtId="178" fontId="41" fillId="0" borderId="0" applyFill="0" applyBorder="0" applyAlignment="0"/>
    <xf numFmtId="178" fontId="41" fillId="0" borderId="0" applyFill="0" applyBorder="0" applyAlignment="0"/>
    <xf numFmtId="0" fontId="159" fillId="53" borderId="48" applyNumberFormat="0" applyAlignment="0" applyProtection="0"/>
    <xf numFmtId="0" fontId="159" fillId="53" borderId="48" applyNumberFormat="0" applyAlignment="0" applyProtection="0"/>
    <xf numFmtId="0" fontId="159" fillId="53" borderId="48" applyNumberFormat="0" applyAlignment="0" applyProtection="0"/>
    <xf numFmtId="178" fontId="159" fillId="53" borderId="48" applyNumberFormat="0" applyAlignment="0" applyProtection="0"/>
    <xf numFmtId="0" fontId="159" fillId="53" borderId="48" applyNumberFormat="0" applyAlignment="0" applyProtection="0"/>
    <xf numFmtId="0" fontId="159" fillId="53" borderId="48" applyNumberFormat="0" applyAlignment="0" applyProtection="0"/>
    <xf numFmtId="178" fontId="159" fillId="53" borderId="48" applyNumberFormat="0" applyAlignment="0" applyProtection="0"/>
    <xf numFmtId="188" fontId="159" fillId="53" borderId="48" applyNumberFormat="0" applyAlignment="0" applyProtection="0"/>
    <xf numFmtId="178" fontId="159" fillId="53" borderId="48" applyNumberFormat="0" applyAlignment="0" applyProtection="0"/>
    <xf numFmtId="0" fontId="159" fillId="53" borderId="48" applyNumberFormat="0" applyAlignment="0" applyProtection="0"/>
    <xf numFmtId="178" fontId="159" fillId="53" borderId="48" applyNumberFormat="0" applyAlignment="0" applyProtection="0"/>
    <xf numFmtId="0" fontId="159" fillId="53" borderId="48" applyNumberFormat="0" applyAlignment="0" applyProtection="0"/>
    <xf numFmtId="0" fontId="159" fillId="53" borderId="48" applyNumberFormat="0" applyAlignment="0" applyProtection="0"/>
    <xf numFmtId="178" fontId="159" fillId="53" borderId="48" applyNumberFormat="0" applyAlignment="0" applyProtection="0"/>
    <xf numFmtId="188" fontId="159" fillId="53" borderId="48" applyNumberFormat="0" applyAlignment="0" applyProtection="0"/>
    <xf numFmtId="178" fontId="159" fillId="53" borderId="48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78" fontId="11" fillId="6" borderId="4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78" fontId="11" fillId="6" borderId="4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78" fontId="11" fillId="6" borderId="4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78" fontId="11" fillId="6" borderId="4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78" fontId="11" fillId="6" borderId="4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78" fontId="11" fillId="6" borderId="4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78" fontId="11" fillId="6" borderId="4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78" fontId="11" fillId="6" borderId="4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78" fontId="11" fillId="6" borderId="4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78" fontId="11" fillId="6" borderId="4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78" fontId="11" fillId="6" borderId="4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78" fontId="11" fillId="6" borderId="4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78" fontId="11" fillId="6" borderId="4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78" fontId="11" fillId="6" borderId="4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78" fontId="11" fillId="6" borderId="4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78" fontId="11" fillId="6" borderId="4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78" fontId="11" fillId="6" borderId="4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78" fontId="11" fillId="6" borderId="4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78" fontId="11" fillId="6" borderId="4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78" fontId="11" fillId="6" borderId="4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78" fontId="11" fillId="6" borderId="4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78" fontId="11" fillId="6" borderId="4" applyNumberFormat="0" applyAlignment="0" applyProtection="0"/>
    <xf numFmtId="188" fontId="11" fillId="6" borderId="4" applyNumberFormat="0" applyAlignment="0" applyProtection="0"/>
    <xf numFmtId="178" fontId="11" fillId="6" borderId="4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188" fontId="11" fillId="6" borderId="4" applyNumberFormat="0" applyAlignment="0" applyProtection="0"/>
    <xf numFmtId="178" fontId="11" fillId="6" borderId="4" applyNumberFormat="0" applyAlignment="0" applyProtection="0"/>
    <xf numFmtId="188" fontId="11" fillId="6" borderId="4" applyNumberFormat="0" applyAlignment="0" applyProtection="0"/>
    <xf numFmtId="178" fontId="11" fillId="6" borderId="4" applyNumberFormat="0" applyAlignment="0" applyProtection="0"/>
    <xf numFmtId="188" fontId="11" fillId="6" borderId="4" applyNumberFormat="0" applyAlignment="0" applyProtection="0"/>
    <xf numFmtId="178" fontId="11" fillId="6" borderId="4" applyNumberFormat="0" applyAlignment="0" applyProtection="0"/>
    <xf numFmtId="188" fontId="11" fillId="6" borderId="4" applyNumberFormat="0" applyAlignment="0" applyProtection="0"/>
    <xf numFmtId="178" fontId="11" fillId="6" borderId="4" applyNumberFormat="0" applyAlignment="0" applyProtection="0"/>
    <xf numFmtId="188" fontId="11" fillId="6" borderId="4" applyNumberFormat="0" applyAlignment="0" applyProtection="0"/>
    <xf numFmtId="178" fontId="11" fillId="6" borderId="4" applyNumberFormat="0" applyAlignment="0" applyProtection="0"/>
    <xf numFmtId="188" fontId="11" fillId="6" borderId="4" applyNumberFormat="0" applyAlignment="0" applyProtection="0"/>
    <xf numFmtId="178" fontId="11" fillId="6" borderId="4" applyNumberFormat="0" applyAlignment="0" applyProtection="0"/>
    <xf numFmtId="188" fontId="11" fillId="6" borderId="4" applyNumberFormat="0" applyAlignment="0" applyProtection="0"/>
    <xf numFmtId="178" fontId="11" fillId="6" borderId="4" applyNumberFormat="0" applyAlignment="0" applyProtection="0"/>
    <xf numFmtId="188" fontId="11" fillId="6" borderId="4" applyNumberFormat="0" applyAlignment="0" applyProtection="0"/>
    <xf numFmtId="178" fontId="11" fillId="6" borderId="4" applyNumberFormat="0" applyAlignment="0" applyProtection="0"/>
    <xf numFmtId="188" fontId="11" fillId="6" borderId="4" applyNumberFormat="0" applyAlignment="0" applyProtection="0"/>
    <xf numFmtId="178" fontId="11" fillId="6" borderId="4" applyNumberFormat="0" applyAlignment="0" applyProtection="0"/>
    <xf numFmtId="188" fontId="11" fillId="6" borderId="4" applyNumberFormat="0" applyAlignment="0" applyProtection="0"/>
    <xf numFmtId="178" fontId="11" fillId="6" borderId="4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188" fontId="11" fillId="6" borderId="4" applyNumberFormat="0" applyAlignment="0" applyProtection="0"/>
    <xf numFmtId="178" fontId="11" fillId="6" borderId="4" applyNumberFormat="0" applyAlignment="0" applyProtection="0"/>
    <xf numFmtId="188" fontId="11" fillId="6" borderId="4" applyNumberFormat="0" applyAlignment="0" applyProtection="0"/>
    <xf numFmtId="178" fontId="11" fillId="6" borderId="4" applyNumberFormat="0" applyAlignment="0" applyProtection="0"/>
    <xf numFmtId="188" fontId="11" fillId="6" borderId="4" applyNumberFormat="0" applyAlignment="0" applyProtection="0"/>
    <xf numFmtId="178" fontId="11" fillId="6" borderId="4" applyNumberFormat="0" applyAlignment="0" applyProtection="0"/>
    <xf numFmtId="188" fontId="11" fillId="6" borderId="4" applyNumberFormat="0" applyAlignment="0" applyProtection="0"/>
    <xf numFmtId="178" fontId="11" fillId="6" borderId="4" applyNumberFormat="0" applyAlignment="0" applyProtection="0"/>
    <xf numFmtId="188" fontId="11" fillId="6" borderId="4" applyNumberFormat="0" applyAlignment="0" applyProtection="0"/>
    <xf numFmtId="178" fontId="11" fillId="6" borderId="4" applyNumberFormat="0" applyAlignment="0" applyProtection="0"/>
    <xf numFmtId="188" fontId="11" fillId="6" borderId="4" applyNumberFormat="0" applyAlignment="0" applyProtection="0"/>
    <xf numFmtId="178" fontId="11" fillId="6" borderId="4" applyNumberFormat="0" applyAlignment="0" applyProtection="0"/>
    <xf numFmtId="188" fontId="11" fillId="6" borderId="4" applyNumberFormat="0" applyAlignment="0" applyProtection="0"/>
    <xf numFmtId="178" fontId="11" fillId="6" borderId="4" applyNumberFormat="0" applyAlignment="0" applyProtection="0"/>
    <xf numFmtId="188" fontId="11" fillId="6" borderId="4" applyNumberFormat="0" applyAlignment="0" applyProtection="0"/>
    <xf numFmtId="178" fontId="11" fillId="6" borderId="4" applyNumberFormat="0" applyAlignment="0" applyProtection="0"/>
    <xf numFmtId="188" fontId="11" fillId="6" borderId="4" applyNumberFormat="0" applyAlignment="0" applyProtection="0"/>
    <xf numFmtId="178" fontId="11" fillId="6" borderId="4" applyNumberFormat="0" applyAlignment="0" applyProtection="0"/>
    <xf numFmtId="188" fontId="11" fillId="6" borderId="4" applyNumberFormat="0" applyAlignment="0" applyProtection="0"/>
    <xf numFmtId="178" fontId="11" fillId="6" borderId="4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188" fontId="11" fillId="6" borderId="4" applyNumberFormat="0" applyAlignment="0" applyProtection="0"/>
    <xf numFmtId="178" fontId="11" fillId="6" borderId="4" applyNumberFormat="0" applyAlignment="0" applyProtection="0"/>
    <xf numFmtId="188" fontId="11" fillId="6" borderId="4" applyNumberFormat="0" applyAlignment="0" applyProtection="0"/>
    <xf numFmtId="178" fontId="11" fillId="6" borderId="4" applyNumberFormat="0" applyAlignment="0" applyProtection="0"/>
    <xf numFmtId="188" fontId="11" fillId="6" borderId="4" applyNumberFormat="0" applyAlignment="0" applyProtection="0"/>
    <xf numFmtId="178" fontId="11" fillId="6" borderId="4" applyNumberFormat="0" applyAlignment="0" applyProtection="0"/>
    <xf numFmtId="188" fontId="11" fillId="6" borderId="4" applyNumberFormat="0" applyAlignment="0" applyProtection="0"/>
    <xf numFmtId="178" fontId="11" fillId="6" borderId="4" applyNumberFormat="0" applyAlignment="0" applyProtection="0"/>
    <xf numFmtId="188" fontId="11" fillId="6" borderId="4" applyNumberFormat="0" applyAlignment="0" applyProtection="0"/>
    <xf numFmtId="178" fontId="11" fillId="6" borderId="4" applyNumberFormat="0" applyAlignment="0" applyProtection="0"/>
    <xf numFmtId="188" fontId="11" fillId="6" borderId="4" applyNumberFormat="0" applyAlignment="0" applyProtection="0"/>
    <xf numFmtId="178" fontId="11" fillId="6" borderId="4" applyNumberFormat="0" applyAlignment="0" applyProtection="0"/>
    <xf numFmtId="188" fontId="11" fillId="6" borderId="4" applyNumberFormat="0" applyAlignment="0" applyProtection="0"/>
    <xf numFmtId="178" fontId="11" fillId="6" borderId="4" applyNumberFormat="0" applyAlignment="0" applyProtection="0"/>
    <xf numFmtId="188" fontId="11" fillId="6" borderId="4" applyNumberFormat="0" applyAlignment="0" applyProtection="0"/>
    <xf numFmtId="178" fontId="11" fillId="6" borderId="4" applyNumberFormat="0" applyAlignment="0" applyProtection="0"/>
    <xf numFmtId="188" fontId="11" fillId="6" borderId="4" applyNumberFormat="0" applyAlignment="0" applyProtection="0"/>
    <xf numFmtId="178" fontId="11" fillId="6" borderId="4" applyNumberFormat="0" applyAlignment="0" applyProtection="0"/>
    <xf numFmtId="188" fontId="11" fillId="6" borderId="4" applyNumberFormat="0" applyAlignment="0" applyProtection="0"/>
    <xf numFmtId="178" fontId="11" fillId="6" borderId="4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188" fontId="11" fillId="6" borderId="4" applyNumberFormat="0" applyAlignment="0" applyProtection="0"/>
    <xf numFmtId="178" fontId="11" fillId="6" borderId="4" applyNumberFormat="0" applyAlignment="0" applyProtection="0"/>
    <xf numFmtId="188" fontId="11" fillId="6" borderId="4" applyNumberFormat="0" applyAlignment="0" applyProtection="0"/>
    <xf numFmtId="178" fontId="11" fillId="6" borderId="4" applyNumberFormat="0" applyAlignment="0" applyProtection="0"/>
    <xf numFmtId="188" fontId="11" fillId="6" borderId="4" applyNumberFormat="0" applyAlignment="0" applyProtection="0"/>
    <xf numFmtId="178" fontId="11" fillId="6" borderId="4" applyNumberFormat="0" applyAlignment="0" applyProtection="0"/>
    <xf numFmtId="188" fontId="11" fillId="6" borderId="4" applyNumberFormat="0" applyAlignment="0" applyProtection="0"/>
    <xf numFmtId="178" fontId="11" fillId="6" borderId="4" applyNumberFormat="0" applyAlignment="0" applyProtection="0"/>
    <xf numFmtId="188" fontId="11" fillId="6" borderId="4" applyNumberFormat="0" applyAlignment="0" applyProtection="0"/>
    <xf numFmtId="178" fontId="11" fillId="6" borderId="4" applyNumberFormat="0" applyAlignment="0" applyProtection="0"/>
    <xf numFmtId="188" fontId="11" fillId="6" borderId="4" applyNumberFormat="0" applyAlignment="0" applyProtection="0"/>
    <xf numFmtId="178" fontId="11" fillId="6" borderId="4" applyNumberFormat="0" applyAlignment="0" applyProtection="0"/>
    <xf numFmtId="188" fontId="11" fillId="6" borderId="4" applyNumberFormat="0" applyAlignment="0" applyProtection="0"/>
    <xf numFmtId="178" fontId="11" fillId="6" borderId="4" applyNumberFormat="0" applyAlignment="0" applyProtection="0"/>
    <xf numFmtId="188" fontId="11" fillId="6" borderId="4" applyNumberFormat="0" applyAlignment="0" applyProtection="0"/>
    <xf numFmtId="178" fontId="11" fillId="6" borderId="4" applyNumberFormat="0" applyAlignment="0" applyProtection="0"/>
    <xf numFmtId="188" fontId="11" fillId="6" borderId="4" applyNumberFormat="0" applyAlignment="0" applyProtection="0"/>
    <xf numFmtId="178" fontId="11" fillId="6" borderId="4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88" fontId="159" fillId="53" borderId="48" applyNumberFormat="0" applyAlignment="0" applyProtection="0"/>
    <xf numFmtId="188" fontId="161" fillId="6" borderId="4" applyNumberFormat="0" applyAlignment="0" applyProtection="0"/>
    <xf numFmtId="178" fontId="161" fillId="6" borderId="4" applyNumberFormat="0" applyAlignment="0" applyProtection="0"/>
    <xf numFmtId="188" fontId="159" fillId="53" borderId="48" applyNumberFormat="0" applyAlignment="0" applyProtection="0"/>
    <xf numFmtId="178" fontId="159" fillId="53" borderId="48" applyNumberFormat="0" applyAlignment="0" applyProtection="0"/>
    <xf numFmtId="178" fontId="11" fillId="6" borderId="4" applyNumberFormat="0" applyAlignment="0" applyProtection="0"/>
    <xf numFmtId="188" fontId="11" fillId="6" borderId="4" applyNumberFormat="0" applyAlignment="0" applyProtection="0"/>
    <xf numFmtId="178" fontId="11" fillId="6" borderId="4" applyNumberFormat="0" applyAlignment="0" applyProtection="0"/>
    <xf numFmtId="188" fontId="11" fillId="6" borderId="4" applyNumberFormat="0" applyAlignment="0" applyProtection="0"/>
    <xf numFmtId="178" fontId="11" fillId="6" borderId="4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59" fillId="53" borderId="48" applyNumberFormat="0" applyAlignment="0" applyProtection="0"/>
    <xf numFmtId="178" fontId="159" fillId="53" borderId="48" applyNumberFormat="0" applyAlignment="0" applyProtection="0"/>
    <xf numFmtId="188" fontId="159" fillId="53" borderId="48" applyNumberFormat="0" applyAlignment="0" applyProtection="0"/>
    <xf numFmtId="188" fontId="159" fillId="53" borderId="48" applyNumberFormat="0" applyAlignment="0" applyProtection="0"/>
    <xf numFmtId="178" fontId="159" fillId="53" borderId="48" applyNumberFormat="0" applyAlignment="0" applyProtection="0"/>
    <xf numFmtId="188" fontId="159" fillId="53" borderId="48" applyNumberFormat="0" applyAlignment="0" applyProtection="0"/>
    <xf numFmtId="188" fontId="159" fillId="53" borderId="48" applyNumberFormat="0" applyAlignment="0" applyProtection="0"/>
    <xf numFmtId="178" fontId="159" fillId="53" borderId="48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78" fontId="161" fillId="6" borderId="4" applyNumberFormat="0" applyAlignment="0" applyProtection="0"/>
    <xf numFmtId="188" fontId="161" fillId="6" borderId="4" applyNumberFormat="0" applyAlignment="0" applyProtection="0"/>
    <xf numFmtId="178" fontId="161" fillId="6" borderId="4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78" fontId="161" fillId="6" borderId="4" applyNumberFormat="0" applyAlignment="0" applyProtection="0"/>
    <xf numFmtId="188" fontId="161" fillId="6" borderId="4" applyNumberFormat="0" applyAlignment="0" applyProtection="0"/>
    <xf numFmtId="178" fontId="161" fillId="6" borderId="4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78" fontId="161" fillId="6" borderId="4" applyNumberFormat="0" applyAlignment="0" applyProtection="0"/>
    <xf numFmtId="188" fontId="161" fillId="6" borderId="4" applyNumberFormat="0" applyAlignment="0" applyProtection="0"/>
    <xf numFmtId="178" fontId="161" fillId="6" borderId="4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78" fontId="11" fillId="6" borderId="4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78" fontId="161" fillId="6" borderId="4" applyNumberFormat="0" applyAlignment="0" applyProtection="0"/>
    <xf numFmtId="188" fontId="161" fillId="6" borderId="4" applyNumberFormat="0" applyAlignment="0" applyProtection="0"/>
    <xf numFmtId="178" fontId="161" fillId="6" borderId="4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78" fontId="161" fillId="6" borderId="4" applyNumberFormat="0" applyAlignment="0" applyProtection="0"/>
    <xf numFmtId="188" fontId="161" fillId="6" borderId="4" applyNumberFormat="0" applyAlignment="0" applyProtection="0"/>
    <xf numFmtId="178" fontId="161" fillId="6" borderId="4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78" fontId="161" fillId="6" borderId="4" applyNumberFormat="0" applyAlignment="0" applyProtection="0"/>
    <xf numFmtId="188" fontId="161" fillId="6" borderId="4" applyNumberFormat="0" applyAlignment="0" applyProtection="0"/>
    <xf numFmtId="178" fontId="161" fillId="6" borderId="4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78" fontId="161" fillId="6" borderId="4" applyNumberFormat="0" applyAlignment="0" applyProtection="0"/>
    <xf numFmtId="188" fontId="161" fillId="6" borderId="4" applyNumberFormat="0" applyAlignment="0" applyProtection="0"/>
    <xf numFmtId="178" fontId="161" fillId="6" borderId="4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60" fillId="108" borderId="49" applyNumberFormat="0" applyAlignment="0" applyProtection="0"/>
    <xf numFmtId="0" fontId="160" fillId="108" borderId="49" applyNumberFormat="0" applyAlignment="0" applyProtection="0"/>
    <xf numFmtId="178" fontId="160" fillId="108" borderId="49" applyNumberFormat="0" applyAlignment="0" applyProtection="0"/>
    <xf numFmtId="188" fontId="160" fillId="108" borderId="49" applyNumberFormat="0" applyAlignment="0" applyProtection="0"/>
    <xf numFmtId="178" fontId="160" fillId="108" borderId="49" applyNumberFormat="0" applyAlignment="0" applyProtection="0"/>
    <xf numFmtId="0" fontId="1" fillId="0" borderId="0" applyNumberFormat="0"/>
    <xf numFmtId="0" fontId="1" fillId="0" borderId="0" applyNumberFormat="0"/>
    <xf numFmtId="0" fontId="159" fillId="53" borderId="48" applyNumberFormat="0" applyAlignment="0" applyProtection="0"/>
    <xf numFmtId="0" fontId="159" fillId="53" borderId="48" applyNumberFormat="0" applyAlignment="0" applyProtection="0"/>
    <xf numFmtId="178" fontId="159" fillId="53" borderId="48" applyNumberFormat="0" applyAlignment="0" applyProtection="0"/>
    <xf numFmtId="0" fontId="159" fillId="53" borderId="48" applyNumberFormat="0" applyAlignment="0" applyProtection="0"/>
    <xf numFmtId="0" fontId="159" fillId="53" borderId="48" applyNumberFormat="0" applyAlignment="0" applyProtection="0"/>
    <xf numFmtId="178" fontId="159" fillId="53" borderId="48" applyNumberFormat="0" applyAlignment="0" applyProtection="0"/>
    <xf numFmtId="188" fontId="159" fillId="53" borderId="48" applyNumberFormat="0" applyAlignment="0" applyProtection="0"/>
    <xf numFmtId="178" fontId="159" fillId="53" borderId="48" applyNumberFormat="0" applyAlignment="0" applyProtection="0"/>
    <xf numFmtId="0" fontId="159" fillId="53" borderId="48" applyNumberFormat="0" applyAlignment="0" applyProtection="0"/>
    <xf numFmtId="178" fontId="159" fillId="53" borderId="48" applyNumberFormat="0" applyAlignment="0" applyProtection="0"/>
    <xf numFmtId="0" fontId="159" fillId="53" borderId="48" applyNumberFormat="0" applyAlignment="0" applyProtection="0"/>
    <xf numFmtId="0" fontId="159" fillId="53" borderId="48" applyNumberFormat="0" applyAlignment="0" applyProtection="0"/>
    <xf numFmtId="178" fontId="159" fillId="53" borderId="48" applyNumberFormat="0" applyAlignment="0" applyProtection="0"/>
    <xf numFmtId="188" fontId="159" fillId="53" borderId="48" applyNumberFormat="0" applyAlignment="0" applyProtection="0"/>
    <xf numFmtId="178" fontId="159" fillId="53" borderId="48" applyNumberFormat="0" applyAlignment="0" applyProtection="0"/>
    <xf numFmtId="234" fontId="162" fillId="0" borderId="0"/>
    <xf numFmtId="0" fontId="69" fillId="0" borderId="0"/>
    <xf numFmtId="0" fontId="69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0" fontId="69" fillId="0" borderId="0"/>
    <xf numFmtId="178" fontId="69" fillId="0" borderId="0"/>
    <xf numFmtId="178" fontId="18" fillId="0" borderId="0"/>
    <xf numFmtId="0" fontId="18" fillId="0" borderId="0"/>
    <xf numFmtId="178" fontId="69" fillId="0" borderId="0"/>
    <xf numFmtId="188" fontId="69" fillId="0" borderId="0"/>
    <xf numFmtId="178" fontId="69" fillId="0" borderId="0"/>
    <xf numFmtId="0" fontId="18" fillId="0" borderId="0"/>
    <xf numFmtId="178" fontId="18" fillId="0" borderId="0"/>
    <xf numFmtId="0" fontId="69" fillId="0" borderId="0"/>
    <xf numFmtId="178" fontId="69" fillId="0" borderId="0"/>
    <xf numFmtId="178" fontId="69" fillId="0" borderId="0"/>
    <xf numFmtId="235" fontId="73" fillId="0" borderId="0" applyFont="0" applyFill="0" applyBorder="0" applyAlignment="0" applyProtection="0"/>
    <xf numFmtId="0" fontId="18" fillId="109" borderId="0" applyNumberFormat="0" applyFont="0" applyBorder="0" applyAlignment="0"/>
    <xf numFmtId="0" fontId="18" fillId="109" borderId="0" applyNumberFormat="0" applyFont="0" applyBorder="0" applyAlignment="0"/>
    <xf numFmtId="178" fontId="18" fillId="109" borderId="0" applyNumberFormat="0" applyFont="0" applyBorder="0" applyAlignment="0"/>
    <xf numFmtId="178" fontId="18" fillId="109" borderId="0" applyNumberFormat="0" applyFont="0" applyBorder="0" applyAlignment="0"/>
    <xf numFmtId="0" fontId="163" fillId="110" borderId="50" applyNumberFormat="0" applyAlignment="0" applyProtection="0"/>
    <xf numFmtId="0" fontId="163" fillId="110" borderId="50" applyNumberFormat="0" applyAlignment="0" applyProtection="0"/>
    <xf numFmtId="178" fontId="163" fillId="110" borderId="50" applyNumberFormat="0" applyAlignment="0" applyProtection="0"/>
    <xf numFmtId="178" fontId="163" fillId="110" borderId="50" applyNumberFormat="0" applyAlignment="0" applyProtection="0"/>
    <xf numFmtId="0" fontId="164" fillId="0" borderId="51" applyNumberFormat="0" applyFill="0" applyAlignment="0" applyProtection="0"/>
    <xf numFmtId="0" fontId="164" fillId="0" borderId="51" applyNumberFormat="0" applyFill="0" applyAlignment="0" applyProtection="0"/>
    <xf numFmtId="178" fontId="164" fillId="0" borderId="51" applyNumberFormat="0" applyFill="0" applyAlignment="0" applyProtection="0"/>
    <xf numFmtId="178" fontId="164" fillId="0" borderId="51" applyNumberFormat="0" applyFill="0" applyAlignment="0" applyProtection="0"/>
    <xf numFmtId="0" fontId="164" fillId="0" borderId="51" applyNumberFormat="0" applyFill="0" applyAlignment="0" applyProtection="0"/>
    <xf numFmtId="0" fontId="164" fillId="0" borderId="51" applyNumberFormat="0" applyFill="0" applyAlignment="0" applyProtection="0"/>
    <xf numFmtId="178" fontId="164" fillId="0" borderId="51" applyNumberFormat="0" applyFill="0" applyAlignment="0" applyProtection="0"/>
    <xf numFmtId="178" fontId="164" fillId="0" borderId="51" applyNumberFormat="0" applyFill="0" applyAlignment="0" applyProtection="0"/>
    <xf numFmtId="0" fontId="163" fillId="110" borderId="50" applyNumberFormat="0" applyAlignment="0" applyProtection="0"/>
    <xf numFmtId="178" fontId="163" fillId="110" borderId="50" applyNumberFormat="0" applyAlignment="0" applyProtection="0"/>
    <xf numFmtId="178" fontId="163" fillId="110" borderId="50" applyNumberFormat="0" applyAlignment="0" applyProtection="0"/>
    <xf numFmtId="0" fontId="164" fillId="0" borderId="51" applyNumberFormat="0" applyFill="0" applyAlignment="0" applyProtection="0"/>
    <xf numFmtId="178" fontId="164" fillId="0" borderId="51" applyNumberFormat="0" applyFill="0" applyAlignment="0" applyProtection="0"/>
    <xf numFmtId="178" fontId="164" fillId="0" borderId="51" applyNumberFormat="0" applyFill="0" applyAlignment="0" applyProtection="0"/>
    <xf numFmtId="0" fontId="18" fillId="0" borderId="20" applyNumberFormat="0" applyFont="0" applyFill="0" applyProtection="0">
      <alignment horizontal="centerContinuous" vertical="center"/>
    </xf>
    <xf numFmtId="0" fontId="18" fillId="0" borderId="20" applyNumberFormat="0" applyFont="0" applyFill="0" applyProtection="0">
      <alignment horizontal="centerContinuous" vertical="center"/>
    </xf>
    <xf numFmtId="0" fontId="18" fillId="0" borderId="20" applyNumberFormat="0" applyFont="0" applyFill="0" applyProtection="0">
      <alignment horizontal="centerContinuous" vertical="center"/>
    </xf>
    <xf numFmtId="178" fontId="18" fillId="0" borderId="20" applyNumberFormat="0" applyFont="0" applyFill="0" applyProtection="0">
      <alignment horizontal="centerContinuous" vertical="center"/>
    </xf>
    <xf numFmtId="178" fontId="18" fillId="0" borderId="20" applyNumberFormat="0" applyFont="0" applyFill="0" applyProtection="0">
      <alignment horizontal="centerContinuous" vertical="center"/>
    </xf>
    <xf numFmtId="0" fontId="154" fillId="0" borderId="20" applyNumberFormat="0" applyFont="0" applyFill="0" applyProtection="0">
      <alignment horizontal="centerContinuous" vertical="center"/>
    </xf>
    <xf numFmtId="178" fontId="154" fillId="0" borderId="20" applyNumberFormat="0" applyFont="0" applyFill="0" applyProtection="0">
      <alignment horizontal="centerContinuous" vertical="center"/>
    </xf>
    <xf numFmtId="178" fontId="154" fillId="0" borderId="20" applyNumberFormat="0" applyFont="0" applyFill="0" applyProtection="0">
      <alignment horizontal="centerContinuous" vertical="center"/>
    </xf>
    <xf numFmtId="0" fontId="165" fillId="0" borderId="0" applyFill="0" applyBorder="0" applyProtection="0">
      <alignment horizontal="center"/>
      <protection locked="0"/>
    </xf>
    <xf numFmtId="0" fontId="165" fillId="0" borderId="0" applyFill="0" applyBorder="0" applyProtection="0">
      <alignment horizontal="center"/>
      <protection locked="0"/>
    </xf>
    <xf numFmtId="178" fontId="165" fillId="0" borderId="0" applyFill="0" applyBorder="0" applyProtection="0">
      <alignment horizontal="center"/>
      <protection locked="0"/>
    </xf>
    <xf numFmtId="178" fontId="165" fillId="0" borderId="0" applyFill="0" applyBorder="0" applyProtection="0">
      <alignment horizontal="center"/>
      <protection locked="0"/>
    </xf>
    <xf numFmtId="1" fontId="166" fillId="0" borderId="0"/>
    <xf numFmtId="0" fontId="18" fillId="78" borderId="0" applyNumberFormat="0" applyFont="0" applyBorder="0" applyAlignment="0" applyProtection="0"/>
    <xf numFmtId="0" fontId="18" fillId="78" borderId="0" applyNumberFormat="0" applyFont="0" applyBorder="0" applyAlignment="0" applyProtection="0"/>
    <xf numFmtId="0" fontId="18" fillId="78" borderId="0" applyNumberFormat="0" applyFont="0" applyBorder="0" applyAlignment="0" applyProtection="0"/>
    <xf numFmtId="178" fontId="18" fillId="78" borderId="0" applyNumberFormat="0" applyFont="0" applyBorder="0" applyAlignment="0" applyProtection="0"/>
    <xf numFmtId="178" fontId="18" fillId="78" borderId="0" applyNumberFormat="0" applyFont="0" applyBorder="0" applyAlignment="0" applyProtection="0"/>
    <xf numFmtId="0" fontId="67" fillId="78" borderId="0" applyNumberFormat="0" applyFont="0" applyBorder="0" applyAlignment="0" applyProtection="0"/>
    <xf numFmtId="178" fontId="67" fillId="78" borderId="0" applyNumberFormat="0" applyFont="0" applyBorder="0" applyAlignment="0" applyProtection="0"/>
    <xf numFmtId="178" fontId="67" fillId="78" borderId="0" applyNumberFormat="0" applyFont="0" applyBorder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3" fillId="7" borderId="7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3" fillId="7" borderId="7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3" fillId="7" borderId="7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3" fillId="7" borderId="7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3" fillId="7" borderId="7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3" fillId="7" borderId="7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3" fillId="7" borderId="7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3" fillId="7" borderId="7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3" fillId="7" borderId="7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3" fillId="7" borderId="7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3" fillId="7" borderId="7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3" fillId="7" borderId="7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3" fillId="7" borderId="7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3" fillId="7" borderId="7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3" fillId="7" borderId="7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3" fillId="7" borderId="7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3" fillId="7" borderId="7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3" fillId="7" borderId="7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3" fillId="7" borderId="7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3" fillId="7" borderId="7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3" fillId="7" borderId="7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3" fillId="7" borderId="7" applyNumberFormat="0" applyAlignment="0" applyProtection="0"/>
    <xf numFmtId="188" fontId="13" fillId="7" borderId="7" applyNumberFormat="0" applyAlignment="0" applyProtection="0"/>
    <xf numFmtId="178" fontId="13" fillId="7" borderId="7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188" fontId="13" fillId="7" borderId="7" applyNumberFormat="0" applyAlignment="0" applyProtection="0"/>
    <xf numFmtId="178" fontId="13" fillId="7" borderId="7" applyNumberFormat="0" applyAlignment="0" applyProtection="0"/>
    <xf numFmtId="188" fontId="13" fillId="7" borderId="7" applyNumberFormat="0" applyAlignment="0" applyProtection="0"/>
    <xf numFmtId="178" fontId="13" fillId="7" borderId="7" applyNumberFormat="0" applyAlignment="0" applyProtection="0"/>
    <xf numFmtId="188" fontId="13" fillId="7" borderId="7" applyNumberFormat="0" applyAlignment="0" applyProtection="0"/>
    <xf numFmtId="178" fontId="13" fillId="7" borderId="7" applyNumberFormat="0" applyAlignment="0" applyProtection="0"/>
    <xf numFmtId="188" fontId="13" fillId="7" borderId="7" applyNumberFormat="0" applyAlignment="0" applyProtection="0"/>
    <xf numFmtId="178" fontId="13" fillId="7" borderId="7" applyNumberFormat="0" applyAlignment="0" applyProtection="0"/>
    <xf numFmtId="188" fontId="13" fillId="7" borderId="7" applyNumberFormat="0" applyAlignment="0" applyProtection="0"/>
    <xf numFmtId="178" fontId="13" fillId="7" borderId="7" applyNumberFormat="0" applyAlignment="0" applyProtection="0"/>
    <xf numFmtId="188" fontId="13" fillId="7" borderId="7" applyNumberFormat="0" applyAlignment="0" applyProtection="0"/>
    <xf numFmtId="178" fontId="13" fillId="7" borderId="7" applyNumberFormat="0" applyAlignment="0" applyProtection="0"/>
    <xf numFmtId="188" fontId="13" fillId="7" borderId="7" applyNumberFormat="0" applyAlignment="0" applyProtection="0"/>
    <xf numFmtId="178" fontId="13" fillId="7" borderId="7" applyNumberFormat="0" applyAlignment="0" applyProtection="0"/>
    <xf numFmtId="188" fontId="13" fillId="7" borderId="7" applyNumberFormat="0" applyAlignment="0" applyProtection="0"/>
    <xf numFmtId="178" fontId="13" fillId="7" borderId="7" applyNumberFormat="0" applyAlignment="0" applyProtection="0"/>
    <xf numFmtId="188" fontId="13" fillId="7" borderId="7" applyNumberFormat="0" applyAlignment="0" applyProtection="0"/>
    <xf numFmtId="178" fontId="13" fillId="7" borderId="7" applyNumberFormat="0" applyAlignment="0" applyProtection="0"/>
    <xf numFmtId="188" fontId="13" fillId="7" borderId="7" applyNumberFormat="0" applyAlignment="0" applyProtection="0"/>
    <xf numFmtId="178" fontId="13" fillId="7" borderId="7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188" fontId="13" fillId="7" borderId="7" applyNumberFormat="0" applyAlignment="0" applyProtection="0"/>
    <xf numFmtId="178" fontId="13" fillId="7" borderId="7" applyNumberFormat="0" applyAlignment="0" applyProtection="0"/>
    <xf numFmtId="188" fontId="13" fillId="7" borderId="7" applyNumberFormat="0" applyAlignment="0" applyProtection="0"/>
    <xf numFmtId="178" fontId="13" fillId="7" borderId="7" applyNumberFormat="0" applyAlignment="0" applyProtection="0"/>
    <xf numFmtId="188" fontId="13" fillId="7" borderId="7" applyNumberFormat="0" applyAlignment="0" applyProtection="0"/>
    <xf numFmtId="178" fontId="13" fillId="7" borderId="7" applyNumberFormat="0" applyAlignment="0" applyProtection="0"/>
    <xf numFmtId="188" fontId="13" fillId="7" borderId="7" applyNumberFormat="0" applyAlignment="0" applyProtection="0"/>
    <xf numFmtId="178" fontId="13" fillId="7" borderId="7" applyNumberFormat="0" applyAlignment="0" applyProtection="0"/>
    <xf numFmtId="188" fontId="13" fillId="7" borderId="7" applyNumberFormat="0" applyAlignment="0" applyProtection="0"/>
    <xf numFmtId="178" fontId="13" fillId="7" borderId="7" applyNumberFormat="0" applyAlignment="0" applyProtection="0"/>
    <xf numFmtId="188" fontId="13" fillId="7" borderId="7" applyNumberFormat="0" applyAlignment="0" applyProtection="0"/>
    <xf numFmtId="178" fontId="13" fillId="7" borderId="7" applyNumberFormat="0" applyAlignment="0" applyProtection="0"/>
    <xf numFmtId="188" fontId="13" fillId="7" borderId="7" applyNumberFormat="0" applyAlignment="0" applyProtection="0"/>
    <xf numFmtId="178" fontId="13" fillId="7" borderId="7" applyNumberFormat="0" applyAlignment="0" applyProtection="0"/>
    <xf numFmtId="188" fontId="13" fillId="7" borderId="7" applyNumberFormat="0" applyAlignment="0" applyProtection="0"/>
    <xf numFmtId="178" fontId="13" fillId="7" borderId="7" applyNumberFormat="0" applyAlignment="0" applyProtection="0"/>
    <xf numFmtId="188" fontId="13" fillId="7" borderId="7" applyNumberFormat="0" applyAlignment="0" applyProtection="0"/>
    <xf numFmtId="178" fontId="13" fillId="7" borderId="7" applyNumberFormat="0" applyAlignment="0" applyProtection="0"/>
    <xf numFmtId="188" fontId="13" fillId="7" borderId="7" applyNumberFormat="0" applyAlignment="0" applyProtection="0"/>
    <xf numFmtId="178" fontId="13" fillId="7" borderId="7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188" fontId="13" fillId="7" borderId="7" applyNumberFormat="0" applyAlignment="0" applyProtection="0"/>
    <xf numFmtId="178" fontId="13" fillId="7" borderId="7" applyNumberFormat="0" applyAlignment="0" applyProtection="0"/>
    <xf numFmtId="188" fontId="13" fillId="7" borderId="7" applyNumberFormat="0" applyAlignment="0" applyProtection="0"/>
    <xf numFmtId="178" fontId="13" fillId="7" borderId="7" applyNumberFormat="0" applyAlignment="0" applyProtection="0"/>
    <xf numFmtId="188" fontId="13" fillId="7" borderId="7" applyNumberFormat="0" applyAlignment="0" applyProtection="0"/>
    <xf numFmtId="178" fontId="13" fillId="7" borderId="7" applyNumberFormat="0" applyAlignment="0" applyProtection="0"/>
    <xf numFmtId="188" fontId="13" fillId="7" borderId="7" applyNumberFormat="0" applyAlignment="0" applyProtection="0"/>
    <xf numFmtId="178" fontId="13" fillId="7" borderId="7" applyNumberFormat="0" applyAlignment="0" applyProtection="0"/>
    <xf numFmtId="188" fontId="13" fillId="7" borderId="7" applyNumberFormat="0" applyAlignment="0" applyProtection="0"/>
    <xf numFmtId="178" fontId="13" fillId="7" borderId="7" applyNumberFormat="0" applyAlignment="0" applyProtection="0"/>
    <xf numFmtId="188" fontId="13" fillId="7" borderId="7" applyNumberFormat="0" applyAlignment="0" applyProtection="0"/>
    <xf numFmtId="178" fontId="13" fillId="7" borderId="7" applyNumberFormat="0" applyAlignment="0" applyProtection="0"/>
    <xf numFmtId="188" fontId="13" fillId="7" borderId="7" applyNumberFormat="0" applyAlignment="0" applyProtection="0"/>
    <xf numFmtId="178" fontId="13" fillId="7" borderId="7" applyNumberFormat="0" applyAlignment="0" applyProtection="0"/>
    <xf numFmtId="188" fontId="13" fillId="7" borderId="7" applyNumberFormat="0" applyAlignment="0" applyProtection="0"/>
    <xf numFmtId="178" fontId="13" fillId="7" borderId="7" applyNumberFormat="0" applyAlignment="0" applyProtection="0"/>
    <xf numFmtId="188" fontId="13" fillId="7" borderId="7" applyNumberFormat="0" applyAlignment="0" applyProtection="0"/>
    <xf numFmtId="178" fontId="13" fillId="7" borderId="7" applyNumberFormat="0" applyAlignment="0" applyProtection="0"/>
    <xf numFmtId="188" fontId="13" fillId="7" borderId="7" applyNumberFormat="0" applyAlignment="0" applyProtection="0"/>
    <xf numFmtId="178" fontId="13" fillId="7" borderId="7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188" fontId="13" fillId="7" borderId="7" applyNumberFormat="0" applyAlignment="0" applyProtection="0"/>
    <xf numFmtId="178" fontId="13" fillId="7" borderId="7" applyNumberFormat="0" applyAlignment="0" applyProtection="0"/>
    <xf numFmtId="188" fontId="13" fillId="7" borderId="7" applyNumberFormat="0" applyAlignment="0" applyProtection="0"/>
    <xf numFmtId="178" fontId="13" fillId="7" borderId="7" applyNumberFormat="0" applyAlignment="0" applyProtection="0"/>
    <xf numFmtId="188" fontId="13" fillId="7" borderId="7" applyNumberFormat="0" applyAlignment="0" applyProtection="0"/>
    <xf numFmtId="178" fontId="13" fillId="7" borderId="7" applyNumberFormat="0" applyAlignment="0" applyProtection="0"/>
    <xf numFmtId="188" fontId="13" fillId="7" borderId="7" applyNumberFormat="0" applyAlignment="0" applyProtection="0"/>
    <xf numFmtId="178" fontId="13" fillId="7" borderId="7" applyNumberFormat="0" applyAlignment="0" applyProtection="0"/>
    <xf numFmtId="188" fontId="13" fillId="7" borderId="7" applyNumberFormat="0" applyAlignment="0" applyProtection="0"/>
    <xf numFmtId="178" fontId="13" fillId="7" borderId="7" applyNumberFormat="0" applyAlignment="0" applyProtection="0"/>
    <xf numFmtId="188" fontId="13" fillId="7" borderId="7" applyNumberFormat="0" applyAlignment="0" applyProtection="0"/>
    <xf numFmtId="178" fontId="13" fillId="7" borderId="7" applyNumberFormat="0" applyAlignment="0" applyProtection="0"/>
    <xf numFmtId="188" fontId="13" fillId="7" borderId="7" applyNumberFormat="0" applyAlignment="0" applyProtection="0"/>
    <xf numFmtId="178" fontId="13" fillId="7" borderId="7" applyNumberFormat="0" applyAlignment="0" applyProtection="0"/>
    <xf numFmtId="188" fontId="13" fillId="7" borderId="7" applyNumberFormat="0" applyAlignment="0" applyProtection="0"/>
    <xf numFmtId="178" fontId="13" fillId="7" borderId="7" applyNumberFormat="0" applyAlignment="0" applyProtection="0"/>
    <xf numFmtId="188" fontId="13" fillId="7" borderId="7" applyNumberFormat="0" applyAlignment="0" applyProtection="0"/>
    <xf numFmtId="178" fontId="13" fillId="7" borderId="7" applyNumberFormat="0" applyAlignment="0" applyProtection="0"/>
    <xf numFmtId="0" fontId="163" fillId="98" borderId="50" applyNumberFormat="0" applyAlignment="0" applyProtection="0"/>
    <xf numFmtId="188" fontId="163" fillId="110" borderId="50" applyNumberFormat="0" applyAlignment="0" applyProtection="0"/>
    <xf numFmtId="188" fontId="13" fillId="7" borderId="7" applyNumberFormat="0" applyAlignment="0" applyProtection="0"/>
    <xf numFmtId="188" fontId="163" fillId="110" borderId="50" applyNumberFormat="0" applyAlignment="0" applyProtection="0"/>
    <xf numFmtId="188" fontId="167" fillId="7" borderId="7" applyNumberFormat="0" applyAlignment="0" applyProtection="0"/>
    <xf numFmtId="178" fontId="167" fillId="7" borderId="7" applyNumberFormat="0" applyAlignment="0" applyProtection="0"/>
    <xf numFmtId="178" fontId="163" fillId="110" borderId="50" applyNumberFormat="0" applyAlignment="0" applyProtection="0"/>
    <xf numFmtId="178" fontId="13" fillId="7" borderId="7" applyNumberFormat="0" applyAlignment="0" applyProtection="0"/>
    <xf numFmtId="188" fontId="13" fillId="7" borderId="7" applyNumberFormat="0" applyAlignment="0" applyProtection="0"/>
    <xf numFmtId="178" fontId="13" fillId="7" borderId="7" applyNumberFormat="0" applyAlignment="0" applyProtection="0"/>
    <xf numFmtId="188" fontId="13" fillId="7" borderId="7" applyNumberFormat="0" applyAlignment="0" applyProtection="0"/>
    <xf numFmtId="178" fontId="13" fillId="7" borderId="7" applyNumberFormat="0" applyAlignment="0" applyProtection="0"/>
    <xf numFmtId="178" fontId="163" fillId="110" borderId="50" applyNumberFormat="0" applyAlignment="0" applyProtection="0"/>
    <xf numFmtId="188" fontId="163" fillId="110" borderId="50" applyNumberFormat="0" applyAlignment="0" applyProtection="0"/>
    <xf numFmtId="178" fontId="163" fillId="110" borderId="50" applyNumberFormat="0" applyAlignment="0" applyProtection="0"/>
    <xf numFmtId="188" fontId="163" fillId="110" borderId="50" applyNumberFormat="0" applyAlignment="0" applyProtection="0"/>
    <xf numFmtId="178" fontId="163" fillId="110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188" fontId="167" fillId="7" borderId="7" applyNumberFormat="0" applyAlignment="0" applyProtection="0"/>
    <xf numFmtId="178" fontId="167" fillId="7" borderId="7" applyNumberFormat="0" applyAlignment="0" applyProtection="0"/>
    <xf numFmtId="188" fontId="167" fillId="7" borderId="7" applyNumberFormat="0" applyAlignment="0" applyProtection="0"/>
    <xf numFmtId="178" fontId="167" fillId="7" borderId="7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188" fontId="167" fillId="7" borderId="7" applyNumberFormat="0" applyAlignment="0" applyProtection="0"/>
    <xf numFmtId="178" fontId="167" fillId="7" borderId="7" applyNumberFormat="0" applyAlignment="0" applyProtection="0"/>
    <xf numFmtId="188" fontId="167" fillId="7" borderId="7" applyNumberFormat="0" applyAlignment="0" applyProtection="0"/>
    <xf numFmtId="178" fontId="167" fillId="7" borderId="7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188" fontId="167" fillId="7" borderId="7" applyNumberFormat="0" applyAlignment="0" applyProtection="0"/>
    <xf numFmtId="178" fontId="167" fillId="7" borderId="7" applyNumberFormat="0" applyAlignment="0" applyProtection="0"/>
    <xf numFmtId="188" fontId="167" fillId="7" borderId="7" applyNumberFormat="0" applyAlignment="0" applyProtection="0"/>
    <xf numFmtId="178" fontId="167" fillId="7" borderId="7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188" fontId="13" fillId="7" borderId="7" applyNumberFormat="0" applyAlignment="0" applyProtection="0"/>
    <xf numFmtId="178" fontId="13" fillId="7" borderId="7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188" fontId="167" fillId="7" borderId="7" applyNumberFormat="0" applyAlignment="0" applyProtection="0"/>
    <xf numFmtId="178" fontId="167" fillId="7" borderId="7" applyNumberFormat="0" applyAlignment="0" applyProtection="0"/>
    <xf numFmtId="188" fontId="167" fillId="7" borderId="7" applyNumberFormat="0" applyAlignment="0" applyProtection="0"/>
    <xf numFmtId="178" fontId="167" fillId="7" borderId="7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188" fontId="167" fillId="7" borderId="7" applyNumberFormat="0" applyAlignment="0" applyProtection="0"/>
    <xf numFmtId="178" fontId="167" fillId="7" borderId="7" applyNumberFormat="0" applyAlignment="0" applyProtection="0"/>
    <xf numFmtId="188" fontId="167" fillId="7" borderId="7" applyNumberFormat="0" applyAlignment="0" applyProtection="0"/>
    <xf numFmtId="178" fontId="167" fillId="7" borderId="7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188" fontId="167" fillId="7" borderId="7" applyNumberFormat="0" applyAlignment="0" applyProtection="0"/>
    <xf numFmtId="178" fontId="167" fillId="7" borderId="7" applyNumberFormat="0" applyAlignment="0" applyProtection="0"/>
    <xf numFmtId="188" fontId="167" fillId="7" borderId="7" applyNumberFormat="0" applyAlignment="0" applyProtection="0"/>
    <xf numFmtId="178" fontId="167" fillId="7" borderId="7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188" fontId="167" fillId="7" borderId="7" applyNumberFormat="0" applyAlignment="0" applyProtection="0"/>
    <xf numFmtId="178" fontId="167" fillId="7" borderId="7" applyNumberFormat="0" applyAlignment="0" applyProtection="0"/>
    <xf numFmtId="188" fontId="167" fillId="7" borderId="7" applyNumberFormat="0" applyAlignment="0" applyProtection="0"/>
    <xf numFmtId="178" fontId="167" fillId="7" borderId="7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63" fillId="98" borderId="50" applyNumberFormat="0" applyAlignment="0" applyProtection="0"/>
    <xf numFmtId="0" fontId="163" fillId="98" borderId="50" applyNumberFormat="0" applyAlignment="0" applyProtection="0"/>
    <xf numFmtId="178" fontId="163" fillId="98" borderId="50" applyNumberFormat="0" applyAlignment="0" applyProtection="0"/>
    <xf numFmtId="178" fontId="163" fillId="98" borderId="50" applyNumberFormat="0" applyAlignment="0" applyProtection="0"/>
    <xf numFmtId="0" fontId="18" fillId="0" borderId="0" applyNumberFormat="0" applyFont="0" applyFill="0" applyAlignment="0" applyProtection="0"/>
    <xf numFmtId="0" fontId="18" fillId="0" borderId="0" applyNumberFormat="0" applyFont="0" applyFill="0" applyAlignment="0" applyProtection="0"/>
    <xf numFmtId="178" fontId="18" fillId="0" borderId="0" applyNumberFormat="0" applyFont="0" applyFill="0" applyAlignment="0" applyProtection="0"/>
    <xf numFmtId="178" fontId="18" fillId="0" borderId="0" applyNumberFormat="0" applyFont="0" applyFill="0" applyAlignment="0" applyProtection="0"/>
    <xf numFmtId="0" fontId="168" fillId="33" borderId="21">
      <alignment horizontal="left" vertical="center"/>
    </xf>
    <xf numFmtId="0" fontId="168" fillId="33" borderId="21">
      <alignment horizontal="left" vertical="center"/>
    </xf>
    <xf numFmtId="0" fontId="168" fillId="33" borderId="21">
      <alignment horizontal="left" vertical="center"/>
    </xf>
    <xf numFmtId="178" fontId="168" fillId="33" borderId="21">
      <alignment horizontal="left" vertical="center"/>
    </xf>
    <xf numFmtId="0" fontId="168" fillId="33" borderId="21">
      <alignment horizontal="left" vertical="center"/>
    </xf>
    <xf numFmtId="0" fontId="168" fillId="33" borderId="21">
      <alignment horizontal="left" vertical="center"/>
    </xf>
    <xf numFmtId="178" fontId="168" fillId="33" borderId="21">
      <alignment horizontal="left" vertical="center"/>
    </xf>
    <xf numFmtId="188" fontId="168" fillId="33" borderId="21">
      <alignment horizontal="left" vertical="center"/>
    </xf>
    <xf numFmtId="178" fontId="168" fillId="33" borderId="21">
      <alignment horizontal="left" vertical="center"/>
    </xf>
    <xf numFmtId="0" fontId="168" fillId="33" borderId="21">
      <alignment horizontal="left" vertical="center"/>
    </xf>
    <xf numFmtId="178" fontId="168" fillId="33" borderId="21">
      <alignment horizontal="left" vertical="center"/>
    </xf>
    <xf numFmtId="0" fontId="168" fillId="33" borderId="21">
      <alignment horizontal="left" vertical="center"/>
    </xf>
    <xf numFmtId="0" fontId="168" fillId="33" borderId="21">
      <alignment horizontal="left" vertical="center"/>
    </xf>
    <xf numFmtId="178" fontId="168" fillId="33" borderId="21">
      <alignment horizontal="left" vertical="center"/>
    </xf>
    <xf numFmtId="188" fontId="168" fillId="33" borderId="21">
      <alignment horizontal="left" vertical="center"/>
    </xf>
    <xf numFmtId="178" fontId="168" fillId="33" borderId="21">
      <alignment horizontal="left" vertical="center"/>
    </xf>
    <xf numFmtId="0" fontId="169" fillId="0" borderId="42">
      <alignment horizontal="center"/>
    </xf>
    <xf numFmtId="0" fontId="169" fillId="0" borderId="42">
      <alignment horizontal="center"/>
    </xf>
    <xf numFmtId="0" fontId="169" fillId="0" borderId="42">
      <alignment horizontal="center"/>
    </xf>
    <xf numFmtId="0" fontId="169" fillId="0" borderId="42">
      <alignment horizontal="center"/>
    </xf>
    <xf numFmtId="178" fontId="169" fillId="0" borderId="42">
      <alignment horizontal="center"/>
    </xf>
    <xf numFmtId="0" fontId="169" fillId="0" borderId="42">
      <alignment horizontal="center"/>
    </xf>
    <xf numFmtId="178" fontId="169" fillId="0" borderId="42">
      <alignment horizontal="center"/>
    </xf>
    <xf numFmtId="188" fontId="169" fillId="0" borderId="42">
      <alignment horizontal="center"/>
    </xf>
    <xf numFmtId="178" fontId="169" fillId="0" borderId="42">
      <alignment horizontal="center"/>
    </xf>
    <xf numFmtId="0" fontId="169" fillId="0" borderId="42">
      <alignment horizontal="center"/>
    </xf>
    <xf numFmtId="178" fontId="169" fillId="0" borderId="42">
      <alignment horizontal="center"/>
    </xf>
    <xf numFmtId="188" fontId="169" fillId="0" borderId="42">
      <alignment horizontal="center"/>
    </xf>
    <xf numFmtId="178" fontId="169" fillId="0" borderId="42">
      <alignment horizontal="center"/>
    </xf>
    <xf numFmtId="0" fontId="18" fillId="0" borderId="0" applyNumberFormat="0" applyFill="0" applyBorder="0" applyProtection="0">
      <alignment horizontal="center" vertical="center"/>
    </xf>
    <xf numFmtId="0" fontId="18" fillId="0" borderId="0" applyNumberFormat="0" applyFill="0" applyBorder="0" applyProtection="0">
      <alignment horizontal="center" vertical="center"/>
    </xf>
    <xf numFmtId="0" fontId="18" fillId="0" borderId="0" applyNumberFormat="0" applyFill="0" applyBorder="0" applyProtection="0">
      <alignment horizontal="center" vertical="center"/>
    </xf>
    <xf numFmtId="178" fontId="18" fillId="0" borderId="0" applyNumberFormat="0" applyFill="0" applyBorder="0" applyProtection="0">
      <alignment horizontal="center" vertical="center"/>
    </xf>
    <xf numFmtId="178" fontId="18" fillId="0" borderId="0" applyNumberFormat="0" applyFill="0" applyBorder="0" applyProtection="0">
      <alignment horizontal="center" vertical="center"/>
    </xf>
    <xf numFmtId="0" fontId="154" fillId="0" borderId="0" applyNumberFormat="0" applyFill="0" applyBorder="0" applyProtection="0">
      <alignment horizontal="center" vertical="center"/>
    </xf>
    <xf numFmtId="178" fontId="154" fillId="0" borderId="0" applyNumberFormat="0" applyFill="0" applyBorder="0" applyProtection="0">
      <alignment horizontal="center" vertical="center"/>
    </xf>
    <xf numFmtId="178" fontId="154" fillId="0" borderId="0" applyNumberFormat="0" applyFill="0" applyBorder="0" applyProtection="0">
      <alignment horizontal="center" vertical="center"/>
    </xf>
    <xf numFmtId="0" fontId="18" fillId="0" borderId="11">
      <alignment horizontal="center"/>
    </xf>
    <xf numFmtId="0" fontId="28" fillId="0" borderId="21">
      <alignment horizontal="center" vertical="center" wrapText="1"/>
    </xf>
    <xf numFmtId="0" fontId="28" fillId="0" borderId="21">
      <alignment horizontal="center" vertical="center" wrapText="1"/>
    </xf>
    <xf numFmtId="0" fontId="28" fillId="0" borderId="21">
      <alignment horizontal="center" vertical="center" wrapText="1"/>
    </xf>
    <xf numFmtId="178" fontId="28" fillId="0" borderId="21">
      <alignment horizontal="center" vertical="center" wrapText="1"/>
    </xf>
    <xf numFmtId="0" fontId="28" fillId="0" borderId="21">
      <alignment horizontal="center" vertical="center" wrapText="1"/>
    </xf>
    <xf numFmtId="0" fontId="28" fillId="0" borderId="21">
      <alignment horizontal="center" vertical="center" wrapText="1"/>
    </xf>
    <xf numFmtId="178" fontId="28" fillId="0" borderId="21">
      <alignment horizontal="center" vertical="center" wrapText="1"/>
    </xf>
    <xf numFmtId="188" fontId="28" fillId="0" borderId="21">
      <alignment horizontal="center" vertical="center" wrapText="1"/>
    </xf>
    <xf numFmtId="178" fontId="28" fillId="0" borderId="21">
      <alignment horizontal="center" vertical="center" wrapText="1"/>
    </xf>
    <xf numFmtId="0" fontId="28" fillId="0" borderId="21">
      <alignment horizontal="center" vertical="center" wrapText="1"/>
    </xf>
    <xf numFmtId="178" fontId="28" fillId="0" borderId="21">
      <alignment horizontal="center" vertical="center" wrapText="1"/>
    </xf>
    <xf numFmtId="0" fontId="28" fillId="0" borderId="21">
      <alignment horizontal="center" vertical="center" wrapText="1"/>
    </xf>
    <xf numFmtId="0" fontId="28" fillId="0" borderId="21">
      <alignment horizontal="center" vertical="center" wrapText="1"/>
    </xf>
    <xf numFmtId="178" fontId="28" fillId="0" borderId="21">
      <alignment horizontal="center" vertical="center" wrapText="1"/>
    </xf>
    <xf numFmtId="188" fontId="28" fillId="0" borderId="21">
      <alignment horizontal="center" vertical="center" wrapText="1"/>
    </xf>
    <xf numFmtId="178" fontId="28" fillId="0" borderId="21">
      <alignment horizontal="center" vertical="center" wrapText="1"/>
    </xf>
    <xf numFmtId="236" fontId="18" fillId="0" borderId="0"/>
    <xf numFmtId="237" fontId="18" fillId="0" borderId="0"/>
    <xf numFmtId="236" fontId="18" fillId="0" borderId="0"/>
    <xf numFmtId="237" fontId="18" fillId="0" borderId="0"/>
    <xf numFmtId="236" fontId="18" fillId="0" borderId="0"/>
    <xf numFmtId="237" fontId="18" fillId="0" borderId="0"/>
    <xf numFmtId="236" fontId="18" fillId="0" borderId="0"/>
    <xf numFmtId="237" fontId="18" fillId="0" borderId="0"/>
    <xf numFmtId="236" fontId="18" fillId="0" borderId="0"/>
    <xf numFmtId="237" fontId="18" fillId="0" borderId="0"/>
    <xf numFmtId="236" fontId="18" fillId="0" borderId="0"/>
    <xf numFmtId="237" fontId="18" fillId="0" borderId="0"/>
    <xf numFmtId="236" fontId="18" fillId="0" borderId="0"/>
    <xf numFmtId="237" fontId="18" fillId="0" borderId="0"/>
    <xf numFmtId="236" fontId="18" fillId="0" borderId="0"/>
    <xf numFmtId="237" fontId="18" fillId="0" borderId="0"/>
    <xf numFmtId="238" fontId="18" fillId="0" borderId="0" applyFont="0" applyFill="0" applyBorder="0" applyAlignment="0" applyProtection="0"/>
    <xf numFmtId="239" fontId="67" fillId="0" borderId="0"/>
    <xf numFmtId="183" fontId="18" fillId="0" borderId="0" applyFont="0" applyFill="0" applyBorder="0" applyAlignment="0" applyProtection="0"/>
    <xf numFmtId="183" fontId="18" fillId="0" borderId="0" applyFont="0" applyFill="0" applyBorder="0" applyAlignment="0" applyProtection="0"/>
    <xf numFmtId="0" fontId="41" fillId="0" borderId="0" applyFont="0" applyFill="0" applyBorder="0" applyAlignment="0" applyProtection="0"/>
    <xf numFmtId="0" fontId="41" fillId="0" borderId="0" applyFont="0" applyFill="0" applyBorder="0" applyAlignment="0" applyProtection="0"/>
    <xf numFmtId="178" fontId="41" fillId="0" borderId="0" applyFont="0" applyFill="0" applyBorder="0" applyAlignment="0" applyProtection="0"/>
    <xf numFmtId="178" fontId="41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0" fontId="170" fillId="0" borderId="0" applyFont="0" applyFill="0" applyBorder="0" applyAlignment="0" applyProtection="0"/>
    <xf numFmtId="178" fontId="170" fillId="0" borderId="0" applyFont="0" applyFill="0" applyBorder="0" applyAlignment="0" applyProtection="0"/>
    <xf numFmtId="178" fontId="170" fillId="0" borderId="0" applyFont="0" applyFill="0" applyBorder="0" applyAlignment="0" applyProtection="0"/>
    <xf numFmtId="0" fontId="18" fillId="0" borderId="0" applyFont="0" applyFill="0" applyBorder="0" applyAlignment="0" applyProtection="0">
      <alignment horizontal="right"/>
    </xf>
    <xf numFmtId="0" fontId="18" fillId="0" borderId="0" applyFont="0" applyFill="0" applyBorder="0" applyAlignment="0" applyProtection="0">
      <alignment horizontal="right"/>
    </xf>
    <xf numFmtId="0" fontId="18" fillId="0" borderId="0" applyFont="0" applyFill="0" applyBorder="0" applyAlignment="0" applyProtection="0">
      <alignment horizontal="right"/>
    </xf>
    <xf numFmtId="178" fontId="18" fillId="0" borderId="0" applyFont="0" applyFill="0" applyBorder="0" applyAlignment="0" applyProtection="0">
      <alignment horizontal="right"/>
    </xf>
    <xf numFmtId="178" fontId="18" fillId="0" borderId="0" applyFont="0" applyFill="0" applyBorder="0" applyAlignment="0" applyProtection="0">
      <alignment horizontal="right"/>
    </xf>
    <xf numFmtId="0" fontId="171" fillId="0" borderId="0" applyFont="0" applyFill="0" applyBorder="0" applyAlignment="0" applyProtection="0">
      <alignment horizontal="right"/>
    </xf>
    <xf numFmtId="178" fontId="171" fillId="0" borderId="0" applyFont="0" applyFill="0" applyBorder="0" applyAlignment="0" applyProtection="0">
      <alignment horizontal="right"/>
    </xf>
    <xf numFmtId="178" fontId="171" fillId="0" borderId="0" applyFont="0" applyFill="0" applyBorder="0" applyAlignment="0" applyProtection="0">
      <alignment horizontal="right"/>
    </xf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0" fontId="171" fillId="0" borderId="0" applyFont="0" applyFill="0" applyBorder="0" applyAlignment="0" applyProtection="0"/>
    <xf numFmtId="178" fontId="171" fillId="0" borderId="0" applyFont="0" applyFill="0" applyBorder="0" applyAlignment="0" applyProtection="0"/>
    <xf numFmtId="178" fontId="171" fillId="0" borderId="0" applyFont="0" applyFill="0" applyBorder="0" applyAlignment="0" applyProtection="0"/>
    <xf numFmtId="240" fontId="153" fillId="0" borderId="0" applyFont="0" applyFill="0" applyBorder="0" applyAlignment="0" applyProtection="0"/>
    <xf numFmtId="241" fontId="41" fillId="0" borderId="0" applyFont="0" applyFill="0" applyBorder="0" applyAlignment="0" applyProtection="0"/>
    <xf numFmtId="242" fontId="172" fillId="0" borderId="0" applyFont="0" applyFill="0" applyBorder="0" applyAlignment="0" applyProtection="0"/>
    <xf numFmtId="243" fontId="41" fillId="0" borderId="0" applyFont="0" applyFill="0" applyBorder="0" applyAlignment="0" applyProtection="0"/>
    <xf numFmtId="244" fontId="172" fillId="0" borderId="0" applyFont="0" applyFill="0" applyBorder="0" applyAlignment="0" applyProtection="0"/>
    <xf numFmtId="245" fontId="41" fillId="0" borderId="0" applyFont="0" applyFill="0" applyBorder="0" applyAlignment="0" applyProtection="0"/>
    <xf numFmtId="246" fontId="171" fillId="0" borderId="0" applyFont="0" applyFill="0" applyBorder="0" applyAlignment="0" applyProtection="0">
      <alignment horizontal="right"/>
    </xf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78" fontId="18" fillId="0" borderId="0"/>
    <xf numFmtId="167" fontId="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6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3" fillId="0" borderId="0" applyFont="0" applyFill="0" applyBorder="0" applyAlignment="0" applyProtection="0"/>
    <xf numFmtId="167" fontId="6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8" fillId="0" borderId="0"/>
    <xf numFmtId="235" fontId="18" fillId="0" borderId="0" applyFont="0" applyFill="0" applyBorder="0" applyAlignment="0" applyProtection="0"/>
    <xf numFmtId="235" fontId="18" fillId="0" borderId="0" applyFont="0" applyFill="0" applyBorder="0" applyAlignment="0" applyProtection="0"/>
    <xf numFmtId="0" fontId="18" fillId="0" borderId="0" applyFont="0" applyFill="0" applyBorder="0" applyAlignment="0" applyProtection="0">
      <alignment horizontal="right"/>
    </xf>
    <xf numFmtId="0" fontId="18" fillId="0" borderId="0" applyFont="0" applyFill="0" applyBorder="0" applyAlignment="0" applyProtection="0">
      <alignment horizontal="right"/>
    </xf>
    <xf numFmtId="178" fontId="18" fillId="0" borderId="0" applyFont="0" applyFill="0" applyBorder="0" applyAlignment="0" applyProtection="0">
      <alignment horizontal="right"/>
    </xf>
    <xf numFmtId="0" fontId="18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5" fillId="0" borderId="0" applyFont="0" applyFill="0" applyBorder="0" applyAlignment="0" applyProtection="0"/>
    <xf numFmtId="247" fontId="18" fillId="0" borderId="0">
      <protection locked="0"/>
    </xf>
    <xf numFmtId="167" fontId="38" fillId="0" borderId="0" applyFont="0" applyFill="0" applyBorder="0" applyAlignment="0" applyProtection="0"/>
    <xf numFmtId="167" fontId="174" fillId="0" borderId="0" applyFont="0" applyFill="0" applyBorder="0" applyAlignment="0" applyProtection="0"/>
    <xf numFmtId="186" fontId="18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61" fillId="0" borderId="0" applyFont="0" applyFill="0" applyBorder="0" applyAlignment="0" applyProtection="0"/>
    <xf numFmtId="0" fontId="18" fillId="0" borderId="0"/>
    <xf numFmtId="0" fontId="18" fillId="0" borderId="0"/>
    <xf numFmtId="178" fontId="18" fillId="0" borderId="0"/>
    <xf numFmtId="178" fontId="18" fillId="0" borderId="0"/>
    <xf numFmtId="167" fontId="173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9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4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37" fontId="176" fillId="0" borderId="0"/>
    <xf numFmtId="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0" fontId="18" fillId="59" borderId="52" applyNumberFormat="0" applyFont="0" applyAlignment="0" applyProtection="0"/>
    <xf numFmtId="0" fontId="18" fillId="59" borderId="52" applyNumberFormat="0" applyFont="0" applyAlignment="0" applyProtection="0"/>
    <xf numFmtId="0" fontId="18" fillId="59" borderId="52" applyNumberFormat="0" applyFont="0" applyAlignment="0" applyProtection="0"/>
    <xf numFmtId="178" fontId="18" fillId="59" borderId="52" applyNumberFormat="0" applyFont="0" applyAlignment="0" applyProtection="0"/>
    <xf numFmtId="0" fontId="18" fillId="59" borderId="52" applyNumberFormat="0" applyFont="0" applyAlignment="0" applyProtection="0"/>
    <xf numFmtId="0" fontId="18" fillId="59" borderId="52" applyNumberFormat="0" applyFont="0" applyAlignment="0" applyProtection="0"/>
    <xf numFmtId="178" fontId="18" fillId="59" borderId="52" applyNumberFormat="0" applyFont="0" applyAlignment="0" applyProtection="0"/>
    <xf numFmtId="188" fontId="18" fillId="59" borderId="52" applyNumberFormat="0" applyFont="0" applyAlignment="0" applyProtection="0"/>
    <xf numFmtId="178" fontId="18" fillId="59" borderId="52" applyNumberFormat="0" applyFont="0" applyAlignment="0" applyProtection="0"/>
    <xf numFmtId="0" fontId="18" fillId="59" borderId="52" applyNumberFormat="0" applyFont="0" applyAlignment="0" applyProtection="0"/>
    <xf numFmtId="178" fontId="18" fillId="59" borderId="52" applyNumberFormat="0" applyFont="0" applyAlignment="0" applyProtection="0"/>
    <xf numFmtId="0" fontId="18" fillId="59" borderId="52" applyNumberFormat="0" applyFont="0" applyAlignment="0" applyProtection="0"/>
    <xf numFmtId="0" fontId="18" fillId="59" borderId="52" applyNumberFormat="0" applyFont="0" applyAlignment="0" applyProtection="0"/>
    <xf numFmtId="178" fontId="18" fillId="59" borderId="52" applyNumberFormat="0" applyFont="0" applyAlignment="0" applyProtection="0"/>
    <xf numFmtId="188" fontId="18" fillId="59" borderId="52" applyNumberFormat="0" applyFont="0" applyAlignment="0" applyProtection="0"/>
    <xf numFmtId="178" fontId="18" fillId="59" borderId="52" applyNumberFormat="0" applyFont="0" applyAlignment="0" applyProtection="0"/>
    <xf numFmtId="0" fontId="177" fillId="0" borderId="0" applyNumberFormat="0" applyFill="0" applyBorder="0" applyAlignment="0" applyProtection="0"/>
    <xf numFmtId="0" fontId="177" fillId="0" borderId="0" applyNumberFormat="0" applyFill="0" applyBorder="0" applyAlignment="0" applyProtection="0"/>
    <xf numFmtId="178" fontId="177" fillId="0" borderId="0" applyNumberFormat="0" applyFill="0" applyBorder="0" applyAlignment="0" applyProtection="0"/>
    <xf numFmtId="178" fontId="177" fillId="0" borderId="0" applyNumberFormat="0" applyFill="0" applyBorder="0" applyAlignment="0" applyProtection="0"/>
    <xf numFmtId="248" fontId="156" fillId="0" borderId="53" applyNumberFormat="0" applyFill="0" applyProtection="0">
      <alignment vertical="center"/>
    </xf>
    <xf numFmtId="0" fontId="99" fillId="0" borderId="0" applyNumberFormat="0" applyAlignment="0">
      <alignment horizontal="left"/>
    </xf>
    <xf numFmtId="0" fontId="99" fillId="0" borderId="0" applyNumberFormat="0" applyAlignment="0">
      <alignment horizontal="left"/>
    </xf>
    <xf numFmtId="178" fontId="99" fillId="0" borderId="0" applyNumberFormat="0" applyAlignment="0">
      <alignment horizontal="left"/>
    </xf>
    <xf numFmtId="178" fontId="99" fillId="0" borderId="0" applyNumberFormat="0" applyAlignment="0">
      <alignment horizontal="left"/>
    </xf>
    <xf numFmtId="249" fontId="178" fillId="0" borderId="0" applyFill="0" applyBorder="0" applyProtection="0"/>
    <xf numFmtId="250" fontId="153" fillId="0" borderId="0" applyFont="0" applyFill="0" applyBorder="0" applyAlignment="0" applyProtection="0"/>
    <xf numFmtId="251" fontId="67" fillId="0" borderId="0" applyFill="0" applyBorder="0" applyProtection="0"/>
    <xf numFmtId="251" fontId="67" fillId="0" borderId="16" applyFill="0" applyProtection="0"/>
    <xf numFmtId="251" fontId="67" fillId="0" borderId="16" applyFill="0" applyProtection="0"/>
    <xf numFmtId="251" fontId="67" fillId="0" borderId="16" applyFill="0" applyProtection="0"/>
    <xf numFmtId="251" fontId="67" fillId="0" borderId="16" applyFill="0" applyProtection="0"/>
    <xf numFmtId="251" fontId="67" fillId="0" borderId="16" applyFill="0" applyProtection="0"/>
    <xf numFmtId="251" fontId="67" fillId="0" borderId="16" applyFill="0" applyProtection="0"/>
    <xf numFmtId="251" fontId="67" fillId="0" borderId="16" applyFill="0" applyProtection="0"/>
    <xf numFmtId="251" fontId="67" fillId="0" borderId="16" applyFill="0" applyProtection="0"/>
    <xf numFmtId="251" fontId="67" fillId="0" borderId="16" applyFill="0" applyProtection="0"/>
    <xf numFmtId="251" fontId="67" fillId="0" borderId="54" applyFill="0" applyProtection="0"/>
    <xf numFmtId="219" fontId="18" fillId="0" borderId="0" applyFont="0" applyFill="0" applyBorder="0" applyAlignment="0" applyProtection="0"/>
    <xf numFmtId="188" fontId="60" fillId="0" borderId="0" applyFont="0" applyFill="0" applyBorder="0" applyAlignment="0" applyProtection="0"/>
    <xf numFmtId="252" fontId="179" fillId="0" borderId="0"/>
    <xf numFmtId="253" fontId="180" fillId="0" borderId="0"/>
    <xf numFmtId="253" fontId="180" fillId="0" borderId="0"/>
    <xf numFmtId="253" fontId="180" fillId="0" borderId="0"/>
    <xf numFmtId="253" fontId="180" fillId="0" borderId="0"/>
    <xf numFmtId="252" fontId="179" fillId="0" borderId="0"/>
    <xf numFmtId="254" fontId="179" fillId="0" borderId="0"/>
    <xf numFmtId="255" fontId="18" fillId="0" borderId="0" applyFont="0" applyFill="0" applyBorder="0" applyAlignment="0" applyProtection="0"/>
    <xf numFmtId="256" fontId="181" fillId="0" borderId="22" applyBorder="0"/>
    <xf numFmtId="256" fontId="181" fillId="0" borderId="22" applyBorder="0"/>
    <xf numFmtId="256" fontId="181" fillId="0" borderId="22" applyBorder="0"/>
    <xf numFmtId="257" fontId="181" fillId="0" borderId="22" applyBorder="0"/>
    <xf numFmtId="257" fontId="181" fillId="0" borderId="22" applyBorder="0"/>
    <xf numFmtId="257" fontId="181" fillId="0" borderId="22" applyBorder="0"/>
    <xf numFmtId="3" fontId="182" fillId="0" borderId="0" applyFill="0" applyBorder="0">
      <alignment horizontal="right"/>
      <protection locked="0"/>
    </xf>
    <xf numFmtId="18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88" fontId="60" fillId="0" borderId="0" applyFont="0" applyFill="0" applyBorder="0" applyAlignment="0" applyProtection="0"/>
    <xf numFmtId="178" fontId="60" fillId="0" borderId="0" applyFont="0" applyFill="0" applyBorder="0" applyAlignment="0" applyProtection="0"/>
    <xf numFmtId="188" fontId="18" fillId="0" borderId="0" applyFont="0" applyFill="0" applyBorder="0" applyAlignment="0" applyProtection="0"/>
    <xf numFmtId="0" fontId="41" fillId="0" borderId="0" applyFont="0" applyFill="0" applyBorder="0" applyAlignment="0" applyProtection="0"/>
    <xf numFmtId="0" fontId="41" fillId="0" borderId="0" applyFont="0" applyFill="0" applyBorder="0" applyAlignment="0" applyProtection="0"/>
    <xf numFmtId="178" fontId="41" fillId="0" borderId="0" applyFont="0" applyFill="0" applyBorder="0" applyAlignment="0" applyProtection="0"/>
    <xf numFmtId="178" fontId="41" fillId="0" borderId="0" applyFont="0" applyFill="0" applyBorder="0" applyAlignment="0" applyProtection="0"/>
    <xf numFmtId="194" fontId="76" fillId="0" borderId="0" applyFont="0" applyFill="0" applyBorder="0" applyAlignment="0" applyProtection="0"/>
    <xf numFmtId="194" fontId="76" fillId="0" borderId="0" applyFont="0" applyFill="0" applyBorder="0" applyAlignment="0" applyProtection="0"/>
    <xf numFmtId="258" fontId="76" fillId="0" borderId="0" applyBorder="0"/>
    <xf numFmtId="0" fontId="18" fillId="0" borderId="0" applyFont="0" applyFill="0" applyBorder="0" applyAlignment="0" applyProtection="0">
      <alignment horizontal="right"/>
    </xf>
    <xf numFmtId="0" fontId="18" fillId="0" borderId="0" applyFont="0" applyFill="0" applyBorder="0" applyAlignment="0" applyProtection="0">
      <alignment horizontal="right"/>
    </xf>
    <xf numFmtId="0" fontId="18" fillId="0" borderId="0" applyFont="0" applyFill="0" applyBorder="0" applyAlignment="0" applyProtection="0">
      <alignment horizontal="right"/>
    </xf>
    <xf numFmtId="178" fontId="18" fillId="0" borderId="0" applyFont="0" applyFill="0" applyBorder="0" applyAlignment="0" applyProtection="0">
      <alignment horizontal="right"/>
    </xf>
    <xf numFmtId="178" fontId="18" fillId="0" borderId="0" applyFont="0" applyFill="0" applyBorder="0" applyAlignment="0" applyProtection="0">
      <alignment horizontal="right"/>
    </xf>
    <xf numFmtId="0" fontId="171" fillId="0" borderId="0" applyFont="0" applyFill="0" applyBorder="0" applyAlignment="0" applyProtection="0">
      <alignment horizontal="right"/>
    </xf>
    <xf numFmtId="178" fontId="171" fillId="0" borderId="0" applyFont="0" applyFill="0" applyBorder="0" applyAlignment="0" applyProtection="0">
      <alignment horizontal="right"/>
    </xf>
    <xf numFmtId="178" fontId="171" fillId="0" borderId="0" applyFont="0" applyFill="0" applyBorder="0" applyAlignment="0" applyProtection="0">
      <alignment horizontal="right"/>
    </xf>
    <xf numFmtId="259" fontId="172" fillId="0" borderId="0" applyFont="0" applyFill="0" applyBorder="0" applyAlignment="0" applyProtection="0"/>
    <xf numFmtId="260" fontId="41" fillId="0" borderId="0" applyFont="0" applyFill="0" applyBorder="0" applyAlignment="0" applyProtection="0"/>
    <xf numFmtId="261" fontId="172" fillId="0" borderId="0" applyFont="0" applyFill="0" applyBorder="0" applyAlignment="0" applyProtection="0"/>
    <xf numFmtId="262" fontId="41" fillId="0" borderId="0" applyFont="0" applyFill="0" applyBorder="0" applyAlignment="0" applyProtection="0"/>
    <xf numFmtId="263" fontId="172" fillId="0" borderId="0" applyFont="0" applyFill="0" applyBorder="0" applyAlignment="0" applyProtection="0"/>
    <xf numFmtId="264" fontId="41" fillId="0" borderId="0" applyFont="0" applyFill="0" applyBorder="0" applyAlignment="0" applyProtection="0"/>
    <xf numFmtId="0" fontId="18" fillId="0" borderId="0" applyFont="0" applyFill="0" applyBorder="0" applyAlignment="0" applyProtection="0">
      <alignment horizontal="right"/>
    </xf>
    <xf numFmtId="0" fontId="18" fillId="0" borderId="0" applyFont="0" applyFill="0" applyBorder="0" applyAlignment="0" applyProtection="0">
      <alignment horizontal="right"/>
    </xf>
    <xf numFmtId="0" fontId="18" fillId="0" borderId="0" applyFont="0" applyFill="0" applyBorder="0" applyAlignment="0" applyProtection="0">
      <alignment horizontal="right"/>
    </xf>
    <xf numFmtId="178" fontId="18" fillId="0" borderId="0" applyFont="0" applyFill="0" applyBorder="0" applyAlignment="0" applyProtection="0">
      <alignment horizontal="right"/>
    </xf>
    <xf numFmtId="211" fontId="18" fillId="0" borderId="0" applyFont="0" applyFill="0" applyBorder="0" applyAlignment="0" applyProtection="0"/>
    <xf numFmtId="0" fontId="171" fillId="0" borderId="0" applyFont="0" applyFill="0" applyBorder="0" applyAlignment="0" applyProtection="0">
      <alignment horizontal="right"/>
    </xf>
    <xf numFmtId="178" fontId="171" fillId="0" borderId="0" applyFont="0" applyFill="0" applyBorder="0" applyAlignment="0" applyProtection="0">
      <alignment horizontal="right"/>
    </xf>
    <xf numFmtId="178" fontId="171" fillId="0" borderId="0" applyFont="0" applyFill="0" applyBorder="0" applyAlignment="0" applyProtection="0">
      <alignment horizontal="right"/>
    </xf>
    <xf numFmtId="211" fontId="18" fillId="0" borderId="0" applyFont="0" applyFill="0" applyBorder="0" applyAlignment="0" applyProtection="0"/>
    <xf numFmtId="211" fontId="18" fillId="0" borderId="0" applyFont="0" applyFill="0" applyBorder="0" applyAlignment="0" applyProtection="0"/>
    <xf numFmtId="265" fontId="18" fillId="0" borderId="0" applyFont="0" applyFill="0" applyBorder="0" applyAlignment="0" applyProtection="0"/>
    <xf numFmtId="266" fontId="1" fillId="0" borderId="0" applyFont="0" applyFill="0" applyBorder="0" applyAlignment="0" applyProtection="0"/>
    <xf numFmtId="265" fontId="18" fillId="0" borderId="0" applyFont="0" applyFill="0" applyBorder="0" applyAlignment="0" applyProtection="0"/>
    <xf numFmtId="254" fontId="179" fillId="0" borderId="0"/>
    <xf numFmtId="267" fontId="18" fillId="0" borderId="0" applyFont="0" applyFill="0" applyBorder="0" applyAlignment="0" applyProtection="0"/>
    <xf numFmtId="267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268" fontId="183" fillId="0" borderId="0" applyFont="0" applyFill="0" applyBorder="0" applyAlignment="0" applyProtection="0"/>
    <xf numFmtId="0" fontId="65" fillId="0" borderId="0"/>
    <xf numFmtId="0" fontId="79" fillId="0" borderId="0"/>
    <xf numFmtId="0" fontId="79" fillId="0" borderId="0"/>
    <xf numFmtId="178" fontId="79" fillId="0" borderId="0"/>
    <xf numFmtId="178" fontId="79" fillId="0" borderId="0"/>
    <xf numFmtId="0" fontId="65" fillId="0" borderId="0"/>
    <xf numFmtId="178" fontId="65" fillId="0" borderId="0"/>
    <xf numFmtId="178" fontId="65" fillId="0" borderId="0"/>
    <xf numFmtId="269" fontId="171" fillId="0" borderId="0" applyFill="0" applyBorder="0" applyProtection="0">
      <alignment vertical="center"/>
    </xf>
    <xf numFmtId="189" fontId="184" fillId="0" borderId="0"/>
    <xf numFmtId="270" fontId="74" fillId="0" borderId="0" applyFont="0" applyFill="0" applyBorder="0" applyAlignment="0" applyProtection="0"/>
    <xf numFmtId="0" fontId="95" fillId="86" borderId="0"/>
    <xf numFmtId="0" fontId="95" fillId="86" borderId="0"/>
    <xf numFmtId="178" fontId="95" fillId="86" borderId="0"/>
    <xf numFmtId="178" fontId="95" fillId="86" borderId="0"/>
    <xf numFmtId="0" fontId="147" fillId="111" borderId="0"/>
    <xf numFmtId="0" fontId="147" fillId="111" borderId="0"/>
    <xf numFmtId="178" fontId="147" fillId="111" borderId="0"/>
    <xf numFmtId="178" fontId="147" fillId="111" borderId="0"/>
    <xf numFmtId="0" fontId="183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247" fontId="18" fillId="0" borderId="0">
      <protection locked="0"/>
    </xf>
    <xf numFmtId="178" fontId="183" fillId="0" borderId="0" applyFont="0" applyFill="0" applyBorder="0" applyAlignment="0" applyProtection="0"/>
    <xf numFmtId="178" fontId="183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0" fontId="171" fillId="0" borderId="0" applyFont="0" applyFill="0" applyBorder="0" applyAlignment="0" applyProtection="0"/>
    <xf numFmtId="178" fontId="171" fillId="0" borderId="0" applyFont="0" applyFill="0" applyBorder="0" applyAlignment="0" applyProtection="0"/>
    <xf numFmtId="178" fontId="171" fillId="0" borderId="0" applyFont="0" applyFill="0" applyBorder="0" applyAlignment="0" applyProtection="0"/>
    <xf numFmtId="14" fontId="92" fillId="0" borderId="0" applyFill="0" applyBorder="0" applyAlignment="0"/>
    <xf numFmtId="0" fontId="183" fillId="0" borderId="0" applyFont="0" applyFill="0" applyBorder="0" applyAlignment="0" applyProtection="0"/>
    <xf numFmtId="271" fontId="18" fillId="0" borderId="0"/>
    <xf numFmtId="17" fontId="18" fillId="0" borderId="0" applyFont="0" applyFill="0" applyBorder="0" applyAlignment="0" applyProtection="0">
      <alignment horizontal="center"/>
    </xf>
    <xf numFmtId="272" fontId="67" fillId="0" borderId="0" applyFill="0" applyBorder="0" applyProtection="0"/>
    <xf numFmtId="272" fontId="67" fillId="0" borderId="16" applyFill="0" applyProtection="0"/>
    <xf numFmtId="272" fontId="67" fillId="0" borderId="16" applyFill="0" applyProtection="0"/>
    <xf numFmtId="272" fontId="67" fillId="0" borderId="16" applyFill="0" applyProtection="0"/>
    <xf numFmtId="272" fontId="67" fillId="0" borderId="16" applyFill="0" applyProtection="0"/>
    <xf numFmtId="272" fontId="67" fillId="0" borderId="16" applyFill="0" applyProtection="0"/>
    <xf numFmtId="272" fontId="67" fillId="0" borderId="16" applyFill="0" applyProtection="0"/>
    <xf numFmtId="272" fontId="67" fillId="0" borderId="16" applyFill="0" applyProtection="0"/>
    <xf numFmtId="272" fontId="67" fillId="0" borderId="16" applyFill="0" applyProtection="0"/>
    <xf numFmtId="272" fontId="67" fillId="0" borderId="16" applyFill="0" applyProtection="0"/>
    <xf numFmtId="272" fontId="67" fillId="0" borderId="54" applyFill="0" applyProtection="0"/>
    <xf numFmtId="38" fontId="18" fillId="0" borderId="0" applyFont="0" applyFill="0" applyBorder="0" applyAlignment="0" applyProtection="0"/>
    <xf numFmtId="38" fontId="119" fillId="0" borderId="55">
      <alignment vertical="center"/>
    </xf>
    <xf numFmtId="0" fontId="119" fillId="0" borderId="13" applyNumberFormat="0" applyFont="0" applyBorder="0" applyAlignment="0"/>
    <xf numFmtId="0" fontId="119" fillId="0" borderId="13" applyNumberFormat="0" applyFont="0" applyBorder="0" applyAlignment="0"/>
    <xf numFmtId="0" fontId="119" fillId="0" borderId="13" applyNumberFormat="0" applyFont="0" applyBorder="0" applyAlignment="0"/>
    <xf numFmtId="178" fontId="119" fillId="0" borderId="13" applyNumberFormat="0" applyFont="0" applyBorder="0" applyAlignment="0"/>
    <xf numFmtId="0" fontId="119" fillId="0" borderId="13" applyNumberFormat="0" applyFont="0" applyBorder="0" applyAlignment="0"/>
    <xf numFmtId="0" fontId="119" fillId="0" borderId="13" applyNumberFormat="0" applyFont="0" applyBorder="0" applyAlignment="0"/>
    <xf numFmtId="178" fontId="119" fillId="0" borderId="13" applyNumberFormat="0" applyFont="0" applyBorder="0" applyAlignment="0"/>
    <xf numFmtId="188" fontId="119" fillId="0" borderId="13" applyNumberFormat="0" applyFont="0" applyBorder="0" applyAlignment="0"/>
    <xf numFmtId="178" fontId="119" fillId="0" borderId="13" applyNumberFormat="0" applyFont="0" applyBorder="0" applyAlignment="0"/>
    <xf numFmtId="0" fontId="119" fillId="0" borderId="13" applyNumberFormat="0" applyFont="0" applyBorder="0" applyAlignment="0"/>
    <xf numFmtId="0" fontId="119" fillId="0" borderId="13" applyNumberFormat="0" applyFont="0" applyBorder="0" applyAlignment="0"/>
    <xf numFmtId="0" fontId="119" fillId="0" borderId="13" applyNumberFormat="0" applyFont="0" applyBorder="0" applyAlignment="0"/>
    <xf numFmtId="178" fontId="119" fillId="0" borderId="13" applyNumberFormat="0" applyFont="0" applyBorder="0" applyAlignment="0"/>
    <xf numFmtId="178" fontId="119" fillId="0" borderId="13" applyNumberFormat="0" applyFont="0" applyBorder="0" applyAlignment="0"/>
    <xf numFmtId="0" fontId="119" fillId="0" borderId="13" applyNumberFormat="0" applyFont="0" applyBorder="0" applyAlignment="0"/>
    <xf numFmtId="0" fontId="119" fillId="0" borderId="13" applyNumberFormat="0" applyFont="0" applyBorder="0" applyAlignment="0"/>
    <xf numFmtId="178" fontId="119" fillId="0" borderId="13" applyNumberFormat="0" applyFont="0" applyBorder="0" applyAlignment="0"/>
    <xf numFmtId="188" fontId="119" fillId="0" borderId="13" applyNumberFormat="0" applyFont="0" applyBorder="0" applyAlignment="0"/>
    <xf numFmtId="178" fontId="119" fillId="0" borderId="13" applyNumberFormat="0" applyFont="0" applyBorder="0" applyAlignment="0"/>
    <xf numFmtId="273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0" fontId="18" fillId="0" borderId="0"/>
    <xf numFmtId="0" fontId="18" fillId="0" borderId="0"/>
    <xf numFmtId="178" fontId="18" fillId="0" borderId="0"/>
    <xf numFmtId="178" fontId="18" fillId="0" borderId="0"/>
    <xf numFmtId="274" fontId="18" fillId="0" borderId="0"/>
    <xf numFmtId="274" fontId="18" fillId="0" borderId="0"/>
    <xf numFmtId="275" fontId="76" fillId="0" borderId="0" applyFont="0" applyFill="0" applyBorder="0" applyAlignment="0" applyProtection="0"/>
    <xf numFmtId="275" fontId="76" fillId="0" borderId="0" applyFont="0" applyFill="0" applyBorder="0" applyAlignment="0" applyProtection="0"/>
    <xf numFmtId="0" fontId="18" fillId="0" borderId="56" applyNumberFormat="0" applyFont="0" applyFill="0" applyAlignment="0" applyProtection="0"/>
    <xf numFmtId="0" fontId="18" fillId="0" borderId="56" applyNumberFormat="0" applyFont="0" applyFill="0" applyAlignment="0" applyProtection="0"/>
    <xf numFmtId="0" fontId="18" fillId="0" borderId="56" applyNumberFormat="0" applyFont="0" applyFill="0" applyAlignment="0" applyProtection="0"/>
    <xf numFmtId="178" fontId="18" fillId="0" borderId="56" applyNumberFormat="0" applyFont="0" applyFill="0" applyAlignment="0" applyProtection="0"/>
    <xf numFmtId="178" fontId="18" fillId="0" borderId="56" applyNumberFormat="0" applyFont="0" applyFill="0" applyAlignment="0" applyProtection="0"/>
    <xf numFmtId="0" fontId="171" fillId="0" borderId="56" applyNumberFormat="0" applyFont="0" applyFill="0" applyAlignment="0" applyProtection="0"/>
    <xf numFmtId="178" fontId="171" fillId="0" borderId="56" applyNumberFormat="0" applyFont="0" applyFill="0" applyAlignment="0" applyProtection="0"/>
    <xf numFmtId="178" fontId="171" fillId="0" borderId="56" applyNumberFormat="0" applyFont="0" applyFill="0" applyAlignment="0" applyProtection="0"/>
    <xf numFmtId="0" fontId="18" fillId="0" borderId="0" applyFill="0" applyBorder="0" applyAlignment="0" applyProtection="0"/>
    <xf numFmtId="0" fontId="18" fillId="0" borderId="0" applyFill="0" applyBorder="0" applyAlignment="0" applyProtection="0"/>
    <xf numFmtId="0" fontId="18" fillId="0" borderId="0" applyFill="0" applyBorder="0" applyAlignment="0" applyProtection="0"/>
    <xf numFmtId="178" fontId="18" fillId="0" borderId="0" applyFill="0" applyBorder="0" applyAlignment="0" applyProtection="0"/>
    <xf numFmtId="178" fontId="18" fillId="0" borderId="0" applyFill="0" applyBorder="0" applyAlignment="0" applyProtection="0"/>
    <xf numFmtId="0" fontId="185" fillId="0" borderId="0" applyFill="0" applyBorder="0" applyAlignment="0" applyProtection="0"/>
    <xf numFmtId="178" fontId="185" fillId="0" borderId="0" applyFill="0" applyBorder="0" applyAlignment="0" applyProtection="0"/>
    <xf numFmtId="178" fontId="185" fillId="0" borderId="0" applyFill="0" applyBorder="0" applyAlignment="0" applyProtection="0"/>
    <xf numFmtId="0" fontId="186" fillId="112" borderId="0" applyNumberFormat="0" applyBorder="0" applyAlignment="0" applyProtection="0"/>
    <xf numFmtId="188" fontId="186" fillId="113" borderId="0" applyNumberFormat="0" applyBorder="0" applyAlignment="0" applyProtection="0"/>
    <xf numFmtId="178" fontId="186" fillId="113" borderId="0" applyNumberFormat="0" applyBorder="0" applyAlignment="0" applyProtection="0"/>
    <xf numFmtId="188" fontId="186" fillId="113" borderId="0" applyNumberFormat="0" applyBorder="0" applyAlignment="0" applyProtection="0"/>
    <xf numFmtId="178" fontId="186" fillId="113" borderId="0" applyNumberFormat="0" applyBorder="0" applyAlignment="0" applyProtection="0"/>
    <xf numFmtId="188" fontId="186" fillId="113" borderId="0" applyNumberFormat="0" applyBorder="0" applyAlignment="0" applyProtection="0"/>
    <xf numFmtId="178" fontId="186" fillId="113" borderId="0" applyNumberFormat="0" applyBorder="0" applyAlignment="0" applyProtection="0"/>
    <xf numFmtId="0" fontId="186" fillId="112" borderId="0" applyNumberFormat="0" applyBorder="0" applyAlignment="0" applyProtection="0"/>
    <xf numFmtId="178" fontId="186" fillId="112" borderId="0" applyNumberFormat="0" applyBorder="0" applyAlignment="0" applyProtection="0"/>
    <xf numFmtId="178" fontId="186" fillId="112" borderId="0" applyNumberFormat="0" applyBorder="0" applyAlignment="0" applyProtection="0"/>
    <xf numFmtId="0" fontId="186" fillId="114" borderId="0" applyNumberFormat="0" applyBorder="0" applyAlignment="0" applyProtection="0"/>
    <xf numFmtId="188" fontId="186" fillId="115" borderId="0" applyNumberFormat="0" applyBorder="0" applyAlignment="0" applyProtection="0"/>
    <xf numFmtId="178" fontId="186" fillId="115" borderId="0" applyNumberFormat="0" applyBorder="0" applyAlignment="0" applyProtection="0"/>
    <xf numFmtId="188" fontId="186" fillId="115" borderId="0" applyNumberFormat="0" applyBorder="0" applyAlignment="0" applyProtection="0"/>
    <xf numFmtId="178" fontId="186" fillId="115" borderId="0" applyNumberFormat="0" applyBorder="0" applyAlignment="0" applyProtection="0"/>
    <xf numFmtId="188" fontId="186" fillId="115" borderId="0" applyNumberFormat="0" applyBorder="0" applyAlignment="0" applyProtection="0"/>
    <xf numFmtId="178" fontId="186" fillId="115" borderId="0" applyNumberFormat="0" applyBorder="0" applyAlignment="0" applyProtection="0"/>
    <xf numFmtId="0" fontId="186" fillId="114" borderId="0" applyNumberFormat="0" applyBorder="0" applyAlignment="0" applyProtection="0"/>
    <xf numFmtId="178" fontId="186" fillId="114" borderId="0" applyNumberFormat="0" applyBorder="0" applyAlignment="0" applyProtection="0"/>
    <xf numFmtId="178" fontId="186" fillId="114" borderId="0" applyNumberFormat="0" applyBorder="0" applyAlignment="0" applyProtection="0"/>
    <xf numFmtId="0" fontId="186" fillId="116" borderId="0" applyNumberFormat="0" applyBorder="0" applyAlignment="0" applyProtection="0"/>
    <xf numFmtId="188" fontId="186" fillId="117" borderId="0" applyNumberFormat="0" applyBorder="0" applyAlignment="0" applyProtection="0"/>
    <xf numFmtId="178" fontId="186" fillId="117" borderId="0" applyNumberFormat="0" applyBorder="0" applyAlignment="0" applyProtection="0"/>
    <xf numFmtId="188" fontId="186" fillId="117" borderId="0" applyNumberFormat="0" applyBorder="0" applyAlignment="0" applyProtection="0"/>
    <xf numFmtId="178" fontId="186" fillId="117" borderId="0" applyNumberFormat="0" applyBorder="0" applyAlignment="0" applyProtection="0"/>
    <xf numFmtId="188" fontId="186" fillId="117" borderId="0" applyNumberFormat="0" applyBorder="0" applyAlignment="0" applyProtection="0"/>
    <xf numFmtId="178" fontId="186" fillId="117" borderId="0" applyNumberFormat="0" applyBorder="0" applyAlignment="0" applyProtection="0"/>
    <xf numFmtId="0" fontId="186" fillId="116" borderId="0" applyNumberFormat="0" applyBorder="0" applyAlignment="0" applyProtection="0"/>
    <xf numFmtId="178" fontId="186" fillId="116" borderId="0" applyNumberFormat="0" applyBorder="0" applyAlignment="0" applyProtection="0"/>
    <xf numFmtId="178" fontId="186" fillId="116" borderId="0" applyNumberFormat="0" applyBorder="0" applyAlignment="0" applyProtection="0"/>
    <xf numFmtId="0" fontId="149" fillId="0" borderId="21">
      <alignment horizontal="center" textRotation="90" wrapText="1"/>
    </xf>
    <xf numFmtId="0" fontId="187" fillId="0" borderId="0" applyNumberFormat="0" applyFont="0" applyFill="0" applyAlignment="0" applyProtection="0"/>
    <xf numFmtId="0" fontId="187" fillId="0" borderId="0" applyNumberFormat="0" applyFont="0" applyFill="0" applyAlignment="0" applyProtection="0"/>
    <xf numFmtId="178" fontId="187" fillId="0" borderId="0" applyNumberFormat="0" applyFont="0" applyFill="0" applyAlignment="0" applyProtection="0"/>
    <xf numFmtId="178" fontId="187" fillId="0" borderId="0" applyNumberFormat="0" applyFont="0" applyFill="0" applyAlignment="0" applyProtection="0"/>
    <xf numFmtId="0" fontId="123" fillId="0" borderId="0" applyNumberFormat="0" applyFont="0" applyFill="0" applyAlignment="0" applyProtection="0"/>
    <xf numFmtId="0" fontId="123" fillId="0" borderId="0" applyNumberFormat="0" applyFont="0" applyFill="0" applyAlignment="0" applyProtection="0"/>
    <xf numFmtId="178" fontId="123" fillId="0" borderId="0" applyNumberFormat="0" applyFont="0" applyFill="0" applyAlignment="0" applyProtection="0"/>
    <xf numFmtId="0" fontId="123" fillId="0" borderId="0" applyNumberFormat="0" applyFont="0" applyFill="0" applyAlignment="0" applyProtection="0"/>
    <xf numFmtId="0" fontId="123" fillId="0" borderId="0" applyNumberFormat="0" applyFont="0" applyFill="0" applyAlignment="0" applyProtection="0"/>
    <xf numFmtId="0" fontId="149" fillId="0" borderId="21">
      <alignment horizontal="center" textRotation="90" wrapText="1"/>
    </xf>
    <xf numFmtId="0" fontId="149" fillId="0" borderId="21">
      <alignment horizontal="center" textRotation="90" wrapText="1"/>
    </xf>
    <xf numFmtId="178" fontId="149" fillId="0" borderId="21">
      <alignment horizontal="center" textRotation="90" wrapText="1"/>
    </xf>
    <xf numFmtId="0" fontId="149" fillId="0" borderId="21">
      <alignment horizontal="center" textRotation="90" wrapText="1"/>
    </xf>
    <xf numFmtId="0" fontId="149" fillId="0" borderId="21">
      <alignment horizontal="center" textRotation="90" wrapText="1"/>
    </xf>
    <xf numFmtId="178" fontId="149" fillId="0" borderId="21">
      <alignment horizontal="center" textRotation="90" wrapText="1"/>
    </xf>
    <xf numFmtId="188" fontId="149" fillId="0" borderId="21">
      <alignment horizontal="center" textRotation="90" wrapText="1"/>
    </xf>
    <xf numFmtId="178" fontId="149" fillId="0" borderId="21">
      <alignment horizontal="center" textRotation="90" wrapText="1"/>
    </xf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178" fontId="188" fillId="0" borderId="0" applyNumberFormat="0" applyFill="0" applyBorder="0" applyAlignment="0" applyProtection="0"/>
    <xf numFmtId="178" fontId="188" fillId="0" borderId="0" applyNumberFormat="0" applyFill="0" applyBorder="0" applyAlignment="0" applyProtection="0"/>
    <xf numFmtId="0" fontId="149" fillId="0" borderId="21">
      <alignment horizontal="center" textRotation="90" wrapText="1"/>
    </xf>
    <xf numFmtId="0" fontId="149" fillId="0" borderId="21">
      <alignment horizontal="center" textRotation="90" wrapText="1"/>
    </xf>
    <xf numFmtId="178" fontId="149" fillId="0" borderId="21">
      <alignment horizontal="center" textRotation="90" wrapText="1"/>
    </xf>
    <xf numFmtId="0" fontId="149" fillId="0" borderId="21">
      <alignment horizontal="center" textRotation="90" wrapText="1"/>
    </xf>
    <xf numFmtId="0" fontId="149" fillId="0" borderId="21">
      <alignment horizontal="center" textRotation="90" wrapText="1"/>
    </xf>
    <xf numFmtId="178" fontId="149" fillId="0" borderId="21">
      <alignment horizontal="center" textRotation="90" wrapText="1"/>
    </xf>
    <xf numFmtId="188" fontId="149" fillId="0" borderId="21">
      <alignment horizontal="center" textRotation="90" wrapText="1"/>
    </xf>
    <xf numFmtId="178" fontId="149" fillId="0" borderId="21">
      <alignment horizontal="center" textRotation="90" wrapText="1"/>
    </xf>
    <xf numFmtId="0" fontId="149" fillId="0" borderId="21">
      <alignment horizontal="center" textRotation="90" wrapText="1"/>
    </xf>
    <xf numFmtId="0" fontId="149" fillId="0" borderId="21">
      <alignment horizontal="center" textRotation="90" wrapText="1"/>
    </xf>
    <xf numFmtId="178" fontId="149" fillId="0" borderId="21">
      <alignment horizontal="center" textRotation="90" wrapText="1"/>
    </xf>
    <xf numFmtId="188" fontId="149" fillId="0" borderId="21">
      <alignment horizontal="center" textRotation="90" wrapText="1"/>
    </xf>
    <xf numFmtId="178" fontId="149" fillId="0" borderId="21">
      <alignment horizontal="center" textRotation="90" wrapText="1"/>
    </xf>
    <xf numFmtId="0" fontId="189" fillId="0" borderId="21">
      <alignment horizontal="centerContinuous" wrapText="1"/>
    </xf>
    <xf numFmtId="0" fontId="189" fillId="0" borderId="21">
      <alignment horizontal="centerContinuous" wrapText="1"/>
    </xf>
    <xf numFmtId="0" fontId="189" fillId="0" borderId="21">
      <alignment horizontal="centerContinuous" wrapText="1"/>
    </xf>
    <xf numFmtId="178" fontId="189" fillId="0" borderId="21">
      <alignment horizontal="centerContinuous" wrapText="1"/>
    </xf>
    <xf numFmtId="0" fontId="189" fillId="0" borderId="21">
      <alignment horizontal="centerContinuous" wrapText="1"/>
    </xf>
    <xf numFmtId="0" fontId="189" fillId="0" borderId="21">
      <alignment horizontal="centerContinuous" wrapText="1"/>
    </xf>
    <xf numFmtId="178" fontId="189" fillId="0" borderId="21">
      <alignment horizontal="centerContinuous" wrapText="1"/>
    </xf>
    <xf numFmtId="188" fontId="189" fillId="0" borderId="21">
      <alignment horizontal="centerContinuous" wrapText="1"/>
    </xf>
    <xf numFmtId="178" fontId="189" fillId="0" borderId="21">
      <alignment horizontal="centerContinuous" wrapText="1"/>
    </xf>
    <xf numFmtId="0" fontId="189" fillId="0" borderId="21">
      <alignment horizontal="centerContinuous" wrapText="1"/>
    </xf>
    <xf numFmtId="0" fontId="189" fillId="0" borderId="21">
      <alignment horizontal="centerContinuous" wrapText="1"/>
    </xf>
    <xf numFmtId="178" fontId="189" fillId="0" borderId="21">
      <alignment horizontal="centerContinuous" wrapText="1"/>
    </xf>
    <xf numFmtId="0" fontId="189" fillId="0" borderId="21">
      <alignment horizontal="centerContinuous" wrapText="1"/>
    </xf>
    <xf numFmtId="0" fontId="189" fillId="0" borderId="21">
      <alignment horizontal="centerContinuous" wrapText="1"/>
    </xf>
    <xf numFmtId="178" fontId="189" fillId="0" borderId="21">
      <alignment horizontal="centerContinuous" wrapText="1"/>
    </xf>
    <xf numFmtId="188" fontId="189" fillId="0" borderId="21">
      <alignment horizontal="centerContinuous" wrapText="1"/>
    </xf>
    <xf numFmtId="178" fontId="189" fillId="0" borderId="21">
      <alignment horizontal="centerContinuous" wrapText="1"/>
    </xf>
    <xf numFmtId="0" fontId="189" fillId="0" borderId="21">
      <alignment horizontal="centerContinuous" wrapText="1"/>
    </xf>
    <xf numFmtId="0" fontId="189" fillId="0" borderId="21">
      <alignment horizontal="centerContinuous" wrapText="1"/>
    </xf>
    <xf numFmtId="178" fontId="189" fillId="0" borderId="21">
      <alignment horizontal="centerContinuous" wrapText="1"/>
    </xf>
    <xf numFmtId="188" fontId="189" fillId="0" borderId="21">
      <alignment horizontal="centerContinuous" wrapText="1"/>
    </xf>
    <xf numFmtId="178" fontId="189" fillId="0" borderId="21">
      <alignment horizontal="centerContinuous" wrapText="1"/>
    </xf>
    <xf numFmtId="0" fontId="132" fillId="85" borderId="0" applyNumberFormat="0" applyBorder="0" applyAlignment="0" applyProtection="0"/>
    <xf numFmtId="178" fontId="132" fillId="85" borderId="0" applyNumberFormat="0" applyBorder="0" applyAlignment="0" applyProtection="0"/>
    <xf numFmtId="178" fontId="132" fillId="85" borderId="0" applyNumberFormat="0" applyBorder="0" applyAlignment="0" applyProtection="0"/>
    <xf numFmtId="0" fontId="132" fillId="91" borderId="0" applyNumberFormat="0" applyBorder="0" applyAlignment="0" applyProtection="0"/>
    <xf numFmtId="178" fontId="132" fillId="91" borderId="0" applyNumberFormat="0" applyBorder="0" applyAlignment="0" applyProtection="0"/>
    <xf numFmtId="178" fontId="132" fillId="91" borderId="0" applyNumberFormat="0" applyBorder="0" applyAlignment="0" applyProtection="0"/>
    <xf numFmtId="0" fontId="132" fillId="97" borderId="0" applyNumberFormat="0" applyBorder="0" applyAlignment="0" applyProtection="0"/>
    <xf numFmtId="178" fontId="132" fillId="97" borderId="0" applyNumberFormat="0" applyBorder="0" applyAlignment="0" applyProtection="0"/>
    <xf numFmtId="178" fontId="132" fillId="97" borderId="0" applyNumberFormat="0" applyBorder="0" applyAlignment="0" applyProtection="0"/>
    <xf numFmtId="0" fontId="132" fillId="75" borderId="0" applyNumberFormat="0" applyBorder="0" applyAlignment="0" applyProtection="0"/>
    <xf numFmtId="178" fontId="132" fillId="75" borderId="0" applyNumberFormat="0" applyBorder="0" applyAlignment="0" applyProtection="0"/>
    <xf numFmtId="178" fontId="132" fillId="75" borderId="0" applyNumberFormat="0" applyBorder="0" applyAlignment="0" applyProtection="0"/>
    <xf numFmtId="0" fontId="132" fillId="76" borderId="0" applyNumberFormat="0" applyBorder="0" applyAlignment="0" applyProtection="0"/>
    <xf numFmtId="178" fontId="132" fillId="76" borderId="0" applyNumberFormat="0" applyBorder="0" applyAlignment="0" applyProtection="0"/>
    <xf numFmtId="178" fontId="132" fillId="76" borderId="0" applyNumberFormat="0" applyBorder="0" applyAlignment="0" applyProtection="0"/>
    <xf numFmtId="0" fontId="132" fillId="105" borderId="0" applyNumberFormat="0" applyBorder="0" applyAlignment="0" applyProtection="0"/>
    <xf numFmtId="178" fontId="132" fillId="105" borderId="0" applyNumberFormat="0" applyBorder="0" applyAlignment="0" applyProtection="0"/>
    <xf numFmtId="178" fontId="132" fillId="105" borderId="0" applyNumberFormat="0" applyBorder="0" applyAlignment="0" applyProtection="0"/>
    <xf numFmtId="0" fontId="132" fillId="85" borderId="0" applyNumberFormat="0" applyBorder="0" applyAlignment="0" applyProtection="0"/>
    <xf numFmtId="0" fontId="132" fillId="85" borderId="0" applyNumberFormat="0" applyBorder="0" applyAlignment="0" applyProtection="0"/>
    <xf numFmtId="178" fontId="132" fillId="85" borderId="0" applyNumberFormat="0" applyBorder="0" applyAlignment="0" applyProtection="0"/>
    <xf numFmtId="178" fontId="132" fillId="85" borderId="0" applyNumberFormat="0" applyBorder="0" applyAlignment="0" applyProtection="0"/>
    <xf numFmtId="0" fontId="132" fillId="91" borderId="0" applyNumberFormat="0" applyBorder="0" applyAlignment="0" applyProtection="0"/>
    <xf numFmtId="0" fontId="132" fillId="91" borderId="0" applyNumberFormat="0" applyBorder="0" applyAlignment="0" applyProtection="0"/>
    <xf numFmtId="178" fontId="132" fillId="91" borderId="0" applyNumberFormat="0" applyBorder="0" applyAlignment="0" applyProtection="0"/>
    <xf numFmtId="178" fontId="132" fillId="91" borderId="0" applyNumberFormat="0" applyBorder="0" applyAlignment="0" applyProtection="0"/>
    <xf numFmtId="0" fontId="132" fillId="97" borderId="0" applyNumberFormat="0" applyBorder="0" applyAlignment="0" applyProtection="0"/>
    <xf numFmtId="0" fontId="132" fillId="97" borderId="0" applyNumberFormat="0" applyBorder="0" applyAlignment="0" applyProtection="0"/>
    <xf numFmtId="178" fontId="132" fillId="97" borderId="0" applyNumberFormat="0" applyBorder="0" applyAlignment="0" applyProtection="0"/>
    <xf numFmtId="178" fontId="132" fillId="97" borderId="0" applyNumberFormat="0" applyBorder="0" applyAlignment="0" applyProtection="0"/>
    <xf numFmtId="0" fontId="132" fillId="75" borderId="0" applyNumberFormat="0" applyBorder="0" applyAlignment="0" applyProtection="0"/>
    <xf numFmtId="0" fontId="132" fillId="75" borderId="0" applyNumberFormat="0" applyBorder="0" applyAlignment="0" applyProtection="0"/>
    <xf numFmtId="178" fontId="132" fillId="75" borderId="0" applyNumberFormat="0" applyBorder="0" applyAlignment="0" applyProtection="0"/>
    <xf numFmtId="178" fontId="132" fillId="75" borderId="0" applyNumberFormat="0" applyBorder="0" applyAlignment="0" applyProtection="0"/>
    <xf numFmtId="0" fontId="132" fillId="76" borderId="0" applyNumberFormat="0" applyBorder="0" applyAlignment="0" applyProtection="0"/>
    <xf numFmtId="0" fontId="132" fillId="76" borderId="0" applyNumberFormat="0" applyBorder="0" applyAlignment="0" applyProtection="0"/>
    <xf numFmtId="178" fontId="132" fillId="76" borderId="0" applyNumberFormat="0" applyBorder="0" applyAlignment="0" applyProtection="0"/>
    <xf numFmtId="178" fontId="132" fillId="76" borderId="0" applyNumberFormat="0" applyBorder="0" applyAlignment="0" applyProtection="0"/>
    <xf numFmtId="0" fontId="132" fillId="105" borderId="0" applyNumberFormat="0" applyBorder="0" applyAlignment="0" applyProtection="0"/>
    <xf numFmtId="0" fontId="132" fillId="105" borderId="0" applyNumberFormat="0" applyBorder="0" applyAlignment="0" applyProtection="0"/>
    <xf numFmtId="178" fontId="132" fillId="105" borderId="0" applyNumberFormat="0" applyBorder="0" applyAlignment="0" applyProtection="0"/>
    <xf numFmtId="178" fontId="132" fillId="105" borderId="0" applyNumberFormat="0" applyBorder="0" applyAlignment="0" applyProtection="0"/>
    <xf numFmtId="0" fontId="41" fillId="0" borderId="0" applyFill="0" applyBorder="0" applyAlignment="0"/>
    <xf numFmtId="0" fontId="41" fillId="0" borderId="0" applyFill="0" applyBorder="0" applyAlignment="0"/>
    <xf numFmtId="178" fontId="41" fillId="0" borderId="0" applyFill="0" applyBorder="0" applyAlignment="0"/>
    <xf numFmtId="178" fontId="41" fillId="0" borderId="0" applyFill="0" applyBorder="0" applyAlignment="0"/>
    <xf numFmtId="0" fontId="41" fillId="0" borderId="0" applyFill="0" applyBorder="0" applyAlignment="0"/>
    <xf numFmtId="0" fontId="41" fillId="0" borderId="0" applyFill="0" applyBorder="0" applyAlignment="0"/>
    <xf numFmtId="178" fontId="41" fillId="0" borderId="0" applyFill="0" applyBorder="0" applyAlignment="0"/>
    <xf numFmtId="178" fontId="41" fillId="0" borderId="0" applyFill="0" applyBorder="0" applyAlignment="0"/>
    <xf numFmtId="0" fontId="41" fillId="0" borderId="0" applyFill="0" applyBorder="0" applyAlignment="0"/>
    <xf numFmtId="0" fontId="41" fillId="0" borderId="0" applyFill="0" applyBorder="0" applyAlignment="0"/>
    <xf numFmtId="178" fontId="41" fillId="0" borderId="0" applyFill="0" applyBorder="0" applyAlignment="0"/>
    <xf numFmtId="178" fontId="41" fillId="0" borderId="0" applyFill="0" applyBorder="0" applyAlignment="0"/>
    <xf numFmtId="0" fontId="41" fillId="0" borderId="0" applyFill="0" applyBorder="0" applyAlignment="0"/>
    <xf numFmtId="0" fontId="41" fillId="0" borderId="0" applyFill="0" applyBorder="0" applyAlignment="0"/>
    <xf numFmtId="178" fontId="41" fillId="0" borderId="0" applyFill="0" applyBorder="0" applyAlignment="0"/>
    <xf numFmtId="178" fontId="41" fillId="0" borderId="0" applyFill="0" applyBorder="0" applyAlignment="0"/>
    <xf numFmtId="0" fontId="41" fillId="0" borderId="0" applyFill="0" applyBorder="0" applyAlignment="0"/>
    <xf numFmtId="0" fontId="41" fillId="0" borderId="0" applyFill="0" applyBorder="0" applyAlignment="0"/>
    <xf numFmtId="178" fontId="41" fillId="0" borderId="0" applyFill="0" applyBorder="0" applyAlignment="0"/>
    <xf numFmtId="178" fontId="41" fillId="0" borderId="0" applyFill="0" applyBorder="0" applyAlignment="0"/>
    <xf numFmtId="0" fontId="99" fillId="0" borderId="0" applyNumberFormat="0" applyAlignment="0">
      <alignment horizontal="left"/>
    </xf>
    <xf numFmtId="0" fontId="99" fillId="0" borderId="0" applyNumberFormat="0" applyAlignment="0">
      <alignment horizontal="left"/>
    </xf>
    <xf numFmtId="178" fontId="99" fillId="0" borderId="0" applyNumberFormat="0" applyAlignment="0">
      <alignment horizontal="left"/>
    </xf>
    <xf numFmtId="178" fontId="99" fillId="0" borderId="0" applyNumberFormat="0" applyAlignment="0">
      <alignment horizontal="left"/>
    </xf>
    <xf numFmtId="0" fontId="190" fillId="69" borderId="48" applyNumberFormat="0" applyAlignment="0" applyProtection="0"/>
    <xf numFmtId="0" fontId="190" fillId="69" borderId="48" applyNumberFormat="0" applyAlignment="0" applyProtection="0"/>
    <xf numFmtId="178" fontId="190" fillId="69" borderId="48" applyNumberFormat="0" applyAlignment="0" applyProtection="0"/>
    <xf numFmtId="0" fontId="190" fillId="69" borderId="48" applyNumberFormat="0" applyAlignment="0" applyProtection="0"/>
    <xf numFmtId="0" fontId="190" fillId="69" borderId="48" applyNumberFormat="0" applyAlignment="0" applyProtection="0"/>
    <xf numFmtId="178" fontId="190" fillId="69" borderId="48" applyNumberFormat="0" applyAlignment="0" applyProtection="0"/>
    <xf numFmtId="188" fontId="190" fillId="69" borderId="48" applyNumberFormat="0" applyAlignment="0" applyProtection="0"/>
    <xf numFmtId="178" fontId="190" fillId="69" borderId="48" applyNumberFormat="0" applyAlignment="0" applyProtection="0"/>
    <xf numFmtId="0" fontId="190" fillId="69" borderId="48" applyNumberFormat="0" applyAlignment="0" applyProtection="0"/>
    <xf numFmtId="178" fontId="190" fillId="69" borderId="48" applyNumberFormat="0" applyAlignment="0" applyProtection="0"/>
    <xf numFmtId="0" fontId="190" fillId="69" borderId="48" applyNumberFormat="0" applyAlignment="0" applyProtection="0"/>
    <xf numFmtId="0" fontId="190" fillId="69" borderId="48" applyNumberFormat="0" applyAlignment="0" applyProtection="0"/>
    <xf numFmtId="178" fontId="190" fillId="69" borderId="48" applyNumberFormat="0" applyAlignment="0" applyProtection="0"/>
    <xf numFmtId="188" fontId="190" fillId="69" borderId="48" applyNumberFormat="0" applyAlignment="0" applyProtection="0"/>
    <xf numFmtId="178" fontId="190" fillId="69" borderId="48" applyNumberFormat="0" applyAlignment="0" applyProtection="0"/>
    <xf numFmtId="0" fontId="190" fillId="69" borderId="48" applyNumberFormat="0" applyAlignment="0" applyProtection="0"/>
    <xf numFmtId="0" fontId="190" fillId="69" borderId="48" applyNumberFormat="0" applyAlignment="0" applyProtection="0"/>
    <xf numFmtId="0" fontId="190" fillId="69" borderId="48" applyNumberFormat="0" applyAlignment="0" applyProtection="0"/>
    <xf numFmtId="178" fontId="190" fillId="69" borderId="48" applyNumberFormat="0" applyAlignment="0" applyProtection="0"/>
    <xf numFmtId="0" fontId="190" fillId="69" borderId="48" applyNumberFormat="0" applyAlignment="0" applyProtection="0"/>
    <xf numFmtId="0" fontId="190" fillId="69" borderId="48" applyNumberFormat="0" applyAlignment="0" applyProtection="0"/>
    <xf numFmtId="178" fontId="190" fillId="69" borderId="48" applyNumberFormat="0" applyAlignment="0" applyProtection="0"/>
    <xf numFmtId="188" fontId="190" fillId="69" borderId="48" applyNumberFormat="0" applyAlignment="0" applyProtection="0"/>
    <xf numFmtId="178" fontId="190" fillId="69" borderId="48" applyNumberFormat="0" applyAlignment="0" applyProtection="0"/>
    <xf numFmtId="0" fontId="190" fillId="69" borderId="48" applyNumberFormat="0" applyAlignment="0" applyProtection="0"/>
    <xf numFmtId="178" fontId="190" fillId="69" borderId="48" applyNumberFormat="0" applyAlignment="0" applyProtection="0"/>
    <xf numFmtId="0" fontId="190" fillId="69" borderId="48" applyNumberFormat="0" applyAlignment="0" applyProtection="0"/>
    <xf numFmtId="0" fontId="190" fillId="69" borderId="48" applyNumberFormat="0" applyAlignment="0" applyProtection="0"/>
    <xf numFmtId="178" fontId="190" fillId="69" borderId="48" applyNumberFormat="0" applyAlignment="0" applyProtection="0"/>
    <xf numFmtId="188" fontId="190" fillId="69" borderId="48" applyNumberFormat="0" applyAlignment="0" applyProtection="0"/>
    <xf numFmtId="178" fontId="190" fillId="69" borderId="48" applyNumberFormat="0" applyAlignment="0" applyProtection="0"/>
    <xf numFmtId="0" fontId="1" fillId="40" borderId="0"/>
    <xf numFmtId="0" fontId="1" fillId="40" borderId="0"/>
    <xf numFmtId="0" fontId="90" fillId="0" borderId="0"/>
    <xf numFmtId="0" fontId="63" fillId="0" borderId="0"/>
    <xf numFmtId="0" fontId="63" fillId="0" borderId="0"/>
    <xf numFmtId="178" fontId="63" fillId="0" borderId="0"/>
    <xf numFmtId="178" fontId="63" fillId="0" borderId="0"/>
    <xf numFmtId="0" fontId="90" fillId="0" borderId="0"/>
    <xf numFmtId="178" fontId="90" fillId="0" borderId="0"/>
    <xf numFmtId="178" fontId="90" fillId="0" borderId="0"/>
    <xf numFmtId="182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276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188" fontId="191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88" fontId="191" fillId="0" borderId="0" applyNumberFormat="0" applyFill="0" applyBorder="0" applyAlignment="0" applyProtection="0"/>
    <xf numFmtId="188" fontId="192" fillId="0" borderId="0" applyNumberFormat="0" applyFill="0" applyBorder="0" applyAlignment="0" applyProtection="0"/>
    <xf numFmtId="178" fontId="192" fillId="0" borderId="0" applyNumberFormat="0" applyFill="0" applyBorder="0" applyAlignment="0" applyProtection="0"/>
    <xf numFmtId="178" fontId="191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78" fontId="191" fillId="0" borderId="0" applyNumberFormat="0" applyFill="0" applyBorder="0" applyAlignment="0" applyProtection="0"/>
    <xf numFmtId="188" fontId="191" fillId="0" borderId="0" applyNumberFormat="0" applyFill="0" applyBorder="0" applyAlignment="0" applyProtection="0"/>
    <xf numFmtId="178" fontId="191" fillId="0" borderId="0" applyNumberFormat="0" applyFill="0" applyBorder="0" applyAlignment="0" applyProtection="0"/>
    <xf numFmtId="188" fontId="191" fillId="0" borderId="0" applyNumberFormat="0" applyFill="0" applyBorder="0" applyAlignment="0" applyProtection="0"/>
    <xf numFmtId="178" fontId="191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178" fontId="191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88" fontId="192" fillId="0" borderId="0" applyNumberFormat="0" applyFill="0" applyBorder="0" applyAlignment="0" applyProtection="0"/>
    <xf numFmtId="178" fontId="192" fillId="0" borderId="0" applyNumberFormat="0" applyFill="0" applyBorder="0" applyAlignment="0" applyProtection="0"/>
    <xf numFmtId="188" fontId="192" fillId="0" borderId="0" applyNumberFormat="0" applyFill="0" applyBorder="0" applyAlignment="0" applyProtection="0"/>
    <xf numFmtId="178" fontId="192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88" fontId="192" fillId="0" borderId="0" applyNumberFormat="0" applyFill="0" applyBorder="0" applyAlignment="0" applyProtection="0"/>
    <xf numFmtId="178" fontId="192" fillId="0" borderId="0" applyNumberFormat="0" applyFill="0" applyBorder="0" applyAlignment="0" applyProtection="0"/>
    <xf numFmtId="188" fontId="192" fillId="0" borderId="0" applyNumberFormat="0" applyFill="0" applyBorder="0" applyAlignment="0" applyProtection="0"/>
    <xf numFmtId="178" fontId="192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88" fontId="192" fillId="0" borderId="0" applyNumberFormat="0" applyFill="0" applyBorder="0" applyAlignment="0" applyProtection="0"/>
    <xf numFmtId="178" fontId="192" fillId="0" borderId="0" applyNumberFormat="0" applyFill="0" applyBorder="0" applyAlignment="0" applyProtection="0"/>
    <xf numFmtId="188" fontId="192" fillId="0" borderId="0" applyNumberFormat="0" applyFill="0" applyBorder="0" applyAlignment="0" applyProtection="0"/>
    <xf numFmtId="178" fontId="192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88" fontId="192" fillId="0" borderId="0" applyNumberFormat="0" applyFill="0" applyBorder="0" applyAlignment="0" applyProtection="0"/>
    <xf numFmtId="178" fontId="192" fillId="0" borderId="0" applyNumberFormat="0" applyFill="0" applyBorder="0" applyAlignment="0" applyProtection="0"/>
    <xf numFmtId="188" fontId="192" fillId="0" borderId="0" applyNumberFormat="0" applyFill="0" applyBorder="0" applyAlignment="0" applyProtection="0"/>
    <xf numFmtId="178" fontId="192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88" fontId="192" fillId="0" borderId="0" applyNumberFormat="0" applyFill="0" applyBorder="0" applyAlignment="0" applyProtection="0"/>
    <xf numFmtId="178" fontId="192" fillId="0" borderId="0" applyNumberFormat="0" applyFill="0" applyBorder="0" applyAlignment="0" applyProtection="0"/>
    <xf numFmtId="188" fontId="192" fillId="0" borderId="0" applyNumberFormat="0" applyFill="0" applyBorder="0" applyAlignment="0" applyProtection="0"/>
    <xf numFmtId="178" fontId="192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88" fontId="192" fillId="0" borderId="0" applyNumberFormat="0" applyFill="0" applyBorder="0" applyAlignment="0" applyProtection="0"/>
    <xf numFmtId="178" fontId="192" fillId="0" borderId="0" applyNumberFormat="0" applyFill="0" applyBorder="0" applyAlignment="0" applyProtection="0"/>
    <xf numFmtId="188" fontId="192" fillId="0" borderId="0" applyNumberFormat="0" applyFill="0" applyBorder="0" applyAlignment="0" applyProtection="0"/>
    <xf numFmtId="178" fontId="192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88" fontId="192" fillId="0" borderId="0" applyNumberFormat="0" applyFill="0" applyBorder="0" applyAlignment="0" applyProtection="0"/>
    <xf numFmtId="178" fontId="192" fillId="0" borderId="0" applyNumberFormat="0" applyFill="0" applyBorder="0" applyAlignment="0" applyProtection="0"/>
    <xf numFmtId="188" fontId="192" fillId="0" borderId="0" applyNumberFormat="0" applyFill="0" applyBorder="0" applyAlignment="0" applyProtection="0"/>
    <xf numFmtId="178" fontId="192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188" fontId="15" fillId="0" borderId="0" applyNumberFormat="0" applyFill="0" applyBorder="0" applyAlignment="0" applyProtection="0"/>
    <xf numFmtId="178" fontId="15" fillId="0" borderId="0" applyNumberForma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277" fontId="193" fillId="0" borderId="0">
      <protection locked="0"/>
    </xf>
    <xf numFmtId="0" fontId="194" fillId="0" borderId="0">
      <protection locked="0"/>
    </xf>
    <xf numFmtId="0" fontId="194" fillId="0" borderId="0">
      <protection locked="0"/>
    </xf>
    <xf numFmtId="178" fontId="194" fillId="0" borderId="0">
      <protection locked="0"/>
    </xf>
    <xf numFmtId="178" fontId="194" fillId="0" borderId="0">
      <protection locked="0"/>
    </xf>
    <xf numFmtId="277" fontId="195" fillId="0" borderId="0">
      <protection locked="0"/>
    </xf>
    <xf numFmtId="0" fontId="196" fillId="0" borderId="0">
      <protection locked="0"/>
    </xf>
    <xf numFmtId="0" fontId="196" fillId="0" borderId="0">
      <protection locked="0"/>
    </xf>
    <xf numFmtId="178" fontId="196" fillId="0" borderId="0">
      <protection locked="0"/>
    </xf>
    <xf numFmtId="178" fontId="196" fillId="0" borderId="0">
      <protection locked="0"/>
    </xf>
    <xf numFmtId="277" fontId="194" fillId="0" borderId="0">
      <protection locked="0"/>
    </xf>
    <xf numFmtId="0" fontId="194" fillId="0" borderId="0">
      <protection locked="0"/>
    </xf>
    <xf numFmtId="0" fontId="194" fillId="0" borderId="0">
      <protection locked="0"/>
    </xf>
    <xf numFmtId="178" fontId="194" fillId="0" borderId="0">
      <protection locked="0"/>
    </xf>
    <xf numFmtId="178" fontId="194" fillId="0" borderId="0">
      <protection locked="0"/>
    </xf>
    <xf numFmtId="277" fontId="196" fillId="0" borderId="0">
      <protection locked="0"/>
    </xf>
    <xf numFmtId="0" fontId="196" fillId="0" borderId="0">
      <protection locked="0"/>
    </xf>
    <xf numFmtId="0" fontId="196" fillId="0" borderId="0">
      <protection locked="0"/>
    </xf>
    <xf numFmtId="178" fontId="196" fillId="0" borderId="0">
      <protection locked="0"/>
    </xf>
    <xf numFmtId="178" fontId="196" fillId="0" borderId="0">
      <protection locked="0"/>
    </xf>
    <xf numFmtId="277" fontId="196" fillId="0" borderId="0">
      <protection locked="0"/>
    </xf>
    <xf numFmtId="0" fontId="194" fillId="0" borderId="0">
      <protection locked="0"/>
    </xf>
    <xf numFmtId="0" fontId="194" fillId="0" borderId="0">
      <protection locked="0"/>
    </xf>
    <xf numFmtId="178" fontId="194" fillId="0" borderId="0">
      <protection locked="0"/>
    </xf>
    <xf numFmtId="178" fontId="194" fillId="0" borderId="0">
      <protection locked="0"/>
    </xf>
    <xf numFmtId="277" fontId="196" fillId="0" borderId="0">
      <protection locked="0"/>
    </xf>
    <xf numFmtId="0" fontId="197" fillId="0" borderId="0">
      <protection locked="0"/>
    </xf>
    <xf numFmtId="0" fontId="197" fillId="0" borderId="0">
      <protection locked="0"/>
    </xf>
    <xf numFmtId="178" fontId="197" fillId="0" borderId="0">
      <protection locked="0"/>
    </xf>
    <xf numFmtId="178" fontId="197" fillId="0" borderId="0">
      <protection locked="0"/>
    </xf>
    <xf numFmtId="277" fontId="198" fillId="0" borderId="0">
      <protection locked="0"/>
    </xf>
    <xf numFmtId="0" fontId="194" fillId="0" borderId="0">
      <protection locked="0"/>
    </xf>
    <xf numFmtId="0" fontId="194" fillId="0" borderId="0">
      <protection locked="0"/>
    </xf>
    <xf numFmtId="178" fontId="194" fillId="0" borderId="0">
      <protection locked="0"/>
    </xf>
    <xf numFmtId="178" fontId="194" fillId="0" borderId="0">
      <protection locked="0"/>
    </xf>
    <xf numFmtId="278" fontId="199" fillId="118" borderId="0" applyBorder="0" applyAlignment="0" applyProtection="0"/>
    <xf numFmtId="278" fontId="200" fillId="119" borderId="0" applyBorder="0" applyAlignment="0" applyProtection="0"/>
    <xf numFmtId="14" fontId="18" fillId="0" borderId="0" applyFont="0" applyFill="0" applyBorder="0" applyAlignment="0" applyProtection="0"/>
    <xf numFmtId="14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89" fontId="201" fillId="42" borderId="0">
      <protection locked="0"/>
    </xf>
    <xf numFmtId="189" fontId="201" fillId="53" borderId="0">
      <protection locked="0"/>
    </xf>
    <xf numFmtId="189" fontId="201" fillId="53" borderId="0">
      <protection locked="0"/>
    </xf>
    <xf numFmtId="189" fontId="201" fillId="53" borderId="0">
      <protection locked="0"/>
    </xf>
    <xf numFmtId="37" fontId="201" fillId="42" borderId="0">
      <protection locked="0"/>
    </xf>
    <xf numFmtId="37" fontId="201" fillId="53" borderId="0">
      <protection locked="0"/>
    </xf>
    <xf numFmtId="37" fontId="201" fillId="53" borderId="0">
      <protection locked="0"/>
    </xf>
    <xf numFmtId="37" fontId="201" fillId="53" borderId="0">
      <protection locked="0"/>
    </xf>
    <xf numFmtId="37" fontId="18" fillId="42" borderId="0">
      <protection locked="0"/>
    </xf>
    <xf numFmtId="2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247" fontId="18" fillId="0" borderId="0">
      <protection locked="0"/>
    </xf>
    <xf numFmtId="15" fontId="18" fillId="0" borderId="0">
      <alignment vertical="center"/>
    </xf>
    <xf numFmtId="15" fontId="18" fillId="0" borderId="0">
      <alignment vertical="center"/>
    </xf>
    <xf numFmtId="0" fontId="18" fillId="0" borderId="0" applyFill="0" applyBorder="0" applyProtection="0">
      <alignment horizontal="left"/>
    </xf>
    <xf numFmtId="0" fontId="18" fillId="0" borderId="0" applyFill="0" applyBorder="0" applyProtection="0">
      <alignment horizontal="left"/>
    </xf>
    <xf numFmtId="0" fontId="18" fillId="0" borderId="0" applyFill="0" applyBorder="0" applyProtection="0">
      <alignment horizontal="left"/>
    </xf>
    <xf numFmtId="178" fontId="18" fillId="0" borderId="0" applyFill="0" applyBorder="0" applyProtection="0">
      <alignment horizontal="left"/>
    </xf>
    <xf numFmtId="178" fontId="18" fillId="0" borderId="0" applyFill="0" applyBorder="0" applyProtection="0">
      <alignment horizontal="left"/>
    </xf>
    <xf numFmtId="0" fontId="202" fillId="0" borderId="0" applyFill="0" applyBorder="0" applyProtection="0">
      <alignment horizontal="left"/>
    </xf>
    <xf numFmtId="178" fontId="202" fillId="0" borderId="0" applyFill="0" applyBorder="0" applyProtection="0">
      <alignment horizontal="left"/>
    </xf>
    <xf numFmtId="178" fontId="202" fillId="0" borderId="0" applyFill="0" applyBorder="0" applyProtection="0">
      <alignment horizontal="left"/>
    </xf>
    <xf numFmtId="0" fontId="18" fillId="0" borderId="0"/>
    <xf numFmtId="0" fontId="18" fillId="0" borderId="0"/>
    <xf numFmtId="178" fontId="18" fillId="0" borderId="0"/>
    <xf numFmtId="178" fontId="18" fillId="0" borderId="0"/>
    <xf numFmtId="188" fontId="18" fillId="0" borderId="0"/>
    <xf numFmtId="178" fontId="18" fillId="0" borderId="0"/>
    <xf numFmtId="2" fontId="18" fillId="57" borderId="22" applyFill="0" applyBorder="0" applyProtection="0">
      <alignment horizontal="center"/>
    </xf>
    <xf numFmtId="2" fontId="18" fillId="57" borderId="22" applyFill="0" applyBorder="0" applyProtection="0">
      <alignment horizontal="center"/>
    </xf>
    <xf numFmtId="2" fontId="18" fillId="57" borderId="22" applyFill="0" applyBorder="0" applyProtection="0">
      <alignment horizontal="center"/>
    </xf>
    <xf numFmtId="2" fontId="18" fillId="57" borderId="22" applyFill="0" applyBorder="0" applyProtection="0">
      <alignment horizontal="center"/>
    </xf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" fillId="2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" fillId="2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" fillId="2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" fillId="2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" fillId="2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" fillId="2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" fillId="2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" fillId="2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" fillId="2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" fillId="2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" fillId="2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" fillId="2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" fillId="2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" fillId="2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" fillId="2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" fillId="2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" fillId="2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" fillId="2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" fillId="2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" fillId="2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" fillId="2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" fillId="2" borderId="0" applyNumberFormat="0" applyBorder="0" applyAlignment="0" applyProtection="0"/>
    <xf numFmtId="188" fontId="6" fillId="2" borderId="0" applyNumberFormat="0" applyBorder="0" applyAlignment="0" applyProtection="0"/>
    <xf numFmtId="178" fontId="6" fillId="2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188" fontId="6" fillId="2" borderId="0" applyNumberFormat="0" applyBorder="0" applyAlignment="0" applyProtection="0"/>
    <xf numFmtId="178" fontId="6" fillId="2" borderId="0" applyNumberFormat="0" applyBorder="0" applyAlignment="0" applyProtection="0"/>
    <xf numFmtId="188" fontId="6" fillId="2" borderId="0" applyNumberFormat="0" applyBorder="0" applyAlignment="0" applyProtection="0"/>
    <xf numFmtId="178" fontId="6" fillId="2" borderId="0" applyNumberFormat="0" applyBorder="0" applyAlignment="0" applyProtection="0"/>
    <xf numFmtId="188" fontId="6" fillId="2" borderId="0" applyNumberFormat="0" applyBorder="0" applyAlignment="0" applyProtection="0"/>
    <xf numFmtId="178" fontId="6" fillId="2" borderId="0" applyNumberFormat="0" applyBorder="0" applyAlignment="0" applyProtection="0"/>
    <xf numFmtId="188" fontId="6" fillId="2" borderId="0" applyNumberFormat="0" applyBorder="0" applyAlignment="0" applyProtection="0"/>
    <xf numFmtId="178" fontId="6" fillId="2" borderId="0" applyNumberFormat="0" applyBorder="0" applyAlignment="0" applyProtection="0"/>
    <xf numFmtId="188" fontId="6" fillId="2" borderId="0" applyNumberFormat="0" applyBorder="0" applyAlignment="0" applyProtection="0"/>
    <xf numFmtId="178" fontId="6" fillId="2" borderId="0" applyNumberFormat="0" applyBorder="0" applyAlignment="0" applyProtection="0"/>
    <xf numFmtId="188" fontId="6" fillId="2" borderId="0" applyNumberFormat="0" applyBorder="0" applyAlignment="0" applyProtection="0"/>
    <xf numFmtId="178" fontId="6" fillId="2" borderId="0" applyNumberFormat="0" applyBorder="0" applyAlignment="0" applyProtection="0"/>
    <xf numFmtId="188" fontId="6" fillId="2" borderId="0" applyNumberFormat="0" applyBorder="0" applyAlignment="0" applyProtection="0"/>
    <xf numFmtId="178" fontId="6" fillId="2" borderId="0" applyNumberFormat="0" applyBorder="0" applyAlignment="0" applyProtection="0"/>
    <xf numFmtId="188" fontId="6" fillId="2" borderId="0" applyNumberFormat="0" applyBorder="0" applyAlignment="0" applyProtection="0"/>
    <xf numFmtId="178" fontId="6" fillId="2" borderId="0" applyNumberFormat="0" applyBorder="0" applyAlignment="0" applyProtection="0"/>
    <xf numFmtId="188" fontId="6" fillId="2" borderId="0" applyNumberFormat="0" applyBorder="0" applyAlignment="0" applyProtection="0"/>
    <xf numFmtId="178" fontId="6" fillId="2" borderId="0" applyNumberFormat="0" applyBorder="0" applyAlignment="0" applyProtection="0"/>
    <xf numFmtId="188" fontId="6" fillId="2" borderId="0" applyNumberFormat="0" applyBorder="0" applyAlignment="0" applyProtection="0"/>
    <xf numFmtId="178" fontId="6" fillId="2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188" fontId="6" fillId="2" borderId="0" applyNumberFormat="0" applyBorder="0" applyAlignment="0" applyProtection="0"/>
    <xf numFmtId="178" fontId="6" fillId="2" borderId="0" applyNumberFormat="0" applyBorder="0" applyAlignment="0" applyProtection="0"/>
    <xf numFmtId="188" fontId="6" fillId="2" borderId="0" applyNumberFormat="0" applyBorder="0" applyAlignment="0" applyProtection="0"/>
    <xf numFmtId="178" fontId="6" fillId="2" borderId="0" applyNumberFormat="0" applyBorder="0" applyAlignment="0" applyProtection="0"/>
    <xf numFmtId="188" fontId="6" fillId="2" borderId="0" applyNumberFormat="0" applyBorder="0" applyAlignment="0" applyProtection="0"/>
    <xf numFmtId="178" fontId="6" fillId="2" borderId="0" applyNumberFormat="0" applyBorder="0" applyAlignment="0" applyProtection="0"/>
    <xf numFmtId="188" fontId="6" fillId="2" borderId="0" applyNumberFormat="0" applyBorder="0" applyAlignment="0" applyProtection="0"/>
    <xf numFmtId="178" fontId="6" fillId="2" borderId="0" applyNumberFormat="0" applyBorder="0" applyAlignment="0" applyProtection="0"/>
    <xf numFmtId="188" fontId="6" fillId="2" borderId="0" applyNumberFormat="0" applyBorder="0" applyAlignment="0" applyProtection="0"/>
    <xf numFmtId="178" fontId="6" fillId="2" borderId="0" applyNumberFormat="0" applyBorder="0" applyAlignment="0" applyProtection="0"/>
    <xf numFmtId="188" fontId="6" fillId="2" borderId="0" applyNumberFormat="0" applyBorder="0" applyAlignment="0" applyProtection="0"/>
    <xf numFmtId="178" fontId="6" fillId="2" borderId="0" applyNumberFormat="0" applyBorder="0" applyAlignment="0" applyProtection="0"/>
    <xf numFmtId="188" fontId="6" fillId="2" borderId="0" applyNumberFormat="0" applyBorder="0" applyAlignment="0" applyProtection="0"/>
    <xf numFmtId="178" fontId="6" fillId="2" borderId="0" applyNumberFormat="0" applyBorder="0" applyAlignment="0" applyProtection="0"/>
    <xf numFmtId="188" fontId="6" fillId="2" borderId="0" applyNumberFormat="0" applyBorder="0" applyAlignment="0" applyProtection="0"/>
    <xf numFmtId="178" fontId="6" fillId="2" borderId="0" applyNumberFormat="0" applyBorder="0" applyAlignment="0" applyProtection="0"/>
    <xf numFmtId="188" fontId="6" fillId="2" borderId="0" applyNumberFormat="0" applyBorder="0" applyAlignment="0" applyProtection="0"/>
    <xf numFmtId="178" fontId="6" fillId="2" borderId="0" applyNumberFormat="0" applyBorder="0" applyAlignment="0" applyProtection="0"/>
    <xf numFmtId="188" fontId="6" fillId="2" borderId="0" applyNumberFormat="0" applyBorder="0" applyAlignment="0" applyProtection="0"/>
    <xf numFmtId="178" fontId="6" fillId="2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188" fontId="6" fillId="2" borderId="0" applyNumberFormat="0" applyBorder="0" applyAlignment="0" applyProtection="0"/>
    <xf numFmtId="178" fontId="6" fillId="2" borderId="0" applyNumberFormat="0" applyBorder="0" applyAlignment="0" applyProtection="0"/>
    <xf numFmtId="188" fontId="6" fillId="2" borderId="0" applyNumberFormat="0" applyBorder="0" applyAlignment="0" applyProtection="0"/>
    <xf numFmtId="178" fontId="6" fillId="2" borderId="0" applyNumberFormat="0" applyBorder="0" applyAlignment="0" applyProtection="0"/>
    <xf numFmtId="188" fontId="6" fillId="2" borderId="0" applyNumberFormat="0" applyBorder="0" applyAlignment="0" applyProtection="0"/>
    <xf numFmtId="178" fontId="6" fillId="2" borderId="0" applyNumberFormat="0" applyBorder="0" applyAlignment="0" applyProtection="0"/>
    <xf numFmtId="188" fontId="6" fillId="2" borderId="0" applyNumberFormat="0" applyBorder="0" applyAlignment="0" applyProtection="0"/>
    <xf numFmtId="178" fontId="6" fillId="2" borderId="0" applyNumberFormat="0" applyBorder="0" applyAlignment="0" applyProtection="0"/>
    <xf numFmtId="188" fontId="6" fillId="2" borderId="0" applyNumberFormat="0" applyBorder="0" applyAlignment="0" applyProtection="0"/>
    <xf numFmtId="178" fontId="6" fillId="2" borderId="0" applyNumberFormat="0" applyBorder="0" applyAlignment="0" applyProtection="0"/>
    <xf numFmtId="188" fontId="6" fillId="2" borderId="0" applyNumberFormat="0" applyBorder="0" applyAlignment="0" applyProtection="0"/>
    <xf numFmtId="178" fontId="6" fillId="2" borderId="0" applyNumberFormat="0" applyBorder="0" applyAlignment="0" applyProtection="0"/>
    <xf numFmtId="188" fontId="6" fillId="2" borderId="0" applyNumberFormat="0" applyBorder="0" applyAlignment="0" applyProtection="0"/>
    <xf numFmtId="178" fontId="6" fillId="2" borderId="0" applyNumberFormat="0" applyBorder="0" applyAlignment="0" applyProtection="0"/>
    <xf numFmtId="188" fontId="6" fillId="2" borderId="0" applyNumberFormat="0" applyBorder="0" applyAlignment="0" applyProtection="0"/>
    <xf numFmtId="178" fontId="6" fillId="2" borderId="0" applyNumberFormat="0" applyBorder="0" applyAlignment="0" applyProtection="0"/>
    <xf numFmtId="188" fontId="6" fillId="2" borderId="0" applyNumberFormat="0" applyBorder="0" applyAlignment="0" applyProtection="0"/>
    <xf numFmtId="178" fontId="6" fillId="2" borderId="0" applyNumberFormat="0" applyBorder="0" applyAlignment="0" applyProtection="0"/>
    <xf numFmtId="188" fontId="6" fillId="2" borderId="0" applyNumberFormat="0" applyBorder="0" applyAlignment="0" applyProtection="0"/>
    <xf numFmtId="178" fontId="6" fillId="2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188" fontId="6" fillId="2" borderId="0" applyNumberFormat="0" applyBorder="0" applyAlignment="0" applyProtection="0"/>
    <xf numFmtId="178" fontId="6" fillId="2" borderId="0" applyNumberFormat="0" applyBorder="0" applyAlignment="0" applyProtection="0"/>
    <xf numFmtId="188" fontId="6" fillId="2" borderId="0" applyNumberFormat="0" applyBorder="0" applyAlignment="0" applyProtection="0"/>
    <xf numFmtId="178" fontId="6" fillId="2" borderId="0" applyNumberFormat="0" applyBorder="0" applyAlignment="0" applyProtection="0"/>
    <xf numFmtId="188" fontId="6" fillId="2" borderId="0" applyNumberFormat="0" applyBorder="0" applyAlignment="0" applyProtection="0"/>
    <xf numFmtId="178" fontId="6" fillId="2" borderId="0" applyNumberFormat="0" applyBorder="0" applyAlignment="0" applyProtection="0"/>
    <xf numFmtId="188" fontId="6" fillId="2" borderId="0" applyNumberFormat="0" applyBorder="0" applyAlignment="0" applyProtection="0"/>
    <xf numFmtId="178" fontId="6" fillId="2" borderId="0" applyNumberFormat="0" applyBorder="0" applyAlignment="0" applyProtection="0"/>
    <xf numFmtId="188" fontId="6" fillId="2" borderId="0" applyNumberFormat="0" applyBorder="0" applyAlignment="0" applyProtection="0"/>
    <xf numFmtId="178" fontId="6" fillId="2" borderId="0" applyNumberFormat="0" applyBorder="0" applyAlignment="0" applyProtection="0"/>
    <xf numFmtId="188" fontId="6" fillId="2" borderId="0" applyNumberFormat="0" applyBorder="0" applyAlignment="0" applyProtection="0"/>
    <xf numFmtId="178" fontId="6" fillId="2" borderId="0" applyNumberFormat="0" applyBorder="0" applyAlignment="0" applyProtection="0"/>
    <xf numFmtId="188" fontId="6" fillId="2" borderId="0" applyNumberFormat="0" applyBorder="0" applyAlignment="0" applyProtection="0"/>
    <xf numFmtId="178" fontId="6" fillId="2" borderId="0" applyNumberFormat="0" applyBorder="0" applyAlignment="0" applyProtection="0"/>
    <xf numFmtId="188" fontId="6" fillId="2" borderId="0" applyNumberFormat="0" applyBorder="0" applyAlignment="0" applyProtection="0"/>
    <xf numFmtId="178" fontId="6" fillId="2" borderId="0" applyNumberFormat="0" applyBorder="0" applyAlignment="0" applyProtection="0"/>
    <xf numFmtId="188" fontId="6" fillId="2" borderId="0" applyNumberFormat="0" applyBorder="0" applyAlignment="0" applyProtection="0"/>
    <xf numFmtId="178" fontId="6" fillId="2" borderId="0" applyNumberFormat="0" applyBorder="0" applyAlignment="0" applyProtection="0"/>
    <xf numFmtId="0" fontId="61" fillId="93" borderId="0" applyNumberFormat="0" applyBorder="0" applyAlignment="0" applyProtection="0"/>
    <xf numFmtId="188" fontId="155" fillId="66" borderId="0" applyNumberFormat="0" applyBorder="0" applyAlignment="0" applyProtection="0"/>
    <xf numFmtId="188" fontId="6" fillId="2" borderId="0" applyNumberFormat="0" applyBorder="0" applyAlignment="0" applyProtection="0"/>
    <xf numFmtId="188" fontId="155" fillId="66" borderId="0" applyNumberFormat="0" applyBorder="0" applyAlignment="0" applyProtection="0"/>
    <xf numFmtId="188" fontId="203" fillId="2" borderId="0" applyNumberFormat="0" applyBorder="0" applyAlignment="0" applyProtection="0"/>
    <xf numFmtId="178" fontId="203" fillId="2" borderId="0" applyNumberFormat="0" applyBorder="0" applyAlignment="0" applyProtection="0"/>
    <xf numFmtId="178" fontId="155" fillId="66" borderId="0" applyNumberFormat="0" applyBorder="0" applyAlignment="0" applyProtection="0"/>
    <xf numFmtId="178" fontId="6" fillId="2" borderId="0" applyNumberFormat="0" applyBorder="0" applyAlignment="0" applyProtection="0"/>
    <xf numFmtId="188" fontId="6" fillId="2" borderId="0" applyNumberFormat="0" applyBorder="0" applyAlignment="0" applyProtection="0"/>
    <xf numFmtId="178" fontId="6" fillId="2" borderId="0" applyNumberFormat="0" applyBorder="0" applyAlignment="0" applyProtection="0"/>
    <xf numFmtId="188" fontId="6" fillId="2" borderId="0" applyNumberFormat="0" applyBorder="0" applyAlignment="0" applyProtection="0"/>
    <xf numFmtId="178" fontId="6" fillId="2" borderId="0" applyNumberFormat="0" applyBorder="0" applyAlignment="0" applyProtection="0"/>
    <xf numFmtId="178" fontId="155" fillId="66" borderId="0" applyNumberFormat="0" applyBorder="0" applyAlignment="0" applyProtection="0"/>
    <xf numFmtId="188" fontId="155" fillId="66" borderId="0" applyNumberFormat="0" applyBorder="0" applyAlignment="0" applyProtection="0"/>
    <xf numFmtId="178" fontId="155" fillId="66" borderId="0" applyNumberFormat="0" applyBorder="0" applyAlignment="0" applyProtection="0"/>
    <xf numFmtId="188" fontId="155" fillId="66" borderId="0" applyNumberFormat="0" applyBorder="0" applyAlignment="0" applyProtection="0"/>
    <xf numFmtId="178" fontId="155" fillId="66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188" fontId="203" fillId="2" borderId="0" applyNumberFormat="0" applyBorder="0" applyAlignment="0" applyProtection="0"/>
    <xf numFmtId="178" fontId="203" fillId="2" borderId="0" applyNumberFormat="0" applyBorder="0" applyAlignment="0" applyProtection="0"/>
    <xf numFmtId="188" fontId="203" fillId="2" borderId="0" applyNumberFormat="0" applyBorder="0" applyAlignment="0" applyProtection="0"/>
    <xf numFmtId="178" fontId="203" fillId="2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188" fontId="203" fillId="2" borderId="0" applyNumberFormat="0" applyBorder="0" applyAlignment="0" applyProtection="0"/>
    <xf numFmtId="178" fontId="203" fillId="2" borderId="0" applyNumberFormat="0" applyBorder="0" applyAlignment="0" applyProtection="0"/>
    <xf numFmtId="188" fontId="203" fillId="2" borderId="0" applyNumberFormat="0" applyBorder="0" applyAlignment="0" applyProtection="0"/>
    <xf numFmtId="178" fontId="203" fillId="2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188" fontId="203" fillId="2" borderId="0" applyNumberFormat="0" applyBorder="0" applyAlignment="0" applyProtection="0"/>
    <xf numFmtId="178" fontId="203" fillId="2" borderId="0" applyNumberFormat="0" applyBorder="0" applyAlignment="0" applyProtection="0"/>
    <xf numFmtId="188" fontId="203" fillId="2" borderId="0" applyNumberFormat="0" applyBorder="0" applyAlignment="0" applyProtection="0"/>
    <xf numFmtId="178" fontId="203" fillId="2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188" fontId="6" fillId="2" borderId="0" applyNumberFormat="0" applyBorder="0" applyAlignment="0" applyProtection="0"/>
    <xf numFmtId="178" fontId="6" fillId="2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188" fontId="203" fillId="2" borderId="0" applyNumberFormat="0" applyBorder="0" applyAlignment="0" applyProtection="0"/>
    <xf numFmtId="178" fontId="203" fillId="2" borderId="0" applyNumberFormat="0" applyBorder="0" applyAlignment="0" applyProtection="0"/>
    <xf numFmtId="188" fontId="203" fillId="2" borderId="0" applyNumberFormat="0" applyBorder="0" applyAlignment="0" applyProtection="0"/>
    <xf numFmtId="178" fontId="203" fillId="2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188" fontId="203" fillId="2" borderId="0" applyNumberFormat="0" applyBorder="0" applyAlignment="0" applyProtection="0"/>
    <xf numFmtId="178" fontId="203" fillId="2" borderId="0" applyNumberFormat="0" applyBorder="0" applyAlignment="0" applyProtection="0"/>
    <xf numFmtId="188" fontId="203" fillId="2" borderId="0" applyNumberFormat="0" applyBorder="0" applyAlignment="0" applyProtection="0"/>
    <xf numFmtId="178" fontId="203" fillId="2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188" fontId="203" fillId="2" borderId="0" applyNumberFormat="0" applyBorder="0" applyAlignment="0" applyProtection="0"/>
    <xf numFmtId="178" fontId="203" fillId="2" borderId="0" applyNumberFormat="0" applyBorder="0" applyAlignment="0" applyProtection="0"/>
    <xf numFmtId="188" fontId="203" fillId="2" borderId="0" applyNumberFormat="0" applyBorder="0" applyAlignment="0" applyProtection="0"/>
    <xf numFmtId="178" fontId="203" fillId="2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188" fontId="203" fillId="2" borderId="0" applyNumberFormat="0" applyBorder="0" applyAlignment="0" applyProtection="0"/>
    <xf numFmtId="178" fontId="203" fillId="2" borderId="0" applyNumberFormat="0" applyBorder="0" applyAlignment="0" applyProtection="0"/>
    <xf numFmtId="188" fontId="203" fillId="2" borderId="0" applyNumberFormat="0" applyBorder="0" applyAlignment="0" applyProtection="0"/>
    <xf numFmtId="178" fontId="203" fillId="2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0" fontId="61" fillId="93" borderId="0" applyNumberFormat="0" applyBorder="0" applyAlignment="0" applyProtection="0"/>
    <xf numFmtId="0" fontId="61" fillId="93" borderId="0" applyNumberFormat="0" applyBorder="0" applyAlignment="0" applyProtection="0"/>
    <xf numFmtId="178" fontId="61" fillId="93" borderId="0" applyNumberFormat="0" applyBorder="0" applyAlignment="0" applyProtection="0"/>
    <xf numFmtId="178" fontId="61" fillId="93" borderId="0" applyNumberFormat="0" applyBorder="0" applyAlignment="0" applyProtection="0"/>
    <xf numFmtId="167" fontId="18" fillId="0" borderId="0" applyNumberFormat="0" applyFill="0" applyBorder="0" applyAlignment="0" applyProtection="0">
      <alignment horizontal="center"/>
    </xf>
    <xf numFmtId="167" fontId="18" fillId="0" borderId="0" applyNumberFormat="0" applyFill="0" applyBorder="0" applyAlignment="0" applyProtection="0">
      <alignment horizontal="center"/>
    </xf>
    <xf numFmtId="38" fontId="38" fillId="42" borderId="0" applyNumberFormat="0" applyBorder="0" applyAlignment="0" applyProtection="0"/>
    <xf numFmtId="0" fontId="204" fillId="0" borderId="0" applyNumberFormat="0" applyFill="0" applyProtection="0">
      <alignment horizontal="left"/>
    </xf>
    <xf numFmtId="0" fontId="204" fillId="0" borderId="0" applyNumberFormat="0" applyFill="0" applyProtection="0">
      <alignment horizontal="left"/>
    </xf>
    <xf numFmtId="178" fontId="204" fillId="0" borderId="0" applyNumberFormat="0" applyFill="0" applyProtection="0">
      <alignment horizontal="left"/>
    </xf>
    <xf numFmtId="178" fontId="204" fillId="0" borderId="0" applyNumberFormat="0" applyFill="0" applyProtection="0">
      <alignment horizontal="left"/>
    </xf>
    <xf numFmtId="0" fontId="18" fillId="0" borderId="0" applyFont="0" applyFill="0" applyBorder="0" applyAlignment="0" applyProtection="0">
      <alignment horizontal="right"/>
    </xf>
    <xf numFmtId="0" fontId="18" fillId="0" borderId="0" applyFont="0" applyFill="0" applyBorder="0" applyAlignment="0" applyProtection="0">
      <alignment horizontal="right"/>
    </xf>
    <xf numFmtId="0" fontId="18" fillId="0" borderId="0" applyFont="0" applyFill="0" applyBorder="0" applyAlignment="0" applyProtection="0">
      <alignment horizontal="right"/>
    </xf>
    <xf numFmtId="178" fontId="18" fillId="0" borderId="0" applyFont="0" applyFill="0" applyBorder="0" applyAlignment="0" applyProtection="0">
      <alignment horizontal="right"/>
    </xf>
    <xf numFmtId="178" fontId="18" fillId="0" borderId="0" applyFont="0" applyFill="0" applyBorder="0" applyAlignment="0" applyProtection="0">
      <alignment horizontal="right"/>
    </xf>
    <xf numFmtId="0" fontId="171" fillId="0" borderId="0" applyFont="0" applyFill="0" applyBorder="0" applyAlignment="0" applyProtection="0">
      <alignment horizontal="right"/>
    </xf>
    <xf numFmtId="178" fontId="171" fillId="0" borderId="0" applyFont="0" applyFill="0" applyBorder="0" applyAlignment="0" applyProtection="0">
      <alignment horizontal="right"/>
    </xf>
    <xf numFmtId="178" fontId="171" fillId="0" borderId="0" applyFont="0" applyFill="0" applyBorder="0" applyAlignment="0" applyProtection="0">
      <alignment horizontal="right"/>
    </xf>
    <xf numFmtId="0" fontId="205" fillId="0" borderId="42" applyFont="0">
      <alignment horizontal="centerContinuous"/>
    </xf>
    <xf numFmtId="0" fontId="205" fillId="0" borderId="42" applyFont="0">
      <alignment horizontal="centerContinuous"/>
    </xf>
    <xf numFmtId="0" fontId="205" fillId="0" borderId="42" applyFont="0">
      <alignment horizontal="centerContinuous"/>
    </xf>
    <xf numFmtId="0" fontId="205" fillId="0" borderId="42" applyFont="0">
      <alignment horizontal="centerContinuous"/>
    </xf>
    <xf numFmtId="178" fontId="205" fillId="0" borderId="42" applyFont="0">
      <alignment horizontal="centerContinuous"/>
    </xf>
    <xf numFmtId="0" fontId="205" fillId="0" borderId="42" applyFont="0">
      <alignment horizontal="centerContinuous"/>
    </xf>
    <xf numFmtId="178" fontId="205" fillId="0" borderId="42" applyFont="0">
      <alignment horizontal="centerContinuous"/>
    </xf>
    <xf numFmtId="188" fontId="205" fillId="0" borderId="42" applyFont="0">
      <alignment horizontal="centerContinuous"/>
    </xf>
    <xf numFmtId="178" fontId="205" fillId="0" borderId="42" applyFont="0">
      <alignment horizontal="centerContinuous"/>
    </xf>
    <xf numFmtId="0" fontId="205" fillId="0" borderId="42" applyFont="0">
      <alignment horizontal="centerContinuous"/>
    </xf>
    <xf numFmtId="178" fontId="205" fillId="0" borderId="42" applyFont="0">
      <alignment horizontal="centerContinuous"/>
    </xf>
    <xf numFmtId="188" fontId="205" fillId="0" borderId="42" applyFont="0">
      <alignment horizontal="centerContinuous"/>
    </xf>
    <xf numFmtId="178" fontId="205" fillId="0" borderId="42" applyFont="0">
      <alignment horizontal="centerContinuous"/>
    </xf>
    <xf numFmtId="0" fontId="18" fillId="0" borderId="0" applyProtection="0">
      <alignment horizontal="right"/>
    </xf>
    <xf numFmtId="0" fontId="18" fillId="0" borderId="0" applyProtection="0">
      <alignment horizontal="right"/>
    </xf>
    <xf numFmtId="0" fontId="18" fillId="0" borderId="0" applyProtection="0">
      <alignment horizontal="right"/>
    </xf>
    <xf numFmtId="178" fontId="18" fillId="0" borderId="0" applyProtection="0">
      <alignment horizontal="right"/>
    </xf>
    <xf numFmtId="178" fontId="18" fillId="0" borderId="0" applyProtection="0">
      <alignment horizontal="right"/>
    </xf>
    <xf numFmtId="0" fontId="206" fillId="0" borderId="0" applyProtection="0">
      <alignment horizontal="right"/>
    </xf>
    <xf numFmtId="178" fontId="206" fillId="0" borderId="0" applyProtection="0">
      <alignment horizontal="right"/>
    </xf>
    <xf numFmtId="178" fontId="206" fillId="0" borderId="0" applyProtection="0">
      <alignment horizontal="right"/>
    </xf>
    <xf numFmtId="0" fontId="123" fillId="0" borderId="57" applyNumberFormat="0" applyAlignment="0" applyProtection="0">
      <alignment horizontal="left" vertical="center"/>
    </xf>
    <xf numFmtId="0" fontId="123" fillId="0" borderId="57" applyNumberFormat="0" applyAlignment="0" applyProtection="0">
      <alignment horizontal="left" vertical="center"/>
    </xf>
    <xf numFmtId="0" fontId="123" fillId="0" borderId="57" applyNumberFormat="0" applyAlignment="0" applyProtection="0">
      <alignment horizontal="left" vertical="center"/>
    </xf>
    <xf numFmtId="0" fontId="123" fillId="0" borderId="57" applyNumberFormat="0" applyAlignment="0" applyProtection="0">
      <alignment horizontal="left" vertical="center"/>
    </xf>
    <xf numFmtId="178" fontId="123" fillId="0" borderId="57" applyNumberFormat="0" applyAlignment="0" applyProtection="0">
      <alignment horizontal="left" vertical="center"/>
    </xf>
    <xf numFmtId="178" fontId="123" fillId="0" borderId="57" applyNumberFormat="0" applyAlignment="0" applyProtection="0">
      <alignment horizontal="left" vertical="center"/>
    </xf>
    <xf numFmtId="0" fontId="123" fillId="0" borderId="57" applyNumberFormat="0" applyAlignment="0" applyProtection="0">
      <alignment horizontal="left" vertical="center"/>
    </xf>
    <xf numFmtId="0" fontId="123" fillId="0" borderId="57" applyNumberFormat="0" applyAlignment="0" applyProtection="0">
      <alignment horizontal="left" vertical="center"/>
    </xf>
    <xf numFmtId="178" fontId="123" fillId="0" borderId="57" applyNumberFormat="0" applyAlignment="0" applyProtection="0">
      <alignment horizontal="left" vertical="center"/>
    </xf>
    <xf numFmtId="178" fontId="123" fillId="0" borderId="57" applyNumberFormat="0" applyAlignment="0" applyProtection="0">
      <alignment horizontal="left" vertical="center"/>
    </xf>
    <xf numFmtId="0" fontId="123" fillId="0" borderId="57" applyNumberFormat="0" applyAlignment="0" applyProtection="0">
      <alignment horizontal="left" vertical="center"/>
    </xf>
    <xf numFmtId="178" fontId="123" fillId="0" borderId="57" applyNumberFormat="0" applyAlignment="0" applyProtection="0">
      <alignment horizontal="left" vertical="center"/>
    </xf>
    <xf numFmtId="178" fontId="123" fillId="0" borderId="57" applyNumberFormat="0" applyAlignment="0" applyProtection="0">
      <alignment horizontal="left" vertical="center"/>
    </xf>
    <xf numFmtId="0" fontId="123" fillId="0" borderId="57" applyNumberFormat="0" applyAlignment="0" applyProtection="0">
      <alignment horizontal="left" vertical="center"/>
    </xf>
    <xf numFmtId="0" fontId="123" fillId="0" borderId="57" applyNumberFormat="0" applyAlignment="0" applyProtection="0">
      <alignment horizontal="left" vertical="center"/>
    </xf>
    <xf numFmtId="178" fontId="123" fillId="0" borderId="57" applyNumberFormat="0" applyAlignment="0" applyProtection="0">
      <alignment horizontal="left" vertical="center"/>
    </xf>
    <xf numFmtId="178" fontId="123" fillId="0" borderId="57" applyNumberFormat="0" applyAlignment="0" applyProtection="0">
      <alignment horizontal="left" vertical="center"/>
    </xf>
    <xf numFmtId="0" fontId="123" fillId="0" borderId="57" applyNumberFormat="0" applyAlignment="0" applyProtection="0">
      <alignment horizontal="left" vertical="center"/>
    </xf>
    <xf numFmtId="178" fontId="123" fillId="0" borderId="57" applyNumberFormat="0" applyAlignment="0" applyProtection="0">
      <alignment horizontal="left" vertical="center"/>
    </xf>
    <xf numFmtId="178" fontId="123" fillId="0" borderId="57" applyNumberFormat="0" applyAlignment="0" applyProtection="0">
      <alignment horizontal="left" vertical="center"/>
    </xf>
    <xf numFmtId="0" fontId="123" fillId="0" borderId="10">
      <alignment horizontal="left" vertical="center"/>
    </xf>
    <xf numFmtId="0" fontId="123" fillId="0" borderId="10">
      <alignment horizontal="left" vertical="center"/>
    </xf>
    <xf numFmtId="0" fontId="123" fillId="0" borderId="10">
      <alignment horizontal="left" vertical="center"/>
    </xf>
    <xf numFmtId="178" fontId="123" fillId="0" borderId="10">
      <alignment horizontal="left" vertical="center"/>
    </xf>
    <xf numFmtId="0" fontId="123" fillId="0" borderId="10">
      <alignment horizontal="left" vertical="center"/>
    </xf>
    <xf numFmtId="0" fontId="123" fillId="0" borderId="10">
      <alignment horizontal="left" vertical="center"/>
    </xf>
    <xf numFmtId="178" fontId="123" fillId="0" borderId="10">
      <alignment horizontal="left" vertical="center"/>
    </xf>
    <xf numFmtId="188" fontId="123" fillId="0" borderId="10">
      <alignment horizontal="left" vertical="center"/>
    </xf>
    <xf numFmtId="178" fontId="123" fillId="0" borderId="10">
      <alignment horizontal="left" vertical="center"/>
    </xf>
    <xf numFmtId="0" fontId="123" fillId="0" borderId="10">
      <alignment horizontal="left" vertical="center"/>
    </xf>
    <xf numFmtId="0" fontId="123" fillId="0" borderId="10">
      <alignment horizontal="left" vertical="center"/>
    </xf>
    <xf numFmtId="178" fontId="123" fillId="0" borderId="10">
      <alignment horizontal="left" vertical="center"/>
    </xf>
    <xf numFmtId="0" fontId="123" fillId="0" borderId="10">
      <alignment horizontal="left" vertical="center"/>
    </xf>
    <xf numFmtId="0" fontId="123" fillId="0" borderId="10">
      <alignment horizontal="left" vertical="center"/>
    </xf>
    <xf numFmtId="178" fontId="123" fillId="0" borderId="10">
      <alignment horizontal="left" vertical="center"/>
    </xf>
    <xf numFmtId="188" fontId="123" fillId="0" borderId="10">
      <alignment horizontal="left" vertical="center"/>
    </xf>
    <xf numFmtId="178" fontId="123" fillId="0" borderId="10">
      <alignment horizontal="left" vertical="center"/>
    </xf>
    <xf numFmtId="0" fontId="123" fillId="0" borderId="10">
      <alignment horizontal="left" vertical="center"/>
    </xf>
    <xf numFmtId="178" fontId="123" fillId="0" borderId="10">
      <alignment horizontal="left" vertical="center"/>
    </xf>
    <xf numFmtId="0" fontId="123" fillId="0" borderId="10">
      <alignment horizontal="left" vertical="center"/>
    </xf>
    <xf numFmtId="0" fontId="123" fillId="0" borderId="10">
      <alignment horizontal="left" vertical="center"/>
    </xf>
    <xf numFmtId="178" fontId="123" fillId="0" borderId="10">
      <alignment horizontal="left" vertical="center"/>
    </xf>
    <xf numFmtId="188" fontId="123" fillId="0" borderId="10">
      <alignment horizontal="left" vertical="center"/>
    </xf>
    <xf numFmtId="178" fontId="123" fillId="0" borderId="10">
      <alignment horizontal="left" vertical="center"/>
    </xf>
    <xf numFmtId="0" fontId="18" fillId="0" borderId="0">
      <alignment horizontal="center"/>
    </xf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3" fillId="0" borderId="1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3" fillId="0" borderId="1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3" fillId="0" borderId="1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3" fillId="0" borderId="1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3" fillId="0" borderId="1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3" fillId="0" borderId="1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3" fillId="0" borderId="1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3" fillId="0" borderId="1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3" fillId="0" borderId="1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3" fillId="0" borderId="1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3" fillId="0" borderId="1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3" fillId="0" borderId="1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3" fillId="0" borderId="1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3" fillId="0" borderId="1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3" fillId="0" borderId="1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3" fillId="0" borderId="1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3" fillId="0" borderId="1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3" fillId="0" borderId="1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3" fillId="0" borderId="1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3" fillId="0" borderId="1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3" fillId="0" borderId="1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3" fillId="0" borderId="1" applyNumberFormat="0" applyFill="0" applyAlignment="0" applyProtection="0"/>
    <xf numFmtId="188" fontId="3" fillId="0" borderId="1" applyNumberFormat="0" applyFill="0" applyAlignment="0" applyProtection="0"/>
    <xf numFmtId="178" fontId="3" fillId="0" borderId="1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188" fontId="3" fillId="0" borderId="1" applyNumberFormat="0" applyFill="0" applyAlignment="0" applyProtection="0"/>
    <xf numFmtId="178" fontId="3" fillId="0" borderId="1" applyNumberFormat="0" applyFill="0" applyAlignment="0" applyProtection="0"/>
    <xf numFmtId="188" fontId="3" fillId="0" borderId="1" applyNumberFormat="0" applyFill="0" applyAlignment="0" applyProtection="0"/>
    <xf numFmtId="178" fontId="3" fillId="0" borderId="1" applyNumberFormat="0" applyFill="0" applyAlignment="0" applyProtection="0"/>
    <xf numFmtId="188" fontId="3" fillId="0" borderId="1" applyNumberFormat="0" applyFill="0" applyAlignment="0" applyProtection="0"/>
    <xf numFmtId="178" fontId="3" fillId="0" borderId="1" applyNumberFormat="0" applyFill="0" applyAlignment="0" applyProtection="0"/>
    <xf numFmtId="188" fontId="3" fillId="0" borderId="1" applyNumberFormat="0" applyFill="0" applyAlignment="0" applyProtection="0"/>
    <xf numFmtId="178" fontId="3" fillId="0" borderId="1" applyNumberFormat="0" applyFill="0" applyAlignment="0" applyProtection="0"/>
    <xf numFmtId="188" fontId="3" fillId="0" borderId="1" applyNumberFormat="0" applyFill="0" applyAlignment="0" applyProtection="0"/>
    <xf numFmtId="178" fontId="3" fillId="0" borderId="1" applyNumberFormat="0" applyFill="0" applyAlignment="0" applyProtection="0"/>
    <xf numFmtId="188" fontId="3" fillId="0" borderId="1" applyNumberFormat="0" applyFill="0" applyAlignment="0" applyProtection="0"/>
    <xf numFmtId="178" fontId="3" fillId="0" borderId="1" applyNumberFormat="0" applyFill="0" applyAlignment="0" applyProtection="0"/>
    <xf numFmtId="188" fontId="3" fillId="0" borderId="1" applyNumberFormat="0" applyFill="0" applyAlignment="0" applyProtection="0"/>
    <xf numFmtId="178" fontId="3" fillId="0" borderId="1" applyNumberFormat="0" applyFill="0" applyAlignment="0" applyProtection="0"/>
    <xf numFmtId="188" fontId="3" fillId="0" borderId="1" applyNumberFormat="0" applyFill="0" applyAlignment="0" applyProtection="0"/>
    <xf numFmtId="178" fontId="3" fillId="0" borderId="1" applyNumberFormat="0" applyFill="0" applyAlignment="0" applyProtection="0"/>
    <xf numFmtId="188" fontId="3" fillId="0" borderId="1" applyNumberFormat="0" applyFill="0" applyAlignment="0" applyProtection="0"/>
    <xf numFmtId="178" fontId="3" fillId="0" borderId="1" applyNumberFormat="0" applyFill="0" applyAlignment="0" applyProtection="0"/>
    <xf numFmtId="188" fontId="3" fillId="0" borderId="1" applyNumberFormat="0" applyFill="0" applyAlignment="0" applyProtection="0"/>
    <xf numFmtId="178" fontId="3" fillId="0" borderId="1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188" fontId="3" fillId="0" borderId="1" applyNumberFormat="0" applyFill="0" applyAlignment="0" applyProtection="0"/>
    <xf numFmtId="178" fontId="3" fillId="0" borderId="1" applyNumberFormat="0" applyFill="0" applyAlignment="0" applyProtection="0"/>
    <xf numFmtId="188" fontId="3" fillId="0" borderId="1" applyNumberFormat="0" applyFill="0" applyAlignment="0" applyProtection="0"/>
    <xf numFmtId="178" fontId="3" fillId="0" borderId="1" applyNumberFormat="0" applyFill="0" applyAlignment="0" applyProtection="0"/>
    <xf numFmtId="188" fontId="3" fillId="0" borderId="1" applyNumberFormat="0" applyFill="0" applyAlignment="0" applyProtection="0"/>
    <xf numFmtId="178" fontId="3" fillId="0" borderId="1" applyNumberFormat="0" applyFill="0" applyAlignment="0" applyProtection="0"/>
    <xf numFmtId="188" fontId="3" fillId="0" borderId="1" applyNumberFormat="0" applyFill="0" applyAlignment="0" applyProtection="0"/>
    <xf numFmtId="178" fontId="3" fillId="0" borderId="1" applyNumberFormat="0" applyFill="0" applyAlignment="0" applyProtection="0"/>
    <xf numFmtId="188" fontId="3" fillId="0" borderId="1" applyNumberFormat="0" applyFill="0" applyAlignment="0" applyProtection="0"/>
    <xf numFmtId="178" fontId="3" fillId="0" borderId="1" applyNumberFormat="0" applyFill="0" applyAlignment="0" applyProtection="0"/>
    <xf numFmtId="188" fontId="3" fillId="0" borderId="1" applyNumberFormat="0" applyFill="0" applyAlignment="0" applyProtection="0"/>
    <xf numFmtId="178" fontId="3" fillId="0" borderId="1" applyNumberFormat="0" applyFill="0" applyAlignment="0" applyProtection="0"/>
    <xf numFmtId="188" fontId="3" fillId="0" borderId="1" applyNumberFormat="0" applyFill="0" applyAlignment="0" applyProtection="0"/>
    <xf numFmtId="178" fontId="3" fillId="0" borderId="1" applyNumberFormat="0" applyFill="0" applyAlignment="0" applyProtection="0"/>
    <xf numFmtId="188" fontId="3" fillId="0" borderId="1" applyNumberFormat="0" applyFill="0" applyAlignment="0" applyProtection="0"/>
    <xf numFmtId="178" fontId="3" fillId="0" borderId="1" applyNumberFormat="0" applyFill="0" applyAlignment="0" applyProtection="0"/>
    <xf numFmtId="188" fontId="3" fillId="0" borderId="1" applyNumberFormat="0" applyFill="0" applyAlignment="0" applyProtection="0"/>
    <xf numFmtId="178" fontId="3" fillId="0" borderId="1" applyNumberFormat="0" applyFill="0" applyAlignment="0" applyProtection="0"/>
    <xf numFmtId="188" fontId="3" fillId="0" borderId="1" applyNumberFormat="0" applyFill="0" applyAlignment="0" applyProtection="0"/>
    <xf numFmtId="178" fontId="3" fillId="0" borderId="1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188" fontId="3" fillId="0" borderId="1" applyNumberFormat="0" applyFill="0" applyAlignment="0" applyProtection="0"/>
    <xf numFmtId="178" fontId="3" fillId="0" borderId="1" applyNumberFormat="0" applyFill="0" applyAlignment="0" applyProtection="0"/>
    <xf numFmtId="188" fontId="3" fillId="0" borderId="1" applyNumberFormat="0" applyFill="0" applyAlignment="0" applyProtection="0"/>
    <xf numFmtId="178" fontId="3" fillId="0" borderId="1" applyNumberFormat="0" applyFill="0" applyAlignment="0" applyProtection="0"/>
    <xf numFmtId="188" fontId="3" fillId="0" borderId="1" applyNumberFormat="0" applyFill="0" applyAlignment="0" applyProtection="0"/>
    <xf numFmtId="178" fontId="3" fillId="0" borderId="1" applyNumberFormat="0" applyFill="0" applyAlignment="0" applyProtection="0"/>
    <xf numFmtId="188" fontId="3" fillId="0" borderId="1" applyNumberFormat="0" applyFill="0" applyAlignment="0" applyProtection="0"/>
    <xf numFmtId="178" fontId="3" fillId="0" borderId="1" applyNumberFormat="0" applyFill="0" applyAlignment="0" applyProtection="0"/>
    <xf numFmtId="188" fontId="3" fillId="0" borderId="1" applyNumberFormat="0" applyFill="0" applyAlignment="0" applyProtection="0"/>
    <xf numFmtId="178" fontId="3" fillId="0" borderId="1" applyNumberFormat="0" applyFill="0" applyAlignment="0" applyProtection="0"/>
    <xf numFmtId="188" fontId="3" fillId="0" borderId="1" applyNumberFormat="0" applyFill="0" applyAlignment="0" applyProtection="0"/>
    <xf numFmtId="178" fontId="3" fillId="0" borderId="1" applyNumberFormat="0" applyFill="0" applyAlignment="0" applyProtection="0"/>
    <xf numFmtId="188" fontId="3" fillId="0" borderId="1" applyNumberFormat="0" applyFill="0" applyAlignment="0" applyProtection="0"/>
    <xf numFmtId="178" fontId="3" fillId="0" borderId="1" applyNumberFormat="0" applyFill="0" applyAlignment="0" applyProtection="0"/>
    <xf numFmtId="188" fontId="3" fillId="0" borderId="1" applyNumberFormat="0" applyFill="0" applyAlignment="0" applyProtection="0"/>
    <xf numFmtId="178" fontId="3" fillId="0" borderId="1" applyNumberFormat="0" applyFill="0" applyAlignment="0" applyProtection="0"/>
    <xf numFmtId="188" fontId="3" fillId="0" borderId="1" applyNumberFormat="0" applyFill="0" applyAlignment="0" applyProtection="0"/>
    <xf numFmtId="178" fontId="3" fillId="0" borderId="1" applyNumberFormat="0" applyFill="0" applyAlignment="0" applyProtection="0"/>
    <xf numFmtId="188" fontId="3" fillId="0" borderId="1" applyNumberFormat="0" applyFill="0" applyAlignment="0" applyProtection="0"/>
    <xf numFmtId="178" fontId="3" fillId="0" borderId="1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188" fontId="3" fillId="0" borderId="1" applyNumberFormat="0" applyFill="0" applyAlignment="0" applyProtection="0"/>
    <xf numFmtId="178" fontId="3" fillId="0" borderId="1" applyNumberFormat="0" applyFill="0" applyAlignment="0" applyProtection="0"/>
    <xf numFmtId="188" fontId="3" fillId="0" borderId="1" applyNumberFormat="0" applyFill="0" applyAlignment="0" applyProtection="0"/>
    <xf numFmtId="178" fontId="3" fillId="0" borderId="1" applyNumberFormat="0" applyFill="0" applyAlignment="0" applyProtection="0"/>
    <xf numFmtId="188" fontId="3" fillId="0" borderId="1" applyNumberFormat="0" applyFill="0" applyAlignment="0" applyProtection="0"/>
    <xf numFmtId="178" fontId="3" fillId="0" borderId="1" applyNumberFormat="0" applyFill="0" applyAlignment="0" applyProtection="0"/>
    <xf numFmtId="188" fontId="3" fillId="0" borderId="1" applyNumberFormat="0" applyFill="0" applyAlignment="0" applyProtection="0"/>
    <xf numFmtId="178" fontId="3" fillId="0" borderId="1" applyNumberFormat="0" applyFill="0" applyAlignment="0" applyProtection="0"/>
    <xf numFmtId="188" fontId="3" fillId="0" borderId="1" applyNumberFormat="0" applyFill="0" applyAlignment="0" applyProtection="0"/>
    <xf numFmtId="178" fontId="3" fillId="0" borderId="1" applyNumberFormat="0" applyFill="0" applyAlignment="0" applyProtection="0"/>
    <xf numFmtId="188" fontId="3" fillId="0" borderId="1" applyNumberFormat="0" applyFill="0" applyAlignment="0" applyProtection="0"/>
    <xf numFmtId="178" fontId="3" fillId="0" borderId="1" applyNumberFormat="0" applyFill="0" applyAlignment="0" applyProtection="0"/>
    <xf numFmtId="188" fontId="3" fillId="0" borderId="1" applyNumberFormat="0" applyFill="0" applyAlignment="0" applyProtection="0"/>
    <xf numFmtId="178" fontId="3" fillId="0" borderId="1" applyNumberFormat="0" applyFill="0" applyAlignment="0" applyProtection="0"/>
    <xf numFmtId="188" fontId="3" fillId="0" borderId="1" applyNumberFormat="0" applyFill="0" applyAlignment="0" applyProtection="0"/>
    <xf numFmtId="178" fontId="3" fillId="0" borderId="1" applyNumberFormat="0" applyFill="0" applyAlignment="0" applyProtection="0"/>
    <xf numFmtId="188" fontId="3" fillId="0" borderId="1" applyNumberFormat="0" applyFill="0" applyAlignment="0" applyProtection="0"/>
    <xf numFmtId="178" fontId="3" fillId="0" borderId="1" applyNumberFormat="0" applyFill="0" applyAlignment="0" applyProtection="0"/>
    <xf numFmtId="0" fontId="207" fillId="0" borderId="58" applyNumberFormat="0" applyFill="0" applyAlignment="0" applyProtection="0"/>
    <xf numFmtId="188" fontId="208" fillId="0" borderId="59" applyNumberFormat="0" applyFill="0" applyAlignment="0" applyProtection="0"/>
    <xf numFmtId="188" fontId="3" fillId="0" borderId="1" applyNumberFormat="0" applyFill="0" applyAlignment="0" applyProtection="0"/>
    <xf numFmtId="188" fontId="208" fillId="0" borderId="59" applyNumberFormat="0" applyFill="0" applyAlignment="0" applyProtection="0"/>
    <xf numFmtId="188" fontId="209" fillId="0" borderId="1" applyNumberFormat="0" applyFill="0" applyAlignment="0" applyProtection="0"/>
    <xf numFmtId="178" fontId="209" fillId="0" borderId="1" applyNumberFormat="0" applyFill="0" applyAlignment="0" applyProtection="0"/>
    <xf numFmtId="178" fontId="208" fillId="0" borderId="59" applyNumberFormat="0" applyFill="0" applyAlignment="0" applyProtection="0"/>
    <xf numFmtId="178" fontId="3" fillId="0" borderId="1" applyNumberFormat="0" applyFill="0" applyAlignment="0" applyProtection="0"/>
    <xf numFmtId="188" fontId="3" fillId="0" borderId="1" applyNumberFormat="0" applyFill="0" applyAlignment="0" applyProtection="0"/>
    <xf numFmtId="178" fontId="3" fillId="0" borderId="1" applyNumberFormat="0" applyFill="0" applyAlignment="0" applyProtection="0"/>
    <xf numFmtId="188" fontId="3" fillId="0" borderId="1" applyNumberFormat="0" applyFill="0" applyAlignment="0" applyProtection="0"/>
    <xf numFmtId="178" fontId="3" fillId="0" borderId="1" applyNumberFormat="0" applyFill="0" applyAlignment="0" applyProtection="0"/>
    <xf numFmtId="178" fontId="208" fillId="0" borderId="59" applyNumberFormat="0" applyFill="0" applyAlignment="0" applyProtection="0"/>
    <xf numFmtId="188" fontId="208" fillId="0" borderId="59" applyNumberFormat="0" applyFill="0" applyAlignment="0" applyProtection="0"/>
    <xf numFmtId="178" fontId="208" fillId="0" borderId="59" applyNumberFormat="0" applyFill="0" applyAlignment="0" applyProtection="0"/>
    <xf numFmtId="188" fontId="208" fillId="0" borderId="59" applyNumberFormat="0" applyFill="0" applyAlignment="0" applyProtection="0"/>
    <xf numFmtId="178" fontId="208" fillId="0" borderId="59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188" fontId="209" fillId="0" borderId="1" applyNumberFormat="0" applyFill="0" applyAlignment="0" applyProtection="0"/>
    <xf numFmtId="178" fontId="209" fillId="0" borderId="1" applyNumberFormat="0" applyFill="0" applyAlignment="0" applyProtection="0"/>
    <xf numFmtId="188" fontId="209" fillId="0" borderId="1" applyNumberFormat="0" applyFill="0" applyAlignment="0" applyProtection="0"/>
    <xf numFmtId="178" fontId="209" fillId="0" borderId="1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188" fontId="209" fillId="0" borderId="1" applyNumberFormat="0" applyFill="0" applyAlignment="0" applyProtection="0"/>
    <xf numFmtId="178" fontId="209" fillId="0" borderId="1" applyNumberFormat="0" applyFill="0" applyAlignment="0" applyProtection="0"/>
    <xf numFmtId="188" fontId="209" fillId="0" borderId="1" applyNumberFormat="0" applyFill="0" applyAlignment="0" applyProtection="0"/>
    <xf numFmtId="178" fontId="209" fillId="0" borderId="1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188" fontId="209" fillId="0" borderId="1" applyNumberFormat="0" applyFill="0" applyAlignment="0" applyProtection="0"/>
    <xf numFmtId="178" fontId="209" fillId="0" borderId="1" applyNumberFormat="0" applyFill="0" applyAlignment="0" applyProtection="0"/>
    <xf numFmtId="188" fontId="209" fillId="0" borderId="1" applyNumberFormat="0" applyFill="0" applyAlignment="0" applyProtection="0"/>
    <xf numFmtId="178" fontId="209" fillId="0" borderId="1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188" fontId="3" fillId="0" borderId="1" applyNumberFormat="0" applyFill="0" applyAlignment="0" applyProtection="0"/>
    <xf numFmtId="178" fontId="3" fillId="0" borderId="1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188" fontId="209" fillId="0" borderId="1" applyNumberFormat="0" applyFill="0" applyAlignment="0" applyProtection="0"/>
    <xf numFmtId="178" fontId="209" fillId="0" borderId="1" applyNumberFormat="0" applyFill="0" applyAlignment="0" applyProtection="0"/>
    <xf numFmtId="188" fontId="209" fillId="0" borderId="1" applyNumberFormat="0" applyFill="0" applyAlignment="0" applyProtection="0"/>
    <xf numFmtId="178" fontId="209" fillId="0" borderId="1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188" fontId="209" fillId="0" borderId="1" applyNumberFormat="0" applyFill="0" applyAlignment="0" applyProtection="0"/>
    <xf numFmtId="178" fontId="209" fillId="0" borderId="1" applyNumberFormat="0" applyFill="0" applyAlignment="0" applyProtection="0"/>
    <xf numFmtId="188" fontId="209" fillId="0" borderId="1" applyNumberFormat="0" applyFill="0" applyAlignment="0" applyProtection="0"/>
    <xf numFmtId="178" fontId="209" fillId="0" borderId="1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188" fontId="209" fillId="0" borderId="1" applyNumberFormat="0" applyFill="0" applyAlignment="0" applyProtection="0"/>
    <xf numFmtId="178" fontId="209" fillId="0" borderId="1" applyNumberFormat="0" applyFill="0" applyAlignment="0" applyProtection="0"/>
    <xf numFmtId="188" fontId="209" fillId="0" borderId="1" applyNumberFormat="0" applyFill="0" applyAlignment="0" applyProtection="0"/>
    <xf numFmtId="178" fontId="209" fillId="0" borderId="1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188" fontId="209" fillId="0" borderId="1" applyNumberFormat="0" applyFill="0" applyAlignment="0" applyProtection="0"/>
    <xf numFmtId="178" fontId="209" fillId="0" borderId="1" applyNumberFormat="0" applyFill="0" applyAlignment="0" applyProtection="0"/>
    <xf numFmtId="188" fontId="209" fillId="0" borderId="1" applyNumberFormat="0" applyFill="0" applyAlignment="0" applyProtection="0"/>
    <xf numFmtId="178" fontId="209" fillId="0" borderId="1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207" fillId="0" borderId="58" applyNumberFormat="0" applyFill="0" applyAlignment="0" applyProtection="0"/>
    <xf numFmtId="0" fontId="207" fillId="0" borderId="58" applyNumberFormat="0" applyFill="0" applyAlignment="0" applyProtection="0"/>
    <xf numFmtId="178" fontId="207" fillId="0" borderId="58" applyNumberFormat="0" applyFill="0" applyAlignment="0" applyProtection="0"/>
    <xf numFmtId="178" fontId="207" fillId="0" borderId="58" applyNumberFormat="0" applyFill="0" applyAlignment="0" applyProtection="0"/>
    <xf numFmtId="0" fontId="18" fillId="0" borderId="0">
      <alignment horizontal="center"/>
    </xf>
    <xf numFmtId="178" fontId="18" fillId="0" borderId="0">
      <alignment horizontal="center"/>
    </xf>
    <xf numFmtId="0" fontId="18" fillId="0" borderId="0">
      <alignment horizontal="center"/>
    </xf>
    <xf numFmtId="178" fontId="18" fillId="0" borderId="0">
      <alignment horizontal="center"/>
    </xf>
    <xf numFmtId="0" fontId="18" fillId="0" borderId="0">
      <alignment horizontal="center"/>
    </xf>
    <xf numFmtId="178" fontId="18" fillId="0" borderId="0">
      <alignment horizontal="center"/>
    </xf>
    <xf numFmtId="0" fontId="18" fillId="0" borderId="0">
      <alignment horizontal="center"/>
    </xf>
    <xf numFmtId="178" fontId="18" fillId="0" borderId="0">
      <alignment horizontal="center"/>
    </xf>
    <xf numFmtId="0" fontId="18" fillId="0" borderId="0">
      <alignment horizontal="center"/>
    </xf>
    <xf numFmtId="178" fontId="18" fillId="0" borderId="0">
      <alignment horizontal="center"/>
    </xf>
    <xf numFmtId="0" fontId="210" fillId="0" borderId="0">
      <alignment horizontal="center"/>
    </xf>
    <xf numFmtId="178" fontId="210" fillId="0" borderId="0">
      <alignment horizontal="center"/>
    </xf>
    <xf numFmtId="0" fontId="210" fillId="0" borderId="0">
      <alignment horizontal="center"/>
    </xf>
    <xf numFmtId="178" fontId="210" fillId="0" borderId="0">
      <alignment horizontal="center"/>
    </xf>
    <xf numFmtId="0" fontId="210" fillId="0" borderId="0">
      <alignment horizontal="center"/>
    </xf>
    <xf numFmtId="178" fontId="210" fillId="0" borderId="0">
      <alignment horizontal="center"/>
    </xf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4" fillId="0" borderId="2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4" fillId="0" borderId="2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4" fillId="0" borderId="2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4" fillId="0" borderId="2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4" fillId="0" borderId="2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4" fillId="0" borderId="2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4" fillId="0" borderId="2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4" fillId="0" borderId="2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4" fillId="0" borderId="2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4" fillId="0" borderId="2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4" fillId="0" borderId="2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4" fillId="0" borderId="2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4" fillId="0" borderId="2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4" fillId="0" borderId="2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4" fillId="0" borderId="2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4" fillId="0" borderId="2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4" fillId="0" borderId="2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4" fillId="0" borderId="2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4" fillId="0" borderId="2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4" fillId="0" borderId="2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4" fillId="0" borderId="2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4" fillId="0" borderId="2" applyNumberFormat="0" applyFill="0" applyAlignment="0" applyProtection="0"/>
    <xf numFmtId="188" fontId="4" fillId="0" borderId="2" applyNumberFormat="0" applyFill="0" applyAlignment="0" applyProtection="0"/>
    <xf numFmtId="178" fontId="4" fillId="0" borderId="2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188" fontId="4" fillId="0" borderId="2" applyNumberFormat="0" applyFill="0" applyAlignment="0" applyProtection="0"/>
    <xf numFmtId="178" fontId="4" fillId="0" borderId="2" applyNumberFormat="0" applyFill="0" applyAlignment="0" applyProtection="0"/>
    <xf numFmtId="188" fontId="4" fillId="0" borderId="2" applyNumberFormat="0" applyFill="0" applyAlignment="0" applyProtection="0"/>
    <xf numFmtId="178" fontId="4" fillId="0" borderId="2" applyNumberFormat="0" applyFill="0" applyAlignment="0" applyProtection="0"/>
    <xf numFmtId="188" fontId="4" fillId="0" borderId="2" applyNumberFormat="0" applyFill="0" applyAlignment="0" applyProtection="0"/>
    <xf numFmtId="178" fontId="4" fillId="0" borderId="2" applyNumberFormat="0" applyFill="0" applyAlignment="0" applyProtection="0"/>
    <xf numFmtId="188" fontId="4" fillId="0" borderId="2" applyNumberFormat="0" applyFill="0" applyAlignment="0" applyProtection="0"/>
    <xf numFmtId="178" fontId="4" fillId="0" borderId="2" applyNumberFormat="0" applyFill="0" applyAlignment="0" applyProtection="0"/>
    <xf numFmtId="188" fontId="4" fillId="0" borderId="2" applyNumberFormat="0" applyFill="0" applyAlignment="0" applyProtection="0"/>
    <xf numFmtId="178" fontId="4" fillId="0" borderId="2" applyNumberFormat="0" applyFill="0" applyAlignment="0" applyProtection="0"/>
    <xf numFmtId="188" fontId="4" fillId="0" borderId="2" applyNumberFormat="0" applyFill="0" applyAlignment="0" applyProtection="0"/>
    <xf numFmtId="178" fontId="4" fillId="0" borderId="2" applyNumberFormat="0" applyFill="0" applyAlignment="0" applyProtection="0"/>
    <xf numFmtId="188" fontId="4" fillId="0" borderId="2" applyNumberFormat="0" applyFill="0" applyAlignment="0" applyProtection="0"/>
    <xf numFmtId="178" fontId="4" fillId="0" borderId="2" applyNumberFormat="0" applyFill="0" applyAlignment="0" applyProtection="0"/>
    <xf numFmtId="188" fontId="4" fillId="0" borderId="2" applyNumberFormat="0" applyFill="0" applyAlignment="0" applyProtection="0"/>
    <xf numFmtId="178" fontId="4" fillId="0" borderId="2" applyNumberFormat="0" applyFill="0" applyAlignment="0" applyProtection="0"/>
    <xf numFmtId="188" fontId="4" fillId="0" borderId="2" applyNumberFormat="0" applyFill="0" applyAlignment="0" applyProtection="0"/>
    <xf numFmtId="178" fontId="4" fillId="0" borderId="2" applyNumberFormat="0" applyFill="0" applyAlignment="0" applyProtection="0"/>
    <xf numFmtId="188" fontId="4" fillId="0" borderId="2" applyNumberFormat="0" applyFill="0" applyAlignment="0" applyProtection="0"/>
    <xf numFmtId="178" fontId="4" fillId="0" borderId="2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188" fontId="4" fillId="0" borderId="2" applyNumberFormat="0" applyFill="0" applyAlignment="0" applyProtection="0"/>
    <xf numFmtId="178" fontId="4" fillId="0" borderId="2" applyNumberFormat="0" applyFill="0" applyAlignment="0" applyProtection="0"/>
    <xf numFmtId="188" fontId="4" fillId="0" borderId="2" applyNumberFormat="0" applyFill="0" applyAlignment="0" applyProtection="0"/>
    <xf numFmtId="178" fontId="4" fillId="0" borderId="2" applyNumberFormat="0" applyFill="0" applyAlignment="0" applyProtection="0"/>
    <xf numFmtId="188" fontId="4" fillId="0" borderId="2" applyNumberFormat="0" applyFill="0" applyAlignment="0" applyProtection="0"/>
    <xf numFmtId="178" fontId="4" fillId="0" borderId="2" applyNumberFormat="0" applyFill="0" applyAlignment="0" applyProtection="0"/>
    <xf numFmtId="188" fontId="4" fillId="0" borderId="2" applyNumberFormat="0" applyFill="0" applyAlignment="0" applyProtection="0"/>
    <xf numFmtId="178" fontId="4" fillId="0" borderId="2" applyNumberFormat="0" applyFill="0" applyAlignment="0" applyProtection="0"/>
    <xf numFmtId="188" fontId="4" fillId="0" borderId="2" applyNumberFormat="0" applyFill="0" applyAlignment="0" applyProtection="0"/>
    <xf numFmtId="178" fontId="4" fillId="0" borderId="2" applyNumberFormat="0" applyFill="0" applyAlignment="0" applyProtection="0"/>
    <xf numFmtId="188" fontId="4" fillId="0" borderId="2" applyNumberFormat="0" applyFill="0" applyAlignment="0" applyProtection="0"/>
    <xf numFmtId="178" fontId="4" fillId="0" borderId="2" applyNumberFormat="0" applyFill="0" applyAlignment="0" applyProtection="0"/>
    <xf numFmtId="188" fontId="4" fillId="0" borderId="2" applyNumberFormat="0" applyFill="0" applyAlignment="0" applyProtection="0"/>
    <xf numFmtId="178" fontId="4" fillId="0" borderId="2" applyNumberFormat="0" applyFill="0" applyAlignment="0" applyProtection="0"/>
    <xf numFmtId="188" fontId="4" fillId="0" borderId="2" applyNumberFormat="0" applyFill="0" applyAlignment="0" applyProtection="0"/>
    <xf numFmtId="178" fontId="4" fillId="0" borderId="2" applyNumberFormat="0" applyFill="0" applyAlignment="0" applyProtection="0"/>
    <xf numFmtId="188" fontId="4" fillId="0" borderId="2" applyNumberFormat="0" applyFill="0" applyAlignment="0" applyProtection="0"/>
    <xf numFmtId="178" fontId="4" fillId="0" borderId="2" applyNumberFormat="0" applyFill="0" applyAlignment="0" applyProtection="0"/>
    <xf numFmtId="188" fontId="4" fillId="0" borderId="2" applyNumberFormat="0" applyFill="0" applyAlignment="0" applyProtection="0"/>
    <xf numFmtId="178" fontId="4" fillId="0" borderId="2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188" fontId="4" fillId="0" borderId="2" applyNumberFormat="0" applyFill="0" applyAlignment="0" applyProtection="0"/>
    <xf numFmtId="178" fontId="4" fillId="0" borderId="2" applyNumberFormat="0" applyFill="0" applyAlignment="0" applyProtection="0"/>
    <xf numFmtId="188" fontId="4" fillId="0" borderId="2" applyNumberFormat="0" applyFill="0" applyAlignment="0" applyProtection="0"/>
    <xf numFmtId="178" fontId="4" fillId="0" borderId="2" applyNumberFormat="0" applyFill="0" applyAlignment="0" applyProtection="0"/>
    <xf numFmtId="188" fontId="4" fillId="0" borderId="2" applyNumberFormat="0" applyFill="0" applyAlignment="0" applyProtection="0"/>
    <xf numFmtId="178" fontId="4" fillId="0" borderId="2" applyNumberFormat="0" applyFill="0" applyAlignment="0" applyProtection="0"/>
    <xf numFmtId="188" fontId="4" fillId="0" borderId="2" applyNumberFormat="0" applyFill="0" applyAlignment="0" applyProtection="0"/>
    <xf numFmtId="178" fontId="4" fillId="0" borderId="2" applyNumberFormat="0" applyFill="0" applyAlignment="0" applyProtection="0"/>
    <xf numFmtId="188" fontId="4" fillId="0" borderId="2" applyNumberFormat="0" applyFill="0" applyAlignment="0" applyProtection="0"/>
    <xf numFmtId="178" fontId="4" fillId="0" borderId="2" applyNumberFormat="0" applyFill="0" applyAlignment="0" applyProtection="0"/>
    <xf numFmtId="188" fontId="4" fillId="0" borderId="2" applyNumberFormat="0" applyFill="0" applyAlignment="0" applyProtection="0"/>
    <xf numFmtId="178" fontId="4" fillId="0" borderId="2" applyNumberFormat="0" applyFill="0" applyAlignment="0" applyProtection="0"/>
    <xf numFmtId="188" fontId="4" fillId="0" borderId="2" applyNumberFormat="0" applyFill="0" applyAlignment="0" applyProtection="0"/>
    <xf numFmtId="178" fontId="4" fillId="0" borderId="2" applyNumberFormat="0" applyFill="0" applyAlignment="0" applyProtection="0"/>
    <xf numFmtId="188" fontId="4" fillId="0" borderId="2" applyNumberFormat="0" applyFill="0" applyAlignment="0" applyProtection="0"/>
    <xf numFmtId="178" fontId="4" fillId="0" borderId="2" applyNumberFormat="0" applyFill="0" applyAlignment="0" applyProtection="0"/>
    <xf numFmtId="188" fontId="4" fillId="0" borderId="2" applyNumberFormat="0" applyFill="0" applyAlignment="0" applyProtection="0"/>
    <xf numFmtId="178" fontId="4" fillId="0" borderId="2" applyNumberFormat="0" applyFill="0" applyAlignment="0" applyProtection="0"/>
    <xf numFmtId="188" fontId="4" fillId="0" borderId="2" applyNumberFormat="0" applyFill="0" applyAlignment="0" applyProtection="0"/>
    <xf numFmtId="178" fontId="4" fillId="0" borderId="2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188" fontId="4" fillId="0" borderId="2" applyNumberFormat="0" applyFill="0" applyAlignment="0" applyProtection="0"/>
    <xf numFmtId="178" fontId="4" fillId="0" borderId="2" applyNumberFormat="0" applyFill="0" applyAlignment="0" applyProtection="0"/>
    <xf numFmtId="188" fontId="4" fillId="0" borderId="2" applyNumberFormat="0" applyFill="0" applyAlignment="0" applyProtection="0"/>
    <xf numFmtId="178" fontId="4" fillId="0" borderId="2" applyNumberFormat="0" applyFill="0" applyAlignment="0" applyProtection="0"/>
    <xf numFmtId="188" fontId="4" fillId="0" borderId="2" applyNumberFormat="0" applyFill="0" applyAlignment="0" applyProtection="0"/>
    <xf numFmtId="178" fontId="4" fillId="0" borderId="2" applyNumberFormat="0" applyFill="0" applyAlignment="0" applyProtection="0"/>
    <xf numFmtId="188" fontId="4" fillId="0" borderId="2" applyNumberFormat="0" applyFill="0" applyAlignment="0" applyProtection="0"/>
    <xf numFmtId="178" fontId="4" fillId="0" borderId="2" applyNumberFormat="0" applyFill="0" applyAlignment="0" applyProtection="0"/>
    <xf numFmtId="188" fontId="4" fillId="0" borderId="2" applyNumberFormat="0" applyFill="0" applyAlignment="0" applyProtection="0"/>
    <xf numFmtId="178" fontId="4" fillId="0" borderId="2" applyNumberFormat="0" applyFill="0" applyAlignment="0" applyProtection="0"/>
    <xf numFmtId="188" fontId="4" fillId="0" borderId="2" applyNumberFormat="0" applyFill="0" applyAlignment="0" applyProtection="0"/>
    <xf numFmtId="178" fontId="4" fillId="0" borderId="2" applyNumberFormat="0" applyFill="0" applyAlignment="0" applyProtection="0"/>
    <xf numFmtId="188" fontId="4" fillId="0" borderId="2" applyNumberFormat="0" applyFill="0" applyAlignment="0" applyProtection="0"/>
    <xf numFmtId="178" fontId="4" fillId="0" borderId="2" applyNumberFormat="0" applyFill="0" applyAlignment="0" applyProtection="0"/>
    <xf numFmtId="188" fontId="4" fillId="0" borderId="2" applyNumberFormat="0" applyFill="0" applyAlignment="0" applyProtection="0"/>
    <xf numFmtId="178" fontId="4" fillId="0" borderId="2" applyNumberFormat="0" applyFill="0" applyAlignment="0" applyProtection="0"/>
    <xf numFmtId="188" fontId="4" fillId="0" borderId="2" applyNumberFormat="0" applyFill="0" applyAlignment="0" applyProtection="0"/>
    <xf numFmtId="178" fontId="4" fillId="0" borderId="2" applyNumberFormat="0" applyFill="0" applyAlignment="0" applyProtection="0"/>
    <xf numFmtId="0" fontId="211" fillId="0" borderId="60" applyNumberFormat="0" applyFill="0" applyAlignment="0" applyProtection="0"/>
    <xf numFmtId="188" fontId="212" fillId="0" borderId="61" applyNumberFormat="0" applyFill="0" applyAlignment="0" applyProtection="0"/>
    <xf numFmtId="188" fontId="4" fillId="0" borderId="2" applyNumberFormat="0" applyFill="0" applyAlignment="0" applyProtection="0"/>
    <xf numFmtId="188" fontId="212" fillId="0" borderId="61" applyNumberFormat="0" applyFill="0" applyAlignment="0" applyProtection="0"/>
    <xf numFmtId="188" fontId="213" fillId="0" borderId="2" applyNumberFormat="0" applyFill="0" applyAlignment="0" applyProtection="0"/>
    <xf numFmtId="178" fontId="213" fillId="0" borderId="2" applyNumberFormat="0" applyFill="0" applyAlignment="0" applyProtection="0"/>
    <xf numFmtId="178" fontId="212" fillId="0" borderId="61" applyNumberFormat="0" applyFill="0" applyAlignment="0" applyProtection="0"/>
    <xf numFmtId="178" fontId="4" fillId="0" borderId="2" applyNumberFormat="0" applyFill="0" applyAlignment="0" applyProtection="0"/>
    <xf numFmtId="188" fontId="4" fillId="0" borderId="2" applyNumberFormat="0" applyFill="0" applyAlignment="0" applyProtection="0"/>
    <xf numFmtId="178" fontId="4" fillId="0" borderId="2" applyNumberFormat="0" applyFill="0" applyAlignment="0" applyProtection="0"/>
    <xf numFmtId="188" fontId="4" fillId="0" borderId="2" applyNumberFormat="0" applyFill="0" applyAlignment="0" applyProtection="0"/>
    <xf numFmtId="178" fontId="4" fillId="0" borderId="2" applyNumberFormat="0" applyFill="0" applyAlignment="0" applyProtection="0"/>
    <xf numFmtId="178" fontId="212" fillId="0" borderId="61" applyNumberFormat="0" applyFill="0" applyAlignment="0" applyProtection="0"/>
    <xf numFmtId="188" fontId="212" fillId="0" borderId="61" applyNumberFormat="0" applyFill="0" applyAlignment="0" applyProtection="0"/>
    <xf numFmtId="178" fontId="212" fillId="0" borderId="61" applyNumberFormat="0" applyFill="0" applyAlignment="0" applyProtection="0"/>
    <xf numFmtId="188" fontId="212" fillId="0" borderId="61" applyNumberFormat="0" applyFill="0" applyAlignment="0" applyProtection="0"/>
    <xf numFmtId="178" fontId="212" fillId="0" borderId="61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188" fontId="213" fillId="0" borderId="2" applyNumberFormat="0" applyFill="0" applyAlignment="0" applyProtection="0"/>
    <xf numFmtId="178" fontId="213" fillId="0" borderId="2" applyNumberFormat="0" applyFill="0" applyAlignment="0" applyProtection="0"/>
    <xf numFmtId="188" fontId="213" fillId="0" borderId="2" applyNumberFormat="0" applyFill="0" applyAlignment="0" applyProtection="0"/>
    <xf numFmtId="178" fontId="213" fillId="0" borderId="2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188" fontId="213" fillId="0" borderId="2" applyNumberFormat="0" applyFill="0" applyAlignment="0" applyProtection="0"/>
    <xf numFmtId="178" fontId="213" fillId="0" borderId="2" applyNumberFormat="0" applyFill="0" applyAlignment="0" applyProtection="0"/>
    <xf numFmtId="188" fontId="213" fillId="0" borderId="2" applyNumberFormat="0" applyFill="0" applyAlignment="0" applyProtection="0"/>
    <xf numFmtId="178" fontId="213" fillId="0" borderId="2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188" fontId="213" fillId="0" borderId="2" applyNumberFormat="0" applyFill="0" applyAlignment="0" applyProtection="0"/>
    <xf numFmtId="178" fontId="213" fillId="0" borderId="2" applyNumberFormat="0" applyFill="0" applyAlignment="0" applyProtection="0"/>
    <xf numFmtId="188" fontId="213" fillId="0" borderId="2" applyNumberFormat="0" applyFill="0" applyAlignment="0" applyProtection="0"/>
    <xf numFmtId="178" fontId="213" fillId="0" borderId="2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188" fontId="4" fillId="0" borderId="2" applyNumberFormat="0" applyFill="0" applyAlignment="0" applyProtection="0"/>
    <xf numFmtId="178" fontId="4" fillId="0" borderId="2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188" fontId="213" fillId="0" borderId="2" applyNumberFormat="0" applyFill="0" applyAlignment="0" applyProtection="0"/>
    <xf numFmtId="178" fontId="213" fillId="0" borderId="2" applyNumberFormat="0" applyFill="0" applyAlignment="0" applyProtection="0"/>
    <xf numFmtId="188" fontId="213" fillId="0" borderId="2" applyNumberFormat="0" applyFill="0" applyAlignment="0" applyProtection="0"/>
    <xf numFmtId="178" fontId="213" fillId="0" borderId="2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188" fontId="213" fillId="0" borderId="2" applyNumberFormat="0" applyFill="0" applyAlignment="0" applyProtection="0"/>
    <xf numFmtId="178" fontId="213" fillId="0" borderId="2" applyNumberFormat="0" applyFill="0" applyAlignment="0" applyProtection="0"/>
    <xf numFmtId="188" fontId="213" fillId="0" borderId="2" applyNumberFormat="0" applyFill="0" applyAlignment="0" applyProtection="0"/>
    <xf numFmtId="178" fontId="213" fillId="0" borderId="2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188" fontId="213" fillId="0" borderId="2" applyNumberFormat="0" applyFill="0" applyAlignment="0" applyProtection="0"/>
    <xf numFmtId="178" fontId="213" fillId="0" borderId="2" applyNumberFormat="0" applyFill="0" applyAlignment="0" applyProtection="0"/>
    <xf numFmtId="188" fontId="213" fillId="0" borderId="2" applyNumberFormat="0" applyFill="0" applyAlignment="0" applyProtection="0"/>
    <xf numFmtId="178" fontId="213" fillId="0" borderId="2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188" fontId="213" fillId="0" borderId="2" applyNumberFormat="0" applyFill="0" applyAlignment="0" applyProtection="0"/>
    <xf numFmtId="178" fontId="213" fillId="0" borderId="2" applyNumberFormat="0" applyFill="0" applyAlignment="0" applyProtection="0"/>
    <xf numFmtId="188" fontId="213" fillId="0" borderId="2" applyNumberFormat="0" applyFill="0" applyAlignment="0" applyProtection="0"/>
    <xf numFmtId="178" fontId="213" fillId="0" borderId="2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1" fillId="0" borderId="60" applyNumberFormat="0" applyFill="0" applyAlignment="0" applyProtection="0"/>
    <xf numFmtId="0" fontId="211" fillId="0" borderId="60" applyNumberFormat="0" applyFill="0" applyAlignment="0" applyProtection="0"/>
    <xf numFmtId="178" fontId="211" fillId="0" borderId="60" applyNumberFormat="0" applyFill="0" applyAlignment="0" applyProtection="0"/>
    <xf numFmtId="178" fontId="211" fillId="0" borderId="60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78" fontId="5" fillId="0" borderId="3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78" fontId="5" fillId="0" borderId="3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78" fontId="5" fillId="0" borderId="3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78" fontId="5" fillId="0" borderId="3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78" fontId="5" fillId="0" borderId="3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78" fontId="5" fillId="0" borderId="3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78" fontId="5" fillId="0" borderId="3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78" fontId="5" fillId="0" borderId="3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78" fontId="5" fillId="0" borderId="3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78" fontId="5" fillId="0" borderId="3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78" fontId="5" fillId="0" borderId="3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78" fontId="5" fillId="0" borderId="3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78" fontId="5" fillId="0" borderId="3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78" fontId="5" fillId="0" borderId="3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78" fontId="5" fillId="0" borderId="3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78" fontId="5" fillId="0" borderId="3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78" fontId="5" fillId="0" borderId="3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78" fontId="5" fillId="0" borderId="3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78" fontId="5" fillId="0" borderId="3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78" fontId="5" fillId="0" borderId="3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78" fontId="5" fillId="0" borderId="3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78" fontId="5" fillId="0" borderId="3" applyNumberFormat="0" applyFill="0" applyAlignment="0" applyProtection="0"/>
    <xf numFmtId="188" fontId="5" fillId="0" borderId="3" applyNumberFormat="0" applyFill="0" applyAlignment="0" applyProtection="0"/>
    <xf numFmtId="178" fontId="5" fillId="0" borderId="3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5" fillId="0" borderId="3" applyNumberFormat="0" applyFill="0" applyAlignment="0" applyProtection="0"/>
    <xf numFmtId="178" fontId="5" fillId="0" borderId="3" applyNumberFormat="0" applyFill="0" applyAlignment="0" applyProtection="0"/>
    <xf numFmtId="188" fontId="5" fillId="0" borderId="3" applyNumberFormat="0" applyFill="0" applyAlignment="0" applyProtection="0"/>
    <xf numFmtId="178" fontId="5" fillId="0" borderId="3" applyNumberFormat="0" applyFill="0" applyAlignment="0" applyProtection="0"/>
    <xf numFmtId="188" fontId="5" fillId="0" borderId="3" applyNumberFormat="0" applyFill="0" applyAlignment="0" applyProtection="0"/>
    <xf numFmtId="178" fontId="5" fillId="0" borderId="3" applyNumberFormat="0" applyFill="0" applyAlignment="0" applyProtection="0"/>
    <xf numFmtId="188" fontId="5" fillId="0" borderId="3" applyNumberFormat="0" applyFill="0" applyAlignment="0" applyProtection="0"/>
    <xf numFmtId="178" fontId="5" fillId="0" borderId="3" applyNumberFormat="0" applyFill="0" applyAlignment="0" applyProtection="0"/>
    <xf numFmtId="188" fontId="5" fillId="0" borderId="3" applyNumberFormat="0" applyFill="0" applyAlignment="0" applyProtection="0"/>
    <xf numFmtId="178" fontId="5" fillId="0" borderId="3" applyNumberFormat="0" applyFill="0" applyAlignment="0" applyProtection="0"/>
    <xf numFmtId="188" fontId="5" fillId="0" borderId="3" applyNumberFormat="0" applyFill="0" applyAlignment="0" applyProtection="0"/>
    <xf numFmtId="178" fontId="5" fillId="0" borderId="3" applyNumberFormat="0" applyFill="0" applyAlignment="0" applyProtection="0"/>
    <xf numFmtId="188" fontId="5" fillId="0" borderId="3" applyNumberFormat="0" applyFill="0" applyAlignment="0" applyProtection="0"/>
    <xf numFmtId="178" fontId="5" fillId="0" borderId="3" applyNumberFormat="0" applyFill="0" applyAlignment="0" applyProtection="0"/>
    <xf numFmtId="188" fontId="5" fillId="0" borderId="3" applyNumberFormat="0" applyFill="0" applyAlignment="0" applyProtection="0"/>
    <xf numFmtId="178" fontId="5" fillId="0" borderId="3" applyNumberFormat="0" applyFill="0" applyAlignment="0" applyProtection="0"/>
    <xf numFmtId="188" fontId="5" fillId="0" borderId="3" applyNumberFormat="0" applyFill="0" applyAlignment="0" applyProtection="0"/>
    <xf numFmtId="178" fontId="5" fillId="0" borderId="3" applyNumberFormat="0" applyFill="0" applyAlignment="0" applyProtection="0"/>
    <xf numFmtId="188" fontId="5" fillId="0" borderId="3" applyNumberFormat="0" applyFill="0" applyAlignment="0" applyProtection="0"/>
    <xf numFmtId="178" fontId="5" fillId="0" borderId="3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5" fillId="0" borderId="3" applyNumberFormat="0" applyFill="0" applyAlignment="0" applyProtection="0"/>
    <xf numFmtId="178" fontId="5" fillId="0" borderId="3" applyNumberFormat="0" applyFill="0" applyAlignment="0" applyProtection="0"/>
    <xf numFmtId="188" fontId="5" fillId="0" borderId="3" applyNumberFormat="0" applyFill="0" applyAlignment="0" applyProtection="0"/>
    <xf numFmtId="178" fontId="5" fillId="0" borderId="3" applyNumberFormat="0" applyFill="0" applyAlignment="0" applyProtection="0"/>
    <xf numFmtId="188" fontId="5" fillId="0" borderId="3" applyNumberFormat="0" applyFill="0" applyAlignment="0" applyProtection="0"/>
    <xf numFmtId="178" fontId="5" fillId="0" borderId="3" applyNumberFormat="0" applyFill="0" applyAlignment="0" applyProtection="0"/>
    <xf numFmtId="188" fontId="5" fillId="0" borderId="3" applyNumberFormat="0" applyFill="0" applyAlignment="0" applyProtection="0"/>
    <xf numFmtId="178" fontId="5" fillId="0" borderId="3" applyNumberFormat="0" applyFill="0" applyAlignment="0" applyProtection="0"/>
    <xf numFmtId="188" fontId="5" fillId="0" borderId="3" applyNumberFormat="0" applyFill="0" applyAlignment="0" applyProtection="0"/>
    <xf numFmtId="178" fontId="5" fillId="0" borderId="3" applyNumberFormat="0" applyFill="0" applyAlignment="0" applyProtection="0"/>
    <xf numFmtId="188" fontId="5" fillId="0" borderId="3" applyNumberFormat="0" applyFill="0" applyAlignment="0" applyProtection="0"/>
    <xf numFmtId="178" fontId="5" fillId="0" borderId="3" applyNumberFormat="0" applyFill="0" applyAlignment="0" applyProtection="0"/>
    <xf numFmtId="188" fontId="5" fillId="0" borderId="3" applyNumberFormat="0" applyFill="0" applyAlignment="0" applyProtection="0"/>
    <xf numFmtId="178" fontId="5" fillId="0" borderId="3" applyNumberFormat="0" applyFill="0" applyAlignment="0" applyProtection="0"/>
    <xf numFmtId="188" fontId="5" fillId="0" borderId="3" applyNumberFormat="0" applyFill="0" applyAlignment="0" applyProtection="0"/>
    <xf numFmtId="178" fontId="5" fillId="0" borderId="3" applyNumberFormat="0" applyFill="0" applyAlignment="0" applyProtection="0"/>
    <xf numFmtId="188" fontId="5" fillId="0" borderId="3" applyNumberFormat="0" applyFill="0" applyAlignment="0" applyProtection="0"/>
    <xf numFmtId="178" fontId="5" fillId="0" borderId="3" applyNumberFormat="0" applyFill="0" applyAlignment="0" applyProtection="0"/>
    <xf numFmtId="188" fontId="5" fillId="0" borderId="3" applyNumberFormat="0" applyFill="0" applyAlignment="0" applyProtection="0"/>
    <xf numFmtId="178" fontId="5" fillId="0" borderId="3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5" fillId="0" borderId="3" applyNumberFormat="0" applyFill="0" applyAlignment="0" applyProtection="0"/>
    <xf numFmtId="178" fontId="5" fillId="0" borderId="3" applyNumberFormat="0" applyFill="0" applyAlignment="0" applyProtection="0"/>
    <xf numFmtId="188" fontId="5" fillId="0" borderId="3" applyNumberFormat="0" applyFill="0" applyAlignment="0" applyProtection="0"/>
    <xf numFmtId="178" fontId="5" fillId="0" borderId="3" applyNumberFormat="0" applyFill="0" applyAlignment="0" applyProtection="0"/>
    <xf numFmtId="188" fontId="5" fillId="0" borderId="3" applyNumberFormat="0" applyFill="0" applyAlignment="0" applyProtection="0"/>
    <xf numFmtId="178" fontId="5" fillId="0" borderId="3" applyNumberFormat="0" applyFill="0" applyAlignment="0" applyProtection="0"/>
    <xf numFmtId="188" fontId="5" fillId="0" borderId="3" applyNumberFormat="0" applyFill="0" applyAlignment="0" applyProtection="0"/>
    <xf numFmtId="178" fontId="5" fillId="0" borderId="3" applyNumberFormat="0" applyFill="0" applyAlignment="0" applyProtection="0"/>
    <xf numFmtId="188" fontId="5" fillId="0" borderId="3" applyNumberFormat="0" applyFill="0" applyAlignment="0" applyProtection="0"/>
    <xf numFmtId="178" fontId="5" fillId="0" borderId="3" applyNumberFormat="0" applyFill="0" applyAlignment="0" applyProtection="0"/>
    <xf numFmtId="188" fontId="5" fillId="0" borderId="3" applyNumberFormat="0" applyFill="0" applyAlignment="0" applyProtection="0"/>
    <xf numFmtId="178" fontId="5" fillId="0" borderId="3" applyNumberFormat="0" applyFill="0" applyAlignment="0" applyProtection="0"/>
    <xf numFmtId="188" fontId="5" fillId="0" borderId="3" applyNumberFormat="0" applyFill="0" applyAlignment="0" applyProtection="0"/>
    <xf numFmtId="178" fontId="5" fillId="0" borderId="3" applyNumberFormat="0" applyFill="0" applyAlignment="0" applyProtection="0"/>
    <xf numFmtId="188" fontId="5" fillId="0" borderId="3" applyNumberFormat="0" applyFill="0" applyAlignment="0" applyProtection="0"/>
    <xf numFmtId="178" fontId="5" fillId="0" borderId="3" applyNumberFormat="0" applyFill="0" applyAlignment="0" applyProtection="0"/>
    <xf numFmtId="188" fontId="5" fillId="0" borderId="3" applyNumberFormat="0" applyFill="0" applyAlignment="0" applyProtection="0"/>
    <xf numFmtId="178" fontId="5" fillId="0" borderId="3" applyNumberFormat="0" applyFill="0" applyAlignment="0" applyProtection="0"/>
    <xf numFmtId="188" fontId="5" fillId="0" borderId="3" applyNumberFormat="0" applyFill="0" applyAlignment="0" applyProtection="0"/>
    <xf numFmtId="178" fontId="5" fillId="0" borderId="3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5" fillId="0" borderId="3" applyNumberFormat="0" applyFill="0" applyAlignment="0" applyProtection="0"/>
    <xf numFmtId="178" fontId="5" fillId="0" borderId="3" applyNumberFormat="0" applyFill="0" applyAlignment="0" applyProtection="0"/>
    <xf numFmtId="188" fontId="5" fillId="0" borderId="3" applyNumberFormat="0" applyFill="0" applyAlignment="0" applyProtection="0"/>
    <xf numFmtId="178" fontId="5" fillId="0" borderId="3" applyNumberFormat="0" applyFill="0" applyAlignment="0" applyProtection="0"/>
    <xf numFmtId="188" fontId="5" fillId="0" borderId="3" applyNumberFormat="0" applyFill="0" applyAlignment="0" applyProtection="0"/>
    <xf numFmtId="178" fontId="5" fillId="0" borderId="3" applyNumberFormat="0" applyFill="0" applyAlignment="0" applyProtection="0"/>
    <xf numFmtId="188" fontId="5" fillId="0" borderId="3" applyNumberFormat="0" applyFill="0" applyAlignment="0" applyProtection="0"/>
    <xf numFmtId="178" fontId="5" fillId="0" borderId="3" applyNumberFormat="0" applyFill="0" applyAlignment="0" applyProtection="0"/>
    <xf numFmtId="188" fontId="5" fillId="0" borderId="3" applyNumberFormat="0" applyFill="0" applyAlignment="0" applyProtection="0"/>
    <xf numFmtId="178" fontId="5" fillId="0" borderId="3" applyNumberFormat="0" applyFill="0" applyAlignment="0" applyProtection="0"/>
    <xf numFmtId="188" fontId="5" fillId="0" borderId="3" applyNumberFormat="0" applyFill="0" applyAlignment="0" applyProtection="0"/>
    <xf numFmtId="178" fontId="5" fillId="0" borderId="3" applyNumberFormat="0" applyFill="0" applyAlignment="0" applyProtection="0"/>
    <xf numFmtId="188" fontId="5" fillId="0" borderId="3" applyNumberFormat="0" applyFill="0" applyAlignment="0" applyProtection="0"/>
    <xf numFmtId="178" fontId="5" fillId="0" borderId="3" applyNumberFormat="0" applyFill="0" applyAlignment="0" applyProtection="0"/>
    <xf numFmtId="188" fontId="5" fillId="0" borderId="3" applyNumberFormat="0" applyFill="0" applyAlignment="0" applyProtection="0"/>
    <xf numFmtId="178" fontId="5" fillId="0" borderId="3" applyNumberFormat="0" applyFill="0" applyAlignment="0" applyProtection="0"/>
    <xf numFmtId="188" fontId="5" fillId="0" borderId="3" applyNumberFormat="0" applyFill="0" applyAlignment="0" applyProtection="0"/>
    <xf numFmtId="178" fontId="5" fillId="0" borderId="3" applyNumberFormat="0" applyFill="0" applyAlignment="0" applyProtection="0"/>
    <xf numFmtId="0" fontId="214" fillId="0" borderId="62" applyNumberFormat="0" applyFill="0" applyAlignment="0" applyProtection="0"/>
    <xf numFmtId="188" fontId="188" fillId="0" borderId="63" applyNumberFormat="0" applyFill="0" applyAlignment="0" applyProtection="0"/>
    <xf numFmtId="188" fontId="5" fillId="0" borderId="3" applyNumberFormat="0" applyFill="0" applyAlignment="0" applyProtection="0"/>
    <xf numFmtId="188" fontId="188" fillId="0" borderId="63" applyNumberFormat="0" applyFill="0" applyAlignment="0" applyProtection="0"/>
    <xf numFmtId="188" fontId="215" fillId="0" borderId="3" applyNumberFormat="0" applyFill="0" applyAlignment="0" applyProtection="0"/>
    <xf numFmtId="178" fontId="215" fillId="0" borderId="3" applyNumberFormat="0" applyFill="0" applyAlignment="0" applyProtection="0"/>
    <xf numFmtId="188" fontId="188" fillId="0" borderId="63" applyNumberFormat="0" applyFill="0" applyAlignment="0" applyProtection="0"/>
    <xf numFmtId="178" fontId="188" fillId="0" borderId="63" applyNumberFormat="0" applyFill="0" applyAlignment="0" applyProtection="0"/>
    <xf numFmtId="178" fontId="5" fillId="0" borderId="3" applyNumberFormat="0" applyFill="0" applyAlignment="0" applyProtection="0"/>
    <xf numFmtId="188" fontId="5" fillId="0" borderId="3" applyNumberFormat="0" applyFill="0" applyAlignment="0" applyProtection="0"/>
    <xf numFmtId="178" fontId="5" fillId="0" borderId="3" applyNumberFormat="0" applyFill="0" applyAlignment="0" applyProtection="0"/>
    <xf numFmtId="188" fontId="5" fillId="0" borderId="3" applyNumberFormat="0" applyFill="0" applyAlignment="0" applyProtection="0"/>
    <xf numFmtId="178" fontId="5" fillId="0" borderId="3" applyNumberFormat="0" applyFill="0" applyAlignment="0" applyProtection="0"/>
    <xf numFmtId="188" fontId="188" fillId="0" borderId="63" applyNumberFormat="0" applyFill="0" applyAlignment="0" applyProtection="0"/>
    <xf numFmtId="178" fontId="188" fillId="0" borderId="63" applyNumberFormat="0" applyFill="0" applyAlignment="0" applyProtection="0"/>
    <xf numFmtId="188" fontId="188" fillId="0" borderId="63" applyNumberFormat="0" applyFill="0" applyAlignment="0" applyProtection="0"/>
    <xf numFmtId="188" fontId="188" fillId="0" borderId="63" applyNumberFormat="0" applyFill="0" applyAlignment="0" applyProtection="0"/>
    <xf numFmtId="178" fontId="188" fillId="0" borderId="63" applyNumberFormat="0" applyFill="0" applyAlignment="0" applyProtection="0"/>
    <xf numFmtId="188" fontId="188" fillId="0" borderId="63" applyNumberFormat="0" applyFill="0" applyAlignment="0" applyProtection="0"/>
    <xf numFmtId="188" fontId="188" fillId="0" borderId="63" applyNumberFormat="0" applyFill="0" applyAlignment="0" applyProtection="0"/>
    <xf numFmtId="178" fontId="188" fillId="0" borderId="63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188" fontId="215" fillId="0" borderId="3" applyNumberFormat="0" applyFill="0" applyAlignment="0" applyProtection="0"/>
    <xf numFmtId="178" fontId="215" fillId="0" borderId="3" applyNumberFormat="0" applyFill="0" applyAlignment="0" applyProtection="0"/>
    <xf numFmtId="188" fontId="215" fillId="0" borderId="3" applyNumberFormat="0" applyFill="0" applyAlignment="0" applyProtection="0"/>
    <xf numFmtId="178" fontId="215" fillId="0" borderId="3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188" fontId="215" fillId="0" borderId="3" applyNumberFormat="0" applyFill="0" applyAlignment="0" applyProtection="0"/>
    <xf numFmtId="178" fontId="215" fillId="0" borderId="3" applyNumberFormat="0" applyFill="0" applyAlignment="0" applyProtection="0"/>
    <xf numFmtId="188" fontId="215" fillId="0" borderId="3" applyNumberFormat="0" applyFill="0" applyAlignment="0" applyProtection="0"/>
    <xf numFmtId="178" fontId="215" fillId="0" borderId="3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188" fontId="215" fillId="0" borderId="3" applyNumberFormat="0" applyFill="0" applyAlignment="0" applyProtection="0"/>
    <xf numFmtId="178" fontId="215" fillId="0" borderId="3" applyNumberFormat="0" applyFill="0" applyAlignment="0" applyProtection="0"/>
    <xf numFmtId="188" fontId="215" fillId="0" borderId="3" applyNumberFormat="0" applyFill="0" applyAlignment="0" applyProtection="0"/>
    <xf numFmtId="178" fontId="215" fillId="0" borderId="3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188" fontId="5" fillId="0" borderId="3" applyNumberFormat="0" applyFill="0" applyAlignment="0" applyProtection="0"/>
    <xf numFmtId="178" fontId="5" fillId="0" borderId="3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188" fontId="215" fillId="0" borderId="3" applyNumberFormat="0" applyFill="0" applyAlignment="0" applyProtection="0"/>
    <xf numFmtId="178" fontId="215" fillId="0" borderId="3" applyNumberFormat="0" applyFill="0" applyAlignment="0" applyProtection="0"/>
    <xf numFmtId="188" fontId="215" fillId="0" borderId="3" applyNumberFormat="0" applyFill="0" applyAlignment="0" applyProtection="0"/>
    <xf numFmtId="178" fontId="215" fillId="0" borderId="3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188" fontId="215" fillId="0" borderId="3" applyNumberFormat="0" applyFill="0" applyAlignment="0" applyProtection="0"/>
    <xf numFmtId="178" fontId="215" fillId="0" borderId="3" applyNumberFormat="0" applyFill="0" applyAlignment="0" applyProtection="0"/>
    <xf numFmtId="188" fontId="215" fillId="0" borderId="3" applyNumberFormat="0" applyFill="0" applyAlignment="0" applyProtection="0"/>
    <xf numFmtId="178" fontId="215" fillId="0" borderId="3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188" fontId="215" fillId="0" borderId="3" applyNumberFormat="0" applyFill="0" applyAlignment="0" applyProtection="0"/>
    <xf numFmtId="178" fontId="215" fillId="0" borderId="3" applyNumberFormat="0" applyFill="0" applyAlignment="0" applyProtection="0"/>
    <xf numFmtId="188" fontId="215" fillId="0" borderId="3" applyNumberFormat="0" applyFill="0" applyAlignment="0" applyProtection="0"/>
    <xf numFmtId="178" fontId="215" fillId="0" borderId="3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188" fontId="215" fillId="0" borderId="3" applyNumberFormat="0" applyFill="0" applyAlignment="0" applyProtection="0"/>
    <xf numFmtId="178" fontId="215" fillId="0" borderId="3" applyNumberFormat="0" applyFill="0" applyAlignment="0" applyProtection="0"/>
    <xf numFmtId="188" fontId="215" fillId="0" borderId="3" applyNumberFormat="0" applyFill="0" applyAlignment="0" applyProtection="0"/>
    <xf numFmtId="178" fontId="215" fillId="0" borderId="3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62" applyNumberFormat="0" applyFill="0" applyAlignment="0" applyProtection="0"/>
    <xf numFmtId="0" fontId="214" fillId="0" borderId="62" applyNumberFormat="0" applyFill="0" applyAlignment="0" applyProtection="0"/>
    <xf numFmtId="178" fontId="214" fillId="0" borderId="62" applyNumberFormat="0" applyFill="0" applyAlignment="0" applyProtection="0"/>
    <xf numFmtId="188" fontId="214" fillId="0" borderId="62" applyNumberFormat="0" applyFill="0" applyAlignment="0" applyProtection="0"/>
    <xf numFmtId="178" fontId="214" fillId="0" borderId="62" applyNumberFormat="0" applyFill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188" fontId="5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88" fontId="5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188" fontId="5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188" fontId="5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188" fontId="5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188" fontId="5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188" fontId="5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188" fontId="5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188" fontId="5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188" fontId="5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188" fontId="5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88" fontId="5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188" fontId="5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188" fontId="5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188" fontId="5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188" fontId="5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188" fontId="5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188" fontId="5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188" fontId="5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188" fontId="5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188" fontId="5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88" fontId="5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188" fontId="5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188" fontId="5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188" fontId="5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188" fontId="5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188" fontId="5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188" fontId="5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188" fontId="5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188" fontId="5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188" fontId="5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88" fontId="5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188" fontId="5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188" fontId="5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188" fontId="5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188" fontId="5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188" fontId="5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188" fontId="5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188" fontId="5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188" fontId="5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88" fontId="188" fillId="0" borderId="0" applyNumberFormat="0" applyFill="0" applyBorder="0" applyAlignment="0" applyProtection="0"/>
    <xf numFmtId="188" fontId="5" fillId="0" borderId="0" applyNumberFormat="0" applyFill="0" applyBorder="0" applyAlignment="0" applyProtection="0"/>
    <xf numFmtId="188" fontId="188" fillId="0" borderId="0" applyNumberFormat="0" applyFill="0" applyBorder="0" applyAlignment="0" applyProtection="0"/>
    <xf numFmtId="188" fontId="215" fillId="0" borderId="0" applyNumberFormat="0" applyFill="0" applyBorder="0" applyAlignment="0" applyProtection="0"/>
    <xf numFmtId="178" fontId="215" fillId="0" borderId="0" applyNumberFormat="0" applyFill="0" applyBorder="0" applyAlignment="0" applyProtection="0"/>
    <xf numFmtId="178" fontId="188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188" fontId="5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188" fontId="5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178" fontId="188" fillId="0" borderId="0" applyNumberFormat="0" applyFill="0" applyBorder="0" applyAlignment="0" applyProtection="0"/>
    <xf numFmtId="188" fontId="188" fillId="0" borderId="0" applyNumberFormat="0" applyFill="0" applyBorder="0" applyAlignment="0" applyProtection="0"/>
    <xf numFmtId="178" fontId="188" fillId="0" borderId="0" applyNumberFormat="0" applyFill="0" applyBorder="0" applyAlignment="0" applyProtection="0"/>
    <xf numFmtId="188" fontId="188" fillId="0" borderId="0" applyNumberFormat="0" applyFill="0" applyBorder="0" applyAlignment="0" applyProtection="0"/>
    <xf numFmtId="178" fontId="188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88" fontId="215" fillId="0" borderId="0" applyNumberFormat="0" applyFill="0" applyBorder="0" applyAlignment="0" applyProtection="0"/>
    <xf numFmtId="178" fontId="215" fillId="0" borderId="0" applyNumberFormat="0" applyFill="0" applyBorder="0" applyAlignment="0" applyProtection="0"/>
    <xf numFmtId="188" fontId="215" fillId="0" borderId="0" applyNumberFormat="0" applyFill="0" applyBorder="0" applyAlignment="0" applyProtection="0"/>
    <xf numFmtId="178" fontId="215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88" fontId="215" fillId="0" borderId="0" applyNumberFormat="0" applyFill="0" applyBorder="0" applyAlignment="0" applyProtection="0"/>
    <xf numFmtId="178" fontId="215" fillId="0" borderId="0" applyNumberFormat="0" applyFill="0" applyBorder="0" applyAlignment="0" applyProtection="0"/>
    <xf numFmtId="188" fontId="215" fillId="0" borderId="0" applyNumberFormat="0" applyFill="0" applyBorder="0" applyAlignment="0" applyProtection="0"/>
    <xf numFmtId="178" fontId="215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88" fontId="215" fillId="0" borderId="0" applyNumberFormat="0" applyFill="0" applyBorder="0" applyAlignment="0" applyProtection="0"/>
    <xf numFmtId="178" fontId="215" fillId="0" borderId="0" applyNumberFormat="0" applyFill="0" applyBorder="0" applyAlignment="0" applyProtection="0"/>
    <xf numFmtId="188" fontId="215" fillId="0" borderId="0" applyNumberFormat="0" applyFill="0" applyBorder="0" applyAlignment="0" applyProtection="0"/>
    <xf numFmtId="178" fontId="215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88" fontId="5" fillId="0" borderId="0" applyNumberFormat="0" applyFill="0" applyBorder="0" applyAlignment="0" applyProtection="0"/>
    <xf numFmtId="178" fontId="5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88" fontId="215" fillId="0" borderId="0" applyNumberFormat="0" applyFill="0" applyBorder="0" applyAlignment="0" applyProtection="0"/>
    <xf numFmtId="178" fontId="215" fillId="0" borderId="0" applyNumberFormat="0" applyFill="0" applyBorder="0" applyAlignment="0" applyProtection="0"/>
    <xf numFmtId="188" fontId="215" fillId="0" borderId="0" applyNumberFormat="0" applyFill="0" applyBorder="0" applyAlignment="0" applyProtection="0"/>
    <xf numFmtId="178" fontId="215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88" fontId="215" fillId="0" borderId="0" applyNumberFormat="0" applyFill="0" applyBorder="0" applyAlignment="0" applyProtection="0"/>
    <xf numFmtId="178" fontId="215" fillId="0" borderId="0" applyNumberFormat="0" applyFill="0" applyBorder="0" applyAlignment="0" applyProtection="0"/>
    <xf numFmtId="188" fontId="215" fillId="0" borderId="0" applyNumberFormat="0" applyFill="0" applyBorder="0" applyAlignment="0" applyProtection="0"/>
    <xf numFmtId="178" fontId="215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88" fontId="215" fillId="0" borderId="0" applyNumberFormat="0" applyFill="0" applyBorder="0" applyAlignment="0" applyProtection="0"/>
    <xf numFmtId="178" fontId="215" fillId="0" borderId="0" applyNumberFormat="0" applyFill="0" applyBorder="0" applyAlignment="0" applyProtection="0"/>
    <xf numFmtId="188" fontId="215" fillId="0" borderId="0" applyNumberFormat="0" applyFill="0" applyBorder="0" applyAlignment="0" applyProtection="0"/>
    <xf numFmtId="178" fontId="215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88" fontId="215" fillId="0" borderId="0" applyNumberFormat="0" applyFill="0" applyBorder="0" applyAlignment="0" applyProtection="0"/>
    <xf numFmtId="178" fontId="215" fillId="0" borderId="0" applyNumberFormat="0" applyFill="0" applyBorder="0" applyAlignment="0" applyProtection="0"/>
    <xf numFmtId="188" fontId="215" fillId="0" borderId="0" applyNumberFormat="0" applyFill="0" applyBorder="0" applyAlignment="0" applyProtection="0"/>
    <xf numFmtId="178" fontId="215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0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178" fontId="214" fillId="0" borderId="0" applyNumberFormat="0" applyFill="0" applyBorder="0" applyAlignment="0" applyProtection="0"/>
    <xf numFmtId="0" fontId="18" fillId="0" borderId="0">
      <alignment horizontal="center"/>
    </xf>
    <xf numFmtId="0" fontId="18" fillId="0" borderId="0">
      <alignment horizontal="center"/>
    </xf>
    <xf numFmtId="178" fontId="18" fillId="0" borderId="0">
      <alignment horizontal="center"/>
    </xf>
    <xf numFmtId="178" fontId="18" fillId="0" borderId="0">
      <alignment horizontal="center"/>
    </xf>
    <xf numFmtId="0" fontId="18" fillId="0" borderId="0">
      <alignment horizontal="center"/>
    </xf>
    <xf numFmtId="178" fontId="18" fillId="0" borderId="0">
      <alignment horizontal="center"/>
    </xf>
    <xf numFmtId="0" fontId="18" fillId="0" borderId="0">
      <alignment horizontal="center"/>
    </xf>
    <xf numFmtId="178" fontId="18" fillId="0" borderId="0">
      <alignment horizontal="center"/>
    </xf>
    <xf numFmtId="0" fontId="18" fillId="0" borderId="0">
      <alignment horizontal="center"/>
    </xf>
    <xf numFmtId="178" fontId="18" fillId="0" borderId="0">
      <alignment horizontal="center"/>
    </xf>
    <xf numFmtId="0" fontId="18" fillId="0" borderId="0">
      <alignment horizontal="center"/>
    </xf>
    <xf numFmtId="178" fontId="18" fillId="0" borderId="0">
      <alignment horizontal="center"/>
    </xf>
    <xf numFmtId="0" fontId="165" fillId="0" borderId="0" applyFill="0" applyAlignment="0" applyProtection="0">
      <protection locked="0"/>
    </xf>
    <xf numFmtId="0" fontId="165" fillId="0" borderId="0" applyFill="0" applyAlignment="0" applyProtection="0">
      <protection locked="0"/>
    </xf>
    <xf numFmtId="178" fontId="165" fillId="0" borderId="0" applyFill="0" applyAlignment="0" applyProtection="0">
      <protection locked="0"/>
    </xf>
    <xf numFmtId="178" fontId="165" fillId="0" borderId="0" applyFill="0" applyAlignment="0" applyProtection="0">
      <protection locked="0"/>
    </xf>
    <xf numFmtId="0" fontId="165" fillId="0" borderId="20" applyFill="0" applyAlignment="0" applyProtection="0">
      <protection locked="0"/>
    </xf>
    <xf numFmtId="0" fontId="165" fillId="0" borderId="20" applyFill="0" applyAlignment="0" applyProtection="0">
      <protection locked="0"/>
    </xf>
    <xf numFmtId="178" fontId="165" fillId="0" borderId="20" applyFill="0" applyAlignment="0" applyProtection="0">
      <protection locked="0"/>
    </xf>
    <xf numFmtId="178" fontId="165" fillId="0" borderId="20" applyFill="0" applyAlignment="0" applyProtection="0">
      <protection locked="0"/>
    </xf>
    <xf numFmtId="247" fontId="18" fillId="0" borderId="0">
      <protection locked="0"/>
    </xf>
    <xf numFmtId="0" fontId="18" fillId="0" borderId="64"/>
    <xf numFmtId="0" fontId="18" fillId="0" borderId="64"/>
    <xf numFmtId="0" fontId="18" fillId="0" borderId="64"/>
    <xf numFmtId="178" fontId="18" fillId="0" borderId="64"/>
    <xf numFmtId="188" fontId="18" fillId="0" borderId="64"/>
    <xf numFmtId="178" fontId="18" fillId="0" borderId="64"/>
    <xf numFmtId="0" fontId="18" fillId="0" borderId="64"/>
    <xf numFmtId="0" fontId="18" fillId="0" borderId="64"/>
    <xf numFmtId="0" fontId="18" fillId="0" borderId="64"/>
    <xf numFmtId="178" fontId="18" fillId="0" borderId="64"/>
    <xf numFmtId="188" fontId="18" fillId="0" borderId="64"/>
    <xf numFmtId="178" fontId="18" fillId="0" borderId="64"/>
    <xf numFmtId="247" fontId="18" fillId="0" borderId="0">
      <protection locked="0"/>
    </xf>
    <xf numFmtId="0" fontId="18" fillId="0" borderId="65" applyNumberFormat="0" applyFill="0" applyBorder="0" applyAlignment="0" applyProtection="0">
      <alignment horizontal="left"/>
    </xf>
    <xf numFmtId="0" fontId="18" fillId="0" borderId="65" applyNumberFormat="0" applyFill="0" applyBorder="0" applyAlignment="0" applyProtection="0">
      <alignment horizontal="left"/>
    </xf>
    <xf numFmtId="0" fontId="18" fillId="0" borderId="65" applyNumberFormat="0" applyFill="0" applyBorder="0" applyAlignment="0" applyProtection="0">
      <alignment horizontal="left"/>
    </xf>
    <xf numFmtId="178" fontId="18" fillId="0" borderId="65" applyNumberFormat="0" applyFill="0" applyBorder="0" applyAlignment="0" applyProtection="0">
      <alignment horizontal="left"/>
    </xf>
    <xf numFmtId="178" fontId="18" fillId="0" borderId="65" applyNumberFormat="0" applyFill="0" applyBorder="0" applyAlignment="0" applyProtection="0">
      <alignment horizontal="left"/>
    </xf>
    <xf numFmtId="0" fontId="99" fillId="0" borderId="42">
      <alignment horizontal="center"/>
    </xf>
    <xf numFmtId="0" fontId="99" fillId="0" borderId="42">
      <alignment horizontal="center"/>
    </xf>
    <xf numFmtId="0" fontId="99" fillId="0" borderId="42">
      <alignment horizontal="center"/>
    </xf>
    <xf numFmtId="178" fontId="99" fillId="0" borderId="42">
      <alignment horizontal="center"/>
    </xf>
    <xf numFmtId="0" fontId="99" fillId="0" borderId="42">
      <alignment horizontal="center"/>
    </xf>
    <xf numFmtId="178" fontId="99" fillId="0" borderId="42">
      <alignment horizontal="center"/>
    </xf>
    <xf numFmtId="188" fontId="99" fillId="0" borderId="42">
      <alignment horizontal="center"/>
    </xf>
    <xf numFmtId="178" fontId="99" fillId="0" borderId="42">
      <alignment horizontal="center"/>
    </xf>
    <xf numFmtId="0" fontId="99" fillId="0" borderId="42">
      <alignment horizontal="center"/>
    </xf>
    <xf numFmtId="0" fontId="99" fillId="0" borderId="42">
      <alignment horizontal="center"/>
    </xf>
    <xf numFmtId="178" fontId="99" fillId="0" borderId="42">
      <alignment horizontal="center"/>
    </xf>
    <xf numFmtId="0" fontId="99" fillId="0" borderId="42">
      <alignment horizontal="center"/>
    </xf>
    <xf numFmtId="178" fontId="99" fillId="0" borderId="42">
      <alignment horizontal="center"/>
    </xf>
    <xf numFmtId="0" fontId="99" fillId="0" borderId="42">
      <alignment horizontal="center"/>
    </xf>
    <xf numFmtId="188" fontId="99" fillId="0" borderId="42">
      <alignment horizontal="center"/>
    </xf>
    <xf numFmtId="178" fontId="99" fillId="0" borderId="42">
      <alignment horizontal="center"/>
    </xf>
    <xf numFmtId="0" fontId="99" fillId="0" borderId="0">
      <alignment horizontal="center"/>
    </xf>
    <xf numFmtId="0" fontId="99" fillId="0" borderId="0">
      <alignment horizontal="center"/>
    </xf>
    <xf numFmtId="178" fontId="99" fillId="0" borderId="0">
      <alignment horizontal="center"/>
    </xf>
    <xf numFmtId="178" fontId="99" fillId="0" borderId="0">
      <alignment horizontal="center"/>
    </xf>
    <xf numFmtId="0" fontId="18" fillId="33" borderId="0" applyNumberFormat="0" applyBorder="0" applyAlignment="0" applyProtection="0">
      <protection locked="0"/>
    </xf>
    <xf numFmtId="0" fontId="18" fillId="33" borderId="0" applyNumberFormat="0" applyBorder="0" applyAlignment="0" applyProtection="0">
      <protection locked="0"/>
    </xf>
    <xf numFmtId="0" fontId="18" fillId="33" borderId="0" applyNumberFormat="0" applyBorder="0" applyAlignment="0" applyProtection="0">
      <protection locked="0"/>
    </xf>
    <xf numFmtId="178" fontId="18" fillId="33" borderId="0" applyNumberFormat="0" applyBorder="0" applyAlignment="0" applyProtection="0">
      <protection locked="0"/>
    </xf>
    <xf numFmtId="178" fontId="18" fillId="33" borderId="0" applyNumberFormat="0" applyBorder="0" applyAlignment="0" applyProtection="0">
      <protection locked="0"/>
    </xf>
    <xf numFmtId="279" fontId="216" fillId="0" borderId="0" applyNumberFormat="0" applyFill="0" applyBorder="0" applyAlignment="0">
      <protection locked="0" hidden="1"/>
    </xf>
    <xf numFmtId="279" fontId="216" fillId="0" borderId="0" applyNumberFormat="0" applyFill="0" applyBorder="0" applyAlignment="0">
      <protection locked="0" hidden="1"/>
    </xf>
    <xf numFmtId="279" fontId="216" fillId="0" borderId="0" applyNumberFormat="0" applyFill="0" applyBorder="0" applyAlignment="0">
      <protection locked="0" hidden="1"/>
    </xf>
    <xf numFmtId="0" fontId="18" fillId="0" borderId="0" applyNumberFormat="0" applyFill="0" applyBorder="0" applyAlignment="0" applyProtection="0">
      <alignment vertical="top"/>
      <protection locked="0"/>
    </xf>
    <xf numFmtId="0" fontId="217" fillId="0" borderId="0" applyNumberFormat="0" applyFill="0" applyBorder="0" applyAlignment="0" applyProtection="0">
      <alignment vertical="top"/>
      <protection locked="0"/>
    </xf>
    <xf numFmtId="188" fontId="218" fillId="0" borderId="0" applyNumberFormat="0" applyFill="0" applyBorder="0" applyAlignment="0" applyProtection="0">
      <alignment vertical="top"/>
      <protection locked="0"/>
    </xf>
    <xf numFmtId="178" fontId="218" fillId="0" borderId="0" applyNumberFormat="0" applyFill="0" applyBorder="0" applyAlignment="0" applyProtection="0">
      <alignment vertical="top"/>
      <protection locked="0"/>
    </xf>
    <xf numFmtId="188" fontId="151" fillId="0" borderId="0" applyNumberFormat="0" applyFill="0" applyBorder="0" applyAlignment="0" applyProtection="0">
      <alignment vertical="top"/>
      <protection locked="0"/>
    </xf>
    <xf numFmtId="178" fontId="151" fillId="0" borderId="0" applyNumberFormat="0" applyFill="0" applyBorder="0" applyAlignment="0" applyProtection="0">
      <alignment vertical="top"/>
      <protection locked="0"/>
    </xf>
    <xf numFmtId="0" fontId="219" fillId="0" borderId="0" applyNumberFormat="0" applyFill="0" applyBorder="0" applyAlignment="0" applyProtection="0">
      <alignment vertical="top"/>
      <protection locked="0"/>
    </xf>
    <xf numFmtId="0" fontId="220" fillId="0" borderId="0"/>
    <xf numFmtId="0" fontId="220" fillId="0" borderId="0"/>
    <xf numFmtId="178" fontId="220" fillId="0" borderId="0"/>
    <xf numFmtId="178" fontId="220" fillId="0" borderId="0"/>
    <xf numFmtId="0" fontId="221" fillId="0" borderId="0" applyFill="0" applyBorder="0" applyProtection="0">
      <alignment vertical="top"/>
    </xf>
    <xf numFmtId="0" fontId="221" fillId="0" borderId="0" applyFill="0" applyBorder="0" applyProtection="0">
      <alignment vertical="top"/>
    </xf>
    <xf numFmtId="178" fontId="221" fillId="0" borderId="0" applyFill="0" applyBorder="0" applyProtection="0">
      <alignment vertical="top"/>
    </xf>
    <xf numFmtId="178" fontId="221" fillId="0" borderId="0" applyFill="0" applyBorder="0" applyProtection="0">
      <alignment vertical="top"/>
    </xf>
    <xf numFmtId="280" fontId="18" fillId="78" borderId="21"/>
    <xf numFmtId="280" fontId="18" fillId="78" borderId="21"/>
    <xf numFmtId="280" fontId="18" fillId="78" borderId="21"/>
    <xf numFmtId="280" fontId="18" fillId="78" borderId="21"/>
    <xf numFmtId="280" fontId="18" fillId="78" borderId="21"/>
    <xf numFmtId="280" fontId="18" fillId="78" borderId="21"/>
    <xf numFmtId="280" fontId="18" fillId="78" borderId="21"/>
    <xf numFmtId="280" fontId="18" fillId="78" borderId="21"/>
    <xf numFmtId="280" fontId="18" fillId="78" borderId="21"/>
    <xf numFmtId="280" fontId="18" fillId="78" borderId="21"/>
    <xf numFmtId="280" fontId="18" fillId="78" borderId="21"/>
    <xf numFmtId="0" fontId="53" fillId="0" borderId="0" applyNumberFormat="0" applyFill="0" applyBorder="0" applyAlignment="0" applyProtection="0">
      <alignment vertical="top"/>
      <protection locked="0"/>
    </xf>
    <xf numFmtId="0" fontId="222" fillId="0" borderId="0" applyNumberFormat="0" applyFill="0" applyBorder="0" applyAlignment="0" applyProtection="0">
      <alignment vertical="top"/>
      <protection locked="0"/>
    </xf>
    <xf numFmtId="0" fontId="222" fillId="0" borderId="0" applyNumberFormat="0" applyFill="0" applyBorder="0" applyAlignment="0" applyProtection="0">
      <alignment vertical="top"/>
      <protection locked="0"/>
    </xf>
    <xf numFmtId="178" fontId="222" fillId="0" borderId="0" applyNumberFormat="0" applyFill="0" applyBorder="0" applyAlignment="0" applyProtection="0">
      <alignment vertical="top"/>
      <protection locked="0"/>
    </xf>
    <xf numFmtId="178" fontId="222" fillId="0" borderId="0" applyNumberFormat="0" applyFill="0" applyBorder="0" applyAlignment="0" applyProtection="0">
      <alignment vertical="top"/>
      <protection locked="0"/>
    </xf>
    <xf numFmtId="0" fontId="18" fillId="0" borderId="0"/>
    <xf numFmtId="0" fontId="18" fillId="0" borderId="0"/>
    <xf numFmtId="37" fontId="138" fillId="0" borderId="0" applyBorder="0"/>
    <xf numFmtId="0" fontId="145" fillId="65" borderId="0" applyNumberFormat="0" applyBorder="0" applyAlignment="0" applyProtection="0"/>
    <xf numFmtId="0" fontId="145" fillId="65" borderId="0" applyNumberFormat="0" applyBorder="0" applyAlignment="0" applyProtection="0"/>
    <xf numFmtId="178" fontId="145" fillId="65" borderId="0" applyNumberFormat="0" applyBorder="0" applyAlignment="0" applyProtection="0"/>
    <xf numFmtId="178" fontId="145" fillId="65" borderId="0" applyNumberFormat="0" applyBorder="0" applyAlignment="0" applyProtection="0"/>
    <xf numFmtId="0" fontId="145" fillId="65" borderId="0" applyNumberFormat="0" applyBorder="0" applyAlignment="0" applyProtection="0"/>
    <xf numFmtId="178" fontId="145" fillId="65" borderId="0" applyNumberFormat="0" applyBorder="0" applyAlignment="0" applyProtection="0"/>
    <xf numFmtId="178" fontId="145" fillId="65" borderId="0" applyNumberFormat="0" applyBorder="0" applyAlignment="0" applyProtection="0"/>
    <xf numFmtId="0" fontId="119" fillId="0" borderId="0" applyNumberFormat="0" applyFont="0" applyFill="0" applyBorder="0" applyAlignment="0" applyProtection="0"/>
    <xf numFmtId="0" fontId="95" fillId="0" borderId="0"/>
    <xf numFmtId="0" fontId="95" fillId="0" borderId="0"/>
    <xf numFmtId="178" fontId="95" fillId="0" borderId="0"/>
    <xf numFmtId="178" fontId="95" fillId="0" borderId="0"/>
    <xf numFmtId="189" fontId="18" fillId="0" borderId="0"/>
    <xf numFmtId="189" fontId="18" fillId="0" borderId="0"/>
    <xf numFmtId="189" fontId="18" fillId="0" borderId="0"/>
    <xf numFmtId="281" fontId="223" fillId="0" borderId="0"/>
    <xf numFmtId="10" fontId="38" fillId="57" borderId="21" applyNumberFormat="0" applyBorder="0" applyAlignment="0" applyProtection="0"/>
    <xf numFmtId="10" fontId="38" fillId="57" borderId="21" applyNumberFormat="0" applyBorder="0" applyAlignment="0" applyProtection="0"/>
    <xf numFmtId="10" fontId="38" fillId="57" borderId="21" applyNumberFormat="0" applyBorder="0" applyAlignment="0" applyProtection="0"/>
    <xf numFmtId="10" fontId="38" fillId="57" borderId="21" applyNumberFormat="0" applyBorder="0" applyAlignment="0" applyProtection="0"/>
    <xf numFmtId="10" fontId="38" fillId="57" borderId="21" applyNumberFormat="0" applyBorder="0" applyAlignment="0" applyProtection="0"/>
    <xf numFmtId="10" fontId="38" fillId="57" borderId="21" applyNumberFormat="0" applyBorder="0" applyAlignment="0" applyProtection="0"/>
    <xf numFmtId="10" fontId="38" fillId="57" borderId="21" applyNumberFormat="0" applyBorder="0" applyAlignment="0" applyProtection="0"/>
    <xf numFmtId="10" fontId="38" fillId="57" borderId="21" applyNumberFormat="0" applyBorder="0" applyAlignment="0" applyProtection="0"/>
    <xf numFmtId="10" fontId="38" fillId="57" borderId="21" applyNumberFormat="0" applyBorder="0" applyAlignment="0" applyProtection="0"/>
    <xf numFmtId="10" fontId="38" fillId="57" borderId="21" applyNumberFormat="0" applyBorder="0" applyAlignment="0" applyProtection="0"/>
    <xf numFmtId="10" fontId="38" fillId="57" borderId="21" applyNumberFormat="0" applyBorder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78" fontId="9" fillId="5" borderId="4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78" fontId="9" fillId="5" borderId="4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78" fontId="9" fillId="5" borderId="4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78" fontId="9" fillId="5" borderId="4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78" fontId="9" fillId="5" borderId="4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78" fontId="9" fillId="5" borderId="4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78" fontId="9" fillId="5" borderId="4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78" fontId="9" fillId="5" borderId="4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78" fontId="9" fillId="5" borderId="4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78" fontId="9" fillId="5" borderId="4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78" fontId="9" fillId="5" borderId="4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78" fontId="9" fillId="5" borderId="4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78" fontId="9" fillId="5" borderId="4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78" fontId="9" fillId="5" borderId="4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78" fontId="9" fillId="5" borderId="4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78" fontId="9" fillId="5" borderId="4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78" fontId="9" fillId="5" borderId="4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78" fontId="9" fillId="5" borderId="4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78" fontId="9" fillId="5" borderId="4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78" fontId="9" fillId="5" borderId="4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78" fontId="9" fillId="5" borderId="4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78" fontId="9" fillId="5" borderId="4" applyNumberFormat="0" applyAlignment="0" applyProtection="0"/>
    <xf numFmtId="188" fontId="9" fillId="5" borderId="4" applyNumberFormat="0" applyAlignment="0" applyProtection="0"/>
    <xf numFmtId="178" fontId="9" fillId="5" borderId="4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188" fontId="9" fillId="5" borderId="4" applyNumberFormat="0" applyAlignment="0" applyProtection="0"/>
    <xf numFmtId="178" fontId="9" fillId="5" borderId="4" applyNumberFormat="0" applyAlignment="0" applyProtection="0"/>
    <xf numFmtId="188" fontId="9" fillId="5" borderId="4" applyNumberFormat="0" applyAlignment="0" applyProtection="0"/>
    <xf numFmtId="178" fontId="9" fillId="5" borderId="4" applyNumberFormat="0" applyAlignment="0" applyProtection="0"/>
    <xf numFmtId="188" fontId="9" fillId="5" borderId="4" applyNumberFormat="0" applyAlignment="0" applyProtection="0"/>
    <xf numFmtId="178" fontId="9" fillId="5" borderId="4" applyNumberFormat="0" applyAlignment="0" applyProtection="0"/>
    <xf numFmtId="188" fontId="9" fillId="5" borderId="4" applyNumberFormat="0" applyAlignment="0" applyProtection="0"/>
    <xf numFmtId="178" fontId="9" fillId="5" borderId="4" applyNumberFormat="0" applyAlignment="0" applyProtection="0"/>
    <xf numFmtId="188" fontId="9" fillId="5" borderId="4" applyNumberFormat="0" applyAlignment="0" applyProtection="0"/>
    <xf numFmtId="178" fontId="9" fillId="5" borderId="4" applyNumberFormat="0" applyAlignment="0" applyProtection="0"/>
    <xf numFmtId="188" fontId="9" fillId="5" borderId="4" applyNumberFormat="0" applyAlignment="0" applyProtection="0"/>
    <xf numFmtId="178" fontId="9" fillId="5" borderId="4" applyNumberFormat="0" applyAlignment="0" applyProtection="0"/>
    <xf numFmtId="188" fontId="9" fillId="5" borderId="4" applyNumberFormat="0" applyAlignment="0" applyProtection="0"/>
    <xf numFmtId="178" fontId="9" fillId="5" borderId="4" applyNumberFormat="0" applyAlignment="0" applyProtection="0"/>
    <xf numFmtId="188" fontId="9" fillId="5" borderId="4" applyNumberFormat="0" applyAlignment="0" applyProtection="0"/>
    <xf numFmtId="178" fontId="9" fillId="5" borderId="4" applyNumberFormat="0" applyAlignment="0" applyProtection="0"/>
    <xf numFmtId="188" fontId="9" fillId="5" borderId="4" applyNumberFormat="0" applyAlignment="0" applyProtection="0"/>
    <xf numFmtId="178" fontId="9" fillId="5" borderId="4" applyNumberFormat="0" applyAlignment="0" applyProtection="0"/>
    <xf numFmtId="188" fontId="9" fillId="5" borderId="4" applyNumberFormat="0" applyAlignment="0" applyProtection="0"/>
    <xf numFmtId="178" fontId="9" fillId="5" borderId="4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188" fontId="9" fillId="5" borderId="4" applyNumberFormat="0" applyAlignment="0" applyProtection="0"/>
    <xf numFmtId="178" fontId="9" fillId="5" borderId="4" applyNumberFormat="0" applyAlignment="0" applyProtection="0"/>
    <xf numFmtId="188" fontId="9" fillId="5" borderId="4" applyNumberFormat="0" applyAlignment="0" applyProtection="0"/>
    <xf numFmtId="178" fontId="9" fillId="5" borderId="4" applyNumberFormat="0" applyAlignment="0" applyProtection="0"/>
    <xf numFmtId="188" fontId="9" fillId="5" borderId="4" applyNumberFormat="0" applyAlignment="0" applyProtection="0"/>
    <xf numFmtId="178" fontId="9" fillId="5" borderId="4" applyNumberFormat="0" applyAlignment="0" applyProtection="0"/>
    <xf numFmtId="188" fontId="9" fillId="5" borderId="4" applyNumberFormat="0" applyAlignment="0" applyProtection="0"/>
    <xf numFmtId="178" fontId="9" fillId="5" borderId="4" applyNumberFormat="0" applyAlignment="0" applyProtection="0"/>
    <xf numFmtId="188" fontId="9" fillId="5" borderId="4" applyNumberFormat="0" applyAlignment="0" applyProtection="0"/>
    <xf numFmtId="178" fontId="9" fillId="5" borderId="4" applyNumberFormat="0" applyAlignment="0" applyProtection="0"/>
    <xf numFmtId="188" fontId="9" fillId="5" borderId="4" applyNumberFormat="0" applyAlignment="0" applyProtection="0"/>
    <xf numFmtId="178" fontId="9" fillId="5" borderId="4" applyNumberFormat="0" applyAlignment="0" applyProtection="0"/>
    <xf numFmtId="188" fontId="9" fillId="5" borderId="4" applyNumberFormat="0" applyAlignment="0" applyProtection="0"/>
    <xf numFmtId="178" fontId="9" fillId="5" borderId="4" applyNumberFormat="0" applyAlignment="0" applyProtection="0"/>
    <xf numFmtId="188" fontId="9" fillId="5" borderId="4" applyNumberFormat="0" applyAlignment="0" applyProtection="0"/>
    <xf numFmtId="178" fontId="9" fillId="5" borderId="4" applyNumberFormat="0" applyAlignment="0" applyProtection="0"/>
    <xf numFmtId="188" fontId="9" fillId="5" borderId="4" applyNumberFormat="0" applyAlignment="0" applyProtection="0"/>
    <xf numFmtId="178" fontId="9" fillId="5" borderId="4" applyNumberFormat="0" applyAlignment="0" applyProtection="0"/>
    <xf numFmtId="188" fontId="9" fillId="5" borderId="4" applyNumberFormat="0" applyAlignment="0" applyProtection="0"/>
    <xf numFmtId="178" fontId="9" fillId="5" borderId="4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188" fontId="9" fillId="5" borderId="4" applyNumberFormat="0" applyAlignment="0" applyProtection="0"/>
    <xf numFmtId="178" fontId="9" fillId="5" borderId="4" applyNumberFormat="0" applyAlignment="0" applyProtection="0"/>
    <xf numFmtId="188" fontId="9" fillId="5" borderId="4" applyNumberFormat="0" applyAlignment="0" applyProtection="0"/>
    <xf numFmtId="178" fontId="9" fillId="5" borderId="4" applyNumberFormat="0" applyAlignment="0" applyProtection="0"/>
    <xf numFmtId="188" fontId="9" fillId="5" borderId="4" applyNumberFormat="0" applyAlignment="0" applyProtection="0"/>
    <xf numFmtId="178" fontId="9" fillId="5" borderId="4" applyNumberFormat="0" applyAlignment="0" applyProtection="0"/>
    <xf numFmtId="188" fontId="9" fillId="5" borderId="4" applyNumberFormat="0" applyAlignment="0" applyProtection="0"/>
    <xf numFmtId="178" fontId="9" fillId="5" borderId="4" applyNumberFormat="0" applyAlignment="0" applyProtection="0"/>
    <xf numFmtId="188" fontId="9" fillId="5" borderId="4" applyNumberFormat="0" applyAlignment="0" applyProtection="0"/>
    <xf numFmtId="178" fontId="9" fillId="5" borderId="4" applyNumberFormat="0" applyAlignment="0" applyProtection="0"/>
    <xf numFmtId="188" fontId="9" fillId="5" borderId="4" applyNumberFormat="0" applyAlignment="0" applyProtection="0"/>
    <xf numFmtId="178" fontId="9" fillId="5" borderId="4" applyNumberFormat="0" applyAlignment="0" applyProtection="0"/>
    <xf numFmtId="188" fontId="9" fillId="5" borderId="4" applyNumberFormat="0" applyAlignment="0" applyProtection="0"/>
    <xf numFmtId="178" fontId="9" fillId="5" borderId="4" applyNumberFormat="0" applyAlignment="0" applyProtection="0"/>
    <xf numFmtId="188" fontId="9" fillId="5" borderId="4" applyNumberFormat="0" applyAlignment="0" applyProtection="0"/>
    <xf numFmtId="178" fontId="9" fillId="5" borderId="4" applyNumberFormat="0" applyAlignment="0" applyProtection="0"/>
    <xf numFmtId="188" fontId="9" fillId="5" borderId="4" applyNumberFormat="0" applyAlignment="0" applyProtection="0"/>
    <xf numFmtId="178" fontId="9" fillId="5" borderId="4" applyNumberFormat="0" applyAlignment="0" applyProtection="0"/>
    <xf numFmtId="188" fontId="9" fillId="5" borderId="4" applyNumberFormat="0" applyAlignment="0" applyProtection="0"/>
    <xf numFmtId="178" fontId="9" fillId="5" borderId="4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188" fontId="9" fillId="5" borderId="4" applyNumberFormat="0" applyAlignment="0" applyProtection="0"/>
    <xf numFmtId="178" fontId="9" fillId="5" borderId="4" applyNumberFormat="0" applyAlignment="0" applyProtection="0"/>
    <xf numFmtId="188" fontId="9" fillId="5" borderId="4" applyNumberFormat="0" applyAlignment="0" applyProtection="0"/>
    <xf numFmtId="178" fontId="9" fillId="5" borderId="4" applyNumberFormat="0" applyAlignment="0" applyProtection="0"/>
    <xf numFmtId="188" fontId="9" fillId="5" borderId="4" applyNumberFormat="0" applyAlignment="0" applyProtection="0"/>
    <xf numFmtId="178" fontId="9" fillId="5" borderId="4" applyNumberFormat="0" applyAlignment="0" applyProtection="0"/>
    <xf numFmtId="188" fontId="9" fillId="5" borderId="4" applyNumberFormat="0" applyAlignment="0" applyProtection="0"/>
    <xf numFmtId="178" fontId="9" fillId="5" borderId="4" applyNumberFormat="0" applyAlignment="0" applyProtection="0"/>
    <xf numFmtId="188" fontId="9" fillId="5" borderId="4" applyNumberFormat="0" applyAlignment="0" applyProtection="0"/>
    <xf numFmtId="178" fontId="9" fillId="5" borderId="4" applyNumberFormat="0" applyAlignment="0" applyProtection="0"/>
    <xf numFmtId="188" fontId="9" fillId="5" borderId="4" applyNumberFormat="0" applyAlignment="0" applyProtection="0"/>
    <xf numFmtId="178" fontId="9" fillId="5" borderId="4" applyNumberFormat="0" applyAlignment="0" applyProtection="0"/>
    <xf numFmtId="188" fontId="9" fillId="5" borderId="4" applyNumberFormat="0" applyAlignment="0" applyProtection="0"/>
    <xf numFmtId="178" fontId="9" fillId="5" borderId="4" applyNumberFormat="0" applyAlignment="0" applyProtection="0"/>
    <xf numFmtId="188" fontId="9" fillId="5" borderId="4" applyNumberFormat="0" applyAlignment="0" applyProtection="0"/>
    <xf numFmtId="178" fontId="9" fillId="5" borderId="4" applyNumberFormat="0" applyAlignment="0" applyProtection="0"/>
    <xf numFmtId="188" fontId="9" fillId="5" borderId="4" applyNumberFormat="0" applyAlignment="0" applyProtection="0"/>
    <xf numFmtId="178" fontId="9" fillId="5" borderId="4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88" fontId="190" fillId="69" borderId="48" applyNumberFormat="0" applyAlignment="0" applyProtection="0"/>
    <xf numFmtId="188" fontId="225" fillId="5" borderId="4" applyNumberFormat="0" applyAlignment="0" applyProtection="0"/>
    <xf numFmtId="178" fontId="225" fillId="5" borderId="4" applyNumberFormat="0" applyAlignment="0" applyProtection="0"/>
    <xf numFmtId="188" fontId="190" fillId="69" borderId="48" applyNumberFormat="0" applyAlignment="0" applyProtection="0"/>
    <xf numFmtId="178" fontId="190" fillId="69" borderId="48" applyNumberFormat="0" applyAlignment="0" applyProtection="0"/>
    <xf numFmtId="178" fontId="9" fillId="5" borderId="4" applyNumberFormat="0" applyAlignment="0" applyProtection="0"/>
    <xf numFmtId="188" fontId="9" fillId="5" borderId="4" applyNumberFormat="0" applyAlignment="0" applyProtection="0"/>
    <xf numFmtId="178" fontId="9" fillId="5" borderId="4" applyNumberFormat="0" applyAlignment="0" applyProtection="0"/>
    <xf numFmtId="188" fontId="9" fillId="5" borderId="4" applyNumberFormat="0" applyAlignment="0" applyProtection="0"/>
    <xf numFmtId="178" fontId="9" fillId="5" borderId="4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9" fontId="226" fillId="0" borderId="0" applyNumberFormat="0" applyFill="0" applyBorder="0" applyAlignment="0">
      <protection locked="0"/>
    </xf>
    <xf numFmtId="189" fontId="226" fillId="0" borderId="0" applyNumberFormat="0" applyFill="0" applyBorder="0" applyAlignment="0">
      <protection locked="0"/>
    </xf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78" fontId="225" fillId="5" borderId="4" applyNumberFormat="0" applyAlignment="0" applyProtection="0"/>
    <xf numFmtId="188" fontId="225" fillId="5" borderId="4" applyNumberFormat="0" applyAlignment="0" applyProtection="0"/>
    <xf numFmtId="178" fontId="225" fillId="5" borderId="4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78" fontId="225" fillId="5" borderId="4" applyNumberFormat="0" applyAlignment="0" applyProtection="0"/>
    <xf numFmtId="188" fontId="225" fillId="5" borderId="4" applyNumberFormat="0" applyAlignment="0" applyProtection="0"/>
    <xf numFmtId="178" fontId="225" fillId="5" borderId="4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78" fontId="225" fillId="5" borderId="4" applyNumberFormat="0" applyAlignment="0" applyProtection="0"/>
    <xf numFmtId="188" fontId="225" fillId="5" borderId="4" applyNumberFormat="0" applyAlignment="0" applyProtection="0"/>
    <xf numFmtId="178" fontId="225" fillId="5" borderId="4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78" fontId="9" fillId="5" borderId="4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78" fontId="225" fillId="5" borderId="4" applyNumberFormat="0" applyAlignment="0" applyProtection="0"/>
    <xf numFmtId="188" fontId="225" fillId="5" borderId="4" applyNumberFormat="0" applyAlignment="0" applyProtection="0"/>
    <xf numFmtId="178" fontId="225" fillId="5" borderId="4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78" fontId="225" fillId="5" borderId="4" applyNumberFormat="0" applyAlignment="0" applyProtection="0"/>
    <xf numFmtId="188" fontId="225" fillId="5" borderId="4" applyNumberFormat="0" applyAlignment="0" applyProtection="0"/>
    <xf numFmtId="178" fontId="225" fillId="5" borderId="4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78" fontId="225" fillId="5" borderId="4" applyNumberFormat="0" applyAlignment="0" applyProtection="0"/>
    <xf numFmtId="188" fontId="225" fillId="5" borderId="4" applyNumberFormat="0" applyAlignment="0" applyProtection="0"/>
    <xf numFmtId="178" fontId="225" fillId="5" borderId="4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78" fontId="225" fillId="5" borderId="4" applyNumberFormat="0" applyAlignment="0" applyProtection="0"/>
    <xf numFmtId="188" fontId="225" fillId="5" borderId="4" applyNumberFormat="0" applyAlignment="0" applyProtection="0"/>
    <xf numFmtId="178" fontId="225" fillId="5" borderId="4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224" fillId="102" borderId="49" applyNumberFormat="0" applyAlignment="0" applyProtection="0"/>
    <xf numFmtId="0" fontId="224" fillId="102" borderId="49" applyNumberFormat="0" applyAlignment="0" applyProtection="0"/>
    <xf numFmtId="178" fontId="224" fillId="102" borderId="49" applyNumberFormat="0" applyAlignment="0" applyProtection="0"/>
    <xf numFmtId="188" fontId="224" fillId="102" borderId="49" applyNumberFormat="0" applyAlignment="0" applyProtection="0"/>
    <xf numFmtId="178" fontId="224" fillId="102" borderId="49" applyNumberFormat="0" applyAlignment="0" applyProtection="0"/>
    <xf numFmtId="0" fontId="162" fillId="0" borderId="0" applyNumberFormat="0" applyFill="0" applyBorder="0" applyAlignment="0">
      <protection locked="0"/>
    </xf>
    <xf numFmtId="0" fontId="162" fillId="0" borderId="0" applyNumberFormat="0" applyFill="0" applyBorder="0" applyAlignment="0">
      <protection locked="0"/>
    </xf>
    <xf numFmtId="178" fontId="162" fillId="0" borderId="0" applyNumberFormat="0" applyFill="0" applyBorder="0" applyAlignment="0">
      <protection locked="0"/>
    </xf>
    <xf numFmtId="178" fontId="162" fillId="0" borderId="0" applyNumberFormat="0" applyFill="0" applyBorder="0" applyAlignment="0">
      <protection locked="0"/>
    </xf>
    <xf numFmtId="282" fontId="227" fillId="0" borderId="0" applyFill="0" applyBorder="0" applyProtection="0">
      <alignment vertical="center"/>
    </xf>
    <xf numFmtId="269" fontId="227" fillId="0" borderId="0" applyFill="0" applyBorder="0" applyProtection="0">
      <alignment vertical="center"/>
    </xf>
    <xf numFmtId="0" fontId="227" fillId="0" borderId="0" applyFill="0" applyBorder="0" applyProtection="0">
      <alignment vertical="center"/>
    </xf>
    <xf numFmtId="0" fontId="227" fillId="0" borderId="0" applyFill="0" applyBorder="0" applyProtection="0">
      <alignment vertical="center"/>
    </xf>
    <xf numFmtId="178" fontId="227" fillId="0" borderId="0" applyFill="0" applyBorder="0" applyProtection="0">
      <alignment vertical="center"/>
    </xf>
    <xf numFmtId="178" fontId="227" fillId="0" borderId="0" applyFill="0" applyBorder="0" applyProtection="0">
      <alignment vertical="center"/>
    </xf>
    <xf numFmtId="283" fontId="227" fillId="0" borderId="0" applyFill="0" applyBorder="0" applyProtection="0">
      <alignment vertical="center"/>
    </xf>
    <xf numFmtId="227" fontId="143" fillId="42" borderId="0">
      <alignment horizontal="center"/>
      <protection locked="0"/>
    </xf>
    <xf numFmtId="284" fontId="143" fillId="42" borderId="0">
      <alignment horizontal="center"/>
      <protection locked="0"/>
    </xf>
    <xf numFmtId="0" fontId="145" fillId="65" borderId="0" applyNumberFormat="0" applyBorder="0" applyAlignment="0" applyProtection="0"/>
    <xf numFmtId="0" fontId="145" fillId="65" borderId="0" applyNumberFormat="0" applyBorder="0" applyAlignment="0" applyProtection="0"/>
    <xf numFmtId="178" fontId="145" fillId="65" borderId="0" applyNumberFormat="0" applyBorder="0" applyAlignment="0" applyProtection="0"/>
    <xf numFmtId="178" fontId="145" fillId="65" borderId="0" applyNumberFormat="0" applyBorder="0" applyAlignment="0" applyProtection="0"/>
    <xf numFmtId="0" fontId="228" fillId="78" borderId="0"/>
    <xf numFmtId="0" fontId="228" fillId="78" borderId="0"/>
    <xf numFmtId="178" fontId="228" fillId="78" borderId="0"/>
    <xf numFmtId="178" fontId="228" fillId="78" borderId="0"/>
    <xf numFmtId="181" fontId="94" fillId="42" borderId="0" applyFont="0">
      <alignment horizontal="center"/>
    </xf>
    <xf numFmtId="0" fontId="1" fillId="37" borderId="0" applyNumberFormat="0"/>
    <xf numFmtId="0" fontId="1" fillId="37" borderId="0" applyNumberFormat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4" fontId="38" fillId="120" borderId="0" applyFont="0" applyBorder="0">
      <alignment horizontal="right"/>
    </xf>
    <xf numFmtId="0" fontId="229" fillId="0" borderId="0"/>
    <xf numFmtId="0" fontId="229" fillId="0" borderId="0"/>
    <xf numFmtId="178" fontId="229" fillId="0" borderId="0"/>
    <xf numFmtId="178" fontId="229" fillId="0" borderId="0"/>
    <xf numFmtId="0" fontId="230" fillId="0" borderId="0" applyNumberFormat="0" applyFill="0" applyBorder="0" applyAlignment="0" applyProtection="0">
      <alignment vertical="top"/>
      <protection locked="0"/>
    </xf>
    <xf numFmtId="0" fontId="231" fillId="0" borderId="0" applyNumberFormat="0" applyFill="0" applyBorder="0" applyAlignment="0" applyProtection="0">
      <alignment vertical="top"/>
      <protection locked="0"/>
    </xf>
    <xf numFmtId="285" fontId="18" fillId="0" borderId="0" applyFont="0" applyFill="0" applyBorder="0" applyAlignment="0" applyProtection="0"/>
    <xf numFmtId="2" fontId="18" fillId="0" borderId="0" applyNumberFormat="0" applyBorder="0">
      <alignment horizontal="left"/>
    </xf>
    <xf numFmtId="37" fontId="18" fillId="50" borderId="0" applyBorder="0"/>
    <xf numFmtId="0" fontId="41" fillId="0" borderId="0" applyFill="0" applyBorder="0" applyAlignment="0"/>
    <xf numFmtId="0" fontId="41" fillId="0" borderId="0" applyFill="0" applyBorder="0" applyAlignment="0"/>
    <xf numFmtId="178" fontId="41" fillId="0" borderId="0" applyFill="0" applyBorder="0" applyAlignment="0"/>
    <xf numFmtId="178" fontId="41" fillId="0" borderId="0" applyFill="0" applyBorder="0" applyAlignment="0"/>
    <xf numFmtId="0" fontId="41" fillId="0" borderId="0" applyFill="0" applyBorder="0" applyAlignment="0"/>
    <xf numFmtId="0" fontId="41" fillId="0" borderId="0" applyFill="0" applyBorder="0" applyAlignment="0"/>
    <xf numFmtId="178" fontId="41" fillId="0" borderId="0" applyFill="0" applyBorder="0" applyAlignment="0"/>
    <xf numFmtId="178" fontId="41" fillId="0" borderId="0" applyFill="0" applyBorder="0" applyAlignment="0"/>
    <xf numFmtId="0" fontId="41" fillId="0" borderId="0" applyFill="0" applyBorder="0" applyAlignment="0"/>
    <xf numFmtId="0" fontId="41" fillId="0" borderId="0" applyFill="0" applyBorder="0" applyAlignment="0"/>
    <xf numFmtId="178" fontId="41" fillId="0" borderId="0" applyFill="0" applyBorder="0" applyAlignment="0"/>
    <xf numFmtId="178" fontId="41" fillId="0" borderId="0" applyFill="0" applyBorder="0" applyAlignment="0"/>
    <xf numFmtId="0" fontId="41" fillId="0" borderId="0" applyFill="0" applyBorder="0" applyAlignment="0"/>
    <xf numFmtId="0" fontId="41" fillId="0" borderId="0" applyFill="0" applyBorder="0" applyAlignment="0"/>
    <xf numFmtId="178" fontId="41" fillId="0" borderId="0" applyFill="0" applyBorder="0" applyAlignment="0"/>
    <xf numFmtId="178" fontId="41" fillId="0" borderId="0" applyFill="0" applyBorder="0" applyAlignment="0"/>
    <xf numFmtId="0" fontId="41" fillId="0" borderId="0" applyFill="0" applyBorder="0" applyAlignment="0"/>
    <xf numFmtId="0" fontId="41" fillId="0" borderId="0" applyFill="0" applyBorder="0" applyAlignment="0"/>
    <xf numFmtId="178" fontId="41" fillId="0" borderId="0" applyFill="0" applyBorder="0" applyAlignment="0"/>
    <xf numFmtId="178" fontId="41" fillId="0" borderId="0" applyFill="0" applyBorder="0" applyAlignment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2" fillId="0" borderId="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2" fillId="0" borderId="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2" fillId="0" borderId="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2" fillId="0" borderId="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2" fillId="0" borderId="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2" fillId="0" borderId="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2" fillId="0" borderId="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2" fillId="0" borderId="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2" fillId="0" borderId="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2" fillId="0" borderId="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2" fillId="0" borderId="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2" fillId="0" borderId="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2" fillId="0" borderId="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2" fillId="0" borderId="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2" fillId="0" borderId="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2" fillId="0" borderId="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2" fillId="0" borderId="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2" fillId="0" borderId="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2" fillId="0" borderId="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2" fillId="0" borderId="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2" fillId="0" borderId="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2" fillId="0" borderId="6" applyNumberFormat="0" applyFill="0" applyAlignment="0" applyProtection="0"/>
    <xf numFmtId="188" fontId="12" fillId="0" borderId="6" applyNumberFormat="0" applyFill="0" applyAlignment="0" applyProtection="0"/>
    <xf numFmtId="178" fontId="12" fillId="0" borderId="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188" fontId="12" fillId="0" borderId="6" applyNumberFormat="0" applyFill="0" applyAlignment="0" applyProtection="0"/>
    <xf numFmtId="178" fontId="12" fillId="0" borderId="6" applyNumberFormat="0" applyFill="0" applyAlignment="0" applyProtection="0"/>
    <xf numFmtId="188" fontId="12" fillId="0" borderId="6" applyNumberFormat="0" applyFill="0" applyAlignment="0" applyProtection="0"/>
    <xf numFmtId="178" fontId="12" fillId="0" borderId="6" applyNumberFormat="0" applyFill="0" applyAlignment="0" applyProtection="0"/>
    <xf numFmtId="188" fontId="12" fillId="0" borderId="6" applyNumberFormat="0" applyFill="0" applyAlignment="0" applyProtection="0"/>
    <xf numFmtId="178" fontId="12" fillId="0" borderId="6" applyNumberFormat="0" applyFill="0" applyAlignment="0" applyProtection="0"/>
    <xf numFmtId="188" fontId="12" fillId="0" borderId="6" applyNumberFormat="0" applyFill="0" applyAlignment="0" applyProtection="0"/>
    <xf numFmtId="178" fontId="12" fillId="0" borderId="6" applyNumberFormat="0" applyFill="0" applyAlignment="0" applyProtection="0"/>
    <xf numFmtId="188" fontId="12" fillId="0" borderId="6" applyNumberFormat="0" applyFill="0" applyAlignment="0" applyProtection="0"/>
    <xf numFmtId="178" fontId="12" fillId="0" borderId="6" applyNumberFormat="0" applyFill="0" applyAlignment="0" applyProtection="0"/>
    <xf numFmtId="188" fontId="12" fillId="0" borderId="6" applyNumberFormat="0" applyFill="0" applyAlignment="0" applyProtection="0"/>
    <xf numFmtId="178" fontId="12" fillId="0" borderId="6" applyNumberFormat="0" applyFill="0" applyAlignment="0" applyProtection="0"/>
    <xf numFmtId="188" fontId="12" fillId="0" borderId="6" applyNumberFormat="0" applyFill="0" applyAlignment="0" applyProtection="0"/>
    <xf numFmtId="178" fontId="12" fillId="0" borderId="6" applyNumberFormat="0" applyFill="0" applyAlignment="0" applyProtection="0"/>
    <xf numFmtId="188" fontId="12" fillId="0" borderId="6" applyNumberFormat="0" applyFill="0" applyAlignment="0" applyProtection="0"/>
    <xf numFmtId="178" fontId="12" fillId="0" borderId="6" applyNumberFormat="0" applyFill="0" applyAlignment="0" applyProtection="0"/>
    <xf numFmtId="188" fontId="12" fillId="0" borderId="6" applyNumberFormat="0" applyFill="0" applyAlignment="0" applyProtection="0"/>
    <xf numFmtId="178" fontId="12" fillId="0" borderId="6" applyNumberFormat="0" applyFill="0" applyAlignment="0" applyProtection="0"/>
    <xf numFmtId="188" fontId="12" fillId="0" borderId="6" applyNumberFormat="0" applyFill="0" applyAlignment="0" applyProtection="0"/>
    <xf numFmtId="178" fontId="12" fillId="0" borderId="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188" fontId="12" fillId="0" borderId="6" applyNumberFormat="0" applyFill="0" applyAlignment="0" applyProtection="0"/>
    <xf numFmtId="178" fontId="12" fillId="0" borderId="6" applyNumberFormat="0" applyFill="0" applyAlignment="0" applyProtection="0"/>
    <xf numFmtId="188" fontId="12" fillId="0" borderId="6" applyNumberFormat="0" applyFill="0" applyAlignment="0" applyProtection="0"/>
    <xf numFmtId="178" fontId="12" fillId="0" borderId="6" applyNumberFormat="0" applyFill="0" applyAlignment="0" applyProtection="0"/>
    <xf numFmtId="188" fontId="12" fillId="0" borderId="6" applyNumberFormat="0" applyFill="0" applyAlignment="0" applyProtection="0"/>
    <xf numFmtId="178" fontId="12" fillId="0" borderId="6" applyNumberFormat="0" applyFill="0" applyAlignment="0" applyProtection="0"/>
    <xf numFmtId="188" fontId="12" fillId="0" borderId="6" applyNumberFormat="0" applyFill="0" applyAlignment="0" applyProtection="0"/>
    <xf numFmtId="178" fontId="12" fillId="0" borderId="6" applyNumberFormat="0" applyFill="0" applyAlignment="0" applyProtection="0"/>
    <xf numFmtId="188" fontId="12" fillId="0" borderId="6" applyNumberFormat="0" applyFill="0" applyAlignment="0" applyProtection="0"/>
    <xf numFmtId="178" fontId="12" fillId="0" borderId="6" applyNumberFormat="0" applyFill="0" applyAlignment="0" applyProtection="0"/>
    <xf numFmtId="188" fontId="12" fillId="0" borderId="6" applyNumberFormat="0" applyFill="0" applyAlignment="0" applyProtection="0"/>
    <xf numFmtId="178" fontId="12" fillId="0" borderId="6" applyNumberFormat="0" applyFill="0" applyAlignment="0" applyProtection="0"/>
    <xf numFmtId="188" fontId="12" fillId="0" borderId="6" applyNumberFormat="0" applyFill="0" applyAlignment="0" applyProtection="0"/>
    <xf numFmtId="178" fontId="12" fillId="0" borderId="6" applyNumberFormat="0" applyFill="0" applyAlignment="0" applyProtection="0"/>
    <xf numFmtId="188" fontId="12" fillId="0" borderId="6" applyNumberFormat="0" applyFill="0" applyAlignment="0" applyProtection="0"/>
    <xf numFmtId="178" fontId="12" fillId="0" borderId="6" applyNumberFormat="0" applyFill="0" applyAlignment="0" applyProtection="0"/>
    <xf numFmtId="188" fontId="12" fillId="0" borderId="6" applyNumberFormat="0" applyFill="0" applyAlignment="0" applyProtection="0"/>
    <xf numFmtId="178" fontId="12" fillId="0" borderId="6" applyNumberFormat="0" applyFill="0" applyAlignment="0" applyProtection="0"/>
    <xf numFmtId="188" fontId="12" fillId="0" borderId="6" applyNumberFormat="0" applyFill="0" applyAlignment="0" applyProtection="0"/>
    <xf numFmtId="178" fontId="12" fillId="0" borderId="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188" fontId="12" fillId="0" borderId="6" applyNumberFormat="0" applyFill="0" applyAlignment="0" applyProtection="0"/>
    <xf numFmtId="178" fontId="12" fillId="0" borderId="6" applyNumberFormat="0" applyFill="0" applyAlignment="0" applyProtection="0"/>
    <xf numFmtId="188" fontId="12" fillId="0" borderId="6" applyNumberFormat="0" applyFill="0" applyAlignment="0" applyProtection="0"/>
    <xf numFmtId="178" fontId="12" fillId="0" borderId="6" applyNumberFormat="0" applyFill="0" applyAlignment="0" applyProtection="0"/>
    <xf numFmtId="188" fontId="12" fillId="0" borderId="6" applyNumberFormat="0" applyFill="0" applyAlignment="0" applyProtection="0"/>
    <xf numFmtId="178" fontId="12" fillId="0" borderId="6" applyNumberFormat="0" applyFill="0" applyAlignment="0" applyProtection="0"/>
    <xf numFmtId="188" fontId="12" fillId="0" borderId="6" applyNumberFormat="0" applyFill="0" applyAlignment="0" applyProtection="0"/>
    <xf numFmtId="178" fontId="12" fillId="0" borderId="6" applyNumberFormat="0" applyFill="0" applyAlignment="0" applyProtection="0"/>
    <xf numFmtId="188" fontId="12" fillId="0" borderId="6" applyNumberFormat="0" applyFill="0" applyAlignment="0" applyProtection="0"/>
    <xf numFmtId="178" fontId="12" fillId="0" borderId="6" applyNumberFormat="0" applyFill="0" applyAlignment="0" applyProtection="0"/>
    <xf numFmtId="188" fontId="12" fillId="0" borderId="6" applyNumberFormat="0" applyFill="0" applyAlignment="0" applyProtection="0"/>
    <xf numFmtId="178" fontId="12" fillId="0" borderId="6" applyNumberFormat="0" applyFill="0" applyAlignment="0" applyProtection="0"/>
    <xf numFmtId="188" fontId="12" fillId="0" borderId="6" applyNumberFormat="0" applyFill="0" applyAlignment="0" applyProtection="0"/>
    <xf numFmtId="178" fontId="12" fillId="0" borderId="6" applyNumberFormat="0" applyFill="0" applyAlignment="0" applyProtection="0"/>
    <xf numFmtId="188" fontId="12" fillId="0" borderId="6" applyNumberFormat="0" applyFill="0" applyAlignment="0" applyProtection="0"/>
    <xf numFmtId="178" fontId="12" fillId="0" borderId="6" applyNumberFormat="0" applyFill="0" applyAlignment="0" applyProtection="0"/>
    <xf numFmtId="188" fontId="12" fillId="0" borderId="6" applyNumberFormat="0" applyFill="0" applyAlignment="0" applyProtection="0"/>
    <xf numFmtId="178" fontId="12" fillId="0" borderId="6" applyNumberFormat="0" applyFill="0" applyAlignment="0" applyProtection="0"/>
    <xf numFmtId="188" fontId="12" fillId="0" borderId="6" applyNumberFormat="0" applyFill="0" applyAlignment="0" applyProtection="0"/>
    <xf numFmtId="178" fontId="12" fillId="0" borderId="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188" fontId="12" fillId="0" borderId="6" applyNumberFormat="0" applyFill="0" applyAlignment="0" applyProtection="0"/>
    <xf numFmtId="178" fontId="12" fillId="0" borderId="6" applyNumberFormat="0" applyFill="0" applyAlignment="0" applyProtection="0"/>
    <xf numFmtId="188" fontId="12" fillId="0" borderId="6" applyNumberFormat="0" applyFill="0" applyAlignment="0" applyProtection="0"/>
    <xf numFmtId="178" fontId="12" fillId="0" borderId="6" applyNumberFormat="0" applyFill="0" applyAlignment="0" applyProtection="0"/>
    <xf numFmtId="188" fontId="12" fillId="0" borderId="6" applyNumberFormat="0" applyFill="0" applyAlignment="0" applyProtection="0"/>
    <xf numFmtId="178" fontId="12" fillId="0" borderId="6" applyNumberFormat="0" applyFill="0" applyAlignment="0" applyProtection="0"/>
    <xf numFmtId="188" fontId="12" fillId="0" borderId="6" applyNumberFormat="0" applyFill="0" applyAlignment="0" applyProtection="0"/>
    <xf numFmtId="178" fontId="12" fillId="0" borderId="6" applyNumberFormat="0" applyFill="0" applyAlignment="0" applyProtection="0"/>
    <xf numFmtId="188" fontId="12" fillId="0" borderId="6" applyNumberFormat="0" applyFill="0" applyAlignment="0" applyProtection="0"/>
    <xf numFmtId="178" fontId="12" fillId="0" borderId="6" applyNumberFormat="0" applyFill="0" applyAlignment="0" applyProtection="0"/>
    <xf numFmtId="188" fontId="12" fillId="0" borderId="6" applyNumberFormat="0" applyFill="0" applyAlignment="0" applyProtection="0"/>
    <xf numFmtId="178" fontId="12" fillId="0" borderId="6" applyNumberFormat="0" applyFill="0" applyAlignment="0" applyProtection="0"/>
    <xf numFmtId="188" fontId="12" fillId="0" borderId="6" applyNumberFormat="0" applyFill="0" applyAlignment="0" applyProtection="0"/>
    <xf numFmtId="178" fontId="12" fillId="0" borderId="6" applyNumberFormat="0" applyFill="0" applyAlignment="0" applyProtection="0"/>
    <xf numFmtId="188" fontId="12" fillId="0" borderId="6" applyNumberFormat="0" applyFill="0" applyAlignment="0" applyProtection="0"/>
    <xf numFmtId="178" fontId="12" fillId="0" borderId="6" applyNumberFormat="0" applyFill="0" applyAlignment="0" applyProtection="0"/>
    <xf numFmtId="188" fontId="12" fillId="0" borderId="6" applyNumberFormat="0" applyFill="0" applyAlignment="0" applyProtection="0"/>
    <xf numFmtId="178" fontId="12" fillId="0" borderId="6" applyNumberFormat="0" applyFill="0" applyAlignment="0" applyProtection="0"/>
    <xf numFmtId="0" fontId="155" fillId="0" borderId="66" applyNumberFormat="0" applyFill="0" applyAlignment="0" applyProtection="0"/>
    <xf numFmtId="188" fontId="164" fillId="0" borderId="51" applyNumberFormat="0" applyFill="0" applyAlignment="0" applyProtection="0"/>
    <xf numFmtId="188" fontId="12" fillId="0" borderId="6" applyNumberFormat="0" applyFill="0" applyAlignment="0" applyProtection="0"/>
    <xf numFmtId="188" fontId="164" fillId="0" borderId="51" applyNumberFormat="0" applyFill="0" applyAlignment="0" applyProtection="0"/>
    <xf numFmtId="188" fontId="232" fillId="0" borderId="6" applyNumberFormat="0" applyFill="0" applyAlignment="0" applyProtection="0"/>
    <xf numFmtId="178" fontId="232" fillId="0" borderId="6" applyNumberFormat="0" applyFill="0" applyAlignment="0" applyProtection="0"/>
    <xf numFmtId="178" fontId="164" fillId="0" borderId="51" applyNumberFormat="0" applyFill="0" applyAlignment="0" applyProtection="0"/>
    <xf numFmtId="178" fontId="12" fillId="0" borderId="6" applyNumberFormat="0" applyFill="0" applyAlignment="0" applyProtection="0"/>
    <xf numFmtId="188" fontId="12" fillId="0" borderId="6" applyNumberFormat="0" applyFill="0" applyAlignment="0" applyProtection="0"/>
    <xf numFmtId="178" fontId="12" fillId="0" borderId="6" applyNumberFormat="0" applyFill="0" applyAlignment="0" applyProtection="0"/>
    <xf numFmtId="188" fontId="12" fillId="0" borderId="6" applyNumberFormat="0" applyFill="0" applyAlignment="0" applyProtection="0"/>
    <xf numFmtId="178" fontId="12" fillId="0" borderId="6" applyNumberFormat="0" applyFill="0" applyAlignment="0" applyProtection="0"/>
    <xf numFmtId="178" fontId="164" fillId="0" borderId="51" applyNumberFormat="0" applyFill="0" applyAlignment="0" applyProtection="0"/>
    <xf numFmtId="188" fontId="164" fillId="0" borderId="51" applyNumberFormat="0" applyFill="0" applyAlignment="0" applyProtection="0"/>
    <xf numFmtId="178" fontId="164" fillId="0" borderId="51" applyNumberFormat="0" applyFill="0" applyAlignment="0" applyProtection="0"/>
    <xf numFmtId="188" fontId="164" fillId="0" borderId="51" applyNumberFormat="0" applyFill="0" applyAlignment="0" applyProtection="0"/>
    <xf numFmtId="178" fontId="164" fillId="0" borderId="51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188" fontId="232" fillId="0" borderId="6" applyNumberFormat="0" applyFill="0" applyAlignment="0" applyProtection="0"/>
    <xf numFmtId="178" fontId="232" fillId="0" borderId="6" applyNumberFormat="0" applyFill="0" applyAlignment="0" applyProtection="0"/>
    <xf numFmtId="188" fontId="232" fillId="0" borderId="6" applyNumberFormat="0" applyFill="0" applyAlignment="0" applyProtection="0"/>
    <xf numFmtId="178" fontId="232" fillId="0" borderId="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188" fontId="232" fillId="0" borderId="6" applyNumberFormat="0" applyFill="0" applyAlignment="0" applyProtection="0"/>
    <xf numFmtId="178" fontId="232" fillId="0" borderId="6" applyNumberFormat="0" applyFill="0" applyAlignment="0" applyProtection="0"/>
    <xf numFmtId="188" fontId="232" fillId="0" borderId="6" applyNumberFormat="0" applyFill="0" applyAlignment="0" applyProtection="0"/>
    <xf numFmtId="178" fontId="232" fillId="0" borderId="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188" fontId="232" fillId="0" borderId="6" applyNumberFormat="0" applyFill="0" applyAlignment="0" applyProtection="0"/>
    <xf numFmtId="178" fontId="232" fillId="0" borderId="6" applyNumberFormat="0" applyFill="0" applyAlignment="0" applyProtection="0"/>
    <xf numFmtId="188" fontId="232" fillId="0" borderId="6" applyNumberFormat="0" applyFill="0" applyAlignment="0" applyProtection="0"/>
    <xf numFmtId="178" fontId="232" fillId="0" borderId="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188" fontId="12" fillId="0" borderId="6" applyNumberFormat="0" applyFill="0" applyAlignment="0" applyProtection="0"/>
    <xf numFmtId="178" fontId="12" fillId="0" borderId="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188" fontId="232" fillId="0" borderId="6" applyNumberFormat="0" applyFill="0" applyAlignment="0" applyProtection="0"/>
    <xf numFmtId="178" fontId="232" fillId="0" borderId="6" applyNumberFormat="0" applyFill="0" applyAlignment="0" applyProtection="0"/>
    <xf numFmtId="188" fontId="232" fillId="0" borderId="6" applyNumberFormat="0" applyFill="0" applyAlignment="0" applyProtection="0"/>
    <xf numFmtId="178" fontId="232" fillId="0" borderId="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188" fontId="232" fillId="0" borderId="6" applyNumberFormat="0" applyFill="0" applyAlignment="0" applyProtection="0"/>
    <xf numFmtId="178" fontId="232" fillId="0" borderId="6" applyNumberFormat="0" applyFill="0" applyAlignment="0" applyProtection="0"/>
    <xf numFmtId="188" fontId="232" fillId="0" borderId="6" applyNumberFormat="0" applyFill="0" applyAlignment="0" applyProtection="0"/>
    <xf numFmtId="178" fontId="232" fillId="0" borderId="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188" fontId="232" fillId="0" borderId="6" applyNumberFormat="0" applyFill="0" applyAlignment="0" applyProtection="0"/>
    <xf numFmtId="178" fontId="232" fillId="0" borderId="6" applyNumberFormat="0" applyFill="0" applyAlignment="0" applyProtection="0"/>
    <xf numFmtId="188" fontId="232" fillId="0" borderId="6" applyNumberFormat="0" applyFill="0" applyAlignment="0" applyProtection="0"/>
    <xf numFmtId="178" fontId="232" fillId="0" borderId="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188" fontId="232" fillId="0" borderId="6" applyNumberFormat="0" applyFill="0" applyAlignment="0" applyProtection="0"/>
    <xf numFmtId="178" fontId="232" fillId="0" borderId="6" applyNumberFormat="0" applyFill="0" applyAlignment="0" applyProtection="0"/>
    <xf numFmtId="188" fontId="232" fillId="0" borderId="6" applyNumberFormat="0" applyFill="0" applyAlignment="0" applyProtection="0"/>
    <xf numFmtId="178" fontId="232" fillId="0" borderId="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55" fillId="0" borderId="66" applyNumberFormat="0" applyFill="0" applyAlignment="0" applyProtection="0"/>
    <xf numFmtId="0" fontId="155" fillId="0" borderId="66" applyNumberFormat="0" applyFill="0" applyAlignment="0" applyProtection="0"/>
    <xf numFmtId="178" fontId="155" fillId="0" borderId="66" applyNumberFormat="0" applyFill="0" applyAlignment="0" applyProtection="0"/>
    <xf numFmtId="178" fontId="155" fillId="0" borderId="66" applyNumberFormat="0" applyFill="0" applyAlignment="0" applyProtection="0"/>
    <xf numFmtId="0" fontId="18" fillId="0" borderId="0" applyFont="0" applyFill="0" applyBorder="0" applyAlignment="0" applyProtection="0"/>
    <xf numFmtId="0" fontId="18" fillId="0" borderId="0" applyNumberFormat="0" applyFill="0" applyBorder="0" applyAlignment="0" applyProtection="0">
      <alignment vertical="top"/>
      <protection locked="0"/>
    </xf>
    <xf numFmtId="0" fontId="233" fillId="0" borderId="45">
      <alignment horizontal="left"/>
      <protection locked="0"/>
    </xf>
    <xf numFmtId="0" fontId="233" fillId="0" borderId="45">
      <alignment horizontal="left"/>
      <protection locked="0"/>
    </xf>
    <xf numFmtId="178" fontId="233" fillId="0" borderId="45">
      <alignment horizontal="left"/>
      <protection locked="0"/>
    </xf>
    <xf numFmtId="178" fontId="233" fillId="0" borderId="45">
      <alignment horizontal="left"/>
      <protection locked="0"/>
    </xf>
    <xf numFmtId="189" fontId="234" fillId="0" borderId="65"/>
    <xf numFmtId="189" fontId="234" fillId="0" borderId="65"/>
    <xf numFmtId="183" fontId="235" fillId="0" borderId="0">
      <alignment vertical="center"/>
    </xf>
    <xf numFmtId="0" fontId="236" fillId="0" borderId="0" applyNumberFormat="0" applyFill="0" applyBorder="0" applyAlignment="0" applyProtection="0">
      <alignment vertical="top"/>
      <protection locked="0"/>
    </xf>
    <xf numFmtId="0" fontId="18" fillId="0" borderId="0">
      <alignment horizontal="centerContinuous" vertical="justify"/>
    </xf>
    <xf numFmtId="0" fontId="18" fillId="0" borderId="0">
      <alignment horizontal="centerContinuous" vertical="justify"/>
    </xf>
    <xf numFmtId="178" fontId="18" fillId="0" borderId="0">
      <alignment horizontal="centerContinuous" vertical="justify"/>
    </xf>
    <xf numFmtId="178" fontId="18" fillId="0" borderId="0">
      <alignment horizontal="centerContinuous" vertical="justify"/>
    </xf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235" fontId="18" fillId="0" borderId="0" applyFont="0" applyFill="0" applyBorder="0" applyAlignment="0" applyProtection="0"/>
    <xf numFmtId="0" fontId="237" fillId="0" borderId="0" applyBorder="0"/>
    <xf numFmtId="0" fontId="237" fillId="0" borderId="0" applyBorder="0"/>
    <xf numFmtId="178" fontId="237" fillId="0" borderId="0" applyBorder="0"/>
    <xf numFmtId="178" fontId="237" fillId="0" borderId="0" applyBorder="0"/>
    <xf numFmtId="166" fontId="67" fillId="0" borderId="0">
      <alignment vertical="top"/>
      <protection locked="0"/>
    </xf>
    <xf numFmtId="38" fontId="1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2" fillId="0" borderId="0" applyFont="0" applyFill="0" applyBorder="0" applyAlignment="0" applyProtection="0"/>
    <xf numFmtId="235" fontId="1" fillId="0" borderId="0" applyFont="0" applyFill="0" applyBorder="0" applyAlignment="0" applyProtection="0"/>
    <xf numFmtId="167" fontId="6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0" fontId="119" fillId="0" borderId="0" applyFont="0" applyFill="0" applyBorder="0" applyAlignment="0" applyProtection="0"/>
    <xf numFmtId="273" fontId="18" fillId="0" borderId="0" applyFont="0" applyFill="0" applyBorder="0" applyAlignment="0" applyProtection="0"/>
    <xf numFmtId="235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286" fontId="238" fillId="0" borderId="0" applyFont="0" applyFill="0" applyBorder="0" applyAlignment="0" applyProtection="0"/>
    <xf numFmtId="287" fontId="238" fillId="0" borderId="0" applyFont="0" applyFill="0" applyBorder="0" applyAlignment="0" applyProtection="0"/>
    <xf numFmtId="37" fontId="238" fillId="0" borderId="0" applyFont="0" applyFill="0" applyBorder="0" applyAlignment="0" applyProtection="0"/>
    <xf numFmtId="189" fontId="238" fillId="0" borderId="0" applyFont="0" applyFill="0" applyBorder="0" applyAlignment="0" applyProtection="0"/>
    <xf numFmtId="39" fontId="238" fillId="0" borderId="0" applyFont="0" applyFill="0" applyBorder="0" applyAlignment="0" applyProtection="0"/>
    <xf numFmtId="288" fontId="238" fillId="0" borderId="0" applyFont="0" applyFill="0" applyBorder="0" applyAlignment="0" applyProtection="0"/>
    <xf numFmtId="289" fontId="238" fillId="0" borderId="0" applyFont="0" applyFill="0" applyBorder="0" applyAlignment="0" applyProtection="0"/>
    <xf numFmtId="290" fontId="18" fillId="0" borderId="0" applyFont="0" applyFill="0" applyBorder="0" applyAlignment="0" applyProtection="0"/>
    <xf numFmtId="181" fontId="18" fillId="0" borderId="0" applyFont="0" applyFill="0" applyBorder="0" applyAlignment="0" applyProtection="0"/>
    <xf numFmtId="256" fontId="119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" fillId="0" borderId="0" applyFont="0" applyFill="0" applyBorder="0" applyAlignment="0" applyProtection="0"/>
    <xf numFmtId="265" fontId="1" fillId="0" borderId="0" applyFont="0" applyFill="0" applyBorder="0" applyAlignment="0" applyProtection="0"/>
    <xf numFmtId="265" fontId="1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" fillId="0" borderId="0" applyFont="0" applyFill="0" applyBorder="0" applyAlignment="0" applyProtection="0"/>
    <xf numFmtId="258" fontId="119" fillId="0" borderId="0" applyFont="0" applyFill="0" applyBorder="0" applyAlignment="0" applyProtection="0"/>
    <xf numFmtId="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291" fontId="18" fillId="0" borderId="0" applyFont="0" applyFill="0" applyBorder="0" applyAlignment="0" applyProtection="0"/>
    <xf numFmtId="292" fontId="18" fillId="0" borderId="0" applyFont="0" applyFill="0" applyBorder="0" applyAlignment="0" applyProtection="0"/>
    <xf numFmtId="293" fontId="18" fillId="0" borderId="0" applyFont="0" applyFill="0" applyBorder="0" applyAlignment="0" applyProtection="0"/>
    <xf numFmtId="293" fontId="18" fillId="0" borderId="0" applyFont="0" applyFill="0" applyBorder="0" applyAlignment="0" applyProtection="0"/>
    <xf numFmtId="267" fontId="18" fillId="0" borderId="0" applyFont="0" applyFill="0" applyBorder="0" applyAlignment="0" applyProtection="0"/>
    <xf numFmtId="267" fontId="18" fillId="0" borderId="0" applyFont="0" applyFill="0" applyBorder="0" applyAlignment="0" applyProtection="0"/>
    <xf numFmtId="0" fontId="138" fillId="0" borderId="0"/>
    <xf numFmtId="0" fontId="138" fillId="0" borderId="0"/>
    <xf numFmtId="178" fontId="138" fillId="0" borderId="0"/>
    <xf numFmtId="178" fontId="138" fillId="0" borderId="0"/>
    <xf numFmtId="294" fontId="18" fillId="0" borderId="0" applyFill="0" applyBorder="0" applyAlignment="0">
      <alignment horizontal="right"/>
    </xf>
    <xf numFmtId="295" fontId="76" fillId="0" borderId="0" applyFont="0" applyFill="0" applyBorder="0" applyAlignment="0" applyProtection="0"/>
    <xf numFmtId="296" fontId="76" fillId="0" borderId="0" applyFont="0" applyFill="0" applyBorder="0" applyAlignment="0" applyProtection="0"/>
    <xf numFmtId="296" fontId="76" fillId="0" borderId="0" applyFont="0" applyFill="0" applyBorder="0" applyAlignment="0" applyProtection="0"/>
    <xf numFmtId="297" fontId="76" fillId="0" borderId="0" applyFont="0" applyFill="0" applyBorder="0" applyAlignment="0" applyProtection="0"/>
    <xf numFmtId="297" fontId="76" fillId="0" borderId="0" applyFont="0" applyFill="0" applyBorder="0" applyAlignment="0" applyProtection="0"/>
    <xf numFmtId="295" fontId="76" fillId="0" borderId="0" applyFont="0" applyFill="0" applyBorder="0" applyAlignment="0" applyProtection="0"/>
    <xf numFmtId="295" fontId="76" fillId="0" borderId="0" applyFont="0" applyFill="0" applyBorder="0" applyAlignment="0" applyProtection="0"/>
    <xf numFmtId="295" fontId="76" fillId="0" borderId="0" applyFont="0" applyFill="0" applyBorder="0" applyAlignment="0" applyProtection="0"/>
    <xf numFmtId="295" fontId="76" fillId="0" borderId="0" applyFont="0" applyFill="0" applyBorder="0" applyAlignment="0" applyProtection="0"/>
    <xf numFmtId="295" fontId="76" fillId="0" borderId="0" applyFont="0" applyFill="0" applyBorder="0" applyAlignment="0" applyProtection="0"/>
    <xf numFmtId="295" fontId="76" fillId="0" borderId="0" applyFont="0" applyFill="0" applyBorder="0" applyAlignment="0" applyProtection="0"/>
    <xf numFmtId="295" fontId="76" fillId="0" borderId="0" applyFont="0" applyFill="0" applyBorder="0" applyAlignment="0" applyProtection="0"/>
    <xf numFmtId="295" fontId="76" fillId="0" borderId="0" applyFont="0" applyFill="0" applyBorder="0" applyAlignment="0" applyProtection="0"/>
    <xf numFmtId="295" fontId="76" fillId="0" borderId="0" applyFont="0" applyFill="0" applyBorder="0" applyAlignment="0" applyProtection="0"/>
    <xf numFmtId="295" fontId="76" fillId="0" borderId="0" applyFont="0" applyFill="0" applyBorder="0" applyAlignment="0" applyProtection="0"/>
    <xf numFmtId="298" fontId="234" fillId="0" borderId="65" applyFont="0" applyFill="0" applyBorder="0" applyAlignment="0" applyProtection="0"/>
    <xf numFmtId="298" fontId="234" fillId="0" borderId="65" applyFont="0" applyFill="0" applyBorder="0" applyAlignment="0" applyProtection="0"/>
    <xf numFmtId="295" fontId="76" fillId="0" borderId="0" applyFont="0" applyFill="0" applyBorder="0" applyAlignment="0" applyProtection="0"/>
    <xf numFmtId="0" fontId="171" fillId="0" borderId="0" applyFill="0" applyBorder="0" applyProtection="0">
      <alignment vertical="center"/>
    </xf>
    <xf numFmtId="0" fontId="171" fillId="0" borderId="0" applyFill="0" applyBorder="0" applyProtection="0">
      <alignment vertical="center"/>
    </xf>
    <xf numFmtId="178" fontId="171" fillId="0" borderId="0" applyFill="0" applyBorder="0" applyProtection="0">
      <alignment vertical="center"/>
    </xf>
    <xf numFmtId="178" fontId="171" fillId="0" borderId="0" applyFill="0" applyBorder="0" applyProtection="0">
      <alignment vertical="center"/>
    </xf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178" fontId="18" fillId="0" borderId="0"/>
    <xf numFmtId="0" fontId="70" fillId="0" borderId="0"/>
    <xf numFmtId="167" fontId="74" fillId="0" borderId="0"/>
    <xf numFmtId="0" fontId="239" fillId="121" borderId="0" applyNumberFormat="0" applyBorder="0" applyAlignment="0" applyProtection="0"/>
    <xf numFmtId="178" fontId="239" fillId="121" borderId="0" applyNumberFormat="0" applyBorder="0" applyAlignment="0" applyProtection="0"/>
    <xf numFmtId="178" fontId="239" fillId="121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8" fillId="4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8" fillId="4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8" fillId="4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8" fillId="4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8" fillId="4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8" fillId="4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8" fillId="4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8" fillId="4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8" fillId="4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8" fillId="4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8" fillId="4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8" fillId="4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8" fillId="4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8" fillId="4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8" fillId="4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8" fillId="4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8" fillId="4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8" fillId="4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8" fillId="4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8" fillId="4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8" fillId="4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8" fillId="4" borderId="0" applyNumberFormat="0" applyBorder="0" applyAlignment="0" applyProtection="0"/>
    <xf numFmtId="188" fontId="8" fillId="4" borderId="0" applyNumberFormat="0" applyBorder="0" applyAlignment="0" applyProtection="0"/>
    <xf numFmtId="178" fontId="8" fillId="4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88" fontId="8" fillId="4" borderId="0" applyNumberFormat="0" applyBorder="0" applyAlignment="0" applyProtection="0"/>
    <xf numFmtId="178" fontId="8" fillId="4" borderId="0" applyNumberFormat="0" applyBorder="0" applyAlignment="0" applyProtection="0"/>
    <xf numFmtId="188" fontId="8" fillId="4" borderId="0" applyNumberFormat="0" applyBorder="0" applyAlignment="0" applyProtection="0"/>
    <xf numFmtId="178" fontId="8" fillId="4" borderId="0" applyNumberFormat="0" applyBorder="0" applyAlignment="0" applyProtection="0"/>
    <xf numFmtId="188" fontId="8" fillId="4" borderId="0" applyNumberFormat="0" applyBorder="0" applyAlignment="0" applyProtection="0"/>
    <xf numFmtId="178" fontId="8" fillId="4" borderId="0" applyNumberFormat="0" applyBorder="0" applyAlignment="0" applyProtection="0"/>
    <xf numFmtId="188" fontId="8" fillId="4" borderId="0" applyNumberFormat="0" applyBorder="0" applyAlignment="0" applyProtection="0"/>
    <xf numFmtId="178" fontId="8" fillId="4" borderId="0" applyNumberFormat="0" applyBorder="0" applyAlignment="0" applyProtection="0"/>
    <xf numFmtId="188" fontId="8" fillId="4" borderId="0" applyNumberFormat="0" applyBorder="0" applyAlignment="0" applyProtection="0"/>
    <xf numFmtId="178" fontId="8" fillId="4" borderId="0" applyNumberFormat="0" applyBorder="0" applyAlignment="0" applyProtection="0"/>
    <xf numFmtId="188" fontId="8" fillId="4" borderId="0" applyNumberFormat="0" applyBorder="0" applyAlignment="0" applyProtection="0"/>
    <xf numFmtId="178" fontId="8" fillId="4" borderId="0" applyNumberFormat="0" applyBorder="0" applyAlignment="0" applyProtection="0"/>
    <xf numFmtId="188" fontId="8" fillId="4" borderId="0" applyNumberFormat="0" applyBorder="0" applyAlignment="0" applyProtection="0"/>
    <xf numFmtId="178" fontId="8" fillId="4" borderId="0" applyNumberFormat="0" applyBorder="0" applyAlignment="0" applyProtection="0"/>
    <xf numFmtId="188" fontId="8" fillId="4" borderId="0" applyNumberFormat="0" applyBorder="0" applyAlignment="0" applyProtection="0"/>
    <xf numFmtId="178" fontId="8" fillId="4" borderId="0" applyNumberFormat="0" applyBorder="0" applyAlignment="0" applyProtection="0"/>
    <xf numFmtId="188" fontId="8" fillId="4" borderId="0" applyNumberFormat="0" applyBorder="0" applyAlignment="0" applyProtection="0"/>
    <xf numFmtId="178" fontId="8" fillId="4" borderId="0" applyNumberFormat="0" applyBorder="0" applyAlignment="0" applyProtection="0"/>
    <xf numFmtId="188" fontId="8" fillId="4" borderId="0" applyNumberFormat="0" applyBorder="0" applyAlignment="0" applyProtection="0"/>
    <xf numFmtId="178" fontId="8" fillId="4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88" fontId="8" fillId="4" borderId="0" applyNumberFormat="0" applyBorder="0" applyAlignment="0" applyProtection="0"/>
    <xf numFmtId="178" fontId="8" fillId="4" borderId="0" applyNumberFormat="0" applyBorder="0" applyAlignment="0" applyProtection="0"/>
    <xf numFmtId="188" fontId="8" fillId="4" borderId="0" applyNumberFormat="0" applyBorder="0" applyAlignment="0" applyProtection="0"/>
    <xf numFmtId="178" fontId="8" fillId="4" borderId="0" applyNumberFormat="0" applyBorder="0" applyAlignment="0" applyProtection="0"/>
    <xf numFmtId="188" fontId="8" fillId="4" borderId="0" applyNumberFormat="0" applyBorder="0" applyAlignment="0" applyProtection="0"/>
    <xf numFmtId="178" fontId="8" fillId="4" borderId="0" applyNumberFormat="0" applyBorder="0" applyAlignment="0" applyProtection="0"/>
    <xf numFmtId="188" fontId="8" fillId="4" borderId="0" applyNumberFormat="0" applyBorder="0" applyAlignment="0" applyProtection="0"/>
    <xf numFmtId="178" fontId="8" fillId="4" borderId="0" applyNumberFormat="0" applyBorder="0" applyAlignment="0" applyProtection="0"/>
    <xf numFmtId="188" fontId="8" fillId="4" borderId="0" applyNumberFormat="0" applyBorder="0" applyAlignment="0" applyProtection="0"/>
    <xf numFmtId="178" fontId="8" fillId="4" borderId="0" applyNumberFormat="0" applyBorder="0" applyAlignment="0" applyProtection="0"/>
    <xf numFmtId="188" fontId="8" fillId="4" borderId="0" applyNumberFormat="0" applyBorder="0" applyAlignment="0" applyProtection="0"/>
    <xf numFmtId="178" fontId="8" fillId="4" borderId="0" applyNumberFormat="0" applyBorder="0" applyAlignment="0" applyProtection="0"/>
    <xf numFmtId="188" fontId="8" fillId="4" borderId="0" applyNumberFormat="0" applyBorder="0" applyAlignment="0" applyProtection="0"/>
    <xf numFmtId="178" fontId="8" fillId="4" borderId="0" applyNumberFormat="0" applyBorder="0" applyAlignment="0" applyProtection="0"/>
    <xf numFmtId="188" fontId="8" fillId="4" borderId="0" applyNumberFormat="0" applyBorder="0" applyAlignment="0" applyProtection="0"/>
    <xf numFmtId="178" fontId="8" fillId="4" borderId="0" applyNumberFormat="0" applyBorder="0" applyAlignment="0" applyProtection="0"/>
    <xf numFmtId="188" fontId="8" fillId="4" borderId="0" applyNumberFormat="0" applyBorder="0" applyAlignment="0" applyProtection="0"/>
    <xf numFmtId="178" fontId="8" fillId="4" borderId="0" applyNumberFormat="0" applyBorder="0" applyAlignment="0" applyProtection="0"/>
    <xf numFmtId="188" fontId="8" fillId="4" borderId="0" applyNumberFormat="0" applyBorder="0" applyAlignment="0" applyProtection="0"/>
    <xf numFmtId="178" fontId="8" fillId="4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88" fontId="8" fillId="4" borderId="0" applyNumberFormat="0" applyBorder="0" applyAlignment="0" applyProtection="0"/>
    <xf numFmtId="178" fontId="8" fillId="4" borderId="0" applyNumberFormat="0" applyBorder="0" applyAlignment="0" applyProtection="0"/>
    <xf numFmtId="188" fontId="8" fillId="4" borderId="0" applyNumberFormat="0" applyBorder="0" applyAlignment="0" applyProtection="0"/>
    <xf numFmtId="178" fontId="8" fillId="4" borderId="0" applyNumberFormat="0" applyBorder="0" applyAlignment="0" applyProtection="0"/>
    <xf numFmtId="188" fontId="8" fillId="4" borderId="0" applyNumberFormat="0" applyBorder="0" applyAlignment="0" applyProtection="0"/>
    <xf numFmtId="178" fontId="8" fillId="4" borderId="0" applyNumberFormat="0" applyBorder="0" applyAlignment="0" applyProtection="0"/>
    <xf numFmtId="188" fontId="8" fillId="4" borderId="0" applyNumberFormat="0" applyBorder="0" applyAlignment="0" applyProtection="0"/>
    <xf numFmtId="178" fontId="8" fillId="4" borderId="0" applyNumberFormat="0" applyBorder="0" applyAlignment="0" applyProtection="0"/>
    <xf numFmtId="188" fontId="8" fillId="4" borderId="0" applyNumberFormat="0" applyBorder="0" applyAlignment="0" applyProtection="0"/>
    <xf numFmtId="178" fontId="8" fillId="4" borderId="0" applyNumberFormat="0" applyBorder="0" applyAlignment="0" applyProtection="0"/>
    <xf numFmtId="188" fontId="8" fillId="4" borderId="0" applyNumberFormat="0" applyBorder="0" applyAlignment="0" applyProtection="0"/>
    <xf numFmtId="178" fontId="8" fillId="4" borderId="0" applyNumberFormat="0" applyBorder="0" applyAlignment="0" applyProtection="0"/>
    <xf numFmtId="188" fontId="8" fillId="4" borderId="0" applyNumberFormat="0" applyBorder="0" applyAlignment="0" applyProtection="0"/>
    <xf numFmtId="178" fontId="8" fillId="4" borderId="0" applyNumberFormat="0" applyBorder="0" applyAlignment="0" applyProtection="0"/>
    <xf numFmtId="188" fontId="8" fillId="4" borderId="0" applyNumberFormat="0" applyBorder="0" applyAlignment="0" applyProtection="0"/>
    <xf numFmtId="178" fontId="8" fillId="4" borderId="0" applyNumberFormat="0" applyBorder="0" applyAlignment="0" applyProtection="0"/>
    <xf numFmtId="188" fontId="8" fillId="4" borderId="0" applyNumberFormat="0" applyBorder="0" applyAlignment="0" applyProtection="0"/>
    <xf numFmtId="178" fontId="8" fillId="4" borderId="0" applyNumberFormat="0" applyBorder="0" applyAlignment="0" applyProtection="0"/>
    <xf numFmtId="188" fontId="8" fillId="4" borderId="0" applyNumberFormat="0" applyBorder="0" applyAlignment="0" applyProtection="0"/>
    <xf numFmtId="178" fontId="8" fillId="4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88" fontId="8" fillId="4" borderId="0" applyNumberFormat="0" applyBorder="0" applyAlignment="0" applyProtection="0"/>
    <xf numFmtId="178" fontId="8" fillId="4" borderId="0" applyNumberFormat="0" applyBorder="0" applyAlignment="0" applyProtection="0"/>
    <xf numFmtId="188" fontId="8" fillId="4" borderId="0" applyNumberFormat="0" applyBorder="0" applyAlignment="0" applyProtection="0"/>
    <xf numFmtId="178" fontId="8" fillId="4" borderId="0" applyNumberFormat="0" applyBorder="0" applyAlignment="0" applyProtection="0"/>
    <xf numFmtId="188" fontId="8" fillId="4" borderId="0" applyNumberFormat="0" applyBorder="0" applyAlignment="0" applyProtection="0"/>
    <xf numFmtId="178" fontId="8" fillId="4" borderId="0" applyNumberFormat="0" applyBorder="0" applyAlignment="0" applyProtection="0"/>
    <xf numFmtId="188" fontId="8" fillId="4" borderId="0" applyNumberFormat="0" applyBorder="0" applyAlignment="0" applyProtection="0"/>
    <xf numFmtId="178" fontId="8" fillId="4" borderId="0" applyNumberFormat="0" applyBorder="0" applyAlignment="0" applyProtection="0"/>
    <xf numFmtId="188" fontId="8" fillId="4" borderId="0" applyNumberFormat="0" applyBorder="0" applyAlignment="0" applyProtection="0"/>
    <xf numFmtId="178" fontId="8" fillId="4" borderId="0" applyNumberFormat="0" applyBorder="0" applyAlignment="0" applyProtection="0"/>
    <xf numFmtId="188" fontId="8" fillId="4" borderId="0" applyNumberFormat="0" applyBorder="0" applyAlignment="0" applyProtection="0"/>
    <xf numFmtId="178" fontId="8" fillId="4" borderId="0" applyNumberFormat="0" applyBorder="0" applyAlignment="0" applyProtection="0"/>
    <xf numFmtId="188" fontId="8" fillId="4" borderId="0" applyNumberFormat="0" applyBorder="0" applyAlignment="0" applyProtection="0"/>
    <xf numFmtId="178" fontId="8" fillId="4" borderId="0" applyNumberFormat="0" applyBorder="0" applyAlignment="0" applyProtection="0"/>
    <xf numFmtId="188" fontId="8" fillId="4" borderId="0" applyNumberFormat="0" applyBorder="0" applyAlignment="0" applyProtection="0"/>
    <xf numFmtId="178" fontId="8" fillId="4" borderId="0" applyNumberFormat="0" applyBorder="0" applyAlignment="0" applyProtection="0"/>
    <xf numFmtId="188" fontId="8" fillId="4" borderId="0" applyNumberFormat="0" applyBorder="0" applyAlignment="0" applyProtection="0"/>
    <xf numFmtId="178" fontId="8" fillId="4" borderId="0" applyNumberFormat="0" applyBorder="0" applyAlignment="0" applyProtection="0"/>
    <xf numFmtId="0" fontId="155" fillId="102" borderId="0" applyNumberFormat="0" applyBorder="0" applyAlignment="0" applyProtection="0"/>
    <xf numFmtId="188" fontId="239" fillId="121" borderId="0" applyNumberFormat="0" applyBorder="0" applyAlignment="0" applyProtection="0"/>
    <xf numFmtId="188" fontId="8" fillId="4" borderId="0" applyNumberFormat="0" applyBorder="0" applyAlignment="0" applyProtection="0"/>
    <xf numFmtId="188" fontId="239" fillId="121" borderId="0" applyNumberFormat="0" applyBorder="0" applyAlignment="0" applyProtection="0"/>
    <xf numFmtId="188" fontId="240" fillId="4" borderId="0" applyNumberFormat="0" applyBorder="0" applyAlignment="0" applyProtection="0"/>
    <xf numFmtId="178" fontId="240" fillId="4" borderId="0" applyNumberFormat="0" applyBorder="0" applyAlignment="0" applyProtection="0"/>
    <xf numFmtId="178" fontId="239" fillId="121" borderId="0" applyNumberFormat="0" applyBorder="0" applyAlignment="0" applyProtection="0"/>
    <xf numFmtId="178" fontId="8" fillId="4" borderId="0" applyNumberFormat="0" applyBorder="0" applyAlignment="0" applyProtection="0"/>
    <xf numFmtId="188" fontId="8" fillId="4" borderId="0" applyNumberFormat="0" applyBorder="0" applyAlignment="0" applyProtection="0"/>
    <xf numFmtId="178" fontId="8" fillId="4" borderId="0" applyNumberFormat="0" applyBorder="0" applyAlignment="0" applyProtection="0"/>
    <xf numFmtId="188" fontId="8" fillId="4" borderId="0" applyNumberFormat="0" applyBorder="0" applyAlignment="0" applyProtection="0"/>
    <xf numFmtId="178" fontId="8" fillId="4" borderId="0" applyNumberFormat="0" applyBorder="0" applyAlignment="0" applyProtection="0"/>
    <xf numFmtId="178" fontId="239" fillId="121" borderId="0" applyNumberFormat="0" applyBorder="0" applyAlignment="0" applyProtection="0"/>
    <xf numFmtId="188" fontId="239" fillId="121" borderId="0" applyNumberFormat="0" applyBorder="0" applyAlignment="0" applyProtection="0"/>
    <xf numFmtId="178" fontId="239" fillId="121" borderId="0" applyNumberFormat="0" applyBorder="0" applyAlignment="0" applyProtection="0"/>
    <xf numFmtId="188" fontId="239" fillId="121" borderId="0" applyNumberFormat="0" applyBorder="0" applyAlignment="0" applyProtection="0"/>
    <xf numFmtId="178" fontId="239" fillId="121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188" fontId="240" fillId="4" borderId="0" applyNumberFormat="0" applyBorder="0" applyAlignment="0" applyProtection="0"/>
    <xf numFmtId="178" fontId="240" fillId="4" borderId="0" applyNumberFormat="0" applyBorder="0" applyAlignment="0" applyProtection="0"/>
    <xf numFmtId="188" fontId="240" fillId="4" borderId="0" applyNumberFormat="0" applyBorder="0" applyAlignment="0" applyProtection="0"/>
    <xf numFmtId="178" fontId="240" fillId="4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188" fontId="240" fillId="4" borderId="0" applyNumberFormat="0" applyBorder="0" applyAlignment="0" applyProtection="0"/>
    <xf numFmtId="178" fontId="240" fillId="4" borderId="0" applyNumberFormat="0" applyBorder="0" applyAlignment="0" applyProtection="0"/>
    <xf numFmtId="188" fontId="240" fillId="4" borderId="0" applyNumberFormat="0" applyBorder="0" applyAlignment="0" applyProtection="0"/>
    <xf numFmtId="178" fontId="240" fillId="4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188" fontId="240" fillId="4" borderId="0" applyNumberFormat="0" applyBorder="0" applyAlignment="0" applyProtection="0"/>
    <xf numFmtId="178" fontId="240" fillId="4" borderId="0" applyNumberFormat="0" applyBorder="0" applyAlignment="0" applyProtection="0"/>
    <xf numFmtId="188" fontId="240" fillId="4" borderId="0" applyNumberFormat="0" applyBorder="0" applyAlignment="0" applyProtection="0"/>
    <xf numFmtId="178" fontId="240" fillId="4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188" fontId="8" fillId="4" borderId="0" applyNumberFormat="0" applyBorder="0" applyAlignment="0" applyProtection="0"/>
    <xf numFmtId="178" fontId="8" fillId="4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188" fontId="240" fillId="4" borderId="0" applyNumberFormat="0" applyBorder="0" applyAlignment="0" applyProtection="0"/>
    <xf numFmtId="178" fontId="240" fillId="4" borderId="0" applyNumberFormat="0" applyBorder="0" applyAlignment="0" applyProtection="0"/>
    <xf numFmtId="188" fontId="240" fillId="4" borderId="0" applyNumberFormat="0" applyBorder="0" applyAlignment="0" applyProtection="0"/>
    <xf numFmtId="178" fontId="240" fillId="4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188" fontId="240" fillId="4" borderId="0" applyNumberFormat="0" applyBorder="0" applyAlignment="0" applyProtection="0"/>
    <xf numFmtId="178" fontId="240" fillId="4" borderId="0" applyNumberFormat="0" applyBorder="0" applyAlignment="0" applyProtection="0"/>
    <xf numFmtId="188" fontId="240" fillId="4" borderId="0" applyNumberFormat="0" applyBorder="0" applyAlignment="0" applyProtection="0"/>
    <xf numFmtId="178" fontId="240" fillId="4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188" fontId="240" fillId="4" borderId="0" applyNumberFormat="0" applyBorder="0" applyAlignment="0" applyProtection="0"/>
    <xf numFmtId="178" fontId="240" fillId="4" borderId="0" applyNumberFormat="0" applyBorder="0" applyAlignment="0" applyProtection="0"/>
    <xf numFmtId="188" fontId="240" fillId="4" borderId="0" applyNumberFormat="0" applyBorder="0" applyAlignment="0" applyProtection="0"/>
    <xf numFmtId="178" fontId="240" fillId="4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188" fontId="240" fillId="4" borderId="0" applyNumberFormat="0" applyBorder="0" applyAlignment="0" applyProtection="0"/>
    <xf numFmtId="178" fontId="240" fillId="4" borderId="0" applyNumberFormat="0" applyBorder="0" applyAlignment="0" applyProtection="0"/>
    <xf numFmtId="188" fontId="240" fillId="4" borderId="0" applyNumberFormat="0" applyBorder="0" applyAlignment="0" applyProtection="0"/>
    <xf numFmtId="178" fontId="240" fillId="4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155" fillId="102" borderId="0" applyNumberFormat="0" applyBorder="0" applyAlignment="0" applyProtection="0"/>
    <xf numFmtId="0" fontId="155" fillId="102" borderId="0" applyNumberFormat="0" applyBorder="0" applyAlignment="0" applyProtection="0"/>
    <xf numFmtId="178" fontId="155" fillId="102" borderId="0" applyNumberFormat="0" applyBorder="0" applyAlignment="0" applyProtection="0"/>
    <xf numFmtId="178" fontId="155" fillId="102" borderId="0" applyNumberFormat="0" applyBorder="0" applyAlignment="0" applyProtection="0"/>
    <xf numFmtId="0" fontId="239" fillId="121" borderId="0" applyNumberFormat="0" applyBorder="0" applyAlignment="0" applyProtection="0"/>
    <xf numFmtId="0" fontId="239" fillId="121" borderId="0" applyNumberFormat="0" applyBorder="0" applyAlignment="0" applyProtection="0"/>
    <xf numFmtId="178" fontId="239" fillId="121" borderId="0" applyNumberFormat="0" applyBorder="0" applyAlignment="0" applyProtection="0"/>
    <xf numFmtId="178" fontId="239" fillId="121" borderId="0" applyNumberFormat="0" applyBorder="0" applyAlignment="0" applyProtection="0"/>
    <xf numFmtId="40" fontId="28" fillId="0" borderId="0" applyFont="0" applyFill="0" applyBorder="0" applyAlignment="0" applyProtection="0">
      <alignment horizontal="center"/>
    </xf>
    <xf numFmtId="299" fontId="162" fillId="0" borderId="0"/>
    <xf numFmtId="0" fontId="241" fillId="0" borderId="0">
      <alignment horizontal="left"/>
    </xf>
    <xf numFmtId="0" fontId="241" fillId="0" borderId="0">
      <alignment horizontal="left"/>
    </xf>
    <xf numFmtId="178" fontId="241" fillId="0" borderId="0">
      <alignment horizontal="left"/>
    </xf>
    <xf numFmtId="178" fontId="241" fillId="0" borderId="0">
      <alignment horizontal="left"/>
    </xf>
    <xf numFmtId="37" fontId="18" fillId="0" borderId="0"/>
    <xf numFmtId="37" fontId="18" fillId="0" borderId="0"/>
    <xf numFmtId="37" fontId="67" fillId="0" borderId="0" applyFill="0" applyBorder="0" applyAlignment="0" applyProtection="0"/>
    <xf numFmtId="188" fontId="18" fillId="0" borderId="0"/>
    <xf numFmtId="189" fontId="67" fillId="0" borderId="0"/>
    <xf numFmtId="0" fontId="18" fillId="0" borderId="0"/>
    <xf numFmtId="0" fontId="18" fillId="0" borderId="0"/>
    <xf numFmtId="300" fontId="18" fillId="0" borderId="0"/>
    <xf numFmtId="300" fontId="18" fillId="0" borderId="0"/>
    <xf numFmtId="0" fontId="18" fillId="0" borderId="0"/>
    <xf numFmtId="248" fontId="242" fillId="0" borderId="0"/>
    <xf numFmtId="178" fontId="18" fillId="0" borderId="0"/>
    <xf numFmtId="0" fontId="18" fillId="0" borderId="0"/>
    <xf numFmtId="188" fontId="18" fillId="0" borderId="0"/>
    <xf numFmtId="0" fontId="18" fillId="0" borderId="0"/>
    <xf numFmtId="178" fontId="18" fillId="0" borderId="0"/>
    <xf numFmtId="0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301" fontId="18" fillId="0" borderId="0"/>
    <xf numFmtId="0" fontId="243" fillId="0" borderId="0"/>
    <xf numFmtId="178" fontId="243" fillId="0" borderId="0"/>
    <xf numFmtId="178" fontId="243" fillId="0" borderId="0"/>
    <xf numFmtId="0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301" fontId="18" fillId="0" borderId="0"/>
    <xf numFmtId="0" fontId="243" fillId="0" borderId="0"/>
    <xf numFmtId="178" fontId="243" fillId="0" borderId="0"/>
    <xf numFmtId="178" fontId="243" fillId="0" borderId="0"/>
    <xf numFmtId="0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301" fontId="18" fillId="0" borderId="0"/>
    <xf numFmtId="0" fontId="243" fillId="0" borderId="0"/>
    <xf numFmtId="178" fontId="243" fillId="0" borderId="0"/>
    <xf numFmtId="178" fontId="243" fillId="0" borderId="0"/>
    <xf numFmtId="0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301" fontId="18" fillId="0" borderId="0"/>
    <xf numFmtId="0" fontId="243" fillId="0" borderId="0"/>
    <xf numFmtId="178" fontId="243" fillId="0" borderId="0"/>
    <xf numFmtId="178" fontId="243" fillId="0" borderId="0"/>
    <xf numFmtId="301" fontId="18" fillId="0" borderId="0"/>
    <xf numFmtId="301" fontId="18" fillId="0" borderId="0"/>
    <xf numFmtId="301" fontId="18" fillId="0" borderId="0"/>
    <xf numFmtId="281" fontId="244" fillId="0" borderId="0"/>
    <xf numFmtId="227" fontId="244" fillId="0" borderId="0"/>
    <xf numFmtId="37" fontId="181" fillId="0" borderId="0"/>
    <xf numFmtId="37" fontId="245" fillId="0" borderId="0"/>
    <xf numFmtId="302" fontId="244" fillId="0" borderId="0"/>
    <xf numFmtId="189" fontId="246" fillId="0" borderId="0">
      <alignment horizontal="right"/>
    </xf>
    <xf numFmtId="0" fontId="18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0" fontId="18" fillId="0" borderId="0"/>
    <xf numFmtId="178" fontId="18" fillId="0" borderId="0"/>
    <xf numFmtId="178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0" fontId="1" fillId="0" borderId="0"/>
    <xf numFmtId="178" fontId="1" fillId="0" borderId="0"/>
    <xf numFmtId="0" fontId="18" fillId="0" borderId="0"/>
    <xf numFmtId="178" fontId="18" fillId="0" borderId="0"/>
    <xf numFmtId="178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6" fillId="0" borderId="0"/>
    <xf numFmtId="0" fontId="38" fillId="122" borderId="0"/>
    <xf numFmtId="0" fontId="38" fillId="122" borderId="0"/>
    <xf numFmtId="178" fontId="38" fillId="122" borderId="0"/>
    <xf numFmtId="178" fontId="38" fillId="122" borderId="0"/>
    <xf numFmtId="0" fontId="18" fillId="0" borderId="0"/>
    <xf numFmtId="0" fontId="18" fillId="0" borderId="0"/>
    <xf numFmtId="178" fontId="18" fillId="0" borderId="0"/>
    <xf numFmtId="178" fontId="1" fillId="0" borderId="0"/>
    <xf numFmtId="0" fontId="18" fillId="0" borderId="0"/>
    <xf numFmtId="0" fontId="18" fillId="0" borderId="0"/>
    <xf numFmtId="178" fontId="18" fillId="0" borderId="0"/>
    <xf numFmtId="178" fontId="247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38" fillId="122" borderId="0"/>
    <xf numFmtId="178" fontId="38" fillId="122" borderId="0"/>
    <xf numFmtId="0" fontId="174" fillId="0" borderId="0"/>
    <xf numFmtId="178" fontId="174" fillId="0" borderId="0"/>
    <xf numFmtId="0" fontId="247" fillId="0" borderId="0"/>
    <xf numFmtId="178" fontId="247" fillId="0" borderId="0"/>
    <xf numFmtId="0" fontId="18" fillId="0" borderId="0"/>
    <xf numFmtId="0" fontId="1" fillId="0" borderId="0"/>
    <xf numFmtId="0" fontId="18" fillId="0" borderId="0"/>
    <xf numFmtId="38" fontId="63" fillId="0" borderId="0"/>
    <xf numFmtId="0" fontId="18" fillId="0" borderId="0"/>
    <xf numFmtId="38" fontId="63" fillId="0" borderId="0"/>
    <xf numFmtId="0" fontId="18" fillId="0" borderId="0"/>
    <xf numFmtId="0" fontId="18" fillId="0" borderId="0"/>
    <xf numFmtId="38" fontId="63" fillId="0" borderId="0"/>
    <xf numFmtId="0" fontId="18" fillId="0" borderId="0"/>
    <xf numFmtId="38" fontId="63" fillId="0" borderId="0"/>
    <xf numFmtId="38" fontId="63" fillId="0" borderId="0"/>
    <xf numFmtId="38" fontId="63" fillId="0" borderId="0"/>
    <xf numFmtId="38" fontId="63" fillId="0" borderId="0"/>
    <xf numFmtId="0" fontId="18" fillId="0" borderId="0"/>
    <xf numFmtId="0" fontId="18" fillId="0" borderId="0"/>
    <xf numFmtId="0" fontId="18" fillId="0" borderId="0"/>
    <xf numFmtId="38" fontId="63" fillId="0" borderId="0"/>
    <xf numFmtId="38" fontId="63" fillId="0" borderId="0"/>
    <xf numFmtId="38" fontId="63" fillId="0" borderId="0"/>
    <xf numFmtId="38" fontId="63" fillId="0" borderId="0"/>
    <xf numFmtId="38" fontId="63" fillId="0" borderId="0"/>
    <xf numFmtId="38" fontId="63" fillId="0" borderId="0"/>
    <xf numFmtId="38" fontId="63" fillId="0" borderId="0"/>
    <xf numFmtId="38" fontId="63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38" fontId="63" fillId="0" borderId="0"/>
    <xf numFmtId="38" fontId="63" fillId="0" borderId="0"/>
    <xf numFmtId="188" fontId="1" fillId="0" borderId="0"/>
    <xf numFmtId="188" fontId="1" fillId="0" borderId="0"/>
    <xf numFmtId="188" fontId="1" fillId="0" borderId="0"/>
    <xf numFmtId="188" fontId="1" fillId="0" borderId="0"/>
    <xf numFmtId="0" fontId="1" fillId="0" borderId="0"/>
    <xf numFmtId="178" fontId="1" fillId="0" borderId="0"/>
    <xf numFmtId="0" fontId="18" fillId="0" borderId="0"/>
    <xf numFmtId="178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178" fontId="18" fillId="0" borderId="0"/>
    <xf numFmtId="178" fontId="18" fillId="0" borderId="0">
      <alignment vertical="top"/>
    </xf>
    <xf numFmtId="188" fontId="18" fillId="0" borderId="0">
      <alignment vertical="top"/>
    </xf>
    <xf numFmtId="178" fontId="18" fillId="0" borderId="0">
      <alignment vertical="top"/>
    </xf>
    <xf numFmtId="0" fontId="247" fillId="0" borderId="0"/>
    <xf numFmtId="178" fontId="247" fillId="0" borderId="0"/>
    <xf numFmtId="178" fontId="1" fillId="0" borderId="0"/>
    <xf numFmtId="188" fontId="1" fillId="0" borderId="0"/>
    <xf numFmtId="188" fontId="1" fillId="0" borderId="0"/>
    <xf numFmtId="0" fontId="1" fillId="0" borderId="0"/>
    <xf numFmtId="188" fontId="18" fillId="0" borderId="0">
      <alignment vertical="top"/>
    </xf>
    <xf numFmtId="178" fontId="18" fillId="0" borderId="0">
      <alignment vertical="top"/>
    </xf>
    <xf numFmtId="188" fontId="1" fillId="0" borderId="0"/>
    <xf numFmtId="188" fontId="1" fillId="0" borderId="0"/>
    <xf numFmtId="188" fontId="1" fillId="0" borderId="0"/>
    <xf numFmtId="188" fontId="1" fillId="0" borderId="0"/>
    <xf numFmtId="188" fontId="1" fillId="0" borderId="0"/>
    <xf numFmtId="188" fontId="1" fillId="0" borderId="0"/>
    <xf numFmtId="188" fontId="18" fillId="0" borderId="0"/>
    <xf numFmtId="178" fontId="18" fillId="0" borderId="0"/>
    <xf numFmtId="18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38" fillId="122" borderId="0"/>
    <xf numFmtId="0" fontId="18" fillId="0" borderId="0"/>
    <xf numFmtId="0" fontId="18" fillId="0" borderId="0"/>
    <xf numFmtId="178" fontId="18" fillId="0" borderId="0"/>
    <xf numFmtId="178" fontId="38" fillId="122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74" fillId="0" borderId="0"/>
    <xf numFmtId="178" fontId="174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" fillId="0" borderId="0"/>
    <xf numFmtId="178" fontId="1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8" fillId="0" borderId="0"/>
    <xf numFmtId="0" fontId="18" fillId="0" borderId="0"/>
    <xf numFmtId="178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122" borderId="0"/>
    <xf numFmtId="178" fontId="38" fillId="122" borderId="0"/>
    <xf numFmtId="178" fontId="1" fillId="0" borderId="0"/>
    <xf numFmtId="0" fontId="73" fillId="0" borderId="0"/>
    <xf numFmtId="188" fontId="1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0" fontId="174" fillId="0" borderId="0"/>
    <xf numFmtId="178" fontId="174" fillId="0" borderId="0"/>
    <xf numFmtId="0" fontId="18" fillId="0" borderId="0"/>
    <xf numFmtId="178" fontId="18" fillId="0" borderId="0"/>
    <xf numFmtId="0" fontId="1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0" fontId="1" fillId="0" borderId="0"/>
    <xf numFmtId="0" fontId="138" fillId="0" borderId="0"/>
    <xf numFmtId="0" fontId="18" fillId="0" borderId="0">
      <alignment vertical="top"/>
    </xf>
    <xf numFmtId="0" fontId="18" fillId="0" borderId="0">
      <alignment vertical="top"/>
    </xf>
    <xf numFmtId="178" fontId="18" fillId="0" borderId="0">
      <alignment vertical="top"/>
    </xf>
    <xf numFmtId="178" fontId="18" fillId="0" borderId="0">
      <alignment vertical="top"/>
    </xf>
    <xf numFmtId="0" fontId="38" fillId="122" borderId="0"/>
    <xf numFmtId="0" fontId="38" fillId="122" borderId="0"/>
    <xf numFmtId="178" fontId="38" fillId="122" borderId="0"/>
    <xf numFmtId="178" fontId="18" fillId="0" borderId="0">
      <alignment vertical="top"/>
    </xf>
    <xf numFmtId="188" fontId="1" fillId="0" borderId="0"/>
    <xf numFmtId="188" fontId="1" fillId="0" borderId="0"/>
    <xf numFmtId="0" fontId="174" fillId="0" borderId="0"/>
    <xf numFmtId="178" fontId="174" fillId="0" borderId="0"/>
    <xf numFmtId="0" fontId="18" fillId="0" borderId="0"/>
    <xf numFmtId="178" fontId="18" fillId="0" borderId="0"/>
    <xf numFmtId="0" fontId="22" fillId="0" borderId="0"/>
    <xf numFmtId="178" fontId="22" fillId="0" borderId="0"/>
    <xf numFmtId="0" fontId="1" fillId="0" borderId="0"/>
    <xf numFmtId="0" fontId="1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0" fontId="38" fillId="122" borderId="0"/>
    <xf numFmtId="0" fontId="18" fillId="0" borderId="0"/>
    <xf numFmtId="188" fontId="1" fillId="0" borderId="0"/>
    <xf numFmtId="188" fontId="1" fillId="0" borderId="0"/>
    <xf numFmtId="188" fontId="1" fillId="0" borderId="0"/>
    <xf numFmtId="188" fontId="1" fillId="0" borderId="0"/>
    <xf numFmtId="188" fontId="1" fillId="0" borderId="0"/>
    <xf numFmtId="188" fontId="18" fillId="0" borderId="0"/>
    <xf numFmtId="178" fontId="18" fillId="0" borderId="0"/>
    <xf numFmtId="0" fontId="18" fillId="0" borderId="0"/>
    <xf numFmtId="178" fontId="18" fillId="0" borderId="0"/>
    <xf numFmtId="0" fontId="38" fillId="122" borderId="0"/>
    <xf numFmtId="178" fontId="38" fillId="122" borderId="0"/>
    <xf numFmtId="178" fontId="18" fillId="0" borderId="0"/>
    <xf numFmtId="0" fontId="1" fillId="0" borderId="0"/>
    <xf numFmtId="188" fontId="18" fillId="0" borderId="0"/>
    <xf numFmtId="0" fontId="1" fillId="0" borderId="0"/>
    <xf numFmtId="178" fontId="1" fillId="0" borderId="0"/>
    <xf numFmtId="178" fontId="18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0" fontId="38" fillId="122" borderId="0"/>
    <xf numFmtId="188" fontId="1" fillId="0" borderId="0"/>
    <xf numFmtId="188" fontId="1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0" fontId="173" fillId="0" borderId="0"/>
    <xf numFmtId="178" fontId="173" fillId="0" borderId="0"/>
    <xf numFmtId="0" fontId="38" fillId="122" borderId="0"/>
    <xf numFmtId="178" fontId="38" fillId="122" borderId="0"/>
    <xf numFmtId="178" fontId="18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188" fontId="243" fillId="0" borderId="0">
      <alignment vertical="top"/>
    </xf>
    <xf numFmtId="178" fontId="243" fillId="0" borderId="0">
      <alignment vertical="top"/>
    </xf>
    <xf numFmtId="188" fontId="38" fillId="122" borderId="0"/>
    <xf numFmtId="0" fontId="38" fillId="122" borderId="0"/>
    <xf numFmtId="188" fontId="18" fillId="0" borderId="0"/>
    <xf numFmtId="178" fontId="18" fillId="0" borderId="0"/>
    <xf numFmtId="0" fontId="38" fillId="122" borderId="0"/>
    <xf numFmtId="38" fontId="63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0" fontId="38" fillId="122" borderId="0"/>
    <xf numFmtId="178" fontId="38" fillId="122" borderId="0"/>
    <xf numFmtId="178" fontId="18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188" fontId="18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0" fontId="38" fillId="122" borderId="0"/>
    <xf numFmtId="38" fontId="63" fillId="0" borderId="0"/>
    <xf numFmtId="0" fontId="38" fillId="122" borderId="0"/>
    <xf numFmtId="178" fontId="38" fillId="122" borderId="0"/>
    <xf numFmtId="178" fontId="18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188" fontId="18" fillId="0" borderId="0"/>
    <xf numFmtId="178" fontId="18" fillId="0" borderId="0"/>
    <xf numFmtId="188" fontId="174" fillId="0" borderId="0"/>
    <xf numFmtId="178" fontId="174" fillId="0" borderId="0"/>
    <xf numFmtId="0" fontId="18" fillId="0" borderId="0"/>
    <xf numFmtId="0" fontId="18" fillId="0" borderId="0"/>
    <xf numFmtId="178" fontId="18" fillId="0" borderId="0"/>
    <xf numFmtId="0" fontId="38" fillId="122" borderId="0"/>
    <xf numFmtId="38" fontId="63" fillId="0" borderId="0"/>
    <xf numFmtId="0" fontId="38" fillId="122" borderId="0"/>
    <xf numFmtId="178" fontId="38" fillId="122" borderId="0"/>
    <xf numFmtId="178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178" fontId="18" fillId="0" borderId="0"/>
    <xf numFmtId="0" fontId="18" fillId="0" borderId="0"/>
    <xf numFmtId="0" fontId="18" fillId="0" borderId="0"/>
    <xf numFmtId="0" fontId="1" fillId="0" borderId="0"/>
    <xf numFmtId="178" fontId="1" fillId="0" borderId="0"/>
    <xf numFmtId="0" fontId="1" fillId="0" borderId="0"/>
    <xf numFmtId="178" fontId="1" fillId="0" borderId="0"/>
    <xf numFmtId="0" fontId="1" fillId="0" borderId="0"/>
    <xf numFmtId="178" fontId="1" fillId="0" borderId="0"/>
    <xf numFmtId="0" fontId="1" fillId="0" borderId="0"/>
    <xf numFmtId="178" fontId="1" fillId="0" borderId="0"/>
    <xf numFmtId="0" fontId="1" fillId="0" borderId="0"/>
    <xf numFmtId="178" fontId="1" fillId="0" borderId="0"/>
    <xf numFmtId="0" fontId="1" fillId="0" borderId="0"/>
    <xf numFmtId="178" fontId="1" fillId="0" borderId="0"/>
    <xf numFmtId="0" fontId="1" fillId="0" borderId="0"/>
    <xf numFmtId="1" fontId="18" fillId="0" borderId="0" applyFill="0" applyBorder="0" applyAlignment="0" applyProtection="0">
      <alignment horizontal="center"/>
    </xf>
    <xf numFmtId="1" fontId="248" fillId="0" borderId="0" applyFill="0" applyBorder="0">
      <alignment horizontal="center"/>
    </xf>
    <xf numFmtId="39" fontId="67" fillId="0" borderId="0"/>
    <xf numFmtId="0" fontId="249" fillId="0" borderId="0"/>
    <xf numFmtId="0" fontId="18" fillId="0" borderId="0">
      <alignment horizontal="right"/>
    </xf>
    <xf numFmtId="0" fontId="18" fillId="0" borderId="0">
      <alignment horizontal="right"/>
    </xf>
    <xf numFmtId="178" fontId="18" fillId="0" borderId="0">
      <alignment horizontal="right"/>
    </xf>
    <xf numFmtId="178" fontId="18" fillId="0" borderId="0">
      <alignment horizontal="right"/>
    </xf>
    <xf numFmtId="0" fontId="235" fillId="0" borderId="0"/>
    <xf numFmtId="0" fontId="235" fillId="0" borderId="0"/>
    <xf numFmtId="178" fontId="235" fillId="0" borderId="0"/>
    <xf numFmtId="178" fontId="235" fillId="0" borderId="0"/>
    <xf numFmtId="303" fontId="171" fillId="0" borderId="0" applyFill="0" applyBorder="0" applyProtection="0">
      <alignment vertical="center"/>
    </xf>
    <xf numFmtId="0" fontId="18" fillId="0" borderId="0"/>
    <xf numFmtId="0" fontId="18" fillId="0" borderId="0"/>
    <xf numFmtId="178" fontId="18" fillId="0" borderId="0"/>
    <xf numFmtId="178" fontId="18" fillId="0" borderId="0"/>
    <xf numFmtId="2" fontId="18" fillId="0" borderId="0" applyNumberFormat="0" applyBorder="0" applyAlignment="0">
      <alignment horizontal="left"/>
    </xf>
    <xf numFmtId="0" fontId="67" fillId="0" borderId="0"/>
    <xf numFmtId="248" fontId="18" fillId="0" borderId="0">
      <alignment horizontal="right"/>
    </xf>
    <xf numFmtId="0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250" fillId="0" borderId="0"/>
    <xf numFmtId="178" fontId="250" fillId="0" borderId="0"/>
    <xf numFmtId="178" fontId="250" fillId="0" borderId="0"/>
    <xf numFmtId="0" fontId="18" fillId="0" borderId="0"/>
    <xf numFmtId="188" fontId="60" fillId="0" borderId="0"/>
    <xf numFmtId="178" fontId="60" fillId="0" borderId="0"/>
    <xf numFmtId="188" fontId="60" fillId="0" borderId="0"/>
    <xf numFmtId="178" fontId="60" fillId="0" borderId="0"/>
    <xf numFmtId="188" fontId="60" fillId="0" borderId="0"/>
    <xf numFmtId="178" fontId="60" fillId="0" borderId="0"/>
    <xf numFmtId="188" fontId="66" fillId="0" borderId="0"/>
    <xf numFmtId="188" fontId="66" fillId="0" borderId="0"/>
    <xf numFmtId="40" fontId="18" fillId="0" borderId="0" applyBorder="0">
      <alignment horizontal="right"/>
    </xf>
    <xf numFmtId="0" fontId="18" fillId="59" borderId="52" applyNumberFormat="0" applyFont="0" applyAlignment="0" applyProtection="0"/>
    <xf numFmtId="0" fontId="18" fillId="59" borderId="52" applyNumberFormat="0" applyFont="0" applyAlignment="0" applyProtection="0"/>
    <xf numFmtId="178" fontId="18" fillId="59" borderId="52" applyNumberFormat="0" applyFont="0" applyAlignment="0" applyProtection="0"/>
    <xf numFmtId="0" fontId="18" fillId="59" borderId="52" applyNumberFormat="0" applyFont="0" applyAlignment="0" applyProtection="0"/>
    <xf numFmtId="0" fontId="18" fillId="59" borderId="52" applyNumberFormat="0" applyFont="0" applyAlignment="0" applyProtection="0"/>
    <xf numFmtId="178" fontId="18" fillId="59" borderId="52" applyNumberFormat="0" applyFont="0" applyAlignment="0" applyProtection="0"/>
    <xf numFmtId="188" fontId="18" fillId="59" borderId="52" applyNumberFormat="0" applyFont="0" applyAlignment="0" applyProtection="0"/>
    <xf numFmtId="178" fontId="18" fillId="59" borderId="52" applyNumberFormat="0" applyFont="0" applyAlignment="0" applyProtection="0"/>
    <xf numFmtId="0" fontId="18" fillId="59" borderId="52" applyNumberFormat="0" applyFont="0" applyAlignment="0" applyProtection="0"/>
    <xf numFmtId="178" fontId="18" fillId="59" borderId="52" applyNumberFormat="0" applyFont="0" applyAlignment="0" applyProtection="0"/>
    <xf numFmtId="0" fontId="18" fillId="59" borderId="52" applyNumberFormat="0" applyFont="0" applyAlignment="0" applyProtection="0"/>
    <xf numFmtId="0" fontId="18" fillId="59" borderId="52" applyNumberFormat="0" applyFont="0" applyAlignment="0" applyProtection="0"/>
    <xf numFmtId="178" fontId="18" fillId="59" borderId="52" applyNumberFormat="0" applyFont="0" applyAlignment="0" applyProtection="0"/>
    <xf numFmtId="188" fontId="18" fillId="59" borderId="52" applyNumberFormat="0" applyFont="0" applyAlignment="0" applyProtection="0"/>
    <xf numFmtId="178" fontId="18" fillId="59" borderId="52" applyNumberFormat="0" applyFont="0" applyAlignment="0" applyProtection="0"/>
    <xf numFmtId="0" fontId="18" fillId="59" borderId="52" applyNumberFormat="0" applyFont="0" applyAlignment="0" applyProtection="0"/>
    <xf numFmtId="0" fontId="18" fillId="59" borderId="52" applyNumberFormat="0" applyFont="0" applyAlignment="0" applyProtection="0"/>
    <xf numFmtId="0" fontId="18" fillId="59" borderId="52" applyNumberFormat="0" applyFont="0" applyAlignment="0" applyProtection="0"/>
    <xf numFmtId="178" fontId="18" fillId="59" borderId="52" applyNumberFormat="0" applyFont="0" applyAlignment="0" applyProtection="0"/>
    <xf numFmtId="0" fontId="18" fillId="59" borderId="52" applyNumberFormat="0" applyFont="0" applyAlignment="0" applyProtection="0"/>
    <xf numFmtId="0" fontId="18" fillId="59" borderId="52" applyNumberFormat="0" applyFont="0" applyAlignment="0" applyProtection="0"/>
    <xf numFmtId="178" fontId="18" fillId="59" borderId="52" applyNumberFormat="0" applyFont="0" applyAlignment="0" applyProtection="0"/>
    <xf numFmtId="188" fontId="18" fillId="59" borderId="52" applyNumberFormat="0" applyFont="0" applyAlignment="0" applyProtection="0"/>
    <xf numFmtId="178" fontId="18" fillId="59" borderId="52" applyNumberFormat="0" applyFont="0" applyAlignment="0" applyProtection="0"/>
    <xf numFmtId="0" fontId="18" fillId="59" borderId="52" applyNumberFormat="0" applyFont="0" applyAlignment="0" applyProtection="0"/>
    <xf numFmtId="178" fontId="18" fillId="59" borderId="52" applyNumberFormat="0" applyFont="0" applyAlignment="0" applyProtection="0"/>
    <xf numFmtId="0" fontId="18" fillId="59" borderId="52" applyNumberFormat="0" applyFont="0" applyAlignment="0" applyProtection="0"/>
    <xf numFmtId="0" fontId="18" fillId="59" borderId="52" applyNumberFormat="0" applyFont="0" applyAlignment="0" applyProtection="0"/>
    <xf numFmtId="178" fontId="18" fillId="59" borderId="52" applyNumberFormat="0" applyFont="0" applyAlignment="0" applyProtection="0"/>
    <xf numFmtId="188" fontId="18" fillId="59" borderId="52" applyNumberFormat="0" applyFont="0" applyAlignment="0" applyProtection="0"/>
    <xf numFmtId="178" fontId="18" fillId="59" borderId="52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61" fillId="8" borderId="8" applyNumberFormat="0" applyFont="0" applyAlignment="0" applyProtection="0"/>
    <xf numFmtId="188" fontId="61" fillId="8" borderId="8" applyNumberFormat="0" applyFont="0" applyAlignment="0" applyProtection="0"/>
    <xf numFmtId="178" fontId="6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61" fillId="8" borderId="8" applyNumberFormat="0" applyFont="0" applyAlignment="0" applyProtection="0"/>
    <xf numFmtId="188" fontId="61" fillId="8" borderId="8" applyNumberFormat="0" applyFont="0" applyAlignment="0" applyProtection="0"/>
    <xf numFmtId="178" fontId="6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1" fillId="8" borderId="8" applyNumberFormat="0" applyFont="0" applyAlignment="0" applyProtection="0"/>
    <xf numFmtId="178" fontId="1" fillId="8" borderId="8" applyNumberFormat="0" applyFont="0" applyAlignment="0" applyProtection="0"/>
    <xf numFmtId="188" fontId="18" fillId="59" borderId="52" applyNumberFormat="0" applyFont="0" applyAlignment="0" applyProtection="0"/>
    <xf numFmtId="178" fontId="18" fillId="59" borderId="52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18" fillId="59" borderId="52" applyNumberFormat="0" applyFont="0" applyAlignment="0" applyProtection="0"/>
    <xf numFmtId="178" fontId="18" fillId="59" borderId="52" applyNumberFormat="0" applyFont="0" applyAlignment="0" applyProtection="0"/>
    <xf numFmtId="188" fontId="18" fillId="59" borderId="52" applyNumberFormat="0" applyFont="0" applyAlignment="0" applyProtection="0"/>
    <xf numFmtId="188" fontId="18" fillId="59" borderId="52" applyNumberFormat="0" applyFont="0" applyAlignment="0" applyProtection="0"/>
    <xf numFmtId="178" fontId="18" fillId="59" borderId="52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78" fontId="1" fillId="8" borderId="8" applyNumberFormat="0" applyFont="0" applyAlignment="0" applyProtection="0"/>
    <xf numFmtId="178" fontId="25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25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78" fontId="1" fillId="8" borderId="8" applyNumberFormat="0" applyFont="0" applyAlignment="0" applyProtection="0"/>
    <xf numFmtId="178" fontId="25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25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251" fillId="8" borderId="8" applyNumberFormat="0" applyFont="0" applyAlignment="0" applyProtection="0"/>
    <xf numFmtId="188" fontId="251" fillId="8" borderId="8" applyNumberFormat="0" applyFont="0" applyAlignment="0" applyProtection="0"/>
    <xf numFmtId="178" fontId="25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251" fillId="8" borderId="8" applyNumberFormat="0" applyFont="0" applyAlignment="0" applyProtection="0"/>
    <xf numFmtId="188" fontId="251" fillId="8" borderId="8" applyNumberFormat="0" applyFont="0" applyAlignment="0" applyProtection="0"/>
    <xf numFmtId="178" fontId="25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251" fillId="8" borderId="8" applyNumberFormat="0" applyFont="0" applyAlignment="0" applyProtection="0"/>
    <xf numFmtId="188" fontId="251" fillId="8" borderId="8" applyNumberFormat="0" applyFont="0" applyAlignment="0" applyProtection="0"/>
    <xf numFmtId="178" fontId="25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251" fillId="8" borderId="8" applyNumberFormat="0" applyFont="0" applyAlignment="0" applyProtection="0"/>
    <xf numFmtId="188" fontId="251" fillId="8" borderId="8" applyNumberFormat="0" applyFont="0" applyAlignment="0" applyProtection="0"/>
    <xf numFmtId="178" fontId="25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78" fontId="251" fillId="8" borderId="8" applyNumberFormat="0" applyFont="0" applyAlignment="0" applyProtection="0"/>
    <xf numFmtId="188" fontId="251" fillId="8" borderId="8" applyNumberFormat="0" applyFont="0" applyAlignment="0" applyProtection="0"/>
    <xf numFmtId="178" fontId="25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188" fontId="1" fillId="8" borderId="8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38" fillId="86" borderId="49" applyNumberFormat="0" applyFont="0" applyAlignment="0" applyProtection="0"/>
    <xf numFmtId="0" fontId="38" fillId="86" borderId="49" applyNumberFormat="0" applyFont="0" applyAlignment="0" applyProtection="0"/>
    <xf numFmtId="178" fontId="38" fillId="86" borderId="49" applyNumberFormat="0" applyFont="0" applyAlignment="0" applyProtection="0"/>
    <xf numFmtId="188" fontId="38" fillId="86" borderId="49" applyNumberFormat="0" applyFont="0" applyAlignment="0" applyProtection="0"/>
    <xf numFmtId="178" fontId="38" fillId="86" borderId="49" applyNumberFormat="0" applyFont="0" applyAlignment="0" applyProtection="0"/>
    <xf numFmtId="0" fontId="252" fillId="0" borderId="45"/>
    <xf numFmtId="0" fontId="252" fillId="0" borderId="45"/>
    <xf numFmtId="178" fontId="252" fillId="0" borderId="45"/>
    <xf numFmtId="178" fontId="252" fillId="0" borderId="45"/>
    <xf numFmtId="37" fontId="18" fillId="0" borderId="0" applyFill="0" applyBorder="0"/>
    <xf numFmtId="0" fontId="253" fillId="0" borderId="0">
      <protection locked="0"/>
    </xf>
    <xf numFmtId="0" fontId="253" fillId="0" borderId="0">
      <protection locked="0"/>
    </xf>
    <xf numFmtId="178" fontId="253" fillId="0" borderId="0">
      <protection locked="0"/>
    </xf>
    <xf numFmtId="178" fontId="253" fillId="0" borderId="0">
      <protection locked="0"/>
    </xf>
    <xf numFmtId="227" fontId="253" fillId="0" borderId="0">
      <protection locked="0"/>
    </xf>
    <xf numFmtId="0" fontId="253" fillId="0" borderId="0">
      <protection locked="0"/>
    </xf>
    <xf numFmtId="0" fontId="253" fillId="0" borderId="0">
      <protection locked="0"/>
    </xf>
    <xf numFmtId="178" fontId="253" fillId="0" borderId="0">
      <protection locked="0"/>
    </xf>
    <xf numFmtId="178" fontId="253" fillId="0" borderId="0">
      <protection locked="0"/>
    </xf>
    <xf numFmtId="302" fontId="253" fillId="0" borderId="0">
      <protection locked="0"/>
    </xf>
    <xf numFmtId="167" fontId="253" fillId="0" borderId="0">
      <protection locked="0"/>
    </xf>
    <xf numFmtId="169" fontId="254" fillId="0" borderId="0" applyFill="0" applyBorder="0" applyProtection="0">
      <alignment horizontal="right" vertical="center"/>
    </xf>
    <xf numFmtId="40" fontId="18" fillId="0" borderId="0" applyFont="0" applyFill="0" applyBorder="0" applyAlignment="0" applyProtection="0">
      <alignment horizontal="center"/>
    </xf>
    <xf numFmtId="169" fontId="255" fillId="0" borderId="0" applyFill="0" applyBorder="0" applyProtection="0">
      <alignment horizontal="right" vertical="center"/>
    </xf>
    <xf numFmtId="43" fontId="67" fillId="0" borderId="0" applyFont="0" applyFill="0" applyBorder="0" applyAlignment="0" applyProtection="0"/>
    <xf numFmtId="41" fontId="67" fillId="0" borderId="0" applyFont="0" applyFill="0" applyBorder="0" applyAlignment="0" applyProtection="0"/>
    <xf numFmtId="0" fontId="256" fillId="0" borderId="0"/>
    <xf numFmtId="0" fontId="256" fillId="0" borderId="0"/>
    <xf numFmtId="178" fontId="256" fillId="0" borderId="0"/>
    <xf numFmtId="178" fontId="256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41" fontId="18" fillId="0" borderId="0" applyFont="0" applyFill="0" applyBorder="0" applyAlignment="0" applyProtection="0"/>
    <xf numFmtId="0" fontId="119" fillId="0" borderId="0"/>
    <xf numFmtId="0" fontId="119" fillId="0" borderId="0"/>
    <xf numFmtId="178" fontId="119" fillId="0" borderId="0"/>
    <xf numFmtId="178" fontId="119" fillId="0" borderId="0"/>
    <xf numFmtId="0" fontId="257" fillId="0" borderId="0">
      <alignment horizontal="left"/>
    </xf>
    <xf numFmtId="0" fontId="257" fillId="0" borderId="0">
      <alignment horizontal="left"/>
    </xf>
    <xf numFmtId="178" fontId="257" fillId="0" borderId="0">
      <alignment horizontal="left"/>
    </xf>
    <xf numFmtId="178" fontId="257" fillId="0" borderId="0">
      <alignment horizontal="left"/>
    </xf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78" fontId="10" fillId="6" borderId="5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78" fontId="10" fillId="6" borderId="5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78" fontId="10" fillId="6" borderId="5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78" fontId="10" fillId="6" borderId="5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78" fontId="10" fillId="6" borderId="5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78" fontId="10" fillId="6" borderId="5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78" fontId="10" fillId="6" borderId="5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78" fontId="10" fillId="6" borderId="5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78" fontId="10" fillId="6" borderId="5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78" fontId="10" fillId="6" borderId="5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78" fontId="10" fillId="6" borderId="5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78" fontId="10" fillId="6" borderId="5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78" fontId="10" fillId="6" borderId="5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78" fontId="10" fillId="6" borderId="5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78" fontId="10" fillId="6" borderId="5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78" fontId="10" fillId="6" borderId="5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78" fontId="10" fillId="6" borderId="5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78" fontId="10" fillId="6" borderId="5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78" fontId="10" fillId="6" borderId="5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78" fontId="10" fillId="6" borderId="5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78" fontId="10" fillId="6" borderId="5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78" fontId="10" fillId="6" borderId="5" applyNumberFormat="0" applyAlignment="0" applyProtection="0"/>
    <xf numFmtId="188" fontId="10" fillId="6" borderId="5" applyNumberFormat="0" applyAlignment="0" applyProtection="0"/>
    <xf numFmtId="178" fontId="10" fillId="6" borderId="5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188" fontId="10" fillId="6" borderId="5" applyNumberFormat="0" applyAlignment="0" applyProtection="0"/>
    <xf numFmtId="178" fontId="10" fillId="6" borderId="5" applyNumberFormat="0" applyAlignment="0" applyProtection="0"/>
    <xf numFmtId="188" fontId="10" fillId="6" borderId="5" applyNumberFormat="0" applyAlignment="0" applyProtection="0"/>
    <xf numFmtId="178" fontId="10" fillId="6" borderId="5" applyNumberFormat="0" applyAlignment="0" applyProtection="0"/>
    <xf numFmtId="188" fontId="10" fillId="6" borderId="5" applyNumberFormat="0" applyAlignment="0" applyProtection="0"/>
    <xf numFmtId="178" fontId="10" fillId="6" borderId="5" applyNumberFormat="0" applyAlignment="0" applyProtection="0"/>
    <xf numFmtId="188" fontId="10" fillId="6" borderId="5" applyNumberFormat="0" applyAlignment="0" applyProtection="0"/>
    <xf numFmtId="178" fontId="10" fillId="6" borderId="5" applyNumberFormat="0" applyAlignment="0" applyProtection="0"/>
    <xf numFmtId="188" fontId="10" fillId="6" borderId="5" applyNumberFormat="0" applyAlignment="0" applyProtection="0"/>
    <xf numFmtId="178" fontId="10" fillId="6" borderId="5" applyNumberFormat="0" applyAlignment="0" applyProtection="0"/>
    <xf numFmtId="188" fontId="10" fillId="6" borderId="5" applyNumberFormat="0" applyAlignment="0" applyProtection="0"/>
    <xf numFmtId="178" fontId="10" fillId="6" borderId="5" applyNumberFormat="0" applyAlignment="0" applyProtection="0"/>
    <xf numFmtId="188" fontId="10" fillId="6" borderId="5" applyNumberFormat="0" applyAlignment="0" applyProtection="0"/>
    <xf numFmtId="178" fontId="10" fillId="6" borderId="5" applyNumberFormat="0" applyAlignment="0" applyProtection="0"/>
    <xf numFmtId="188" fontId="10" fillId="6" borderId="5" applyNumberFormat="0" applyAlignment="0" applyProtection="0"/>
    <xf numFmtId="178" fontId="10" fillId="6" borderId="5" applyNumberFormat="0" applyAlignment="0" applyProtection="0"/>
    <xf numFmtId="188" fontId="10" fillId="6" borderId="5" applyNumberFormat="0" applyAlignment="0" applyProtection="0"/>
    <xf numFmtId="178" fontId="10" fillId="6" borderId="5" applyNumberFormat="0" applyAlignment="0" applyProtection="0"/>
    <xf numFmtId="188" fontId="10" fillId="6" borderId="5" applyNumberFormat="0" applyAlignment="0" applyProtection="0"/>
    <xf numFmtId="178" fontId="10" fillId="6" borderId="5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188" fontId="10" fillId="6" borderId="5" applyNumberFormat="0" applyAlignment="0" applyProtection="0"/>
    <xf numFmtId="178" fontId="10" fillId="6" borderId="5" applyNumberFormat="0" applyAlignment="0" applyProtection="0"/>
    <xf numFmtId="188" fontId="10" fillId="6" borderId="5" applyNumberFormat="0" applyAlignment="0" applyProtection="0"/>
    <xf numFmtId="178" fontId="10" fillId="6" borderId="5" applyNumberFormat="0" applyAlignment="0" applyProtection="0"/>
    <xf numFmtId="188" fontId="10" fillId="6" borderId="5" applyNumberFormat="0" applyAlignment="0" applyProtection="0"/>
    <xf numFmtId="178" fontId="10" fillId="6" borderId="5" applyNumberFormat="0" applyAlignment="0" applyProtection="0"/>
    <xf numFmtId="188" fontId="10" fillId="6" borderId="5" applyNumberFormat="0" applyAlignment="0" applyProtection="0"/>
    <xf numFmtId="178" fontId="10" fillId="6" borderId="5" applyNumberFormat="0" applyAlignment="0" applyProtection="0"/>
    <xf numFmtId="188" fontId="10" fillId="6" borderId="5" applyNumberFormat="0" applyAlignment="0" applyProtection="0"/>
    <xf numFmtId="178" fontId="10" fillId="6" borderId="5" applyNumberFormat="0" applyAlignment="0" applyProtection="0"/>
    <xf numFmtId="188" fontId="10" fillId="6" borderId="5" applyNumberFormat="0" applyAlignment="0" applyProtection="0"/>
    <xf numFmtId="178" fontId="10" fillId="6" borderId="5" applyNumberFormat="0" applyAlignment="0" applyProtection="0"/>
    <xf numFmtId="188" fontId="10" fillId="6" borderId="5" applyNumberFormat="0" applyAlignment="0" applyProtection="0"/>
    <xf numFmtId="178" fontId="10" fillId="6" borderId="5" applyNumberFormat="0" applyAlignment="0" applyProtection="0"/>
    <xf numFmtId="188" fontId="10" fillId="6" borderId="5" applyNumberFormat="0" applyAlignment="0" applyProtection="0"/>
    <xf numFmtId="178" fontId="10" fillId="6" borderId="5" applyNumberFormat="0" applyAlignment="0" applyProtection="0"/>
    <xf numFmtId="188" fontId="10" fillId="6" borderId="5" applyNumberFormat="0" applyAlignment="0" applyProtection="0"/>
    <xf numFmtId="178" fontId="10" fillId="6" borderId="5" applyNumberFormat="0" applyAlignment="0" applyProtection="0"/>
    <xf numFmtId="188" fontId="10" fillId="6" borderId="5" applyNumberFormat="0" applyAlignment="0" applyProtection="0"/>
    <xf numFmtId="178" fontId="10" fillId="6" borderId="5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188" fontId="10" fillId="6" borderId="5" applyNumberFormat="0" applyAlignment="0" applyProtection="0"/>
    <xf numFmtId="178" fontId="10" fillId="6" borderId="5" applyNumberFormat="0" applyAlignment="0" applyProtection="0"/>
    <xf numFmtId="188" fontId="10" fillId="6" borderId="5" applyNumberFormat="0" applyAlignment="0" applyProtection="0"/>
    <xf numFmtId="178" fontId="10" fillId="6" borderId="5" applyNumberFormat="0" applyAlignment="0" applyProtection="0"/>
    <xf numFmtId="188" fontId="10" fillId="6" borderId="5" applyNumberFormat="0" applyAlignment="0" applyProtection="0"/>
    <xf numFmtId="178" fontId="10" fillId="6" borderId="5" applyNumberFormat="0" applyAlignment="0" applyProtection="0"/>
    <xf numFmtId="188" fontId="10" fillId="6" borderId="5" applyNumberFormat="0" applyAlignment="0" applyProtection="0"/>
    <xf numFmtId="178" fontId="10" fillId="6" borderId="5" applyNumberFormat="0" applyAlignment="0" applyProtection="0"/>
    <xf numFmtId="188" fontId="10" fillId="6" borderId="5" applyNumberFormat="0" applyAlignment="0" applyProtection="0"/>
    <xf numFmtId="178" fontId="10" fillId="6" borderId="5" applyNumberFormat="0" applyAlignment="0" applyProtection="0"/>
    <xf numFmtId="188" fontId="10" fillId="6" borderId="5" applyNumberFormat="0" applyAlignment="0" applyProtection="0"/>
    <xf numFmtId="178" fontId="10" fillId="6" borderId="5" applyNumberFormat="0" applyAlignment="0" applyProtection="0"/>
    <xf numFmtId="188" fontId="10" fillId="6" borderId="5" applyNumberFormat="0" applyAlignment="0" applyProtection="0"/>
    <xf numFmtId="178" fontId="10" fillId="6" borderId="5" applyNumberFormat="0" applyAlignment="0" applyProtection="0"/>
    <xf numFmtId="188" fontId="10" fillId="6" borderId="5" applyNumberFormat="0" applyAlignment="0" applyProtection="0"/>
    <xf numFmtId="178" fontId="10" fillId="6" borderId="5" applyNumberFormat="0" applyAlignment="0" applyProtection="0"/>
    <xf numFmtId="188" fontId="10" fillId="6" borderId="5" applyNumberFormat="0" applyAlignment="0" applyProtection="0"/>
    <xf numFmtId="178" fontId="10" fillId="6" borderId="5" applyNumberFormat="0" applyAlignment="0" applyProtection="0"/>
    <xf numFmtId="188" fontId="10" fillId="6" borderId="5" applyNumberFormat="0" applyAlignment="0" applyProtection="0"/>
    <xf numFmtId="178" fontId="10" fillId="6" borderId="5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188" fontId="10" fillId="6" borderId="5" applyNumberFormat="0" applyAlignment="0" applyProtection="0"/>
    <xf numFmtId="178" fontId="10" fillId="6" borderId="5" applyNumberFormat="0" applyAlignment="0" applyProtection="0"/>
    <xf numFmtId="188" fontId="10" fillId="6" borderId="5" applyNumberFormat="0" applyAlignment="0" applyProtection="0"/>
    <xf numFmtId="178" fontId="10" fillId="6" borderId="5" applyNumberFormat="0" applyAlignment="0" applyProtection="0"/>
    <xf numFmtId="188" fontId="10" fillId="6" borderId="5" applyNumberFormat="0" applyAlignment="0" applyProtection="0"/>
    <xf numFmtId="178" fontId="10" fillId="6" borderId="5" applyNumberFormat="0" applyAlignment="0" applyProtection="0"/>
    <xf numFmtId="188" fontId="10" fillId="6" borderId="5" applyNumberFormat="0" applyAlignment="0" applyProtection="0"/>
    <xf numFmtId="178" fontId="10" fillId="6" borderId="5" applyNumberFormat="0" applyAlignment="0" applyProtection="0"/>
    <xf numFmtId="188" fontId="10" fillId="6" borderId="5" applyNumberFormat="0" applyAlignment="0" applyProtection="0"/>
    <xf numFmtId="178" fontId="10" fillId="6" borderId="5" applyNumberFormat="0" applyAlignment="0" applyProtection="0"/>
    <xf numFmtId="188" fontId="10" fillId="6" borderId="5" applyNumberFormat="0" applyAlignment="0" applyProtection="0"/>
    <xf numFmtId="178" fontId="10" fillId="6" borderId="5" applyNumberFormat="0" applyAlignment="0" applyProtection="0"/>
    <xf numFmtId="188" fontId="10" fillId="6" borderId="5" applyNumberFormat="0" applyAlignment="0" applyProtection="0"/>
    <xf numFmtId="178" fontId="10" fillId="6" borderId="5" applyNumberFormat="0" applyAlignment="0" applyProtection="0"/>
    <xf numFmtId="188" fontId="10" fillId="6" borderId="5" applyNumberFormat="0" applyAlignment="0" applyProtection="0"/>
    <xf numFmtId="178" fontId="10" fillId="6" borderId="5" applyNumberFormat="0" applyAlignment="0" applyProtection="0"/>
    <xf numFmtId="188" fontId="10" fillId="6" borderId="5" applyNumberFormat="0" applyAlignment="0" applyProtection="0"/>
    <xf numFmtId="178" fontId="10" fillId="6" borderId="5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88" fontId="258" fillId="53" borderId="67" applyNumberFormat="0" applyAlignment="0" applyProtection="0"/>
    <xf numFmtId="188" fontId="259" fillId="6" borderId="5" applyNumberFormat="0" applyAlignment="0" applyProtection="0"/>
    <xf numFmtId="178" fontId="259" fillId="6" borderId="5" applyNumberFormat="0" applyAlignment="0" applyProtection="0"/>
    <xf numFmtId="188" fontId="258" fillId="53" borderId="67" applyNumberFormat="0" applyAlignment="0" applyProtection="0"/>
    <xf numFmtId="178" fontId="258" fillId="53" borderId="67" applyNumberFormat="0" applyAlignment="0" applyProtection="0"/>
    <xf numFmtId="178" fontId="10" fillId="6" borderId="5" applyNumberFormat="0" applyAlignment="0" applyProtection="0"/>
    <xf numFmtId="188" fontId="10" fillId="6" borderId="5" applyNumberFormat="0" applyAlignment="0" applyProtection="0"/>
    <xf numFmtId="178" fontId="10" fillId="6" borderId="5" applyNumberFormat="0" applyAlignment="0" applyProtection="0"/>
    <xf numFmtId="188" fontId="10" fillId="6" borderId="5" applyNumberFormat="0" applyAlignment="0" applyProtection="0"/>
    <xf numFmtId="178" fontId="10" fillId="6" borderId="5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53" borderId="67" applyNumberFormat="0" applyAlignment="0" applyProtection="0"/>
    <xf numFmtId="178" fontId="258" fillId="53" borderId="67" applyNumberFormat="0" applyAlignment="0" applyProtection="0"/>
    <xf numFmtId="0" fontId="258" fillId="108" borderId="67" applyNumberFormat="0" applyAlignment="0" applyProtection="0"/>
    <xf numFmtId="188" fontId="258" fillId="53" borderId="67" applyNumberFormat="0" applyAlignment="0" applyProtection="0"/>
    <xf numFmtId="178" fontId="258" fillId="53" borderId="67" applyNumberFormat="0" applyAlignment="0" applyProtection="0"/>
    <xf numFmtId="188" fontId="258" fillId="53" borderId="67" applyNumberFormat="0" applyAlignment="0" applyProtection="0"/>
    <xf numFmtId="188" fontId="258" fillId="53" borderId="67" applyNumberFormat="0" applyAlignment="0" applyProtection="0"/>
    <xf numFmtId="178" fontId="258" fillId="53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78" fontId="259" fillId="6" borderId="5" applyNumberFormat="0" applyAlignment="0" applyProtection="0"/>
    <xf numFmtId="0" fontId="258" fillId="108" borderId="67" applyNumberFormat="0" applyAlignment="0" applyProtection="0"/>
    <xf numFmtId="178" fontId="259" fillId="6" borderId="5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78" fontId="259" fillId="6" borderId="5" applyNumberFormat="0" applyAlignment="0" applyProtection="0"/>
    <xf numFmtId="0" fontId="258" fillId="108" borderId="67" applyNumberFormat="0" applyAlignment="0" applyProtection="0"/>
    <xf numFmtId="178" fontId="259" fillId="6" borderId="5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78" fontId="259" fillId="6" borderId="5" applyNumberFormat="0" applyAlignment="0" applyProtection="0"/>
    <xf numFmtId="0" fontId="258" fillId="108" borderId="67" applyNumberFormat="0" applyAlignment="0" applyProtection="0"/>
    <xf numFmtId="178" fontId="259" fillId="6" borderId="5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78" fontId="10" fillId="6" borderId="5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78" fontId="259" fillId="6" borderId="5" applyNumberFormat="0" applyAlignment="0" applyProtection="0"/>
    <xf numFmtId="0" fontId="258" fillId="108" borderId="67" applyNumberFormat="0" applyAlignment="0" applyProtection="0"/>
    <xf numFmtId="178" fontId="259" fillId="6" borderId="5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78" fontId="259" fillId="6" borderId="5" applyNumberFormat="0" applyAlignment="0" applyProtection="0"/>
    <xf numFmtId="0" fontId="258" fillId="108" borderId="67" applyNumberFormat="0" applyAlignment="0" applyProtection="0"/>
    <xf numFmtId="178" fontId="259" fillId="6" borderId="5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78" fontId="259" fillId="6" borderId="5" applyNumberFormat="0" applyAlignment="0" applyProtection="0"/>
    <xf numFmtId="0" fontId="258" fillId="108" borderId="67" applyNumberFormat="0" applyAlignment="0" applyProtection="0"/>
    <xf numFmtId="178" fontId="259" fillId="6" borderId="5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78" fontId="259" fillId="6" borderId="5" applyNumberFormat="0" applyAlignment="0" applyProtection="0"/>
    <xf numFmtId="0" fontId="258" fillId="108" borderId="67" applyNumberFormat="0" applyAlignment="0" applyProtection="0"/>
    <xf numFmtId="178" fontId="259" fillId="6" borderId="5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0" fontId="258" fillId="108" borderId="67" applyNumberFormat="0" applyAlignment="0" applyProtection="0"/>
    <xf numFmtId="0" fontId="258" fillId="108" borderId="67" applyNumberFormat="0" applyAlignment="0" applyProtection="0"/>
    <xf numFmtId="178" fontId="258" fillId="108" borderId="67" applyNumberFormat="0" applyAlignment="0" applyProtection="0"/>
    <xf numFmtId="188" fontId="258" fillId="108" borderId="67" applyNumberFormat="0" applyAlignment="0" applyProtection="0"/>
    <xf numFmtId="178" fontId="258" fillId="108" borderId="67" applyNumberFormat="0" applyAlignment="0" applyProtection="0"/>
    <xf numFmtId="40" fontId="92" fillId="123" borderId="0">
      <alignment horizontal="right"/>
    </xf>
    <xf numFmtId="40" fontId="18" fillId="123" borderId="0">
      <alignment horizontal="right"/>
    </xf>
    <xf numFmtId="40" fontId="260" fillId="33" borderId="0">
      <alignment horizontal="right"/>
    </xf>
    <xf numFmtId="0" fontId="261" fillId="124" borderId="0">
      <alignment horizontal="center"/>
    </xf>
    <xf numFmtId="0" fontId="18" fillId="124" borderId="0">
      <alignment horizontal="center"/>
    </xf>
    <xf numFmtId="0" fontId="18" fillId="124" borderId="0">
      <alignment horizontal="center"/>
    </xf>
    <xf numFmtId="178" fontId="18" fillId="124" borderId="0">
      <alignment horizontal="center"/>
    </xf>
    <xf numFmtId="178" fontId="18" fillId="124" borderId="0">
      <alignment horizontal="center"/>
    </xf>
    <xf numFmtId="0" fontId="261" fillId="124" borderId="0">
      <alignment horizontal="center"/>
    </xf>
    <xf numFmtId="178" fontId="261" fillId="124" borderId="0">
      <alignment horizontal="center"/>
    </xf>
    <xf numFmtId="178" fontId="261" fillId="124" borderId="0">
      <alignment horizontal="center"/>
    </xf>
    <xf numFmtId="0" fontId="148" fillId="125" borderId="0"/>
    <xf numFmtId="0" fontId="148" fillId="125" borderId="0"/>
    <xf numFmtId="178" fontId="148" fillId="125" borderId="0"/>
    <xf numFmtId="178" fontId="148" fillId="125" borderId="0"/>
    <xf numFmtId="0" fontId="262" fillId="123" borderId="0" applyBorder="0">
      <alignment horizontal="centerContinuous"/>
    </xf>
    <xf numFmtId="0" fontId="18" fillId="123" borderId="0" applyBorder="0">
      <alignment horizontal="centerContinuous"/>
    </xf>
    <xf numFmtId="0" fontId="18" fillId="123" borderId="0" applyBorder="0">
      <alignment horizontal="centerContinuous"/>
    </xf>
    <xf numFmtId="178" fontId="18" fillId="123" borderId="0" applyBorder="0">
      <alignment horizontal="centerContinuous"/>
    </xf>
    <xf numFmtId="178" fontId="18" fillId="123" borderId="0" applyBorder="0">
      <alignment horizontal="centerContinuous"/>
    </xf>
    <xf numFmtId="0" fontId="262" fillId="123" borderId="0" applyBorder="0">
      <alignment horizontal="centerContinuous"/>
    </xf>
    <xf numFmtId="178" fontId="262" fillId="123" borderId="0" applyBorder="0">
      <alignment horizontal="centerContinuous"/>
    </xf>
    <xf numFmtId="178" fontId="262" fillId="123" borderId="0" applyBorder="0">
      <alignment horizontal="centerContinuous"/>
    </xf>
    <xf numFmtId="0" fontId="263" fillId="125" borderId="0" applyBorder="0">
      <alignment horizontal="centerContinuous"/>
    </xf>
    <xf numFmtId="0" fontId="18" fillId="125" borderId="0" applyBorder="0">
      <alignment horizontal="centerContinuous"/>
    </xf>
    <xf numFmtId="0" fontId="18" fillId="125" borderId="0" applyBorder="0">
      <alignment horizontal="centerContinuous"/>
    </xf>
    <xf numFmtId="178" fontId="18" fillId="125" borderId="0" applyBorder="0">
      <alignment horizontal="centerContinuous"/>
    </xf>
    <xf numFmtId="178" fontId="18" fillId="125" borderId="0" applyBorder="0">
      <alignment horizontal="centerContinuous"/>
    </xf>
    <xf numFmtId="0" fontId="263" fillId="125" borderId="0" applyBorder="0">
      <alignment horizontal="centerContinuous"/>
    </xf>
    <xf numFmtId="178" fontId="263" fillId="125" borderId="0" applyBorder="0">
      <alignment horizontal="centerContinuous"/>
    </xf>
    <xf numFmtId="178" fontId="263" fillId="125" borderId="0" applyBorder="0">
      <alignment horizontal="centerContinuous"/>
    </xf>
    <xf numFmtId="0" fontId="1" fillId="45" borderId="0" applyNumberFormat="0"/>
    <xf numFmtId="0" fontId="1" fillId="45" borderId="0" applyNumberFormat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178" fontId="123" fillId="0" borderId="0" applyNumberFormat="0" applyFill="0" applyBorder="0" applyAlignment="0" applyProtection="0"/>
    <xf numFmtId="178" fontId="123" fillId="0" borderId="0" applyNumberFormat="0" applyFill="0" applyBorder="0" applyAlignment="0" applyProtection="0"/>
    <xf numFmtId="0" fontId="264" fillId="0" borderId="0">
      <alignment vertical="top" wrapText="1"/>
    </xf>
    <xf numFmtId="0" fontId="264" fillId="0" borderId="0">
      <alignment vertical="top" wrapText="1"/>
    </xf>
    <xf numFmtId="178" fontId="264" fillId="0" borderId="0">
      <alignment vertical="top" wrapText="1"/>
    </xf>
    <xf numFmtId="178" fontId="264" fillId="0" borderId="0">
      <alignment vertical="top" wrapText="1"/>
    </xf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67" fillId="0" borderId="0"/>
    <xf numFmtId="0" fontId="67" fillId="0" borderId="0"/>
    <xf numFmtId="178" fontId="67" fillId="0" borderId="0"/>
    <xf numFmtId="178" fontId="67" fillId="0" borderId="0"/>
    <xf numFmtId="304" fontId="67" fillId="0" borderId="0"/>
    <xf numFmtId="0" fontId="67" fillId="0" borderId="0"/>
    <xf numFmtId="0" fontId="67" fillId="0" borderId="0"/>
    <xf numFmtId="178" fontId="67" fillId="0" borderId="0"/>
    <xf numFmtId="178" fontId="67" fillId="0" borderId="0"/>
    <xf numFmtId="0" fontId="71" fillId="0" borderId="0"/>
    <xf numFmtId="0" fontId="71" fillId="0" borderId="0"/>
    <xf numFmtId="178" fontId="71" fillId="0" borderId="0"/>
    <xf numFmtId="178" fontId="71" fillId="0" borderId="0"/>
    <xf numFmtId="304" fontId="67" fillId="0" borderId="0"/>
    <xf numFmtId="0" fontId="67" fillId="0" borderId="0"/>
    <xf numFmtId="0" fontId="67" fillId="0" borderId="0"/>
    <xf numFmtId="178" fontId="67" fillId="0" borderId="0"/>
    <xf numFmtId="178" fontId="67" fillId="0" borderId="0"/>
    <xf numFmtId="304" fontId="67" fillId="0" borderId="0"/>
    <xf numFmtId="0" fontId="71" fillId="0" borderId="0"/>
    <xf numFmtId="0" fontId="71" fillId="0" borderId="0"/>
    <xf numFmtId="178" fontId="71" fillId="0" borderId="0"/>
    <xf numFmtId="178" fontId="71" fillId="0" borderId="0"/>
    <xf numFmtId="0" fontId="67" fillId="0" borderId="0"/>
    <xf numFmtId="0" fontId="67" fillId="0" borderId="0"/>
    <xf numFmtId="178" fontId="67" fillId="0" borderId="0"/>
    <xf numFmtId="178" fontId="67" fillId="0" borderId="0"/>
    <xf numFmtId="0" fontId="71" fillId="0" borderId="0"/>
    <xf numFmtId="0" fontId="71" fillId="0" borderId="0"/>
    <xf numFmtId="178" fontId="71" fillId="0" borderId="0"/>
    <xf numFmtId="178" fontId="71" fillId="0" borderId="0"/>
    <xf numFmtId="0" fontId="67" fillId="0" borderId="0"/>
    <xf numFmtId="0" fontId="67" fillId="0" borderId="0"/>
    <xf numFmtId="178" fontId="67" fillId="0" borderId="0"/>
    <xf numFmtId="178" fontId="67" fillId="0" borderId="0"/>
    <xf numFmtId="0" fontId="67" fillId="0" borderId="0"/>
    <xf numFmtId="0" fontId="67" fillId="0" borderId="0"/>
    <xf numFmtId="178" fontId="67" fillId="0" borderId="0"/>
    <xf numFmtId="178" fontId="67" fillId="0" borderId="0"/>
    <xf numFmtId="0" fontId="71" fillId="0" borderId="0"/>
    <xf numFmtId="0" fontId="71" fillId="0" borderId="0"/>
    <xf numFmtId="178" fontId="71" fillId="0" borderId="0"/>
    <xf numFmtId="178" fontId="71" fillId="0" borderId="0"/>
    <xf numFmtId="0" fontId="71" fillId="0" borderId="0"/>
    <xf numFmtId="0" fontId="71" fillId="0" borderId="0"/>
    <xf numFmtId="178" fontId="71" fillId="0" borderId="0"/>
    <xf numFmtId="178" fontId="71" fillId="0" borderId="0"/>
    <xf numFmtId="0" fontId="71" fillId="0" borderId="0"/>
    <xf numFmtId="0" fontId="71" fillId="0" borderId="0"/>
    <xf numFmtId="178" fontId="71" fillId="0" borderId="0"/>
    <xf numFmtId="178" fontId="71" fillId="0" borderId="0"/>
    <xf numFmtId="0" fontId="71" fillId="0" borderId="0"/>
    <xf numFmtId="0" fontId="71" fillId="0" borderId="0"/>
    <xf numFmtId="178" fontId="71" fillId="0" borderId="0"/>
    <xf numFmtId="178" fontId="71" fillId="0" borderId="0"/>
    <xf numFmtId="0" fontId="71" fillId="0" borderId="0"/>
    <xf numFmtId="0" fontId="71" fillId="0" borderId="0"/>
    <xf numFmtId="178" fontId="71" fillId="0" borderId="0"/>
    <xf numFmtId="178" fontId="71" fillId="0" borderId="0"/>
    <xf numFmtId="0" fontId="71" fillId="0" borderId="0"/>
    <xf numFmtId="0" fontId="71" fillId="0" borderId="0"/>
    <xf numFmtId="178" fontId="71" fillId="0" borderId="0"/>
    <xf numFmtId="178" fontId="71" fillId="0" borderId="0"/>
    <xf numFmtId="305" fontId="18" fillId="0" borderId="0"/>
    <xf numFmtId="304" fontId="67" fillId="0" borderId="0"/>
    <xf numFmtId="220" fontId="265" fillId="0" borderId="0" applyFill="0" applyBorder="0" applyAlignment="0" applyProtection="0">
      <alignment wrapText="1"/>
    </xf>
    <xf numFmtId="0" fontId="67" fillId="0" borderId="0"/>
    <xf numFmtId="0" fontId="67" fillId="0" borderId="0"/>
    <xf numFmtId="178" fontId="67" fillId="0" borderId="0"/>
    <xf numFmtId="178" fontId="67" fillId="0" borderId="0"/>
    <xf numFmtId="0" fontId="67" fillId="0" borderId="0"/>
    <xf numFmtId="0" fontId="67" fillId="0" borderId="0"/>
    <xf numFmtId="178" fontId="67" fillId="0" borderId="0"/>
    <xf numFmtId="178" fontId="67" fillId="0" borderId="0"/>
    <xf numFmtId="306" fontId="67" fillId="0" borderId="0"/>
    <xf numFmtId="0" fontId="67" fillId="0" borderId="0"/>
    <xf numFmtId="0" fontId="67" fillId="0" borderId="0"/>
    <xf numFmtId="178" fontId="67" fillId="0" borderId="0"/>
    <xf numFmtId="178" fontId="67" fillId="0" borderId="0"/>
    <xf numFmtId="305" fontId="18" fillId="0" borderId="0"/>
    <xf numFmtId="305" fontId="18" fillId="0" borderId="0"/>
    <xf numFmtId="304" fontId="67" fillId="0" borderId="0"/>
    <xf numFmtId="0" fontId="67" fillId="0" borderId="0"/>
    <xf numFmtId="0" fontId="67" fillId="0" borderId="0"/>
    <xf numFmtId="178" fontId="67" fillId="0" borderId="0"/>
    <xf numFmtId="178" fontId="67" fillId="0" borderId="0"/>
    <xf numFmtId="0" fontId="67" fillId="0" borderId="0"/>
    <xf numFmtId="0" fontId="67" fillId="0" borderId="0"/>
    <xf numFmtId="178" fontId="67" fillId="0" borderId="0"/>
    <xf numFmtId="178" fontId="67" fillId="0" borderId="0"/>
    <xf numFmtId="305" fontId="18" fillId="0" borderId="0"/>
    <xf numFmtId="305" fontId="18" fillId="0" borderId="0"/>
    <xf numFmtId="189" fontId="266" fillId="0" borderId="45">
      <alignment horizontal="center"/>
    </xf>
    <xf numFmtId="38" fontId="267" fillId="0" borderId="0"/>
    <xf numFmtId="0" fontId="268" fillId="0" borderId="0" applyFill="0" applyBorder="0" applyProtection="0">
      <alignment horizontal="left"/>
    </xf>
    <xf numFmtId="0" fontId="268" fillId="0" borderId="0" applyFill="0" applyBorder="0" applyProtection="0">
      <alignment horizontal="left"/>
    </xf>
    <xf numFmtId="178" fontId="268" fillId="0" borderId="0" applyFill="0" applyBorder="0" applyProtection="0">
      <alignment horizontal="left"/>
    </xf>
    <xf numFmtId="178" fontId="268" fillId="0" borderId="0" applyFill="0" applyBorder="0" applyProtection="0">
      <alignment horizontal="left"/>
    </xf>
    <xf numFmtId="0" fontId="269" fillId="0" borderId="0" applyFill="0" applyBorder="0" applyProtection="0">
      <alignment horizontal="left"/>
    </xf>
    <xf numFmtId="0" fontId="269" fillId="0" borderId="0" applyFill="0" applyBorder="0" applyProtection="0">
      <alignment horizontal="left"/>
    </xf>
    <xf numFmtId="178" fontId="269" fillId="0" borderId="0" applyFill="0" applyBorder="0" applyProtection="0">
      <alignment horizontal="left"/>
    </xf>
    <xf numFmtId="178" fontId="269" fillId="0" borderId="0" applyFill="0" applyBorder="0" applyProtection="0">
      <alignment horizontal="left"/>
    </xf>
    <xf numFmtId="1" fontId="18" fillId="0" borderId="0" applyProtection="0">
      <alignment horizontal="right" vertical="center"/>
    </xf>
    <xf numFmtId="1" fontId="18" fillId="0" borderId="0" applyProtection="0">
      <alignment horizontal="right" vertical="center"/>
    </xf>
    <xf numFmtId="0" fontId="71" fillId="0" borderId="0"/>
    <xf numFmtId="0" fontId="71" fillId="0" borderId="0"/>
    <xf numFmtId="178" fontId="71" fillId="0" borderId="0"/>
    <xf numFmtId="178" fontId="71" fillId="0" borderId="0"/>
    <xf numFmtId="0" fontId="18" fillId="0" borderId="68" applyNumberFormat="0" applyAlignment="0" applyProtection="0"/>
    <xf numFmtId="0" fontId="18" fillId="0" borderId="68" applyNumberFormat="0" applyAlignment="0" applyProtection="0"/>
    <xf numFmtId="0" fontId="18" fillId="0" borderId="68" applyNumberFormat="0" applyAlignment="0" applyProtection="0"/>
    <xf numFmtId="178" fontId="18" fillId="0" borderId="68" applyNumberFormat="0" applyAlignment="0" applyProtection="0"/>
    <xf numFmtId="188" fontId="18" fillId="0" borderId="68" applyNumberFormat="0" applyAlignment="0" applyProtection="0"/>
    <xf numFmtId="178" fontId="18" fillId="0" borderId="68" applyNumberFormat="0" applyAlignment="0" applyProtection="0"/>
    <xf numFmtId="0" fontId="137" fillId="0" borderId="68" applyNumberFormat="0" applyAlignment="0" applyProtection="0"/>
    <xf numFmtId="178" fontId="137" fillId="0" borderId="68" applyNumberFormat="0" applyAlignment="0" applyProtection="0"/>
    <xf numFmtId="188" fontId="137" fillId="0" borderId="68" applyNumberFormat="0" applyAlignment="0" applyProtection="0"/>
    <xf numFmtId="178" fontId="137" fillId="0" borderId="68" applyNumberFormat="0" applyAlignment="0" applyProtection="0"/>
    <xf numFmtId="0" fontId="18" fillId="50" borderId="0" applyNumberFormat="0" applyFont="0" applyBorder="0" applyAlignment="0" applyProtection="0"/>
    <xf numFmtId="0" fontId="18" fillId="50" borderId="0" applyNumberFormat="0" applyFont="0" applyBorder="0" applyAlignment="0" applyProtection="0"/>
    <xf numFmtId="0" fontId="18" fillId="50" borderId="0" applyNumberFormat="0" applyFont="0" applyBorder="0" applyAlignment="0" applyProtection="0"/>
    <xf numFmtId="178" fontId="18" fillId="50" borderId="0" applyNumberFormat="0" applyFont="0" applyBorder="0" applyAlignment="0" applyProtection="0"/>
    <xf numFmtId="178" fontId="18" fillId="50" borderId="0" applyNumberFormat="0" applyFont="0" applyBorder="0" applyAlignment="0" applyProtection="0"/>
    <xf numFmtId="0" fontId="67" fillId="50" borderId="0" applyNumberFormat="0" applyFont="0" applyBorder="0" applyAlignment="0" applyProtection="0"/>
    <xf numFmtId="178" fontId="67" fillId="50" borderId="0" applyNumberFormat="0" applyFont="0" applyBorder="0" applyAlignment="0" applyProtection="0"/>
    <xf numFmtId="178" fontId="67" fillId="50" borderId="0" applyNumberFormat="0" applyFont="0" applyBorder="0" applyAlignment="0" applyProtection="0"/>
    <xf numFmtId="0" fontId="38" fillId="126" borderId="45" applyNumberFormat="0" applyFont="0" applyBorder="0" applyAlignment="0" applyProtection="0">
      <alignment horizontal="center"/>
    </xf>
    <xf numFmtId="0" fontId="38" fillId="126" borderId="45" applyNumberFormat="0" applyFont="0" applyBorder="0" applyAlignment="0" applyProtection="0">
      <alignment horizontal="center"/>
    </xf>
    <xf numFmtId="178" fontId="38" fillId="126" borderId="45" applyNumberFormat="0" applyFont="0" applyBorder="0" applyAlignment="0" applyProtection="0">
      <alignment horizontal="center"/>
    </xf>
    <xf numFmtId="178" fontId="38" fillId="126" borderId="45" applyNumberFormat="0" applyFont="0" applyBorder="0" applyAlignment="0" applyProtection="0">
      <alignment horizontal="center"/>
    </xf>
    <xf numFmtId="0" fontId="38" fillId="39" borderId="45" applyNumberFormat="0" applyFont="0" applyBorder="0" applyAlignment="0" applyProtection="0">
      <alignment horizontal="center"/>
    </xf>
    <xf numFmtId="0" fontId="38" fillId="39" borderId="45" applyNumberFormat="0" applyFont="0" applyBorder="0" applyAlignment="0" applyProtection="0">
      <alignment horizontal="center"/>
    </xf>
    <xf numFmtId="178" fontId="38" fillId="39" borderId="45" applyNumberFormat="0" applyFont="0" applyBorder="0" applyAlignment="0" applyProtection="0">
      <alignment horizontal="center"/>
    </xf>
    <xf numFmtId="178" fontId="38" fillId="39" borderId="45" applyNumberFormat="0" applyFont="0" applyBorder="0" applyAlignment="0" applyProtection="0">
      <alignment horizontal="center"/>
    </xf>
    <xf numFmtId="0" fontId="18" fillId="0" borderId="69" applyNumberFormat="0" applyAlignment="0" applyProtection="0"/>
    <xf numFmtId="0" fontId="18" fillId="0" borderId="69" applyNumberFormat="0" applyAlignment="0" applyProtection="0"/>
    <xf numFmtId="0" fontId="18" fillId="0" borderId="69" applyNumberFormat="0" applyAlignment="0" applyProtection="0"/>
    <xf numFmtId="178" fontId="18" fillId="0" borderId="69" applyNumberFormat="0" applyAlignment="0" applyProtection="0"/>
    <xf numFmtId="178" fontId="18" fillId="0" borderId="69" applyNumberFormat="0" applyAlignment="0" applyProtection="0"/>
    <xf numFmtId="0" fontId="67" fillId="0" borderId="69" applyNumberFormat="0" applyAlignment="0" applyProtection="0"/>
    <xf numFmtId="178" fontId="67" fillId="0" borderId="69" applyNumberFormat="0" applyAlignment="0" applyProtection="0"/>
    <xf numFmtId="178" fontId="67" fillId="0" borderId="69" applyNumberFormat="0" applyAlignment="0" applyProtection="0"/>
    <xf numFmtId="0" fontId="18" fillId="0" borderId="70" applyNumberFormat="0" applyAlignment="0" applyProtection="0"/>
    <xf numFmtId="0" fontId="18" fillId="0" borderId="70" applyNumberFormat="0" applyAlignment="0" applyProtection="0"/>
    <xf numFmtId="0" fontId="18" fillId="0" borderId="70" applyNumberFormat="0" applyAlignment="0" applyProtection="0"/>
    <xf numFmtId="0" fontId="18" fillId="0" borderId="70" applyNumberFormat="0" applyAlignment="0" applyProtection="0"/>
    <xf numFmtId="178" fontId="18" fillId="0" borderId="70" applyNumberFormat="0" applyAlignment="0" applyProtection="0"/>
    <xf numFmtId="178" fontId="18" fillId="0" borderId="70" applyNumberFormat="0" applyAlignment="0" applyProtection="0"/>
    <xf numFmtId="0" fontId="18" fillId="0" borderId="70" applyNumberFormat="0" applyAlignment="0" applyProtection="0"/>
    <xf numFmtId="178" fontId="18" fillId="0" borderId="70" applyNumberFormat="0" applyAlignment="0" applyProtection="0"/>
    <xf numFmtId="178" fontId="18" fillId="0" borderId="70" applyNumberFormat="0" applyAlignment="0" applyProtection="0"/>
    <xf numFmtId="0" fontId="67" fillId="0" borderId="70" applyNumberFormat="0" applyAlignment="0" applyProtection="0"/>
    <xf numFmtId="0" fontId="67" fillId="0" borderId="70" applyNumberFormat="0" applyAlignment="0" applyProtection="0"/>
    <xf numFmtId="0" fontId="67" fillId="0" borderId="70" applyNumberFormat="0" applyAlignment="0" applyProtection="0"/>
    <xf numFmtId="178" fontId="67" fillId="0" borderId="70" applyNumberFormat="0" applyAlignment="0" applyProtection="0"/>
    <xf numFmtId="178" fontId="67" fillId="0" borderId="70" applyNumberFormat="0" applyAlignment="0" applyProtection="0"/>
    <xf numFmtId="0" fontId="67" fillId="0" borderId="70" applyNumberFormat="0" applyAlignment="0" applyProtection="0"/>
    <xf numFmtId="178" fontId="67" fillId="0" borderId="70" applyNumberFormat="0" applyAlignment="0" applyProtection="0"/>
    <xf numFmtId="178" fontId="67" fillId="0" borderId="70" applyNumberFormat="0" applyAlignment="0" applyProtection="0"/>
    <xf numFmtId="0" fontId="67" fillId="0" borderId="70" applyNumberFormat="0" applyAlignment="0" applyProtection="0"/>
    <xf numFmtId="0" fontId="67" fillId="0" borderId="70" applyNumberFormat="0" applyAlignment="0" applyProtection="0"/>
    <xf numFmtId="178" fontId="67" fillId="0" borderId="70" applyNumberFormat="0" applyAlignment="0" applyProtection="0"/>
    <xf numFmtId="178" fontId="67" fillId="0" borderId="70" applyNumberFormat="0" applyAlignment="0" applyProtection="0"/>
    <xf numFmtId="0" fontId="67" fillId="0" borderId="70" applyNumberFormat="0" applyAlignment="0" applyProtection="0"/>
    <xf numFmtId="178" fontId="67" fillId="0" borderId="70" applyNumberFormat="0" applyAlignment="0" applyProtection="0"/>
    <xf numFmtId="178" fontId="67" fillId="0" borderId="70" applyNumberFormat="0" applyAlignment="0" applyProtection="0"/>
    <xf numFmtId="0" fontId="18" fillId="0" borderId="71" applyNumberFormat="0" applyAlignment="0" applyProtection="0"/>
    <xf numFmtId="0" fontId="18" fillId="0" borderId="71" applyNumberFormat="0" applyAlignment="0" applyProtection="0"/>
    <xf numFmtId="0" fontId="18" fillId="0" borderId="71" applyNumberFormat="0" applyAlignment="0" applyProtection="0"/>
    <xf numFmtId="178" fontId="18" fillId="0" borderId="71" applyNumberFormat="0" applyAlignment="0" applyProtection="0"/>
    <xf numFmtId="178" fontId="18" fillId="0" borderId="71" applyNumberFormat="0" applyAlignment="0" applyProtection="0"/>
    <xf numFmtId="0" fontId="137" fillId="0" borderId="71" applyNumberFormat="0" applyAlignment="0" applyProtection="0"/>
    <xf numFmtId="178" fontId="137" fillId="0" borderId="71" applyNumberFormat="0" applyAlignment="0" applyProtection="0"/>
    <xf numFmtId="178" fontId="137" fillId="0" borderId="71" applyNumberFormat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4" fontId="71" fillId="0" borderId="0">
      <alignment horizontal="center" wrapText="1"/>
      <protection locked="0"/>
    </xf>
    <xf numFmtId="286" fontId="165" fillId="0" borderId="0" applyFont="0" applyFill="0" applyBorder="0" applyAlignment="0" applyProtection="0"/>
    <xf numFmtId="307" fontId="153" fillId="0" borderId="0" applyFont="0" applyFill="0" applyBorder="0" applyAlignment="0" applyProtection="0"/>
    <xf numFmtId="308" fontId="172" fillId="0" borderId="0" applyFont="0" applyFill="0" applyBorder="0" applyAlignment="0" applyProtection="0"/>
    <xf numFmtId="309" fontId="18" fillId="0" borderId="0" applyFont="0" applyFill="0" applyBorder="0" applyAlignment="0" applyProtection="0"/>
    <xf numFmtId="310" fontId="18" fillId="0" borderId="0"/>
    <xf numFmtId="31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19" fillId="0" borderId="0" applyFont="0" applyFill="0" applyBorder="0" applyAlignment="0" applyProtection="0"/>
    <xf numFmtId="178" fontId="119" fillId="0" borderId="0" applyFont="0" applyFill="0" applyBorder="0" applyAlignment="0" applyProtection="0"/>
    <xf numFmtId="311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312" fontId="172" fillId="0" borderId="0" applyFont="0" applyFill="0" applyBorder="0" applyAlignment="0" applyProtection="0"/>
    <xf numFmtId="313" fontId="153" fillId="0" borderId="0" applyFont="0" applyFill="0" applyBorder="0" applyAlignment="0" applyProtection="0"/>
    <xf numFmtId="314" fontId="172" fillId="0" borderId="0" applyFont="0" applyFill="0" applyBorder="0" applyAlignment="0" applyProtection="0"/>
    <xf numFmtId="315" fontId="153" fillId="0" borderId="0" applyFont="0" applyFill="0" applyBorder="0" applyAlignment="0" applyProtection="0"/>
    <xf numFmtId="316" fontId="172" fillId="0" borderId="0" applyFont="0" applyFill="0" applyBorder="0" applyAlignment="0" applyProtection="0"/>
    <xf numFmtId="317" fontId="153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0" fontId="18" fillId="127" borderId="0" applyFont="0" applyFill="0" applyBorder="0" applyAlignment="0" applyProtection="0"/>
    <xf numFmtId="9" fontId="1" fillId="0" borderId="0" applyFont="0" applyFill="0" applyBorder="0" applyAlignment="0" applyProtection="0"/>
    <xf numFmtId="10" fontId="18" fillId="127" borderId="0" applyFont="0" applyFill="0" applyBorder="0" applyAlignment="0" applyProtection="0"/>
    <xf numFmtId="9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17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7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8" fillId="0" borderId="0" applyFont="0" applyFill="0" applyBorder="0" applyAlignment="0" applyProtection="0"/>
    <xf numFmtId="207" fontId="67" fillId="0" borderId="0" applyFont="0" applyFill="0" applyBorder="0" applyProtection="0">
      <alignment horizontal="right"/>
    </xf>
    <xf numFmtId="318" fontId="67" fillId="0" borderId="0"/>
    <xf numFmtId="283" fontId="171" fillId="0" borderId="0" applyFill="0" applyBorder="0" applyProtection="0">
      <alignment vertical="center"/>
    </xf>
    <xf numFmtId="319" fontId="180" fillId="0" borderId="0"/>
    <xf numFmtId="320" fontId="180" fillId="0" borderId="0" applyBorder="0" applyAlignment="0" applyProtection="0"/>
    <xf numFmtId="37" fontId="270" fillId="0" borderId="0" applyFont="0"/>
    <xf numFmtId="0" fontId="18" fillId="0" borderId="0">
      <protection locked="0"/>
    </xf>
    <xf numFmtId="0" fontId="18" fillId="0" borderId="0">
      <protection locked="0"/>
    </xf>
    <xf numFmtId="178" fontId="18" fillId="0" borderId="0">
      <protection locked="0"/>
    </xf>
    <xf numFmtId="178" fontId="18" fillId="0" borderId="0">
      <protection locked="0"/>
    </xf>
    <xf numFmtId="9" fontId="18" fillId="0" borderId="0" applyFont="0" applyFill="0" applyBorder="0" applyAlignment="0" applyProtection="0"/>
    <xf numFmtId="232" fontId="62" fillId="0" borderId="0">
      <protection locked="0"/>
    </xf>
    <xf numFmtId="321" fontId="271" fillId="0" borderId="21">
      <alignment horizontal="center"/>
    </xf>
    <xf numFmtId="321" fontId="271" fillId="0" borderId="21">
      <alignment horizontal="center"/>
    </xf>
    <xf numFmtId="321" fontId="271" fillId="0" borderId="21">
      <alignment horizontal="center"/>
    </xf>
    <xf numFmtId="321" fontId="271" fillId="0" borderId="21">
      <alignment horizontal="center"/>
    </xf>
    <xf numFmtId="321" fontId="271" fillId="0" borderId="21">
      <alignment horizontal="center"/>
    </xf>
    <xf numFmtId="321" fontId="271" fillId="0" borderId="21">
      <alignment horizontal="center"/>
    </xf>
    <xf numFmtId="321" fontId="271" fillId="0" borderId="21">
      <alignment horizontal="center"/>
    </xf>
    <xf numFmtId="321" fontId="271" fillId="0" borderId="21">
      <alignment horizontal="center"/>
    </xf>
    <xf numFmtId="321" fontId="271" fillId="0" borderId="21">
      <alignment horizontal="center"/>
    </xf>
    <xf numFmtId="321" fontId="271" fillId="0" borderId="21">
      <alignment horizontal="center"/>
    </xf>
    <xf numFmtId="321" fontId="271" fillId="0" borderId="21">
      <alignment horizontal="center"/>
    </xf>
    <xf numFmtId="9" fontId="6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0" fontId="18" fillId="0" borderId="0" applyFont="0" applyFill="0" applyBorder="0" applyAlignment="0" applyProtection="0"/>
    <xf numFmtId="322" fontId="38" fillId="0" borderId="0" applyFill="0" applyBorder="0">
      <alignment horizontal="center"/>
    </xf>
    <xf numFmtId="323" fontId="18" fillId="0" borderId="0"/>
    <xf numFmtId="9" fontId="18" fillId="0" borderId="0" applyFont="0" applyFill="0" applyBorder="0" applyAlignment="0" applyProtection="0"/>
    <xf numFmtId="207" fontId="18" fillId="0" borderId="0" applyFont="0" applyFill="0" applyBorder="0" applyProtection="0">
      <alignment horizontal="right"/>
    </xf>
    <xf numFmtId="166" fontId="179" fillId="0" borderId="0" applyFont="0" applyFill="0" applyBorder="0" applyAlignment="0" applyProtection="0"/>
    <xf numFmtId="324" fontId="179" fillId="0" borderId="0"/>
    <xf numFmtId="325" fontId="180" fillId="0" borderId="0"/>
    <xf numFmtId="325" fontId="180" fillId="0" borderId="0"/>
    <xf numFmtId="325" fontId="180" fillId="0" borderId="0"/>
    <xf numFmtId="325" fontId="180" fillId="0" borderId="0"/>
    <xf numFmtId="37" fontId="38" fillId="0" borderId="0">
      <alignment horizontal="right"/>
      <protection locked="0"/>
    </xf>
    <xf numFmtId="0" fontId="41" fillId="0" borderId="0" applyFill="0" applyBorder="0" applyAlignment="0"/>
    <xf numFmtId="0" fontId="41" fillId="0" borderId="0" applyFill="0" applyBorder="0" applyAlignment="0"/>
    <xf numFmtId="178" fontId="41" fillId="0" borderId="0" applyFill="0" applyBorder="0" applyAlignment="0"/>
    <xf numFmtId="178" fontId="41" fillId="0" borderId="0" applyFill="0" applyBorder="0" applyAlignment="0"/>
    <xf numFmtId="0" fontId="41" fillId="0" borderId="0" applyFill="0" applyBorder="0" applyAlignment="0"/>
    <xf numFmtId="0" fontId="41" fillId="0" borderId="0" applyFill="0" applyBorder="0" applyAlignment="0"/>
    <xf numFmtId="178" fontId="41" fillId="0" borderId="0" applyFill="0" applyBorder="0" applyAlignment="0"/>
    <xf numFmtId="178" fontId="41" fillId="0" borderId="0" applyFill="0" applyBorder="0" applyAlignment="0"/>
    <xf numFmtId="0" fontId="41" fillId="0" borderId="0" applyFill="0" applyBorder="0" applyAlignment="0"/>
    <xf numFmtId="0" fontId="41" fillId="0" borderId="0" applyFill="0" applyBorder="0" applyAlignment="0"/>
    <xf numFmtId="178" fontId="41" fillId="0" borderId="0" applyFill="0" applyBorder="0" applyAlignment="0"/>
    <xf numFmtId="178" fontId="41" fillId="0" borderId="0" applyFill="0" applyBorder="0" applyAlignment="0"/>
    <xf numFmtId="0" fontId="41" fillId="0" borderId="0" applyFill="0" applyBorder="0" applyAlignment="0"/>
    <xf numFmtId="0" fontId="41" fillId="0" borderId="0" applyFill="0" applyBorder="0" applyAlignment="0"/>
    <xf numFmtId="178" fontId="41" fillId="0" borderId="0" applyFill="0" applyBorder="0" applyAlignment="0"/>
    <xf numFmtId="178" fontId="41" fillId="0" borderId="0" applyFill="0" applyBorder="0" applyAlignment="0"/>
    <xf numFmtId="0" fontId="41" fillId="0" borderId="0" applyFill="0" applyBorder="0" applyAlignment="0"/>
    <xf numFmtId="0" fontId="41" fillId="0" borderId="0" applyFill="0" applyBorder="0" applyAlignment="0"/>
    <xf numFmtId="178" fontId="41" fillId="0" borderId="0" applyFill="0" applyBorder="0" applyAlignment="0"/>
    <xf numFmtId="178" fontId="41" fillId="0" borderId="0" applyFill="0" applyBorder="0" applyAlignment="0"/>
    <xf numFmtId="326" fontId="272" fillId="57" borderId="0" applyBorder="0"/>
    <xf numFmtId="258" fontId="1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273" fillId="42" borderId="0"/>
    <xf numFmtId="188" fontId="273" fillId="53" borderId="0"/>
    <xf numFmtId="178" fontId="273" fillId="53" borderId="0"/>
    <xf numFmtId="188" fontId="273" fillId="53" borderId="0"/>
    <xf numFmtId="178" fontId="273" fillId="53" borderId="0"/>
    <xf numFmtId="188" fontId="273" fillId="53" borderId="0"/>
    <xf numFmtId="178" fontId="273" fillId="53" borderId="0"/>
    <xf numFmtId="0" fontId="273" fillId="42" borderId="0"/>
    <xf numFmtId="178" fontId="273" fillId="42" borderId="0"/>
    <xf numFmtId="178" fontId="273" fillId="42" borderId="0"/>
    <xf numFmtId="0" fontId="234" fillId="0" borderId="0"/>
    <xf numFmtId="0" fontId="234" fillId="0" borderId="0"/>
    <xf numFmtId="178" fontId="234" fillId="0" borderId="0"/>
    <xf numFmtId="178" fontId="234" fillId="0" borderId="0"/>
    <xf numFmtId="0" fontId="234" fillId="0" borderId="65">
      <alignment horizontal="right"/>
    </xf>
    <xf numFmtId="0" fontId="234" fillId="0" borderId="65">
      <alignment horizontal="right"/>
    </xf>
    <xf numFmtId="178" fontId="234" fillId="0" borderId="65">
      <alignment horizontal="right"/>
    </xf>
    <xf numFmtId="178" fontId="234" fillId="0" borderId="65">
      <alignment horizontal="right"/>
    </xf>
    <xf numFmtId="166" fontId="67" fillId="0" borderId="0">
      <alignment vertical="top"/>
      <protection locked="0"/>
    </xf>
    <xf numFmtId="0" fontId="119" fillId="0" borderId="0" applyFont="0" applyFill="0" applyBorder="0" applyAlignment="0" applyProtection="0"/>
    <xf numFmtId="9" fontId="38" fillId="0" borderId="0" applyFont="0" applyBorder="0">
      <alignment horizontal="right"/>
      <protection locked="0"/>
    </xf>
    <xf numFmtId="166" fontId="38" fillId="0" borderId="0" applyFill="0" applyBorder="0">
      <alignment horizontal="right"/>
      <protection locked="0"/>
    </xf>
    <xf numFmtId="0" fontId="119" fillId="0" borderId="0" applyNumberFormat="0" applyFont="0" applyFill="0" applyBorder="0" applyAlignment="0" applyProtection="0">
      <alignment horizontal="left"/>
    </xf>
    <xf numFmtId="0" fontId="119" fillId="0" borderId="0" applyNumberFormat="0" applyFont="0" applyFill="0" applyBorder="0" applyAlignment="0" applyProtection="0">
      <alignment horizontal="left"/>
    </xf>
    <xf numFmtId="178" fontId="119" fillId="0" borderId="0" applyNumberFormat="0" applyFont="0" applyFill="0" applyBorder="0" applyAlignment="0" applyProtection="0">
      <alignment horizontal="left"/>
    </xf>
    <xf numFmtId="178" fontId="119" fillId="0" borderId="0" applyNumberFormat="0" applyFont="0" applyFill="0" applyBorder="0" applyAlignment="0" applyProtection="0">
      <alignment horizontal="left"/>
    </xf>
    <xf numFmtId="15" fontId="119" fillId="0" borderId="0" applyFont="0" applyFill="0" applyBorder="0" applyAlignment="0" applyProtection="0"/>
    <xf numFmtId="4" fontId="119" fillId="0" borderId="0" applyFont="0" applyFill="0" applyBorder="0" applyAlignment="0" applyProtection="0"/>
    <xf numFmtId="0" fontId="156" fillId="0" borderId="42">
      <alignment horizontal="center"/>
    </xf>
    <xf numFmtId="0" fontId="156" fillId="0" borderId="42">
      <alignment horizontal="center"/>
    </xf>
    <xf numFmtId="0" fontId="156" fillId="0" borderId="42">
      <alignment horizontal="center"/>
    </xf>
    <xf numFmtId="0" fontId="156" fillId="0" borderId="42">
      <alignment horizontal="center"/>
    </xf>
    <xf numFmtId="178" fontId="156" fillId="0" borderId="42">
      <alignment horizontal="center"/>
    </xf>
    <xf numFmtId="0" fontId="156" fillId="0" borderId="42">
      <alignment horizontal="center"/>
    </xf>
    <xf numFmtId="178" fontId="156" fillId="0" borderId="42">
      <alignment horizontal="center"/>
    </xf>
    <xf numFmtId="188" fontId="156" fillId="0" borderId="42">
      <alignment horizontal="center"/>
    </xf>
    <xf numFmtId="178" fontId="156" fillId="0" borderId="42">
      <alignment horizontal="center"/>
    </xf>
    <xf numFmtId="0" fontId="156" fillId="0" borderId="42">
      <alignment horizontal="center"/>
    </xf>
    <xf numFmtId="178" fontId="156" fillId="0" borderId="42">
      <alignment horizontal="center"/>
    </xf>
    <xf numFmtId="188" fontId="156" fillId="0" borderId="42">
      <alignment horizontal="center"/>
    </xf>
    <xf numFmtId="178" fontId="156" fillId="0" borderId="42">
      <alignment horizontal="center"/>
    </xf>
    <xf numFmtId="3" fontId="119" fillId="0" borderId="0" applyFont="0" applyFill="0" applyBorder="0" applyAlignment="0" applyProtection="0"/>
    <xf numFmtId="0" fontId="119" fillId="128" borderId="0" applyNumberFormat="0" applyFont="0" applyBorder="0" applyAlignment="0" applyProtection="0"/>
    <xf numFmtId="0" fontId="119" fillId="128" borderId="0" applyNumberFormat="0" applyFont="0" applyBorder="0" applyAlignment="0" applyProtection="0"/>
    <xf numFmtId="178" fontId="119" fillId="128" borderId="0" applyNumberFormat="0" applyFont="0" applyBorder="0" applyAlignment="0" applyProtection="0"/>
    <xf numFmtId="178" fontId="119" fillId="128" borderId="0" applyNumberFormat="0" applyFont="0" applyBorder="0" applyAlignment="0" applyProtection="0"/>
    <xf numFmtId="232" fontId="62" fillId="0" borderId="0">
      <protection locked="0"/>
    </xf>
    <xf numFmtId="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0" fontId="18" fillId="0" borderId="0" applyNumberFormat="0" applyFill="0" applyBorder="0" applyAlignment="0" applyProtection="0">
      <alignment horizontal="left"/>
      <protection locked="0"/>
    </xf>
    <xf numFmtId="0" fontId="18" fillId="0" borderId="0" applyNumberFormat="0" applyFill="0" applyBorder="0" applyAlignment="0" applyProtection="0">
      <alignment horizontal="left"/>
      <protection locked="0"/>
    </xf>
    <xf numFmtId="0" fontId="18" fillId="0" borderId="0" applyNumberFormat="0" applyFill="0" applyBorder="0" applyAlignment="0" applyProtection="0">
      <alignment horizontal="left"/>
      <protection locked="0"/>
    </xf>
    <xf numFmtId="178" fontId="18" fillId="0" borderId="0" applyNumberFormat="0" applyFill="0" applyBorder="0" applyAlignment="0" applyProtection="0">
      <alignment horizontal="left"/>
      <protection locked="0"/>
    </xf>
    <xf numFmtId="178" fontId="18" fillId="0" borderId="0" applyNumberFormat="0" applyFill="0" applyBorder="0" applyAlignment="0" applyProtection="0">
      <alignment horizontal="left"/>
      <protection locked="0"/>
    </xf>
    <xf numFmtId="0" fontId="274" fillId="0" borderId="0" applyNumberFormat="0" applyFill="0" applyBorder="0" applyAlignment="0" applyProtection="0">
      <alignment horizontal="left"/>
      <protection locked="0"/>
    </xf>
    <xf numFmtId="178" fontId="274" fillId="0" borderId="0" applyNumberFormat="0" applyFill="0" applyBorder="0" applyAlignment="0" applyProtection="0">
      <alignment horizontal="left"/>
      <protection locked="0"/>
    </xf>
    <xf numFmtId="178" fontId="274" fillId="0" borderId="0" applyNumberFormat="0" applyFill="0" applyBorder="0" applyAlignment="0" applyProtection="0">
      <alignment horizontal="left"/>
      <protection locked="0"/>
    </xf>
    <xf numFmtId="0" fontId="275" fillId="0" borderId="45" applyNumberFormat="0" applyFill="0" applyBorder="0" applyAlignment="0" applyProtection="0">
      <protection hidden="1"/>
    </xf>
    <xf numFmtId="0" fontId="275" fillId="0" borderId="45" applyNumberFormat="0" applyFill="0" applyBorder="0" applyAlignment="0" applyProtection="0">
      <protection hidden="1"/>
    </xf>
    <xf numFmtId="178" fontId="275" fillId="0" borderId="45" applyNumberFormat="0" applyFill="0" applyBorder="0" applyAlignment="0" applyProtection="0">
      <protection hidden="1"/>
    </xf>
    <xf numFmtId="178" fontId="275" fillId="0" borderId="45" applyNumberFormat="0" applyFill="0" applyBorder="0" applyAlignment="0" applyProtection="0">
      <protection hidden="1"/>
    </xf>
    <xf numFmtId="0" fontId="274" fillId="0" borderId="0" applyNumberFormat="0" applyFill="0" applyBorder="0" applyAlignment="0" applyProtection="0">
      <alignment horizontal="left"/>
      <protection locked="0"/>
    </xf>
    <xf numFmtId="0" fontId="99" fillId="129" borderId="0" applyNumberFormat="0" applyFont="0" applyBorder="0" applyAlignment="0">
      <alignment horizontal="center"/>
    </xf>
    <xf numFmtId="0" fontId="99" fillId="129" borderId="0" applyNumberFormat="0" applyFont="0" applyBorder="0" applyAlignment="0">
      <alignment horizontal="center"/>
    </xf>
    <xf numFmtId="178" fontId="99" fillId="129" borderId="0" applyNumberFormat="0" applyFont="0" applyBorder="0" applyAlignment="0">
      <alignment horizontal="center"/>
    </xf>
    <xf numFmtId="178" fontId="99" fillId="129" borderId="0" applyNumberFormat="0" applyFont="0" applyBorder="0" applyAlignment="0">
      <alignment horizontal="center"/>
    </xf>
    <xf numFmtId="327" fontId="99" fillId="0" borderId="0" applyNumberFormat="0" applyFill="0" applyBorder="0" applyAlignment="0" applyProtection="0">
      <alignment horizontal="left"/>
    </xf>
    <xf numFmtId="327" fontId="99" fillId="0" borderId="0" applyNumberFormat="0" applyFill="0" applyBorder="0" applyAlignment="0" applyProtection="0">
      <alignment horizontal="left"/>
    </xf>
    <xf numFmtId="39" fontId="18" fillId="0" borderId="0" applyNumberFormat="0" applyFill="0" applyBorder="0" applyProtection="0">
      <alignment horizontal="right"/>
    </xf>
    <xf numFmtId="189" fontId="234" fillId="0" borderId="65" applyNumberFormat="0" applyFill="0" applyProtection="0">
      <alignment horizontal="right"/>
    </xf>
    <xf numFmtId="189" fontId="234" fillId="0" borderId="65" applyNumberFormat="0" applyFill="0" applyProtection="0">
      <alignment horizontal="right"/>
    </xf>
    <xf numFmtId="0" fontId="177" fillId="0" borderId="0">
      <alignment horizontal="right"/>
    </xf>
    <xf numFmtId="0" fontId="177" fillId="0" borderId="0">
      <alignment horizontal="right"/>
    </xf>
    <xf numFmtId="178" fontId="177" fillId="0" borderId="0">
      <alignment horizontal="right"/>
    </xf>
    <xf numFmtId="178" fontId="177" fillId="0" borderId="0">
      <alignment horizontal="right"/>
    </xf>
    <xf numFmtId="0" fontId="18" fillId="0" borderId="21" applyNumberFormat="0">
      <alignment horizontal="center" vertical="center" wrapText="1"/>
    </xf>
    <xf numFmtId="0" fontId="18" fillId="0" borderId="21" applyNumberFormat="0">
      <alignment horizontal="center" vertical="center" wrapText="1"/>
    </xf>
    <xf numFmtId="0" fontId="18" fillId="0" borderId="21" applyNumberFormat="0">
      <alignment horizontal="center" vertical="center" wrapText="1"/>
    </xf>
    <xf numFmtId="178" fontId="18" fillId="0" borderId="21" applyNumberFormat="0">
      <alignment horizontal="center" vertical="center" wrapText="1"/>
    </xf>
    <xf numFmtId="0" fontId="18" fillId="0" borderId="21" applyNumberFormat="0">
      <alignment horizontal="center" vertical="center" wrapText="1"/>
    </xf>
    <xf numFmtId="0" fontId="18" fillId="0" borderId="21" applyNumberFormat="0">
      <alignment horizontal="center" vertical="center" wrapText="1"/>
    </xf>
    <xf numFmtId="178" fontId="18" fillId="0" borderId="21" applyNumberFormat="0">
      <alignment horizontal="center" vertical="center" wrapText="1"/>
    </xf>
    <xf numFmtId="188" fontId="18" fillId="0" borderId="21" applyNumberFormat="0">
      <alignment horizontal="center" vertical="center" wrapText="1"/>
    </xf>
    <xf numFmtId="178" fontId="18" fillId="0" borderId="21" applyNumberFormat="0">
      <alignment horizontal="center" vertical="center" wrapText="1"/>
    </xf>
    <xf numFmtId="0" fontId="18" fillId="0" borderId="21" applyNumberFormat="0">
      <alignment horizontal="center" vertical="center" wrapText="1"/>
    </xf>
    <xf numFmtId="178" fontId="18" fillId="0" borderId="21" applyNumberFormat="0">
      <alignment horizontal="center" vertical="center" wrapText="1"/>
    </xf>
    <xf numFmtId="0" fontId="18" fillId="0" borderId="21" applyNumberFormat="0">
      <alignment horizontal="center" vertical="center" wrapText="1"/>
    </xf>
    <xf numFmtId="0" fontId="18" fillId="0" borderId="21" applyNumberFormat="0">
      <alignment horizontal="center" vertical="center" wrapText="1"/>
    </xf>
    <xf numFmtId="178" fontId="18" fillId="0" borderId="21" applyNumberFormat="0">
      <alignment horizontal="center" vertical="center" wrapText="1"/>
    </xf>
    <xf numFmtId="188" fontId="18" fillId="0" borderId="21" applyNumberFormat="0">
      <alignment horizontal="center" vertical="center" wrapText="1"/>
    </xf>
    <xf numFmtId="178" fontId="18" fillId="0" borderId="21" applyNumberFormat="0">
      <alignment horizontal="center" vertical="center" wrapText="1"/>
    </xf>
    <xf numFmtId="0" fontId="276" fillId="0" borderId="0">
      <alignment horizontal="right"/>
    </xf>
    <xf numFmtId="0" fontId="276" fillId="0" borderId="0">
      <alignment horizontal="right"/>
    </xf>
    <xf numFmtId="178" fontId="276" fillId="0" borderId="0">
      <alignment horizontal="right"/>
    </xf>
    <xf numFmtId="178" fontId="276" fillId="0" borderId="0">
      <alignment horizontal="right"/>
    </xf>
    <xf numFmtId="0" fontId="277" fillId="0" borderId="0">
      <alignment horizontal="right"/>
    </xf>
    <xf numFmtId="0" fontId="277" fillId="0" borderId="0">
      <alignment horizontal="right"/>
    </xf>
    <xf numFmtId="178" fontId="277" fillId="0" borderId="0">
      <alignment horizontal="right"/>
    </xf>
    <xf numFmtId="178" fontId="277" fillId="0" borderId="0">
      <alignment horizontal="right"/>
    </xf>
    <xf numFmtId="3" fontId="278" fillId="42" borderId="54" applyFill="0"/>
    <xf numFmtId="0" fontId="18" fillId="0" borderId="0"/>
    <xf numFmtId="0" fontId="18" fillId="0" borderId="0"/>
    <xf numFmtId="178" fontId="18" fillId="0" borderId="0"/>
    <xf numFmtId="178" fontId="18" fillId="0" borderId="0"/>
    <xf numFmtId="175" fontId="60" fillId="0" borderId="0" applyFont="0" applyFill="0" applyProtection="0"/>
    <xf numFmtId="286" fontId="238" fillId="0" borderId="0" applyFont="0" applyFill="0" applyBorder="0" applyAlignment="0" applyProtection="0"/>
    <xf numFmtId="328" fontId="238" fillId="0" borderId="0" applyFont="0" applyFill="0" applyBorder="0" applyAlignment="0" applyProtection="0"/>
    <xf numFmtId="287" fontId="238" fillId="0" borderId="0" applyFont="0" applyFill="0" applyBorder="0" applyAlignment="0" applyProtection="0"/>
    <xf numFmtId="329" fontId="238" fillId="0" borderId="0" applyFont="0" applyFill="0" applyBorder="0" applyAlignment="0" applyProtection="0"/>
    <xf numFmtId="37" fontId="238" fillId="0" borderId="0" applyFont="0" applyFill="0" applyBorder="0" applyAlignment="0" applyProtection="0"/>
    <xf numFmtId="189" fontId="238" fillId="0" borderId="0" applyFont="0" applyFill="0" applyBorder="0" applyAlignment="0" applyProtection="0"/>
    <xf numFmtId="39" fontId="238" fillId="0" borderId="0" applyFont="0" applyFill="0" applyBorder="0" applyAlignment="0" applyProtection="0"/>
    <xf numFmtId="288" fontId="238" fillId="0" borderId="0" applyFont="0" applyFill="0" applyBorder="0" applyAlignment="0" applyProtection="0"/>
    <xf numFmtId="289" fontId="238" fillId="0" borderId="0" applyFont="0" applyFill="0" applyBorder="0" applyAlignment="0" applyProtection="0"/>
    <xf numFmtId="15" fontId="279" fillId="0" borderId="0" applyFont="0" applyFill="0" applyBorder="0" applyAlignment="0" applyProtection="0"/>
    <xf numFmtId="330" fontId="238" fillId="0" borderId="0" applyFont="0" applyFill="0" applyBorder="0" applyAlignment="0" applyProtection="0"/>
    <xf numFmtId="16" fontId="238" fillId="0" borderId="0" applyFont="0" applyFill="0" applyBorder="0" applyAlignment="0" applyProtection="0"/>
    <xf numFmtId="187" fontId="238" fillId="0" borderId="0" applyFont="0" applyFill="0" applyBorder="0" applyAlignment="0" applyProtection="0"/>
    <xf numFmtId="331" fontId="238" fillId="0" borderId="0" applyFont="0" applyFill="0" applyBorder="0" applyAlignment="0" applyProtection="0"/>
    <xf numFmtId="332" fontId="238" fillId="0" borderId="0" applyFont="0" applyFill="0" applyBorder="0" applyAlignment="0" applyProtection="0"/>
    <xf numFmtId="0" fontId="258" fillId="53" borderId="67" applyNumberFormat="0" applyAlignment="0" applyProtection="0"/>
    <xf numFmtId="0" fontId="258" fillId="53" borderId="67" applyNumberFormat="0" applyAlignment="0" applyProtection="0"/>
    <xf numFmtId="178" fontId="258" fillId="53" borderId="67" applyNumberFormat="0" applyAlignment="0" applyProtection="0"/>
    <xf numFmtId="0" fontId="258" fillId="53" borderId="67" applyNumberFormat="0" applyAlignment="0" applyProtection="0"/>
    <xf numFmtId="0" fontId="258" fillId="53" borderId="67" applyNumberFormat="0" applyAlignment="0" applyProtection="0"/>
    <xf numFmtId="178" fontId="258" fillId="53" borderId="67" applyNumberFormat="0" applyAlignment="0" applyProtection="0"/>
    <xf numFmtId="188" fontId="258" fillId="53" borderId="67" applyNumberFormat="0" applyAlignment="0" applyProtection="0"/>
    <xf numFmtId="178" fontId="258" fillId="53" borderId="67" applyNumberFormat="0" applyAlignment="0" applyProtection="0"/>
    <xf numFmtId="0" fontId="258" fillId="53" borderId="67" applyNumberFormat="0" applyAlignment="0" applyProtection="0"/>
    <xf numFmtId="178" fontId="258" fillId="53" borderId="67" applyNumberFormat="0" applyAlignment="0" applyProtection="0"/>
    <xf numFmtId="0" fontId="258" fillId="53" borderId="67" applyNumberFormat="0" applyAlignment="0" applyProtection="0"/>
    <xf numFmtId="0" fontId="258" fillId="53" borderId="67" applyNumberFormat="0" applyAlignment="0" applyProtection="0"/>
    <xf numFmtId="178" fontId="258" fillId="53" borderId="67" applyNumberFormat="0" applyAlignment="0" applyProtection="0"/>
    <xf numFmtId="188" fontId="258" fillId="53" borderId="67" applyNumberFormat="0" applyAlignment="0" applyProtection="0"/>
    <xf numFmtId="178" fontId="258" fillId="53" borderId="67" applyNumberFormat="0" applyAlignment="0" applyProtection="0"/>
    <xf numFmtId="0" fontId="258" fillId="53" borderId="67" applyNumberFormat="0" applyAlignment="0" applyProtection="0"/>
    <xf numFmtId="0" fontId="258" fillId="53" borderId="67" applyNumberFormat="0" applyAlignment="0" applyProtection="0"/>
    <xf numFmtId="0" fontId="258" fillId="53" borderId="67" applyNumberFormat="0" applyAlignment="0" applyProtection="0"/>
    <xf numFmtId="178" fontId="258" fillId="53" borderId="67" applyNumberFormat="0" applyAlignment="0" applyProtection="0"/>
    <xf numFmtId="0" fontId="258" fillId="53" borderId="67" applyNumberFormat="0" applyAlignment="0" applyProtection="0"/>
    <xf numFmtId="0" fontId="258" fillId="53" borderId="67" applyNumberFormat="0" applyAlignment="0" applyProtection="0"/>
    <xf numFmtId="178" fontId="258" fillId="53" borderId="67" applyNumberFormat="0" applyAlignment="0" applyProtection="0"/>
    <xf numFmtId="188" fontId="258" fillId="53" borderId="67" applyNumberFormat="0" applyAlignment="0" applyProtection="0"/>
    <xf numFmtId="178" fontId="258" fillId="53" borderId="67" applyNumberFormat="0" applyAlignment="0" applyProtection="0"/>
    <xf numFmtId="0" fontId="258" fillId="53" borderId="67" applyNumberFormat="0" applyAlignment="0" applyProtection="0"/>
    <xf numFmtId="178" fontId="258" fillId="53" borderId="67" applyNumberFormat="0" applyAlignment="0" applyProtection="0"/>
    <xf numFmtId="0" fontId="258" fillId="53" borderId="67" applyNumberFormat="0" applyAlignment="0" applyProtection="0"/>
    <xf numFmtId="0" fontId="258" fillId="53" borderId="67" applyNumberFormat="0" applyAlignment="0" applyProtection="0"/>
    <xf numFmtId="178" fontId="258" fillId="53" borderId="67" applyNumberFormat="0" applyAlignment="0" applyProtection="0"/>
    <xf numFmtId="188" fontId="258" fillId="53" borderId="67" applyNumberFormat="0" applyAlignment="0" applyProtection="0"/>
    <xf numFmtId="178" fontId="258" fillId="53" borderId="67" applyNumberFormat="0" applyAlignment="0" applyProtection="0"/>
    <xf numFmtId="0" fontId="18" fillId="0" borderId="72">
      <alignment vertical="center"/>
    </xf>
    <xf numFmtId="0" fontId="18" fillId="0" borderId="72">
      <alignment vertical="center"/>
    </xf>
    <xf numFmtId="0" fontId="18" fillId="0" borderId="72">
      <alignment vertical="center"/>
    </xf>
    <xf numFmtId="0" fontId="18" fillId="0" borderId="72">
      <alignment vertical="center"/>
    </xf>
    <xf numFmtId="178" fontId="18" fillId="0" borderId="72">
      <alignment vertical="center"/>
    </xf>
    <xf numFmtId="178" fontId="18" fillId="0" borderId="72">
      <alignment vertical="center"/>
    </xf>
    <xf numFmtId="0" fontId="18" fillId="0" borderId="72">
      <alignment vertical="center"/>
    </xf>
    <xf numFmtId="178" fontId="18" fillId="0" borderId="72">
      <alignment vertical="center"/>
    </xf>
    <xf numFmtId="178" fontId="18" fillId="0" borderId="72">
      <alignment vertical="center"/>
    </xf>
    <xf numFmtId="0" fontId="280" fillId="0" borderId="72">
      <alignment vertical="center"/>
    </xf>
    <xf numFmtId="0" fontId="280" fillId="0" borderId="72">
      <alignment vertical="center"/>
    </xf>
    <xf numFmtId="0" fontId="280" fillId="0" borderId="72">
      <alignment vertical="center"/>
    </xf>
    <xf numFmtId="178" fontId="280" fillId="0" borderId="72">
      <alignment vertical="center"/>
    </xf>
    <xf numFmtId="178" fontId="280" fillId="0" borderId="72">
      <alignment vertical="center"/>
    </xf>
    <xf numFmtId="0" fontId="280" fillId="0" borderId="72">
      <alignment vertical="center"/>
    </xf>
    <xf numFmtId="178" fontId="280" fillId="0" borderId="72">
      <alignment vertical="center"/>
    </xf>
    <xf numFmtId="178" fontId="280" fillId="0" borderId="72">
      <alignment vertical="center"/>
    </xf>
    <xf numFmtId="0" fontId="280" fillId="0" borderId="72">
      <alignment vertical="center"/>
    </xf>
    <xf numFmtId="0" fontId="280" fillId="0" borderId="72">
      <alignment vertical="center"/>
    </xf>
    <xf numFmtId="178" fontId="280" fillId="0" borderId="72">
      <alignment vertical="center"/>
    </xf>
    <xf numFmtId="178" fontId="280" fillId="0" borderId="72">
      <alignment vertical="center"/>
    </xf>
    <xf numFmtId="0" fontId="280" fillId="0" borderId="72">
      <alignment vertical="center"/>
    </xf>
    <xf numFmtId="178" fontId="280" fillId="0" borderId="72">
      <alignment vertical="center"/>
    </xf>
    <xf numFmtId="178" fontId="280" fillId="0" borderId="72">
      <alignment vertical="center"/>
    </xf>
    <xf numFmtId="4" fontId="18" fillId="78" borderId="67" applyNumberFormat="0" applyProtection="0">
      <alignment vertical="center"/>
    </xf>
    <xf numFmtId="4" fontId="38" fillId="121" borderId="49" applyNumberFormat="0" applyProtection="0">
      <alignment vertical="center"/>
    </xf>
    <xf numFmtId="4" fontId="38" fillId="121" borderId="49" applyNumberFormat="0" applyProtection="0">
      <alignment vertical="center"/>
    </xf>
    <xf numFmtId="4" fontId="38" fillId="121" borderId="49" applyNumberFormat="0" applyProtection="0">
      <alignment vertical="center"/>
    </xf>
    <xf numFmtId="4" fontId="38" fillId="121" borderId="49" applyNumberFormat="0" applyProtection="0">
      <alignment vertical="center"/>
    </xf>
    <xf numFmtId="4" fontId="38" fillId="121" borderId="49" applyNumberFormat="0" applyProtection="0">
      <alignment vertical="center"/>
    </xf>
    <xf numFmtId="4" fontId="38" fillId="121" borderId="49" applyNumberFormat="0" applyProtection="0">
      <alignment vertical="center"/>
    </xf>
    <xf numFmtId="4" fontId="38" fillId="121" borderId="49" applyNumberFormat="0" applyProtection="0">
      <alignment vertical="center"/>
    </xf>
    <xf numFmtId="4" fontId="38" fillId="121" borderId="49" applyNumberFormat="0" applyProtection="0">
      <alignment vertical="center"/>
    </xf>
    <xf numFmtId="4" fontId="18" fillId="78" borderId="67" applyNumberFormat="0" applyProtection="0">
      <alignment vertical="center"/>
    </xf>
    <xf numFmtId="4" fontId="18" fillId="78" borderId="67" applyNumberFormat="0" applyProtection="0">
      <alignment vertical="center"/>
    </xf>
    <xf numFmtId="4" fontId="18" fillId="78" borderId="67" applyNumberFormat="0" applyProtection="0">
      <alignment vertical="center"/>
    </xf>
    <xf numFmtId="4" fontId="18" fillId="78" borderId="67" applyNumberFormat="0" applyProtection="0">
      <alignment vertical="center"/>
    </xf>
    <xf numFmtId="4" fontId="28" fillId="123" borderId="49" applyNumberFormat="0" applyProtection="0">
      <alignment vertical="center"/>
    </xf>
    <xf numFmtId="4" fontId="28" fillId="123" borderId="49" applyNumberFormat="0" applyProtection="0">
      <alignment vertical="center"/>
    </xf>
    <xf numFmtId="4" fontId="147" fillId="121" borderId="73" applyNumberFormat="0" applyProtection="0">
      <alignment vertical="center"/>
    </xf>
    <xf numFmtId="4" fontId="147" fillId="121" borderId="73" applyNumberFormat="0" applyProtection="0">
      <alignment vertical="center"/>
    </xf>
    <xf numFmtId="4" fontId="147" fillId="121" borderId="73" applyNumberFormat="0" applyProtection="0">
      <alignment vertical="center"/>
    </xf>
    <xf numFmtId="4" fontId="38" fillId="121" borderId="49" applyNumberFormat="0" applyProtection="0">
      <alignment vertical="center"/>
    </xf>
    <xf numFmtId="4" fontId="18" fillId="78" borderId="67" applyNumberFormat="0" applyProtection="0">
      <alignment vertical="center"/>
    </xf>
    <xf numFmtId="4" fontId="38" fillId="121" borderId="49" applyNumberFormat="0" applyProtection="0">
      <alignment vertical="center"/>
    </xf>
    <xf numFmtId="4" fontId="38" fillId="121" borderId="49" applyNumberFormat="0" applyProtection="0">
      <alignment vertical="center"/>
    </xf>
    <xf numFmtId="4" fontId="38" fillId="121" borderId="49" applyNumberFormat="0" applyProtection="0">
      <alignment vertical="center"/>
    </xf>
    <xf numFmtId="4" fontId="38" fillId="121" borderId="49" applyNumberFormat="0" applyProtection="0">
      <alignment vertical="center"/>
    </xf>
    <xf numFmtId="4" fontId="38" fillId="121" borderId="49" applyNumberFormat="0" applyProtection="0">
      <alignment vertical="center"/>
    </xf>
    <xf numFmtId="4" fontId="38" fillId="121" borderId="49" applyNumberFormat="0" applyProtection="0">
      <alignment vertical="center"/>
    </xf>
    <xf numFmtId="4" fontId="38" fillId="121" borderId="49" applyNumberFormat="0" applyProtection="0">
      <alignment vertical="center"/>
    </xf>
    <xf numFmtId="4" fontId="38" fillId="121" borderId="49" applyNumberFormat="0" applyProtection="0">
      <alignment vertical="center"/>
    </xf>
    <xf numFmtId="4" fontId="38" fillId="121" borderId="49" applyNumberFormat="0" applyProtection="0">
      <alignment vertical="center"/>
    </xf>
    <xf numFmtId="4" fontId="38" fillId="121" borderId="49" applyNumberFormat="0" applyProtection="0">
      <alignment vertical="center"/>
    </xf>
    <xf numFmtId="4" fontId="38" fillId="121" borderId="49" applyNumberFormat="0" applyProtection="0">
      <alignment vertical="center"/>
    </xf>
    <xf numFmtId="4" fontId="38" fillId="121" borderId="49" applyNumberFormat="0" applyProtection="0">
      <alignment vertical="center"/>
    </xf>
    <xf numFmtId="4" fontId="38" fillId="121" borderId="49" applyNumberFormat="0" applyProtection="0">
      <alignment vertical="center"/>
    </xf>
    <xf numFmtId="4" fontId="38" fillId="121" borderId="49" applyNumberFormat="0" applyProtection="0">
      <alignment vertical="center"/>
    </xf>
    <xf numFmtId="4" fontId="38" fillId="121" borderId="49" applyNumberFormat="0" applyProtection="0">
      <alignment vertical="center"/>
    </xf>
    <xf numFmtId="4" fontId="38" fillId="121" borderId="49" applyNumberFormat="0" applyProtection="0">
      <alignment vertical="center"/>
    </xf>
    <xf numFmtId="4" fontId="38" fillId="121" borderId="49" applyNumberFormat="0" applyProtection="0">
      <alignment vertical="center"/>
    </xf>
    <xf numFmtId="4" fontId="38" fillId="121" borderId="49" applyNumberFormat="0" applyProtection="0">
      <alignment vertical="center"/>
    </xf>
    <xf numFmtId="4" fontId="38" fillId="121" borderId="49" applyNumberFormat="0" applyProtection="0">
      <alignment vertical="center"/>
    </xf>
    <xf numFmtId="4" fontId="38" fillId="121" borderId="49" applyNumberFormat="0" applyProtection="0">
      <alignment vertical="center"/>
    </xf>
    <xf numFmtId="4" fontId="38" fillId="121" borderId="49" applyNumberFormat="0" applyProtection="0">
      <alignment vertical="center"/>
    </xf>
    <xf numFmtId="4" fontId="38" fillId="121" borderId="49" applyNumberFormat="0" applyProtection="0">
      <alignment vertical="center"/>
    </xf>
    <xf numFmtId="4" fontId="38" fillId="121" borderId="49" applyNumberFormat="0" applyProtection="0">
      <alignment vertical="center"/>
    </xf>
    <xf numFmtId="4" fontId="38" fillId="121" borderId="49" applyNumberFormat="0" applyProtection="0">
      <alignment vertical="center"/>
    </xf>
    <xf numFmtId="4" fontId="38" fillId="121" borderId="49" applyNumberFormat="0" applyProtection="0">
      <alignment vertical="center"/>
    </xf>
    <xf numFmtId="4" fontId="38" fillId="121" borderId="49" applyNumberFormat="0" applyProtection="0">
      <alignment vertical="center"/>
    </xf>
    <xf numFmtId="4" fontId="38" fillId="121" borderId="49" applyNumberFormat="0" applyProtection="0">
      <alignment vertical="center"/>
    </xf>
    <xf numFmtId="4" fontId="38" fillId="121" borderId="49" applyNumberFormat="0" applyProtection="0">
      <alignment vertical="center"/>
    </xf>
    <xf numFmtId="4" fontId="38" fillId="121" borderId="49" applyNumberFormat="0" applyProtection="0">
      <alignment vertical="center"/>
    </xf>
    <xf numFmtId="4" fontId="38" fillId="121" borderId="49" applyNumberFormat="0" applyProtection="0">
      <alignment vertical="center"/>
    </xf>
    <xf numFmtId="4" fontId="38" fillId="121" borderId="49" applyNumberFormat="0" applyProtection="0">
      <alignment vertical="center"/>
    </xf>
    <xf numFmtId="4" fontId="18" fillId="78" borderId="67" applyNumberFormat="0" applyProtection="0">
      <alignment vertical="center"/>
    </xf>
    <xf numFmtId="4" fontId="281" fillId="78" borderId="49" applyNumberFormat="0" applyProtection="0">
      <alignment vertical="center"/>
    </xf>
    <xf numFmtId="4" fontId="281" fillId="78" borderId="49" applyNumberFormat="0" applyProtection="0">
      <alignment vertical="center"/>
    </xf>
    <xf numFmtId="4" fontId="281" fillId="78" borderId="49" applyNumberFormat="0" applyProtection="0">
      <alignment vertical="center"/>
    </xf>
    <xf numFmtId="4" fontId="281" fillId="78" borderId="49" applyNumberFormat="0" applyProtection="0">
      <alignment vertical="center"/>
    </xf>
    <xf numFmtId="4" fontId="281" fillId="78" borderId="49" applyNumberFormat="0" applyProtection="0">
      <alignment vertical="center"/>
    </xf>
    <xf numFmtId="4" fontId="281" fillId="78" borderId="49" applyNumberFormat="0" applyProtection="0">
      <alignment vertical="center"/>
    </xf>
    <xf numFmtId="4" fontId="281" fillId="78" borderId="49" applyNumberFormat="0" applyProtection="0">
      <alignment vertical="center"/>
    </xf>
    <xf numFmtId="4" fontId="281" fillId="78" borderId="49" applyNumberFormat="0" applyProtection="0">
      <alignment vertical="center"/>
    </xf>
    <xf numFmtId="4" fontId="18" fillId="78" borderId="67" applyNumberFormat="0" applyProtection="0">
      <alignment vertical="center"/>
    </xf>
    <xf numFmtId="4" fontId="18" fillId="78" borderId="67" applyNumberFormat="0" applyProtection="0">
      <alignment vertical="center"/>
    </xf>
    <xf numFmtId="4" fontId="18" fillId="78" borderId="67" applyNumberFormat="0" applyProtection="0">
      <alignment vertical="center"/>
    </xf>
    <xf numFmtId="4" fontId="18" fillId="78" borderId="67" applyNumberFormat="0" applyProtection="0">
      <alignment vertical="center"/>
    </xf>
    <xf numFmtId="4" fontId="282" fillId="78" borderId="73" applyNumberFormat="0" applyProtection="0">
      <alignment vertical="center"/>
    </xf>
    <xf numFmtId="4" fontId="282" fillId="78" borderId="73" applyNumberFormat="0" applyProtection="0">
      <alignment vertical="center"/>
    </xf>
    <xf numFmtId="4" fontId="281" fillId="78" borderId="49" applyNumberFormat="0" applyProtection="0">
      <alignment vertical="center"/>
    </xf>
    <xf numFmtId="4" fontId="18" fillId="78" borderId="67" applyNumberFormat="0" applyProtection="0">
      <alignment vertical="center"/>
    </xf>
    <xf numFmtId="4" fontId="281" fillId="78" borderId="49" applyNumberFormat="0" applyProtection="0">
      <alignment vertical="center"/>
    </xf>
    <xf numFmtId="4" fontId="281" fillId="78" borderId="49" applyNumberFormat="0" applyProtection="0">
      <alignment vertical="center"/>
    </xf>
    <xf numFmtId="4" fontId="281" fillId="78" borderId="49" applyNumberFormat="0" applyProtection="0">
      <alignment vertical="center"/>
    </xf>
    <xf numFmtId="4" fontId="281" fillId="78" borderId="49" applyNumberFormat="0" applyProtection="0">
      <alignment vertical="center"/>
    </xf>
    <xf numFmtId="4" fontId="281" fillId="78" borderId="49" applyNumberFormat="0" applyProtection="0">
      <alignment vertical="center"/>
    </xf>
    <xf numFmtId="4" fontId="281" fillId="78" borderId="49" applyNumberFormat="0" applyProtection="0">
      <alignment vertical="center"/>
    </xf>
    <xf numFmtId="4" fontId="281" fillId="78" borderId="49" applyNumberFormat="0" applyProtection="0">
      <alignment vertical="center"/>
    </xf>
    <xf numFmtId="4" fontId="281" fillId="78" borderId="49" applyNumberFormat="0" applyProtection="0">
      <alignment vertical="center"/>
    </xf>
    <xf numFmtId="4" fontId="281" fillId="78" borderId="49" applyNumberFormat="0" applyProtection="0">
      <alignment vertical="center"/>
    </xf>
    <xf numFmtId="4" fontId="281" fillId="78" borderId="49" applyNumberFormat="0" applyProtection="0">
      <alignment vertical="center"/>
    </xf>
    <xf numFmtId="4" fontId="281" fillId="78" borderId="49" applyNumberFormat="0" applyProtection="0">
      <alignment vertical="center"/>
    </xf>
    <xf numFmtId="4" fontId="281" fillId="78" borderId="49" applyNumberFormat="0" applyProtection="0">
      <alignment vertical="center"/>
    </xf>
    <xf numFmtId="4" fontId="281" fillId="78" borderId="49" applyNumberFormat="0" applyProtection="0">
      <alignment vertical="center"/>
    </xf>
    <xf numFmtId="4" fontId="281" fillId="78" borderId="49" applyNumberFormat="0" applyProtection="0">
      <alignment vertical="center"/>
    </xf>
    <xf numFmtId="4" fontId="281" fillId="78" borderId="49" applyNumberFormat="0" applyProtection="0">
      <alignment vertical="center"/>
    </xf>
    <xf numFmtId="4" fontId="281" fillId="78" borderId="49" applyNumberFormat="0" applyProtection="0">
      <alignment vertical="center"/>
    </xf>
    <xf numFmtId="4" fontId="281" fillId="78" borderId="49" applyNumberFormat="0" applyProtection="0">
      <alignment vertical="center"/>
    </xf>
    <xf numFmtId="4" fontId="281" fillId="78" borderId="49" applyNumberFormat="0" applyProtection="0">
      <alignment vertical="center"/>
    </xf>
    <xf numFmtId="4" fontId="281" fillId="78" borderId="49" applyNumberFormat="0" applyProtection="0">
      <alignment vertical="center"/>
    </xf>
    <xf numFmtId="4" fontId="281" fillId="78" borderId="49" applyNumberFormat="0" applyProtection="0">
      <alignment vertical="center"/>
    </xf>
    <xf numFmtId="4" fontId="281" fillId="78" borderId="49" applyNumberFormat="0" applyProtection="0">
      <alignment vertical="center"/>
    </xf>
    <xf numFmtId="4" fontId="281" fillId="78" borderId="49" applyNumberFormat="0" applyProtection="0">
      <alignment vertical="center"/>
    </xf>
    <xf numFmtId="4" fontId="281" fillId="78" borderId="49" applyNumberFormat="0" applyProtection="0">
      <alignment vertical="center"/>
    </xf>
    <xf numFmtId="4" fontId="281" fillId="78" borderId="49" applyNumberFormat="0" applyProtection="0">
      <alignment vertical="center"/>
    </xf>
    <xf numFmtId="4" fontId="281" fillId="78" borderId="49" applyNumberFormat="0" applyProtection="0">
      <alignment vertical="center"/>
    </xf>
    <xf numFmtId="4" fontId="281" fillId="78" borderId="49" applyNumberFormat="0" applyProtection="0">
      <alignment vertical="center"/>
    </xf>
    <xf numFmtId="4" fontId="281" fillId="78" borderId="49" applyNumberFormat="0" applyProtection="0">
      <alignment vertical="center"/>
    </xf>
    <xf numFmtId="4" fontId="281" fillId="78" borderId="49" applyNumberFormat="0" applyProtection="0">
      <alignment vertical="center"/>
    </xf>
    <xf numFmtId="4" fontId="281" fillId="78" borderId="49" applyNumberFormat="0" applyProtection="0">
      <alignment vertical="center"/>
    </xf>
    <xf numFmtId="4" fontId="281" fillId="78" borderId="49" applyNumberFormat="0" applyProtection="0">
      <alignment vertical="center"/>
    </xf>
    <xf numFmtId="4" fontId="281" fillId="78" borderId="49" applyNumberFormat="0" applyProtection="0">
      <alignment vertical="center"/>
    </xf>
    <xf numFmtId="4" fontId="18" fillId="78" borderId="67" applyNumberFormat="0" applyProtection="0">
      <alignment horizontal="left" vertical="center" indent="1"/>
    </xf>
    <xf numFmtId="4" fontId="38" fillId="78" borderId="49" applyNumberFormat="0" applyProtection="0">
      <alignment horizontal="left" vertical="center" indent="1"/>
    </xf>
    <xf numFmtId="4" fontId="38" fillId="78" borderId="49" applyNumberFormat="0" applyProtection="0">
      <alignment horizontal="left" vertical="center" indent="1"/>
    </xf>
    <xf numFmtId="4" fontId="38" fillId="78" borderId="49" applyNumberFormat="0" applyProtection="0">
      <alignment horizontal="left" vertical="center" indent="1"/>
    </xf>
    <xf numFmtId="4" fontId="38" fillId="78" borderId="49" applyNumberFormat="0" applyProtection="0">
      <alignment horizontal="left" vertical="center" indent="1"/>
    </xf>
    <xf numFmtId="4" fontId="38" fillId="78" borderId="49" applyNumberFormat="0" applyProtection="0">
      <alignment horizontal="left" vertical="center" indent="1"/>
    </xf>
    <xf numFmtId="4" fontId="38" fillId="78" borderId="49" applyNumberFormat="0" applyProtection="0">
      <alignment horizontal="left" vertical="center" indent="1"/>
    </xf>
    <xf numFmtId="4" fontId="38" fillId="78" borderId="49" applyNumberFormat="0" applyProtection="0">
      <alignment horizontal="left" vertical="center" indent="1"/>
    </xf>
    <xf numFmtId="4" fontId="38" fillId="78" borderId="49" applyNumberFormat="0" applyProtection="0">
      <alignment horizontal="left" vertical="center" indent="1"/>
    </xf>
    <xf numFmtId="4" fontId="18" fillId="78" borderId="67" applyNumberFormat="0" applyProtection="0">
      <alignment horizontal="left" vertical="center" indent="1"/>
    </xf>
    <xf numFmtId="4" fontId="18" fillId="78" borderId="67" applyNumberFormat="0" applyProtection="0">
      <alignment horizontal="left" vertical="center" indent="1"/>
    </xf>
    <xf numFmtId="4" fontId="18" fillId="78" borderId="67" applyNumberFormat="0" applyProtection="0">
      <alignment horizontal="left" vertical="center" indent="1"/>
    </xf>
    <xf numFmtId="4" fontId="18" fillId="78" borderId="67" applyNumberFormat="0" applyProtection="0">
      <alignment horizontal="left" vertical="center" indent="1"/>
    </xf>
    <xf numFmtId="4" fontId="283" fillId="70" borderId="74" applyNumberFormat="0" applyProtection="0">
      <alignment horizontal="left" vertical="center" indent="1"/>
    </xf>
    <xf numFmtId="4" fontId="283" fillId="70" borderId="74" applyNumberFormat="0" applyProtection="0">
      <alignment horizontal="left" vertical="center" indent="1"/>
    </xf>
    <xf numFmtId="4" fontId="283" fillId="70" borderId="74" applyNumberFormat="0" applyProtection="0">
      <alignment horizontal="left" vertical="center" indent="1"/>
    </xf>
    <xf numFmtId="4" fontId="283" fillId="70" borderId="74" applyNumberFormat="0" applyProtection="0">
      <alignment horizontal="left" vertical="center" indent="1"/>
    </xf>
    <xf numFmtId="4" fontId="147" fillId="78" borderId="73" applyNumberFormat="0" applyProtection="0">
      <alignment horizontal="left" vertical="center" indent="1"/>
    </xf>
    <xf numFmtId="4" fontId="147" fillId="78" borderId="73" applyNumberFormat="0" applyProtection="0">
      <alignment horizontal="left" vertical="center" indent="1"/>
    </xf>
    <xf numFmtId="4" fontId="147" fillId="78" borderId="73" applyNumberFormat="0" applyProtection="0">
      <alignment horizontal="left" vertical="center" indent="1"/>
    </xf>
    <xf numFmtId="4" fontId="38" fillId="78" borderId="49" applyNumberFormat="0" applyProtection="0">
      <alignment horizontal="left" vertical="center" indent="1"/>
    </xf>
    <xf numFmtId="4" fontId="18" fillId="78" borderId="67" applyNumberFormat="0" applyProtection="0">
      <alignment horizontal="left" vertical="center" indent="1"/>
    </xf>
    <xf numFmtId="4" fontId="38" fillId="78" borderId="49" applyNumberFormat="0" applyProtection="0">
      <alignment horizontal="left" vertical="center" indent="1"/>
    </xf>
    <xf numFmtId="4" fontId="38" fillId="78" borderId="49" applyNumberFormat="0" applyProtection="0">
      <alignment horizontal="left" vertical="center" indent="1"/>
    </xf>
    <xf numFmtId="4" fontId="38" fillId="78" borderId="49" applyNumberFormat="0" applyProtection="0">
      <alignment horizontal="left" vertical="center" indent="1"/>
    </xf>
    <xf numFmtId="4" fontId="38" fillId="78" borderId="49" applyNumberFormat="0" applyProtection="0">
      <alignment horizontal="left" vertical="center" indent="1"/>
    </xf>
    <xf numFmtId="4" fontId="38" fillId="78" borderId="49" applyNumberFormat="0" applyProtection="0">
      <alignment horizontal="left" vertical="center" indent="1"/>
    </xf>
    <xf numFmtId="4" fontId="38" fillId="78" borderId="49" applyNumberFormat="0" applyProtection="0">
      <alignment horizontal="left" vertical="center" indent="1"/>
    </xf>
    <xf numFmtId="4" fontId="38" fillId="78" borderId="49" applyNumberFormat="0" applyProtection="0">
      <alignment horizontal="left" vertical="center" indent="1"/>
    </xf>
    <xf numFmtId="4" fontId="38" fillId="78" borderId="49" applyNumberFormat="0" applyProtection="0">
      <alignment horizontal="left" vertical="center" indent="1"/>
    </xf>
    <xf numFmtId="4" fontId="38" fillId="78" borderId="49" applyNumberFormat="0" applyProtection="0">
      <alignment horizontal="left" vertical="center" indent="1"/>
    </xf>
    <xf numFmtId="4" fontId="38" fillId="78" borderId="49" applyNumberFormat="0" applyProtection="0">
      <alignment horizontal="left" vertical="center" indent="1"/>
    </xf>
    <xf numFmtId="4" fontId="38" fillId="78" borderId="49" applyNumberFormat="0" applyProtection="0">
      <alignment horizontal="left" vertical="center" indent="1"/>
    </xf>
    <xf numFmtId="4" fontId="38" fillId="78" borderId="49" applyNumberFormat="0" applyProtection="0">
      <alignment horizontal="left" vertical="center" indent="1"/>
    </xf>
    <xf numFmtId="4" fontId="38" fillId="78" borderId="49" applyNumberFormat="0" applyProtection="0">
      <alignment horizontal="left" vertical="center" indent="1"/>
    </xf>
    <xf numFmtId="4" fontId="38" fillId="78" borderId="49" applyNumberFormat="0" applyProtection="0">
      <alignment horizontal="left" vertical="center" indent="1"/>
    </xf>
    <xf numFmtId="4" fontId="38" fillId="78" borderId="49" applyNumberFormat="0" applyProtection="0">
      <alignment horizontal="left" vertical="center" indent="1"/>
    </xf>
    <xf numFmtId="4" fontId="38" fillId="78" borderId="49" applyNumberFormat="0" applyProtection="0">
      <alignment horizontal="left" vertical="center" indent="1"/>
    </xf>
    <xf numFmtId="4" fontId="38" fillId="78" borderId="49" applyNumberFormat="0" applyProtection="0">
      <alignment horizontal="left" vertical="center" indent="1"/>
    </xf>
    <xf numFmtId="4" fontId="38" fillId="78" borderId="49" applyNumberFormat="0" applyProtection="0">
      <alignment horizontal="left" vertical="center" indent="1"/>
    </xf>
    <xf numFmtId="4" fontId="38" fillId="78" borderId="49" applyNumberFormat="0" applyProtection="0">
      <alignment horizontal="left" vertical="center" indent="1"/>
    </xf>
    <xf numFmtId="4" fontId="38" fillId="78" borderId="49" applyNumberFormat="0" applyProtection="0">
      <alignment horizontal="left" vertical="center" indent="1"/>
    </xf>
    <xf numFmtId="4" fontId="38" fillId="78" borderId="49" applyNumberFormat="0" applyProtection="0">
      <alignment horizontal="left" vertical="center" indent="1"/>
    </xf>
    <xf numFmtId="4" fontId="38" fillId="78" borderId="49" applyNumberFormat="0" applyProtection="0">
      <alignment horizontal="left" vertical="center" indent="1"/>
    </xf>
    <xf numFmtId="4" fontId="38" fillId="78" borderId="49" applyNumberFormat="0" applyProtection="0">
      <alignment horizontal="left" vertical="center" indent="1"/>
    </xf>
    <xf numFmtId="4" fontId="38" fillId="78" borderId="49" applyNumberFormat="0" applyProtection="0">
      <alignment horizontal="left" vertical="center" indent="1"/>
    </xf>
    <xf numFmtId="4" fontId="38" fillId="78" borderId="49" applyNumberFormat="0" applyProtection="0">
      <alignment horizontal="left" vertical="center" indent="1"/>
    </xf>
    <xf numFmtId="4" fontId="38" fillId="78" borderId="49" applyNumberFormat="0" applyProtection="0">
      <alignment horizontal="left" vertical="center" indent="1"/>
    </xf>
    <xf numFmtId="4" fontId="38" fillId="78" borderId="49" applyNumberFormat="0" applyProtection="0">
      <alignment horizontal="left" vertical="center" indent="1"/>
    </xf>
    <xf numFmtId="4" fontId="38" fillId="78" borderId="49" applyNumberFormat="0" applyProtection="0">
      <alignment horizontal="left" vertical="center" indent="1"/>
    </xf>
    <xf numFmtId="4" fontId="38" fillId="78" borderId="49" applyNumberFormat="0" applyProtection="0">
      <alignment horizontal="left" vertical="center" indent="1"/>
    </xf>
    <xf numFmtId="4" fontId="38" fillId="78" borderId="49" applyNumberFormat="0" applyProtection="0">
      <alignment horizontal="left" vertical="center" indent="1"/>
    </xf>
    <xf numFmtId="4" fontId="38" fillId="78" borderId="49" applyNumberFormat="0" applyProtection="0">
      <alignment horizontal="left" vertical="center" indent="1"/>
    </xf>
    <xf numFmtId="4" fontId="18" fillId="78" borderId="67" applyNumberFormat="0" applyProtection="0">
      <alignment horizontal="left" vertical="center" indent="1"/>
    </xf>
    <xf numFmtId="0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188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188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188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188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4" fontId="18" fillId="78" borderId="67" applyNumberFormat="0" applyProtection="0">
      <alignment horizontal="left" vertical="center" indent="1"/>
    </xf>
    <xf numFmtId="4" fontId="18" fillId="78" borderId="67" applyNumberFormat="0" applyProtection="0">
      <alignment horizontal="left" vertical="center" indent="1"/>
    </xf>
    <xf numFmtId="4" fontId="18" fillId="78" borderId="67" applyNumberFormat="0" applyProtection="0">
      <alignment horizontal="left" vertical="center" indent="1"/>
    </xf>
    <xf numFmtId="4" fontId="18" fillId="78" borderId="67" applyNumberFormat="0" applyProtection="0">
      <alignment horizontal="left" vertical="center" indent="1"/>
    </xf>
    <xf numFmtId="0" fontId="147" fillId="78" borderId="73" applyNumberFormat="0" applyProtection="0">
      <alignment horizontal="left" vertical="top" indent="1"/>
    </xf>
    <xf numFmtId="0" fontId="147" fillId="78" borderId="73" applyNumberFormat="0" applyProtection="0">
      <alignment horizontal="left" vertical="top" indent="1"/>
    </xf>
    <xf numFmtId="178" fontId="147" fillId="78" borderId="73" applyNumberFormat="0" applyProtection="0">
      <alignment horizontal="left" vertical="top" indent="1"/>
    </xf>
    <xf numFmtId="0" fontId="147" fillId="78" borderId="73" applyNumberFormat="0" applyProtection="0">
      <alignment horizontal="left" vertical="top" indent="1"/>
    </xf>
    <xf numFmtId="0" fontId="147" fillId="78" borderId="73" applyNumberFormat="0" applyProtection="0">
      <alignment horizontal="left" vertical="top" indent="1"/>
    </xf>
    <xf numFmtId="178" fontId="147" fillId="78" borderId="73" applyNumberFormat="0" applyProtection="0">
      <alignment horizontal="left" vertical="top" indent="1"/>
    </xf>
    <xf numFmtId="188" fontId="147" fillId="78" borderId="73" applyNumberFormat="0" applyProtection="0">
      <alignment horizontal="left" vertical="top" indent="1"/>
    </xf>
    <xf numFmtId="178" fontId="147" fillId="78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188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4" fontId="18" fillId="78" borderId="67" applyNumberFormat="0" applyProtection="0">
      <alignment horizontal="left" vertical="center" indent="1"/>
    </xf>
    <xf numFmtId="0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188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188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188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188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188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188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188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188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188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188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188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188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188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188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188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0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188" fontId="284" fillId="121" borderId="73" applyNumberFormat="0" applyProtection="0">
      <alignment horizontal="left" vertical="top" indent="1"/>
    </xf>
    <xf numFmtId="178" fontId="284" fillId="121" borderId="73" applyNumberFormat="0" applyProtection="0">
      <alignment horizontal="left" vertical="top" indent="1"/>
    </xf>
    <xf numFmtId="0" fontId="18" fillId="130" borderId="67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178" fontId="18" fillId="130" borderId="67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178" fontId="18" fillId="130" borderId="67" applyNumberFormat="0" applyProtection="0">
      <alignment horizontal="left" vertical="center" indent="1"/>
    </xf>
    <xf numFmtId="188" fontId="18" fillId="130" borderId="67" applyNumberFormat="0" applyProtection="0">
      <alignment horizontal="left" vertical="center" indent="1"/>
    </xf>
    <xf numFmtId="178" fontId="18" fillId="130" borderId="67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178" fontId="18" fillId="130" borderId="67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178" fontId="18" fillId="130" borderId="67" applyNumberFormat="0" applyProtection="0">
      <alignment horizontal="left" vertical="center" indent="1"/>
    </xf>
    <xf numFmtId="188" fontId="18" fillId="130" borderId="67" applyNumberFormat="0" applyProtection="0">
      <alignment horizontal="left" vertical="center" indent="1"/>
    </xf>
    <xf numFmtId="178" fontId="18" fillId="130" borderId="67" applyNumberFormat="0" applyProtection="0">
      <alignment horizontal="left" vertical="center" indent="1"/>
    </xf>
    <xf numFmtId="4" fontId="283" fillId="131" borderId="75" applyNumberFormat="0" applyProtection="0">
      <alignment horizontal="left" vertical="center" indent="1"/>
    </xf>
    <xf numFmtId="4" fontId="283" fillId="131" borderId="75" applyNumberFormat="0" applyProtection="0">
      <alignment horizontal="left" vertical="center" indent="1"/>
    </xf>
    <xf numFmtId="4" fontId="283" fillId="131" borderId="75" applyNumberFormat="0" applyProtection="0">
      <alignment horizontal="left" vertical="center" indent="1"/>
    </xf>
    <xf numFmtId="4" fontId="283" fillId="131" borderId="75" applyNumberFormat="0" applyProtection="0">
      <alignment horizontal="left" vertical="center" indent="1"/>
    </xf>
    <xf numFmtId="4" fontId="147" fillId="131" borderId="0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18" fillId="132" borderId="67" applyNumberFormat="0" applyProtection="0">
      <alignment horizontal="right" vertical="center"/>
    </xf>
    <xf numFmtId="4" fontId="38" fillId="65" borderId="49" applyNumberFormat="0" applyProtection="0">
      <alignment horizontal="right" vertical="center"/>
    </xf>
    <xf numFmtId="4" fontId="38" fillId="65" borderId="49" applyNumberFormat="0" applyProtection="0">
      <alignment horizontal="right" vertical="center"/>
    </xf>
    <xf numFmtId="4" fontId="38" fillId="65" borderId="49" applyNumberFormat="0" applyProtection="0">
      <alignment horizontal="right" vertical="center"/>
    </xf>
    <xf numFmtId="4" fontId="38" fillId="65" borderId="49" applyNumberFormat="0" applyProtection="0">
      <alignment horizontal="right" vertical="center"/>
    </xf>
    <xf numFmtId="4" fontId="38" fillId="65" borderId="49" applyNumberFormat="0" applyProtection="0">
      <alignment horizontal="right" vertical="center"/>
    </xf>
    <xf numFmtId="4" fontId="38" fillId="65" borderId="49" applyNumberFormat="0" applyProtection="0">
      <alignment horizontal="right" vertical="center"/>
    </xf>
    <xf numFmtId="4" fontId="38" fillId="65" borderId="49" applyNumberFormat="0" applyProtection="0">
      <alignment horizontal="right" vertical="center"/>
    </xf>
    <xf numFmtId="4" fontId="38" fillId="65" borderId="49" applyNumberFormat="0" applyProtection="0">
      <alignment horizontal="right" vertical="center"/>
    </xf>
    <xf numFmtId="4" fontId="18" fillId="132" borderId="67" applyNumberFormat="0" applyProtection="0">
      <alignment horizontal="right" vertical="center"/>
    </xf>
    <xf numFmtId="4" fontId="18" fillId="132" borderId="67" applyNumberFormat="0" applyProtection="0">
      <alignment horizontal="right" vertical="center"/>
    </xf>
    <xf numFmtId="4" fontId="18" fillId="132" borderId="67" applyNumberFormat="0" applyProtection="0">
      <alignment horizontal="right" vertical="center"/>
    </xf>
    <xf numFmtId="4" fontId="18" fillId="132" borderId="67" applyNumberFormat="0" applyProtection="0">
      <alignment horizontal="right" vertical="center"/>
    </xf>
    <xf numFmtId="4" fontId="92" fillId="65" borderId="73" applyNumberFormat="0" applyProtection="0">
      <alignment horizontal="right" vertical="center"/>
    </xf>
    <xf numFmtId="4" fontId="92" fillId="65" borderId="73" applyNumberFormat="0" applyProtection="0">
      <alignment horizontal="right" vertical="center"/>
    </xf>
    <xf numFmtId="4" fontId="38" fillId="65" borderId="49" applyNumberFormat="0" applyProtection="0">
      <alignment horizontal="right" vertical="center"/>
    </xf>
    <xf numFmtId="4" fontId="18" fillId="132" borderId="67" applyNumberFormat="0" applyProtection="0">
      <alignment horizontal="right" vertical="center"/>
    </xf>
    <xf numFmtId="4" fontId="38" fillId="65" borderId="49" applyNumberFormat="0" applyProtection="0">
      <alignment horizontal="right" vertical="center"/>
    </xf>
    <xf numFmtId="4" fontId="38" fillId="65" borderId="49" applyNumberFormat="0" applyProtection="0">
      <alignment horizontal="right" vertical="center"/>
    </xf>
    <xf numFmtId="4" fontId="38" fillId="65" borderId="49" applyNumberFormat="0" applyProtection="0">
      <alignment horizontal="right" vertical="center"/>
    </xf>
    <xf numFmtId="4" fontId="38" fillId="65" borderId="49" applyNumberFormat="0" applyProtection="0">
      <alignment horizontal="right" vertical="center"/>
    </xf>
    <xf numFmtId="4" fontId="92" fillId="65" borderId="73" applyNumberFormat="0" applyProtection="0">
      <alignment horizontal="right" vertical="center"/>
    </xf>
    <xf numFmtId="4" fontId="92" fillId="65" borderId="73" applyNumberFormat="0" applyProtection="0">
      <alignment horizontal="right" vertical="center"/>
    </xf>
    <xf numFmtId="4" fontId="92" fillId="65" borderId="73" applyNumberFormat="0" applyProtection="0">
      <alignment horizontal="right" vertical="center"/>
    </xf>
    <xf numFmtId="4" fontId="38" fillId="65" borderId="49" applyNumberFormat="0" applyProtection="0">
      <alignment horizontal="right" vertical="center"/>
    </xf>
    <xf numFmtId="4" fontId="38" fillId="65" borderId="49" applyNumberFormat="0" applyProtection="0">
      <alignment horizontal="right" vertical="center"/>
    </xf>
    <xf numFmtId="4" fontId="38" fillId="65" borderId="49" applyNumberFormat="0" applyProtection="0">
      <alignment horizontal="right" vertical="center"/>
    </xf>
    <xf numFmtId="4" fontId="38" fillId="65" borderId="49" applyNumberFormat="0" applyProtection="0">
      <alignment horizontal="right" vertical="center"/>
    </xf>
    <xf numFmtId="4" fontId="38" fillId="65" borderId="49" applyNumberFormat="0" applyProtection="0">
      <alignment horizontal="right" vertical="center"/>
    </xf>
    <xf numFmtId="4" fontId="38" fillId="65" borderId="49" applyNumberFormat="0" applyProtection="0">
      <alignment horizontal="right" vertical="center"/>
    </xf>
    <xf numFmtId="4" fontId="38" fillId="65" borderId="49" applyNumberFormat="0" applyProtection="0">
      <alignment horizontal="right" vertical="center"/>
    </xf>
    <xf numFmtId="4" fontId="38" fillId="65" borderId="49" applyNumberFormat="0" applyProtection="0">
      <alignment horizontal="right" vertical="center"/>
    </xf>
    <xf numFmtId="4" fontId="38" fillId="65" borderId="49" applyNumberFormat="0" applyProtection="0">
      <alignment horizontal="right" vertical="center"/>
    </xf>
    <xf numFmtId="4" fontId="38" fillId="65" borderId="49" applyNumberFormat="0" applyProtection="0">
      <alignment horizontal="right" vertical="center"/>
    </xf>
    <xf numFmtId="4" fontId="38" fillId="65" borderId="49" applyNumberFormat="0" applyProtection="0">
      <alignment horizontal="right" vertical="center"/>
    </xf>
    <xf numFmtId="4" fontId="38" fillId="65" borderId="49" applyNumberFormat="0" applyProtection="0">
      <alignment horizontal="right" vertical="center"/>
    </xf>
    <xf numFmtId="4" fontId="38" fillId="65" borderId="49" applyNumberFormat="0" applyProtection="0">
      <alignment horizontal="right" vertical="center"/>
    </xf>
    <xf numFmtId="4" fontId="38" fillId="65" borderId="49" applyNumberFormat="0" applyProtection="0">
      <alignment horizontal="right" vertical="center"/>
    </xf>
    <xf numFmtId="4" fontId="38" fillId="65" borderId="49" applyNumberFormat="0" applyProtection="0">
      <alignment horizontal="right" vertical="center"/>
    </xf>
    <xf numFmtId="4" fontId="38" fillId="65" borderId="49" applyNumberFormat="0" applyProtection="0">
      <alignment horizontal="right" vertical="center"/>
    </xf>
    <xf numFmtId="4" fontId="38" fillId="65" borderId="49" applyNumberFormat="0" applyProtection="0">
      <alignment horizontal="right" vertical="center"/>
    </xf>
    <xf numFmtId="4" fontId="38" fillId="65" borderId="49" applyNumberFormat="0" applyProtection="0">
      <alignment horizontal="right" vertical="center"/>
    </xf>
    <xf numFmtId="4" fontId="38" fillId="65" borderId="49" applyNumberFormat="0" applyProtection="0">
      <alignment horizontal="right" vertical="center"/>
    </xf>
    <xf numFmtId="4" fontId="38" fillId="65" borderId="49" applyNumberFormat="0" applyProtection="0">
      <alignment horizontal="right" vertical="center"/>
    </xf>
    <xf numFmtId="4" fontId="38" fillId="65" borderId="49" applyNumberFormat="0" applyProtection="0">
      <alignment horizontal="right" vertical="center"/>
    </xf>
    <xf numFmtId="4" fontId="38" fillId="65" borderId="49" applyNumberFormat="0" applyProtection="0">
      <alignment horizontal="right" vertical="center"/>
    </xf>
    <xf numFmtId="4" fontId="38" fillId="65" borderId="49" applyNumberFormat="0" applyProtection="0">
      <alignment horizontal="right" vertical="center"/>
    </xf>
    <xf numFmtId="4" fontId="38" fillId="65" borderId="49" applyNumberFormat="0" applyProtection="0">
      <alignment horizontal="right" vertical="center"/>
    </xf>
    <xf numFmtId="4" fontId="38" fillId="65" borderId="49" applyNumberFormat="0" applyProtection="0">
      <alignment horizontal="right" vertical="center"/>
    </xf>
    <xf numFmtId="4" fontId="38" fillId="65" borderId="49" applyNumberFormat="0" applyProtection="0">
      <alignment horizontal="right" vertical="center"/>
    </xf>
    <xf numFmtId="4" fontId="38" fillId="65" borderId="49" applyNumberFormat="0" applyProtection="0">
      <alignment horizontal="right" vertical="center"/>
    </xf>
    <xf numFmtId="4" fontId="38" fillId="65" borderId="49" applyNumberFormat="0" applyProtection="0">
      <alignment horizontal="right" vertical="center"/>
    </xf>
    <xf numFmtId="4" fontId="18" fillId="133" borderId="67" applyNumberFormat="0" applyProtection="0">
      <alignment horizontal="right" vertical="center"/>
    </xf>
    <xf numFmtId="4" fontId="38" fillId="134" borderId="49" applyNumberFormat="0" applyProtection="0">
      <alignment horizontal="right" vertical="center"/>
    </xf>
    <xf numFmtId="4" fontId="38" fillId="134" borderId="49" applyNumberFormat="0" applyProtection="0">
      <alignment horizontal="right" vertical="center"/>
    </xf>
    <xf numFmtId="4" fontId="38" fillId="134" borderId="49" applyNumberFormat="0" applyProtection="0">
      <alignment horizontal="right" vertical="center"/>
    </xf>
    <xf numFmtId="4" fontId="38" fillId="134" borderId="49" applyNumberFormat="0" applyProtection="0">
      <alignment horizontal="right" vertical="center"/>
    </xf>
    <xf numFmtId="4" fontId="38" fillId="134" borderId="49" applyNumberFormat="0" applyProtection="0">
      <alignment horizontal="right" vertical="center"/>
    </xf>
    <xf numFmtId="4" fontId="38" fillId="134" borderId="49" applyNumberFormat="0" applyProtection="0">
      <alignment horizontal="right" vertical="center"/>
    </xf>
    <xf numFmtId="4" fontId="38" fillId="134" borderId="49" applyNumberFormat="0" applyProtection="0">
      <alignment horizontal="right" vertical="center"/>
    </xf>
    <xf numFmtId="4" fontId="38" fillId="134" borderId="49" applyNumberFormat="0" applyProtection="0">
      <alignment horizontal="right" vertical="center"/>
    </xf>
    <xf numFmtId="4" fontId="18" fillId="133" borderId="67" applyNumberFormat="0" applyProtection="0">
      <alignment horizontal="right" vertical="center"/>
    </xf>
    <xf numFmtId="4" fontId="18" fillId="133" borderId="67" applyNumberFormat="0" applyProtection="0">
      <alignment horizontal="right" vertical="center"/>
    </xf>
    <xf numFmtId="4" fontId="18" fillId="133" borderId="67" applyNumberFormat="0" applyProtection="0">
      <alignment horizontal="right" vertical="center"/>
    </xf>
    <xf numFmtId="4" fontId="18" fillId="133" borderId="67" applyNumberFormat="0" applyProtection="0">
      <alignment horizontal="right" vertical="center"/>
    </xf>
    <xf numFmtId="4" fontId="92" fillId="71" borderId="73" applyNumberFormat="0" applyProtection="0">
      <alignment horizontal="right" vertical="center"/>
    </xf>
    <xf numFmtId="4" fontId="92" fillId="71" borderId="73" applyNumberFormat="0" applyProtection="0">
      <alignment horizontal="right" vertical="center"/>
    </xf>
    <xf numFmtId="4" fontId="38" fillId="134" borderId="49" applyNumberFormat="0" applyProtection="0">
      <alignment horizontal="right" vertical="center"/>
    </xf>
    <xf numFmtId="4" fontId="18" fillId="133" borderId="67" applyNumberFormat="0" applyProtection="0">
      <alignment horizontal="right" vertical="center"/>
    </xf>
    <xf numFmtId="4" fontId="38" fillId="134" borderId="49" applyNumberFormat="0" applyProtection="0">
      <alignment horizontal="right" vertical="center"/>
    </xf>
    <xf numFmtId="4" fontId="38" fillId="134" borderId="49" applyNumberFormat="0" applyProtection="0">
      <alignment horizontal="right" vertical="center"/>
    </xf>
    <xf numFmtId="4" fontId="38" fillId="134" borderId="49" applyNumberFormat="0" applyProtection="0">
      <alignment horizontal="right" vertical="center"/>
    </xf>
    <xf numFmtId="4" fontId="38" fillId="134" borderId="49" applyNumberFormat="0" applyProtection="0">
      <alignment horizontal="right" vertical="center"/>
    </xf>
    <xf numFmtId="4" fontId="92" fillId="71" borderId="73" applyNumberFormat="0" applyProtection="0">
      <alignment horizontal="right" vertical="center"/>
    </xf>
    <xf numFmtId="4" fontId="92" fillId="71" borderId="73" applyNumberFormat="0" applyProtection="0">
      <alignment horizontal="right" vertical="center"/>
    </xf>
    <xf numFmtId="4" fontId="92" fillId="71" borderId="73" applyNumberFormat="0" applyProtection="0">
      <alignment horizontal="right" vertical="center"/>
    </xf>
    <xf numFmtId="4" fontId="38" fillId="134" borderId="49" applyNumberFormat="0" applyProtection="0">
      <alignment horizontal="right" vertical="center"/>
    </xf>
    <xf numFmtId="4" fontId="38" fillId="134" borderId="49" applyNumberFormat="0" applyProtection="0">
      <alignment horizontal="right" vertical="center"/>
    </xf>
    <xf numFmtId="4" fontId="38" fillId="134" borderId="49" applyNumberFormat="0" applyProtection="0">
      <alignment horizontal="right" vertical="center"/>
    </xf>
    <xf numFmtId="4" fontId="38" fillId="134" borderId="49" applyNumberFormat="0" applyProtection="0">
      <alignment horizontal="right" vertical="center"/>
    </xf>
    <xf numFmtId="4" fontId="38" fillId="134" borderId="49" applyNumberFormat="0" applyProtection="0">
      <alignment horizontal="right" vertical="center"/>
    </xf>
    <xf numFmtId="4" fontId="38" fillId="134" borderId="49" applyNumberFormat="0" applyProtection="0">
      <alignment horizontal="right" vertical="center"/>
    </xf>
    <xf numFmtId="4" fontId="38" fillId="134" borderId="49" applyNumberFormat="0" applyProtection="0">
      <alignment horizontal="right" vertical="center"/>
    </xf>
    <xf numFmtId="4" fontId="38" fillId="134" borderId="49" applyNumberFormat="0" applyProtection="0">
      <alignment horizontal="right" vertical="center"/>
    </xf>
    <xf numFmtId="4" fontId="38" fillId="134" borderId="49" applyNumberFormat="0" applyProtection="0">
      <alignment horizontal="right" vertical="center"/>
    </xf>
    <xf numFmtId="4" fontId="38" fillId="134" borderId="49" applyNumberFormat="0" applyProtection="0">
      <alignment horizontal="right" vertical="center"/>
    </xf>
    <xf numFmtId="4" fontId="38" fillId="134" borderId="49" applyNumberFormat="0" applyProtection="0">
      <alignment horizontal="right" vertical="center"/>
    </xf>
    <xf numFmtId="4" fontId="38" fillId="134" borderId="49" applyNumberFormat="0" applyProtection="0">
      <alignment horizontal="right" vertical="center"/>
    </xf>
    <xf numFmtId="4" fontId="38" fillId="134" borderId="49" applyNumberFormat="0" applyProtection="0">
      <alignment horizontal="right" vertical="center"/>
    </xf>
    <xf numFmtId="4" fontId="38" fillId="134" borderId="49" applyNumberFormat="0" applyProtection="0">
      <alignment horizontal="right" vertical="center"/>
    </xf>
    <xf numFmtId="4" fontId="38" fillId="134" borderId="49" applyNumberFormat="0" applyProtection="0">
      <alignment horizontal="right" vertical="center"/>
    </xf>
    <xf numFmtId="4" fontId="38" fillId="134" borderId="49" applyNumberFormat="0" applyProtection="0">
      <alignment horizontal="right" vertical="center"/>
    </xf>
    <xf numFmtId="4" fontId="38" fillId="134" borderId="49" applyNumberFormat="0" applyProtection="0">
      <alignment horizontal="right" vertical="center"/>
    </xf>
    <xf numFmtId="4" fontId="38" fillId="134" borderId="49" applyNumberFormat="0" applyProtection="0">
      <alignment horizontal="right" vertical="center"/>
    </xf>
    <xf numFmtId="4" fontId="38" fillId="134" borderId="49" applyNumberFormat="0" applyProtection="0">
      <alignment horizontal="right" vertical="center"/>
    </xf>
    <xf numFmtId="4" fontId="38" fillId="134" borderId="49" applyNumberFormat="0" applyProtection="0">
      <alignment horizontal="right" vertical="center"/>
    </xf>
    <xf numFmtId="4" fontId="38" fillId="134" borderId="49" applyNumberFormat="0" applyProtection="0">
      <alignment horizontal="right" vertical="center"/>
    </xf>
    <xf numFmtId="4" fontId="38" fillId="134" borderId="49" applyNumberFormat="0" applyProtection="0">
      <alignment horizontal="right" vertical="center"/>
    </xf>
    <xf numFmtId="4" fontId="38" fillId="134" borderId="49" applyNumberFormat="0" applyProtection="0">
      <alignment horizontal="right" vertical="center"/>
    </xf>
    <xf numFmtId="4" fontId="38" fillId="134" borderId="49" applyNumberFormat="0" applyProtection="0">
      <alignment horizontal="right" vertical="center"/>
    </xf>
    <xf numFmtId="4" fontId="38" fillId="134" borderId="49" applyNumberFormat="0" applyProtection="0">
      <alignment horizontal="right" vertical="center"/>
    </xf>
    <xf numFmtId="4" fontId="38" fillId="134" borderId="49" applyNumberFormat="0" applyProtection="0">
      <alignment horizontal="right" vertical="center"/>
    </xf>
    <xf numFmtId="4" fontId="38" fillId="134" borderId="49" applyNumberFormat="0" applyProtection="0">
      <alignment horizontal="right" vertical="center"/>
    </xf>
    <xf numFmtId="4" fontId="38" fillId="134" borderId="49" applyNumberFormat="0" applyProtection="0">
      <alignment horizontal="right" vertical="center"/>
    </xf>
    <xf numFmtId="4" fontId="18" fillId="135" borderId="67" applyNumberFormat="0" applyProtection="0">
      <alignment horizontal="right" vertical="center"/>
    </xf>
    <xf numFmtId="4" fontId="38" fillId="91" borderId="76" applyNumberFormat="0" applyProtection="0">
      <alignment horizontal="right" vertical="center"/>
    </xf>
    <xf numFmtId="4" fontId="38" fillId="91" borderId="76" applyNumberFormat="0" applyProtection="0">
      <alignment horizontal="right" vertical="center"/>
    </xf>
    <xf numFmtId="4" fontId="38" fillId="91" borderId="76" applyNumberFormat="0" applyProtection="0">
      <alignment horizontal="right" vertical="center"/>
    </xf>
    <xf numFmtId="4" fontId="38" fillId="91" borderId="76" applyNumberFormat="0" applyProtection="0">
      <alignment horizontal="right" vertical="center"/>
    </xf>
    <xf numFmtId="4" fontId="38" fillId="91" borderId="76" applyNumberFormat="0" applyProtection="0">
      <alignment horizontal="right" vertical="center"/>
    </xf>
    <xf numFmtId="4" fontId="38" fillId="91" borderId="76" applyNumberFormat="0" applyProtection="0">
      <alignment horizontal="right" vertical="center"/>
    </xf>
    <xf numFmtId="4" fontId="38" fillId="91" borderId="76" applyNumberFormat="0" applyProtection="0">
      <alignment horizontal="right" vertical="center"/>
    </xf>
    <xf numFmtId="4" fontId="38" fillId="91" borderId="76" applyNumberFormat="0" applyProtection="0">
      <alignment horizontal="right" vertical="center"/>
    </xf>
    <xf numFmtId="4" fontId="18" fillId="135" borderId="67" applyNumberFormat="0" applyProtection="0">
      <alignment horizontal="right" vertical="center"/>
    </xf>
    <xf numFmtId="4" fontId="18" fillId="135" borderId="67" applyNumberFormat="0" applyProtection="0">
      <alignment horizontal="right" vertical="center"/>
    </xf>
    <xf numFmtId="4" fontId="18" fillId="135" borderId="67" applyNumberFormat="0" applyProtection="0">
      <alignment horizontal="right" vertical="center"/>
    </xf>
    <xf numFmtId="4" fontId="18" fillId="135" borderId="67" applyNumberFormat="0" applyProtection="0">
      <alignment horizontal="right" vertical="center"/>
    </xf>
    <xf numFmtId="4" fontId="92" fillId="91" borderId="73" applyNumberFormat="0" applyProtection="0">
      <alignment horizontal="right" vertical="center"/>
    </xf>
    <xf numFmtId="4" fontId="92" fillId="91" borderId="73" applyNumberFormat="0" applyProtection="0">
      <alignment horizontal="right" vertical="center"/>
    </xf>
    <xf numFmtId="4" fontId="38" fillId="91" borderId="76" applyNumberFormat="0" applyProtection="0">
      <alignment horizontal="right" vertical="center"/>
    </xf>
    <xf numFmtId="4" fontId="18" fillId="135" borderId="67" applyNumberFormat="0" applyProtection="0">
      <alignment horizontal="right" vertical="center"/>
    </xf>
    <xf numFmtId="4" fontId="38" fillId="91" borderId="76" applyNumberFormat="0" applyProtection="0">
      <alignment horizontal="right" vertical="center"/>
    </xf>
    <xf numFmtId="4" fontId="38" fillId="91" borderId="76" applyNumberFormat="0" applyProtection="0">
      <alignment horizontal="right" vertical="center"/>
    </xf>
    <xf numFmtId="4" fontId="38" fillId="91" borderId="76" applyNumberFormat="0" applyProtection="0">
      <alignment horizontal="right" vertical="center"/>
    </xf>
    <xf numFmtId="4" fontId="38" fillId="91" borderId="76" applyNumberFormat="0" applyProtection="0">
      <alignment horizontal="right" vertical="center"/>
    </xf>
    <xf numFmtId="4" fontId="92" fillId="91" borderId="73" applyNumberFormat="0" applyProtection="0">
      <alignment horizontal="right" vertical="center"/>
    </xf>
    <xf numFmtId="4" fontId="92" fillId="91" borderId="73" applyNumberFormat="0" applyProtection="0">
      <alignment horizontal="right" vertical="center"/>
    </xf>
    <xf numFmtId="4" fontId="92" fillId="91" borderId="73" applyNumberFormat="0" applyProtection="0">
      <alignment horizontal="right" vertical="center"/>
    </xf>
    <xf numFmtId="4" fontId="38" fillId="91" borderId="76" applyNumberFormat="0" applyProtection="0">
      <alignment horizontal="right" vertical="center"/>
    </xf>
    <xf numFmtId="4" fontId="38" fillId="91" borderId="76" applyNumberFormat="0" applyProtection="0">
      <alignment horizontal="right" vertical="center"/>
    </xf>
    <xf numFmtId="4" fontId="38" fillId="91" borderId="76" applyNumberFormat="0" applyProtection="0">
      <alignment horizontal="right" vertical="center"/>
    </xf>
    <xf numFmtId="4" fontId="38" fillId="91" borderId="76" applyNumberFormat="0" applyProtection="0">
      <alignment horizontal="right" vertical="center"/>
    </xf>
    <xf numFmtId="4" fontId="38" fillId="91" borderId="76" applyNumberFormat="0" applyProtection="0">
      <alignment horizontal="right" vertical="center"/>
    </xf>
    <xf numFmtId="4" fontId="38" fillId="91" borderId="76" applyNumberFormat="0" applyProtection="0">
      <alignment horizontal="right" vertical="center"/>
    </xf>
    <xf numFmtId="4" fontId="38" fillId="91" borderId="76" applyNumberFormat="0" applyProtection="0">
      <alignment horizontal="right" vertical="center"/>
    </xf>
    <xf numFmtId="4" fontId="38" fillId="91" borderId="76" applyNumberFormat="0" applyProtection="0">
      <alignment horizontal="right" vertical="center"/>
    </xf>
    <xf numFmtId="4" fontId="38" fillId="91" borderId="76" applyNumberFormat="0" applyProtection="0">
      <alignment horizontal="right" vertical="center"/>
    </xf>
    <xf numFmtId="4" fontId="38" fillId="91" borderId="76" applyNumberFormat="0" applyProtection="0">
      <alignment horizontal="right" vertical="center"/>
    </xf>
    <xf numFmtId="4" fontId="38" fillId="91" borderId="76" applyNumberFormat="0" applyProtection="0">
      <alignment horizontal="right" vertical="center"/>
    </xf>
    <xf numFmtId="4" fontId="38" fillId="91" borderId="76" applyNumberFormat="0" applyProtection="0">
      <alignment horizontal="right" vertical="center"/>
    </xf>
    <xf numFmtId="4" fontId="38" fillId="91" borderId="76" applyNumberFormat="0" applyProtection="0">
      <alignment horizontal="right" vertical="center"/>
    </xf>
    <xf numFmtId="4" fontId="38" fillId="91" borderId="76" applyNumberFormat="0" applyProtection="0">
      <alignment horizontal="right" vertical="center"/>
    </xf>
    <xf numFmtId="4" fontId="38" fillId="91" borderId="76" applyNumberFormat="0" applyProtection="0">
      <alignment horizontal="right" vertical="center"/>
    </xf>
    <xf numFmtId="4" fontId="38" fillId="91" borderId="76" applyNumberFormat="0" applyProtection="0">
      <alignment horizontal="right" vertical="center"/>
    </xf>
    <xf numFmtId="4" fontId="38" fillId="91" borderId="76" applyNumberFormat="0" applyProtection="0">
      <alignment horizontal="right" vertical="center"/>
    </xf>
    <xf numFmtId="4" fontId="38" fillId="91" borderId="76" applyNumberFormat="0" applyProtection="0">
      <alignment horizontal="right" vertical="center"/>
    </xf>
    <xf numFmtId="4" fontId="38" fillId="91" borderId="76" applyNumberFormat="0" applyProtection="0">
      <alignment horizontal="right" vertical="center"/>
    </xf>
    <xf numFmtId="4" fontId="38" fillId="91" borderId="76" applyNumberFormat="0" applyProtection="0">
      <alignment horizontal="right" vertical="center"/>
    </xf>
    <xf numFmtId="4" fontId="38" fillId="91" borderId="76" applyNumberFormat="0" applyProtection="0">
      <alignment horizontal="right" vertical="center"/>
    </xf>
    <xf numFmtId="4" fontId="38" fillId="91" borderId="76" applyNumberFormat="0" applyProtection="0">
      <alignment horizontal="right" vertical="center"/>
    </xf>
    <xf numFmtId="4" fontId="38" fillId="91" borderId="76" applyNumberFormat="0" applyProtection="0">
      <alignment horizontal="right" vertical="center"/>
    </xf>
    <xf numFmtId="4" fontId="38" fillId="91" borderId="76" applyNumberFormat="0" applyProtection="0">
      <alignment horizontal="right" vertical="center"/>
    </xf>
    <xf numFmtId="4" fontId="38" fillId="91" borderId="76" applyNumberFormat="0" applyProtection="0">
      <alignment horizontal="right" vertical="center"/>
    </xf>
    <xf numFmtId="4" fontId="38" fillId="91" borderId="76" applyNumberFormat="0" applyProtection="0">
      <alignment horizontal="right" vertical="center"/>
    </xf>
    <xf numFmtId="4" fontId="38" fillId="91" borderId="76" applyNumberFormat="0" applyProtection="0">
      <alignment horizontal="right" vertical="center"/>
    </xf>
    <xf numFmtId="4" fontId="38" fillId="91" borderId="76" applyNumberFormat="0" applyProtection="0">
      <alignment horizontal="right" vertical="center"/>
    </xf>
    <xf numFmtId="4" fontId="18" fillId="136" borderId="67" applyNumberFormat="0" applyProtection="0">
      <alignment horizontal="right" vertical="center"/>
    </xf>
    <xf numFmtId="4" fontId="38" fillId="73" borderId="49" applyNumberFormat="0" applyProtection="0">
      <alignment horizontal="right" vertical="center"/>
    </xf>
    <xf numFmtId="4" fontId="38" fillId="73" borderId="49" applyNumberFormat="0" applyProtection="0">
      <alignment horizontal="right" vertical="center"/>
    </xf>
    <xf numFmtId="4" fontId="38" fillId="73" borderId="49" applyNumberFormat="0" applyProtection="0">
      <alignment horizontal="right" vertical="center"/>
    </xf>
    <xf numFmtId="4" fontId="38" fillId="73" borderId="49" applyNumberFormat="0" applyProtection="0">
      <alignment horizontal="right" vertical="center"/>
    </xf>
    <xf numFmtId="4" fontId="38" fillId="73" borderId="49" applyNumberFormat="0" applyProtection="0">
      <alignment horizontal="right" vertical="center"/>
    </xf>
    <xf numFmtId="4" fontId="38" fillId="73" borderId="49" applyNumberFormat="0" applyProtection="0">
      <alignment horizontal="right" vertical="center"/>
    </xf>
    <xf numFmtId="4" fontId="38" fillId="73" borderId="49" applyNumberFormat="0" applyProtection="0">
      <alignment horizontal="right" vertical="center"/>
    </xf>
    <xf numFmtId="4" fontId="38" fillId="73" borderId="49" applyNumberFormat="0" applyProtection="0">
      <alignment horizontal="right" vertical="center"/>
    </xf>
    <xf numFmtId="4" fontId="18" fillId="136" borderId="67" applyNumberFormat="0" applyProtection="0">
      <alignment horizontal="right" vertical="center"/>
    </xf>
    <xf numFmtId="4" fontId="18" fillId="136" borderId="67" applyNumberFormat="0" applyProtection="0">
      <alignment horizontal="right" vertical="center"/>
    </xf>
    <xf numFmtId="4" fontId="18" fillId="136" borderId="67" applyNumberFormat="0" applyProtection="0">
      <alignment horizontal="right" vertical="center"/>
    </xf>
    <xf numFmtId="4" fontId="18" fillId="136" borderId="67" applyNumberFormat="0" applyProtection="0">
      <alignment horizontal="right" vertical="center"/>
    </xf>
    <xf numFmtId="4" fontId="92" fillId="73" borderId="73" applyNumberFormat="0" applyProtection="0">
      <alignment horizontal="right" vertical="center"/>
    </xf>
    <xf numFmtId="4" fontId="92" fillId="73" borderId="73" applyNumberFormat="0" applyProtection="0">
      <alignment horizontal="right" vertical="center"/>
    </xf>
    <xf numFmtId="4" fontId="38" fillId="73" borderId="49" applyNumberFormat="0" applyProtection="0">
      <alignment horizontal="right" vertical="center"/>
    </xf>
    <xf numFmtId="4" fontId="18" fillId="136" borderId="67" applyNumberFormat="0" applyProtection="0">
      <alignment horizontal="right" vertical="center"/>
    </xf>
    <xf numFmtId="4" fontId="38" fillId="73" borderId="49" applyNumberFormat="0" applyProtection="0">
      <alignment horizontal="right" vertical="center"/>
    </xf>
    <xf numFmtId="4" fontId="38" fillId="73" borderId="49" applyNumberFormat="0" applyProtection="0">
      <alignment horizontal="right" vertical="center"/>
    </xf>
    <xf numFmtId="4" fontId="38" fillId="73" borderId="49" applyNumberFormat="0" applyProtection="0">
      <alignment horizontal="right" vertical="center"/>
    </xf>
    <xf numFmtId="4" fontId="38" fillId="73" borderId="49" applyNumberFormat="0" applyProtection="0">
      <alignment horizontal="right" vertical="center"/>
    </xf>
    <xf numFmtId="4" fontId="92" fillId="73" borderId="73" applyNumberFormat="0" applyProtection="0">
      <alignment horizontal="right" vertical="center"/>
    </xf>
    <xf numFmtId="4" fontId="92" fillId="73" borderId="73" applyNumberFormat="0" applyProtection="0">
      <alignment horizontal="right" vertical="center"/>
    </xf>
    <xf numFmtId="4" fontId="92" fillId="73" borderId="73" applyNumberFormat="0" applyProtection="0">
      <alignment horizontal="right" vertical="center"/>
    </xf>
    <xf numFmtId="4" fontId="38" fillId="73" borderId="49" applyNumberFormat="0" applyProtection="0">
      <alignment horizontal="right" vertical="center"/>
    </xf>
    <xf numFmtId="4" fontId="38" fillId="73" borderId="49" applyNumberFormat="0" applyProtection="0">
      <alignment horizontal="right" vertical="center"/>
    </xf>
    <xf numFmtId="4" fontId="38" fillId="73" borderId="49" applyNumberFormat="0" applyProtection="0">
      <alignment horizontal="right" vertical="center"/>
    </xf>
    <xf numFmtId="4" fontId="38" fillId="73" borderId="49" applyNumberFormat="0" applyProtection="0">
      <alignment horizontal="right" vertical="center"/>
    </xf>
    <xf numFmtId="4" fontId="38" fillId="73" borderId="49" applyNumberFormat="0" applyProtection="0">
      <alignment horizontal="right" vertical="center"/>
    </xf>
    <xf numFmtId="4" fontId="38" fillId="73" borderId="49" applyNumberFormat="0" applyProtection="0">
      <alignment horizontal="right" vertical="center"/>
    </xf>
    <xf numFmtId="4" fontId="38" fillId="73" borderId="49" applyNumberFormat="0" applyProtection="0">
      <alignment horizontal="right" vertical="center"/>
    </xf>
    <xf numFmtId="4" fontId="38" fillId="73" borderId="49" applyNumberFormat="0" applyProtection="0">
      <alignment horizontal="right" vertical="center"/>
    </xf>
    <xf numFmtId="4" fontId="38" fillId="73" borderId="49" applyNumberFormat="0" applyProtection="0">
      <alignment horizontal="right" vertical="center"/>
    </xf>
    <xf numFmtId="4" fontId="38" fillId="73" borderId="49" applyNumberFormat="0" applyProtection="0">
      <alignment horizontal="right" vertical="center"/>
    </xf>
    <xf numFmtId="4" fontId="38" fillId="73" borderId="49" applyNumberFormat="0" applyProtection="0">
      <alignment horizontal="right" vertical="center"/>
    </xf>
    <xf numFmtId="4" fontId="38" fillId="73" borderId="49" applyNumberFormat="0" applyProtection="0">
      <alignment horizontal="right" vertical="center"/>
    </xf>
    <xf numFmtId="4" fontId="38" fillId="73" borderId="49" applyNumberFormat="0" applyProtection="0">
      <alignment horizontal="right" vertical="center"/>
    </xf>
    <xf numFmtId="4" fontId="38" fillId="73" borderId="49" applyNumberFormat="0" applyProtection="0">
      <alignment horizontal="right" vertical="center"/>
    </xf>
    <xf numFmtId="4" fontId="38" fillId="73" borderId="49" applyNumberFormat="0" applyProtection="0">
      <alignment horizontal="right" vertical="center"/>
    </xf>
    <xf numFmtId="4" fontId="38" fillId="73" borderId="49" applyNumberFormat="0" applyProtection="0">
      <alignment horizontal="right" vertical="center"/>
    </xf>
    <xf numFmtId="4" fontId="38" fillId="73" borderId="49" applyNumberFormat="0" applyProtection="0">
      <alignment horizontal="right" vertical="center"/>
    </xf>
    <xf numFmtId="4" fontId="38" fillId="73" borderId="49" applyNumberFormat="0" applyProtection="0">
      <alignment horizontal="right" vertical="center"/>
    </xf>
    <xf numFmtId="4" fontId="38" fillId="73" borderId="49" applyNumberFormat="0" applyProtection="0">
      <alignment horizontal="right" vertical="center"/>
    </xf>
    <xf numFmtId="4" fontId="38" fillId="73" borderId="49" applyNumberFormat="0" applyProtection="0">
      <alignment horizontal="right" vertical="center"/>
    </xf>
    <xf numFmtId="4" fontId="38" fillId="73" borderId="49" applyNumberFormat="0" applyProtection="0">
      <alignment horizontal="right" vertical="center"/>
    </xf>
    <xf numFmtId="4" fontId="38" fillId="73" borderId="49" applyNumberFormat="0" applyProtection="0">
      <alignment horizontal="right" vertical="center"/>
    </xf>
    <xf numFmtId="4" fontId="38" fillId="73" borderId="49" applyNumberFormat="0" applyProtection="0">
      <alignment horizontal="right" vertical="center"/>
    </xf>
    <xf numFmtId="4" fontId="38" fillId="73" borderId="49" applyNumberFormat="0" applyProtection="0">
      <alignment horizontal="right" vertical="center"/>
    </xf>
    <xf numFmtId="4" fontId="38" fillId="73" borderId="49" applyNumberFormat="0" applyProtection="0">
      <alignment horizontal="right" vertical="center"/>
    </xf>
    <xf numFmtId="4" fontId="38" fillId="73" borderId="49" applyNumberFormat="0" applyProtection="0">
      <alignment horizontal="right" vertical="center"/>
    </xf>
    <xf numFmtId="4" fontId="38" fillId="73" borderId="49" applyNumberFormat="0" applyProtection="0">
      <alignment horizontal="right" vertical="center"/>
    </xf>
    <xf numFmtId="4" fontId="38" fillId="73" borderId="49" applyNumberFormat="0" applyProtection="0">
      <alignment horizontal="right" vertical="center"/>
    </xf>
    <xf numFmtId="4" fontId="18" fillId="137" borderId="67" applyNumberFormat="0" applyProtection="0">
      <alignment horizontal="right" vertical="center"/>
    </xf>
    <xf numFmtId="4" fontId="38" fillId="77" borderId="49" applyNumberFormat="0" applyProtection="0">
      <alignment horizontal="right" vertical="center"/>
    </xf>
    <xf numFmtId="4" fontId="38" fillId="77" borderId="49" applyNumberFormat="0" applyProtection="0">
      <alignment horizontal="right" vertical="center"/>
    </xf>
    <xf numFmtId="4" fontId="38" fillId="77" borderId="49" applyNumberFormat="0" applyProtection="0">
      <alignment horizontal="right" vertical="center"/>
    </xf>
    <xf numFmtId="4" fontId="38" fillId="77" borderId="49" applyNumberFormat="0" applyProtection="0">
      <alignment horizontal="right" vertical="center"/>
    </xf>
    <xf numFmtId="4" fontId="38" fillId="77" borderId="49" applyNumberFormat="0" applyProtection="0">
      <alignment horizontal="right" vertical="center"/>
    </xf>
    <xf numFmtId="4" fontId="38" fillId="77" borderId="49" applyNumberFormat="0" applyProtection="0">
      <alignment horizontal="right" vertical="center"/>
    </xf>
    <xf numFmtId="4" fontId="38" fillId="77" borderId="49" applyNumberFormat="0" applyProtection="0">
      <alignment horizontal="right" vertical="center"/>
    </xf>
    <xf numFmtId="4" fontId="38" fillId="77" borderId="49" applyNumberFormat="0" applyProtection="0">
      <alignment horizontal="right" vertical="center"/>
    </xf>
    <xf numFmtId="4" fontId="18" fillId="137" borderId="67" applyNumberFormat="0" applyProtection="0">
      <alignment horizontal="right" vertical="center"/>
    </xf>
    <xf numFmtId="4" fontId="18" fillId="137" borderId="67" applyNumberFormat="0" applyProtection="0">
      <alignment horizontal="right" vertical="center"/>
    </xf>
    <xf numFmtId="4" fontId="18" fillId="137" borderId="67" applyNumberFormat="0" applyProtection="0">
      <alignment horizontal="right" vertical="center"/>
    </xf>
    <xf numFmtId="4" fontId="18" fillId="137" borderId="67" applyNumberFormat="0" applyProtection="0">
      <alignment horizontal="right" vertical="center"/>
    </xf>
    <xf numFmtId="4" fontId="92" fillId="77" borderId="73" applyNumberFormat="0" applyProtection="0">
      <alignment horizontal="right" vertical="center"/>
    </xf>
    <xf numFmtId="4" fontId="92" fillId="77" borderId="73" applyNumberFormat="0" applyProtection="0">
      <alignment horizontal="right" vertical="center"/>
    </xf>
    <xf numFmtId="4" fontId="38" fillId="77" borderId="49" applyNumberFormat="0" applyProtection="0">
      <alignment horizontal="right" vertical="center"/>
    </xf>
    <xf numFmtId="4" fontId="18" fillId="137" borderId="67" applyNumberFormat="0" applyProtection="0">
      <alignment horizontal="right" vertical="center"/>
    </xf>
    <xf numFmtId="4" fontId="38" fillId="77" borderId="49" applyNumberFormat="0" applyProtection="0">
      <alignment horizontal="right" vertical="center"/>
    </xf>
    <xf numFmtId="4" fontId="38" fillId="77" borderId="49" applyNumberFormat="0" applyProtection="0">
      <alignment horizontal="right" vertical="center"/>
    </xf>
    <xf numFmtId="4" fontId="38" fillId="77" borderId="49" applyNumberFormat="0" applyProtection="0">
      <alignment horizontal="right" vertical="center"/>
    </xf>
    <xf numFmtId="4" fontId="38" fillId="77" borderId="49" applyNumberFormat="0" applyProtection="0">
      <alignment horizontal="right" vertical="center"/>
    </xf>
    <xf numFmtId="4" fontId="92" fillId="77" borderId="73" applyNumberFormat="0" applyProtection="0">
      <alignment horizontal="right" vertical="center"/>
    </xf>
    <xf numFmtId="4" fontId="92" fillId="77" borderId="73" applyNumberFormat="0" applyProtection="0">
      <alignment horizontal="right" vertical="center"/>
    </xf>
    <xf numFmtId="4" fontId="92" fillId="77" borderId="73" applyNumberFormat="0" applyProtection="0">
      <alignment horizontal="right" vertical="center"/>
    </xf>
    <xf numFmtId="4" fontId="38" fillId="77" borderId="49" applyNumberFormat="0" applyProtection="0">
      <alignment horizontal="right" vertical="center"/>
    </xf>
    <xf numFmtId="4" fontId="38" fillId="77" borderId="49" applyNumberFormat="0" applyProtection="0">
      <alignment horizontal="right" vertical="center"/>
    </xf>
    <xf numFmtId="4" fontId="38" fillId="77" borderId="49" applyNumberFormat="0" applyProtection="0">
      <alignment horizontal="right" vertical="center"/>
    </xf>
    <xf numFmtId="4" fontId="38" fillId="77" borderId="49" applyNumberFormat="0" applyProtection="0">
      <alignment horizontal="right" vertical="center"/>
    </xf>
    <xf numFmtId="4" fontId="38" fillId="77" borderId="49" applyNumberFormat="0" applyProtection="0">
      <alignment horizontal="right" vertical="center"/>
    </xf>
    <xf numFmtId="4" fontId="38" fillId="77" borderId="49" applyNumberFormat="0" applyProtection="0">
      <alignment horizontal="right" vertical="center"/>
    </xf>
    <xf numFmtId="4" fontId="38" fillId="77" borderId="49" applyNumberFormat="0" applyProtection="0">
      <alignment horizontal="right" vertical="center"/>
    </xf>
    <xf numFmtId="4" fontId="38" fillId="77" borderId="49" applyNumberFormat="0" applyProtection="0">
      <alignment horizontal="right" vertical="center"/>
    </xf>
    <xf numFmtId="4" fontId="38" fillId="77" borderId="49" applyNumberFormat="0" applyProtection="0">
      <alignment horizontal="right" vertical="center"/>
    </xf>
    <xf numFmtId="4" fontId="38" fillId="77" borderId="49" applyNumberFormat="0" applyProtection="0">
      <alignment horizontal="right" vertical="center"/>
    </xf>
    <xf numFmtId="4" fontId="38" fillId="77" borderId="49" applyNumberFormat="0" applyProtection="0">
      <alignment horizontal="right" vertical="center"/>
    </xf>
    <xf numFmtId="4" fontId="38" fillId="77" borderId="49" applyNumberFormat="0" applyProtection="0">
      <alignment horizontal="right" vertical="center"/>
    </xf>
    <xf numFmtId="4" fontId="38" fillId="77" borderId="49" applyNumberFormat="0" applyProtection="0">
      <alignment horizontal="right" vertical="center"/>
    </xf>
    <xf numFmtId="4" fontId="38" fillId="77" borderId="49" applyNumberFormat="0" applyProtection="0">
      <alignment horizontal="right" vertical="center"/>
    </xf>
    <xf numFmtId="4" fontId="38" fillId="77" borderId="49" applyNumberFormat="0" applyProtection="0">
      <alignment horizontal="right" vertical="center"/>
    </xf>
    <xf numFmtId="4" fontId="38" fillId="77" borderId="49" applyNumberFormat="0" applyProtection="0">
      <alignment horizontal="right" vertical="center"/>
    </xf>
    <xf numFmtId="4" fontId="38" fillId="77" borderId="49" applyNumberFormat="0" applyProtection="0">
      <alignment horizontal="right" vertical="center"/>
    </xf>
    <xf numFmtId="4" fontId="38" fillId="77" borderId="49" applyNumberFormat="0" applyProtection="0">
      <alignment horizontal="right" vertical="center"/>
    </xf>
    <xf numFmtId="4" fontId="38" fillId="77" borderId="49" applyNumberFormat="0" applyProtection="0">
      <alignment horizontal="right" vertical="center"/>
    </xf>
    <xf numFmtId="4" fontId="38" fillId="77" borderId="49" applyNumberFormat="0" applyProtection="0">
      <alignment horizontal="right" vertical="center"/>
    </xf>
    <xf numFmtId="4" fontId="38" fillId="77" borderId="49" applyNumberFormat="0" applyProtection="0">
      <alignment horizontal="right" vertical="center"/>
    </xf>
    <xf numFmtId="4" fontId="38" fillId="77" borderId="49" applyNumberFormat="0" applyProtection="0">
      <alignment horizontal="right" vertical="center"/>
    </xf>
    <xf numFmtId="4" fontId="38" fillId="77" borderId="49" applyNumberFormat="0" applyProtection="0">
      <alignment horizontal="right" vertical="center"/>
    </xf>
    <xf numFmtId="4" fontId="38" fillId="77" borderId="49" applyNumberFormat="0" applyProtection="0">
      <alignment horizontal="right" vertical="center"/>
    </xf>
    <xf numFmtId="4" fontId="38" fillId="77" borderId="49" applyNumberFormat="0" applyProtection="0">
      <alignment horizontal="right" vertical="center"/>
    </xf>
    <xf numFmtId="4" fontId="38" fillId="77" borderId="49" applyNumberFormat="0" applyProtection="0">
      <alignment horizontal="right" vertical="center"/>
    </xf>
    <xf numFmtId="4" fontId="38" fillId="77" borderId="49" applyNumberFormat="0" applyProtection="0">
      <alignment horizontal="right" vertical="center"/>
    </xf>
    <xf numFmtId="4" fontId="38" fillId="77" borderId="49" applyNumberFormat="0" applyProtection="0">
      <alignment horizontal="right" vertical="center"/>
    </xf>
    <xf numFmtId="4" fontId="18" fillId="62" borderId="67" applyNumberFormat="0" applyProtection="0">
      <alignment horizontal="right" vertical="center"/>
    </xf>
    <xf numFmtId="4" fontId="38" fillId="105" borderId="49" applyNumberFormat="0" applyProtection="0">
      <alignment horizontal="right" vertical="center"/>
    </xf>
    <xf numFmtId="4" fontId="38" fillId="105" borderId="49" applyNumberFormat="0" applyProtection="0">
      <alignment horizontal="right" vertical="center"/>
    </xf>
    <xf numFmtId="4" fontId="38" fillId="105" borderId="49" applyNumberFormat="0" applyProtection="0">
      <alignment horizontal="right" vertical="center"/>
    </xf>
    <xf numFmtId="4" fontId="38" fillId="105" borderId="49" applyNumberFormat="0" applyProtection="0">
      <alignment horizontal="right" vertical="center"/>
    </xf>
    <xf numFmtId="4" fontId="38" fillId="105" borderId="49" applyNumberFormat="0" applyProtection="0">
      <alignment horizontal="right" vertical="center"/>
    </xf>
    <xf numFmtId="4" fontId="38" fillId="105" borderId="49" applyNumberFormat="0" applyProtection="0">
      <alignment horizontal="right" vertical="center"/>
    </xf>
    <xf numFmtId="4" fontId="38" fillId="105" borderId="49" applyNumberFormat="0" applyProtection="0">
      <alignment horizontal="right" vertical="center"/>
    </xf>
    <xf numFmtId="4" fontId="38" fillId="105" borderId="49" applyNumberFormat="0" applyProtection="0">
      <alignment horizontal="right" vertical="center"/>
    </xf>
    <xf numFmtId="4" fontId="18" fillId="62" borderId="67" applyNumberFormat="0" applyProtection="0">
      <alignment horizontal="right" vertical="center"/>
    </xf>
    <xf numFmtId="4" fontId="18" fillId="62" borderId="67" applyNumberFormat="0" applyProtection="0">
      <alignment horizontal="right" vertical="center"/>
    </xf>
    <xf numFmtId="4" fontId="18" fillId="62" borderId="67" applyNumberFormat="0" applyProtection="0">
      <alignment horizontal="right" vertical="center"/>
    </xf>
    <xf numFmtId="4" fontId="18" fillId="62" borderId="67" applyNumberFormat="0" applyProtection="0">
      <alignment horizontal="right" vertical="center"/>
    </xf>
    <xf numFmtId="4" fontId="92" fillId="105" borderId="73" applyNumberFormat="0" applyProtection="0">
      <alignment horizontal="right" vertical="center"/>
    </xf>
    <xf numFmtId="4" fontId="92" fillId="105" borderId="73" applyNumberFormat="0" applyProtection="0">
      <alignment horizontal="right" vertical="center"/>
    </xf>
    <xf numFmtId="4" fontId="38" fillId="105" borderId="49" applyNumberFormat="0" applyProtection="0">
      <alignment horizontal="right" vertical="center"/>
    </xf>
    <xf numFmtId="4" fontId="18" fillId="62" borderId="67" applyNumberFormat="0" applyProtection="0">
      <alignment horizontal="right" vertical="center"/>
    </xf>
    <xf numFmtId="4" fontId="38" fillId="105" borderId="49" applyNumberFormat="0" applyProtection="0">
      <alignment horizontal="right" vertical="center"/>
    </xf>
    <xf numFmtId="4" fontId="38" fillId="105" borderId="49" applyNumberFormat="0" applyProtection="0">
      <alignment horizontal="right" vertical="center"/>
    </xf>
    <xf numFmtId="4" fontId="38" fillId="105" borderId="49" applyNumberFormat="0" applyProtection="0">
      <alignment horizontal="right" vertical="center"/>
    </xf>
    <xf numFmtId="4" fontId="38" fillId="105" borderId="49" applyNumberFormat="0" applyProtection="0">
      <alignment horizontal="right" vertical="center"/>
    </xf>
    <xf numFmtId="4" fontId="92" fillId="105" borderId="73" applyNumberFormat="0" applyProtection="0">
      <alignment horizontal="right" vertical="center"/>
    </xf>
    <xf numFmtId="4" fontId="92" fillId="105" borderId="73" applyNumberFormat="0" applyProtection="0">
      <alignment horizontal="right" vertical="center"/>
    </xf>
    <xf numFmtId="4" fontId="92" fillId="105" borderId="73" applyNumberFormat="0" applyProtection="0">
      <alignment horizontal="right" vertical="center"/>
    </xf>
    <xf numFmtId="4" fontId="38" fillId="105" borderId="49" applyNumberFormat="0" applyProtection="0">
      <alignment horizontal="right" vertical="center"/>
    </xf>
    <xf numFmtId="4" fontId="38" fillId="105" borderId="49" applyNumberFormat="0" applyProtection="0">
      <alignment horizontal="right" vertical="center"/>
    </xf>
    <xf numFmtId="4" fontId="38" fillId="105" borderId="49" applyNumberFormat="0" applyProtection="0">
      <alignment horizontal="right" vertical="center"/>
    </xf>
    <xf numFmtId="4" fontId="38" fillId="105" borderId="49" applyNumberFormat="0" applyProtection="0">
      <alignment horizontal="right" vertical="center"/>
    </xf>
    <xf numFmtId="4" fontId="38" fillId="105" borderId="49" applyNumberFormat="0" applyProtection="0">
      <alignment horizontal="right" vertical="center"/>
    </xf>
    <xf numFmtId="4" fontId="38" fillId="105" borderId="49" applyNumberFormat="0" applyProtection="0">
      <alignment horizontal="right" vertical="center"/>
    </xf>
    <xf numFmtId="4" fontId="38" fillId="105" borderId="49" applyNumberFormat="0" applyProtection="0">
      <alignment horizontal="right" vertical="center"/>
    </xf>
    <xf numFmtId="4" fontId="38" fillId="105" borderId="49" applyNumberFormat="0" applyProtection="0">
      <alignment horizontal="right" vertical="center"/>
    </xf>
    <xf numFmtId="4" fontId="38" fillId="105" borderId="49" applyNumberFormat="0" applyProtection="0">
      <alignment horizontal="right" vertical="center"/>
    </xf>
    <xf numFmtId="4" fontId="38" fillId="105" borderId="49" applyNumberFormat="0" applyProtection="0">
      <alignment horizontal="right" vertical="center"/>
    </xf>
    <xf numFmtId="4" fontId="38" fillId="105" borderId="49" applyNumberFormat="0" applyProtection="0">
      <alignment horizontal="right" vertical="center"/>
    </xf>
    <xf numFmtId="4" fontId="38" fillId="105" borderId="49" applyNumberFormat="0" applyProtection="0">
      <alignment horizontal="right" vertical="center"/>
    </xf>
    <xf numFmtId="4" fontId="38" fillId="105" borderId="49" applyNumberFormat="0" applyProtection="0">
      <alignment horizontal="right" vertical="center"/>
    </xf>
    <xf numFmtId="4" fontId="38" fillId="105" borderId="49" applyNumberFormat="0" applyProtection="0">
      <alignment horizontal="right" vertical="center"/>
    </xf>
    <xf numFmtId="4" fontId="38" fillId="105" borderId="49" applyNumberFormat="0" applyProtection="0">
      <alignment horizontal="right" vertical="center"/>
    </xf>
    <xf numFmtId="4" fontId="38" fillId="105" borderId="49" applyNumberFormat="0" applyProtection="0">
      <alignment horizontal="right" vertical="center"/>
    </xf>
    <xf numFmtId="4" fontId="38" fillId="105" borderId="49" applyNumberFormat="0" applyProtection="0">
      <alignment horizontal="right" vertical="center"/>
    </xf>
    <xf numFmtId="4" fontId="38" fillId="105" borderId="49" applyNumberFormat="0" applyProtection="0">
      <alignment horizontal="right" vertical="center"/>
    </xf>
    <xf numFmtId="4" fontId="38" fillId="105" borderId="49" applyNumberFormat="0" applyProtection="0">
      <alignment horizontal="right" vertical="center"/>
    </xf>
    <xf numFmtId="4" fontId="38" fillId="105" borderId="49" applyNumberFormat="0" applyProtection="0">
      <alignment horizontal="right" vertical="center"/>
    </xf>
    <xf numFmtId="4" fontId="38" fillId="105" borderId="49" applyNumberFormat="0" applyProtection="0">
      <alignment horizontal="right" vertical="center"/>
    </xf>
    <xf numFmtId="4" fontId="38" fillId="105" borderId="49" applyNumberFormat="0" applyProtection="0">
      <alignment horizontal="right" vertical="center"/>
    </xf>
    <xf numFmtId="4" fontId="38" fillId="105" borderId="49" applyNumberFormat="0" applyProtection="0">
      <alignment horizontal="right" vertical="center"/>
    </xf>
    <xf numFmtId="4" fontId="38" fillId="105" borderId="49" applyNumberFormat="0" applyProtection="0">
      <alignment horizontal="right" vertical="center"/>
    </xf>
    <xf numFmtId="4" fontId="38" fillId="105" borderId="49" applyNumberFormat="0" applyProtection="0">
      <alignment horizontal="right" vertical="center"/>
    </xf>
    <xf numFmtId="4" fontId="38" fillId="105" borderId="49" applyNumberFormat="0" applyProtection="0">
      <alignment horizontal="right" vertical="center"/>
    </xf>
    <xf numFmtId="4" fontId="38" fillId="105" borderId="49" applyNumberFormat="0" applyProtection="0">
      <alignment horizontal="right" vertical="center"/>
    </xf>
    <xf numFmtId="4" fontId="38" fillId="105" borderId="49" applyNumberFormat="0" applyProtection="0">
      <alignment horizontal="right" vertical="center"/>
    </xf>
    <xf numFmtId="4" fontId="18" fillId="138" borderId="67" applyNumberFormat="0" applyProtection="0">
      <alignment horizontal="right" vertical="center"/>
    </xf>
    <xf numFmtId="4" fontId="38" fillId="97" borderId="49" applyNumberFormat="0" applyProtection="0">
      <alignment horizontal="right" vertical="center"/>
    </xf>
    <xf numFmtId="4" fontId="38" fillId="97" borderId="49" applyNumberFormat="0" applyProtection="0">
      <alignment horizontal="right" vertical="center"/>
    </xf>
    <xf numFmtId="4" fontId="38" fillId="97" borderId="49" applyNumberFormat="0" applyProtection="0">
      <alignment horizontal="right" vertical="center"/>
    </xf>
    <xf numFmtId="4" fontId="38" fillId="97" borderId="49" applyNumberFormat="0" applyProtection="0">
      <alignment horizontal="right" vertical="center"/>
    </xf>
    <xf numFmtId="4" fontId="38" fillId="97" borderId="49" applyNumberFormat="0" applyProtection="0">
      <alignment horizontal="right" vertical="center"/>
    </xf>
    <xf numFmtId="4" fontId="38" fillId="97" borderId="49" applyNumberFormat="0" applyProtection="0">
      <alignment horizontal="right" vertical="center"/>
    </xf>
    <xf numFmtId="4" fontId="38" fillId="97" borderId="49" applyNumberFormat="0" applyProtection="0">
      <alignment horizontal="right" vertical="center"/>
    </xf>
    <xf numFmtId="4" fontId="38" fillId="97" borderId="49" applyNumberFormat="0" applyProtection="0">
      <alignment horizontal="right" vertical="center"/>
    </xf>
    <xf numFmtId="4" fontId="18" fillId="138" borderId="67" applyNumberFormat="0" applyProtection="0">
      <alignment horizontal="right" vertical="center"/>
    </xf>
    <xf numFmtId="4" fontId="18" fillId="138" borderId="67" applyNumberFormat="0" applyProtection="0">
      <alignment horizontal="right" vertical="center"/>
    </xf>
    <xf numFmtId="4" fontId="18" fillId="138" borderId="67" applyNumberFormat="0" applyProtection="0">
      <alignment horizontal="right" vertical="center"/>
    </xf>
    <xf numFmtId="4" fontId="18" fillId="138" borderId="67" applyNumberFormat="0" applyProtection="0">
      <alignment horizontal="right" vertical="center"/>
    </xf>
    <xf numFmtId="4" fontId="92" fillId="97" borderId="73" applyNumberFormat="0" applyProtection="0">
      <alignment horizontal="right" vertical="center"/>
    </xf>
    <xf numFmtId="4" fontId="92" fillId="97" borderId="73" applyNumberFormat="0" applyProtection="0">
      <alignment horizontal="right" vertical="center"/>
    </xf>
    <xf numFmtId="4" fontId="38" fillId="97" borderId="49" applyNumberFormat="0" applyProtection="0">
      <alignment horizontal="right" vertical="center"/>
    </xf>
    <xf numFmtId="4" fontId="18" fillId="138" borderId="67" applyNumberFormat="0" applyProtection="0">
      <alignment horizontal="right" vertical="center"/>
    </xf>
    <xf numFmtId="4" fontId="38" fillId="97" borderId="49" applyNumberFormat="0" applyProtection="0">
      <alignment horizontal="right" vertical="center"/>
    </xf>
    <xf numFmtId="4" fontId="38" fillId="97" borderId="49" applyNumberFormat="0" applyProtection="0">
      <alignment horizontal="right" vertical="center"/>
    </xf>
    <xf numFmtId="4" fontId="38" fillId="97" borderId="49" applyNumberFormat="0" applyProtection="0">
      <alignment horizontal="right" vertical="center"/>
    </xf>
    <xf numFmtId="4" fontId="38" fillId="97" borderId="49" applyNumberFormat="0" applyProtection="0">
      <alignment horizontal="right" vertical="center"/>
    </xf>
    <xf numFmtId="4" fontId="92" fillId="97" borderId="73" applyNumberFormat="0" applyProtection="0">
      <alignment horizontal="right" vertical="center"/>
    </xf>
    <xf numFmtId="4" fontId="92" fillId="97" borderId="73" applyNumberFormat="0" applyProtection="0">
      <alignment horizontal="right" vertical="center"/>
    </xf>
    <xf numFmtId="4" fontId="92" fillId="97" borderId="73" applyNumberFormat="0" applyProtection="0">
      <alignment horizontal="right" vertical="center"/>
    </xf>
    <xf numFmtId="4" fontId="38" fillId="97" borderId="49" applyNumberFormat="0" applyProtection="0">
      <alignment horizontal="right" vertical="center"/>
    </xf>
    <xf numFmtId="4" fontId="38" fillId="97" borderId="49" applyNumberFormat="0" applyProtection="0">
      <alignment horizontal="right" vertical="center"/>
    </xf>
    <xf numFmtId="4" fontId="38" fillId="97" borderId="49" applyNumberFormat="0" applyProtection="0">
      <alignment horizontal="right" vertical="center"/>
    </xf>
    <xf numFmtId="4" fontId="38" fillId="97" borderId="49" applyNumberFormat="0" applyProtection="0">
      <alignment horizontal="right" vertical="center"/>
    </xf>
    <xf numFmtId="4" fontId="38" fillId="97" borderId="49" applyNumberFormat="0" applyProtection="0">
      <alignment horizontal="right" vertical="center"/>
    </xf>
    <xf numFmtId="4" fontId="38" fillId="97" borderId="49" applyNumberFormat="0" applyProtection="0">
      <alignment horizontal="right" vertical="center"/>
    </xf>
    <xf numFmtId="4" fontId="38" fillId="97" borderId="49" applyNumberFormat="0" applyProtection="0">
      <alignment horizontal="right" vertical="center"/>
    </xf>
    <xf numFmtId="4" fontId="38" fillId="97" borderId="49" applyNumberFormat="0" applyProtection="0">
      <alignment horizontal="right" vertical="center"/>
    </xf>
    <xf numFmtId="4" fontId="38" fillId="97" borderId="49" applyNumberFormat="0" applyProtection="0">
      <alignment horizontal="right" vertical="center"/>
    </xf>
    <xf numFmtId="4" fontId="38" fillId="97" borderId="49" applyNumberFormat="0" applyProtection="0">
      <alignment horizontal="right" vertical="center"/>
    </xf>
    <xf numFmtId="4" fontId="38" fillId="97" borderId="49" applyNumberFormat="0" applyProtection="0">
      <alignment horizontal="right" vertical="center"/>
    </xf>
    <xf numFmtId="4" fontId="38" fillId="97" borderId="49" applyNumberFormat="0" applyProtection="0">
      <alignment horizontal="right" vertical="center"/>
    </xf>
    <xf numFmtId="4" fontId="38" fillId="97" borderId="49" applyNumberFormat="0" applyProtection="0">
      <alignment horizontal="right" vertical="center"/>
    </xf>
    <xf numFmtId="4" fontId="38" fillId="97" borderId="49" applyNumberFormat="0" applyProtection="0">
      <alignment horizontal="right" vertical="center"/>
    </xf>
    <xf numFmtId="4" fontId="38" fillId="97" borderId="49" applyNumberFormat="0" applyProtection="0">
      <alignment horizontal="right" vertical="center"/>
    </xf>
    <xf numFmtId="4" fontId="38" fillId="97" borderId="49" applyNumberFormat="0" applyProtection="0">
      <alignment horizontal="right" vertical="center"/>
    </xf>
    <xf numFmtId="4" fontId="38" fillId="97" borderId="49" applyNumberFormat="0" applyProtection="0">
      <alignment horizontal="right" vertical="center"/>
    </xf>
    <xf numFmtId="4" fontId="38" fillId="97" borderId="49" applyNumberFormat="0" applyProtection="0">
      <alignment horizontal="right" vertical="center"/>
    </xf>
    <xf numFmtId="4" fontId="38" fillId="97" borderId="49" applyNumberFormat="0" applyProtection="0">
      <alignment horizontal="right" vertical="center"/>
    </xf>
    <xf numFmtId="4" fontId="38" fillId="97" borderId="49" applyNumberFormat="0" applyProtection="0">
      <alignment horizontal="right" vertical="center"/>
    </xf>
    <xf numFmtId="4" fontId="38" fillId="97" borderId="49" applyNumberFormat="0" applyProtection="0">
      <alignment horizontal="right" vertical="center"/>
    </xf>
    <xf numFmtId="4" fontId="38" fillId="97" borderId="49" applyNumberFormat="0" applyProtection="0">
      <alignment horizontal="right" vertical="center"/>
    </xf>
    <xf numFmtId="4" fontId="38" fillId="97" borderId="49" applyNumberFormat="0" applyProtection="0">
      <alignment horizontal="right" vertical="center"/>
    </xf>
    <xf numFmtId="4" fontId="38" fillId="97" borderId="49" applyNumberFormat="0" applyProtection="0">
      <alignment horizontal="right" vertical="center"/>
    </xf>
    <xf numFmtId="4" fontId="38" fillId="97" borderId="49" applyNumberFormat="0" applyProtection="0">
      <alignment horizontal="right" vertical="center"/>
    </xf>
    <xf numFmtId="4" fontId="38" fillId="97" borderId="49" applyNumberFormat="0" applyProtection="0">
      <alignment horizontal="right" vertical="center"/>
    </xf>
    <xf numFmtId="4" fontId="38" fillId="97" borderId="49" applyNumberFormat="0" applyProtection="0">
      <alignment horizontal="right" vertical="center"/>
    </xf>
    <xf numFmtId="4" fontId="38" fillId="97" borderId="49" applyNumberFormat="0" applyProtection="0">
      <alignment horizontal="right" vertical="center"/>
    </xf>
    <xf numFmtId="4" fontId="18" fillId="139" borderId="67" applyNumberFormat="0" applyProtection="0">
      <alignment horizontal="right" vertical="center"/>
    </xf>
    <xf numFmtId="4" fontId="38" fillId="140" borderId="49" applyNumberFormat="0" applyProtection="0">
      <alignment horizontal="right" vertical="center"/>
    </xf>
    <xf numFmtId="4" fontId="38" fillId="140" borderId="49" applyNumberFormat="0" applyProtection="0">
      <alignment horizontal="right" vertical="center"/>
    </xf>
    <xf numFmtId="4" fontId="38" fillId="140" borderId="49" applyNumberFormat="0" applyProtection="0">
      <alignment horizontal="right" vertical="center"/>
    </xf>
    <xf numFmtId="4" fontId="38" fillId="140" borderId="49" applyNumberFormat="0" applyProtection="0">
      <alignment horizontal="right" vertical="center"/>
    </xf>
    <xf numFmtId="4" fontId="38" fillId="140" borderId="49" applyNumberFormat="0" applyProtection="0">
      <alignment horizontal="right" vertical="center"/>
    </xf>
    <xf numFmtId="4" fontId="38" fillId="140" borderId="49" applyNumberFormat="0" applyProtection="0">
      <alignment horizontal="right" vertical="center"/>
    </xf>
    <xf numFmtId="4" fontId="38" fillId="140" borderId="49" applyNumberFormat="0" applyProtection="0">
      <alignment horizontal="right" vertical="center"/>
    </xf>
    <xf numFmtId="4" fontId="38" fillId="140" borderId="49" applyNumberFormat="0" applyProtection="0">
      <alignment horizontal="right" vertical="center"/>
    </xf>
    <xf numFmtId="4" fontId="18" fillId="139" borderId="67" applyNumberFormat="0" applyProtection="0">
      <alignment horizontal="right" vertical="center"/>
    </xf>
    <xf numFmtId="4" fontId="18" fillId="139" borderId="67" applyNumberFormat="0" applyProtection="0">
      <alignment horizontal="right" vertical="center"/>
    </xf>
    <xf numFmtId="4" fontId="18" fillId="139" borderId="67" applyNumberFormat="0" applyProtection="0">
      <alignment horizontal="right" vertical="center"/>
    </xf>
    <xf numFmtId="4" fontId="18" fillId="139" borderId="67" applyNumberFormat="0" applyProtection="0">
      <alignment horizontal="right" vertical="center"/>
    </xf>
    <xf numFmtId="4" fontId="92" fillId="140" borderId="73" applyNumberFormat="0" applyProtection="0">
      <alignment horizontal="right" vertical="center"/>
    </xf>
    <xf numFmtId="4" fontId="92" fillId="140" borderId="73" applyNumberFormat="0" applyProtection="0">
      <alignment horizontal="right" vertical="center"/>
    </xf>
    <xf numFmtId="4" fontId="38" fillId="140" borderId="49" applyNumberFormat="0" applyProtection="0">
      <alignment horizontal="right" vertical="center"/>
    </xf>
    <xf numFmtId="4" fontId="18" fillId="139" borderId="67" applyNumberFormat="0" applyProtection="0">
      <alignment horizontal="right" vertical="center"/>
    </xf>
    <xf numFmtId="4" fontId="38" fillId="140" borderId="49" applyNumberFormat="0" applyProtection="0">
      <alignment horizontal="right" vertical="center"/>
    </xf>
    <xf numFmtId="4" fontId="38" fillId="140" borderId="49" applyNumberFormat="0" applyProtection="0">
      <alignment horizontal="right" vertical="center"/>
    </xf>
    <xf numFmtId="4" fontId="38" fillId="140" borderId="49" applyNumberFormat="0" applyProtection="0">
      <alignment horizontal="right" vertical="center"/>
    </xf>
    <xf numFmtId="4" fontId="38" fillId="140" borderId="49" applyNumberFormat="0" applyProtection="0">
      <alignment horizontal="right" vertical="center"/>
    </xf>
    <xf numFmtId="4" fontId="92" fillId="140" borderId="73" applyNumberFormat="0" applyProtection="0">
      <alignment horizontal="right" vertical="center"/>
    </xf>
    <xf numFmtId="4" fontId="92" fillId="140" borderId="73" applyNumberFormat="0" applyProtection="0">
      <alignment horizontal="right" vertical="center"/>
    </xf>
    <xf numFmtId="4" fontId="92" fillId="140" borderId="73" applyNumberFormat="0" applyProtection="0">
      <alignment horizontal="right" vertical="center"/>
    </xf>
    <xf numFmtId="4" fontId="38" fillId="140" borderId="49" applyNumberFormat="0" applyProtection="0">
      <alignment horizontal="right" vertical="center"/>
    </xf>
    <xf numFmtId="4" fontId="38" fillId="140" borderId="49" applyNumberFormat="0" applyProtection="0">
      <alignment horizontal="right" vertical="center"/>
    </xf>
    <xf numFmtId="4" fontId="38" fillId="140" borderId="49" applyNumberFormat="0" applyProtection="0">
      <alignment horizontal="right" vertical="center"/>
    </xf>
    <xf numFmtId="4" fontId="38" fillId="140" borderId="49" applyNumberFormat="0" applyProtection="0">
      <alignment horizontal="right" vertical="center"/>
    </xf>
    <xf numFmtId="4" fontId="38" fillId="140" borderId="49" applyNumberFormat="0" applyProtection="0">
      <alignment horizontal="right" vertical="center"/>
    </xf>
    <xf numFmtId="4" fontId="38" fillId="140" borderId="49" applyNumberFormat="0" applyProtection="0">
      <alignment horizontal="right" vertical="center"/>
    </xf>
    <xf numFmtId="4" fontId="38" fillId="140" borderId="49" applyNumberFormat="0" applyProtection="0">
      <alignment horizontal="right" vertical="center"/>
    </xf>
    <xf numFmtId="4" fontId="38" fillId="140" borderId="49" applyNumberFormat="0" applyProtection="0">
      <alignment horizontal="right" vertical="center"/>
    </xf>
    <xf numFmtId="4" fontId="38" fillId="140" borderId="49" applyNumberFormat="0" applyProtection="0">
      <alignment horizontal="right" vertical="center"/>
    </xf>
    <xf numFmtId="4" fontId="38" fillId="140" borderId="49" applyNumberFormat="0" applyProtection="0">
      <alignment horizontal="right" vertical="center"/>
    </xf>
    <xf numFmtId="4" fontId="38" fillId="140" borderId="49" applyNumberFormat="0" applyProtection="0">
      <alignment horizontal="right" vertical="center"/>
    </xf>
    <xf numFmtId="4" fontId="38" fillId="140" borderId="49" applyNumberFormat="0" applyProtection="0">
      <alignment horizontal="right" vertical="center"/>
    </xf>
    <xf numFmtId="4" fontId="38" fillId="140" borderId="49" applyNumberFormat="0" applyProtection="0">
      <alignment horizontal="right" vertical="center"/>
    </xf>
    <xf numFmtId="4" fontId="38" fillId="140" borderId="49" applyNumberFormat="0" applyProtection="0">
      <alignment horizontal="right" vertical="center"/>
    </xf>
    <xf numFmtId="4" fontId="38" fillId="140" borderId="49" applyNumberFormat="0" applyProtection="0">
      <alignment horizontal="right" vertical="center"/>
    </xf>
    <xf numFmtId="4" fontId="38" fillId="140" borderId="49" applyNumberFormat="0" applyProtection="0">
      <alignment horizontal="right" vertical="center"/>
    </xf>
    <xf numFmtId="4" fontId="38" fillId="140" borderId="49" applyNumberFormat="0" applyProtection="0">
      <alignment horizontal="right" vertical="center"/>
    </xf>
    <xf numFmtId="4" fontId="38" fillId="140" borderId="49" applyNumberFormat="0" applyProtection="0">
      <alignment horizontal="right" vertical="center"/>
    </xf>
    <xf numFmtId="4" fontId="38" fillId="140" borderId="49" applyNumberFormat="0" applyProtection="0">
      <alignment horizontal="right" vertical="center"/>
    </xf>
    <xf numFmtId="4" fontId="38" fillId="140" borderId="49" applyNumberFormat="0" applyProtection="0">
      <alignment horizontal="right" vertical="center"/>
    </xf>
    <xf numFmtId="4" fontId="38" fillId="140" borderId="49" applyNumberFormat="0" applyProtection="0">
      <alignment horizontal="right" vertical="center"/>
    </xf>
    <xf numFmtId="4" fontId="38" fillId="140" borderId="49" applyNumberFormat="0" applyProtection="0">
      <alignment horizontal="right" vertical="center"/>
    </xf>
    <xf numFmtId="4" fontId="38" fillId="140" borderId="49" applyNumberFormat="0" applyProtection="0">
      <alignment horizontal="right" vertical="center"/>
    </xf>
    <xf numFmtId="4" fontId="38" fillId="140" borderId="49" applyNumberFormat="0" applyProtection="0">
      <alignment horizontal="right" vertical="center"/>
    </xf>
    <xf numFmtId="4" fontId="38" fillId="140" borderId="49" applyNumberFormat="0" applyProtection="0">
      <alignment horizontal="right" vertical="center"/>
    </xf>
    <xf numFmtId="4" fontId="38" fillId="140" borderId="49" applyNumberFormat="0" applyProtection="0">
      <alignment horizontal="right" vertical="center"/>
    </xf>
    <xf numFmtId="4" fontId="38" fillId="140" borderId="49" applyNumberFormat="0" applyProtection="0">
      <alignment horizontal="right" vertical="center"/>
    </xf>
    <xf numFmtId="4" fontId="38" fillId="140" borderId="49" applyNumberFormat="0" applyProtection="0">
      <alignment horizontal="right" vertical="center"/>
    </xf>
    <xf numFmtId="4" fontId="18" fillId="141" borderId="67" applyNumberFormat="0" applyProtection="0">
      <alignment horizontal="right" vertical="center"/>
    </xf>
    <xf numFmtId="4" fontId="38" fillId="72" borderId="49" applyNumberFormat="0" applyProtection="0">
      <alignment horizontal="right" vertical="center"/>
    </xf>
    <xf numFmtId="4" fontId="38" fillId="72" borderId="49" applyNumberFormat="0" applyProtection="0">
      <alignment horizontal="right" vertical="center"/>
    </xf>
    <xf numFmtId="4" fontId="38" fillId="72" borderId="49" applyNumberFormat="0" applyProtection="0">
      <alignment horizontal="right" vertical="center"/>
    </xf>
    <xf numFmtId="4" fontId="38" fillId="72" borderId="49" applyNumberFormat="0" applyProtection="0">
      <alignment horizontal="right" vertical="center"/>
    </xf>
    <xf numFmtId="4" fontId="38" fillId="72" borderId="49" applyNumberFormat="0" applyProtection="0">
      <alignment horizontal="right" vertical="center"/>
    </xf>
    <xf numFmtId="4" fontId="38" fillId="72" borderId="49" applyNumberFormat="0" applyProtection="0">
      <alignment horizontal="right" vertical="center"/>
    </xf>
    <xf numFmtId="4" fontId="38" fillId="72" borderId="49" applyNumberFormat="0" applyProtection="0">
      <alignment horizontal="right" vertical="center"/>
    </xf>
    <xf numFmtId="4" fontId="38" fillId="72" borderId="49" applyNumberFormat="0" applyProtection="0">
      <alignment horizontal="right" vertical="center"/>
    </xf>
    <xf numFmtId="4" fontId="18" fillId="141" borderId="67" applyNumberFormat="0" applyProtection="0">
      <alignment horizontal="right" vertical="center"/>
    </xf>
    <xf numFmtId="4" fontId="18" fillId="141" borderId="67" applyNumberFormat="0" applyProtection="0">
      <alignment horizontal="right" vertical="center"/>
    </xf>
    <xf numFmtId="4" fontId="18" fillId="141" borderId="67" applyNumberFormat="0" applyProtection="0">
      <alignment horizontal="right" vertical="center"/>
    </xf>
    <xf numFmtId="4" fontId="18" fillId="141" borderId="67" applyNumberFormat="0" applyProtection="0">
      <alignment horizontal="right" vertical="center"/>
    </xf>
    <xf numFmtId="4" fontId="92" fillId="72" borderId="73" applyNumberFormat="0" applyProtection="0">
      <alignment horizontal="right" vertical="center"/>
    </xf>
    <xf numFmtId="4" fontId="92" fillId="72" borderId="73" applyNumberFormat="0" applyProtection="0">
      <alignment horizontal="right" vertical="center"/>
    </xf>
    <xf numFmtId="4" fontId="38" fillId="72" borderId="49" applyNumberFormat="0" applyProtection="0">
      <alignment horizontal="right" vertical="center"/>
    </xf>
    <xf numFmtId="4" fontId="18" fillId="141" borderId="67" applyNumberFormat="0" applyProtection="0">
      <alignment horizontal="right" vertical="center"/>
    </xf>
    <xf numFmtId="4" fontId="38" fillId="72" borderId="49" applyNumberFormat="0" applyProtection="0">
      <alignment horizontal="right" vertical="center"/>
    </xf>
    <xf numFmtId="4" fontId="38" fillId="72" borderId="49" applyNumberFormat="0" applyProtection="0">
      <alignment horizontal="right" vertical="center"/>
    </xf>
    <xf numFmtId="4" fontId="38" fillId="72" borderId="49" applyNumberFormat="0" applyProtection="0">
      <alignment horizontal="right" vertical="center"/>
    </xf>
    <xf numFmtId="4" fontId="38" fillId="72" borderId="49" applyNumberFormat="0" applyProtection="0">
      <alignment horizontal="right" vertical="center"/>
    </xf>
    <xf numFmtId="4" fontId="92" fillId="72" borderId="73" applyNumberFormat="0" applyProtection="0">
      <alignment horizontal="right" vertical="center"/>
    </xf>
    <xf numFmtId="4" fontId="92" fillId="72" borderId="73" applyNumberFormat="0" applyProtection="0">
      <alignment horizontal="right" vertical="center"/>
    </xf>
    <xf numFmtId="4" fontId="92" fillId="72" borderId="73" applyNumberFormat="0" applyProtection="0">
      <alignment horizontal="right" vertical="center"/>
    </xf>
    <xf numFmtId="4" fontId="38" fillId="72" borderId="49" applyNumberFormat="0" applyProtection="0">
      <alignment horizontal="right" vertical="center"/>
    </xf>
    <xf numFmtId="4" fontId="38" fillId="72" borderId="49" applyNumberFormat="0" applyProtection="0">
      <alignment horizontal="right" vertical="center"/>
    </xf>
    <xf numFmtId="4" fontId="38" fillId="72" borderId="49" applyNumberFormat="0" applyProtection="0">
      <alignment horizontal="right" vertical="center"/>
    </xf>
    <xf numFmtId="4" fontId="38" fillId="72" borderId="49" applyNumberFormat="0" applyProtection="0">
      <alignment horizontal="right" vertical="center"/>
    </xf>
    <xf numFmtId="4" fontId="38" fillId="72" borderId="49" applyNumberFormat="0" applyProtection="0">
      <alignment horizontal="right" vertical="center"/>
    </xf>
    <xf numFmtId="4" fontId="38" fillId="72" borderId="49" applyNumberFormat="0" applyProtection="0">
      <alignment horizontal="right" vertical="center"/>
    </xf>
    <xf numFmtId="4" fontId="38" fillId="72" borderId="49" applyNumberFormat="0" applyProtection="0">
      <alignment horizontal="right" vertical="center"/>
    </xf>
    <xf numFmtId="4" fontId="38" fillId="72" borderId="49" applyNumberFormat="0" applyProtection="0">
      <alignment horizontal="right" vertical="center"/>
    </xf>
    <xf numFmtId="4" fontId="38" fillId="72" borderId="49" applyNumberFormat="0" applyProtection="0">
      <alignment horizontal="right" vertical="center"/>
    </xf>
    <xf numFmtId="4" fontId="38" fillId="72" borderId="49" applyNumberFormat="0" applyProtection="0">
      <alignment horizontal="right" vertical="center"/>
    </xf>
    <xf numFmtId="4" fontId="38" fillId="72" borderId="49" applyNumberFormat="0" applyProtection="0">
      <alignment horizontal="right" vertical="center"/>
    </xf>
    <xf numFmtId="4" fontId="38" fillId="72" borderId="49" applyNumberFormat="0" applyProtection="0">
      <alignment horizontal="right" vertical="center"/>
    </xf>
    <xf numFmtId="4" fontId="38" fillId="72" borderId="49" applyNumberFormat="0" applyProtection="0">
      <alignment horizontal="right" vertical="center"/>
    </xf>
    <xf numFmtId="4" fontId="38" fillId="72" borderId="49" applyNumberFormat="0" applyProtection="0">
      <alignment horizontal="right" vertical="center"/>
    </xf>
    <xf numFmtId="4" fontId="38" fillId="72" borderId="49" applyNumberFormat="0" applyProtection="0">
      <alignment horizontal="right" vertical="center"/>
    </xf>
    <xf numFmtId="4" fontId="38" fillId="72" borderId="49" applyNumberFormat="0" applyProtection="0">
      <alignment horizontal="right" vertical="center"/>
    </xf>
    <xf numFmtId="4" fontId="38" fillId="72" borderId="49" applyNumberFormat="0" applyProtection="0">
      <alignment horizontal="right" vertical="center"/>
    </xf>
    <xf numFmtId="4" fontId="38" fillId="72" borderId="49" applyNumberFormat="0" applyProtection="0">
      <alignment horizontal="right" vertical="center"/>
    </xf>
    <xf numFmtId="4" fontId="38" fillId="72" borderId="49" applyNumberFormat="0" applyProtection="0">
      <alignment horizontal="right" vertical="center"/>
    </xf>
    <xf numFmtId="4" fontId="38" fillId="72" borderId="49" applyNumberFormat="0" applyProtection="0">
      <alignment horizontal="right" vertical="center"/>
    </xf>
    <xf numFmtId="4" fontId="38" fillId="72" borderId="49" applyNumberFormat="0" applyProtection="0">
      <alignment horizontal="right" vertical="center"/>
    </xf>
    <xf numFmtId="4" fontId="38" fillId="72" borderId="49" applyNumberFormat="0" applyProtection="0">
      <alignment horizontal="right" vertical="center"/>
    </xf>
    <xf numFmtId="4" fontId="38" fillId="72" borderId="49" applyNumberFormat="0" applyProtection="0">
      <alignment horizontal="right" vertical="center"/>
    </xf>
    <xf numFmtId="4" fontId="38" fillId="72" borderId="49" applyNumberFormat="0" applyProtection="0">
      <alignment horizontal="right" vertical="center"/>
    </xf>
    <xf numFmtId="4" fontId="38" fillId="72" borderId="49" applyNumberFormat="0" applyProtection="0">
      <alignment horizontal="right" vertical="center"/>
    </xf>
    <xf numFmtId="4" fontId="38" fillId="72" borderId="49" applyNumberFormat="0" applyProtection="0">
      <alignment horizontal="right" vertical="center"/>
    </xf>
    <xf numFmtId="4" fontId="38" fillId="72" borderId="49" applyNumberFormat="0" applyProtection="0">
      <alignment horizontal="right" vertical="center"/>
    </xf>
    <xf numFmtId="4" fontId="38" fillId="72" borderId="49" applyNumberFormat="0" applyProtection="0">
      <alignment horizontal="right" vertical="center"/>
    </xf>
    <xf numFmtId="4" fontId="18" fillId="142" borderId="67" applyNumberFormat="0" applyProtection="0">
      <alignment horizontal="left" vertical="center" indent="1"/>
    </xf>
    <xf numFmtId="4" fontId="38" fillId="143" borderId="76" applyNumberFormat="0" applyProtection="0">
      <alignment horizontal="left" vertical="center" indent="1"/>
    </xf>
    <xf numFmtId="4" fontId="38" fillId="143" borderId="76" applyNumberFormat="0" applyProtection="0">
      <alignment horizontal="left" vertical="center" indent="1"/>
    </xf>
    <xf numFmtId="4" fontId="38" fillId="143" borderId="76" applyNumberFormat="0" applyProtection="0">
      <alignment horizontal="left" vertical="center" indent="1"/>
    </xf>
    <xf numFmtId="4" fontId="38" fillId="143" borderId="76" applyNumberFormat="0" applyProtection="0">
      <alignment horizontal="left" vertical="center" indent="1"/>
    </xf>
    <xf numFmtId="4" fontId="38" fillId="143" borderId="76" applyNumberFormat="0" applyProtection="0">
      <alignment horizontal="left" vertical="center" indent="1"/>
    </xf>
    <xf numFmtId="4" fontId="38" fillId="143" borderId="76" applyNumberFormat="0" applyProtection="0">
      <alignment horizontal="left" vertical="center" indent="1"/>
    </xf>
    <xf numFmtId="4" fontId="38" fillId="143" borderId="76" applyNumberFormat="0" applyProtection="0">
      <alignment horizontal="left" vertical="center" indent="1"/>
    </xf>
    <xf numFmtId="4" fontId="38" fillId="143" borderId="76" applyNumberFormat="0" applyProtection="0">
      <alignment horizontal="left" vertical="center" indent="1"/>
    </xf>
    <xf numFmtId="4" fontId="18" fillId="142" borderId="67" applyNumberFormat="0" applyProtection="0">
      <alignment horizontal="left" vertical="center" indent="1"/>
    </xf>
    <xf numFmtId="4" fontId="18" fillId="142" borderId="67" applyNumberFormat="0" applyProtection="0">
      <alignment horizontal="left" vertical="center" indent="1"/>
    </xf>
    <xf numFmtId="4" fontId="18" fillId="142" borderId="67" applyNumberFormat="0" applyProtection="0">
      <alignment horizontal="left" vertical="center" indent="1"/>
    </xf>
    <xf numFmtId="4" fontId="18" fillId="142" borderId="67" applyNumberFormat="0" applyProtection="0">
      <alignment horizontal="left" vertical="center" indent="1"/>
    </xf>
    <xf numFmtId="4" fontId="147" fillId="143" borderId="77" applyNumberFormat="0" applyProtection="0">
      <alignment horizontal="left" vertical="center" indent="1"/>
    </xf>
    <xf numFmtId="4" fontId="38" fillId="143" borderId="76" applyNumberFormat="0" applyProtection="0">
      <alignment horizontal="left" vertical="center" indent="1"/>
    </xf>
    <xf numFmtId="4" fontId="18" fillId="142" borderId="67" applyNumberFormat="0" applyProtection="0">
      <alignment horizontal="left" vertical="center" indent="1"/>
    </xf>
    <xf numFmtId="4" fontId="38" fillId="143" borderId="76" applyNumberFormat="0" applyProtection="0">
      <alignment horizontal="left" vertical="center" indent="1"/>
    </xf>
    <xf numFmtId="4" fontId="38" fillId="143" borderId="76" applyNumberFormat="0" applyProtection="0">
      <alignment horizontal="left" vertical="center" indent="1"/>
    </xf>
    <xf numFmtId="4" fontId="38" fillId="143" borderId="76" applyNumberFormat="0" applyProtection="0">
      <alignment horizontal="left" vertical="center" indent="1"/>
    </xf>
    <xf numFmtId="4" fontId="38" fillId="143" borderId="76" applyNumberFormat="0" applyProtection="0">
      <alignment horizontal="left" vertical="center" indent="1"/>
    </xf>
    <xf numFmtId="4" fontId="38" fillId="143" borderId="76" applyNumberFormat="0" applyProtection="0">
      <alignment horizontal="left" vertical="center" indent="1"/>
    </xf>
    <xf numFmtId="4" fontId="38" fillId="143" borderId="76" applyNumberFormat="0" applyProtection="0">
      <alignment horizontal="left" vertical="center" indent="1"/>
    </xf>
    <xf numFmtId="4" fontId="38" fillId="143" borderId="76" applyNumberFormat="0" applyProtection="0">
      <alignment horizontal="left" vertical="center" indent="1"/>
    </xf>
    <xf numFmtId="4" fontId="38" fillId="143" borderId="76" applyNumberFormat="0" applyProtection="0">
      <alignment horizontal="left" vertical="center" indent="1"/>
    </xf>
    <xf numFmtId="4" fontId="38" fillId="143" borderId="76" applyNumberFormat="0" applyProtection="0">
      <alignment horizontal="left" vertical="center" indent="1"/>
    </xf>
    <xf numFmtId="4" fontId="38" fillId="143" borderId="76" applyNumberFormat="0" applyProtection="0">
      <alignment horizontal="left" vertical="center" indent="1"/>
    </xf>
    <xf numFmtId="4" fontId="38" fillId="143" borderId="76" applyNumberFormat="0" applyProtection="0">
      <alignment horizontal="left" vertical="center" indent="1"/>
    </xf>
    <xf numFmtId="4" fontId="38" fillId="143" borderId="76" applyNumberFormat="0" applyProtection="0">
      <alignment horizontal="left" vertical="center" indent="1"/>
    </xf>
    <xf numFmtId="4" fontId="38" fillId="143" borderId="76" applyNumberFormat="0" applyProtection="0">
      <alignment horizontal="left" vertical="center" indent="1"/>
    </xf>
    <xf numFmtId="4" fontId="38" fillId="143" borderId="76" applyNumberFormat="0" applyProtection="0">
      <alignment horizontal="left" vertical="center" indent="1"/>
    </xf>
    <xf numFmtId="4" fontId="38" fillId="143" borderId="76" applyNumberFormat="0" applyProtection="0">
      <alignment horizontal="left" vertical="center" indent="1"/>
    </xf>
    <xf numFmtId="4" fontId="38" fillId="143" borderId="76" applyNumberFormat="0" applyProtection="0">
      <alignment horizontal="left" vertical="center" indent="1"/>
    </xf>
    <xf numFmtId="4" fontId="38" fillId="143" borderId="76" applyNumberFormat="0" applyProtection="0">
      <alignment horizontal="left" vertical="center" indent="1"/>
    </xf>
    <xf numFmtId="4" fontId="38" fillId="143" borderId="76" applyNumberFormat="0" applyProtection="0">
      <alignment horizontal="left" vertical="center" indent="1"/>
    </xf>
    <xf numFmtId="4" fontId="38" fillId="143" borderId="76" applyNumberFormat="0" applyProtection="0">
      <alignment horizontal="left" vertical="center" indent="1"/>
    </xf>
    <xf numFmtId="4" fontId="38" fillId="143" borderId="76" applyNumberFormat="0" applyProtection="0">
      <alignment horizontal="left" vertical="center" indent="1"/>
    </xf>
    <xf numFmtId="4" fontId="38" fillId="143" borderId="76" applyNumberFormat="0" applyProtection="0">
      <alignment horizontal="left" vertical="center" indent="1"/>
    </xf>
    <xf numFmtId="4" fontId="38" fillId="143" borderId="76" applyNumberFormat="0" applyProtection="0">
      <alignment horizontal="left" vertical="center" indent="1"/>
    </xf>
    <xf numFmtId="4" fontId="38" fillId="143" borderId="76" applyNumberFormat="0" applyProtection="0">
      <alignment horizontal="left" vertical="center" indent="1"/>
    </xf>
    <xf numFmtId="4" fontId="38" fillId="143" borderId="76" applyNumberFormat="0" applyProtection="0">
      <alignment horizontal="left" vertical="center" indent="1"/>
    </xf>
    <xf numFmtId="4" fontId="38" fillId="143" borderId="76" applyNumberFormat="0" applyProtection="0">
      <alignment horizontal="left" vertical="center" indent="1"/>
    </xf>
    <xf numFmtId="4" fontId="38" fillId="143" borderId="76" applyNumberFormat="0" applyProtection="0">
      <alignment horizontal="left" vertical="center" indent="1"/>
    </xf>
    <xf numFmtId="4" fontId="38" fillId="143" borderId="76" applyNumberFormat="0" applyProtection="0">
      <alignment horizontal="left" vertical="center" indent="1"/>
    </xf>
    <xf numFmtId="4" fontId="38" fillId="143" borderId="76" applyNumberFormat="0" applyProtection="0">
      <alignment horizontal="left" vertical="center" indent="1"/>
    </xf>
    <xf numFmtId="4" fontId="38" fillId="143" borderId="76" applyNumberFormat="0" applyProtection="0">
      <alignment horizontal="left" vertical="center" indent="1"/>
    </xf>
    <xf numFmtId="4" fontId="38" fillId="143" borderId="76" applyNumberFormat="0" applyProtection="0">
      <alignment horizontal="left" vertical="center" indent="1"/>
    </xf>
    <xf numFmtId="4" fontId="38" fillId="143" borderId="76" applyNumberFormat="0" applyProtection="0">
      <alignment horizontal="left" vertical="center" indent="1"/>
    </xf>
    <xf numFmtId="4" fontId="18" fillId="144" borderId="78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4" borderId="79" applyNumberFormat="0" applyProtection="0">
      <alignment horizontal="left" vertical="center" indent="1"/>
    </xf>
    <xf numFmtId="4" fontId="18" fillId="144" borderId="79" applyNumberFormat="0" applyProtection="0">
      <alignment horizontal="left" vertical="center" indent="1"/>
    </xf>
    <xf numFmtId="4" fontId="18" fillId="144" borderId="79" applyNumberFormat="0" applyProtection="0">
      <alignment horizontal="left" vertical="center" indent="1"/>
    </xf>
    <xf numFmtId="4" fontId="18" fillId="144" borderId="79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4" borderId="78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55" borderId="0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55" borderId="0" applyNumberFormat="0" applyProtection="0">
      <alignment horizontal="left" vertical="center" indent="1"/>
    </xf>
    <xf numFmtId="4" fontId="285" fillId="55" borderId="0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55" borderId="0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4" fontId="18" fillId="145" borderId="76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4" fontId="38" fillId="146" borderId="49" applyNumberFormat="0" applyProtection="0">
      <alignment horizontal="right" vertical="center"/>
    </xf>
    <xf numFmtId="4" fontId="38" fillId="146" borderId="49" applyNumberFormat="0" applyProtection="0">
      <alignment horizontal="right" vertical="center"/>
    </xf>
    <xf numFmtId="4" fontId="38" fillId="146" borderId="49" applyNumberFormat="0" applyProtection="0">
      <alignment horizontal="right" vertical="center"/>
    </xf>
    <xf numFmtId="4" fontId="38" fillId="146" borderId="49" applyNumberFormat="0" applyProtection="0">
      <alignment horizontal="right" vertical="center"/>
    </xf>
    <xf numFmtId="4" fontId="38" fillId="146" borderId="49" applyNumberFormat="0" applyProtection="0">
      <alignment horizontal="right" vertical="center"/>
    </xf>
    <xf numFmtId="4" fontId="38" fillId="146" borderId="49" applyNumberFormat="0" applyProtection="0">
      <alignment horizontal="right" vertical="center"/>
    </xf>
    <xf numFmtId="4" fontId="38" fillId="146" borderId="49" applyNumberFormat="0" applyProtection="0">
      <alignment horizontal="right" vertical="center"/>
    </xf>
    <xf numFmtId="4" fontId="38" fillId="146" borderId="49" applyNumberFormat="0" applyProtection="0">
      <alignment horizontal="right" vertical="center"/>
    </xf>
    <xf numFmtId="0" fontId="18" fillId="130" borderId="67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178" fontId="18" fillId="130" borderId="67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178" fontId="18" fillId="130" borderId="67" applyNumberFormat="0" applyProtection="0">
      <alignment horizontal="left" vertical="center" indent="1"/>
    </xf>
    <xf numFmtId="188" fontId="18" fillId="130" borderId="67" applyNumberFormat="0" applyProtection="0">
      <alignment horizontal="left" vertical="center" indent="1"/>
    </xf>
    <xf numFmtId="178" fontId="18" fillId="130" borderId="67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178" fontId="18" fillId="130" borderId="67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178" fontId="18" fillId="130" borderId="67" applyNumberFormat="0" applyProtection="0">
      <alignment horizontal="left" vertical="center" indent="1"/>
    </xf>
    <xf numFmtId="188" fontId="18" fillId="130" borderId="67" applyNumberFormat="0" applyProtection="0">
      <alignment horizontal="left" vertical="center" indent="1"/>
    </xf>
    <xf numFmtId="178" fontId="18" fillId="130" borderId="67" applyNumberFormat="0" applyProtection="0">
      <alignment horizontal="left" vertical="center" indent="1"/>
    </xf>
    <xf numFmtId="4" fontId="92" fillId="146" borderId="73" applyNumberFormat="0" applyProtection="0">
      <alignment horizontal="right" vertical="center"/>
    </xf>
    <xf numFmtId="4" fontId="92" fillId="146" borderId="73" applyNumberFormat="0" applyProtection="0">
      <alignment horizontal="right" vertical="center"/>
    </xf>
    <xf numFmtId="4" fontId="38" fillId="146" borderId="49" applyNumberFormat="0" applyProtection="0">
      <alignment horizontal="right" vertical="center"/>
    </xf>
    <xf numFmtId="0" fontId="18" fillId="130" borderId="67" applyNumberFormat="0" applyProtection="0">
      <alignment horizontal="left" vertical="center" indent="1"/>
    </xf>
    <xf numFmtId="4" fontId="38" fillId="146" borderId="49" applyNumberFormat="0" applyProtection="0">
      <alignment horizontal="right" vertical="center"/>
    </xf>
    <xf numFmtId="4" fontId="38" fillId="146" borderId="49" applyNumberFormat="0" applyProtection="0">
      <alignment horizontal="right" vertical="center"/>
    </xf>
    <xf numFmtId="4" fontId="38" fillId="146" borderId="49" applyNumberFormat="0" applyProtection="0">
      <alignment horizontal="right" vertical="center"/>
    </xf>
    <xf numFmtId="4" fontId="38" fillId="146" borderId="49" applyNumberFormat="0" applyProtection="0">
      <alignment horizontal="right" vertical="center"/>
    </xf>
    <xf numFmtId="4" fontId="92" fillId="146" borderId="73" applyNumberFormat="0" applyProtection="0">
      <alignment horizontal="right" vertical="center"/>
    </xf>
    <xf numFmtId="4" fontId="92" fillId="146" borderId="73" applyNumberFormat="0" applyProtection="0">
      <alignment horizontal="right" vertical="center"/>
    </xf>
    <xf numFmtId="4" fontId="92" fillId="146" borderId="73" applyNumberFormat="0" applyProtection="0">
      <alignment horizontal="right" vertical="center"/>
    </xf>
    <xf numFmtId="4" fontId="38" fillId="146" borderId="49" applyNumberFormat="0" applyProtection="0">
      <alignment horizontal="right" vertical="center"/>
    </xf>
    <xf numFmtId="4" fontId="38" fillId="146" borderId="49" applyNumberFormat="0" applyProtection="0">
      <alignment horizontal="right" vertical="center"/>
    </xf>
    <xf numFmtId="4" fontId="38" fillId="146" borderId="49" applyNumberFormat="0" applyProtection="0">
      <alignment horizontal="right" vertical="center"/>
    </xf>
    <xf numFmtId="4" fontId="38" fillId="146" borderId="49" applyNumberFormat="0" applyProtection="0">
      <alignment horizontal="right" vertical="center"/>
    </xf>
    <xf numFmtId="4" fontId="38" fillId="146" borderId="49" applyNumberFormat="0" applyProtection="0">
      <alignment horizontal="right" vertical="center"/>
    </xf>
    <xf numFmtId="4" fontId="38" fillId="146" borderId="49" applyNumberFormat="0" applyProtection="0">
      <alignment horizontal="right" vertical="center"/>
    </xf>
    <xf numFmtId="4" fontId="38" fillId="146" borderId="49" applyNumberFormat="0" applyProtection="0">
      <alignment horizontal="right" vertical="center"/>
    </xf>
    <xf numFmtId="4" fontId="38" fillId="146" borderId="49" applyNumberFormat="0" applyProtection="0">
      <alignment horizontal="right" vertical="center"/>
    </xf>
    <xf numFmtId="4" fontId="38" fillId="146" borderId="49" applyNumberFormat="0" applyProtection="0">
      <alignment horizontal="right" vertical="center"/>
    </xf>
    <xf numFmtId="4" fontId="38" fillId="146" borderId="49" applyNumberFormat="0" applyProtection="0">
      <alignment horizontal="right" vertical="center"/>
    </xf>
    <xf numFmtId="4" fontId="38" fillId="146" borderId="49" applyNumberFormat="0" applyProtection="0">
      <alignment horizontal="right" vertical="center"/>
    </xf>
    <xf numFmtId="4" fontId="38" fillId="146" borderId="49" applyNumberFormat="0" applyProtection="0">
      <alignment horizontal="right" vertical="center"/>
    </xf>
    <xf numFmtId="4" fontId="38" fillId="146" borderId="49" applyNumberFormat="0" applyProtection="0">
      <alignment horizontal="right" vertical="center"/>
    </xf>
    <xf numFmtId="4" fontId="38" fillId="146" borderId="49" applyNumberFormat="0" applyProtection="0">
      <alignment horizontal="right" vertical="center"/>
    </xf>
    <xf numFmtId="4" fontId="38" fillId="146" borderId="49" applyNumberFormat="0" applyProtection="0">
      <alignment horizontal="right" vertical="center"/>
    </xf>
    <xf numFmtId="4" fontId="38" fillId="146" borderId="49" applyNumberFormat="0" applyProtection="0">
      <alignment horizontal="right" vertical="center"/>
    </xf>
    <xf numFmtId="4" fontId="38" fillId="146" borderId="49" applyNumberFormat="0" applyProtection="0">
      <alignment horizontal="right" vertical="center"/>
    </xf>
    <xf numFmtId="4" fontId="38" fillId="146" borderId="49" applyNumberFormat="0" applyProtection="0">
      <alignment horizontal="right" vertical="center"/>
    </xf>
    <xf numFmtId="4" fontId="38" fillId="146" borderId="49" applyNumberFormat="0" applyProtection="0">
      <alignment horizontal="right" vertical="center"/>
    </xf>
    <xf numFmtId="4" fontId="38" fillId="146" borderId="49" applyNumberFormat="0" applyProtection="0">
      <alignment horizontal="right" vertical="center"/>
    </xf>
    <xf numFmtId="4" fontId="38" fillId="146" borderId="49" applyNumberFormat="0" applyProtection="0">
      <alignment horizontal="right" vertical="center"/>
    </xf>
    <xf numFmtId="4" fontId="38" fillId="146" borderId="49" applyNumberFormat="0" applyProtection="0">
      <alignment horizontal="right" vertical="center"/>
    </xf>
    <xf numFmtId="4" fontId="38" fillId="146" borderId="49" applyNumberFormat="0" applyProtection="0">
      <alignment horizontal="right" vertical="center"/>
    </xf>
    <xf numFmtId="4" fontId="38" fillId="146" borderId="49" applyNumberFormat="0" applyProtection="0">
      <alignment horizontal="right" vertical="center"/>
    </xf>
    <xf numFmtId="4" fontId="38" fillId="146" borderId="49" applyNumberFormat="0" applyProtection="0">
      <alignment horizontal="right" vertical="center"/>
    </xf>
    <xf numFmtId="4" fontId="38" fillId="146" borderId="49" applyNumberFormat="0" applyProtection="0">
      <alignment horizontal="right" vertical="center"/>
    </xf>
    <xf numFmtId="4" fontId="38" fillId="146" borderId="49" applyNumberFormat="0" applyProtection="0">
      <alignment horizontal="right" vertical="center"/>
    </xf>
    <xf numFmtId="4" fontId="38" fillId="146" borderId="49" applyNumberFormat="0" applyProtection="0">
      <alignment horizontal="right" vertical="center"/>
    </xf>
    <xf numFmtId="4" fontId="18" fillId="144" borderId="67" applyNumberFormat="0" applyProtection="0">
      <alignment horizontal="left" vertical="center" indent="1"/>
    </xf>
    <xf numFmtId="4" fontId="38" fillId="147" borderId="76" applyNumberFormat="0" applyProtection="0">
      <alignment horizontal="left" vertical="center" indent="1"/>
    </xf>
    <xf numFmtId="4" fontId="38" fillId="147" borderId="76" applyNumberFormat="0" applyProtection="0">
      <alignment horizontal="left" vertical="center" indent="1"/>
    </xf>
    <xf numFmtId="4" fontId="38" fillId="147" borderId="76" applyNumberFormat="0" applyProtection="0">
      <alignment horizontal="left" vertical="center" indent="1"/>
    </xf>
    <xf numFmtId="4" fontId="38" fillId="147" borderId="76" applyNumberFormat="0" applyProtection="0">
      <alignment horizontal="left" vertical="center" indent="1"/>
    </xf>
    <xf numFmtId="4" fontId="38" fillId="147" borderId="76" applyNumberFormat="0" applyProtection="0">
      <alignment horizontal="left" vertical="center" indent="1"/>
    </xf>
    <xf numFmtId="4" fontId="38" fillId="147" borderId="76" applyNumberFormat="0" applyProtection="0">
      <alignment horizontal="left" vertical="center" indent="1"/>
    </xf>
    <xf numFmtId="4" fontId="38" fillId="147" borderId="76" applyNumberFormat="0" applyProtection="0">
      <alignment horizontal="left" vertical="center" indent="1"/>
    </xf>
    <xf numFmtId="4" fontId="38" fillId="147" borderId="76" applyNumberFormat="0" applyProtection="0">
      <alignment horizontal="left" vertical="center" indent="1"/>
    </xf>
    <xf numFmtId="4" fontId="18" fillId="144" borderId="67" applyNumberFormat="0" applyProtection="0">
      <alignment horizontal="left" vertical="center" indent="1"/>
    </xf>
    <xf numFmtId="4" fontId="18" fillId="144" borderId="67" applyNumberFormat="0" applyProtection="0">
      <alignment horizontal="left" vertical="center" indent="1"/>
    </xf>
    <xf numFmtId="4" fontId="18" fillId="144" borderId="67" applyNumberFormat="0" applyProtection="0">
      <alignment horizontal="left" vertical="center" indent="1"/>
    </xf>
    <xf numFmtId="4" fontId="18" fillId="144" borderId="67" applyNumberFormat="0" applyProtection="0">
      <alignment horizontal="left" vertical="center" indent="1"/>
    </xf>
    <xf numFmtId="4" fontId="92" fillId="147" borderId="0" applyNumberFormat="0" applyProtection="0">
      <alignment horizontal="left" vertical="center" indent="1"/>
    </xf>
    <xf numFmtId="4" fontId="38" fillId="147" borderId="76" applyNumberFormat="0" applyProtection="0">
      <alignment horizontal="left" vertical="center" indent="1"/>
    </xf>
    <xf numFmtId="4" fontId="18" fillId="144" borderId="67" applyNumberFormat="0" applyProtection="0">
      <alignment horizontal="left" vertical="center" indent="1"/>
    </xf>
    <xf numFmtId="4" fontId="38" fillId="147" borderId="76" applyNumberFormat="0" applyProtection="0">
      <alignment horizontal="left" vertical="center" indent="1"/>
    </xf>
    <xf numFmtId="4" fontId="38" fillId="147" borderId="76" applyNumberFormat="0" applyProtection="0">
      <alignment horizontal="left" vertical="center" indent="1"/>
    </xf>
    <xf numFmtId="4" fontId="38" fillId="147" borderId="76" applyNumberFormat="0" applyProtection="0">
      <alignment horizontal="left" vertical="center" indent="1"/>
    </xf>
    <xf numFmtId="4" fontId="38" fillId="147" borderId="76" applyNumberFormat="0" applyProtection="0">
      <alignment horizontal="left" vertical="center" indent="1"/>
    </xf>
    <xf numFmtId="4" fontId="38" fillId="147" borderId="76" applyNumberFormat="0" applyProtection="0">
      <alignment horizontal="left" vertical="center" indent="1"/>
    </xf>
    <xf numFmtId="4" fontId="38" fillId="147" borderId="76" applyNumberFormat="0" applyProtection="0">
      <alignment horizontal="left" vertical="center" indent="1"/>
    </xf>
    <xf numFmtId="4" fontId="38" fillId="147" borderId="76" applyNumberFormat="0" applyProtection="0">
      <alignment horizontal="left" vertical="center" indent="1"/>
    </xf>
    <xf numFmtId="4" fontId="38" fillId="147" borderId="76" applyNumberFormat="0" applyProtection="0">
      <alignment horizontal="left" vertical="center" indent="1"/>
    </xf>
    <xf numFmtId="4" fontId="38" fillId="147" borderId="76" applyNumberFormat="0" applyProtection="0">
      <alignment horizontal="left" vertical="center" indent="1"/>
    </xf>
    <xf numFmtId="4" fontId="38" fillId="147" borderId="76" applyNumberFormat="0" applyProtection="0">
      <alignment horizontal="left" vertical="center" indent="1"/>
    </xf>
    <xf numFmtId="4" fontId="38" fillId="147" borderId="76" applyNumberFormat="0" applyProtection="0">
      <alignment horizontal="left" vertical="center" indent="1"/>
    </xf>
    <xf numFmtId="4" fontId="38" fillId="147" borderId="76" applyNumberFormat="0" applyProtection="0">
      <alignment horizontal="left" vertical="center" indent="1"/>
    </xf>
    <xf numFmtId="4" fontId="38" fillId="147" borderId="76" applyNumberFormat="0" applyProtection="0">
      <alignment horizontal="left" vertical="center" indent="1"/>
    </xf>
    <xf numFmtId="4" fontId="38" fillId="147" borderId="76" applyNumberFormat="0" applyProtection="0">
      <alignment horizontal="left" vertical="center" indent="1"/>
    </xf>
    <xf numFmtId="4" fontId="38" fillId="147" borderId="76" applyNumberFormat="0" applyProtection="0">
      <alignment horizontal="left" vertical="center" indent="1"/>
    </xf>
    <xf numFmtId="4" fontId="38" fillId="147" borderId="76" applyNumberFormat="0" applyProtection="0">
      <alignment horizontal="left" vertical="center" indent="1"/>
    </xf>
    <xf numFmtId="4" fontId="38" fillId="147" borderId="76" applyNumberFormat="0" applyProtection="0">
      <alignment horizontal="left" vertical="center" indent="1"/>
    </xf>
    <xf numFmtId="4" fontId="38" fillId="147" borderId="76" applyNumberFormat="0" applyProtection="0">
      <alignment horizontal="left" vertical="center" indent="1"/>
    </xf>
    <xf numFmtId="4" fontId="38" fillId="147" borderId="76" applyNumberFormat="0" applyProtection="0">
      <alignment horizontal="left" vertical="center" indent="1"/>
    </xf>
    <xf numFmtId="4" fontId="38" fillId="147" borderId="76" applyNumberFormat="0" applyProtection="0">
      <alignment horizontal="left" vertical="center" indent="1"/>
    </xf>
    <xf numFmtId="4" fontId="38" fillId="147" borderId="76" applyNumberFormat="0" applyProtection="0">
      <alignment horizontal="left" vertical="center" indent="1"/>
    </xf>
    <xf numFmtId="4" fontId="38" fillId="147" borderId="76" applyNumberFormat="0" applyProtection="0">
      <alignment horizontal="left" vertical="center" indent="1"/>
    </xf>
    <xf numFmtId="4" fontId="38" fillId="147" borderId="76" applyNumberFormat="0" applyProtection="0">
      <alignment horizontal="left" vertical="center" indent="1"/>
    </xf>
    <xf numFmtId="4" fontId="38" fillId="147" borderId="76" applyNumberFormat="0" applyProtection="0">
      <alignment horizontal="left" vertical="center" indent="1"/>
    </xf>
    <xf numFmtId="4" fontId="38" fillId="147" borderId="76" applyNumberFormat="0" applyProtection="0">
      <alignment horizontal="left" vertical="center" indent="1"/>
    </xf>
    <xf numFmtId="4" fontId="38" fillId="147" borderId="76" applyNumberFormat="0" applyProtection="0">
      <alignment horizontal="left" vertical="center" indent="1"/>
    </xf>
    <xf numFmtId="4" fontId="38" fillId="147" borderId="76" applyNumberFormat="0" applyProtection="0">
      <alignment horizontal="left" vertical="center" indent="1"/>
    </xf>
    <xf numFmtId="4" fontId="38" fillId="147" borderId="76" applyNumberFormat="0" applyProtection="0">
      <alignment horizontal="left" vertical="center" indent="1"/>
    </xf>
    <xf numFmtId="4" fontId="38" fillId="147" borderId="76" applyNumberFormat="0" applyProtection="0">
      <alignment horizontal="left" vertical="center" indent="1"/>
    </xf>
    <xf numFmtId="4" fontId="38" fillId="147" borderId="76" applyNumberFormat="0" applyProtection="0">
      <alignment horizontal="left" vertical="center" indent="1"/>
    </xf>
    <xf numFmtId="4" fontId="38" fillId="147" borderId="76" applyNumberFormat="0" applyProtection="0">
      <alignment horizontal="left" vertical="center" indent="1"/>
    </xf>
    <xf numFmtId="4" fontId="18" fillId="148" borderId="67" applyNumberFormat="0" applyProtection="0">
      <alignment horizontal="left" vertical="center" indent="1"/>
    </xf>
    <xf numFmtId="4" fontId="38" fillId="146" borderId="76" applyNumberFormat="0" applyProtection="0">
      <alignment horizontal="left" vertical="center" indent="1"/>
    </xf>
    <xf numFmtId="4" fontId="38" fillId="146" borderId="76" applyNumberFormat="0" applyProtection="0">
      <alignment horizontal="left" vertical="center" indent="1"/>
    </xf>
    <xf numFmtId="4" fontId="38" fillId="146" borderId="76" applyNumberFormat="0" applyProtection="0">
      <alignment horizontal="left" vertical="center" indent="1"/>
    </xf>
    <xf numFmtId="4" fontId="38" fillId="146" borderId="76" applyNumberFormat="0" applyProtection="0">
      <alignment horizontal="left" vertical="center" indent="1"/>
    </xf>
    <xf numFmtId="4" fontId="38" fillId="146" borderId="76" applyNumberFormat="0" applyProtection="0">
      <alignment horizontal="left" vertical="center" indent="1"/>
    </xf>
    <xf numFmtId="4" fontId="38" fillId="146" borderId="76" applyNumberFormat="0" applyProtection="0">
      <alignment horizontal="left" vertical="center" indent="1"/>
    </xf>
    <xf numFmtId="4" fontId="38" fillId="146" borderId="76" applyNumberFormat="0" applyProtection="0">
      <alignment horizontal="left" vertical="center" indent="1"/>
    </xf>
    <xf numFmtId="4" fontId="38" fillId="146" borderId="76" applyNumberFormat="0" applyProtection="0">
      <alignment horizontal="left" vertical="center" indent="1"/>
    </xf>
    <xf numFmtId="4" fontId="18" fillId="148" borderId="67" applyNumberFormat="0" applyProtection="0">
      <alignment horizontal="left" vertical="center" indent="1"/>
    </xf>
    <xf numFmtId="4" fontId="18" fillId="148" borderId="67" applyNumberFormat="0" applyProtection="0">
      <alignment horizontal="left" vertical="center" indent="1"/>
    </xf>
    <xf numFmtId="4" fontId="18" fillId="148" borderId="67" applyNumberFormat="0" applyProtection="0">
      <alignment horizontal="left" vertical="center" indent="1"/>
    </xf>
    <xf numFmtId="4" fontId="18" fillId="148" borderId="67" applyNumberFormat="0" applyProtection="0">
      <alignment horizontal="left" vertical="center" indent="1"/>
    </xf>
    <xf numFmtId="4" fontId="92" fillId="131" borderId="0" applyNumberFormat="0" applyProtection="0">
      <alignment horizontal="left" vertical="center" indent="1"/>
    </xf>
    <xf numFmtId="4" fontId="38" fillId="146" borderId="76" applyNumberFormat="0" applyProtection="0">
      <alignment horizontal="left" vertical="center" indent="1"/>
    </xf>
    <xf numFmtId="4" fontId="18" fillId="148" borderId="67" applyNumberFormat="0" applyProtection="0">
      <alignment horizontal="left" vertical="center" indent="1"/>
    </xf>
    <xf numFmtId="4" fontId="38" fillId="146" borderId="76" applyNumberFormat="0" applyProtection="0">
      <alignment horizontal="left" vertical="center" indent="1"/>
    </xf>
    <xf numFmtId="4" fontId="38" fillId="146" borderId="76" applyNumberFormat="0" applyProtection="0">
      <alignment horizontal="left" vertical="center" indent="1"/>
    </xf>
    <xf numFmtId="4" fontId="38" fillId="146" borderId="76" applyNumberFormat="0" applyProtection="0">
      <alignment horizontal="left" vertical="center" indent="1"/>
    </xf>
    <xf numFmtId="4" fontId="38" fillId="146" borderId="76" applyNumberFormat="0" applyProtection="0">
      <alignment horizontal="left" vertical="center" indent="1"/>
    </xf>
    <xf numFmtId="4" fontId="38" fillId="146" borderId="76" applyNumberFormat="0" applyProtection="0">
      <alignment horizontal="left" vertical="center" indent="1"/>
    </xf>
    <xf numFmtId="4" fontId="38" fillId="146" borderId="76" applyNumberFormat="0" applyProtection="0">
      <alignment horizontal="left" vertical="center" indent="1"/>
    </xf>
    <xf numFmtId="4" fontId="38" fillId="146" borderId="76" applyNumberFormat="0" applyProtection="0">
      <alignment horizontal="left" vertical="center" indent="1"/>
    </xf>
    <xf numFmtId="4" fontId="38" fillId="146" borderId="76" applyNumberFormat="0" applyProtection="0">
      <alignment horizontal="left" vertical="center" indent="1"/>
    </xf>
    <xf numFmtId="4" fontId="38" fillId="146" borderId="76" applyNumberFormat="0" applyProtection="0">
      <alignment horizontal="left" vertical="center" indent="1"/>
    </xf>
    <xf numFmtId="4" fontId="38" fillId="146" borderId="76" applyNumberFormat="0" applyProtection="0">
      <alignment horizontal="left" vertical="center" indent="1"/>
    </xf>
    <xf numFmtId="4" fontId="38" fillId="146" borderId="76" applyNumberFormat="0" applyProtection="0">
      <alignment horizontal="left" vertical="center" indent="1"/>
    </xf>
    <xf numFmtId="4" fontId="38" fillId="146" borderId="76" applyNumberFormat="0" applyProtection="0">
      <alignment horizontal="left" vertical="center" indent="1"/>
    </xf>
    <xf numFmtId="4" fontId="38" fillId="146" borderId="76" applyNumberFormat="0" applyProtection="0">
      <alignment horizontal="left" vertical="center" indent="1"/>
    </xf>
    <xf numFmtId="4" fontId="38" fillId="146" borderId="76" applyNumberFormat="0" applyProtection="0">
      <alignment horizontal="left" vertical="center" indent="1"/>
    </xf>
    <xf numFmtId="4" fontId="38" fillId="146" borderId="76" applyNumberFormat="0" applyProtection="0">
      <alignment horizontal="left" vertical="center" indent="1"/>
    </xf>
    <xf numFmtId="4" fontId="38" fillId="146" borderId="76" applyNumberFormat="0" applyProtection="0">
      <alignment horizontal="left" vertical="center" indent="1"/>
    </xf>
    <xf numFmtId="4" fontId="38" fillId="146" borderId="76" applyNumberFormat="0" applyProtection="0">
      <alignment horizontal="left" vertical="center" indent="1"/>
    </xf>
    <xf numFmtId="4" fontId="38" fillId="146" borderId="76" applyNumberFormat="0" applyProtection="0">
      <alignment horizontal="left" vertical="center" indent="1"/>
    </xf>
    <xf numFmtId="4" fontId="38" fillId="146" borderId="76" applyNumberFormat="0" applyProtection="0">
      <alignment horizontal="left" vertical="center" indent="1"/>
    </xf>
    <xf numFmtId="4" fontId="38" fillId="146" borderId="76" applyNumberFormat="0" applyProtection="0">
      <alignment horizontal="left" vertical="center" indent="1"/>
    </xf>
    <xf numFmtId="4" fontId="38" fillId="146" borderId="76" applyNumberFormat="0" applyProtection="0">
      <alignment horizontal="left" vertical="center" indent="1"/>
    </xf>
    <xf numFmtId="4" fontId="38" fillId="146" borderId="76" applyNumberFormat="0" applyProtection="0">
      <alignment horizontal="left" vertical="center" indent="1"/>
    </xf>
    <xf numFmtId="4" fontId="38" fillId="146" borderId="76" applyNumberFormat="0" applyProtection="0">
      <alignment horizontal="left" vertical="center" indent="1"/>
    </xf>
    <xf numFmtId="4" fontId="38" fillId="146" borderId="76" applyNumberFormat="0" applyProtection="0">
      <alignment horizontal="left" vertical="center" indent="1"/>
    </xf>
    <xf numFmtId="4" fontId="38" fillId="146" borderId="76" applyNumberFormat="0" applyProtection="0">
      <alignment horizontal="left" vertical="center" indent="1"/>
    </xf>
    <xf numFmtId="4" fontId="38" fillId="146" borderId="76" applyNumberFormat="0" applyProtection="0">
      <alignment horizontal="left" vertical="center" indent="1"/>
    </xf>
    <xf numFmtId="4" fontId="38" fillId="146" borderId="76" applyNumberFormat="0" applyProtection="0">
      <alignment horizontal="left" vertical="center" indent="1"/>
    </xf>
    <xf numFmtId="4" fontId="38" fillId="146" borderId="76" applyNumberFormat="0" applyProtection="0">
      <alignment horizontal="left" vertical="center" indent="1"/>
    </xf>
    <xf numFmtId="4" fontId="38" fillId="146" borderId="76" applyNumberFormat="0" applyProtection="0">
      <alignment horizontal="left" vertical="center" indent="1"/>
    </xf>
    <xf numFmtId="4" fontId="38" fillId="146" borderId="76" applyNumberFormat="0" applyProtection="0">
      <alignment horizontal="left" vertical="center" indent="1"/>
    </xf>
    <xf numFmtId="4" fontId="38" fillId="146" borderId="76" applyNumberFormat="0" applyProtection="0">
      <alignment horizontal="left" vertical="center" indent="1"/>
    </xf>
    <xf numFmtId="0" fontId="18" fillId="148" borderId="67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188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188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188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188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0" fontId="18" fillId="148" borderId="67" applyNumberFormat="0" applyProtection="0">
      <alignment horizontal="left" vertical="center" indent="1"/>
    </xf>
    <xf numFmtId="0" fontId="18" fillId="148" borderId="67" applyNumberFormat="0" applyProtection="0">
      <alignment horizontal="left" vertical="center" indent="1"/>
    </xf>
    <xf numFmtId="0" fontId="18" fillId="148" borderId="67" applyNumberFormat="0" applyProtection="0">
      <alignment horizontal="left" vertical="center" indent="1"/>
    </xf>
    <xf numFmtId="178" fontId="18" fillId="148" borderId="67" applyNumberFormat="0" applyProtection="0">
      <alignment horizontal="left" vertical="center" indent="1"/>
    </xf>
    <xf numFmtId="0" fontId="18" fillId="148" borderId="67" applyNumberFormat="0" applyProtection="0">
      <alignment horizontal="left" vertical="center" indent="1"/>
    </xf>
    <xf numFmtId="0" fontId="18" fillId="148" borderId="67" applyNumberFormat="0" applyProtection="0">
      <alignment horizontal="left" vertical="center" indent="1"/>
    </xf>
    <xf numFmtId="178" fontId="18" fillId="148" borderId="67" applyNumberFormat="0" applyProtection="0">
      <alignment horizontal="left" vertical="center" indent="1"/>
    </xf>
    <xf numFmtId="188" fontId="18" fillId="148" borderId="67" applyNumberFormat="0" applyProtection="0">
      <alignment horizontal="left" vertical="center" indent="1"/>
    </xf>
    <xf numFmtId="178" fontId="18" fillId="148" borderId="67" applyNumberFormat="0" applyProtection="0">
      <alignment horizontal="left" vertical="center" indent="1"/>
    </xf>
    <xf numFmtId="0" fontId="18" fillId="148" borderId="67" applyNumberFormat="0" applyProtection="0">
      <alignment horizontal="left" vertical="center" indent="1"/>
    </xf>
    <xf numFmtId="178" fontId="18" fillId="148" borderId="67" applyNumberFormat="0" applyProtection="0">
      <alignment horizontal="left" vertical="center" indent="1"/>
    </xf>
    <xf numFmtId="0" fontId="18" fillId="148" borderId="67" applyNumberFormat="0" applyProtection="0">
      <alignment horizontal="left" vertical="center" indent="1"/>
    </xf>
    <xf numFmtId="0" fontId="18" fillId="148" borderId="67" applyNumberFormat="0" applyProtection="0">
      <alignment horizontal="left" vertical="center" indent="1"/>
    </xf>
    <xf numFmtId="178" fontId="18" fillId="148" borderId="67" applyNumberFormat="0" applyProtection="0">
      <alignment horizontal="left" vertical="center" indent="1"/>
    </xf>
    <xf numFmtId="188" fontId="18" fillId="148" borderId="67" applyNumberFormat="0" applyProtection="0">
      <alignment horizontal="left" vertical="center" indent="1"/>
    </xf>
    <xf numFmtId="178" fontId="18" fillId="148" borderId="67" applyNumberFormat="0" applyProtection="0">
      <alignment horizontal="left" vertical="center" indent="1"/>
    </xf>
    <xf numFmtId="0" fontId="18" fillId="55" borderId="73" applyNumberFormat="0" applyProtection="0">
      <alignment horizontal="left" vertical="center" indent="1"/>
    </xf>
    <xf numFmtId="0" fontId="18" fillId="55" borderId="73" applyNumberFormat="0" applyProtection="0">
      <alignment horizontal="left" vertical="center" indent="1"/>
    </xf>
    <xf numFmtId="178" fontId="18" fillId="55" borderId="73" applyNumberFormat="0" applyProtection="0">
      <alignment horizontal="left" vertical="center" indent="1"/>
    </xf>
    <xf numFmtId="0" fontId="18" fillId="55" borderId="73" applyNumberFormat="0" applyProtection="0">
      <alignment horizontal="left" vertical="center" indent="1"/>
    </xf>
    <xf numFmtId="0" fontId="18" fillId="55" borderId="73" applyNumberFormat="0" applyProtection="0">
      <alignment horizontal="left" vertical="center" indent="1"/>
    </xf>
    <xf numFmtId="178" fontId="18" fillId="55" borderId="73" applyNumberFormat="0" applyProtection="0">
      <alignment horizontal="left" vertical="center" indent="1"/>
    </xf>
    <xf numFmtId="188" fontId="18" fillId="55" borderId="73" applyNumberFormat="0" applyProtection="0">
      <alignment horizontal="left" vertical="center" indent="1"/>
    </xf>
    <xf numFmtId="178" fontId="18" fillId="55" borderId="73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188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0" fontId="18" fillId="148" borderId="67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188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188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188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188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188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188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188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188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188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188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188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188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188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188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188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0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188" fontId="38" fillId="53" borderId="49" applyNumberFormat="0" applyProtection="0">
      <alignment horizontal="left" vertical="center" indent="1"/>
    </xf>
    <xf numFmtId="178" fontId="38" fillId="53" borderId="49" applyNumberFormat="0" applyProtection="0">
      <alignment horizontal="left" vertical="center" indent="1"/>
    </xf>
    <xf numFmtId="0" fontId="18" fillId="148" borderId="67" applyNumberFormat="0" applyProtection="0">
      <alignment horizontal="left" vertical="center" indent="1"/>
    </xf>
    <xf numFmtId="0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188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188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188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188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0" fontId="18" fillId="148" borderId="67" applyNumberFormat="0" applyProtection="0">
      <alignment horizontal="left" vertical="center" indent="1"/>
    </xf>
    <xf numFmtId="0" fontId="18" fillId="148" borderId="67" applyNumberFormat="0" applyProtection="0">
      <alignment horizontal="left" vertical="center" indent="1"/>
    </xf>
    <xf numFmtId="0" fontId="18" fillId="148" borderId="67" applyNumberFormat="0" applyProtection="0">
      <alignment horizontal="left" vertical="center" indent="1"/>
    </xf>
    <xf numFmtId="178" fontId="18" fillId="148" borderId="67" applyNumberFormat="0" applyProtection="0">
      <alignment horizontal="left" vertical="center" indent="1"/>
    </xf>
    <xf numFmtId="0" fontId="18" fillId="148" borderId="67" applyNumberFormat="0" applyProtection="0">
      <alignment horizontal="left" vertical="center" indent="1"/>
    </xf>
    <xf numFmtId="0" fontId="18" fillId="148" borderId="67" applyNumberFormat="0" applyProtection="0">
      <alignment horizontal="left" vertical="center" indent="1"/>
    </xf>
    <xf numFmtId="178" fontId="18" fillId="148" borderId="67" applyNumberFormat="0" applyProtection="0">
      <alignment horizontal="left" vertical="center" indent="1"/>
    </xf>
    <xf numFmtId="188" fontId="18" fillId="148" borderId="67" applyNumberFormat="0" applyProtection="0">
      <alignment horizontal="left" vertical="center" indent="1"/>
    </xf>
    <xf numFmtId="178" fontId="18" fillId="148" borderId="67" applyNumberFormat="0" applyProtection="0">
      <alignment horizontal="left" vertical="center" indent="1"/>
    </xf>
    <xf numFmtId="0" fontId="18" fillId="148" borderId="67" applyNumberFormat="0" applyProtection="0">
      <alignment horizontal="left" vertical="center" indent="1"/>
    </xf>
    <xf numFmtId="178" fontId="18" fillId="148" borderId="67" applyNumberFormat="0" applyProtection="0">
      <alignment horizontal="left" vertical="center" indent="1"/>
    </xf>
    <xf numFmtId="0" fontId="18" fillId="148" borderId="67" applyNumberFormat="0" applyProtection="0">
      <alignment horizontal="left" vertical="center" indent="1"/>
    </xf>
    <xf numFmtId="0" fontId="18" fillId="148" borderId="67" applyNumberFormat="0" applyProtection="0">
      <alignment horizontal="left" vertical="center" indent="1"/>
    </xf>
    <xf numFmtId="178" fontId="18" fillId="148" borderId="67" applyNumberFormat="0" applyProtection="0">
      <alignment horizontal="left" vertical="center" indent="1"/>
    </xf>
    <xf numFmtId="188" fontId="18" fillId="148" borderId="67" applyNumberFormat="0" applyProtection="0">
      <alignment horizontal="left" vertical="center" indent="1"/>
    </xf>
    <xf numFmtId="178" fontId="18" fillId="148" borderId="67" applyNumberFormat="0" applyProtection="0">
      <alignment horizontal="left" vertical="center" indent="1"/>
    </xf>
    <xf numFmtId="0" fontId="18" fillId="55" borderId="73" applyNumberFormat="0" applyProtection="0">
      <alignment horizontal="left" vertical="top" indent="1"/>
    </xf>
    <xf numFmtId="0" fontId="18" fillId="55" borderId="73" applyNumberFormat="0" applyProtection="0">
      <alignment horizontal="left" vertical="top" indent="1"/>
    </xf>
    <xf numFmtId="178" fontId="18" fillId="55" borderId="73" applyNumberFormat="0" applyProtection="0">
      <alignment horizontal="left" vertical="top" indent="1"/>
    </xf>
    <xf numFmtId="0" fontId="18" fillId="55" borderId="73" applyNumberFormat="0" applyProtection="0">
      <alignment horizontal="left" vertical="top" indent="1"/>
    </xf>
    <xf numFmtId="0" fontId="18" fillId="55" borderId="73" applyNumberFormat="0" applyProtection="0">
      <alignment horizontal="left" vertical="top" indent="1"/>
    </xf>
    <xf numFmtId="178" fontId="18" fillId="55" borderId="73" applyNumberFormat="0" applyProtection="0">
      <alignment horizontal="left" vertical="top" indent="1"/>
    </xf>
    <xf numFmtId="188" fontId="18" fillId="55" borderId="73" applyNumberFormat="0" applyProtection="0">
      <alignment horizontal="left" vertical="top" indent="1"/>
    </xf>
    <xf numFmtId="178" fontId="18" fillId="5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188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0" fontId="18" fillId="148" borderId="67" applyNumberFormat="0" applyProtection="0">
      <alignment horizontal="left" vertical="center" indent="1"/>
    </xf>
    <xf numFmtId="0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188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188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188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188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188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188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188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188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188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188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188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188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188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188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188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0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188" fontId="38" fillId="145" borderId="73" applyNumberFormat="0" applyProtection="0">
      <alignment horizontal="left" vertical="top" indent="1"/>
    </xf>
    <xf numFmtId="178" fontId="38" fillId="145" borderId="73" applyNumberFormat="0" applyProtection="0">
      <alignment horizontal="left" vertical="top" indent="1"/>
    </xf>
    <xf numFmtId="0" fontId="18" fillId="54" borderId="67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188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188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188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188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0" fontId="18" fillId="54" borderId="67" applyNumberFormat="0" applyProtection="0">
      <alignment horizontal="left" vertical="center" indent="1"/>
    </xf>
    <xf numFmtId="0" fontId="18" fillId="54" borderId="67" applyNumberFormat="0" applyProtection="0">
      <alignment horizontal="left" vertical="center" indent="1"/>
    </xf>
    <xf numFmtId="0" fontId="18" fillId="54" borderId="67" applyNumberFormat="0" applyProtection="0">
      <alignment horizontal="left" vertical="center" indent="1"/>
    </xf>
    <xf numFmtId="178" fontId="18" fillId="54" borderId="67" applyNumberFormat="0" applyProtection="0">
      <alignment horizontal="left" vertical="center" indent="1"/>
    </xf>
    <xf numFmtId="0" fontId="18" fillId="54" borderId="67" applyNumberFormat="0" applyProtection="0">
      <alignment horizontal="left" vertical="center" indent="1"/>
    </xf>
    <xf numFmtId="0" fontId="18" fillId="54" borderId="67" applyNumberFormat="0" applyProtection="0">
      <alignment horizontal="left" vertical="center" indent="1"/>
    </xf>
    <xf numFmtId="178" fontId="18" fillId="54" borderId="67" applyNumberFormat="0" applyProtection="0">
      <alignment horizontal="left" vertical="center" indent="1"/>
    </xf>
    <xf numFmtId="188" fontId="18" fillId="54" borderId="67" applyNumberFormat="0" applyProtection="0">
      <alignment horizontal="left" vertical="center" indent="1"/>
    </xf>
    <xf numFmtId="178" fontId="18" fillId="54" borderId="67" applyNumberFormat="0" applyProtection="0">
      <alignment horizontal="left" vertical="center" indent="1"/>
    </xf>
    <xf numFmtId="0" fontId="18" fillId="54" borderId="67" applyNumberFormat="0" applyProtection="0">
      <alignment horizontal="left" vertical="center" indent="1"/>
    </xf>
    <xf numFmtId="178" fontId="18" fillId="54" borderId="67" applyNumberFormat="0" applyProtection="0">
      <alignment horizontal="left" vertical="center" indent="1"/>
    </xf>
    <xf numFmtId="0" fontId="18" fillId="54" borderId="67" applyNumberFormat="0" applyProtection="0">
      <alignment horizontal="left" vertical="center" indent="1"/>
    </xf>
    <xf numFmtId="0" fontId="18" fillId="54" borderId="67" applyNumberFormat="0" applyProtection="0">
      <alignment horizontal="left" vertical="center" indent="1"/>
    </xf>
    <xf numFmtId="178" fontId="18" fillId="54" borderId="67" applyNumberFormat="0" applyProtection="0">
      <alignment horizontal="left" vertical="center" indent="1"/>
    </xf>
    <xf numFmtId="188" fontId="18" fillId="54" borderId="67" applyNumberFormat="0" applyProtection="0">
      <alignment horizontal="left" vertical="center" indent="1"/>
    </xf>
    <xf numFmtId="178" fontId="18" fillId="54" borderId="67" applyNumberFormat="0" applyProtection="0">
      <alignment horizontal="left" vertical="center" indent="1"/>
    </xf>
    <xf numFmtId="0" fontId="18" fillId="131" borderId="73" applyNumberFormat="0" applyProtection="0">
      <alignment horizontal="left" vertical="center" indent="1"/>
    </xf>
    <xf numFmtId="0" fontId="18" fillId="131" borderId="73" applyNumberFormat="0" applyProtection="0">
      <alignment horizontal="left" vertical="center" indent="1"/>
    </xf>
    <xf numFmtId="178" fontId="18" fillId="131" borderId="73" applyNumberFormat="0" applyProtection="0">
      <alignment horizontal="left" vertical="center" indent="1"/>
    </xf>
    <xf numFmtId="0" fontId="18" fillId="131" borderId="73" applyNumberFormat="0" applyProtection="0">
      <alignment horizontal="left" vertical="center" indent="1"/>
    </xf>
    <xf numFmtId="0" fontId="18" fillId="131" borderId="73" applyNumberFormat="0" applyProtection="0">
      <alignment horizontal="left" vertical="center" indent="1"/>
    </xf>
    <xf numFmtId="178" fontId="18" fillId="131" borderId="73" applyNumberFormat="0" applyProtection="0">
      <alignment horizontal="left" vertical="center" indent="1"/>
    </xf>
    <xf numFmtId="188" fontId="18" fillId="131" borderId="73" applyNumberFormat="0" applyProtection="0">
      <alignment horizontal="left" vertical="center" indent="1"/>
    </xf>
    <xf numFmtId="178" fontId="18" fillId="131" borderId="73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188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0" fontId="18" fillId="54" borderId="67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188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188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188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188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188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188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188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188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188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188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188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188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188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188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188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0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188" fontId="38" fillId="149" borderId="49" applyNumberFormat="0" applyProtection="0">
      <alignment horizontal="left" vertical="center" indent="1"/>
    </xf>
    <xf numFmtId="178" fontId="38" fillId="149" borderId="49" applyNumberFormat="0" applyProtection="0">
      <alignment horizontal="left" vertical="center" indent="1"/>
    </xf>
    <xf numFmtId="0" fontId="18" fillId="54" borderId="67" applyNumberFormat="0" applyProtection="0">
      <alignment horizontal="left" vertical="center" indent="1"/>
    </xf>
    <xf numFmtId="0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188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188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188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188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0" fontId="18" fillId="54" borderId="67" applyNumberFormat="0" applyProtection="0">
      <alignment horizontal="left" vertical="center" indent="1"/>
    </xf>
    <xf numFmtId="0" fontId="18" fillId="54" borderId="67" applyNumberFormat="0" applyProtection="0">
      <alignment horizontal="left" vertical="center" indent="1"/>
    </xf>
    <xf numFmtId="0" fontId="18" fillId="54" borderId="67" applyNumberFormat="0" applyProtection="0">
      <alignment horizontal="left" vertical="center" indent="1"/>
    </xf>
    <xf numFmtId="178" fontId="18" fillId="54" borderId="67" applyNumberFormat="0" applyProtection="0">
      <alignment horizontal="left" vertical="center" indent="1"/>
    </xf>
    <xf numFmtId="0" fontId="18" fillId="54" borderId="67" applyNumberFormat="0" applyProtection="0">
      <alignment horizontal="left" vertical="center" indent="1"/>
    </xf>
    <xf numFmtId="0" fontId="18" fillId="54" borderId="67" applyNumberFormat="0" applyProtection="0">
      <alignment horizontal="left" vertical="center" indent="1"/>
    </xf>
    <xf numFmtId="178" fontId="18" fillId="54" borderId="67" applyNumberFormat="0" applyProtection="0">
      <alignment horizontal="left" vertical="center" indent="1"/>
    </xf>
    <xf numFmtId="188" fontId="18" fillId="54" borderId="67" applyNumberFormat="0" applyProtection="0">
      <alignment horizontal="left" vertical="center" indent="1"/>
    </xf>
    <xf numFmtId="178" fontId="18" fillId="54" borderId="67" applyNumberFormat="0" applyProtection="0">
      <alignment horizontal="left" vertical="center" indent="1"/>
    </xf>
    <xf numFmtId="0" fontId="18" fillId="54" borderId="67" applyNumberFormat="0" applyProtection="0">
      <alignment horizontal="left" vertical="center" indent="1"/>
    </xf>
    <xf numFmtId="178" fontId="18" fillId="54" borderId="67" applyNumberFormat="0" applyProtection="0">
      <alignment horizontal="left" vertical="center" indent="1"/>
    </xf>
    <xf numFmtId="0" fontId="18" fillId="54" borderId="67" applyNumberFormat="0" applyProtection="0">
      <alignment horizontal="left" vertical="center" indent="1"/>
    </xf>
    <xf numFmtId="0" fontId="18" fillId="54" borderId="67" applyNumberFormat="0" applyProtection="0">
      <alignment horizontal="left" vertical="center" indent="1"/>
    </xf>
    <xf numFmtId="178" fontId="18" fillId="54" borderId="67" applyNumberFormat="0" applyProtection="0">
      <alignment horizontal="left" vertical="center" indent="1"/>
    </xf>
    <xf numFmtId="188" fontId="18" fillId="54" borderId="67" applyNumberFormat="0" applyProtection="0">
      <alignment horizontal="left" vertical="center" indent="1"/>
    </xf>
    <xf numFmtId="178" fontId="18" fillId="54" borderId="67" applyNumberFormat="0" applyProtection="0">
      <alignment horizontal="left" vertical="center" indent="1"/>
    </xf>
    <xf numFmtId="0" fontId="18" fillId="131" borderId="73" applyNumberFormat="0" applyProtection="0">
      <alignment horizontal="left" vertical="top" indent="1"/>
    </xf>
    <xf numFmtId="0" fontId="18" fillId="131" borderId="73" applyNumberFormat="0" applyProtection="0">
      <alignment horizontal="left" vertical="top" indent="1"/>
    </xf>
    <xf numFmtId="178" fontId="18" fillId="131" borderId="73" applyNumberFormat="0" applyProtection="0">
      <alignment horizontal="left" vertical="top" indent="1"/>
    </xf>
    <xf numFmtId="0" fontId="18" fillId="131" borderId="73" applyNumberFormat="0" applyProtection="0">
      <alignment horizontal="left" vertical="top" indent="1"/>
    </xf>
    <xf numFmtId="0" fontId="18" fillId="131" borderId="73" applyNumberFormat="0" applyProtection="0">
      <alignment horizontal="left" vertical="top" indent="1"/>
    </xf>
    <xf numFmtId="178" fontId="18" fillId="131" borderId="73" applyNumberFormat="0" applyProtection="0">
      <alignment horizontal="left" vertical="top" indent="1"/>
    </xf>
    <xf numFmtId="188" fontId="18" fillId="131" borderId="73" applyNumberFormat="0" applyProtection="0">
      <alignment horizontal="left" vertical="top" indent="1"/>
    </xf>
    <xf numFmtId="178" fontId="18" fillId="131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188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0" fontId="18" fillId="54" borderId="67" applyNumberFormat="0" applyProtection="0">
      <alignment horizontal="left" vertical="center" indent="1"/>
    </xf>
    <xf numFmtId="0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188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188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188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188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188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188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188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188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188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188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188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188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188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188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188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0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188" fontId="38" fillId="146" borderId="73" applyNumberFormat="0" applyProtection="0">
      <alignment horizontal="left" vertical="top" indent="1"/>
    </xf>
    <xf numFmtId="178" fontId="38" fillId="146" borderId="73" applyNumberFormat="0" applyProtection="0">
      <alignment horizontal="left" vertical="top" indent="1"/>
    </xf>
    <xf numFmtId="0" fontId="18" fillId="42" borderId="67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188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188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188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188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0" fontId="18" fillId="42" borderId="67" applyNumberFormat="0" applyProtection="0">
      <alignment horizontal="left" vertical="center" indent="1"/>
    </xf>
    <xf numFmtId="0" fontId="18" fillId="42" borderId="67" applyNumberFormat="0" applyProtection="0">
      <alignment horizontal="left" vertical="center" indent="1"/>
    </xf>
    <xf numFmtId="0" fontId="18" fillId="42" borderId="67" applyNumberFormat="0" applyProtection="0">
      <alignment horizontal="left" vertical="center" indent="1"/>
    </xf>
    <xf numFmtId="178" fontId="18" fillId="42" borderId="67" applyNumberFormat="0" applyProtection="0">
      <alignment horizontal="left" vertical="center" indent="1"/>
    </xf>
    <xf numFmtId="0" fontId="18" fillId="42" borderId="67" applyNumberFormat="0" applyProtection="0">
      <alignment horizontal="left" vertical="center" indent="1"/>
    </xf>
    <xf numFmtId="0" fontId="18" fillId="42" borderId="67" applyNumberFormat="0" applyProtection="0">
      <alignment horizontal="left" vertical="center" indent="1"/>
    </xf>
    <xf numFmtId="178" fontId="18" fillId="42" borderId="67" applyNumberFormat="0" applyProtection="0">
      <alignment horizontal="left" vertical="center" indent="1"/>
    </xf>
    <xf numFmtId="188" fontId="18" fillId="42" borderId="67" applyNumberFormat="0" applyProtection="0">
      <alignment horizontal="left" vertical="center" indent="1"/>
    </xf>
    <xf numFmtId="178" fontId="18" fillId="42" borderId="67" applyNumberFormat="0" applyProtection="0">
      <alignment horizontal="left" vertical="center" indent="1"/>
    </xf>
    <xf numFmtId="0" fontId="18" fillId="42" borderId="67" applyNumberFormat="0" applyProtection="0">
      <alignment horizontal="left" vertical="center" indent="1"/>
    </xf>
    <xf numFmtId="178" fontId="18" fillId="42" borderId="67" applyNumberFormat="0" applyProtection="0">
      <alignment horizontal="left" vertical="center" indent="1"/>
    </xf>
    <xf numFmtId="0" fontId="18" fillId="42" borderId="67" applyNumberFormat="0" applyProtection="0">
      <alignment horizontal="left" vertical="center" indent="1"/>
    </xf>
    <xf numFmtId="0" fontId="18" fillId="42" borderId="67" applyNumberFormat="0" applyProtection="0">
      <alignment horizontal="left" vertical="center" indent="1"/>
    </xf>
    <xf numFmtId="178" fontId="18" fillId="42" borderId="67" applyNumberFormat="0" applyProtection="0">
      <alignment horizontal="left" vertical="center" indent="1"/>
    </xf>
    <xf numFmtId="188" fontId="18" fillId="42" borderId="67" applyNumberFormat="0" applyProtection="0">
      <alignment horizontal="left" vertical="center" indent="1"/>
    </xf>
    <xf numFmtId="178" fontId="18" fillId="42" borderId="67" applyNumberFormat="0" applyProtection="0">
      <alignment horizontal="left" vertical="center" indent="1"/>
    </xf>
    <xf numFmtId="0" fontId="18" fillId="39" borderId="73" applyNumberFormat="0" applyProtection="0">
      <alignment horizontal="left" vertical="center" indent="1"/>
    </xf>
    <xf numFmtId="0" fontId="18" fillId="39" borderId="73" applyNumberFormat="0" applyProtection="0">
      <alignment horizontal="left" vertical="center" indent="1"/>
    </xf>
    <xf numFmtId="178" fontId="18" fillId="39" borderId="73" applyNumberFormat="0" applyProtection="0">
      <alignment horizontal="left" vertical="center" indent="1"/>
    </xf>
    <xf numFmtId="0" fontId="18" fillId="39" borderId="73" applyNumberFormat="0" applyProtection="0">
      <alignment horizontal="left" vertical="center" indent="1"/>
    </xf>
    <xf numFmtId="0" fontId="18" fillId="39" borderId="73" applyNumberFormat="0" applyProtection="0">
      <alignment horizontal="left" vertical="center" indent="1"/>
    </xf>
    <xf numFmtId="178" fontId="18" fillId="39" borderId="73" applyNumberFormat="0" applyProtection="0">
      <alignment horizontal="left" vertical="center" indent="1"/>
    </xf>
    <xf numFmtId="188" fontId="18" fillId="39" borderId="73" applyNumberFormat="0" applyProtection="0">
      <alignment horizontal="left" vertical="center" indent="1"/>
    </xf>
    <xf numFmtId="178" fontId="18" fillId="39" borderId="73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188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0" fontId="18" fillId="42" borderId="67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188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188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188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188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188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188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188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188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188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188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188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188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188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188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188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0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188" fontId="38" fillId="70" borderId="49" applyNumberFormat="0" applyProtection="0">
      <alignment horizontal="left" vertical="center" indent="1"/>
    </xf>
    <xf numFmtId="178" fontId="38" fillId="70" borderId="49" applyNumberFormat="0" applyProtection="0">
      <alignment horizontal="left" vertical="center" indent="1"/>
    </xf>
    <xf numFmtId="0" fontId="18" fillId="42" borderId="67" applyNumberFormat="0" applyProtection="0">
      <alignment horizontal="left" vertical="center" indent="1"/>
    </xf>
    <xf numFmtId="0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188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188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188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188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0" fontId="18" fillId="42" borderId="67" applyNumberFormat="0" applyProtection="0">
      <alignment horizontal="left" vertical="center" indent="1"/>
    </xf>
    <xf numFmtId="0" fontId="18" fillId="42" borderId="67" applyNumberFormat="0" applyProtection="0">
      <alignment horizontal="left" vertical="center" indent="1"/>
    </xf>
    <xf numFmtId="0" fontId="18" fillId="42" borderId="67" applyNumberFormat="0" applyProtection="0">
      <alignment horizontal="left" vertical="center" indent="1"/>
    </xf>
    <xf numFmtId="178" fontId="18" fillId="42" borderId="67" applyNumberFormat="0" applyProtection="0">
      <alignment horizontal="left" vertical="center" indent="1"/>
    </xf>
    <xf numFmtId="0" fontId="18" fillId="42" borderId="67" applyNumberFormat="0" applyProtection="0">
      <alignment horizontal="left" vertical="center" indent="1"/>
    </xf>
    <xf numFmtId="0" fontId="18" fillId="42" borderId="67" applyNumberFormat="0" applyProtection="0">
      <alignment horizontal="left" vertical="center" indent="1"/>
    </xf>
    <xf numFmtId="178" fontId="18" fillId="42" borderId="67" applyNumberFormat="0" applyProtection="0">
      <alignment horizontal="left" vertical="center" indent="1"/>
    </xf>
    <xf numFmtId="188" fontId="18" fillId="42" borderId="67" applyNumberFormat="0" applyProtection="0">
      <alignment horizontal="left" vertical="center" indent="1"/>
    </xf>
    <xf numFmtId="178" fontId="18" fillId="42" borderId="67" applyNumberFormat="0" applyProtection="0">
      <alignment horizontal="left" vertical="center" indent="1"/>
    </xf>
    <xf numFmtId="0" fontId="18" fillId="42" borderId="67" applyNumberFormat="0" applyProtection="0">
      <alignment horizontal="left" vertical="center" indent="1"/>
    </xf>
    <xf numFmtId="178" fontId="18" fillId="42" borderId="67" applyNumberFormat="0" applyProtection="0">
      <alignment horizontal="left" vertical="center" indent="1"/>
    </xf>
    <xf numFmtId="0" fontId="18" fillId="42" borderId="67" applyNumberFormat="0" applyProtection="0">
      <alignment horizontal="left" vertical="center" indent="1"/>
    </xf>
    <xf numFmtId="0" fontId="18" fillId="42" borderId="67" applyNumberFormat="0" applyProtection="0">
      <alignment horizontal="left" vertical="center" indent="1"/>
    </xf>
    <xf numFmtId="178" fontId="18" fillId="42" borderId="67" applyNumberFormat="0" applyProtection="0">
      <alignment horizontal="left" vertical="center" indent="1"/>
    </xf>
    <xf numFmtId="188" fontId="18" fillId="42" borderId="67" applyNumberFormat="0" applyProtection="0">
      <alignment horizontal="left" vertical="center" indent="1"/>
    </xf>
    <xf numFmtId="178" fontId="18" fillId="42" borderId="67" applyNumberFormat="0" applyProtection="0">
      <alignment horizontal="left" vertical="center" indent="1"/>
    </xf>
    <xf numFmtId="0" fontId="18" fillId="39" borderId="73" applyNumberFormat="0" applyProtection="0">
      <alignment horizontal="left" vertical="top" indent="1"/>
    </xf>
    <xf numFmtId="0" fontId="18" fillId="39" borderId="73" applyNumberFormat="0" applyProtection="0">
      <alignment horizontal="left" vertical="top" indent="1"/>
    </xf>
    <xf numFmtId="178" fontId="18" fillId="39" borderId="73" applyNumberFormat="0" applyProtection="0">
      <alignment horizontal="left" vertical="top" indent="1"/>
    </xf>
    <xf numFmtId="0" fontId="18" fillId="39" borderId="73" applyNumberFormat="0" applyProtection="0">
      <alignment horizontal="left" vertical="top" indent="1"/>
    </xf>
    <xf numFmtId="0" fontId="18" fillId="39" borderId="73" applyNumberFormat="0" applyProtection="0">
      <alignment horizontal="left" vertical="top" indent="1"/>
    </xf>
    <xf numFmtId="178" fontId="18" fillId="39" borderId="73" applyNumberFormat="0" applyProtection="0">
      <alignment horizontal="left" vertical="top" indent="1"/>
    </xf>
    <xf numFmtId="188" fontId="18" fillId="39" borderId="73" applyNumberFormat="0" applyProtection="0">
      <alignment horizontal="left" vertical="top" indent="1"/>
    </xf>
    <xf numFmtId="178" fontId="18" fillId="39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188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0" fontId="18" fillId="42" borderId="67" applyNumberFormat="0" applyProtection="0">
      <alignment horizontal="left" vertical="center" indent="1"/>
    </xf>
    <xf numFmtId="0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188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188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188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188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188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188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188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188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188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188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188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188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188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188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188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0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188" fontId="38" fillId="70" borderId="73" applyNumberFormat="0" applyProtection="0">
      <alignment horizontal="left" vertical="top" indent="1"/>
    </xf>
    <xf numFmtId="178" fontId="38" fillId="70" borderId="73" applyNumberFormat="0" applyProtection="0">
      <alignment horizontal="left" vertical="top" indent="1"/>
    </xf>
    <xf numFmtId="0" fontId="18" fillId="130" borderId="67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188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188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188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188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178" fontId="18" fillId="130" borderId="67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178" fontId="18" fillId="130" borderId="67" applyNumberFormat="0" applyProtection="0">
      <alignment horizontal="left" vertical="center" indent="1"/>
    </xf>
    <xf numFmtId="188" fontId="18" fillId="130" borderId="67" applyNumberFormat="0" applyProtection="0">
      <alignment horizontal="left" vertical="center" indent="1"/>
    </xf>
    <xf numFmtId="178" fontId="18" fillId="130" borderId="67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178" fontId="18" fillId="130" borderId="67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178" fontId="18" fillId="130" borderId="67" applyNumberFormat="0" applyProtection="0">
      <alignment horizontal="left" vertical="center" indent="1"/>
    </xf>
    <xf numFmtId="188" fontId="18" fillId="130" borderId="67" applyNumberFormat="0" applyProtection="0">
      <alignment horizontal="left" vertical="center" indent="1"/>
    </xf>
    <xf numFmtId="178" fontId="18" fillId="130" borderId="67" applyNumberFormat="0" applyProtection="0">
      <alignment horizontal="left" vertical="center" indent="1"/>
    </xf>
    <xf numFmtId="0" fontId="18" fillId="126" borderId="73" applyNumberFormat="0" applyProtection="0">
      <alignment horizontal="left" vertical="center" indent="1"/>
    </xf>
    <xf numFmtId="0" fontId="18" fillId="126" borderId="73" applyNumberFormat="0" applyProtection="0">
      <alignment horizontal="left" vertical="center" indent="1"/>
    </xf>
    <xf numFmtId="178" fontId="18" fillId="126" borderId="73" applyNumberFormat="0" applyProtection="0">
      <alignment horizontal="left" vertical="center" indent="1"/>
    </xf>
    <xf numFmtId="0" fontId="18" fillId="126" borderId="73" applyNumberFormat="0" applyProtection="0">
      <alignment horizontal="left" vertical="center" indent="1"/>
    </xf>
    <xf numFmtId="0" fontId="18" fillId="126" borderId="73" applyNumberFormat="0" applyProtection="0">
      <alignment horizontal="left" vertical="center" indent="1"/>
    </xf>
    <xf numFmtId="178" fontId="18" fillId="126" borderId="73" applyNumberFormat="0" applyProtection="0">
      <alignment horizontal="left" vertical="center" indent="1"/>
    </xf>
    <xf numFmtId="188" fontId="18" fillId="126" borderId="73" applyNumberFormat="0" applyProtection="0">
      <alignment horizontal="left" vertical="center" indent="1"/>
    </xf>
    <xf numFmtId="178" fontId="18" fillId="126" borderId="73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188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188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188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188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188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188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188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188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188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188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188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188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188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188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188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188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0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188" fontId="38" fillId="147" borderId="49" applyNumberFormat="0" applyProtection="0">
      <alignment horizontal="left" vertical="center" indent="1"/>
    </xf>
    <xf numFmtId="178" fontId="38" fillId="147" borderId="49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0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188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188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188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188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0" fontId="18" fillId="130" borderId="67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178" fontId="18" fillId="130" borderId="67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178" fontId="18" fillId="130" borderId="67" applyNumberFormat="0" applyProtection="0">
      <alignment horizontal="left" vertical="center" indent="1"/>
    </xf>
    <xf numFmtId="188" fontId="18" fillId="130" borderId="67" applyNumberFormat="0" applyProtection="0">
      <alignment horizontal="left" vertical="center" indent="1"/>
    </xf>
    <xf numFmtId="178" fontId="18" fillId="130" borderId="67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178" fontId="18" fillId="130" borderId="67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178" fontId="18" fillId="130" borderId="67" applyNumberFormat="0" applyProtection="0">
      <alignment horizontal="left" vertical="center" indent="1"/>
    </xf>
    <xf numFmtId="188" fontId="18" fillId="130" borderId="67" applyNumberFormat="0" applyProtection="0">
      <alignment horizontal="left" vertical="center" indent="1"/>
    </xf>
    <xf numFmtId="178" fontId="18" fillId="130" borderId="67" applyNumberFormat="0" applyProtection="0">
      <alignment horizontal="left" vertical="center" indent="1"/>
    </xf>
    <xf numFmtId="0" fontId="18" fillId="126" borderId="73" applyNumberFormat="0" applyProtection="0">
      <alignment horizontal="left" vertical="top" indent="1"/>
    </xf>
    <xf numFmtId="0" fontId="18" fillId="126" borderId="73" applyNumberFormat="0" applyProtection="0">
      <alignment horizontal="left" vertical="top" indent="1"/>
    </xf>
    <xf numFmtId="178" fontId="18" fillId="126" borderId="73" applyNumberFormat="0" applyProtection="0">
      <alignment horizontal="left" vertical="top" indent="1"/>
    </xf>
    <xf numFmtId="0" fontId="18" fillId="126" borderId="73" applyNumberFormat="0" applyProtection="0">
      <alignment horizontal="left" vertical="top" indent="1"/>
    </xf>
    <xf numFmtId="0" fontId="18" fillId="126" borderId="73" applyNumberFormat="0" applyProtection="0">
      <alignment horizontal="left" vertical="top" indent="1"/>
    </xf>
    <xf numFmtId="178" fontId="18" fillId="126" borderId="73" applyNumberFormat="0" applyProtection="0">
      <alignment horizontal="left" vertical="top" indent="1"/>
    </xf>
    <xf numFmtId="188" fontId="18" fillId="126" borderId="73" applyNumberFormat="0" applyProtection="0">
      <alignment horizontal="left" vertical="top" indent="1"/>
    </xf>
    <xf numFmtId="178" fontId="18" fillId="126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188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0" fontId="18" fillId="130" borderId="67" applyNumberFormat="0" applyProtection="0">
      <alignment horizontal="left" vertical="center" indent="1"/>
    </xf>
    <xf numFmtId="0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188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188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188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188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188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188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188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188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188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188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188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188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188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188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188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0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188" fontId="38" fillId="147" borderId="73" applyNumberFormat="0" applyProtection="0">
      <alignment horizontal="left" vertical="top" indent="1"/>
    </xf>
    <xf numFmtId="178" fontId="38" fillId="147" borderId="73" applyNumberFormat="0" applyProtection="0">
      <alignment horizontal="left" vertical="top" indent="1"/>
    </xf>
    <xf numFmtId="0" fontId="38" fillId="123" borderId="80" applyNumberFormat="0">
      <protection locked="0"/>
    </xf>
    <xf numFmtId="0" fontId="38" fillId="123" borderId="80" applyNumberFormat="0">
      <protection locked="0"/>
    </xf>
    <xf numFmtId="0" fontId="38" fillId="123" borderId="80" applyNumberFormat="0">
      <protection locked="0"/>
    </xf>
    <xf numFmtId="0" fontId="38" fillId="123" borderId="80" applyNumberFormat="0">
      <protection locked="0"/>
    </xf>
    <xf numFmtId="178" fontId="38" fillId="123" borderId="80" applyNumberFormat="0">
      <protection locked="0"/>
    </xf>
    <xf numFmtId="178" fontId="38" fillId="123" borderId="80" applyNumberFormat="0">
      <protection locked="0"/>
    </xf>
    <xf numFmtId="178" fontId="38" fillId="123" borderId="80" applyNumberFormat="0">
      <protection locked="0"/>
    </xf>
    <xf numFmtId="0" fontId="38" fillId="123" borderId="80" applyNumberFormat="0">
      <protection locked="0"/>
    </xf>
    <xf numFmtId="0" fontId="38" fillId="123" borderId="80" applyNumberFormat="0">
      <protection locked="0"/>
    </xf>
    <xf numFmtId="178" fontId="38" fillId="123" borderId="80" applyNumberFormat="0">
      <protection locked="0"/>
    </xf>
    <xf numFmtId="178" fontId="38" fillId="123" borderId="80" applyNumberFormat="0">
      <protection locked="0"/>
    </xf>
    <xf numFmtId="178" fontId="38" fillId="123" borderId="80" applyNumberFormat="0">
      <protection locked="0"/>
    </xf>
    <xf numFmtId="0" fontId="58" fillId="145" borderId="81" applyBorder="0"/>
    <xf numFmtId="0" fontId="58" fillId="145" borderId="81" applyBorder="0"/>
    <xf numFmtId="0" fontId="58" fillId="145" borderId="81" applyBorder="0"/>
    <xf numFmtId="178" fontId="58" fillId="145" borderId="81" applyBorder="0"/>
    <xf numFmtId="0" fontId="58" fillId="145" borderId="81" applyBorder="0"/>
    <xf numFmtId="0" fontId="58" fillId="145" borderId="81" applyBorder="0"/>
    <xf numFmtId="178" fontId="58" fillId="145" borderId="81" applyBorder="0"/>
    <xf numFmtId="188" fontId="58" fillId="145" borderId="81" applyBorder="0"/>
    <xf numFmtId="178" fontId="58" fillId="145" borderId="81" applyBorder="0"/>
    <xf numFmtId="0" fontId="58" fillId="145" borderId="81" applyBorder="0"/>
    <xf numFmtId="0" fontId="58" fillId="145" borderId="81" applyBorder="0"/>
    <xf numFmtId="178" fontId="58" fillId="145" borderId="81" applyBorder="0"/>
    <xf numFmtId="188" fontId="58" fillId="145" borderId="81" applyBorder="0"/>
    <xf numFmtId="178" fontId="58" fillId="145" borderId="81" applyBorder="0"/>
    <xf numFmtId="4" fontId="18" fillId="57" borderId="67" applyNumberFormat="0" applyProtection="0">
      <alignment vertical="center"/>
    </xf>
    <xf numFmtId="4" fontId="286" fillId="59" borderId="73" applyNumberFormat="0" applyProtection="0">
      <alignment vertical="center"/>
    </xf>
    <xf numFmtId="4" fontId="286" fillId="59" borderId="73" applyNumberFormat="0" applyProtection="0">
      <alignment vertical="center"/>
    </xf>
    <xf numFmtId="4" fontId="286" fillId="59" borderId="73" applyNumberFormat="0" applyProtection="0">
      <alignment vertical="center"/>
    </xf>
    <xf numFmtId="4" fontId="286" fillId="59" borderId="73" applyNumberFormat="0" applyProtection="0">
      <alignment vertical="center"/>
    </xf>
    <xf numFmtId="4" fontId="286" fillId="59" borderId="73" applyNumberFormat="0" applyProtection="0">
      <alignment vertical="center"/>
    </xf>
    <xf numFmtId="4" fontId="286" fillId="59" borderId="73" applyNumberFormat="0" applyProtection="0">
      <alignment vertical="center"/>
    </xf>
    <xf numFmtId="4" fontId="286" fillId="59" borderId="73" applyNumberFormat="0" applyProtection="0">
      <alignment vertical="center"/>
    </xf>
    <xf numFmtId="4" fontId="286" fillId="59" borderId="73" applyNumberFormat="0" applyProtection="0">
      <alignment vertical="center"/>
    </xf>
    <xf numFmtId="4" fontId="18" fillId="57" borderId="67" applyNumberFormat="0" applyProtection="0">
      <alignment vertical="center"/>
    </xf>
    <xf numFmtId="4" fontId="18" fillId="57" borderId="67" applyNumberFormat="0" applyProtection="0">
      <alignment vertical="center"/>
    </xf>
    <xf numFmtId="4" fontId="18" fillId="57" borderId="67" applyNumberFormat="0" applyProtection="0">
      <alignment vertical="center"/>
    </xf>
    <xf numFmtId="4" fontId="18" fillId="57" borderId="67" applyNumberFormat="0" applyProtection="0">
      <alignment vertical="center"/>
    </xf>
    <xf numFmtId="4" fontId="92" fillId="57" borderId="73" applyNumberFormat="0" applyProtection="0">
      <alignment vertical="center"/>
    </xf>
    <xf numFmtId="4" fontId="92" fillId="57" borderId="73" applyNumberFormat="0" applyProtection="0">
      <alignment vertical="center"/>
    </xf>
    <xf numFmtId="4" fontId="286" fillId="59" borderId="73" applyNumberFormat="0" applyProtection="0">
      <alignment vertical="center"/>
    </xf>
    <xf numFmtId="4" fontId="18" fillId="57" borderId="67" applyNumberFormat="0" applyProtection="0">
      <alignment vertical="center"/>
    </xf>
    <xf numFmtId="4" fontId="286" fillId="59" borderId="73" applyNumberFormat="0" applyProtection="0">
      <alignment vertical="center"/>
    </xf>
    <xf numFmtId="4" fontId="286" fillId="59" borderId="73" applyNumberFormat="0" applyProtection="0">
      <alignment vertical="center"/>
    </xf>
    <xf numFmtId="4" fontId="286" fillId="59" borderId="73" applyNumberFormat="0" applyProtection="0">
      <alignment vertical="center"/>
    </xf>
    <xf numFmtId="4" fontId="286" fillId="59" borderId="73" applyNumberFormat="0" applyProtection="0">
      <alignment vertical="center"/>
    </xf>
    <xf numFmtId="4" fontId="92" fillId="57" borderId="73" applyNumberFormat="0" applyProtection="0">
      <alignment vertical="center"/>
    </xf>
    <xf numFmtId="4" fontId="92" fillId="57" borderId="73" applyNumberFormat="0" applyProtection="0">
      <alignment vertical="center"/>
    </xf>
    <xf numFmtId="4" fontId="92" fillId="57" borderId="73" applyNumberFormat="0" applyProtection="0">
      <alignment vertical="center"/>
    </xf>
    <xf numFmtId="4" fontId="286" fillId="59" borderId="73" applyNumberFormat="0" applyProtection="0">
      <alignment vertical="center"/>
    </xf>
    <xf numFmtId="4" fontId="286" fillId="59" borderId="73" applyNumberFormat="0" applyProtection="0">
      <alignment vertical="center"/>
    </xf>
    <xf numFmtId="4" fontId="286" fillId="59" borderId="73" applyNumberFormat="0" applyProtection="0">
      <alignment vertical="center"/>
    </xf>
    <xf numFmtId="4" fontId="286" fillId="59" borderId="73" applyNumberFormat="0" applyProtection="0">
      <alignment vertical="center"/>
    </xf>
    <xf numFmtId="4" fontId="286" fillId="59" borderId="73" applyNumberFormat="0" applyProtection="0">
      <alignment vertical="center"/>
    </xf>
    <xf numFmtId="4" fontId="286" fillId="59" borderId="73" applyNumberFormat="0" applyProtection="0">
      <alignment vertical="center"/>
    </xf>
    <xf numFmtId="4" fontId="286" fillId="59" borderId="73" applyNumberFormat="0" applyProtection="0">
      <alignment vertical="center"/>
    </xf>
    <xf numFmtId="4" fontId="286" fillId="59" borderId="73" applyNumberFormat="0" applyProtection="0">
      <alignment vertical="center"/>
    </xf>
    <xf numFmtId="4" fontId="286" fillId="59" borderId="73" applyNumberFormat="0" applyProtection="0">
      <alignment vertical="center"/>
    </xf>
    <xf numFmtId="4" fontId="286" fillId="59" borderId="73" applyNumberFormat="0" applyProtection="0">
      <alignment vertical="center"/>
    </xf>
    <xf numFmtId="4" fontId="286" fillId="59" borderId="73" applyNumberFormat="0" applyProtection="0">
      <alignment vertical="center"/>
    </xf>
    <xf numFmtId="4" fontId="286" fillId="59" borderId="73" applyNumberFormat="0" applyProtection="0">
      <alignment vertical="center"/>
    </xf>
    <xf numFmtId="4" fontId="286" fillId="59" borderId="73" applyNumberFormat="0" applyProtection="0">
      <alignment vertical="center"/>
    </xf>
    <xf numFmtId="4" fontId="286" fillId="59" borderId="73" applyNumberFormat="0" applyProtection="0">
      <alignment vertical="center"/>
    </xf>
    <xf numFmtId="4" fontId="286" fillId="59" borderId="73" applyNumberFormat="0" applyProtection="0">
      <alignment vertical="center"/>
    </xf>
    <xf numFmtId="4" fontId="286" fillId="59" borderId="73" applyNumberFormat="0" applyProtection="0">
      <alignment vertical="center"/>
    </xf>
    <xf numFmtId="4" fontId="286" fillId="59" borderId="73" applyNumberFormat="0" applyProtection="0">
      <alignment vertical="center"/>
    </xf>
    <xf numFmtId="4" fontId="286" fillId="59" borderId="73" applyNumberFormat="0" applyProtection="0">
      <alignment vertical="center"/>
    </xf>
    <xf numFmtId="4" fontId="286" fillId="59" borderId="73" applyNumberFormat="0" applyProtection="0">
      <alignment vertical="center"/>
    </xf>
    <xf numFmtId="4" fontId="286" fillId="59" borderId="73" applyNumberFormat="0" applyProtection="0">
      <alignment vertical="center"/>
    </xf>
    <xf numFmtId="4" fontId="286" fillId="59" borderId="73" applyNumberFormat="0" applyProtection="0">
      <alignment vertical="center"/>
    </xf>
    <xf numFmtId="4" fontId="286" fillId="59" borderId="73" applyNumberFormat="0" applyProtection="0">
      <alignment vertical="center"/>
    </xf>
    <xf numFmtId="4" fontId="286" fillId="59" borderId="73" applyNumberFormat="0" applyProtection="0">
      <alignment vertical="center"/>
    </xf>
    <xf numFmtId="4" fontId="286" fillId="59" borderId="73" applyNumberFormat="0" applyProtection="0">
      <alignment vertical="center"/>
    </xf>
    <xf numFmtId="4" fontId="286" fillId="59" borderId="73" applyNumberFormat="0" applyProtection="0">
      <alignment vertical="center"/>
    </xf>
    <xf numFmtId="4" fontId="286" fillId="59" borderId="73" applyNumberFormat="0" applyProtection="0">
      <alignment vertical="center"/>
    </xf>
    <xf numFmtId="4" fontId="286" fillId="59" borderId="73" applyNumberFormat="0" applyProtection="0">
      <alignment vertical="center"/>
    </xf>
    <xf numFmtId="4" fontId="286" fillId="59" borderId="73" applyNumberFormat="0" applyProtection="0">
      <alignment vertical="center"/>
    </xf>
    <xf numFmtId="4" fontId="18" fillId="57" borderId="67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18" fillId="57" borderId="67" applyNumberFormat="0" applyProtection="0">
      <alignment vertical="center"/>
    </xf>
    <xf numFmtId="4" fontId="18" fillId="57" borderId="67" applyNumberFormat="0" applyProtection="0">
      <alignment vertical="center"/>
    </xf>
    <xf numFmtId="4" fontId="18" fillId="57" borderId="67" applyNumberFormat="0" applyProtection="0">
      <alignment vertical="center"/>
    </xf>
    <xf numFmtId="4" fontId="18" fillId="57" borderId="67" applyNumberFormat="0" applyProtection="0">
      <alignment vertical="center"/>
    </xf>
    <xf numFmtId="4" fontId="287" fillId="57" borderId="73" applyNumberFormat="0" applyProtection="0">
      <alignment vertical="center"/>
    </xf>
    <xf numFmtId="4" fontId="287" fillId="57" borderId="73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18" fillId="57" borderId="67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281" fillId="57" borderId="21" applyNumberFormat="0" applyProtection="0">
      <alignment vertical="center"/>
    </xf>
    <xf numFmtId="4" fontId="18" fillId="57" borderId="67" applyNumberFormat="0" applyProtection="0">
      <alignment horizontal="left" vertical="center" indent="1"/>
    </xf>
    <xf numFmtId="4" fontId="286" fillId="53" borderId="73" applyNumberFormat="0" applyProtection="0">
      <alignment horizontal="left" vertical="center" indent="1"/>
    </xf>
    <xf numFmtId="4" fontId="286" fillId="53" borderId="73" applyNumberFormat="0" applyProtection="0">
      <alignment horizontal="left" vertical="center" indent="1"/>
    </xf>
    <xf numFmtId="4" fontId="286" fillId="53" borderId="73" applyNumberFormat="0" applyProtection="0">
      <alignment horizontal="left" vertical="center" indent="1"/>
    </xf>
    <xf numFmtId="4" fontId="286" fillId="53" borderId="73" applyNumberFormat="0" applyProtection="0">
      <alignment horizontal="left" vertical="center" indent="1"/>
    </xf>
    <xf numFmtId="4" fontId="286" fillId="53" borderId="73" applyNumberFormat="0" applyProtection="0">
      <alignment horizontal="left" vertical="center" indent="1"/>
    </xf>
    <xf numFmtId="4" fontId="286" fillId="53" borderId="73" applyNumberFormat="0" applyProtection="0">
      <alignment horizontal="left" vertical="center" indent="1"/>
    </xf>
    <xf numFmtId="4" fontId="286" fillId="53" borderId="73" applyNumberFormat="0" applyProtection="0">
      <alignment horizontal="left" vertical="center" indent="1"/>
    </xf>
    <xf numFmtId="4" fontId="286" fillId="53" borderId="73" applyNumberFormat="0" applyProtection="0">
      <alignment horizontal="left" vertical="center" indent="1"/>
    </xf>
    <xf numFmtId="4" fontId="18" fillId="57" borderId="67" applyNumberFormat="0" applyProtection="0">
      <alignment horizontal="left" vertical="center" indent="1"/>
    </xf>
    <xf numFmtId="4" fontId="18" fillId="57" borderId="67" applyNumberFormat="0" applyProtection="0">
      <alignment horizontal="left" vertical="center" indent="1"/>
    </xf>
    <xf numFmtId="4" fontId="18" fillId="57" borderId="67" applyNumberFormat="0" applyProtection="0">
      <alignment horizontal="left" vertical="center" indent="1"/>
    </xf>
    <xf numFmtId="4" fontId="18" fillId="57" borderId="67" applyNumberFormat="0" applyProtection="0">
      <alignment horizontal="left" vertical="center" indent="1"/>
    </xf>
    <xf numFmtId="4" fontId="92" fillId="57" borderId="73" applyNumberFormat="0" applyProtection="0">
      <alignment horizontal="left" vertical="center" indent="1"/>
    </xf>
    <xf numFmtId="4" fontId="92" fillId="57" borderId="73" applyNumberFormat="0" applyProtection="0">
      <alignment horizontal="left" vertical="center" indent="1"/>
    </xf>
    <xf numFmtId="4" fontId="286" fillId="53" borderId="73" applyNumberFormat="0" applyProtection="0">
      <alignment horizontal="left" vertical="center" indent="1"/>
    </xf>
    <xf numFmtId="4" fontId="18" fillId="57" borderId="67" applyNumberFormat="0" applyProtection="0">
      <alignment horizontal="left" vertical="center" indent="1"/>
    </xf>
    <xf numFmtId="4" fontId="286" fillId="53" borderId="73" applyNumberFormat="0" applyProtection="0">
      <alignment horizontal="left" vertical="center" indent="1"/>
    </xf>
    <xf numFmtId="4" fontId="286" fillId="53" borderId="73" applyNumberFormat="0" applyProtection="0">
      <alignment horizontal="left" vertical="center" indent="1"/>
    </xf>
    <xf numFmtId="4" fontId="286" fillId="53" borderId="73" applyNumberFormat="0" applyProtection="0">
      <alignment horizontal="left" vertical="center" indent="1"/>
    </xf>
    <xf numFmtId="4" fontId="286" fillId="53" borderId="73" applyNumberFormat="0" applyProtection="0">
      <alignment horizontal="left" vertical="center" indent="1"/>
    </xf>
    <xf numFmtId="4" fontId="92" fillId="57" borderId="73" applyNumberFormat="0" applyProtection="0">
      <alignment horizontal="left" vertical="center" indent="1"/>
    </xf>
    <xf numFmtId="4" fontId="92" fillId="57" borderId="73" applyNumberFormat="0" applyProtection="0">
      <alignment horizontal="left" vertical="center" indent="1"/>
    </xf>
    <xf numFmtId="4" fontId="92" fillId="57" borderId="73" applyNumberFormat="0" applyProtection="0">
      <alignment horizontal="left" vertical="center" indent="1"/>
    </xf>
    <xf numFmtId="4" fontId="286" fillId="53" borderId="73" applyNumberFormat="0" applyProtection="0">
      <alignment horizontal="left" vertical="center" indent="1"/>
    </xf>
    <xf numFmtId="4" fontId="286" fillId="53" borderId="73" applyNumberFormat="0" applyProtection="0">
      <alignment horizontal="left" vertical="center" indent="1"/>
    </xf>
    <xf numFmtId="4" fontId="286" fillId="53" borderId="73" applyNumberFormat="0" applyProtection="0">
      <alignment horizontal="left" vertical="center" indent="1"/>
    </xf>
    <xf numFmtId="4" fontId="286" fillId="53" borderId="73" applyNumberFormat="0" applyProtection="0">
      <alignment horizontal="left" vertical="center" indent="1"/>
    </xf>
    <xf numFmtId="4" fontId="286" fillId="53" borderId="73" applyNumberFormat="0" applyProtection="0">
      <alignment horizontal="left" vertical="center" indent="1"/>
    </xf>
    <xf numFmtId="4" fontId="286" fillId="53" borderId="73" applyNumberFormat="0" applyProtection="0">
      <alignment horizontal="left" vertical="center" indent="1"/>
    </xf>
    <xf numFmtId="4" fontId="286" fillId="53" borderId="73" applyNumberFormat="0" applyProtection="0">
      <alignment horizontal="left" vertical="center" indent="1"/>
    </xf>
    <xf numFmtId="4" fontId="286" fillId="53" borderId="73" applyNumberFormat="0" applyProtection="0">
      <alignment horizontal="left" vertical="center" indent="1"/>
    </xf>
    <xf numFmtId="4" fontId="286" fillId="53" borderId="73" applyNumberFormat="0" applyProtection="0">
      <alignment horizontal="left" vertical="center" indent="1"/>
    </xf>
    <xf numFmtId="4" fontId="286" fillId="53" borderId="73" applyNumberFormat="0" applyProtection="0">
      <alignment horizontal="left" vertical="center" indent="1"/>
    </xf>
    <xf numFmtId="4" fontId="286" fillId="53" borderId="73" applyNumberFormat="0" applyProtection="0">
      <alignment horizontal="left" vertical="center" indent="1"/>
    </xf>
    <xf numFmtId="4" fontId="286" fillId="53" borderId="73" applyNumberFormat="0" applyProtection="0">
      <alignment horizontal="left" vertical="center" indent="1"/>
    </xf>
    <xf numFmtId="4" fontId="286" fillId="53" borderId="73" applyNumberFormat="0" applyProtection="0">
      <alignment horizontal="left" vertical="center" indent="1"/>
    </xf>
    <xf numFmtId="4" fontId="286" fillId="53" borderId="73" applyNumberFormat="0" applyProtection="0">
      <alignment horizontal="left" vertical="center" indent="1"/>
    </xf>
    <xf numFmtId="4" fontId="286" fillId="53" borderId="73" applyNumberFormat="0" applyProtection="0">
      <alignment horizontal="left" vertical="center" indent="1"/>
    </xf>
    <xf numFmtId="4" fontId="286" fillId="53" borderId="73" applyNumberFormat="0" applyProtection="0">
      <alignment horizontal="left" vertical="center" indent="1"/>
    </xf>
    <xf numFmtId="4" fontId="286" fillId="53" borderId="73" applyNumberFormat="0" applyProtection="0">
      <alignment horizontal="left" vertical="center" indent="1"/>
    </xf>
    <xf numFmtId="4" fontId="286" fillId="53" borderId="73" applyNumberFormat="0" applyProtection="0">
      <alignment horizontal="left" vertical="center" indent="1"/>
    </xf>
    <xf numFmtId="4" fontId="286" fillId="53" borderId="73" applyNumberFormat="0" applyProtection="0">
      <alignment horizontal="left" vertical="center" indent="1"/>
    </xf>
    <xf numFmtId="4" fontId="286" fillId="53" borderId="73" applyNumberFormat="0" applyProtection="0">
      <alignment horizontal="left" vertical="center" indent="1"/>
    </xf>
    <xf numFmtId="4" fontId="286" fillId="53" borderId="73" applyNumberFormat="0" applyProtection="0">
      <alignment horizontal="left" vertical="center" indent="1"/>
    </xf>
    <xf numFmtId="4" fontId="286" fillId="53" borderId="73" applyNumberFormat="0" applyProtection="0">
      <alignment horizontal="left" vertical="center" indent="1"/>
    </xf>
    <xf numFmtId="4" fontId="286" fillId="53" borderId="73" applyNumberFormat="0" applyProtection="0">
      <alignment horizontal="left" vertical="center" indent="1"/>
    </xf>
    <xf numFmtId="4" fontId="286" fillId="53" borderId="73" applyNumberFormat="0" applyProtection="0">
      <alignment horizontal="left" vertical="center" indent="1"/>
    </xf>
    <xf numFmtId="4" fontId="286" fillId="53" borderId="73" applyNumberFormat="0" applyProtection="0">
      <alignment horizontal="left" vertical="center" indent="1"/>
    </xf>
    <xf numFmtId="4" fontId="286" fillId="53" borderId="73" applyNumberFormat="0" applyProtection="0">
      <alignment horizontal="left" vertical="center" indent="1"/>
    </xf>
    <xf numFmtId="4" fontId="286" fillId="53" borderId="73" applyNumberFormat="0" applyProtection="0">
      <alignment horizontal="left" vertical="center" indent="1"/>
    </xf>
    <xf numFmtId="4" fontId="286" fillId="53" borderId="73" applyNumberFormat="0" applyProtection="0">
      <alignment horizontal="left" vertical="center" indent="1"/>
    </xf>
    <xf numFmtId="4" fontId="18" fillId="57" borderId="67" applyNumberFormat="0" applyProtection="0">
      <alignment horizontal="left" vertical="center" indent="1"/>
    </xf>
    <xf numFmtId="0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188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188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188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188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4" fontId="18" fillId="57" borderId="67" applyNumberFormat="0" applyProtection="0">
      <alignment horizontal="left" vertical="center" indent="1"/>
    </xf>
    <xf numFmtId="4" fontId="18" fillId="57" borderId="67" applyNumberFormat="0" applyProtection="0">
      <alignment horizontal="left" vertical="center" indent="1"/>
    </xf>
    <xf numFmtId="4" fontId="18" fillId="57" borderId="67" applyNumberFormat="0" applyProtection="0">
      <alignment horizontal="left" vertical="center" indent="1"/>
    </xf>
    <xf numFmtId="4" fontId="18" fillId="57" borderId="67" applyNumberFormat="0" applyProtection="0">
      <alignment horizontal="left" vertical="center" indent="1"/>
    </xf>
    <xf numFmtId="0" fontId="92" fillId="57" borderId="73" applyNumberFormat="0" applyProtection="0">
      <alignment horizontal="left" vertical="top" indent="1"/>
    </xf>
    <xf numFmtId="0" fontId="92" fillId="57" borderId="73" applyNumberFormat="0" applyProtection="0">
      <alignment horizontal="left" vertical="top" indent="1"/>
    </xf>
    <xf numFmtId="178" fontId="92" fillId="57" borderId="73" applyNumberFormat="0" applyProtection="0">
      <alignment horizontal="left" vertical="top" indent="1"/>
    </xf>
    <xf numFmtId="0" fontId="92" fillId="57" borderId="73" applyNumberFormat="0" applyProtection="0">
      <alignment horizontal="left" vertical="top" indent="1"/>
    </xf>
    <xf numFmtId="0" fontId="92" fillId="57" borderId="73" applyNumberFormat="0" applyProtection="0">
      <alignment horizontal="left" vertical="top" indent="1"/>
    </xf>
    <xf numFmtId="178" fontId="92" fillId="57" borderId="73" applyNumberFormat="0" applyProtection="0">
      <alignment horizontal="left" vertical="top" indent="1"/>
    </xf>
    <xf numFmtId="188" fontId="92" fillId="57" borderId="73" applyNumberFormat="0" applyProtection="0">
      <alignment horizontal="left" vertical="top" indent="1"/>
    </xf>
    <xf numFmtId="178" fontId="92" fillId="57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188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4" fontId="18" fillId="57" borderId="67" applyNumberFormat="0" applyProtection="0">
      <alignment horizontal="left" vertical="center" indent="1"/>
    </xf>
    <xf numFmtId="0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188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188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0" fontId="92" fillId="57" borderId="73" applyNumberFormat="0" applyProtection="0">
      <alignment horizontal="left" vertical="top" indent="1"/>
    </xf>
    <xf numFmtId="0" fontId="92" fillId="57" borderId="73" applyNumberFormat="0" applyProtection="0">
      <alignment horizontal="left" vertical="top" indent="1"/>
    </xf>
    <xf numFmtId="178" fontId="92" fillId="57" borderId="73" applyNumberFormat="0" applyProtection="0">
      <alignment horizontal="left" vertical="top" indent="1"/>
    </xf>
    <xf numFmtId="0" fontId="92" fillId="57" borderId="73" applyNumberFormat="0" applyProtection="0">
      <alignment horizontal="left" vertical="top" indent="1"/>
    </xf>
    <xf numFmtId="0" fontId="92" fillId="57" borderId="73" applyNumberFormat="0" applyProtection="0">
      <alignment horizontal="left" vertical="top" indent="1"/>
    </xf>
    <xf numFmtId="178" fontId="92" fillId="57" borderId="73" applyNumberFormat="0" applyProtection="0">
      <alignment horizontal="left" vertical="top" indent="1"/>
    </xf>
    <xf numFmtId="188" fontId="92" fillId="57" borderId="73" applyNumberFormat="0" applyProtection="0">
      <alignment horizontal="left" vertical="top" indent="1"/>
    </xf>
    <xf numFmtId="178" fontId="92" fillId="57" borderId="73" applyNumberFormat="0" applyProtection="0">
      <alignment horizontal="left" vertical="top" indent="1"/>
    </xf>
    <xf numFmtId="0" fontId="92" fillId="57" borderId="73" applyNumberFormat="0" applyProtection="0">
      <alignment horizontal="left" vertical="top" indent="1"/>
    </xf>
    <xf numFmtId="178" fontId="92" fillId="57" borderId="73" applyNumberFormat="0" applyProtection="0">
      <alignment horizontal="left" vertical="top" indent="1"/>
    </xf>
    <xf numFmtId="0" fontId="92" fillId="57" borderId="73" applyNumberFormat="0" applyProtection="0">
      <alignment horizontal="left" vertical="top" indent="1"/>
    </xf>
    <xf numFmtId="0" fontId="92" fillId="57" borderId="73" applyNumberFormat="0" applyProtection="0">
      <alignment horizontal="left" vertical="top" indent="1"/>
    </xf>
    <xf numFmtId="178" fontId="92" fillId="57" borderId="73" applyNumberFormat="0" applyProtection="0">
      <alignment horizontal="left" vertical="top" indent="1"/>
    </xf>
    <xf numFmtId="188" fontId="92" fillId="57" borderId="73" applyNumberFormat="0" applyProtection="0">
      <alignment horizontal="left" vertical="top" indent="1"/>
    </xf>
    <xf numFmtId="178" fontId="92" fillId="57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188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188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188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188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188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188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188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188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188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188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188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188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188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0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188" fontId="286" fillId="59" borderId="73" applyNumberFormat="0" applyProtection="0">
      <alignment horizontal="left" vertical="top" indent="1"/>
    </xf>
    <xf numFmtId="178" fontId="286" fillId="59" borderId="73" applyNumberFormat="0" applyProtection="0">
      <alignment horizontal="left" vertical="top" indent="1"/>
    </xf>
    <xf numFmtId="4" fontId="18" fillId="144" borderId="67" applyNumberFormat="0" applyProtection="0">
      <alignment horizontal="right" vertical="center"/>
    </xf>
    <xf numFmtId="4" fontId="38" fillId="0" borderId="49" applyNumberFormat="0" applyProtection="0">
      <alignment horizontal="right" vertical="center"/>
    </xf>
    <xf numFmtId="4" fontId="38" fillId="0" borderId="49" applyNumberFormat="0" applyProtection="0">
      <alignment horizontal="right" vertical="center"/>
    </xf>
    <xf numFmtId="4" fontId="38" fillId="0" borderId="49" applyNumberFormat="0" applyProtection="0">
      <alignment horizontal="right" vertical="center"/>
    </xf>
    <xf numFmtId="4" fontId="38" fillId="0" borderId="49" applyNumberFormat="0" applyProtection="0">
      <alignment horizontal="right" vertical="center"/>
    </xf>
    <xf numFmtId="4" fontId="38" fillId="0" borderId="49" applyNumberFormat="0" applyProtection="0">
      <alignment horizontal="right" vertical="center"/>
    </xf>
    <xf numFmtId="4" fontId="38" fillId="0" borderId="49" applyNumberFormat="0" applyProtection="0">
      <alignment horizontal="right" vertical="center"/>
    </xf>
    <xf numFmtId="4" fontId="38" fillId="0" borderId="49" applyNumberFormat="0" applyProtection="0">
      <alignment horizontal="right" vertical="center"/>
    </xf>
    <xf numFmtId="4" fontId="38" fillId="0" borderId="49" applyNumberFormat="0" applyProtection="0">
      <alignment horizontal="right" vertical="center"/>
    </xf>
    <xf numFmtId="4" fontId="18" fillId="144" borderId="67" applyNumberFormat="0" applyProtection="0">
      <alignment horizontal="right" vertical="center"/>
    </xf>
    <xf numFmtId="4" fontId="18" fillId="144" borderId="67" applyNumberFormat="0" applyProtection="0">
      <alignment horizontal="right" vertical="center"/>
    </xf>
    <xf numFmtId="4" fontId="18" fillId="144" borderId="67" applyNumberFormat="0" applyProtection="0">
      <alignment horizontal="right" vertical="center"/>
    </xf>
    <xf numFmtId="4" fontId="18" fillId="144" borderId="67" applyNumberFormat="0" applyProtection="0">
      <alignment horizontal="right" vertical="center"/>
    </xf>
    <xf numFmtId="4" fontId="92" fillId="147" borderId="49" applyNumberFormat="0" applyProtection="0">
      <alignment horizontal="right" vertical="center"/>
    </xf>
    <xf numFmtId="4" fontId="92" fillId="147" borderId="49" applyNumberFormat="0" applyProtection="0">
      <alignment horizontal="right" vertical="center"/>
    </xf>
    <xf numFmtId="4" fontId="92" fillId="147" borderId="73" applyNumberFormat="0" applyProtection="0">
      <alignment horizontal="right" vertical="center"/>
    </xf>
    <xf numFmtId="4" fontId="92" fillId="147" borderId="73" applyNumberFormat="0" applyProtection="0">
      <alignment horizontal="right" vertical="center"/>
    </xf>
    <xf numFmtId="4" fontId="92" fillId="147" borderId="73" applyNumberFormat="0" applyProtection="0">
      <alignment horizontal="right" vertical="center"/>
    </xf>
    <xf numFmtId="4" fontId="38" fillId="0" borderId="49" applyNumberFormat="0" applyProtection="0">
      <alignment horizontal="right" vertical="center"/>
    </xf>
    <xf numFmtId="4" fontId="18" fillId="144" borderId="67" applyNumberFormat="0" applyProtection="0">
      <alignment horizontal="right" vertical="center"/>
    </xf>
    <xf numFmtId="4" fontId="38" fillId="0" borderId="49" applyNumberFormat="0" applyProtection="0">
      <alignment horizontal="right" vertical="center"/>
    </xf>
    <xf numFmtId="4" fontId="38" fillId="0" borderId="49" applyNumberFormat="0" applyProtection="0">
      <alignment horizontal="right" vertical="center"/>
    </xf>
    <xf numFmtId="4" fontId="38" fillId="0" borderId="49" applyNumberFormat="0" applyProtection="0">
      <alignment horizontal="right" vertical="center"/>
    </xf>
    <xf numFmtId="4" fontId="38" fillId="0" borderId="49" applyNumberFormat="0" applyProtection="0">
      <alignment horizontal="right" vertical="center"/>
    </xf>
    <xf numFmtId="4" fontId="92" fillId="147" borderId="49" applyNumberFormat="0" applyProtection="0">
      <alignment horizontal="right" vertical="center"/>
    </xf>
    <xf numFmtId="4" fontId="92" fillId="147" borderId="49" applyNumberFormat="0" applyProtection="0">
      <alignment horizontal="right" vertical="center"/>
    </xf>
    <xf numFmtId="4" fontId="38" fillId="0" borderId="49" applyNumberFormat="0" applyProtection="0">
      <alignment horizontal="right" vertical="center"/>
    </xf>
    <xf numFmtId="4" fontId="38" fillId="0" borderId="49" applyNumberFormat="0" applyProtection="0">
      <alignment horizontal="right" vertical="center"/>
    </xf>
    <xf numFmtId="4" fontId="38" fillId="0" borderId="49" applyNumberFormat="0" applyProtection="0">
      <alignment horizontal="right" vertical="center"/>
    </xf>
    <xf numFmtId="4" fontId="38" fillId="0" borderId="49" applyNumberFormat="0" applyProtection="0">
      <alignment horizontal="right" vertical="center"/>
    </xf>
    <xf numFmtId="4" fontId="38" fillId="0" borderId="49" applyNumberFormat="0" applyProtection="0">
      <alignment horizontal="right" vertical="center"/>
    </xf>
    <xf numFmtId="4" fontId="38" fillId="0" borderId="49" applyNumberFormat="0" applyProtection="0">
      <alignment horizontal="right" vertical="center"/>
    </xf>
    <xf numFmtId="4" fontId="38" fillId="0" borderId="49" applyNumberFormat="0" applyProtection="0">
      <alignment horizontal="right" vertical="center"/>
    </xf>
    <xf numFmtId="4" fontId="38" fillId="0" borderId="49" applyNumberFormat="0" applyProtection="0">
      <alignment horizontal="right" vertical="center"/>
    </xf>
    <xf numFmtId="4" fontId="38" fillId="0" borderId="49" applyNumberFormat="0" applyProtection="0">
      <alignment horizontal="right" vertical="center"/>
    </xf>
    <xf numFmtId="4" fontId="38" fillId="0" borderId="49" applyNumberFormat="0" applyProtection="0">
      <alignment horizontal="right" vertical="center"/>
    </xf>
    <xf numFmtId="4" fontId="38" fillId="0" borderId="49" applyNumberFormat="0" applyProtection="0">
      <alignment horizontal="right" vertical="center"/>
    </xf>
    <xf numFmtId="4" fontId="38" fillId="0" borderId="49" applyNumberFormat="0" applyProtection="0">
      <alignment horizontal="right" vertical="center"/>
    </xf>
    <xf numFmtId="4" fontId="38" fillId="0" borderId="49" applyNumberFormat="0" applyProtection="0">
      <alignment horizontal="right" vertical="center"/>
    </xf>
    <xf numFmtId="4" fontId="38" fillId="0" borderId="49" applyNumberFormat="0" applyProtection="0">
      <alignment horizontal="right" vertical="center"/>
    </xf>
    <xf numFmtId="4" fontId="38" fillId="0" borderId="49" applyNumberFormat="0" applyProtection="0">
      <alignment horizontal="right" vertical="center"/>
    </xf>
    <xf numFmtId="4" fontId="38" fillId="0" borderId="49" applyNumberFormat="0" applyProtection="0">
      <alignment horizontal="right" vertical="center"/>
    </xf>
    <xf numFmtId="4" fontId="38" fillId="0" borderId="49" applyNumberFormat="0" applyProtection="0">
      <alignment horizontal="right" vertical="center"/>
    </xf>
    <xf numFmtId="4" fontId="38" fillId="0" borderId="49" applyNumberFormat="0" applyProtection="0">
      <alignment horizontal="right" vertical="center"/>
    </xf>
    <xf numFmtId="4" fontId="38" fillId="0" borderId="49" applyNumberFormat="0" applyProtection="0">
      <alignment horizontal="right" vertical="center"/>
    </xf>
    <xf numFmtId="4" fontId="38" fillId="0" borderId="49" applyNumberFormat="0" applyProtection="0">
      <alignment horizontal="right" vertical="center"/>
    </xf>
    <xf numFmtId="4" fontId="38" fillId="0" borderId="49" applyNumberFormat="0" applyProtection="0">
      <alignment horizontal="right" vertical="center"/>
    </xf>
    <xf numFmtId="4" fontId="38" fillId="0" borderId="49" applyNumberFormat="0" applyProtection="0">
      <alignment horizontal="right" vertical="center"/>
    </xf>
    <xf numFmtId="4" fontId="38" fillId="0" borderId="49" applyNumberFormat="0" applyProtection="0">
      <alignment horizontal="right" vertical="center"/>
    </xf>
    <xf numFmtId="4" fontId="38" fillId="0" borderId="49" applyNumberFormat="0" applyProtection="0">
      <alignment horizontal="right" vertical="center"/>
    </xf>
    <xf numFmtId="4" fontId="38" fillId="0" borderId="49" applyNumberFormat="0" applyProtection="0">
      <alignment horizontal="right" vertical="center"/>
    </xf>
    <xf numFmtId="4" fontId="38" fillId="0" borderId="49" applyNumberFormat="0" applyProtection="0">
      <alignment horizontal="right" vertical="center"/>
    </xf>
    <xf numFmtId="4" fontId="38" fillId="0" borderId="49" applyNumberFormat="0" applyProtection="0">
      <alignment horizontal="right" vertical="center"/>
    </xf>
    <xf numFmtId="4" fontId="38" fillId="0" borderId="49" applyNumberFormat="0" applyProtection="0">
      <alignment horizontal="right" vertical="center"/>
    </xf>
    <xf numFmtId="4" fontId="38" fillId="0" borderId="49" applyNumberFormat="0" applyProtection="0">
      <alignment horizontal="right" vertical="center"/>
    </xf>
    <xf numFmtId="4" fontId="18" fillId="144" borderId="67" applyNumberFormat="0" applyProtection="0">
      <alignment horizontal="right" vertical="center"/>
    </xf>
    <xf numFmtId="4" fontId="281" fillId="33" borderId="49" applyNumberFormat="0" applyProtection="0">
      <alignment horizontal="right" vertical="center"/>
    </xf>
    <xf numFmtId="4" fontId="281" fillId="33" borderId="49" applyNumberFormat="0" applyProtection="0">
      <alignment horizontal="right" vertical="center"/>
    </xf>
    <xf numFmtId="4" fontId="281" fillId="33" borderId="49" applyNumberFormat="0" applyProtection="0">
      <alignment horizontal="right" vertical="center"/>
    </xf>
    <xf numFmtId="4" fontId="281" fillId="33" borderId="49" applyNumberFormat="0" applyProtection="0">
      <alignment horizontal="right" vertical="center"/>
    </xf>
    <xf numFmtId="4" fontId="281" fillId="33" borderId="49" applyNumberFormat="0" applyProtection="0">
      <alignment horizontal="right" vertical="center"/>
    </xf>
    <xf numFmtId="4" fontId="281" fillId="33" borderId="49" applyNumberFormat="0" applyProtection="0">
      <alignment horizontal="right" vertical="center"/>
    </xf>
    <xf numFmtId="4" fontId="281" fillId="33" borderId="49" applyNumberFormat="0" applyProtection="0">
      <alignment horizontal="right" vertical="center"/>
    </xf>
    <xf numFmtId="4" fontId="281" fillId="33" borderId="49" applyNumberFormat="0" applyProtection="0">
      <alignment horizontal="right" vertical="center"/>
    </xf>
    <xf numFmtId="4" fontId="18" fillId="144" borderId="67" applyNumberFormat="0" applyProtection="0">
      <alignment horizontal="right" vertical="center"/>
    </xf>
    <xf numFmtId="4" fontId="18" fillId="144" borderId="67" applyNumberFormat="0" applyProtection="0">
      <alignment horizontal="right" vertical="center"/>
    </xf>
    <xf numFmtId="4" fontId="18" fillId="144" borderId="67" applyNumberFormat="0" applyProtection="0">
      <alignment horizontal="right" vertical="center"/>
    </xf>
    <xf numFmtId="4" fontId="18" fillId="144" borderId="67" applyNumberFormat="0" applyProtection="0">
      <alignment horizontal="right" vertical="center"/>
    </xf>
    <xf numFmtId="4" fontId="287" fillId="147" borderId="73" applyNumberFormat="0" applyProtection="0">
      <alignment horizontal="right" vertical="center"/>
    </xf>
    <xf numFmtId="4" fontId="287" fillId="147" borderId="73" applyNumberFormat="0" applyProtection="0">
      <alignment horizontal="right" vertical="center"/>
    </xf>
    <xf numFmtId="4" fontId="281" fillId="33" borderId="49" applyNumberFormat="0" applyProtection="0">
      <alignment horizontal="right" vertical="center"/>
    </xf>
    <xf numFmtId="4" fontId="18" fillId="144" borderId="67" applyNumberFormat="0" applyProtection="0">
      <alignment horizontal="right" vertical="center"/>
    </xf>
    <xf numFmtId="4" fontId="281" fillId="33" borderId="49" applyNumberFormat="0" applyProtection="0">
      <alignment horizontal="right" vertical="center"/>
    </xf>
    <xf numFmtId="4" fontId="281" fillId="33" borderId="49" applyNumberFormat="0" applyProtection="0">
      <alignment horizontal="right" vertical="center"/>
    </xf>
    <xf numFmtId="4" fontId="281" fillId="33" borderId="49" applyNumberFormat="0" applyProtection="0">
      <alignment horizontal="right" vertical="center"/>
    </xf>
    <xf numFmtId="4" fontId="281" fillId="33" borderId="49" applyNumberFormat="0" applyProtection="0">
      <alignment horizontal="right" vertical="center"/>
    </xf>
    <xf numFmtId="4" fontId="281" fillId="33" borderId="49" applyNumberFormat="0" applyProtection="0">
      <alignment horizontal="right" vertical="center"/>
    </xf>
    <xf numFmtId="4" fontId="281" fillId="33" borderId="49" applyNumberFormat="0" applyProtection="0">
      <alignment horizontal="right" vertical="center"/>
    </xf>
    <xf numFmtId="4" fontId="281" fillId="33" borderId="49" applyNumberFormat="0" applyProtection="0">
      <alignment horizontal="right" vertical="center"/>
    </xf>
    <xf numFmtId="4" fontId="281" fillId="33" borderId="49" applyNumberFormat="0" applyProtection="0">
      <alignment horizontal="right" vertical="center"/>
    </xf>
    <xf numFmtId="4" fontId="281" fillId="33" borderId="49" applyNumberFormat="0" applyProtection="0">
      <alignment horizontal="right" vertical="center"/>
    </xf>
    <xf numFmtId="4" fontId="281" fillId="33" borderId="49" applyNumberFormat="0" applyProtection="0">
      <alignment horizontal="right" vertical="center"/>
    </xf>
    <xf numFmtId="4" fontId="281" fillId="33" borderId="49" applyNumberFormat="0" applyProtection="0">
      <alignment horizontal="right" vertical="center"/>
    </xf>
    <xf numFmtId="4" fontId="281" fillId="33" borderId="49" applyNumberFormat="0" applyProtection="0">
      <alignment horizontal="right" vertical="center"/>
    </xf>
    <xf numFmtId="4" fontId="281" fillId="33" borderId="49" applyNumberFormat="0" applyProtection="0">
      <alignment horizontal="right" vertical="center"/>
    </xf>
    <xf numFmtId="4" fontId="281" fillId="33" borderId="49" applyNumberFormat="0" applyProtection="0">
      <alignment horizontal="right" vertical="center"/>
    </xf>
    <xf numFmtId="4" fontId="281" fillId="33" borderId="49" applyNumberFormat="0" applyProtection="0">
      <alignment horizontal="right" vertical="center"/>
    </xf>
    <xf numFmtId="4" fontId="281" fillId="33" borderId="49" applyNumberFormat="0" applyProtection="0">
      <alignment horizontal="right" vertical="center"/>
    </xf>
    <xf numFmtId="4" fontId="281" fillId="33" borderId="49" applyNumberFormat="0" applyProtection="0">
      <alignment horizontal="right" vertical="center"/>
    </xf>
    <xf numFmtId="4" fontId="281" fillId="33" borderId="49" applyNumberFormat="0" applyProtection="0">
      <alignment horizontal="right" vertical="center"/>
    </xf>
    <xf numFmtId="4" fontId="281" fillId="33" borderId="49" applyNumberFormat="0" applyProtection="0">
      <alignment horizontal="right" vertical="center"/>
    </xf>
    <xf numFmtId="4" fontId="281" fillId="33" borderId="49" applyNumberFormat="0" applyProtection="0">
      <alignment horizontal="right" vertical="center"/>
    </xf>
    <xf numFmtId="4" fontId="281" fillId="33" borderId="49" applyNumberFormat="0" applyProtection="0">
      <alignment horizontal="right" vertical="center"/>
    </xf>
    <xf numFmtId="4" fontId="281" fillId="33" borderId="49" applyNumberFormat="0" applyProtection="0">
      <alignment horizontal="right" vertical="center"/>
    </xf>
    <xf numFmtId="4" fontId="281" fillId="33" borderId="49" applyNumberFormat="0" applyProtection="0">
      <alignment horizontal="right" vertical="center"/>
    </xf>
    <xf numFmtId="4" fontId="281" fillId="33" borderId="49" applyNumberFormat="0" applyProtection="0">
      <alignment horizontal="right" vertical="center"/>
    </xf>
    <xf numFmtId="4" fontId="281" fillId="33" borderId="49" applyNumberFormat="0" applyProtection="0">
      <alignment horizontal="right" vertical="center"/>
    </xf>
    <xf numFmtId="4" fontId="281" fillId="33" borderId="49" applyNumberFormat="0" applyProtection="0">
      <alignment horizontal="right" vertical="center"/>
    </xf>
    <xf numFmtId="4" fontId="281" fillId="33" borderId="49" applyNumberFormat="0" applyProtection="0">
      <alignment horizontal="right" vertical="center"/>
    </xf>
    <xf numFmtId="4" fontId="281" fillId="33" borderId="49" applyNumberFormat="0" applyProtection="0">
      <alignment horizontal="right" vertical="center"/>
    </xf>
    <xf numFmtId="4" fontId="281" fillId="33" borderId="49" applyNumberFormat="0" applyProtection="0">
      <alignment horizontal="right" vertical="center"/>
    </xf>
    <xf numFmtId="4" fontId="281" fillId="33" borderId="49" applyNumberFormat="0" applyProtection="0">
      <alignment horizontal="right" vertical="center"/>
    </xf>
    <xf numFmtId="4" fontId="281" fillId="33" borderId="49" applyNumberFormat="0" applyProtection="0">
      <alignment horizontal="right" vertical="center"/>
    </xf>
    <xf numFmtId="0" fontId="18" fillId="130" borderId="67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178" fontId="18" fillId="130" borderId="67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178" fontId="18" fillId="130" borderId="67" applyNumberFormat="0" applyProtection="0">
      <alignment horizontal="left" vertical="center" indent="1"/>
    </xf>
    <xf numFmtId="188" fontId="18" fillId="130" borderId="67" applyNumberFormat="0" applyProtection="0">
      <alignment horizontal="left" vertical="center" indent="1"/>
    </xf>
    <xf numFmtId="178" fontId="18" fillId="130" borderId="67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178" fontId="18" fillId="130" borderId="67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178" fontId="18" fillId="130" borderId="67" applyNumberFormat="0" applyProtection="0">
      <alignment horizontal="left" vertical="center" indent="1"/>
    </xf>
    <xf numFmtId="188" fontId="18" fillId="130" borderId="67" applyNumberFormat="0" applyProtection="0">
      <alignment horizontal="left" vertical="center" indent="1"/>
    </xf>
    <xf numFmtId="178" fontId="18" fillId="130" borderId="67" applyNumberFormat="0" applyProtection="0">
      <alignment horizontal="left" vertical="center" indent="1"/>
    </xf>
    <xf numFmtId="4" fontId="92" fillId="0" borderId="82" applyNumberFormat="0" applyProtection="0">
      <alignment horizontal="left" vertical="center" indent="1"/>
    </xf>
    <xf numFmtId="4" fontId="92" fillId="0" borderId="82" applyNumberFormat="0" applyProtection="0">
      <alignment horizontal="left" vertical="center" indent="1"/>
    </xf>
    <xf numFmtId="4" fontId="284" fillId="39" borderId="73" applyNumberFormat="0" applyProtection="0">
      <alignment horizontal="left" vertical="center" indent="1"/>
    </xf>
    <xf numFmtId="4" fontId="284" fillId="39" borderId="73" applyNumberFormat="0" applyProtection="0">
      <alignment horizontal="left" vertical="center" indent="1"/>
    </xf>
    <xf numFmtId="4" fontId="284" fillId="39" borderId="73" applyNumberFormat="0" applyProtection="0">
      <alignment horizontal="left" vertical="center" indent="1"/>
    </xf>
    <xf numFmtId="4" fontId="284" fillId="39" borderId="73" applyNumberFormat="0" applyProtection="0">
      <alignment horizontal="left" vertical="center" indent="1"/>
    </xf>
    <xf numFmtId="4" fontId="92" fillId="146" borderId="73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92" fillId="0" borderId="82" applyNumberFormat="0" applyProtection="0">
      <alignment horizontal="left" vertical="center" indent="1"/>
    </xf>
    <xf numFmtId="4" fontId="92" fillId="0" borderId="82" applyNumberFormat="0" applyProtection="0">
      <alignment horizontal="left" vertical="center" indent="1"/>
    </xf>
    <xf numFmtId="4" fontId="92" fillId="0" borderId="82" applyNumberFormat="0" applyProtection="0">
      <alignment horizontal="left" vertical="center" indent="1"/>
    </xf>
    <xf numFmtId="4" fontId="92" fillId="0" borderId="82" applyNumberFormat="0" applyProtection="0">
      <alignment horizontal="left" vertical="center" indent="1"/>
    </xf>
    <xf numFmtId="4" fontId="92" fillId="0" borderId="82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4" fontId="38" fillId="76" borderId="49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0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188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188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188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188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0" fontId="18" fillId="130" borderId="67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178" fontId="18" fillId="130" borderId="67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178" fontId="18" fillId="130" borderId="67" applyNumberFormat="0" applyProtection="0">
      <alignment horizontal="left" vertical="center" indent="1"/>
    </xf>
    <xf numFmtId="188" fontId="18" fillId="130" borderId="67" applyNumberFormat="0" applyProtection="0">
      <alignment horizontal="left" vertical="center" indent="1"/>
    </xf>
    <xf numFmtId="178" fontId="18" fillId="130" borderId="67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178" fontId="18" fillId="130" borderId="67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0" fontId="18" fillId="130" borderId="67" applyNumberFormat="0" applyProtection="0">
      <alignment horizontal="left" vertical="center" indent="1"/>
    </xf>
    <xf numFmtId="178" fontId="18" fillId="130" borderId="67" applyNumberFormat="0" applyProtection="0">
      <alignment horizontal="left" vertical="center" indent="1"/>
    </xf>
    <xf numFmtId="188" fontId="18" fillId="130" borderId="67" applyNumberFormat="0" applyProtection="0">
      <alignment horizontal="left" vertical="center" indent="1"/>
    </xf>
    <xf numFmtId="178" fontId="18" fillId="130" borderId="67" applyNumberFormat="0" applyProtection="0">
      <alignment horizontal="left" vertical="center" indent="1"/>
    </xf>
    <xf numFmtId="0" fontId="283" fillId="131" borderId="83" applyNumberFormat="0" applyProtection="0">
      <alignment horizontal="center" vertical="center" wrapText="1"/>
    </xf>
    <xf numFmtId="0" fontId="283" fillId="131" borderId="83" applyNumberFormat="0" applyProtection="0">
      <alignment horizontal="center" vertical="center" wrapText="1"/>
    </xf>
    <xf numFmtId="0" fontId="283" fillId="131" borderId="83" applyNumberFormat="0" applyProtection="0">
      <alignment horizontal="center" vertical="center" wrapText="1"/>
    </xf>
    <xf numFmtId="178" fontId="283" fillId="131" borderId="83" applyNumberFormat="0" applyProtection="0">
      <alignment horizontal="center" vertical="center" wrapText="1"/>
    </xf>
    <xf numFmtId="0" fontId="283" fillId="131" borderId="83" applyNumberFormat="0" applyProtection="0">
      <alignment horizontal="center" vertical="center" wrapText="1"/>
    </xf>
    <xf numFmtId="178" fontId="283" fillId="131" borderId="83" applyNumberFormat="0" applyProtection="0">
      <alignment horizontal="center" vertical="center" wrapText="1"/>
    </xf>
    <xf numFmtId="188" fontId="283" fillId="131" borderId="83" applyNumberFormat="0" applyProtection="0">
      <alignment horizontal="center" vertical="center" wrapText="1"/>
    </xf>
    <xf numFmtId="178" fontId="283" fillId="131" borderId="83" applyNumberFormat="0" applyProtection="0">
      <alignment horizontal="center" vertical="center" wrapText="1"/>
    </xf>
    <xf numFmtId="0" fontId="92" fillId="131" borderId="73" applyNumberFormat="0" applyProtection="0">
      <alignment horizontal="left" vertical="top" indent="1"/>
    </xf>
    <xf numFmtId="0" fontId="92" fillId="131" borderId="73" applyNumberFormat="0" applyProtection="0">
      <alignment horizontal="left" vertical="top" indent="1"/>
    </xf>
    <xf numFmtId="0" fontId="92" fillId="131" borderId="73" applyNumberFormat="0" applyProtection="0">
      <alignment horizontal="left" vertical="top" indent="1"/>
    </xf>
    <xf numFmtId="178" fontId="92" fillId="131" borderId="73" applyNumberFormat="0" applyProtection="0">
      <alignment horizontal="left" vertical="top" indent="1"/>
    </xf>
    <xf numFmtId="178" fontId="92" fillId="131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188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0" fontId="18" fillId="130" borderId="67" applyNumberFormat="0" applyProtection="0">
      <alignment horizontal="left" vertical="center" indent="1"/>
    </xf>
    <xf numFmtId="0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188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188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188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188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188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188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188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188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188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188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188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188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188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188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188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0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188" fontId="286" fillId="146" borderId="73" applyNumberFormat="0" applyProtection="0">
      <alignment horizontal="left" vertical="top" indent="1"/>
    </xf>
    <xf numFmtId="178" fontId="286" fillId="146" borderId="73" applyNumberFormat="0" applyProtection="0">
      <alignment horizontal="left" vertical="top" indent="1"/>
    </xf>
    <xf numFmtId="0" fontId="18" fillId="0" borderId="0"/>
    <xf numFmtId="4" fontId="288" fillId="150" borderId="76" applyNumberFormat="0" applyProtection="0">
      <alignment horizontal="left" vertical="center" indent="1"/>
    </xf>
    <xf numFmtId="4" fontId="288" fillId="150" borderId="76" applyNumberFormat="0" applyProtection="0">
      <alignment horizontal="left" vertical="center" indent="1"/>
    </xf>
    <xf numFmtId="4" fontId="288" fillId="150" borderId="76" applyNumberFormat="0" applyProtection="0">
      <alignment horizontal="left" vertical="center" indent="1"/>
    </xf>
    <xf numFmtId="4" fontId="288" fillId="150" borderId="76" applyNumberFormat="0" applyProtection="0">
      <alignment horizontal="left" vertical="center" indent="1"/>
    </xf>
    <xf numFmtId="4" fontId="288" fillId="150" borderId="76" applyNumberFormat="0" applyProtection="0">
      <alignment horizontal="left" vertical="center" indent="1"/>
    </xf>
    <xf numFmtId="4" fontId="288" fillId="150" borderId="76" applyNumberFormat="0" applyProtection="0">
      <alignment horizontal="left" vertical="center" indent="1"/>
    </xf>
    <xf numFmtId="4" fontId="288" fillId="150" borderId="76" applyNumberFormat="0" applyProtection="0">
      <alignment horizontal="left" vertical="center" indent="1"/>
    </xf>
    <xf numFmtId="4" fontId="288" fillId="150" borderId="76" applyNumberFormat="0" applyProtection="0">
      <alignment horizontal="left" vertical="center" indent="1"/>
    </xf>
    <xf numFmtId="0" fontId="18" fillId="0" borderId="0"/>
    <xf numFmtId="0" fontId="18" fillId="0" borderId="0"/>
    <xf numFmtId="178" fontId="18" fillId="0" borderId="0"/>
    <xf numFmtId="178" fontId="18" fillId="0" borderId="0"/>
    <xf numFmtId="4" fontId="289" fillId="150" borderId="0" applyNumberFormat="0" applyProtection="0">
      <alignment horizontal="left" vertical="center" indent="1"/>
    </xf>
    <xf numFmtId="4" fontId="288" fillId="150" borderId="76" applyNumberFormat="0" applyProtection="0">
      <alignment horizontal="left" vertical="center" indent="1"/>
    </xf>
    <xf numFmtId="0" fontId="18" fillId="0" borderId="0"/>
    <xf numFmtId="4" fontId="288" fillId="150" borderId="76" applyNumberFormat="0" applyProtection="0">
      <alignment horizontal="left" vertical="center" indent="1"/>
    </xf>
    <xf numFmtId="4" fontId="288" fillId="150" borderId="76" applyNumberFormat="0" applyProtection="0">
      <alignment horizontal="left" vertical="center" indent="1"/>
    </xf>
    <xf numFmtId="4" fontId="288" fillId="150" borderId="76" applyNumberFormat="0" applyProtection="0">
      <alignment horizontal="left" vertical="center" indent="1"/>
    </xf>
    <xf numFmtId="4" fontId="288" fillId="150" borderId="76" applyNumberFormat="0" applyProtection="0">
      <alignment horizontal="left" vertical="center" indent="1"/>
    </xf>
    <xf numFmtId="4" fontId="288" fillId="150" borderId="76" applyNumberFormat="0" applyProtection="0">
      <alignment horizontal="left" vertical="center" indent="1"/>
    </xf>
    <xf numFmtId="4" fontId="288" fillId="150" borderId="76" applyNumberFormat="0" applyProtection="0">
      <alignment horizontal="left" vertical="center" indent="1"/>
    </xf>
    <xf numFmtId="4" fontId="288" fillId="150" borderId="76" applyNumberFormat="0" applyProtection="0">
      <alignment horizontal="left" vertical="center" indent="1"/>
    </xf>
    <xf numFmtId="4" fontId="288" fillId="150" borderId="76" applyNumberFormat="0" applyProtection="0">
      <alignment horizontal="left" vertical="center" indent="1"/>
    </xf>
    <xf numFmtId="4" fontId="288" fillId="150" borderId="76" applyNumberFormat="0" applyProtection="0">
      <alignment horizontal="left" vertical="center" indent="1"/>
    </xf>
    <xf numFmtId="4" fontId="288" fillId="150" borderId="76" applyNumberFormat="0" applyProtection="0">
      <alignment horizontal="left" vertical="center" indent="1"/>
    </xf>
    <xf numFmtId="4" fontId="288" fillId="150" borderId="76" applyNumberFormat="0" applyProtection="0">
      <alignment horizontal="left" vertical="center" indent="1"/>
    </xf>
    <xf numFmtId="4" fontId="288" fillId="150" borderId="76" applyNumberFormat="0" applyProtection="0">
      <alignment horizontal="left" vertical="center" indent="1"/>
    </xf>
    <xf numFmtId="4" fontId="288" fillId="150" borderId="76" applyNumberFormat="0" applyProtection="0">
      <alignment horizontal="left" vertical="center" indent="1"/>
    </xf>
    <xf numFmtId="4" fontId="288" fillId="150" borderId="76" applyNumberFormat="0" applyProtection="0">
      <alignment horizontal="left" vertical="center" indent="1"/>
    </xf>
    <xf numFmtId="4" fontId="288" fillId="150" borderId="76" applyNumberFormat="0" applyProtection="0">
      <alignment horizontal="left" vertical="center" indent="1"/>
    </xf>
    <xf numFmtId="4" fontId="288" fillId="150" borderId="76" applyNumberFormat="0" applyProtection="0">
      <alignment horizontal="left" vertical="center" indent="1"/>
    </xf>
    <xf numFmtId="4" fontId="288" fillId="150" borderId="76" applyNumberFormat="0" applyProtection="0">
      <alignment horizontal="left" vertical="center" indent="1"/>
    </xf>
    <xf numFmtId="4" fontId="288" fillId="150" borderId="76" applyNumberFormat="0" applyProtection="0">
      <alignment horizontal="left" vertical="center" indent="1"/>
    </xf>
    <xf numFmtId="4" fontId="288" fillId="150" borderId="76" applyNumberFormat="0" applyProtection="0">
      <alignment horizontal="left" vertical="center" indent="1"/>
    </xf>
    <xf numFmtId="4" fontId="288" fillId="150" borderId="76" applyNumberFormat="0" applyProtection="0">
      <alignment horizontal="left" vertical="center" indent="1"/>
    </xf>
    <xf numFmtId="4" fontId="288" fillId="150" borderId="76" applyNumberFormat="0" applyProtection="0">
      <alignment horizontal="left" vertical="center" indent="1"/>
    </xf>
    <xf numFmtId="4" fontId="288" fillId="150" borderId="76" applyNumberFormat="0" applyProtection="0">
      <alignment horizontal="left" vertical="center" indent="1"/>
    </xf>
    <xf numFmtId="4" fontId="288" fillId="150" borderId="76" applyNumberFormat="0" applyProtection="0">
      <alignment horizontal="left" vertical="center" indent="1"/>
    </xf>
    <xf numFmtId="4" fontId="288" fillId="150" borderId="76" applyNumberFormat="0" applyProtection="0">
      <alignment horizontal="left" vertical="center" indent="1"/>
    </xf>
    <xf numFmtId="4" fontId="288" fillId="150" borderId="76" applyNumberFormat="0" applyProtection="0">
      <alignment horizontal="left" vertical="center" indent="1"/>
    </xf>
    <xf numFmtId="4" fontId="288" fillId="150" borderId="76" applyNumberFormat="0" applyProtection="0">
      <alignment horizontal="left" vertical="center" indent="1"/>
    </xf>
    <xf numFmtId="4" fontId="288" fillId="150" borderId="76" applyNumberFormat="0" applyProtection="0">
      <alignment horizontal="left" vertical="center" indent="1"/>
    </xf>
    <xf numFmtId="4" fontId="288" fillId="150" borderId="76" applyNumberFormat="0" applyProtection="0">
      <alignment horizontal="left" vertical="center" indent="1"/>
    </xf>
    <xf numFmtId="4" fontId="288" fillId="150" borderId="76" applyNumberFormat="0" applyProtection="0">
      <alignment horizontal="left" vertical="center" indent="1"/>
    </xf>
    <xf numFmtId="4" fontId="288" fillId="150" borderId="76" applyNumberFormat="0" applyProtection="0">
      <alignment horizontal="left" vertical="center" indent="1"/>
    </xf>
    <xf numFmtId="4" fontId="288" fillId="150" borderId="76" applyNumberFormat="0" applyProtection="0">
      <alignment horizontal="left" vertical="center" indent="1"/>
    </xf>
    <xf numFmtId="0" fontId="38" fillId="151" borderId="21"/>
    <xf numFmtId="0" fontId="38" fillId="151" borderId="21"/>
    <xf numFmtId="0" fontId="38" fillId="151" borderId="21"/>
    <xf numFmtId="178" fontId="38" fillId="151" borderId="21"/>
    <xf numFmtId="0" fontId="38" fillId="151" borderId="21"/>
    <xf numFmtId="0" fontId="38" fillId="151" borderId="21"/>
    <xf numFmtId="178" fontId="38" fillId="151" borderId="21"/>
    <xf numFmtId="188" fontId="38" fillId="151" borderId="21"/>
    <xf numFmtId="178" fontId="38" fillId="151" borderId="21"/>
    <xf numFmtId="0" fontId="38" fillId="151" borderId="21"/>
    <xf numFmtId="178" fontId="38" fillId="151" borderId="21"/>
    <xf numFmtId="0" fontId="38" fillId="151" borderId="21"/>
    <xf numFmtId="0" fontId="38" fillId="151" borderId="21"/>
    <xf numFmtId="178" fontId="38" fillId="151" borderId="21"/>
    <xf numFmtId="188" fontId="38" fillId="151" borderId="21"/>
    <xf numFmtId="178" fontId="38" fillId="151" borderId="21"/>
    <xf numFmtId="4" fontId="290" fillId="144" borderId="67" applyNumberFormat="0" applyProtection="0">
      <alignment horizontal="right" vertical="center"/>
    </xf>
    <xf numFmtId="4" fontId="291" fillId="123" borderId="49" applyNumberFormat="0" applyProtection="0">
      <alignment horizontal="right" vertical="center"/>
    </xf>
    <xf numFmtId="4" fontId="291" fillId="123" borderId="49" applyNumberFormat="0" applyProtection="0">
      <alignment horizontal="right" vertical="center"/>
    </xf>
    <xf numFmtId="4" fontId="291" fillId="123" borderId="49" applyNumberFormat="0" applyProtection="0">
      <alignment horizontal="right" vertical="center"/>
    </xf>
    <xf numFmtId="4" fontId="291" fillId="123" borderId="49" applyNumberFormat="0" applyProtection="0">
      <alignment horizontal="right" vertical="center"/>
    </xf>
    <xf numFmtId="4" fontId="291" fillId="123" borderId="49" applyNumberFormat="0" applyProtection="0">
      <alignment horizontal="right" vertical="center"/>
    </xf>
    <xf numFmtId="4" fontId="291" fillId="123" borderId="49" applyNumberFormat="0" applyProtection="0">
      <alignment horizontal="right" vertical="center"/>
    </xf>
    <xf numFmtId="4" fontId="291" fillId="123" borderId="49" applyNumberFormat="0" applyProtection="0">
      <alignment horizontal="right" vertical="center"/>
    </xf>
    <xf numFmtId="4" fontId="291" fillId="123" borderId="49" applyNumberFormat="0" applyProtection="0">
      <alignment horizontal="right" vertical="center"/>
    </xf>
    <xf numFmtId="4" fontId="290" fillId="144" borderId="67" applyNumberFormat="0" applyProtection="0">
      <alignment horizontal="right" vertical="center"/>
    </xf>
    <xf numFmtId="4" fontId="290" fillId="144" borderId="67" applyNumberFormat="0" applyProtection="0">
      <alignment horizontal="right" vertical="center"/>
    </xf>
    <xf numFmtId="4" fontId="290" fillId="144" borderId="67" applyNumberFormat="0" applyProtection="0">
      <alignment horizontal="right" vertical="center"/>
    </xf>
    <xf numFmtId="4" fontId="290" fillId="144" borderId="67" applyNumberFormat="0" applyProtection="0">
      <alignment horizontal="right" vertical="center"/>
    </xf>
    <xf numFmtId="4" fontId="290" fillId="147" borderId="73" applyNumberFormat="0" applyProtection="0">
      <alignment horizontal="right" vertical="center"/>
    </xf>
    <xf numFmtId="4" fontId="290" fillId="147" borderId="73" applyNumberFormat="0" applyProtection="0">
      <alignment horizontal="right" vertical="center"/>
    </xf>
    <xf numFmtId="4" fontId="291" fillId="123" borderId="49" applyNumberFormat="0" applyProtection="0">
      <alignment horizontal="right" vertical="center"/>
    </xf>
    <xf numFmtId="4" fontId="291" fillId="123" borderId="49" applyNumberFormat="0" applyProtection="0">
      <alignment horizontal="right" vertical="center"/>
    </xf>
    <xf numFmtId="4" fontId="291" fillId="123" borderId="49" applyNumberFormat="0" applyProtection="0">
      <alignment horizontal="right" vertical="center"/>
    </xf>
    <xf numFmtId="4" fontId="291" fillId="123" borderId="49" applyNumberFormat="0" applyProtection="0">
      <alignment horizontal="right" vertical="center"/>
    </xf>
    <xf numFmtId="4" fontId="291" fillId="123" borderId="49" applyNumberFormat="0" applyProtection="0">
      <alignment horizontal="right" vertical="center"/>
    </xf>
    <xf numFmtId="4" fontId="291" fillId="123" borderId="49" applyNumberFormat="0" applyProtection="0">
      <alignment horizontal="right" vertical="center"/>
    </xf>
    <xf numFmtId="4" fontId="291" fillId="123" borderId="49" applyNumberFormat="0" applyProtection="0">
      <alignment horizontal="right" vertical="center"/>
    </xf>
    <xf numFmtId="4" fontId="291" fillId="123" borderId="49" applyNumberFormat="0" applyProtection="0">
      <alignment horizontal="right" vertical="center"/>
    </xf>
    <xf numFmtId="4" fontId="291" fillId="123" borderId="49" applyNumberFormat="0" applyProtection="0">
      <alignment horizontal="right" vertical="center"/>
    </xf>
    <xf numFmtId="4" fontId="291" fillId="123" borderId="49" applyNumberFormat="0" applyProtection="0">
      <alignment horizontal="right" vertical="center"/>
    </xf>
    <xf numFmtId="4" fontId="291" fillId="123" borderId="49" applyNumberFormat="0" applyProtection="0">
      <alignment horizontal="right" vertical="center"/>
    </xf>
    <xf numFmtId="4" fontId="291" fillId="123" borderId="49" applyNumberFormat="0" applyProtection="0">
      <alignment horizontal="right" vertical="center"/>
    </xf>
    <xf numFmtId="4" fontId="291" fillId="123" borderId="49" applyNumberFormat="0" applyProtection="0">
      <alignment horizontal="right" vertical="center"/>
    </xf>
    <xf numFmtId="4" fontId="291" fillId="123" borderId="49" applyNumberFormat="0" applyProtection="0">
      <alignment horizontal="right" vertical="center"/>
    </xf>
    <xf numFmtId="4" fontId="291" fillId="123" borderId="49" applyNumberFormat="0" applyProtection="0">
      <alignment horizontal="right" vertical="center"/>
    </xf>
    <xf numFmtId="4" fontId="291" fillId="123" borderId="49" applyNumberFormat="0" applyProtection="0">
      <alignment horizontal="right" vertical="center"/>
    </xf>
    <xf numFmtId="4" fontId="291" fillId="123" borderId="49" applyNumberFormat="0" applyProtection="0">
      <alignment horizontal="right" vertical="center"/>
    </xf>
    <xf numFmtId="4" fontId="291" fillId="123" borderId="49" applyNumberFormat="0" applyProtection="0">
      <alignment horizontal="right" vertical="center"/>
    </xf>
    <xf numFmtId="4" fontId="291" fillId="123" borderId="49" applyNumberFormat="0" applyProtection="0">
      <alignment horizontal="right" vertical="center"/>
    </xf>
    <xf numFmtId="4" fontId="291" fillId="123" borderId="49" applyNumberFormat="0" applyProtection="0">
      <alignment horizontal="right" vertical="center"/>
    </xf>
    <xf numFmtId="4" fontId="291" fillId="123" borderId="49" applyNumberFormat="0" applyProtection="0">
      <alignment horizontal="right" vertical="center"/>
    </xf>
    <xf numFmtId="4" fontId="291" fillId="123" borderId="49" applyNumberFormat="0" applyProtection="0">
      <alignment horizontal="right" vertical="center"/>
    </xf>
    <xf numFmtId="4" fontId="291" fillId="123" borderId="49" applyNumberFormat="0" applyProtection="0">
      <alignment horizontal="right" vertical="center"/>
    </xf>
    <xf numFmtId="4" fontId="291" fillId="123" borderId="49" applyNumberFormat="0" applyProtection="0">
      <alignment horizontal="right" vertical="center"/>
    </xf>
    <xf numFmtId="4" fontId="291" fillId="123" borderId="49" applyNumberFormat="0" applyProtection="0">
      <alignment horizontal="right" vertical="center"/>
    </xf>
    <xf numFmtId="4" fontId="291" fillId="123" borderId="49" applyNumberFormat="0" applyProtection="0">
      <alignment horizontal="right" vertical="center"/>
    </xf>
    <xf numFmtId="4" fontId="291" fillId="123" borderId="49" applyNumberFormat="0" applyProtection="0">
      <alignment horizontal="right" vertical="center"/>
    </xf>
    <xf numFmtId="4" fontId="291" fillId="123" borderId="49" applyNumberFormat="0" applyProtection="0">
      <alignment horizontal="right" vertical="center"/>
    </xf>
    <xf numFmtId="4" fontId="291" fillId="123" borderId="49" applyNumberFormat="0" applyProtection="0">
      <alignment horizontal="right" vertical="center"/>
    </xf>
    <xf numFmtId="4" fontId="291" fillId="123" borderId="49" applyNumberFormat="0" applyProtection="0">
      <alignment horizontal="right" vertical="center"/>
    </xf>
    <xf numFmtId="4" fontId="291" fillId="123" borderId="49" applyNumberFormat="0" applyProtection="0">
      <alignment horizontal="right" vertical="center"/>
    </xf>
    <xf numFmtId="4" fontId="291" fillId="123" borderId="49" applyNumberFormat="0" applyProtection="0">
      <alignment horizontal="right" vertical="center"/>
    </xf>
    <xf numFmtId="4" fontId="291" fillId="123" borderId="49" applyNumberFormat="0" applyProtection="0">
      <alignment horizontal="right" vertical="center"/>
    </xf>
    <xf numFmtId="0" fontId="18" fillId="59" borderId="0" applyNumberFormat="0" applyFont="0" applyBorder="0" applyAlignment="0" applyProtection="0"/>
    <xf numFmtId="0" fontId="18" fillId="59" borderId="0" applyNumberFormat="0" applyFont="0" applyBorder="0" applyAlignment="0" applyProtection="0"/>
    <xf numFmtId="0" fontId="18" fillId="59" borderId="0" applyNumberFormat="0" applyFont="0" applyBorder="0" applyAlignment="0" applyProtection="0"/>
    <xf numFmtId="0" fontId="18" fillId="59" borderId="0" applyNumberFormat="0" applyFont="0" applyBorder="0" applyAlignment="0" applyProtection="0"/>
    <xf numFmtId="178" fontId="18" fillId="59" borderId="0" applyNumberFormat="0" applyFont="0" applyBorder="0" applyAlignment="0" applyProtection="0"/>
    <xf numFmtId="0" fontId="18" fillId="59" borderId="0" applyNumberFormat="0" applyFont="0" applyBorder="0" applyAlignment="0" applyProtection="0"/>
    <xf numFmtId="0" fontId="18" fillId="59" borderId="0" applyNumberFormat="0" applyFont="0" applyBorder="0" applyAlignment="0" applyProtection="0"/>
    <xf numFmtId="0" fontId="18" fillId="59" borderId="0" applyNumberFormat="0" applyFont="0" applyBorder="0" applyAlignment="0" applyProtection="0"/>
    <xf numFmtId="0" fontId="18" fillId="59" borderId="0" applyNumberFormat="0" applyFont="0" applyBorder="0" applyAlignment="0" applyProtection="0"/>
    <xf numFmtId="0" fontId="18" fillId="59" borderId="0" applyNumberFormat="0" applyFont="0" applyBorder="0" applyAlignment="0" applyProtection="0"/>
    <xf numFmtId="0" fontId="18" fillId="59" borderId="0" applyNumberFormat="0" applyFont="0" applyBorder="0" applyAlignment="0" applyProtection="0"/>
    <xf numFmtId="0" fontId="18" fillId="59" borderId="0" applyNumberFormat="0" applyFont="0" applyBorder="0" applyAlignment="0" applyProtection="0"/>
    <xf numFmtId="0" fontId="18" fillId="123" borderId="0" applyNumberFormat="0" applyFont="0" applyBorder="0" applyAlignment="0" applyProtection="0"/>
    <xf numFmtId="0" fontId="18" fillId="123" borderId="0" applyNumberFormat="0" applyFont="0" applyBorder="0" applyAlignment="0" applyProtection="0"/>
    <xf numFmtId="0" fontId="18" fillId="123" borderId="0" applyNumberFormat="0" applyFont="0" applyBorder="0" applyAlignment="0" applyProtection="0"/>
    <xf numFmtId="0" fontId="18" fillId="123" borderId="0" applyNumberFormat="0" applyFont="0" applyBorder="0" applyAlignment="0" applyProtection="0"/>
    <xf numFmtId="178" fontId="18" fillId="123" borderId="0" applyNumberFormat="0" applyFont="0" applyBorder="0" applyAlignment="0" applyProtection="0"/>
    <xf numFmtId="0" fontId="18" fillId="123" borderId="0" applyNumberFormat="0" applyFont="0" applyBorder="0" applyAlignment="0" applyProtection="0"/>
    <xf numFmtId="0" fontId="18" fillId="123" borderId="0" applyNumberFormat="0" applyFont="0" applyBorder="0" applyAlignment="0" applyProtection="0"/>
    <xf numFmtId="0" fontId="18" fillId="123" borderId="0" applyNumberFormat="0" applyFont="0" applyBorder="0" applyAlignment="0" applyProtection="0"/>
    <xf numFmtId="0" fontId="18" fillId="123" borderId="0" applyNumberFormat="0" applyFont="0" applyBorder="0" applyAlignment="0" applyProtection="0"/>
    <xf numFmtId="0" fontId="18" fillId="123" borderId="0" applyNumberFormat="0" applyFont="0" applyBorder="0" applyAlignment="0" applyProtection="0"/>
    <xf numFmtId="0" fontId="18" fillId="123" borderId="0" applyNumberFormat="0" applyFont="0" applyBorder="0" applyAlignment="0" applyProtection="0"/>
    <xf numFmtId="0" fontId="18" fillId="123" borderId="0" applyNumberFormat="0" applyFont="0" applyBorder="0" applyAlignment="0" applyProtection="0"/>
    <xf numFmtId="0" fontId="18" fillId="53" borderId="0" applyNumberFormat="0" applyFont="0" applyBorder="0" applyAlignment="0" applyProtection="0"/>
    <xf numFmtId="0" fontId="18" fillId="53" borderId="0" applyNumberFormat="0" applyFont="0" applyBorder="0" applyAlignment="0" applyProtection="0"/>
    <xf numFmtId="0" fontId="18" fillId="53" borderId="0" applyNumberFormat="0" applyFont="0" applyBorder="0" applyAlignment="0" applyProtection="0"/>
    <xf numFmtId="0" fontId="18" fillId="53" borderId="0" applyNumberFormat="0" applyFont="0" applyBorder="0" applyAlignment="0" applyProtection="0"/>
    <xf numFmtId="178" fontId="18" fillId="53" borderId="0" applyNumberFormat="0" applyFont="0" applyBorder="0" applyAlignment="0" applyProtection="0"/>
    <xf numFmtId="0" fontId="18" fillId="53" borderId="0" applyNumberFormat="0" applyFont="0" applyBorder="0" applyAlignment="0" applyProtection="0"/>
    <xf numFmtId="0" fontId="18" fillId="53" borderId="0" applyNumberFormat="0" applyFont="0" applyBorder="0" applyAlignment="0" applyProtection="0"/>
    <xf numFmtId="0" fontId="18" fillId="53" borderId="0" applyNumberFormat="0" applyFont="0" applyBorder="0" applyAlignment="0" applyProtection="0"/>
    <xf numFmtId="0" fontId="18" fillId="53" borderId="0" applyNumberFormat="0" applyFont="0" applyBorder="0" applyAlignment="0" applyProtection="0"/>
    <xf numFmtId="0" fontId="18" fillId="53" borderId="0" applyNumberFormat="0" applyFont="0" applyBorder="0" applyAlignment="0" applyProtection="0"/>
    <xf numFmtId="0" fontId="18" fillId="53" borderId="0" applyNumberFormat="0" applyFont="0" applyBorder="0" applyAlignment="0" applyProtection="0"/>
    <xf numFmtId="0" fontId="18" fillId="53" borderId="0" applyNumberFormat="0" applyFont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178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53" borderId="0" applyNumberFormat="0" applyFont="0" applyBorder="0" applyAlignment="0" applyProtection="0"/>
    <xf numFmtId="0" fontId="18" fillId="53" borderId="0" applyNumberFormat="0" applyFont="0" applyBorder="0" applyAlignment="0" applyProtection="0"/>
    <xf numFmtId="0" fontId="18" fillId="53" borderId="0" applyNumberFormat="0" applyFont="0" applyBorder="0" applyAlignment="0" applyProtection="0"/>
    <xf numFmtId="0" fontId="18" fillId="53" borderId="0" applyNumberFormat="0" applyFont="0" applyBorder="0" applyAlignment="0" applyProtection="0"/>
    <xf numFmtId="178" fontId="18" fillId="53" borderId="0" applyNumberFormat="0" applyFont="0" applyBorder="0" applyAlignment="0" applyProtection="0"/>
    <xf numFmtId="0" fontId="18" fillId="53" borderId="0" applyNumberFormat="0" applyFont="0" applyBorder="0" applyAlignment="0" applyProtection="0"/>
    <xf numFmtId="0" fontId="18" fillId="53" borderId="0" applyNumberFormat="0" applyFont="0" applyBorder="0" applyAlignment="0" applyProtection="0"/>
    <xf numFmtId="0" fontId="18" fillId="53" borderId="0" applyNumberFormat="0" applyFont="0" applyBorder="0" applyAlignment="0" applyProtection="0"/>
    <xf numFmtId="0" fontId="18" fillId="53" borderId="0" applyNumberFormat="0" applyFont="0" applyBorder="0" applyAlignment="0" applyProtection="0"/>
    <xf numFmtId="0" fontId="18" fillId="53" borderId="0" applyNumberFormat="0" applyFont="0" applyBorder="0" applyAlignment="0" applyProtection="0"/>
    <xf numFmtId="0" fontId="18" fillId="53" borderId="0" applyNumberFormat="0" applyFont="0" applyBorder="0" applyAlignment="0" applyProtection="0"/>
    <xf numFmtId="0" fontId="18" fillId="53" borderId="0" applyNumberFormat="0" applyFont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178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Border="0" applyAlignment="0" applyProtection="0"/>
    <xf numFmtId="0" fontId="18" fillId="0" borderId="0" applyNumberFormat="0" applyFont="0" applyBorder="0" applyAlignment="0" applyProtection="0"/>
    <xf numFmtId="0" fontId="18" fillId="0" borderId="0" applyNumberFormat="0" applyFont="0" applyBorder="0" applyAlignment="0" applyProtection="0"/>
    <xf numFmtId="0" fontId="18" fillId="0" borderId="0" applyNumberFormat="0" applyFont="0" applyBorder="0" applyAlignment="0" applyProtection="0"/>
    <xf numFmtId="178" fontId="18" fillId="0" borderId="0" applyNumberFormat="0" applyFont="0" applyBorder="0" applyAlignment="0" applyProtection="0"/>
    <xf numFmtId="0" fontId="18" fillId="0" borderId="0" applyNumberFormat="0" applyFont="0" applyBorder="0" applyAlignment="0" applyProtection="0"/>
    <xf numFmtId="0" fontId="18" fillId="0" borderId="0" applyNumberFormat="0" applyFont="0" applyBorder="0" applyAlignment="0" applyProtection="0"/>
    <xf numFmtId="0" fontId="18" fillId="0" borderId="0" applyNumberFormat="0" applyFont="0" applyBorder="0" applyAlignment="0" applyProtection="0"/>
    <xf numFmtId="0" fontId="18" fillId="0" borderId="0" applyNumberFormat="0" applyFont="0" applyBorder="0" applyAlignment="0" applyProtection="0"/>
    <xf numFmtId="0" fontId="18" fillId="0" borderId="0" applyNumberFormat="0" applyFont="0" applyBorder="0" applyAlignment="0" applyProtection="0"/>
    <xf numFmtId="0" fontId="18" fillId="0" borderId="0" applyNumberFormat="0" applyFont="0" applyBorder="0" applyAlignment="0" applyProtection="0"/>
    <xf numFmtId="0" fontId="18" fillId="0" borderId="0" applyNumberFormat="0" applyFont="0" applyBorder="0" applyAlignment="0" applyProtection="0"/>
    <xf numFmtId="0" fontId="155" fillId="66" borderId="0" applyNumberFormat="0" applyBorder="0" applyAlignment="0" applyProtection="0"/>
    <xf numFmtId="0" fontId="155" fillId="66" borderId="0" applyNumberFormat="0" applyBorder="0" applyAlignment="0" applyProtection="0"/>
    <xf numFmtId="178" fontId="155" fillId="66" borderId="0" applyNumberFormat="0" applyBorder="0" applyAlignment="0" applyProtection="0"/>
    <xf numFmtId="178" fontId="155" fillId="66" borderId="0" applyNumberFormat="0" applyBorder="0" applyAlignment="0" applyProtection="0"/>
    <xf numFmtId="0" fontId="18" fillId="0" borderId="28"/>
    <xf numFmtId="0" fontId="18" fillId="0" borderId="28"/>
    <xf numFmtId="0" fontId="18" fillId="0" borderId="28"/>
    <xf numFmtId="0" fontId="18" fillId="0" borderId="28"/>
    <xf numFmtId="178" fontId="18" fillId="0" borderId="28"/>
    <xf numFmtId="188" fontId="18" fillId="0" borderId="28"/>
    <xf numFmtId="178" fontId="18" fillId="0" borderId="28"/>
    <xf numFmtId="0" fontId="18" fillId="0" borderId="28"/>
    <xf numFmtId="0" fontId="18" fillId="0" borderId="28"/>
    <xf numFmtId="178" fontId="18" fillId="0" borderId="28"/>
    <xf numFmtId="188" fontId="18" fillId="0" borderId="28"/>
    <xf numFmtId="178" fontId="18" fillId="0" borderId="28"/>
    <xf numFmtId="0" fontId="18" fillId="0" borderId="28"/>
    <xf numFmtId="178" fontId="18" fillId="0" borderId="28"/>
    <xf numFmtId="188" fontId="18" fillId="0" borderId="28"/>
    <xf numFmtId="178" fontId="18" fillId="0" borderId="28"/>
    <xf numFmtId="0" fontId="235" fillId="0" borderId="28"/>
    <xf numFmtId="0" fontId="235" fillId="0" borderId="28"/>
    <xf numFmtId="178" fontId="235" fillId="0" borderId="28"/>
    <xf numFmtId="188" fontId="235" fillId="0" borderId="28"/>
    <xf numFmtId="178" fontId="235" fillId="0" borderId="28"/>
    <xf numFmtId="0" fontId="235" fillId="0" borderId="28"/>
    <xf numFmtId="178" fontId="235" fillId="0" borderId="28"/>
    <xf numFmtId="178" fontId="235" fillId="0" borderId="28"/>
    <xf numFmtId="0" fontId="234" fillId="0" borderId="0" applyNumberFormat="0" applyFill="0" applyBorder="0" applyProtection="0">
      <alignment horizontal="left" vertical="center"/>
    </xf>
    <xf numFmtId="0" fontId="234" fillId="0" borderId="0" applyNumberFormat="0" applyFill="0" applyBorder="0" applyProtection="0">
      <alignment horizontal="left" vertical="center"/>
    </xf>
    <xf numFmtId="178" fontId="234" fillId="0" borderId="0" applyNumberFormat="0" applyFill="0" applyBorder="0" applyProtection="0">
      <alignment horizontal="left" vertical="center"/>
    </xf>
    <xf numFmtId="178" fontId="234" fillId="0" borderId="0" applyNumberFormat="0" applyFill="0" applyBorder="0" applyProtection="0">
      <alignment horizontal="left" vertical="center"/>
    </xf>
    <xf numFmtId="0" fontId="18" fillId="152" borderId="0"/>
    <xf numFmtId="0" fontId="18" fillId="152" borderId="0"/>
    <xf numFmtId="178" fontId="18" fillId="152" borderId="0"/>
    <xf numFmtId="178" fontId="18" fillId="152" borderId="0"/>
    <xf numFmtId="38" fontId="119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67" fillId="153" borderId="0"/>
    <xf numFmtId="0" fontId="67" fillId="153" borderId="0"/>
    <xf numFmtId="178" fontId="67" fillId="153" borderId="0"/>
    <xf numFmtId="178" fontId="67" fillId="153" borderId="0"/>
    <xf numFmtId="0" fontId="99" fillId="1" borderId="10" applyNumberFormat="0" applyFont="0" applyAlignment="0">
      <alignment horizontal="center"/>
    </xf>
    <xf numFmtId="0" fontId="99" fillId="1" borderId="10" applyNumberFormat="0" applyFont="0" applyAlignment="0">
      <alignment horizontal="center"/>
    </xf>
    <xf numFmtId="0" fontId="99" fillId="1" borderId="10" applyNumberFormat="0" applyFont="0" applyAlignment="0">
      <alignment horizontal="center"/>
    </xf>
    <xf numFmtId="178" fontId="99" fillId="1" borderId="10" applyNumberFormat="0" applyFont="0" applyAlignment="0">
      <alignment horizontal="center"/>
    </xf>
    <xf numFmtId="0" fontId="99" fillId="1" borderId="10" applyNumberFormat="0" applyFont="0" applyAlignment="0">
      <alignment horizontal="center"/>
    </xf>
    <xf numFmtId="0" fontId="99" fillId="1" borderId="10" applyNumberFormat="0" applyFont="0" applyAlignment="0">
      <alignment horizontal="center"/>
    </xf>
    <xf numFmtId="178" fontId="99" fillId="1" borderId="10" applyNumberFormat="0" applyFont="0" applyAlignment="0">
      <alignment horizontal="center"/>
    </xf>
    <xf numFmtId="188" fontId="99" fillId="1" borderId="10" applyNumberFormat="0" applyFont="0" applyAlignment="0">
      <alignment horizontal="center"/>
    </xf>
    <xf numFmtId="178" fontId="99" fillId="1" borderId="10" applyNumberFormat="0" applyFont="0" applyAlignment="0">
      <alignment horizontal="center"/>
    </xf>
    <xf numFmtId="0" fontId="99" fillId="1" borderId="10" applyNumberFormat="0" applyFont="0" applyAlignment="0">
      <alignment horizontal="center"/>
    </xf>
    <xf numFmtId="0" fontId="99" fillId="1" borderId="10" applyNumberFormat="0" applyFont="0" applyAlignment="0">
      <alignment horizontal="center"/>
    </xf>
    <xf numFmtId="178" fontId="99" fillId="1" borderId="10" applyNumberFormat="0" applyFont="0" applyAlignment="0">
      <alignment horizontal="center"/>
    </xf>
    <xf numFmtId="0" fontId="99" fillId="1" borderId="10" applyNumberFormat="0" applyFont="0" applyAlignment="0">
      <alignment horizontal="center"/>
    </xf>
    <xf numFmtId="0" fontId="99" fillId="1" borderId="10" applyNumberFormat="0" applyFont="0" applyAlignment="0">
      <alignment horizontal="center"/>
    </xf>
    <xf numFmtId="178" fontId="99" fillId="1" borderId="10" applyNumberFormat="0" applyFont="0" applyAlignment="0">
      <alignment horizontal="center"/>
    </xf>
    <xf numFmtId="188" fontId="99" fillId="1" borderId="10" applyNumberFormat="0" applyFont="0" applyAlignment="0">
      <alignment horizontal="center"/>
    </xf>
    <xf numFmtId="178" fontId="99" fillId="1" borderId="10" applyNumberFormat="0" applyFont="0" applyAlignment="0">
      <alignment horizontal="center"/>
    </xf>
    <xf numFmtId="0" fontId="99" fillId="1" borderId="10" applyNumberFormat="0" applyFont="0" applyAlignment="0">
      <alignment horizontal="center"/>
    </xf>
    <xf numFmtId="178" fontId="99" fillId="1" borderId="10" applyNumberFormat="0" applyFont="0" applyAlignment="0">
      <alignment horizontal="center"/>
    </xf>
    <xf numFmtId="0" fontId="99" fillId="1" borderId="10" applyNumberFormat="0" applyFont="0" applyAlignment="0">
      <alignment horizontal="center"/>
    </xf>
    <xf numFmtId="0" fontId="99" fillId="1" borderId="10" applyNumberFormat="0" applyFont="0" applyAlignment="0">
      <alignment horizontal="center"/>
    </xf>
    <xf numFmtId="178" fontId="99" fillId="1" borderId="10" applyNumberFormat="0" applyFont="0" applyAlignment="0">
      <alignment horizontal="center"/>
    </xf>
    <xf numFmtId="188" fontId="99" fillId="1" borderId="10" applyNumberFormat="0" applyFont="0" applyAlignment="0">
      <alignment horizontal="center"/>
    </xf>
    <xf numFmtId="178" fontId="99" fillId="1" borderId="10" applyNumberFormat="0" applyFont="0" applyAlignment="0">
      <alignment horizontal="center"/>
    </xf>
    <xf numFmtId="164" fontId="67" fillId="0" borderId="0"/>
    <xf numFmtId="37" fontId="18" fillId="0" borderId="21" applyBorder="0">
      <alignment horizontal="right"/>
      <protection locked="0"/>
    </xf>
    <xf numFmtId="37" fontId="18" fillId="0" borderId="21" applyBorder="0">
      <alignment horizontal="right"/>
      <protection locked="0"/>
    </xf>
    <xf numFmtId="37" fontId="18" fillId="0" borderId="21" applyBorder="0">
      <alignment horizontal="right"/>
      <protection locked="0"/>
    </xf>
    <xf numFmtId="37" fontId="18" fillId="0" borderId="21" applyBorder="0">
      <alignment horizontal="right"/>
      <protection locked="0"/>
    </xf>
    <xf numFmtId="37" fontId="18" fillId="0" borderId="21" applyBorder="0">
      <alignment horizontal="right"/>
      <protection locked="0"/>
    </xf>
    <xf numFmtId="37" fontId="18" fillId="0" borderId="21" applyBorder="0">
      <alignment horizontal="right"/>
      <protection locked="0"/>
    </xf>
    <xf numFmtId="37" fontId="18" fillId="0" borderId="21" applyBorder="0">
      <alignment horizontal="right"/>
      <protection locked="0"/>
    </xf>
    <xf numFmtId="37" fontId="18" fillId="0" borderId="21" applyBorder="0">
      <alignment horizontal="right"/>
      <protection locked="0"/>
    </xf>
    <xf numFmtId="0" fontId="292" fillId="0" borderId="0" applyNumberFormat="0" applyFill="0" applyBorder="0" applyAlignment="0" applyProtection="0"/>
    <xf numFmtId="0" fontId="292" fillId="0" borderId="0" applyNumberFormat="0" applyFill="0" applyBorder="0" applyAlignment="0" applyProtection="0"/>
    <xf numFmtId="178" fontId="292" fillId="0" borderId="0" applyNumberFormat="0" applyFill="0" applyBorder="0" applyAlignment="0" applyProtection="0"/>
    <xf numFmtId="178" fontId="292" fillId="0" borderId="0" applyNumberFormat="0" applyFill="0" applyBorder="0" applyAlignment="0" applyProtection="0"/>
    <xf numFmtId="333" fontId="18" fillId="0" borderId="0" applyFont="0" applyFill="0" applyBorder="0" applyAlignment="0" applyProtection="0"/>
    <xf numFmtId="0" fontId="18" fillId="0" borderId="0" applyFill="0" applyBorder="0" applyAlignment="0" applyProtection="0"/>
    <xf numFmtId="0" fontId="18" fillId="0" borderId="0" applyFill="0" applyBorder="0" applyAlignment="0" applyProtection="0"/>
    <xf numFmtId="0" fontId="18" fillId="0" borderId="0" applyFill="0" applyBorder="0" applyAlignment="0" applyProtection="0"/>
    <xf numFmtId="178" fontId="18" fillId="0" borderId="0" applyFill="0" applyBorder="0" applyAlignment="0" applyProtection="0"/>
    <xf numFmtId="178" fontId="18" fillId="0" borderId="0" applyFill="0" applyBorder="0" applyAlignment="0" applyProtection="0"/>
    <xf numFmtId="0" fontId="293" fillId="0" borderId="0" applyFill="0" applyBorder="0" applyAlignment="0" applyProtection="0"/>
    <xf numFmtId="178" fontId="293" fillId="0" borderId="0" applyFill="0" applyBorder="0" applyAlignment="0" applyProtection="0"/>
    <xf numFmtId="178" fontId="293" fillId="0" borderId="0" applyFill="0" applyBorder="0" applyAlignment="0" applyProtection="0"/>
    <xf numFmtId="0" fontId="18" fillId="0" borderId="0" applyNumberFormat="0" applyFill="0" applyBorder="0" applyAlignment="0" applyProtection="0">
      <alignment horizontal="center"/>
    </xf>
    <xf numFmtId="0" fontId="18" fillId="0" borderId="0" applyNumberFormat="0" applyFill="0" applyBorder="0" applyAlignment="0" applyProtection="0">
      <alignment horizontal="center"/>
    </xf>
    <xf numFmtId="0" fontId="18" fillId="0" borderId="0" applyNumberFormat="0" applyFill="0" applyBorder="0" applyAlignment="0" applyProtection="0">
      <alignment horizontal="center"/>
    </xf>
    <xf numFmtId="178" fontId="18" fillId="0" borderId="0" applyNumberFormat="0" applyFill="0" applyBorder="0" applyAlignment="0" applyProtection="0">
      <alignment horizontal="center"/>
    </xf>
    <xf numFmtId="178" fontId="18" fillId="0" borderId="0" applyNumberFormat="0" applyFill="0" applyBorder="0" applyAlignment="0" applyProtection="0">
      <alignment horizontal="center"/>
    </xf>
    <xf numFmtId="0" fontId="135" fillId="0" borderId="0" applyNumberFormat="0" applyFill="0" applyBorder="0" applyAlignment="0" applyProtection="0">
      <alignment horizontal="center"/>
    </xf>
    <xf numFmtId="178" fontId="135" fillId="0" borderId="0" applyNumberFormat="0" applyFill="0" applyBorder="0" applyAlignment="0" applyProtection="0">
      <alignment horizontal="center"/>
    </xf>
    <xf numFmtId="178" fontId="135" fillId="0" borderId="0" applyNumberFormat="0" applyFill="0" applyBorder="0" applyAlignment="0" applyProtection="0">
      <alignment horizontal="center"/>
    </xf>
    <xf numFmtId="227" fontId="18" fillId="0" borderId="0" applyFont="0" applyFill="0" applyBorder="0" applyAlignment="0" applyProtection="0"/>
    <xf numFmtId="0" fontId="18" fillId="0" borderId="21" applyNumberFormat="0">
      <alignment horizontal="center" vertical="center" shrinkToFit="1"/>
    </xf>
    <xf numFmtId="0" fontId="18" fillId="0" borderId="21" applyNumberFormat="0">
      <alignment horizontal="center" vertical="center" shrinkToFit="1"/>
    </xf>
    <xf numFmtId="0" fontId="18" fillId="0" borderId="21" applyNumberFormat="0">
      <alignment horizontal="center" vertical="center" shrinkToFit="1"/>
    </xf>
    <xf numFmtId="178" fontId="18" fillId="0" borderId="21" applyNumberFormat="0">
      <alignment horizontal="center" vertical="center" shrinkToFit="1"/>
    </xf>
    <xf numFmtId="0" fontId="18" fillId="0" borderId="21" applyNumberFormat="0">
      <alignment horizontal="center" vertical="center" shrinkToFit="1"/>
    </xf>
    <xf numFmtId="0" fontId="18" fillId="0" borderId="21" applyNumberFormat="0">
      <alignment horizontal="center" vertical="center" shrinkToFit="1"/>
    </xf>
    <xf numFmtId="178" fontId="18" fillId="0" borderId="21" applyNumberFormat="0">
      <alignment horizontal="center" vertical="center" shrinkToFit="1"/>
    </xf>
    <xf numFmtId="188" fontId="18" fillId="0" borderId="21" applyNumberFormat="0">
      <alignment horizontal="center" vertical="center" shrinkToFit="1"/>
    </xf>
    <xf numFmtId="178" fontId="18" fillId="0" borderId="21" applyNumberFormat="0">
      <alignment horizontal="center" vertical="center" shrinkToFit="1"/>
    </xf>
    <xf numFmtId="0" fontId="18" fillId="0" borderId="21" applyNumberFormat="0">
      <alignment horizontal="center" vertical="center" shrinkToFit="1"/>
    </xf>
    <xf numFmtId="178" fontId="18" fillId="0" borderId="21" applyNumberFormat="0">
      <alignment horizontal="center" vertical="center" shrinkToFit="1"/>
    </xf>
    <xf numFmtId="0" fontId="18" fillId="0" borderId="21" applyNumberFormat="0">
      <alignment horizontal="center" vertical="center" shrinkToFit="1"/>
    </xf>
    <xf numFmtId="0" fontId="18" fillId="0" borderId="21" applyNumberFormat="0">
      <alignment horizontal="center" vertical="center" shrinkToFit="1"/>
    </xf>
    <xf numFmtId="178" fontId="18" fillId="0" borderId="21" applyNumberFormat="0">
      <alignment horizontal="center" vertical="center" shrinkToFit="1"/>
    </xf>
    <xf numFmtId="188" fontId="18" fillId="0" borderId="21" applyNumberFormat="0">
      <alignment horizontal="center" vertical="center" shrinkToFit="1"/>
    </xf>
    <xf numFmtId="178" fontId="18" fillId="0" borderId="21" applyNumberFormat="0">
      <alignment horizontal="center" vertical="center" shrinkToFit="1"/>
    </xf>
    <xf numFmtId="0" fontId="258" fillId="53" borderId="67" applyNumberFormat="0" applyAlignment="0" applyProtection="0"/>
    <xf numFmtId="0" fontId="258" fillId="53" borderId="67" applyNumberFormat="0" applyAlignment="0" applyProtection="0"/>
    <xf numFmtId="0" fontId="258" fillId="53" borderId="67" applyNumberFormat="0" applyAlignment="0" applyProtection="0"/>
    <xf numFmtId="178" fontId="258" fillId="53" borderId="67" applyNumberFormat="0" applyAlignment="0" applyProtection="0"/>
    <xf numFmtId="0" fontId="258" fillId="53" borderId="67" applyNumberFormat="0" applyAlignment="0" applyProtection="0"/>
    <xf numFmtId="0" fontId="258" fillId="53" borderId="67" applyNumberFormat="0" applyAlignment="0" applyProtection="0"/>
    <xf numFmtId="178" fontId="258" fillId="53" borderId="67" applyNumberFormat="0" applyAlignment="0" applyProtection="0"/>
    <xf numFmtId="188" fontId="258" fillId="53" borderId="67" applyNumberFormat="0" applyAlignment="0" applyProtection="0"/>
    <xf numFmtId="178" fontId="258" fillId="53" borderId="67" applyNumberFormat="0" applyAlignment="0" applyProtection="0"/>
    <xf numFmtId="0" fontId="258" fillId="53" borderId="67" applyNumberFormat="0" applyAlignment="0" applyProtection="0"/>
    <xf numFmtId="178" fontId="258" fillId="53" borderId="67" applyNumberFormat="0" applyAlignment="0" applyProtection="0"/>
    <xf numFmtId="0" fontId="258" fillId="53" borderId="67" applyNumberFormat="0" applyAlignment="0" applyProtection="0"/>
    <xf numFmtId="0" fontId="258" fillId="53" borderId="67" applyNumberFormat="0" applyAlignment="0" applyProtection="0"/>
    <xf numFmtId="178" fontId="258" fillId="53" borderId="67" applyNumberFormat="0" applyAlignment="0" applyProtection="0"/>
    <xf numFmtId="188" fontId="258" fillId="53" borderId="67" applyNumberFormat="0" applyAlignment="0" applyProtection="0"/>
    <xf numFmtId="178" fontId="258" fillId="53" borderId="67" applyNumberFormat="0" applyAlignment="0" applyProtection="0"/>
    <xf numFmtId="0" fontId="99" fillId="0" borderId="0" applyNumberFormat="0" applyFill="0" applyBorder="0" applyAlignment="0">
      <alignment horizontal="center"/>
    </xf>
    <xf numFmtId="0" fontId="99" fillId="0" borderId="0" applyNumberFormat="0" applyFill="0" applyBorder="0" applyAlignment="0">
      <alignment horizontal="center"/>
    </xf>
    <xf numFmtId="178" fontId="99" fillId="0" borderId="0" applyNumberFormat="0" applyFill="0" applyBorder="0" applyAlignment="0">
      <alignment horizontal="center"/>
    </xf>
    <xf numFmtId="178" fontId="99" fillId="0" borderId="0" applyNumberFormat="0" applyFill="0" applyBorder="0" applyAlignment="0">
      <alignment horizontal="center"/>
    </xf>
    <xf numFmtId="3" fontId="38" fillId="0" borderId="0"/>
    <xf numFmtId="248" fontId="137" fillId="0" borderId="0">
      <alignment horizontal="left"/>
    </xf>
    <xf numFmtId="37" fontId="38" fillId="0" borderId="0" applyFill="0" applyBorder="0">
      <alignment horizontal="right"/>
      <protection locked="0"/>
    </xf>
    <xf numFmtId="0" fontId="63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178" fontId="18" fillId="0" borderId="0"/>
    <xf numFmtId="0" fontId="63" fillId="0" borderId="0"/>
    <xf numFmtId="178" fontId="63" fillId="0" borderId="0"/>
    <xf numFmtId="178" fontId="63" fillId="0" borderId="0"/>
    <xf numFmtId="167" fontId="18" fillId="0" borderId="0" applyFont="0" applyFill="0" applyBorder="0" applyAlignment="0" applyProtection="0"/>
    <xf numFmtId="2" fontId="18" fillId="0" borderId="0" applyFill="0" applyBorder="0" applyProtection="0">
      <alignment horizontal="right"/>
    </xf>
    <xf numFmtId="2" fontId="18" fillId="0" borderId="0" applyFill="0" applyBorder="0" applyProtection="0">
      <alignment horizontal="right"/>
    </xf>
    <xf numFmtId="0" fontId="284" fillId="0" borderId="0" applyNumberFormat="0" applyFill="0" applyBorder="0" applyAlignment="0" applyProtection="0"/>
    <xf numFmtId="178" fontId="284" fillId="0" borderId="0" applyNumberFormat="0" applyFill="0" applyBorder="0" applyAlignment="0" applyProtection="0"/>
    <xf numFmtId="0" fontId="286" fillId="0" borderId="0" applyNumberFormat="0" applyFill="0" applyBorder="0" applyProtection="0">
      <alignment horizontal="center"/>
    </xf>
    <xf numFmtId="178" fontId="286" fillId="0" borderId="0" applyNumberFormat="0" applyFill="0" applyBorder="0" applyProtection="0">
      <alignment horizontal="center"/>
    </xf>
    <xf numFmtId="0" fontId="18" fillId="0" borderId="0" applyNumberFormat="0" applyFill="0" applyBorder="0" applyProtection="0">
      <alignment horizontal="left"/>
    </xf>
    <xf numFmtId="0" fontId="18" fillId="0" borderId="0" applyNumberFormat="0" applyFill="0" applyBorder="0" applyProtection="0">
      <alignment horizontal="left"/>
    </xf>
    <xf numFmtId="178" fontId="18" fillId="0" borderId="0" applyNumberFormat="0" applyFill="0" applyBorder="0" applyProtection="0">
      <alignment horizontal="left"/>
    </xf>
    <xf numFmtId="178" fontId="18" fillId="0" borderId="0" applyNumberFormat="0" applyFill="0" applyBorder="0" applyProtection="0">
      <alignment horizontal="left"/>
    </xf>
    <xf numFmtId="0" fontId="284" fillId="154" borderId="0" applyNumberFormat="0" applyBorder="0" applyAlignment="0" applyProtection="0"/>
    <xf numFmtId="178" fontId="284" fillId="154" borderId="0" applyNumberFormat="0" applyBorder="0" applyAlignment="0" applyProtection="0"/>
    <xf numFmtId="4" fontId="286" fillId="0" borderId="0" applyFill="0" applyBorder="0" applyAlignment="0" applyProtection="0"/>
    <xf numFmtId="4" fontId="294" fillId="0" borderId="0" applyFill="0" applyBorder="0" applyAlignment="0" applyProtection="0"/>
    <xf numFmtId="0" fontId="295" fillId="148" borderId="0" applyNumberFormat="0" applyBorder="0" applyAlignment="0" applyProtection="0"/>
    <xf numFmtId="178" fontId="295" fillId="148" borderId="0" applyNumberFormat="0" applyBorder="0" applyAlignment="0" applyProtection="0"/>
    <xf numFmtId="0" fontId="296" fillId="0" borderId="0" applyNumberFormat="0" applyFill="0" applyBorder="0" applyAlignment="0" applyProtection="0"/>
    <xf numFmtId="178" fontId="296" fillId="0" borderId="0" applyNumberFormat="0" applyFill="0" applyBorder="0" applyAlignment="0" applyProtection="0"/>
    <xf numFmtId="167" fontId="18" fillId="0" borderId="0" applyFont="0" applyFill="0" applyBorder="0" applyAlignment="0" applyProtection="0"/>
    <xf numFmtId="0" fontId="297" fillId="60" borderId="0" applyNumberFormat="0" applyBorder="0" applyAlignment="0" applyProtection="0"/>
    <xf numFmtId="178" fontId="297" fillId="60" borderId="0" applyNumberFormat="0" applyBorder="0" applyAlignment="0" applyProtection="0"/>
    <xf numFmtId="0" fontId="284" fillId="135" borderId="0" applyNumberFormat="0" applyBorder="0" applyAlignment="0" applyProtection="0"/>
    <xf numFmtId="178" fontId="284" fillId="135" borderId="0" applyNumberFormat="0" applyBorder="0" applyAlignment="0" applyProtection="0"/>
    <xf numFmtId="39" fontId="18" fillId="0" borderId="0" applyNumberFormat="0" applyFill="0" applyBorder="0" applyProtection="0">
      <alignment horizontal="left" vertical="center"/>
    </xf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298" fillId="0" borderId="84">
      <alignment horizontal="left"/>
    </xf>
    <xf numFmtId="178" fontId="298" fillId="0" borderId="84">
      <alignment horizontal="left"/>
    </xf>
    <xf numFmtId="178" fontId="298" fillId="0" borderId="84">
      <alignment horizontal="left"/>
    </xf>
    <xf numFmtId="0" fontId="43" fillId="155" borderId="0" applyNumberFormat="0" applyAlignment="0"/>
    <xf numFmtId="178" fontId="43" fillId="155" borderId="0" applyNumberFormat="0" applyAlignment="0"/>
    <xf numFmtId="40" fontId="99" fillId="0" borderId="0" applyBorder="0">
      <alignment horizontal="right"/>
    </xf>
    <xf numFmtId="40" fontId="99" fillId="0" borderId="0" applyBorder="0">
      <alignment horizontal="right"/>
    </xf>
    <xf numFmtId="0" fontId="154" fillId="0" borderId="85">
      <alignment horizontal="centerContinuous"/>
    </xf>
    <xf numFmtId="0" fontId="154" fillId="0" borderId="85">
      <alignment horizontal="centerContinuous"/>
    </xf>
    <xf numFmtId="178" fontId="154" fillId="0" borderId="85">
      <alignment horizontal="centerContinuous"/>
    </xf>
    <xf numFmtId="178" fontId="154" fillId="0" borderId="85">
      <alignment horizontal="centerContinuous"/>
    </xf>
    <xf numFmtId="0" fontId="154" fillId="0" borderId="20">
      <alignment horizontal="center"/>
    </xf>
    <xf numFmtId="0" fontId="154" fillId="0" borderId="20">
      <alignment horizontal="center"/>
    </xf>
    <xf numFmtId="178" fontId="154" fillId="0" borderId="20">
      <alignment horizontal="center"/>
    </xf>
    <xf numFmtId="178" fontId="154" fillId="0" borderId="20">
      <alignment horizontal="center"/>
    </xf>
    <xf numFmtId="0" fontId="154" fillId="0" borderId="20">
      <alignment horizontal="center"/>
    </xf>
    <xf numFmtId="0" fontId="154" fillId="0" borderId="20">
      <alignment horizontal="center"/>
    </xf>
    <xf numFmtId="178" fontId="154" fillId="0" borderId="20">
      <alignment horizontal="center"/>
    </xf>
    <xf numFmtId="178" fontId="154" fillId="0" borderId="20">
      <alignment horizontal="center"/>
    </xf>
    <xf numFmtId="0" fontId="154" fillId="0" borderId="20">
      <alignment horizontal="centerContinuous"/>
    </xf>
    <xf numFmtId="0" fontId="154" fillId="0" borderId="20">
      <alignment horizontal="centerContinuous"/>
    </xf>
    <xf numFmtId="178" fontId="154" fillId="0" borderId="20">
      <alignment horizontal="centerContinuous"/>
    </xf>
    <xf numFmtId="178" fontId="154" fillId="0" borderId="20">
      <alignment horizontal="centerContinuous"/>
    </xf>
    <xf numFmtId="0" fontId="42" fillId="0" borderId="0" applyFill="0" applyBorder="0" applyProtection="0">
      <alignment horizontal="center" vertical="center"/>
    </xf>
    <xf numFmtId="0" fontId="42" fillId="0" borderId="0" applyFill="0" applyBorder="0" applyProtection="0">
      <alignment horizontal="center" vertical="center"/>
    </xf>
    <xf numFmtId="178" fontId="42" fillId="0" borderId="0" applyFill="0" applyBorder="0" applyProtection="0">
      <alignment horizontal="center" vertical="center"/>
    </xf>
    <xf numFmtId="178" fontId="42" fillId="0" borderId="0" applyFill="0" applyBorder="0" applyProtection="0">
      <alignment horizontal="center" vertical="center"/>
    </xf>
    <xf numFmtId="0" fontId="18" fillId="0" borderId="0" applyBorder="0" applyProtection="0">
      <alignment vertical="center"/>
    </xf>
    <xf numFmtId="0" fontId="18" fillId="0" borderId="0" applyBorder="0" applyProtection="0">
      <alignment vertical="center"/>
    </xf>
    <xf numFmtId="0" fontId="18" fillId="0" borderId="0" applyBorder="0" applyProtection="0">
      <alignment vertical="center"/>
    </xf>
    <xf numFmtId="178" fontId="18" fillId="0" borderId="0" applyBorder="0" applyProtection="0">
      <alignment vertical="center"/>
    </xf>
    <xf numFmtId="178" fontId="18" fillId="0" borderId="0" applyBorder="0" applyProtection="0">
      <alignment vertical="center"/>
    </xf>
    <xf numFmtId="0" fontId="299" fillId="0" borderId="0" applyBorder="0" applyProtection="0">
      <alignment vertical="center"/>
    </xf>
    <xf numFmtId="178" fontId="299" fillId="0" borderId="0" applyBorder="0" applyProtection="0">
      <alignment vertical="center"/>
    </xf>
    <xf numFmtId="178" fontId="299" fillId="0" borderId="0" applyBorder="0" applyProtection="0">
      <alignment vertical="center"/>
    </xf>
    <xf numFmtId="0" fontId="18" fillId="0" borderId="20" applyBorder="0" applyProtection="0">
      <alignment horizontal="right" vertical="center"/>
    </xf>
    <xf numFmtId="0" fontId="18" fillId="0" borderId="20" applyBorder="0" applyProtection="0">
      <alignment horizontal="right" vertical="center"/>
    </xf>
    <xf numFmtId="0" fontId="18" fillId="0" borderId="20" applyBorder="0" applyProtection="0">
      <alignment horizontal="right" vertical="center"/>
    </xf>
    <xf numFmtId="178" fontId="18" fillId="0" borderId="20" applyBorder="0" applyProtection="0">
      <alignment horizontal="right" vertical="center"/>
    </xf>
    <xf numFmtId="178" fontId="18" fillId="0" borderId="20" applyBorder="0" applyProtection="0">
      <alignment horizontal="right" vertical="center"/>
    </xf>
    <xf numFmtId="0" fontId="299" fillId="0" borderId="20" applyBorder="0" applyProtection="0">
      <alignment horizontal="right" vertical="center"/>
    </xf>
    <xf numFmtId="178" fontId="299" fillId="0" borderId="20" applyBorder="0" applyProtection="0">
      <alignment horizontal="right" vertical="center"/>
    </xf>
    <xf numFmtId="178" fontId="299" fillId="0" borderId="20" applyBorder="0" applyProtection="0">
      <alignment horizontal="right" vertical="center"/>
    </xf>
    <xf numFmtId="0" fontId="18" fillId="156" borderId="0" applyBorder="0" applyProtection="0">
      <alignment horizontal="centerContinuous" vertical="center"/>
    </xf>
    <xf numFmtId="0" fontId="18" fillId="156" borderId="0" applyBorder="0" applyProtection="0">
      <alignment horizontal="centerContinuous" vertical="center"/>
    </xf>
    <xf numFmtId="0" fontId="18" fillId="156" borderId="0" applyBorder="0" applyProtection="0">
      <alignment horizontal="centerContinuous" vertical="center"/>
    </xf>
    <xf numFmtId="178" fontId="18" fillId="156" borderId="0" applyBorder="0" applyProtection="0">
      <alignment horizontal="centerContinuous" vertical="center"/>
    </xf>
    <xf numFmtId="178" fontId="18" fillId="156" borderId="0" applyBorder="0" applyProtection="0">
      <alignment horizontal="centerContinuous" vertical="center"/>
    </xf>
    <xf numFmtId="0" fontId="300" fillId="156" borderId="0" applyBorder="0" applyProtection="0">
      <alignment horizontal="centerContinuous" vertical="center"/>
    </xf>
    <xf numFmtId="178" fontId="300" fillId="156" borderId="0" applyBorder="0" applyProtection="0">
      <alignment horizontal="centerContinuous" vertical="center"/>
    </xf>
    <xf numFmtId="178" fontId="300" fillId="156" borderId="0" applyBorder="0" applyProtection="0">
      <alignment horizontal="centerContinuous" vertical="center"/>
    </xf>
    <xf numFmtId="0" fontId="18" fillId="60" borderId="20" applyBorder="0" applyProtection="0">
      <alignment horizontal="centerContinuous" vertical="center"/>
    </xf>
    <xf numFmtId="0" fontId="18" fillId="60" borderId="20" applyBorder="0" applyProtection="0">
      <alignment horizontal="centerContinuous" vertical="center"/>
    </xf>
    <xf numFmtId="0" fontId="18" fillId="60" borderId="20" applyBorder="0" applyProtection="0">
      <alignment horizontal="centerContinuous" vertical="center"/>
    </xf>
    <xf numFmtId="178" fontId="18" fillId="60" borderId="20" applyBorder="0" applyProtection="0">
      <alignment horizontal="centerContinuous" vertical="center"/>
    </xf>
    <xf numFmtId="178" fontId="18" fillId="60" borderId="20" applyBorder="0" applyProtection="0">
      <alignment horizontal="centerContinuous" vertical="center"/>
    </xf>
    <xf numFmtId="0" fontId="300" fillId="60" borderId="20" applyBorder="0" applyProtection="0">
      <alignment horizontal="centerContinuous" vertical="center"/>
    </xf>
    <xf numFmtId="178" fontId="300" fillId="60" borderId="20" applyBorder="0" applyProtection="0">
      <alignment horizontal="centerContinuous" vertical="center"/>
    </xf>
    <xf numFmtId="178" fontId="300" fillId="60" borderId="20" applyBorder="0" applyProtection="0">
      <alignment horizontal="centerContinuous" vertical="center"/>
    </xf>
    <xf numFmtId="0" fontId="18" fillId="0" borderId="0" applyBorder="0" applyProtection="0">
      <alignment vertical="center"/>
    </xf>
    <xf numFmtId="1" fontId="267" fillId="0" borderId="0">
      <alignment horizontal="right"/>
    </xf>
    <xf numFmtId="0" fontId="58" fillId="0" borderId="0" applyBorder="0" applyProtection="0">
      <alignment horizontal="left"/>
    </xf>
    <xf numFmtId="0" fontId="58" fillId="0" borderId="0" applyBorder="0" applyProtection="0">
      <alignment horizontal="left"/>
    </xf>
    <xf numFmtId="178" fontId="58" fillId="0" borderId="0" applyBorder="0" applyProtection="0">
      <alignment horizontal="left"/>
    </xf>
    <xf numFmtId="178" fontId="58" fillId="0" borderId="0" applyBorder="0" applyProtection="0">
      <alignment horizontal="left"/>
    </xf>
    <xf numFmtId="0" fontId="42" fillId="0" borderId="0" applyFill="0" applyBorder="0" applyProtection="0"/>
    <xf numFmtId="0" fontId="42" fillId="0" borderId="0" applyFill="0" applyBorder="0" applyProtection="0"/>
    <xf numFmtId="178" fontId="42" fillId="0" borderId="0" applyFill="0" applyBorder="0" applyProtection="0"/>
    <xf numFmtId="178" fontId="42" fillId="0" borderId="0" applyFill="0" applyBorder="0" applyProtection="0"/>
    <xf numFmtId="0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250" fillId="0" borderId="0"/>
    <xf numFmtId="178" fontId="250" fillId="0" borderId="0"/>
    <xf numFmtId="178" fontId="250" fillId="0" borderId="0"/>
    <xf numFmtId="0" fontId="301" fillId="0" borderId="0" applyFill="0" applyBorder="0" applyProtection="0">
      <alignment horizontal="left"/>
    </xf>
    <xf numFmtId="0" fontId="18" fillId="0" borderId="0" applyFill="0" applyBorder="0" applyProtection="0">
      <alignment horizontal="left"/>
    </xf>
    <xf numFmtId="0" fontId="18" fillId="0" borderId="0" applyFill="0" applyBorder="0" applyProtection="0">
      <alignment horizontal="left"/>
    </xf>
    <xf numFmtId="178" fontId="18" fillId="0" borderId="0" applyFill="0" applyBorder="0" applyProtection="0">
      <alignment horizontal="left"/>
    </xf>
    <xf numFmtId="178" fontId="18" fillId="0" borderId="0" applyFill="0" applyBorder="0" applyProtection="0">
      <alignment horizontal="left"/>
    </xf>
    <xf numFmtId="0" fontId="301" fillId="0" borderId="0" applyFill="0" applyBorder="0" applyProtection="0">
      <alignment horizontal="left"/>
    </xf>
    <xf numFmtId="178" fontId="301" fillId="0" borderId="0" applyFill="0" applyBorder="0" applyProtection="0">
      <alignment horizontal="left"/>
    </xf>
    <xf numFmtId="178" fontId="301" fillId="0" borderId="0" applyFill="0" applyBorder="0" applyProtection="0">
      <alignment horizontal="left"/>
    </xf>
    <xf numFmtId="0" fontId="18" fillId="0" borderId="15" applyFill="0" applyBorder="0" applyProtection="0">
      <alignment horizontal="left" vertical="top"/>
    </xf>
    <xf numFmtId="0" fontId="18" fillId="0" borderId="15" applyFill="0" applyBorder="0" applyProtection="0">
      <alignment horizontal="left" vertical="top"/>
    </xf>
    <xf numFmtId="0" fontId="18" fillId="0" borderId="15" applyFill="0" applyBorder="0" applyProtection="0">
      <alignment horizontal="left" vertical="top"/>
    </xf>
    <xf numFmtId="178" fontId="18" fillId="0" borderId="15" applyFill="0" applyBorder="0" applyProtection="0">
      <alignment horizontal="left" vertical="top"/>
    </xf>
    <xf numFmtId="178" fontId="18" fillId="0" borderId="15" applyFill="0" applyBorder="0" applyProtection="0">
      <alignment horizontal="left" vertical="top"/>
    </xf>
    <xf numFmtId="0" fontId="202" fillId="0" borderId="15" applyFill="0" applyBorder="0" applyProtection="0">
      <alignment horizontal="left" vertical="top"/>
    </xf>
    <xf numFmtId="178" fontId="202" fillId="0" borderId="15" applyFill="0" applyBorder="0" applyProtection="0">
      <alignment horizontal="left" vertical="top"/>
    </xf>
    <xf numFmtId="178" fontId="202" fillId="0" borderId="15" applyFill="0" applyBorder="0" applyProtection="0">
      <alignment horizontal="left" vertical="top"/>
    </xf>
    <xf numFmtId="0" fontId="18" fillId="0" borderId="0">
      <alignment horizontal="centerContinuous"/>
    </xf>
    <xf numFmtId="0" fontId="302" fillId="0" borderId="0" applyFill="0" applyBorder="0" applyProtection="0">
      <alignment horizontal="center" vertical="center"/>
    </xf>
    <xf numFmtId="0" fontId="302" fillId="0" borderId="0" applyFill="0" applyBorder="0" applyProtection="0">
      <alignment horizontal="center" vertical="center"/>
    </xf>
    <xf numFmtId="178" fontId="302" fillId="0" borderId="0" applyFill="0" applyBorder="0" applyProtection="0">
      <alignment horizontal="center" vertical="center"/>
    </xf>
    <xf numFmtId="178" fontId="302" fillId="0" borderId="0" applyFill="0" applyBorder="0" applyProtection="0">
      <alignment horizontal="center" vertical="center"/>
    </xf>
    <xf numFmtId="1" fontId="267" fillId="0" borderId="0"/>
    <xf numFmtId="0" fontId="303" fillId="0" borderId="0" applyFill="0" applyBorder="0" applyProtection="0">
      <alignment vertical="top"/>
    </xf>
    <xf numFmtId="0" fontId="303" fillId="0" borderId="0" applyFill="0" applyBorder="0" applyProtection="0">
      <alignment vertical="top"/>
    </xf>
    <xf numFmtId="178" fontId="303" fillId="0" borderId="0" applyFill="0" applyBorder="0" applyProtection="0">
      <alignment vertical="top"/>
    </xf>
    <xf numFmtId="178" fontId="303" fillId="0" borderId="0" applyFill="0" applyBorder="0" applyProtection="0">
      <alignment vertical="top"/>
    </xf>
    <xf numFmtId="0" fontId="304" fillId="0" borderId="0" applyFill="0" applyBorder="0" applyProtection="0">
      <alignment vertical="center"/>
    </xf>
    <xf numFmtId="0" fontId="304" fillId="0" borderId="0" applyFill="0" applyBorder="0" applyProtection="0">
      <alignment vertical="center"/>
    </xf>
    <xf numFmtId="178" fontId="304" fillId="0" borderId="0" applyFill="0" applyBorder="0" applyProtection="0">
      <alignment vertical="center"/>
    </xf>
    <xf numFmtId="178" fontId="304" fillId="0" borderId="0" applyFill="0" applyBorder="0" applyProtection="0">
      <alignment vertical="center"/>
    </xf>
    <xf numFmtId="0" fontId="154" fillId="0" borderId="0" applyFill="0" applyBorder="0" applyProtection="0"/>
    <xf numFmtId="0" fontId="154" fillId="0" borderId="0" applyFill="0" applyBorder="0" applyProtection="0"/>
    <xf numFmtId="178" fontId="154" fillId="0" borderId="0" applyFill="0" applyBorder="0" applyProtection="0"/>
    <xf numFmtId="178" fontId="154" fillId="0" borderId="0" applyFill="0" applyBorder="0" applyProtection="0"/>
    <xf numFmtId="0" fontId="305" fillId="0" borderId="15" applyFill="0" applyBorder="0" applyProtection="0"/>
    <xf numFmtId="0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305" fillId="0" borderId="0"/>
    <xf numFmtId="178" fontId="305" fillId="0" borderId="0"/>
    <xf numFmtId="178" fontId="305" fillId="0" borderId="0"/>
    <xf numFmtId="0" fontId="305" fillId="0" borderId="15" applyFill="0" applyBorder="0" applyProtection="0"/>
    <xf numFmtId="178" fontId="305" fillId="0" borderId="15" applyFill="0" applyBorder="0" applyProtection="0"/>
    <xf numFmtId="178" fontId="305" fillId="0" borderId="15" applyFill="0" applyBorder="0" applyProtection="0"/>
    <xf numFmtId="0" fontId="306" fillId="0" borderId="0" applyFill="0" applyBorder="0" applyProtection="0"/>
    <xf numFmtId="0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307" fillId="0" borderId="0"/>
    <xf numFmtId="178" fontId="307" fillId="0" borderId="0"/>
    <xf numFmtId="178" fontId="307" fillId="0" borderId="0"/>
    <xf numFmtId="0" fontId="306" fillId="0" borderId="0" applyFill="0" applyBorder="0" applyProtection="0"/>
    <xf numFmtId="178" fontId="306" fillId="0" borderId="0" applyFill="0" applyBorder="0" applyProtection="0"/>
    <xf numFmtId="178" fontId="306" fillId="0" borderId="0" applyFill="0" applyBorder="0" applyProtection="0"/>
    <xf numFmtId="49" fontId="92" fillId="0" borderId="0" applyFill="0" applyBorder="0" applyAlignment="0"/>
    <xf numFmtId="0" fontId="41" fillId="0" borderId="0" applyFill="0" applyBorder="0" applyAlignment="0"/>
    <xf numFmtId="0" fontId="41" fillId="0" borderId="0" applyFill="0" applyBorder="0" applyAlignment="0"/>
    <xf numFmtId="178" fontId="41" fillId="0" borderId="0" applyFill="0" applyBorder="0" applyAlignment="0"/>
    <xf numFmtId="178" fontId="41" fillId="0" borderId="0" applyFill="0" applyBorder="0" applyAlignment="0"/>
    <xf numFmtId="0" fontId="119" fillId="0" borderId="0" applyFill="0" applyBorder="0" applyAlignment="0"/>
    <xf numFmtId="0" fontId="119" fillId="0" borderId="0" applyFill="0" applyBorder="0" applyAlignment="0"/>
    <xf numFmtId="178" fontId="119" fillId="0" borderId="0" applyFill="0" applyBorder="0" applyAlignment="0"/>
    <xf numFmtId="178" fontId="119" fillId="0" borderId="0" applyFill="0" applyBorder="0" applyAlignment="0"/>
    <xf numFmtId="0" fontId="191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178" fontId="191" fillId="0" borderId="0" applyNumberFormat="0" applyFill="0" applyBorder="0" applyAlignment="0" applyProtection="0"/>
    <xf numFmtId="178" fontId="191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178" fontId="142" fillId="0" borderId="0" applyNumberFormat="0" applyFill="0" applyBorder="0" applyAlignment="0" applyProtection="0"/>
    <xf numFmtId="178" fontId="142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178" fontId="142" fillId="0" borderId="0" applyNumberFormat="0" applyFill="0" applyBorder="0" applyAlignment="0" applyProtection="0"/>
    <xf numFmtId="178" fontId="142" fillId="0" borderId="0" applyNumberFormat="0" applyFill="0" applyBorder="0" applyAlignment="0" applyProtection="0"/>
    <xf numFmtId="0" fontId="191" fillId="0" borderId="0" applyNumberFormat="0" applyFill="0" applyBorder="0" applyAlignment="0" applyProtection="0"/>
    <xf numFmtId="178" fontId="191" fillId="0" borderId="0" applyNumberFormat="0" applyFill="0" applyBorder="0" applyAlignment="0" applyProtection="0"/>
    <xf numFmtId="178" fontId="191" fillId="0" borderId="0" applyNumberFormat="0" applyFill="0" applyBorder="0" applyAlignment="0" applyProtection="0"/>
    <xf numFmtId="0" fontId="271" fillId="0" borderId="21">
      <alignment horizontal="left" wrapText="1"/>
    </xf>
    <xf numFmtId="0" fontId="271" fillId="0" borderId="21">
      <alignment horizontal="left" wrapText="1"/>
    </xf>
    <xf numFmtId="0" fontId="271" fillId="0" borderId="21">
      <alignment horizontal="left" wrapText="1"/>
    </xf>
    <xf numFmtId="178" fontId="271" fillId="0" borderId="21">
      <alignment horizontal="left" wrapText="1"/>
    </xf>
    <xf numFmtId="0" fontId="271" fillId="0" borderId="21">
      <alignment horizontal="left" wrapText="1"/>
    </xf>
    <xf numFmtId="0" fontId="271" fillId="0" borderId="21">
      <alignment horizontal="left" wrapText="1"/>
    </xf>
    <xf numFmtId="178" fontId="271" fillId="0" borderId="21">
      <alignment horizontal="left" wrapText="1"/>
    </xf>
    <xf numFmtId="188" fontId="271" fillId="0" borderId="21">
      <alignment horizontal="left" wrapText="1"/>
    </xf>
    <xf numFmtId="178" fontId="271" fillId="0" borderId="21">
      <alignment horizontal="left" wrapText="1"/>
    </xf>
    <xf numFmtId="0" fontId="271" fillId="0" borderId="21">
      <alignment horizontal="left" wrapText="1"/>
    </xf>
    <xf numFmtId="0" fontId="271" fillId="0" borderId="21">
      <alignment horizontal="left" wrapText="1"/>
    </xf>
    <xf numFmtId="178" fontId="271" fillId="0" borderId="21">
      <alignment horizontal="left" wrapText="1"/>
    </xf>
    <xf numFmtId="0" fontId="271" fillId="0" borderId="21">
      <alignment horizontal="left" wrapText="1"/>
    </xf>
    <xf numFmtId="0" fontId="271" fillId="0" borderId="21">
      <alignment horizontal="left" wrapText="1"/>
    </xf>
    <xf numFmtId="178" fontId="271" fillId="0" borderId="21">
      <alignment horizontal="left" wrapText="1"/>
    </xf>
    <xf numFmtId="188" fontId="271" fillId="0" borderId="21">
      <alignment horizontal="left" wrapText="1"/>
    </xf>
    <xf numFmtId="178" fontId="271" fillId="0" borderId="21">
      <alignment horizontal="left" wrapText="1"/>
    </xf>
    <xf numFmtId="0" fontId="271" fillId="0" borderId="21">
      <alignment horizontal="left" wrapText="1"/>
    </xf>
    <xf numFmtId="0" fontId="271" fillId="0" borderId="21">
      <alignment horizontal="left" wrapText="1"/>
    </xf>
    <xf numFmtId="178" fontId="271" fillId="0" borderId="21">
      <alignment horizontal="left" wrapText="1"/>
    </xf>
    <xf numFmtId="188" fontId="271" fillId="0" borderId="21">
      <alignment horizontal="left" wrapText="1"/>
    </xf>
    <xf numFmtId="178" fontId="271" fillId="0" borderId="21">
      <alignment horizontal="left" wrapText="1"/>
    </xf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8" fontId="18" fillId="0" borderId="0" applyNumberFormat="0" applyFill="0" applyBorder="0" applyAlignment="0" applyProtection="0"/>
    <xf numFmtId="178" fontId="18" fillId="0" borderId="0" applyNumberFormat="0" applyFill="0" applyBorder="0" applyAlignment="0" applyProtection="0"/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178" fontId="18" fillId="0" borderId="0"/>
    <xf numFmtId="39" fontId="18" fillId="57" borderId="21" applyFont="0" applyFill="0" applyBorder="0" applyAlignment="0" applyProtection="0">
      <alignment horizontal="center"/>
      <protection locked="0"/>
    </xf>
    <xf numFmtId="39" fontId="18" fillId="57" borderId="21" applyFont="0" applyFill="0" applyBorder="0" applyAlignment="0" applyProtection="0">
      <alignment horizontal="center"/>
      <protection locked="0"/>
    </xf>
    <xf numFmtId="39" fontId="18" fillId="57" borderId="21" applyFont="0" applyFill="0" applyBorder="0" applyAlignment="0" applyProtection="0">
      <alignment horizontal="center"/>
      <protection locked="0"/>
    </xf>
    <xf numFmtId="39" fontId="18" fillId="57" borderId="21" applyFont="0" applyFill="0" applyBorder="0" applyAlignment="0" applyProtection="0">
      <alignment horizontal="center"/>
      <protection locked="0"/>
    </xf>
    <xf numFmtId="0" fontId="308" fillId="0" borderId="0" applyFill="0" applyBorder="0" applyProtection="0">
      <alignment horizontal="left" vertical="top"/>
    </xf>
    <xf numFmtId="0" fontId="308" fillId="0" borderId="0" applyFill="0" applyBorder="0" applyProtection="0">
      <alignment horizontal="left" vertical="top"/>
    </xf>
    <xf numFmtId="178" fontId="308" fillId="0" borderId="0" applyFill="0" applyBorder="0" applyProtection="0">
      <alignment horizontal="left" vertical="top"/>
    </xf>
    <xf numFmtId="178" fontId="308" fillId="0" borderId="0" applyFill="0" applyBorder="0" applyProtection="0">
      <alignment horizontal="left" vertical="top"/>
    </xf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8" fontId="18" fillId="0" borderId="0" applyNumberFormat="0" applyFill="0" applyBorder="0" applyAlignment="0" applyProtection="0"/>
    <xf numFmtId="178" fontId="18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178" fontId="67" fillId="0" borderId="0" applyNumberFormat="0" applyFill="0" applyBorder="0" applyAlignment="0" applyProtection="0"/>
    <xf numFmtId="178" fontId="6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8" fontId="18" fillId="0" borderId="0" applyNumberFormat="0" applyFill="0" applyBorder="0" applyAlignment="0" applyProtection="0"/>
    <xf numFmtId="178" fontId="18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178" fontId="74" fillId="0" borderId="0" applyNumberFormat="0" applyFill="0" applyBorder="0" applyAlignment="0" applyProtection="0"/>
    <xf numFmtId="178" fontId="74" fillId="0" borderId="0" applyNumberFormat="0" applyFill="0" applyBorder="0" applyAlignment="0" applyProtection="0"/>
    <xf numFmtId="0" fontId="271" fillId="0" borderId="0"/>
    <xf numFmtId="0" fontId="271" fillId="0" borderId="0"/>
    <xf numFmtId="178" fontId="271" fillId="0" borderId="0"/>
    <xf numFmtId="178" fontId="271" fillId="0" borderId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0" fontId="309" fillId="0" borderId="0" applyNumberFormat="0" applyFill="0" applyBorder="0" applyAlignment="0" applyProtection="0"/>
    <xf numFmtId="188" fontId="309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88" fontId="309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78" fontId="309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78" fontId="309" fillId="0" borderId="0" applyNumberFormat="0" applyFill="0" applyBorder="0" applyAlignment="0" applyProtection="0"/>
    <xf numFmtId="188" fontId="309" fillId="0" borderId="0" applyNumberFormat="0" applyFill="0" applyBorder="0" applyAlignment="0" applyProtection="0"/>
    <xf numFmtId="178" fontId="309" fillId="0" borderId="0" applyNumberFormat="0" applyFill="0" applyBorder="0" applyAlignment="0" applyProtection="0"/>
    <xf numFmtId="188" fontId="309" fillId="0" borderId="0" applyNumberFormat="0" applyFill="0" applyBorder="0" applyAlignment="0" applyProtection="0"/>
    <xf numFmtId="178" fontId="309" fillId="0" borderId="0" applyNumberFormat="0" applyFill="0" applyBorder="0" applyAlignment="0" applyProtection="0"/>
    <xf numFmtId="0" fontId="309" fillId="0" borderId="0" applyNumberFormat="0" applyFill="0" applyBorder="0" applyAlignment="0" applyProtection="0"/>
    <xf numFmtId="178" fontId="309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188" fontId="2" fillId="0" borderId="0" applyNumberFormat="0" applyFill="0" applyBorder="0" applyAlignment="0" applyProtection="0"/>
    <xf numFmtId="178" fontId="2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78" fontId="18" fillId="0" borderId="0" applyNumberFormat="0" applyFill="0" applyBorder="0" applyAlignment="0" applyProtection="0"/>
    <xf numFmtId="178" fontId="18" fillId="0" borderId="0" applyNumberFormat="0" applyFill="0" applyBorder="0" applyAlignment="0" applyProtection="0"/>
    <xf numFmtId="0" fontId="309" fillId="0" borderId="0" applyNumberFormat="0" applyFill="0" applyBorder="0" applyAlignment="0" applyProtection="0"/>
    <xf numFmtId="0" fontId="309" fillId="0" borderId="0" applyNumberFormat="0" applyFill="0" applyBorder="0" applyAlignment="0" applyProtection="0"/>
    <xf numFmtId="178" fontId="309" fillId="0" borderId="0" applyNumberFormat="0" applyFill="0" applyBorder="0" applyAlignment="0" applyProtection="0"/>
    <xf numFmtId="178" fontId="309" fillId="0" borderId="0" applyNumberFormat="0" applyFill="0" applyBorder="0" applyAlignment="0" applyProtection="0"/>
    <xf numFmtId="0" fontId="208" fillId="0" borderId="59" applyNumberFormat="0" applyFill="0" applyAlignment="0" applyProtection="0"/>
    <xf numFmtId="0" fontId="208" fillId="0" borderId="59" applyNumberFormat="0" applyFill="0" applyAlignment="0" applyProtection="0"/>
    <xf numFmtId="178" fontId="208" fillId="0" borderId="59" applyNumberFormat="0" applyFill="0" applyAlignment="0" applyProtection="0"/>
    <xf numFmtId="178" fontId="208" fillId="0" borderId="59" applyNumberFormat="0" applyFill="0" applyAlignment="0" applyProtection="0"/>
    <xf numFmtId="0" fontId="212" fillId="0" borderId="61" applyNumberFormat="0" applyFill="0" applyAlignment="0" applyProtection="0"/>
    <xf numFmtId="0" fontId="212" fillId="0" borderId="61" applyNumberFormat="0" applyFill="0" applyAlignment="0" applyProtection="0"/>
    <xf numFmtId="178" fontId="212" fillId="0" borderId="61" applyNumberFormat="0" applyFill="0" applyAlignment="0" applyProtection="0"/>
    <xf numFmtId="178" fontId="212" fillId="0" borderId="61" applyNumberFormat="0" applyFill="0" applyAlignment="0" applyProtection="0"/>
    <xf numFmtId="0" fontId="188" fillId="0" borderId="63" applyNumberFormat="0" applyFill="0" applyAlignment="0" applyProtection="0"/>
    <xf numFmtId="0" fontId="188" fillId="0" borderId="63" applyNumberFormat="0" applyFill="0" applyAlignment="0" applyProtection="0"/>
    <xf numFmtId="178" fontId="188" fillId="0" borderId="63" applyNumberFormat="0" applyFill="0" applyAlignment="0" applyProtection="0"/>
    <xf numFmtId="188" fontId="188" fillId="0" borderId="63" applyNumberFormat="0" applyFill="0" applyAlignment="0" applyProtection="0"/>
    <xf numFmtId="178" fontId="188" fillId="0" borderId="63" applyNumberFormat="0" applyFill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178" fontId="188" fillId="0" borderId="0" applyNumberFormat="0" applyFill="0" applyBorder="0" applyAlignment="0" applyProtection="0"/>
    <xf numFmtId="178" fontId="188" fillId="0" borderId="0" applyNumberFormat="0" applyFill="0" applyBorder="0" applyAlignment="0" applyProtection="0"/>
    <xf numFmtId="0" fontId="154" fillId="0" borderId="20">
      <alignment horizontal="centerContinuous"/>
    </xf>
    <xf numFmtId="0" fontId="154" fillId="0" borderId="20">
      <alignment horizontal="centerContinuous"/>
    </xf>
    <xf numFmtId="178" fontId="154" fillId="0" borderId="20">
      <alignment horizontal="centerContinuous"/>
    </xf>
    <xf numFmtId="178" fontId="154" fillId="0" borderId="20">
      <alignment horizontal="centerContinuous"/>
    </xf>
    <xf numFmtId="0" fontId="124" fillId="157" borderId="0" applyNumberFormat="0">
      <alignment horizontal="centerContinuous" vertical="center"/>
    </xf>
    <xf numFmtId="0" fontId="310" fillId="0" borderId="0"/>
    <xf numFmtId="0" fontId="310" fillId="0" borderId="0"/>
    <xf numFmtId="178" fontId="310" fillId="0" borderId="0"/>
    <xf numFmtId="178" fontId="310" fillId="0" borderId="0"/>
    <xf numFmtId="0" fontId="311" fillId="0" borderId="0"/>
    <xf numFmtId="0" fontId="311" fillId="0" borderId="0"/>
    <xf numFmtId="178" fontId="311" fillId="0" borderId="0"/>
    <xf numFmtId="178" fontId="311" fillId="0" borderId="0"/>
    <xf numFmtId="0" fontId="189" fillId="0" borderId="0"/>
    <xf numFmtId="0" fontId="189" fillId="0" borderId="0"/>
    <xf numFmtId="178" fontId="189" fillId="0" borderId="0"/>
    <xf numFmtId="178" fontId="189" fillId="0" borderId="0"/>
    <xf numFmtId="0" fontId="208" fillId="0" borderId="59" applyNumberFormat="0" applyFill="0" applyAlignment="0" applyProtection="0"/>
    <xf numFmtId="178" fontId="208" fillId="0" borderId="59" applyNumberFormat="0" applyFill="0" applyAlignment="0" applyProtection="0"/>
    <xf numFmtId="178" fontId="208" fillId="0" borderId="59" applyNumberFormat="0" applyFill="0" applyAlignment="0" applyProtection="0"/>
    <xf numFmtId="0" fontId="124" fillId="157" borderId="0" applyNumberFormat="0">
      <alignment horizontal="centerContinuous" vertical="center"/>
    </xf>
    <xf numFmtId="178" fontId="124" fillId="157" borderId="0" applyNumberFormat="0">
      <alignment horizontal="centerContinuous" vertical="center"/>
    </xf>
    <xf numFmtId="0" fontId="212" fillId="0" borderId="61" applyNumberFormat="0" applyFill="0" applyAlignment="0" applyProtection="0"/>
    <xf numFmtId="178" fontId="212" fillId="0" borderId="61" applyNumberFormat="0" applyFill="0" applyAlignment="0" applyProtection="0"/>
    <xf numFmtId="178" fontId="212" fillId="0" borderId="61" applyNumberFormat="0" applyFill="0" applyAlignment="0" applyProtection="0"/>
    <xf numFmtId="0" fontId="124" fillId="157" borderId="0" applyNumberFormat="0">
      <alignment horizontal="centerContinuous" vertical="center"/>
    </xf>
    <xf numFmtId="178" fontId="124" fillId="157" borderId="0" applyNumberFormat="0">
      <alignment horizontal="centerContinuous" vertical="center"/>
    </xf>
    <xf numFmtId="0" fontId="188" fillId="0" borderId="63" applyNumberFormat="0" applyFill="0" applyAlignment="0" applyProtection="0"/>
    <xf numFmtId="178" fontId="188" fillId="0" borderId="63" applyNumberFormat="0" applyFill="0" applyAlignment="0" applyProtection="0"/>
    <xf numFmtId="188" fontId="188" fillId="0" borderId="63" applyNumberFormat="0" applyFill="0" applyAlignment="0" applyProtection="0"/>
    <xf numFmtId="178" fontId="188" fillId="0" borderId="63" applyNumberFormat="0" applyFill="0" applyAlignment="0" applyProtection="0"/>
    <xf numFmtId="0" fontId="124" fillId="157" borderId="0" applyNumberFormat="0">
      <alignment horizontal="centerContinuous" vertical="center"/>
    </xf>
    <xf numFmtId="0" fontId="188" fillId="0" borderId="0" applyNumberFormat="0" applyFill="0" applyBorder="0" applyAlignment="0" applyProtection="0"/>
    <xf numFmtId="178" fontId="188" fillId="0" borderId="0" applyNumberFormat="0" applyFill="0" applyBorder="0" applyAlignment="0" applyProtection="0"/>
    <xf numFmtId="178" fontId="188" fillId="0" borderId="0" applyNumberFormat="0" applyFill="0" applyBorder="0" applyAlignment="0" applyProtection="0"/>
    <xf numFmtId="178" fontId="124" fillId="157" borderId="0" applyNumberFormat="0">
      <alignment horizontal="centerContinuous" vertical="center"/>
    </xf>
    <xf numFmtId="0" fontId="309" fillId="0" borderId="0" applyNumberFormat="0" applyFill="0" applyBorder="0" applyAlignment="0" applyProtection="0"/>
    <xf numFmtId="178" fontId="309" fillId="0" borderId="0" applyNumberFormat="0" applyFill="0" applyBorder="0" applyAlignment="0" applyProtection="0"/>
    <xf numFmtId="0" fontId="309" fillId="0" borderId="0" applyNumberFormat="0" applyFill="0" applyBorder="0" applyAlignment="0" applyProtection="0"/>
    <xf numFmtId="178" fontId="309" fillId="0" borderId="0" applyNumberFormat="0" applyFill="0" applyBorder="0" applyAlignment="0" applyProtection="0"/>
    <xf numFmtId="0" fontId="309" fillId="0" borderId="0" applyNumberFormat="0" applyFill="0" applyBorder="0" applyAlignment="0" applyProtection="0"/>
    <xf numFmtId="178" fontId="309" fillId="0" borderId="0" applyNumberFormat="0" applyFill="0" applyBorder="0" applyAlignment="0" applyProtection="0"/>
    <xf numFmtId="0" fontId="124" fillId="157" borderId="0" applyNumberFormat="0">
      <alignment horizontal="centerContinuous" vertical="center"/>
    </xf>
    <xf numFmtId="0" fontId="17" fillId="158" borderId="0" applyNumberFormat="0" applyAlignment="0"/>
    <xf numFmtId="178" fontId="17" fillId="158" borderId="0" applyNumberFormat="0" applyAlignment="0"/>
    <xf numFmtId="0" fontId="312" fillId="53" borderId="45"/>
    <xf numFmtId="0" fontId="312" fillId="53" borderId="45"/>
    <xf numFmtId="178" fontId="312" fillId="53" borderId="45"/>
    <xf numFmtId="178" fontId="312" fillId="53" borderId="45"/>
    <xf numFmtId="189" fontId="18" fillId="0" borderId="0"/>
    <xf numFmtId="189" fontId="18" fillId="0" borderId="0"/>
    <xf numFmtId="189" fontId="18" fillId="0" borderId="0"/>
    <xf numFmtId="189" fontId="313" fillId="0" borderId="86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78" fontId="16" fillId="0" borderId="9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78" fontId="16" fillId="0" borderId="9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78" fontId="16" fillId="0" borderId="9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78" fontId="16" fillId="0" borderId="9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78" fontId="16" fillId="0" borderId="9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78" fontId="16" fillId="0" borderId="9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78" fontId="16" fillId="0" borderId="9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78" fontId="16" fillId="0" borderId="9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78" fontId="16" fillId="0" borderId="9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78" fontId="16" fillId="0" borderId="9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78" fontId="16" fillId="0" borderId="9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78" fontId="16" fillId="0" borderId="9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78" fontId="16" fillId="0" borderId="9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78" fontId="16" fillId="0" borderId="9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78" fontId="16" fillId="0" borderId="9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78" fontId="16" fillId="0" borderId="9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78" fontId="16" fillId="0" borderId="9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78" fontId="16" fillId="0" borderId="9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78" fontId="16" fillId="0" borderId="9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78" fontId="16" fillId="0" borderId="9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78" fontId="16" fillId="0" borderId="9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78" fontId="16" fillId="0" borderId="9" applyNumberFormat="0" applyFill="0" applyAlignment="0" applyProtection="0"/>
    <xf numFmtId="188" fontId="16" fillId="0" borderId="9" applyNumberFormat="0" applyFill="0" applyAlignment="0" applyProtection="0"/>
    <xf numFmtId="178" fontId="16" fillId="0" borderId="9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6" fillId="0" borderId="9" applyNumberFormat="0" applyFill="0" applyAlignment="0" applyProtection="0"/>
    <xf numFmtId="178" fontId="16" fillId="0" borderId="9" applyNumberFormat="0" applyFill="0" applyAlignment="0" applyProtection="0"/>
    <xf numFmtId="188" fontId="16" fillId="0" borderId="9" applyNumberFormat="0" applyFill="0" applyAlignment="0" applyProtection="0"/>
    <xf numFmtId="178" fontId="16" fillId="0" borderId="9" applyNumberFormat="0" applyFill="0" applyAlignment="0" applyProtection="0"/>
    <xf numFmtId="188" fontId="16" fillId="0" borderId="9" applyNumberFormat="0" applyFill="0" applyAlignment="0" applyProtection="0"/>
    <xf numFmtId="178" fontId="16" fillId="0" borderId="9" applyNumberFormat="0" applyFill="0" applyAlignment="0" applyProtection="0"/>
    <xf numFmtId="188" fontId="16" fillId="0" borderId="9" applyNumberFormat="0" applyFill="0" applyAlignment="0" applyProtection="0"/>
    <xf numFmtId="178" fontId="16" fillId="0" borderId="9" applyNumberFormat="0" applyFill="0" applyAlignment="0" applyProtection="0"/>
    <xf numFmtId="188" fontId="16" fillId="0" borderId="9" applyNumberFormat="0" applyFill="0" applyAlignment="0" applyProtection="0"/>
    <xf numFmtId="178" fontId="16" fillId="0" borderId="9" applyNumberFormat="0" applyFill="0" applyAlignment="0" applyProtection="0"/>
    <xf numFmtId="188" fontId="16" fillId="0" borderId="9" applyNumberFormat="0" applyFill="0" applyAlignment="0" applyProtection="0"/>
    <xf numFmtId="178" fontId="16" fillId="0" borderId="9" applyNumberFormat="0" applyFill="0" applyAlignment="0" applyProtection="0"/>
    <xf numFmtId="188" fontId="16" fillId="0" borderId="9" applyNumberFormat="0" applyFill="0" applyAlignment="0" applyProtection="0"/>
    <xf numFmtId="178" fontId="16" fillId="0" borderId="9" applyNumberFormat="0" applyFill="0" applyAlignment="0" applyProtection="0"/>
    <xf numFmtId="188" fontId="16" fillId="0" borderId="9" applyNumberFormat="0" applyFill="0" applyAlignment="0" applyProtection="0"/>
    <xf numFmtId="178" fontId="16" fillId="0" borderId="9" applyNumberFormat="0" applyFill="0" applyAlignment="0" applyProtection="0"/>
    <xf numFmtId="188" fontId="16" fillId="0" borderId="9" applyNumberFormat="0" applyFill="0" applyAlignment="0" applyProtection="0"/>
    <xf numFmtId="178" fontId="16" fillId="0" borderId="9" applyNumberFormat="0" applyFill="0" applyAlignment="0" applyProtection="0"/>
    <xf numFmtId="188" fontId="16" fillId="0" borderId="9" applyNumberFormat="0" applyFill="0" applyAlignment="0" applyProtection="0"/>
    <xf numFmtId="178" fontId="16" fillId="0" borderId="9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6" fillId="0" borderId="9" applyNumberFormat="0" applyFill="0" applyAlignment="0" applyProtection="0"/>
    <xf numFmtId="178" fontId="16" fillId="0" borderId="9" applyNumberFormat="0" applyFill="0" applyAlignment="0" applyProtection="0"/>
    <xf numFmtId="188" fontId="16" fillId="0" borderId="9" applyNumberFormat="0" applyFill="0" applyAlignment="0" applyProtection="0"/>
    <xf numFmtId="178" fontId="16" fillId="0" borderId="9" applyNumberFormat="0" applyFill="0" applyAlignment="0" applyProtection="0"/>
    <xf numFmtId="188" fontId="16" fillId="0" borderId="9" applyNumberFormat="0" applyFill="0" applyAlignment="0" applyProtection="0"/>
    <xf numFmtId="178" fontId="16" fillId="0" borderId="9" applyNumberFormat="0" applyFill="0" applyAlignment="0" applyProtection="0"/>
    <xf numFmtId="188" fontId="16" fillId="0" borderId="9" applyNumberFormat="0" applyFill="0" applyAlignment="0" applyProtection="0"/>
    <xf numFmtId="178" fontId="16" fillId="0" borderId="9" applyNumberFormat="0" applyFill="0" applyAlignment="0" applyProtection="0"/>
    <xf numFmtId="188" fontId="16" fillId="0" borderId="9" applyNumberFormat="0" applyFill="0" applyAlignment="0" applyProtection="0"/>
    <xf numFmtId="178" fontId="16" fillId="0" borderId="9" applyNumberFormat="0" applyFill="0" applyAlignment="0" applyProtection="0"/>
    <xf numFmtId="188" fontId="16" fillId="0" borderId="9" applyNumberFormat="0" applyFill="0" applyAlignment="0" applyProtection="0"/>
    <xf numFmtId="178" fontId="16" fillId="0" borderId="9" applyNumberFormat="0" applyFill="0" applyAlignment="0" applyProtection="0"/>
    <xf numFmtId="188" fontId="16" fillId="0" borderId="9" applyNumberFormat="0" applyFill="0" applyAlignment="0" applyProtection="0"/>
    <xf numFmtId="178" fontId="16" fillId="0" borderId="9" applyNumberFormat="0" applyFill="0" applyAlignment="0" applyProtection="0"/>
    <xf numFmtId="188" fontId="16" fillId="0" borderId="9" applyNumberFormat="0" applyFill="0" applyAlignment="0" applyProtection="0"/>
    <xf numFmtId="178" fontId="16" fillId="0" borderId="9" applyNumberFormat="0" applyFill="0" applyAlignment="0" applyProtection="0"/>
    <xf numFmtId="188" fontId="16" fillId="0" borderId="9" applyNumberFormat="0" applyFill="0" applyAlignment="0" applyProtection="0"/>
    <xf numFmtId="178" fontId="16" fillId="0" borderId="9" applyNumberFormat="0" applyFill="0" applyAlignment="0" applyProtection="0"/>
    <xf numFmtId="188" fontId="16" fillId="0" borderId="9" applyNumberFormat="0" applyFill="0" applyAlignment="0" applyProtection="0"/>
    <xf numFmtId="178" fontId="16" fillId="0" borderId="9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6" fillId="0" borderId="9" applyNumberFormat="0" applyFill="0" applyAlignment="0" applyProtection="0"/>
    <xf numFmtId="178" fontId="16" fillId="0" borderId="9" applyNumberFormat="0" applyFill="0" applyAlignment="0" applyProtection="0"/>
    <xf numFmtId="188" fontId="16" fillId="0" borderId="9" applyNumberFormat="0" applyFill="0" applyAlignment="0" applyProtection="0"/>
    <xf numFmtId="178" fontId="16" fillId="0" borderId="9" applyNumberFormat="0" applyFill="0" applyAlignment="0" applyProtection="0"/>
    <xf numFmtId="188" fontId="16" fillId="0" borderId="9" applyNumberFormat="0" applyFill="0" applyAlignment="0" applyProtection="0"/>
    <xf numFmtId="178" fontId="16" fillId="0" borderId="9" applyNumberFormat="0" applyFill="0" applyAlignment="0" applyProtection="0"/>
    <xf numFmtId="188" fontId="16" fillId="0" borderId="9" applyNumberFormat="0" applyFill="0" applyAlignment="0" applyProtection="0"/>
    <xf numFmtId="178" fontId="16" fillId="0" borderId="9" applyNumberFormat="0" applyFill="0" applyAlignment="0" applyProtection="0"/>
    <xf numFmtId="188" fontId="16" fillId="0" borderId="9" applyNumberFormat="0" applyFill="0" applyAlignment="0" applyProtection="0"/>
    <xf numFmtId="178" fontId="16" fillId="0" borderId="9" applyNumberFormat="0" applyFill="0" applyAlignment="0" applyProtection="0"/>
    <xf numFmtId="188" fontId="16" fillId="0" borderId="9" applyNumberFormat="0" applyFill="0" applyAlignment="0" applyProtection="0"/>
    <xf numFmtId="178" fontId="16" fillId="0" borderId="9" applyNumberFormat="0" applyFill="0" applyAlignment="0" applyProtection="0"/>
    <xf numFmtId="188" fontId="16" fillId="0" borderId="9" applyNumberFormat="0" applyFill="0" applyAlignment="0" applyProtection="0"/>
    <xf numFmtId="178" fontId="16" fillId="0" borderId="9" applyNumberFormat="0" applyFill="0" applyAlignment="0" applyProtection="0"/>
    <xf numFmtId="188" fontId="16" fillId="0" borderId="9" applyNumberFormat="0" applyFill="0" applyAlignment="0" applyProtection="0"/>
    <xf numFmtId="178" fontId="16" fillId="0" borderId="9" applyNumberFormat="0" applyFill="0" applyAlignment="0" applyProtection="0"/>
    <xf numFmtId="188" fontId="16" fillId="0" borderId="9" applyNumberFormat="0" applyFill="0" applyAlignment="0" applyProtection="0"/>
    <xf numFmtId="178" fontId="16" fillId="0" borderId="9" applyNumberFormat="0" applyFill="0" applyAlignment="0" applyProtection="0"/>
    <xf numFmtId="188" fontId="16" fillId="0" borderId="9" applyNumberFormat="0" applyFill="0" applyAlignment="0" applyProtection="0"/>
    <xf numFmtId="178" fontId="16" fillId="0" borderId="9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6" fillId="0" borderId="9" applyNumberFormat="0" applyFill="0" applyAlignment="0" applyProtection="0"/>
    <xf numFmtId="178" fontId="16" fillId="0" borderId="9" applyNumberFormat="0" applyFill="0" applyAlignment="0" applyProtection="0"/>
    <xf numFmtId="188" fontId="16" fillId="0" borderId="9" applyNumberFormat="0" applyFill="0" applyAlignment="0" applyProtection="0"/>
    <xf numFmtId="178" fontId="16" fillId="0" borderId="9" applyNumberFormat="0" applyFill="0" applyAlignment="0" applyProtection="0"/>
    <xf numFmtId="188" fontId="16" fillId="0" borderId="9" applyNumberFormat="0" applyFill="0" applyAlignment="0" applyProtection="0"/>
    <xf numFmtId="178" fontId="16" fillId="0" borderId="9" applyNumberFormat="0" applyFill="0" applyAlignment="0" applyProtection="0"/>
    <xf numFmtId="188" fontId="16" fillId="0" borderId="9" applyNumberFormat="0" applyFill="0" applyAlignment="0" applyProtection="0"/>
    <xf numFmtId="178" fontId="16" fillId="0" borderId="9" applyNumberFormat="0" applyFill="0" applyAlignment="0" applyProtection="0"/>
    <xf numFmtId="188" fontId="16" fillId="0" borderId="9" applyNumberFormat="0" applyFill="0" applyAlignment="0" applyProtection="0"/>
    <xf numFmtId="178" fontId="16" fillId="0" borderId="9" applyNumberFormat="0" applyFill="0" applyAlignment="0" applyProtection="0"/>
    <xf numFmtId="188" fontId="16" fillId="0" borderId="9" applyNumberFormat="0" applyFill="0" applyAlignment="0" applyProtection="0"/>
    <xf numFmtId="178" fontId="16" fillId="0" borderId="9" applyNumberFormat="0" applyFill="0" applyAlignment="0" applyProtection="0"/>
    <xf numFmtId="188" fontId="16" fillId="0" borderId="9" applyNumberFormat="0" applyFill="0" applyAlignment="0" applyProtection="0"/>
    <xf numFmtId="178" fontId="16" fillId="0" borderId="9" applyNumberFormat="0" applyFill="0" applyAlignment="0" applyProtection="0"/>
    <xf numFmtId="188" fontId="16" fillId="0" borderId="9" applyNumberFormat="0" applyFill="0" applyAlignment="0" applyProtection="0"/>
    <xf numFmtId="178" fontId="16" fillId="0" borderId="9" applyNumberFormat="0" applyFill="0" applyAlignment="0" applyProtection="0"/>
    <xf numFmtId="188" fontId="16" fillId="0" borderId="9" applyNumberFormat="0" applyFill="0" applyAlignment="0" applyProtection="0"/>
    <xf numFmtId="178" fontId="16" fillId="0" borderId="9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88" fontId="186" fillId="0" borderId="88" applyNumberFormat="0" applyFill="0" applyAlignment="0" applyProtection="0"/>
    <xf numFmtId="188" fontId="314" fillId="0" borderId="9" applyNumberFormat="0" applyFill="0" applyAlignment="0" applyProtection="0"/>
    <xf numFmtId="178" fontId="314" fillId="0" borderId="9" applyNumberFormat="0" applyFill="0" applyAlignment="0" applyProtection="0"/>
    <xf numFmtId="0" fontId="186" fillId="0" borderId="88" applyNumberFormat="0" applyFill="0" applyAlignment="0" applyProtection="0"/>
    <xf numFmtId="178" fontId="16" fillId="0" borderId="9" applyNumberFormat="0" applyFill="0" applyAlignment="0" applyProtection="0"/>
    <xf numFmtId="188" fontId="16" fillId="0" borderId="9" applyNumberFormat="0" applyFill="0" applyAlignment="0" applyProtection="0"/>
    <xf numFmtId="178" fontId="16" fillId="0" borderId="9" applyNumberFormat="0" applyFill="0" applyAlignment="0" applyProtection="0"/>
    <xf numFmtId="188" fontId="16" fillId="0" borderId="9" applyNumberFormat="0" applyFill="0" applyAlignment="0" applyProtection="0"/>
    <xf numFmtId="178" fontId="16" fillId="0" borderId="9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9" fontId="315" fillId="53" borderId="54" applyNumberFormat="0"/>
    <xf numFmtId="189" fontId="315" fillId="53" borderId="54" applyNumberFormat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78" fontId="314" fillId="0" borderId="9" applyNumberFormat="0" applyFill="0" applyAlignment="0" applyProtection="0"/>
    <xf numFmtId="188" fontId="314" fillId="0" borderId="9" applyNumberFormat="0" applyFill="0" applyAlignment="0" applyProtection="0"/>
    <xf numFmtId="178" fontId="314" fillId="0" borderId="9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78" fontId="314" fillId="0" borderId="9" applyNumberFormat="0" applyFill="0" applyAlignment="0" applyProtection="0"/>
    <xf numFmtId="188" fontId="314" fillId="0" borderId="9" applyNumberFormat="0" applyFill="0" applyAlignment="0" applyProtection="0"/>
    <xf numFmtId="178" fontId="314" fillId="0" borderId="9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78" fontId="314" fillId="0" borderId="9" applyNumberFormat="0" applyFill="0" applyAlignment="0" applyProtection="0"/>
    <xf numFmtId="188" fontId="314" fillId="0" borderId="9" applyNumberFormat="0" applyFill="0" applyAlignment="0" applyProtection="0"/>
    <xf numFmtId="178" fontId="314" fillId="0" borderId="9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78" fontId="16" fillId="0" borderId="9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78" fontId="314" fillId="0" borderId="9" applyNumberFormat="0" applyFill="0" applyAlignment="0" applyProtection="0"/>
    <xf numFmtId="188" fontId="314" fillId="0" borderId="9" applyNumberFormat="0" applyFill="0" applyAlignment="0" applyProtection="0"/>
    <xf numFmtId="178" fontId="314" fillId="0" borderId="9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78" fontId="314" fillId="0" borderId="9" applyNumberFormat="0" applyFill="0" applyAlignment="0" applyProtection="0"/>
    <xf numFmtId="188" fontId="314" fillId="0" borderId="9" applyNumberFormat="0" applyFill="0" applyAlignment="0" applyProtection="0"/>
    <xf numFmtId="178" fontId="314" fillId="0" borderId="9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78" fontId="314" fillId="0" borderId="9" applyNumberFormat="0" applyFill="0" applyAlignment="0" applyProtection="0"/>
    <xf numFmtId="188" fontId="314" fillId="0" borderId="9" applyNumberFormat="0" applyFill="0" applyAlignment="0" applyProtection="0"/>
    <xf numFmtId="178" fontId="314" fillId="0" borderId="9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78" fontId="314" fillId="0" borderId="9" applyNumberFormat="0" applyFill="0" applyAlignment="0" applyProtection="0"/>
    <xf numFmtId="188" fontId="314" fillId="0" borderId="9" applyNumberFormat="0" applyFill="0" applyAlignment="0" applyProtection="0"/>
    <xf numFmtId="178" fontId="314" fillId="0" borderId="9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0" fontId="186" fillId="0" borderId="87" applyNumberFormat="0" applyFill="0" applyAlignment="0" applyProtection="0"/>
    <xf numFmtId="0" fontId="186" fillId="0" borderId="87" applyNumberFormat="0" applyFill="0" applyAlignment="0" applyProtection="0"/>
    <xf numFmtId="178" fontId="186" fillId="0" borderId="87" applyNumberFormat="0" applyFill="0" applyAlignment="0" applyProtection="0"/>
    <xf numFmtId="188" fontId="186" fillId="0" borderId="87" applyNumberFormat="0" applyFill="0" applyAlignment="0" applyProtection="0"/>
    <xf numFmtId="178" fontId="186" fillId="0" borderId="87" applyNumberFormat="0" applyFill="0" applyAlignment="0" applyProtection="0"/>
    <xf numFmtId="282" fontId="316" fillId="0" borderId="56" applyFill="0" applyBorder="0" applyProtection="0">
      <alignment vertical="center"/>
    </xf>
    <xf numFmtId="0" fontId="18" fillId="0" borderId="0"/>
    <xf numFmtId="0" fontId="18" fillId="0" borderId="0"/>
    <xf numFmtId="178" fontId="18" fillId="0" borderId="0"/>
    <xf numFmtId="178" fontId="18" fillId="0" borderId="0"/>
    <xf numFmtId="0" fontId="18" fillId="0" borderId="0"/>
    <xf numFmtId="0" fontId="18" fillId="0" borderId="0"/>
    <xf numFmtId="0" fontId="18" fillId="0" borderId="0"/>
    <xf numFmtId="178" fontId="18" fillId="0" borderId="0"/>
    <xf numFmtId="178" fontId="18" fillId="0" borderId="0"/>
    <xf numFmtId="0" fontId="95" fillId="0" borderId="0"/>
    <xf numFmtId="178" fontId="95" fillId="0" borderId="0"/>
    <xf numFmtId="178" fontId="95" fillId="0" borderId="0"/>
    <xf numFmtId="0" fontId="18" fillId="0" borderId="0">
      <alignment horizontal="fill"/>
    </xf>
    <xf numFmtId="0" fontId="74" fillId="0" borderId="0"/>
    <xf numFmtId="0" fontId="74" fillId="0" borderId="0"/>
    <xf numFmtId="178" fontId="74" fillId="0" borderId="0"/>
    <xf numFmtId="178" fontId="74" fillId="0" borderId="0"/>
    <xf numFmtId="0" fontId="18" fillId="0" borderId="0">
      <alignment horizontal="centerContinuous"/>
    </xf>
    <xf numFmtId="0" fontId="18" fillId="0" borderId="0">
      <alignment horizontal="centerContinuous"/>
    </xf>
    <xf numFmtId="178" fontId="18" fillId="0" borderId="0">
      <alignment horizontal="centerContinuous"/>
    </xf>
    <xf numFmtId="178" fontId="18" fillId="0" borderId="0">
      <alignment horizontal="centerContinuous"/>
    </xf>
    <xf numFmtId="334" fontId="67" fillId="0" borderId="0" applyNumberFormat="0"/>
    <xf numFmtId="256" fontId="18" fillId="0" borderId="0" applyFont="0" applyFill="0" applyBorder="0" applyAlignment="0" applyProtection="0"/>
    <xf numFmtId="256" fontId="1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148" fillId="159" borderId="0" applyNumberFormat="0"/>
    <xf numFmtId="0" fontId="148" fillId="159" borderId="0" applyNumberFormat="0"/>
    <xf numFmtId="178" fontId="148" fillId="159" borderId="0" applyNumberFormat="0"/>
    <xf numFmtId="178" fontId="148" fillId="159" borderId="0" applyNumberFormat="0"/>
    <xf numFmtId="301" fontId="243" fillId="0" borderId="0">
      <alignment horizontal="center" textRotation="90"/>
    </xf>
    <xf numFmtId="301" fontId="18" fillId="0" borderId="0">
      <alignment horizontal="center" textRotation="90"/>
    </xf>
    <xf numFmtId="0" fontId="163" fillId="110" borderId="50" applyNumberFormat="0" applyAlignment="0" applyProtection="0"/>
    <xf numFmtId="0" fontId="163" fillId="110" borderId="50" applyNumberFormat="0" applyAlignment="0" applyProtection="0"/>
    <xf numFmtId="178" fontId="163" fillId="110" borderId="50" applyNumberFormat="0" applyAlignment="0" applyProtection="0"/>
    <xf numFmtId="178" fontId="163" fillId="110" borderId="50" applyNumberFormat="0" applyAlignment="0" applyProtection="0"/>
    <xf numFmtId="335" fontId="63" fillId="0" borderId="0" applyFill="0" applyBorder="0" applyProtection="0">
      <alignment horizontal="right"/>
    </xf>
    <xf numFmtId="291" fontId="18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178" fontId="14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178" fontId="14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178" fontId="317" fillId="0" borderId="0" applyNumberFormat="0" applyFill="0" applyBorder="0" applyAlignment="0" applyProtection="0"/>
    <xf numFmtId="178" fontId="14" fillId="0" borderId="0" applyNumberFormat="0" applyFill="0" applyBorder="0" applyAlignment="0" applyProtection="0"/>
    <xf numFmtId="0" fontId="317" fillId="0" borderId="0" applyNumberFormat="0" applyFill="0" applyBorder="0" applyAlignment="0" applyProtection="0"/>
    <xf numFmtId="0" fontId="317" fillId="0" borderId="0" applyNumberFormat="0" applyFill="0" applyBorder="0" applyAlignment="0" applyProtection="0"/>
  </cellStyleXfs>
  <cellXfs count="596">
    <xf numFmtId="0" fontId="0" fillId="0" borderId="0" xfId="0"/>
    <xf numFmtId="0" fontId="19" fillId="0" borderId="0" xfId="3" applyFont="1" applyAlignment="1">
      <alignment horizontal="left"/>
    </xf>
    <xf numFmtId="0" fontId="20" fillId="0" borderId="0" xfId="3" applyFont="1" applyAlignment="1">
      <alignment horizontal="left"/>
    </xf>
    <xf numFmtId="1" fontId="19" fillId="0" borderId="0" xfId="3" applyNumberFormat="1" applyFont="1" applyAlignment="1">
      <alignment vertical="center"/>
    </xf>
    <xf numFmtId="0" fontId="19" fillId="0" borderId="0" xfId="3" applyFont="1" applyAlignment="1">
      <alignment vertical="center"/>
    </xf>
    <xf numFmtId="2" fontId="19" fillId="0" borderId="0" xfId="3" applyNumberFormat="1" applyFont="1" applyFill="1" applyAlignment="1">
      <alignment vertical="center"/>
    </xf>
    <xf numFmtId="0" fontId="19" fillId="0" borderId="0" xfId="3" applyFont="1" applyFill="1" applyAlignment="1">
      <alignment vertical="center"/>
    </xf>
    <xf numFmtId="0" fontId="19" fillId="0" borderId="0" xfId="3" applyFont="1" applyFill="1" applyBorder="1" applyAlignment="1">
      <alignment vertical="center"/>
    </xf>
    <xf numFmtId="0" fontId="19" fillId="0" borderId="0" xfId="3" applyNumberFormat="1" applyFont="1" applyAlignment="1">
      <alignment vertical="center"/>
    </xf>
    <xf numFmtId="0" fontId="18" fillId="0" borderId="0" xfId="3" applyAlignment="1">
      <alignment vertical="center"/>
    </xf>
    <xf numFmtId="0" fontId="0" fillId="0" borderId="0" xfId="0" applyAlignment="1">
      <alignment vertical="center"/>
    </xf>
    <xf numFmtId="0" fontId="21" fillId="0" borderId="0" xfId="3" applyFont="1" applyAlignment="1">
      <alignment vertical="center"/>
    </xf>
    <xf numFmtId="0" fontId="22" fillId="0" borderId="0" xfId="3" applyFont="1" applyAlignment="1">
      <alignment vertical="center"/>
    </xf>
    <xf numFmtId="2" fontId="21" fillId="0" borderId="0" xfId="3" applyNumberFormat="1" applyFont="1" applyAlignment="1">
      <alignment vertical="center"/>
    </xf>
    <xf numFmtId="164" fontId="21" fillId="0" borderId="0" xfId="3" applyNumberFormat="1" applyFont="1" applyAlignment="1">
      <alignment vertical="center"/>
    </xf>
    <xf numFmtId="164" fontId="19" fillId="0" borderId="0" xfId="3" applyNumberFormat="1" applyFont="1" applyAlignment="1">
      <alignment vertical="center"/>
    </xf>
    <xf numFmtId="0" fontId="23" fillId="0" borderId="0" xfId="3" applyFont="1" applyAlignment="1">
      <alignment vertical="center"/>
    </xf>
    <xf numFmtId="2" fontId="23" fillId="0" borderId="0" xfId="3" applyNumberFormat="1" applyFont="1" applyFill="1" applyAlignment="1">
      <alignment vertical="center"/>
    </xf>
    <xf numFmtId="1" fontId="23" fillId="0" borderId="0" xfId="3" applyNumberFormat="1" applyFont="1" applyFill="1" applyAlignment="1">
      <alignment vertical="center"/>
    </xf>
    <xf numFmtId="165" fontId="19" fillId="33" borderId="0" xfId="3" applyNumberFormat="1" applyFont="1" applyFill="1" applyAlignment="1">
      <alignment vertical="center"/>
    </xf>
    <xf numFmtId="165" fontId="19" fillId="0" borderId="0" xfId="3" applyNumberFormat="1" applyFont="1" applyFill="1" applyBorder="1" applyAlignment="1">
      <alignment vertical="center"/>
    </xf>
    <xf numFmtId="2" fontId="19" fillId="0" borderId="0" xfId="3" applyNumberFormat="1" applyFont="1" applyAlignment="1">
      <alignment vertical="center"/>
    </xf>
    <xf numFmtId="4" fontId="19" fillId="0" borderId="0" xfId="3" applyNumberFormat="1" applyFont="1" applyAlignment="1">
      <alignment vertical="center"/>
    </xf>
    <xf numFmtId="0" fontId="24" fillId="0" borderId="0" xfId="3" applyFont="1" applyAlignment="1">
      <alignment vertical="center"/>
    </xf>
    <xf numFmtId="166" fontId="25" fillId="0" borderId="0" xfId="4" applyNumberFormat="1" applyFont="1" applyAlignment="1">
      <alignment vertical="center"/>
    </xf>
    <xf numFmtId="9" fontId="19" fillId="0" borderId="0" xfId="3" applyNumberFormat="1" applyFont="1" applyAlignment="1">
      <alignment vertical="center"/>
    </xf>
    <xf numFmtId="2" fontId="19" fillId="33" borderId="0" xfId="3" applyNumberFormat="1" applyFont="1" applyFill="1" applyAlignment="1">
      <alignment vertical="center"/>
    </xf>
    <xf numFmtId="2" fontId="23" fillId="33" borderId="0" xfId="3" applyNumberFormat="1" applyFont="1" applyFill="1" applyAlignment="1">
      <alignment vertical="center"/>
    </xf>
    <xf numFmtId="164" fontId="23" fillId="0" borderId="0" xfId="3" applyNumberFormat="1" applyFont="1" applyAlignment="1">
      <alignment vertical="center"/>
    </xf>
    <xf numFmtId="164" fontId="23" fillId="33" borderId="0" xfId="3" applyNumberFormat="1" applyFont="1" applyFill="1" applyAlignment="1">
      <alignment vertical="center"/>
    </xf>
    <xf numFmtId="164" fontId="22" fillId="33" borderId="0" xfId="3" applyNumberFormat="1" applyFont="1" applyFill="1" applyAlignment="1">
      <alignment vertical="center"/>
    </xf>
    <xf numFmtId="164" fontId="22" fillId="0" borderId="0" xfId="3" applyNumberFormat="1" applyFont="1" applyFill="1" applyBorder="1" applyAlignment="1">
      <alignment vertical="center"/>
    </xf>
    <xf numFmtId="0" fontId="26" fillId="34" borderId="10" xfId="3" applyFont="1" applyFill="1" applyBorder="1" applyAlignment="1">
      <alignment vertical="center"/>
    </xf>
    <xf numFmtId="0" fontId="26" fillId="34" borderId="11" xfId="3" applyFont="1" applyFill="1" applyBorder="1" applyAlignment="1">
      <alignment vertical="center"/>
    </xf>
    <xf numFmtId="0" fontId="26" fillId="34" borderId="12" xfId="3" applyFont="1" applyFill="1" applyBorder="1" applyAlignment="1">
      <alignment vertical="center"/>
    </xf>
    <xf numFmtId="0" fontId="26" fillId="34" borderId="12" xfId="3" applyFont="1" applyFill="1" applyBorder="1" applyAlignment="1">
      <alignment vertical="center" wrapText="1"/>
    </xf>
    <xf numFmtId="1" fontId="18" fillId="0" borderId="11" xfId="3" applyNumberFormat="1" applyFont="1" applyBorder="1" applyAlignment="1">
      <alignment vertical="center" wrapText="1"/>
    </xf>
    <xf numFmtId="1" fontId="27" fillId="35" borderId="11" xfId="3" applyNumberFormat="1" applyFont="1" applyFill="1" applyBorder="1" applyAlignment="1">
      <alignment horizontal="center" vertical="center" wrapText="1"/>
    </xf>
    <xf numFmtId="1" fontId="28" fillId="36" borderId="11" xfId="3" applyNumberFormat="1" applyFont="1" applyFill="1" applyBorder="1" applyAlignment="1">
      <alignment vertical="center" wrapText="1"/>
    </xf>
    <xf numFmtId="1" fontId="28" fillId="36" borderId="13" xfId="3" applyNumberFormat="1" applyFont="1" applyFill="1" applyBorder="1" applyAlignment="1">
      <alignment vertical="center" wrapText="1"/>
    </xf>
    <xf numFmtId="1" fontId="28" fillId="36" borderId="14" xfId="3" applyNumberFormat="1" applyFont="1" applyFill="1" applyBorder="1" applyAlignment="1">
      <alignment vertical="center" wrapText="1"/>
    </xf>
    <xf numFmtId="49" fontId="29" fillId="37" borderId="11" xfId="3" applyNumberFormat="1" applyFont="1" applyFill="1" applyBorder="1" applyAlignment="1">
      <alignment vertical="center" wrapText="1"/>
    </xf>
    <xf numFmtId="0" fontId="30" fillId="0" borderId="0" xfId="3" applyFont="1" applyBorder="1" applyAlignment="1">
      <alignment vertical="center"/>
    </xf>
    <xf numFmtId="0" fontId="31" fillId="34" borderId="15" xfId="3" applyFont="1" applyFill="1" applyBorder="1" applyAlignment="1">
      <alignment vertical="center"/>
    </xf>
    <xf numFmtId="0" fontId="31" fillId="34" borderId="0" xfId="3" applyFont="1" applyFill="1" applyBorder="1" applyAlignment="1">
      <alignment vertical="center"/>
    </xf>
    <xf numFmtId="2" fontId="26" fillId="34" borderId="13" xfId="3" applyNumberFormat="1" applyFont="1" applyFill="1" applyBorder="1" applyAlignment="1">
      <alignment vertical="center"/>
    </xf>
    <xf numFmtId="2" fontId="26" fillId="34" borderId="16" xfId="3" applyNumberFormat="1" applyFont="1" applyFill="1" applyBorder="1" applyAlignment="1">
      <alignment vertical="center"/>
    </xf>
    <xf numFmtId="0" fontId="26" fillId="0" borderId="0" xfId="3" applyFont="1" applyFill="1" applyBorder="1" applyAlignment="1">
      <alignment vertical="center"/>
    </xf>
    <xf numFmtId="0" fontId="26" fillId="34" borderId="0" xfId="3" applyFont="1" applyFill="1" applyBorder="1" applyAlignment="1">
      <alignment vertical="center"/>
    </xf>
    <xf numFmtId="0" fontId="26" fillId="34" borderId="10" xfId="3" applyFont="1" applyFill="1" applyBorder="1" applyAlignment="1">
      <alignment vertical="center" wrapText="1"/>
    </xf>
    <xf numFmtId="0" fontId="18" fillId="0" borderId="0" xfId="3" applyBorder="1" applyAlignment="1">
      <alignment vertical="center"/>
    </xf>
    <xf numFmtId="0" fontId="26" fillId="34" borderId="17" xfId="3" applyFont="1" applyFill="1" applyBorder="1" applyAlignment="1">
      <alignment vertical="center"/>
    </xf>
    <xf numFmtId="0" fontId="33" fillId="38" borderId="0" xfId="3" applyFont="1" applyFill="1" applyBorder="1" applyAlignment="1">
      <alignment vertical="center"/>
    </xf>
    <xf numFmtId="0" fontId="19" fillId="0" borderId="0" xfId="3" applyFont="1" applyBorder="1" applyAlignment="1">
      <alignment vertical="center"/>
    </xf>
    <xf numFmtId="1" fontId="18" fillId="0" borderId="12" xfId="3" applyNumberFormat="1" applyFont="1" applyBorder="1" applyAlignment="1">
      <alignment vertical="center" wrapText="1"/>
    </xf>
    <xf numFmtId="1" fontId="18" fillId="38" borderId="12" xfId="3" applyNumberFormat="1" applyFont="1" applyFill="1" applyBorder="1" applyAlignment="1">
      <alignment vertical="center" wrapText="1"/>
    </xf>
    <xf numFmtId="1" fontId="18" fillId="0" borderId="18" xfId="3" applyNumberFormat="1" applyFont="1" applyBorder="1" applyAlignment="1">
      <alignment vertical="center" wrapText="1"/>
    </xf>
    <xf numFmtId="1" fontId="18" fillId="38" borderId="12" xfId="3" applyNumberFormat="1" applyFill="1" applyBorder="1" applyAlignment="1">
      <alignment vertical="center"/>
    </xf>
    <xf numFmtId="1" fontId="18" fillId="0" borderId="19" xfId="3" applyNumberFormat="1" applyFont="1" applyFill="1" applyBorder="1" applyAlignment="1">
      <alignment vertical="center" wrapText="1"/>
    </xf>
    <xf numFmtId="49" fontId="18" fillId="37" borderId="12" xfId="3" applyNumberFormat="1" applyFill="1" applyBorder="1" applyAlignment="1">
      <alignment vertical="center" wrapText="1"/>
    </xf>
    <xf numFmtId="0" fontId="26" fillId="34" borderId="0" xfId="3" applyFont="1" applyFill="1" applyBorder="1" applyAlignment="1">
      <alignment vertical="center" wrapText="1"/>
    </xf>
    <xf numFmtId="0" fontId="26" fillId="34" borderId="20" xfId="3" applyFont="1" applyFill="1" applyBorder="1" applyAlignment="1">
      <alignment vertical="center"/>
    </xf>
    <xf numFmtId="0" fontId="26" fillId="34" borderId="19" xfId="3" applyFont="1" applyFill="1" applyBorder="1" applyAlignment="1">
      <alignment vertical="center"/>
    </xf>
    <xf numFmtId="0" fontId="26" fillId="34" borderId="18" xfId="3" applyFont="1" applyFill="1" applyBorder="1" applyAlignment="1">
      <alignment vertical="center"/>
    </xf>
    <xf numFmtId="0" fontId="19" fillId="0" borderId="0" xfId="3" applyFont="1" applyAlignment="1">
      <alignment horizontal="center" vertical="center"/>
    </xf>
    <xf numFmtId="0" fontId="30" fillId="0" borderId="0" xfId="3" applyFont="1" applyBorder="1" applyAlignment="1">
      <alignment horizontal="center" vertical="center"/>
    </xf>
    <xf numFmtId="0" fontId="30" fillId="39" borderId="20" xfId="3" applyFont="1" applyFill="1" applyBorder="1" applyAlignment="1">
      <alignment horizontal="center" vertical="center"/>
    </xf>
    <xf numFmtId="0" fontId="30" fillId="39" borderId="20" xfId="3" applyFont="1" applyFill="1" applyBorder="1" applyAlignment="1">
      <alignment horizontal="center" vertical="center" wrapText="1"/>
    </xf>
    <xf numFmtId="0" fontId="30" fillId="40" borderId="20" xfId="3" applyFont="1" applyFill="1" applyBorder="1" applyAlignment="1">
      <alignment horizontal="center" vertical="center"/>
    </xf>
    <xf numFmtId="0" fontId="30" fillId="0" borderId="0" xfId="3" applyFont="1" applyFill="1" applyBorder="1" applyAlignment="1">
      <alignment horizontal="center" vertical="center"/>
    </xf>
    <xf numFmtId="0" fontId="30" fillId="39" borderId="0" xfId="3" applyFont="1" applyFill="1" applyBorder="1" applyAlignment="1">
      <alignment horizontal="center" vertical="center"/>
    </xf>
    <xf numFmtId="0" fontId="34" fillId="39" borderId="20" xfId="3" applyFont="1" applyFill="1" applyBorder="1" applyAlignment="1">
      <alignment horizontal="center" vertical="center"/>
    </xf>
    <xf numFmtId="0" fontId="30" fillId="39" borderId="19" xfId="3" applyFont="1" applyFill="1" applyBorder="1" applyAlignment="1">
      <alignment horizontal="center" vertical="center"/>
    </xf>
    <xf numFmtId="0" fontId="33" fillId="38" borderId="0" xfId="3" applyFont="1" applyFill="1" applyBorder="1" applyAlignment="1">
      <alignment horizontal="center" vertical="center"/>
    </xf>
    <xf numFmtId="0" fontId="19" fillId="0" borderId="0" xfId="3" applyFont="1" applyBorder="1" applyAlignment="1">
      <alignment horizontal="center" vertical="center"/>
    </xf>
    <xf numFmtId="0" fontId="26" fillId="34" borderId="12" xfId="3" applyFont="1" applyFill="1" applyBorder="1" applyAlignment="1">
      <alignment horizontal="center" vertical="center"/>
    </xf>
    <xf numFmtId="0" fontId="18" fillId="38" borderId="21" xfId="3" applyNumberFormat="1" applyFill="1" applyBorder="1" applyAlignment="1">
      <alignment horizontal="center" vertical="center"/>
    </xf>
    <xf numFmtId="1" fontId="18" fillId="38" borderId="21" xfId="3" applyNumberFormat="1" applyFill="1" applyBorder="1" applyAlignment="1">
      <alignment horizontal="center" vertical="center"/>
    </xf>
    <xf numFmtId="1" fontId="35" fillId="0" borderId="21" xfId="3" applyNumberFormat="1" applyFont="1" applyFill="1" applyBorder="1" applyAlignment="1">
      <alignment horizontal="center" vertical="center"/>
    </xf>
    <xf numFmtId="1" fontId="19" fillId="0" borderId="21" xfId="3" applyNumberFormat="1" applyFont="1" applyBorder="1" applyAlignment="1">
      <alignment horizontal="center" vertical="center"/>
    </xf>
    <xf numFmtId="1" fontId="36" fillId="0" borderId="21" xfId="3" applyNumberFormat="1" applyFont="1" applyFill="1" applyBorder="1" applyAlignment="1">
      <alignment horizontal="center" vertical="center"/>
    </xf>
    <xf numFmtId="0" fontId="18" fillId="38" borderId="21" xfId="3" applyFill="1" applyBorder="1" applyAlignment="1">
      <alignment horizontal="left" vertical="center"/>
    </xf>
    <xf numFmtId="0" fontId="30" fillId="39" borderId="0" xfId="3" applyFont="1" applyFill="1" applyBorder="1" applyAlignment="1">
      <alignment horizontal="center" vertical="center" wrapText="1"/>
    </xf>
    <xf numFmtId="0" fontId="37" fillId="39" borderId="0" xfId="3" applyFont="1" applyFill="1" applyBorder="1" applyAlignment="1">
      <alignment horizontal="center" vertical="center" wrapText="1"/>
    </xf>
    <xf numFmtId="0" fontId="19" fillId="38" borderId="20" xfId="3" applyFont="1" applyFill="1" applyBorder="1" applyAlignment="1">
      <alignment horizontal="center" vertical="center"/>
    </xf>
    <xf numFmtId="168" fontId="38" fillId="38" borderId="10" xfId="5" applyNumberFormat="1" applyFont="1" applyFill="1" applyBorder="1" applyAlignment="1">
      <alignment horizontal="center" vertical="center"/>
    </xf>
    <xf numFmtId="168" fontId="38" fillId="0" borderId="10" xfId="5" applyNumberFormat="1" applyFont="1" applyFill="1" applyBorder="1" applyAlignment="1">
      <alignment horizontal="center" vertical="center"/>
    </xf>
    <xf numFmtId="168" fontId="38" fillId="41" borderId="20" xfId="5" applyNumberFormat="1" applyFont="1" applyFill="1" applyBorder="1" applyAlignment="1">
      <alignment vertical="center"/>
    </xf>
    <xf numFmtId="3" fontId="19" fillId="42" borderId="20" xfId="3" applyNumberFormat="1" applyFont="1" applyFill="1" applyBorder="1" applyAlignment="1">
      <alignment horizontal="center" vertical="center"/>
    </xf>
    <xf numFmtId="3" fontId="19" fillId="0" borderId="10" xfId="3" applyNumberFormat="1" applyFont="1" applyBorder="1" applyAlignment="1">
      <alignment horizontal="center" vertical="center"/>
    </xf>
    <xf numFmtId="3" fontId="19" fillId="38" borderId="20" xfId="3" applyNumberFormat="1" applyFont="1" applyFill="1" applyBorder="1" applyAlignment="1">
      <alignment horizontal="center" vertical="center"/>
    </xf>
    <xf numFmtId="3" fontId="19" fillId="40" borderId="20" xfId="3" applyNumberFormat="1" applyFont="1" applyFill="1" applyBorder="1" applyAlignment="1">
      <alignment horizontal="center" vertical="center"/>
    </xf>
    <xf numFmtId="3" fontId="19" fillId="0" borderId="0" xfId="3" applyNumberFormat="1" applyFont="1" applyFill="1" applyBorder="1" applyAlignment="1">
      <alignment horizontal="center" vertical="center"/>
    </xf>
    <xf numFmtId="3" fontId="19" fillId="33" borderId="10" xfId="3" applyNumberFormat="1" applyFont="1" applyFill="1" applyBorder="1" applyAlignment="1">
      <alignment horizontal="center" vertical="center"/>
    </xf>
    <xf numFmtId="4" fontId="19" fillId="0" borderId="20" xfId="3" applyNumberFormat="1" applyFont="1" applyBorder="1" applyAlignment="1">
      <alignment horizontal="center" vertical="center"/>
    </xf>
    <xf numFmtId="4" fontId="19" fillId="42" borderId="20" xfId="3" applyNumberFormat="1" applyFont="1" applyFill="1" applyBorder="1" applyAlignment="1">
      <alignment horizontal="center" vertical="center"/>
    </xf>
    <xf numFmtId="4" fontId="39" fillId="42" borderId="20" xfId="3" applyNumberFormat="1" applyFont="1" applyFill="1" applyBorder="1" applyAlignment="1">
      <alignment horizontal="center" vertical="center"/>
    </xf>
    <xf numFmtId="4" fontId="19" fillId="0" borderId="20" xfId="3" applyNumberFormat="1" applyFont="1" applyFill="1" applyBorder="1" applyAlignment="1">
      <alignment horizontal="center" vertical="center"/>
    </xf>
    <xf numFmtId="4" fontId="19" fillId="41" borderId="20" xfId="3" applyNumberFormat="1" applyFont="1" applyFill="1" applyBorder="1" applyAlignment="1">
      <alignment horizontal="center" vertical="center"/>
    </xf>
    <xf numFmtId="4" fontId="19" fillId="38" borderId="20" xfId="3" applyNumberFormat="1" applyFont="1" applyFill="1" applyBorder="1" applyAlignment="1">
      <alignment horizontal="center" vertical="center"/>
    </xf>
    <xf numFmtId="4" fontId="40" fillId="0" borderId="0" xfId="3" applyNumberFormat="1" applyFont="1" applyFill="1" applyBorder="1" applyAlignment="1">
      <alignment horizontal="center" vertical="center"/>
    </xf>
    <xf numFmtId="4" fontId="40" fillId="38" borderId="0" xfId="3" applyNumberFormat="1" applyFont="1" applyFill="1" applyBorder="1" applyAlignment="1">
      <alignment horizontal="center" vertical="center"/>
    </xf>
    <xf numFmtId="2" fontId="19" fillId="0" borderId="0" xfId="3" applyNumberFormat="1" applyFont="1" applyBorder="1" applyAlignment="1">
      <alignment horizontal="center" vertical="center"/>
    </xf>
    <xf numFmtId="0" fontId="19" fillId="38" borderId="21" xfId="3" applyFont="1" applyFill="1" applyBorder="1" applyAlignment="1">
      <alignment horizontal="center" vertical="center"/>
    </xf>
    <xf numFmtId="1" fontId="18" fillId="0" borderId="21" xfId="3" applyNumberFormat="1" applyFill="1" applyBorder="1" applyAlignment="1">
      <alignment horizontal="center" vertical="center"/>
    </xf>
    <xf numFmtId="1" fontId="18" fillId="0" borderId="21" xfId="3" applyNumberFormat="1" applyFont="1" applyFill="1" applyBorder="1" applyAlignment="1">
      <alignment horizontal="center" vertical="center"/>
    </xf>
    <xf numFmtId="1" fontId="35" fillId="38" borderId="21" xfId="3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vertical="center"/>
    </xf>
    <xf numFmtId="0" fontId="0" fillId="0" borderId="21" xfId="0" applyBorder="1" applyAlignment="1">
      <alignment vertical="center"/>
    </xf>
    <xf numFmtId="1" fontId="41" fillId="0" borderId="21" xfId="3" applyNumberFormat="1" applyFont="1" applyBorder="1" applyAlignment="1">
      <alignment horizontal="center" vertical="center"/>
    </xf>
    <xf numFmtId="2" fontId="42" fillId="0" borderId="21" xfId="3" applyNumberFormat="1" applyFont="1" applyFill="1" applyBorder="1" applyAlignment="1">
      <alignment horizontal="center" vertical="center"/>
    </xf>
    <xf numFmtId="2" fontId="42" fillId="0" borderId="21" xfId="3" applyNumberFormat="1" applyFont="1" applyBorder="1" applyAlignment="1">
      <alignment horizontal="center" vertical="center"/>
    </xf>
    <xf numFmtId="2" fontId="41" fillId="0" borderId="12" xfId="3" applyNumberFormat="1" applyFont="1" applyBorder="1" applyAlignment="1">
      <alignment horizontal="center" vertical="center"/>
    </xf>
    <xf numFmtId="0" fontId="43" fillId="0" borderId="0" xfId="0" applyFont="1" applyFill="1" applyAlignment="1">
      <alignment vertical="center"/>
    </xf>
    <xf numFmtId="0" fontId="19" fillId="38" borderId="10" xfId="3" applyFont="1" applyFill="1" applyBorder="1" applyAlignment="1">
      <alignment horizontal="center" vertical="center"/>
    </xf>
    <xf numFmtId="168" fontId="38" fillId="41" borderId="20" xfId="5" applyNumberFormat="1" applyFont="1" applyFill="1" applyBorder="1" applyAlignment="1">
      <alignment horizontal="center" vertical="center"/>
    </xf>
    <xf numFmtId="2" fontId="19" fillId="0" borderId="0" xfId="3" applyNumberFormat="1" applyFont="1" applyAlignment="1">
      <alignment horizontal="center" vertical="center"/>
    </xf>
    <xf numFmtId="0" fontId="19" fillId="38" borderId="21" xfId="3" applyNumberFormat="1" applyFont="1" applyFill="1" applyBorder="1" applyAlignment="1">
      <alignment horizontal="center" vertical="center"/>
    </xf>
    <xf numFmtId="0" fontId="43" fillId="0" borderId="0" xfId="0" applyFont="1" applyAlignment="1">
      <alignment vertical="center"/>
    </xf>
    <xf numFmtId="0" fontId="19" fillId="33" borderId="0" xfId="3" applyFont="1" applyFill="1" applyAlignment="1">
      <alignment horizontal="center" vertical="center"/>
    </xf>
    <xf numFmtId="0" fontId="18" fillId="38" borderId="21" xfId="3" applyNumberFormat="1" applyFont="1" applyFill="1" applyBorder="1" applyAlignment="1">
      <alignment horizontal="center" vertical="center"/>
    </xf>
    <xf numFmtId="1" fontId="18" fillId="38" borderId="21" xfId="3" applyNumberFormat="1" applyFont="1" applyFill="1" applyBorder="1" applyAlignment="1">
      <alignment horizontal="center" vertical="center"/>
    </xf>
    <xf numFmtId="1" fontId="18" fillId="38" borderId="12" xfId="3" applyNumberFormat="1" applyFont="1" applyFill="1" applyBorder="1" applyAlignment="1">
      <alignment horizontal="center" vertical="center" wrapText="1"/>
    </xf>
    <xf numFmtId="1" fontId="18" fillId="37" borderId="21" xfId="3" applyNumberFormat="1" applyFont="1" applyFill="1" applyBorder="1" applyAlignment="1">
      <alignment horizontal="center" vertical="center"/>
    </xf>
    <xf numFmtId="1" fontId="36" fillId="38" borderId="21" xfId="3" applyNumberFormat="1" applyFont="1" applyFill="1" applyBorder="1" applyAlignment="1">
      <alignment horizontal="center" vertical="center"/>
    </xf>
    <xf numFmtId="1" fontId="18" fillId="38" borderId="12" xfId="3" applyNumberFormat="1" applyFill="1" applyBorder="1" applyAlignment="1">
      <alignment horizontal="center" vertical="center" wrapText="1"/>
    </xf>
    <xf numFmtId="0" fontId="18" fillId="38" borderId="12" xfId="3" applyNumberFormat="1" applyFill="1" applyBorder="1" applyAlignment="1">
      <alignment horizontal="center" vertical="center"/>
    </xf>
    <xf numFmtId="0" fontId="36" fillId="38" borderId="22" xfId="3" applyNumberFormat="1" applyFont="1" applyFill="1" applyBorder="1" applyAlignment="1">
      <alignment horizontal="center" vertical="center"/>
    </xf>
    <xf numFmtId="168" fontId="38" fillId="0" borderId="10" xfId="0" applyNumberFormat="1" applyFont="1" applyFill="1" applyBorder="1" applyAlignment="1">
      <alignment horizontal="center" vertical="center"/>
    </xf>
    <xf numFmtId="1" fontId="36" fillId="38" borderId="12" xfId="3" applyNumberFormat="1" applyFont="1" applyFill="1" applyBorder="1" applyAlignment="1">
      <alignment horizontal="center" vertical="center" wrapText="1"/>
    </xf>
    <xf numFmtId="0" fontId="18" fillId="38" borderId="12" xfId="3" applyNumberFormat="1" applyFill="1" applyBorder="1" applyAlignment="1">
      <alignment horizontal="center" vertical="center" wrapText="1"/>
    </xf>
    <xf numFmtId="168" fontId="38" fillId="0" borderId="10" xfId="0" applyNumberFormat="1" applyFont="1" applyBorder="1" applyAlignment="1">
      <alignment horizontal="center" vertical="center"/>
    </xf>
    <xf numFmtId="0" fontId="35" fillId="38" borderId="21" xfId="3" applyFont="1" applyFill="1" applyBorder="1" applyAlignment="1">
      <alignment horizontal="left" vertical="center"/>
    </xf>
    <xf numFmtId="0" fontId="19" fillId="33" borderId="10" xfId="3" applyFont="1" applyFill="1" applyBorder="1" applyAlignment="1">
      <alignment horizontal="center" vertical="center"/>
    </xf>
    <xf numFmtId="0" fontId="19" fillId="33" borderId="21" xfId="3" applyFont="1" applyFill="1" applyBorder="1" applyAlignment="1">
      <alignment horizontal="center" vertical="center"/>
    </xf>
    <xf numFmtId="0" fontId="18" fillId="38" borderId="21" xfId="3" applyNumberFormat="1" applyFill="1" applyBorder="1" applyAlignment="1">
      <alignment horizontal="center"/>
    </xf>
    <xf numFmtId="1" fontId="18" fillId="38" borderId="21" xfId="3" applyNumberFormat="1" applyFill="1" applyBorder="1" applyAlignment="1">
      <alignment horizontal="center"/>
    </xf>
    <xf numFmtId="0" fontId="18" fillId="38" borderId="0" xfId="3" applyNumberFormat="1" applyFont="1" applyFill="1" applyAlignment="1">
      <alignment horizontal="center"/>
    </xf>
    <xf numFmtId="0" fontId="19" fillId="0" borderId="10" xfId="3" applyFont="1" applyFill="1" applyBorder="1" applyAlignment="1">
      <alignment horizontal="center" vertical="center"/>
    </xf>
    <xf numFmtId="1" fontId="18" fillId="38" borderId="21" xfId="3" applyNumberFormat="1" applyFont="1" applyFill="1" applyBorder="1" applyAlignment="1">
      <alignment horizontal="center"/>
    </xf>
    <xf numFmtId="0" fontId="18" fillId="38" borderId="22" xfId="3" applyNumberFormat="1" applyFill="1" applyBorder="1" applyAlignment="1">
      <alignment horizontal="center"/>
    </xf>
    <xf numFmtId="0" fontId="19" fillId="0" borderId="0" xfId="3" applyFont="1" applyFill="1" applyAlignment="1">
      <alignment horizontal="center" vertical="center"/>
    </xf>
    <xf numFmtId="0" fontId="19" fillId="0" borderId="21" xfId="3" applyFont="1" applyFill="1" applyBorder="1" applyAlignment="1">
      <alignment horizontal="center" vertical="center"/>
    </xf>
    <xf numFmtId="0" fontId="18" fillId="38" borderId="21" xfId="3" quotePrefix="1" applyNumberFormat="1" applyFill="1" applyBorder="1" applyAlignment="1">
      <alignment horizontal="center"/>
    </xf>
    <xf numFmtId="1" fontId="36" fillId="38" borderId="21" xfId="3" applyNumberFormat="1" applyFont="1" applyFill="1" applyBorder="1" applyAlignment="1">
      <alignment horizontal="center"/>
    </xf>
    <xf numFmtId="1" fontId="18" fillId="38" borderId="22" xfId="3" applyNumberFormat="1" applyFill="1" applyBorder="1" applyAlignment="1">
      <alignment horizontal="center"/>
    </xf>
    <xf numFmtId="0" fontId="36" fillId="38" borderId="22" xfId="3" applyNumberFormat="1" applyFont="1" applyFill="1" applyBorder="1" applyAlignment="1">
      <alignment horizontal="center"/>
    </xf>
    <xf numFmtId="2" fontId="19" fillId="33" borderId="0" xfId="3" applyNumberFormat="1" applyFont="1" applyFill="1" applyAlignment="1">
      <alignment horizontal="center" vertical="center"/>
    </xf>
    <xf numFmtId="1" fontId="24" fillId="38" borderId="21" xfId="3" applyNumberFormat="1" applyFont="1" applyFill="1" applyBorder="1" applyAlignment="1">
      <alignment horizontal="center" vertical="center"/>
    </xf>
    <xf numFmtId="0" fontId="18" fillId="38" borderId="22" xfId="3" applyNumberFormat="1" applyFill="1" applyBorder="1" applyAlignment="1">
      <alignment horizontal="center" vertical="center"/>
    </xf>
    <xf numFmtId="1" fontId="18" fillId="38" borderId="22" xfId="3" applyNumberFormat="1" applyFont="1" applyFill="1" applyBorder="1" applyAlignment="1">
      <alignment horizontal="center" vertical="center"/>
    </xf>
    <xf numFmtId="1" fontId="18" fillId="38" borderId="22" xfId="3" applyNumberFormat="1" applyFill="1" applyBorder="1" applyAlignment="1">
      <alignment horizontal="center" vertical="center"/>
    </xf>
    <xf numFmtId="1" fontId="19" fillId="0" borderId="0" xfId="3" applyNumberFormat="1" applyFont="1" applyFill="1" applyAlignment="1">
      <alignment horizontal="center" vertical="center"/>
    </xf>
    <xf numFmtId="164" fontId="19" fillId="0" borderId="0" xfId="3" applyNumberFormat="1" applyFont="1" applyFill="1" applyAlignment="1">
      <alignment horizontal="center" vertical="center"/>
    </xf>
    <xf numFmtId="168" fontId="19" fillId="0" borderId="10" xfId="3" applyNumberFormat="1" applyFont="1" applyFill="1" applyBorder="1" applyAlignment="1" applyProtection="1">
      <alignment horizontal="center" vertical="center"/>
    </xf>
    <xf numFmtId="0" fontId="19" fillId="33" borderId="0" xfId="3" applyFont="1" applyFill="1" applyBorder="1" applyAlignment="1">
      <alignment horizontal="center" vertical="center"/>
    </xf>
    <xf numFmtId="0" fontId="18" fillId="38" borderId="21" xfId="6" applyNumberFormat="1" applyFont="1" applyFill="1" applyBorder="1" applyAlignment="1">
      <alignment horizontal="center"/>
    </xf>
    <xf numFmtId="168" fontId="19" fillId="0" borderId="20" xfId="1" applyNumberFormat="1" applyFont="1" applyFill="1" applyBorder="1" applyAlignment="1">
      <alignment horizontal="center" vertical="center"/>
    </xf>
    <xf numFmtId="0" fontId="24" fillId="38" borderId="21" xfId="3" applyFont="1" applyFill="1" applyBorder="1" applyAlignment="1">
      <alignment horizontal="left" vertical="center"/>
    </xf>
    <xf numFmtId="168" fontId="19" fillId="0" borderId="20" xfId="0" applyNumberFormat="1" applyFont="1" applyFill="1" applyBorder="1" applyAlignment="1" applyProtection="1">
      <alignment horizontal="center" vertical="center"/>
    </xf>
    <xf numFmtId="0" fontId="18" fillId="38" borderId="21" xfId="6" applyNumberFormat="1" applyFill="1" applyBorder="1" applyAlignment="1">
      <alignment horizontal="center"/>
    </xf>
    <xf numFmtId="1" fontId="18" fillId="38" borderId="21" xfId="6" applyNumberFormat="1" applyFill="1" applyBorder="1" applyAlignment="1">
      <alignment horizontal="center"/>
    </xf>
    <xf numFmtId="0" fontId="18" fillId="38" borderId="21" xfId="3" applyFont="1" applyFill="1" applyBorder="1" applyAlignment="1">
      <alignment horizontal="left" vertical="center"/>
    </xf>
    <xf numFmtId="2" fontId="0" fillId="0" borderId="0" xfId="0" applyNumberFormat="1" applyBorder="1" applyAlignment="1">
      <alignment vertical="center"/>
    </xf>
    <xf numFmtId="2" fontId="41" fillId="0" borderId="21" xfId="3" applyNumberFormat="1" applyFont="1" applyBorder="1" applyAlignment="1">
      <alignment horizontal="center" vertical="center"/>
    </xf>
    <xf numFmtId="168" fontId="19" fillId="0" borderId="0" xfId="3" applyNumberFormat="1" applyFont="1" applyAlignment="1">
      <alignment horizontal="center" vertical="center"/>
    </xf>
    <xf numFmtId="168" fontId="19" fillId="0" borderId="10" xfId="3" applyNumberFormat="1" applyFont="1" applyBorder="1" applyAlignment="1">
      <alignment horizontal="center" vertical="center"/>
    </xf>
    <xf numFmtId="168" fontId="38" fillId="38" borderId="20" xfId="5" applyNumberFormat="1" applyFont="1" applyFill="1" applyBorder="1" applyAlignment="1">
      <alignment horizontal="center" vertical="center"/>
    </xf>
    <xf numFmtId="20" fontId="19" fillId="0" borderId="0" xfId="3" applyNumberFormat="1" applyFont="1" applyAlignment="1">
      <alignment horizontal="center" vertical="center"/>
    </xf>
    <xf numFmtId="3" fontId="19" fillId="37" borderId="20" xfId="3" applyNumberFormat="1" applyFont="1" applyFill="1" applyBorder="1" applyAlignment="1">
      <alignment horizontal="center" vertical="center"/>
    </xf>
    <xf numFmtId="3" fontId="19" fillId="0" borderId="20" xfId="3" applyNumberFormat="1" applyFont="1" applyFill="1" applyBorder="1" applyAlignment="1">
      <alignment horizontal="center" vertical="center"/>
    </xf>
    <xf numFmtId="2" fontId="19" fillId="33" borderId="0" xfId="3" applyNumberFormat="1" applyFont="1" applyFill="1" applyAlignment="1">
      <alignment horizontal="left" vertical="center"/>
    </xf>
    <xf numFmtId="0" fontId="18" fillId="40" borderId="21" xfId="3" applyNumberFormat="1" applyFont="1" applyFill="1" applyBorder="1" applyAlignment="1">
      <alignment horizontal="center" vertical="center"/>
    </xf>
    <xf numFmtId="4" fontId="19" fillId="33" borderId="0" xfId="3" applyNumberFormat="1" applyFont="1" applyFill="1" applyAlignment="1">
      <alignment horizontal="center" vertical="center"/>
    </xf>
    <xf numFmtId="1" fontId="18" fillId="38" borderId="21" xfId="6" applyNumberFormat="1" applyFill="1" applyBorder="1" applyAlignment="1">
      <alignment horizontal="center" vertical="center"/>
    </xf>
    <xf numFmtId="1" fontId="18" fillId="0" borderId="0" xfId="3" applyNumberFormat="1" applyFill="1" applyBorder="1" applyAlignment="1">
      <alignment horizontal="center" vertical="center"/>
    </xf>
    <xf numFmtId="0" fontId="18" fillId="38" borderId="22" xfId="6" applyNumberFormat="1" applyFill="1" applyBorder="1" applyAlignment="1">
      <alignment horizontal="center" vertical="center"/>
    </xf>
    <xf numFmtId="0" fontId="18" fillId="38" borderId="22" xfId="3" applyNumberFormat="1" applyFont="1" applyFill="1" applyBorder="1" applyAlignment="1">
      <alignment horizontal="center" vertical="center"/>
    </xf>
    <xf numFmtId="4" fontId="19" fillId="0" borderId="0" xfId="3" applyNumberFormat="1" applyFont="1" applyAlignment="1">
      <alignment horizontal="center" vertical="center"/>
    </xf>
    <xf numFmtId="2" fontId="44" fillId="0" borderId="12" xfId="3" applyNumberFormat="1" applyFont="1" applyBorder="1" applyAlignment="1">
      <alignment horizontal="center" vertical="center"/>
    </xf>
    <xf numFmtId="3" fontId="0" fillId="0" borderId="21" xfId="0" applyNumberFormat="1" applyFont="1" applyBorder="1" applyAlignment="1" applyProtection="1">
      <alignment vertical="center"/>
    </xf>
    <xf numFmtId="0" fontId="19" fillId="0" borderId="10" xfId="3" applyFont="1" applyBorder="1" applyAlignment="1">
      <alignment horizontal="center" vertical="center"/>
    </xf>
    <xf numFmtId="0" fontId="19" fillId="0" borderId="21" xfId="3" applyFont="1" applyBorder="1" applyAlignment="1">
      <alignment horizontal="center" vertical="center"/>
    </xf>
    <xf numFmtId="0" fontId="18" fillId="38" borderId="21" xfId="3" applyNumberFormat="1" applyFont="1" applyFill="1" applyBorder="1" applyAlignment="1">
      <alignment horizontal="center"/>
    </xf>
    <xf numFmtId="0" fontId="19" fillId="0" borderId="0" xfId="3" applyFont="1" applyAlignment="1">
      <alignment horizontal="left" vertical="center"/>
    </xf>
    <xf numFmtId="1" fontId="18" fillId="0" borderId="15" xfId="3" applyNumberFormat="1" applyFill="1" applyBorder="1" applyAlignment="1">
      <alignment horizontal="center" vertical="center"/>
    </xf>
    <xf numFmtId="1" fontId="19" fillId="33" borderId="0" xfId="3" applyNumberFormat="1" applyFont="1" applyFill="1" applyAlignment="1">
      <alignment horizontal="center" vertical="center"/>
    </xf>
    <xf numFmtId="1" fontId="36" fillId="0" borderId="21" xfId="3" applyNumberFormat="1" applyFont="1" applyFill="1" applyBorder="1" applyAlignment="1">
      <alignment horizontal="center"/>
    </xf>
    <xf numFmtId="0" fontId="18" fillId="38" borderId="21" xfId="3" applyFont="1" applyFill="1" applyBorder="1" applyAlignment="1">
      <alignment horizontal="center" vertical="center"/>
    </xf>
    <xf numFmtId="0" fontId="18" fillId="38" borderId="21" xfId="3" applyFill="1" applyBorder="1" applyAlignment="1">
      <alignment horizontal="center" vertical="center"/>
    </xf>
    <xf numFmtId="3" fontId="0" fillId="0" borderId="21" xfId="0" applyNumberFormat="1" applyFont="1" applyBorder="1" applyAlignment="1">
      <alignment vertical="center"/>
    </xf>
    <xf numFmtId="3" fontId="0" fillId="0" borderId="12" xfId="0" applyNumberFormat="1" applyFont="1" applyBorder="1" applyAlignment="1">
      <alignment vertical="center"/>
    </xf>
    <xf numFmtId="3" fontId="0" fillId="0" borderId="21" xfId="3" applyNumberFormat="1" applyFont="1" applyFill="1" applyBorder="1" applyAlignment="1">
      <alignment vertical="center"/>
    </xf>
    <xf numFmtId="0" fontId="30" fillId="0" borderId="10" xfId="3" applyFont="1" applyBorder="1" applyAlignment="1">
      <alignment horizontal="center" vertical="center"/>
    </xf>
    <xf numFmtId="0" fontId="30" fillId="0" borderId="0" xfId="3" applyFont="1" applyAlignment="1">
      <alignment horizontal="center" vertical="center"/>
    </xf>
    <xf numFmtId="3" fontId="30" fillId="38" borderId="10" xfId="3" applyNumberFormat="1" applyFont="1" applyFill="1" applyBorder="1" applyAlignment="1">
      <alignment horizontal="center" vertical="center"/>
    </xf>
    <xf numFmtId="3" fontId="30" fillId="0" borderId="10" xfId="3" applyNumberFormat="1" applyFont="1" applyBorder="1" applyAlignment="1">
      <alignment horizontal="center" vertical="center"/>
    </xf>
    <xf numFmtId="4" fontId="30" fillId="41" borderId="10" xfId="3" applyNumberFormat="1" applyFont="1" applyFill="1" applyBorder="1" applyAlignment="1">
      <alignment horizontal="center" vertical="center"/>
    </xf>
    <xf numFmtId="4" fontId="30" fillId="42" borderId="10" xfId="3" applyNumberFormat="1" applyFont="1" applyFill="1" applyBorder="1" applyAlignment="1">
      <alignment horizontal="center" vertical="center"/>
    </xf>
    <xf numFmtId="3" fontId="30" fillId="42" borderId="10" xfId="3" applyNumberFormat="1" applyFont="1" applyFill="1" applyBorder="1" applyAlignment="1">
      <alignment horizontal="center" vertical="center"/>
    </xf>
    <xf numFmtId="169" fontId="30" fillId="0" borderId="10" xfId="3" applyNumberFormat="1" applyFont="1" applyBorder="1" applyAlignment="1">
      <alignment horizontal="center" vertical="center"/>
    </xf>
    <xf numFmtId="1" fontId="30" fillId="0" borderId="10" xfId="3" applyNumberFormat="1" applyFont="1" applyBorder="1" applyAlignment="1">
      <alignment horizontal="center" vertical="center"/>
    </xf>
    <xf numFmtId="3" fontId="30" fillId="40" borderId="10" xfId="3" applyNumberFormat="1" applyFont="1" applyFill="1" applyBorder="1" applyAlignment="1">
      <alignment horizontal="center" vertical="center"/>
    </xf>
    <xf numFmtId="3" fontId="30" fillId="42" borderId="20" xfId="3" applyNumberFormat="1" applyFont="1" applyFill="1" applyBorder="1" applyAlignment="1">
      <alignment horizontal="center" vertical="center"/>
    </xf>
    <xf numFmtId="3" fontId="30" fillId="33" borderId="20" xfId="3" applyNumberFormat="1" applyFont="1" applyFill="1" applyBorder="1" applyAlignment="1">
      <alignment horizontal="center" vertical="center"/>
    </xf>
    <xf numFmtId="3" fontId="30" fillId="0" borderId="0" xfId="3" applyNumberFormat="1" applyFont="1" applyFill="1" applyBorder="1" applyAlignment="1">
      <alignment horizontal="center" vertical="center"/>
    </xf>
    <xf numFmtId="4" fontId="30" fillId="0" borderId="10" xfId="3" applyNumberFormat="1" applyFont="1" applyBorder="1" applyAlignment="1">
      <alignment horizontal="center" vertical="center"/>
    </xf>
    <xf numFmtId="4" fontId="45" fillId="42" borderId="20" xfId="3" applyNumberFormat="1" applyFont="1" applyFill="1" applyBorder="1" applyAlignment="1">
      <alignment horizontal="center" vertical="center"/>
    </xf>
    <xf numFmtId="170" fontId="39" fillId="42" borderId="20" xfId="3" applyNumberFormat="1" applyFont="1" applyFill="1" applyBorder="1" applyAlignment="1">
      <alignment horizontal="center" vertical="center"/>
    </xf>
    <xf numFmtId="170" fontId="30" fillId="0" borderId="10" xfId="3" applyNumberFormat="1" applyFont="1" applyBorder="1" applyAlignment="1">
      <alignment horizontal="center" vertical="center"/>
    </xf>
    <xf numFmtId="4" fontId="30" fillId="42" borderId="20" xfId="3" applyNumberFormat="1" applyFont="1" applyFill="1" applyBorder="1" applyAlignment="1">
      <alignment horizontal="center" vertical="center"/>
    </xf>
    <xf numFmtId="4" fontId="30" fillId="0" borderId="20" xfId="3" applyNumberFormat="1" applyFont="1" applyFill="1" applyBorder="1" applyAlignment="1">
      <alignment horizontal="center" vertical="center"/>
    </xf>
    <xf numFmtId="4" fontId="30" fillId="41" borderId="20" xfId="3" applyNumberFormat="1" applyFont="1" applyFill="1" applyBorder="1" applyAlignment="1">
      <alignment horizontal="center" vertical="center"/>
    </xf>
    <xf numFmtId="170" fontId="19" fillId="42" borderId="20" xfId="3" applyNumberFormat="1" applyFont="1" applyFill="1" applyBorder="1" applyAlignment="1">
      <alignment horizontal="center" vertical="center"/>
    </xf>
    <xf numFmtId="170" fontId="30" fillId="0" borderId="10" xfId="3" applyNumberFormat="1" applyFont="1" applyFill="1" applyBorder="1" applyAlignment="1">
      <alignment horizontal="center" vertical="center"/>
    </xf>
    <xf numFmtId="171" fontId="30" fillId="0" borderId="10" xfId="3" applyNumberFormat="1" applyFont="1" applyBorder="1" applyAlignment="1">
      <alignment horizontal="center" vertical="center"/>
    </xf>
    <xf numFmtId="170" fontId="30" fillId="42" borderId="10" xfId="3" applyNumberFormat="1" applyFont="1" applyFill="1" applyBorder="1" applyAlignment="1">
      <alignment horizontal="center" vertical="center"/>
    </xf>
    <xf numFmtId="170" fontId="46" fillId="42" borderId="10" xfId="3" applyNumberFormat="1" applyFont="1" applyFill="1" applyBorder="1" applyAlignment="1">
      <alignment horizontal="center" vertical="center"/>
    </xf>
    <xf numFmtId="4" fontId="23" fillId="0" borderId="20" xfId="3" applyNumberFormat="1" applyFont="1" applyBorder="1" applyAlignment="1">
      <alignment horizontal="center" vertical="center"/>
    </xf>
    <xf numFmtId="0" fontId="19" fillId="0" borderId="0" xfId="3" applyNumberFormat="1" applyFont="1" applyAlignment="1">
      <alignment horizontal="center" vertical="center"/>
    </xf>
    <xf numFmtId="1" fontId="19" fillId="0" borderId="0" xfId="3" applyNumberFormat="1" applyFont="1" applyAlignment="1">
      <alignment horizontal="center" vertical="center"/>
    </xf>
    <xf numFmtId="1" fontId="41" fillId="0" borderId="21" xfId="3" applyNumberFormat="1" applyFont="1" applyFill="1" applyBorder="1" applyAlignment="1">
      <alignment horizontal="center" vertical="center"/>
    </xf>
    <xf numFmtId="0" fontId="14" fillId="0" borderId="0" xfId="0" applyFont="1" applyAlignment="1">
      <alignment vertical="center"/>
    </xf>
    <xf numFmtId="0" fontId="40" fillId="0" borderId="0" xfId="3" applyFont="1" applyAlignment="1">
      <alignment horizontal="center" vertical="center"/>
    </xf>
    <xf numFmtId="1" fontId="0" fillId="0" borderId="0" xfId="0" applyNumberFormat="1" applyAlignment="1">
      <alignment vertical="center"/>
    </xf>
    <xf numFmtId="0" fontId="0" fillId="38" borderId="0" xfId="0" applyFill="1" applyAlignment="1">
      <alignment vertical="center"/>
    </xf>
    <xf numFmtId="168" fontId="19" fillId="38" borderId="0" xfId="1" applyNumberFormat="1" applyFont="1" applyFill="1" applyAlignment="1">
      <alignment horizontal="center" vertical="center"/>
    </xf>
    <xf numFmtId="3" fontId="30" fillId="38" borderId="0" xfId="3" applyNumberFormat="1" applyFont="1" applyFill="1" applyAlignment="1">
      <alignment horizontal="center" vertical="center"/>
    </xf>
    <xf numFmtId="0" fontId="47" fillId="0" borderId="0" xfId="3" applyFont="1" applyFill="1" applyAlignment="1">
      <alignment horizontal="center" vertical="center"/>
    </xf>
    <xf numFmtId="165" fontId="47" fillId="0" borderId="0" xfId="3" applyNumberFormat="1" applyFont="1" applyFill="1" applyAlignment="1">
      <alignment horizontal="center" vertical="center"/>
    </xf>
    <xf numFmtId="9" fontId="47" fillId="0" borderId="0" xfId="3" applyNumberFormat="1" applyFont="1" applyFill="1" applyAlignment="1">
      <alignment horizontal="center" vertical="center"/>
    </xf>
    <xf numFmtId="2" fontId="19" fillId="0" borderId="0" xfId="3" applyNumberFormat="1" applyFont="1" applyFill="1" applyAlignment="1">
      <alignment horizontal="center" vertical="center"/>
    </xf>
    <xf numFmtId="3" fontId="47" fillId="0" borderId="0" xfId="3" applyNumberFormat="1" applyFont="1" applyFill="1" applyAlignment="1">
      <alignment horizontal="center" vertical="center"/>
    </xf>
    <xf numFmtId="2" fontId="48" fillId="0" borderId="0" xfId="3" applyNumberFormat="1" applyFont="1" applyFill="1" applyAlignment="1">
      <alignment horizontal="center" vertical="center"/>
    </xf>
    <xf numFmtId="2" fontId="48" fillId="0" borderId="0" xfId="3" applyNumberFormat="1" applyFont="1" applyFill="1" applyBorder="1" applyAlignment="1">
      <alignment horizontal="center" vertical="center"/>
    </xf>
    <xf numFmtId="2" fontId="30" fillId="0" borderId="0" xfId="3" applyNumberFormat="1" applyFont="1" applyAlignment="1">
      <alignment horizontal="center" vertical="center"/>
    </xf>
    <xf numFmtId="4" fontId="40" fillId="0" borderId="0" xfId="3" applyNumberFormat="1" applyFont="1" applyAlignment="1">
      <alignment horizontal="center" vertical="center"/>
    </xf>
    <xf numFmtId="0" fontId="30" fillId="0" borderId="0" xfId="3" applyFont="1" applyFill="1" applyAlignment="1">
      <alignment horizontal="center" vertical="center"/>
    </xf>
    <xf numFmtId="170" fontId="19" fillId="0" borderId="0" xfId="3" applyNumberFormat="1" applyFont="1" applyAlignment="1">
      <alignment horizontal="center" vertical="center"/>
    </xf>
    <xf numFmtId="170" fontId="49" fillId="0" borderId="0" xfId="3" applyNumberFormat="1" applyFont="1" applyAlignment="1">
      <alignment horizontal="center" vertical="center"/>
    </xf>
    <xf numFmtId="171" fontId="19" fillId="0" borderId="0" xfId="3" applyNumberFormat="1" applyFont="1" applyAlignment="1">
      <alignment horizontal="center" vertical="center"/>
    </xf>
    <xf numFmtId="172" fontId="19" fillId="0" borderId="0" xfId="3" applyNumberFormat="1" applyFont="1" applyAlignment="1">
      <alignment horizontal="center" vertical="center"/>
    </xf>
    <xf numFmtId="2" fontId="40" fillId="0" borderId="0" xfId="3" applyNumberFormat="1" applyFont="1" applyAlignment="1">
      <alignment horizontal="center" vertical="center"/>
    </xf>
    <xf numFmtId="164" fontId="19" fillId="0" borderId="0" xfId="3" applyNumberFormat="1" applyFont="1" applyAlignment="1">
      <alignment horizontal="center" vertical="center"/>
    </xf>
    <xf numFmtId="164" fontId="19" fillId="0" borderId="0" xfId="3" applyNumberFormat="1" applyFont="1" applyBorder="1" applyAlignment="1">
      <alignment horizontal="center" vertical="center"/>
    </xf>
    <xf numFmtId="164" fontId="40" fillId="38" borderId="0" xfId="3" applyNumberFormat="1" applyFont="1" applyFill="1" applyBorder="1" applyAlignment="1">
      <alignment horizontal="center" vertical="center"/>
    </xf>
    <xf numFmtId="1" fontId="18" fillId="0" borderId="0" xfId="3" applyNumberFormat="1" applyAlignment="1">
      <alignment vertical="center"/>
    </xf>
    <xf numFmtId="0" fontId="19" fillId="0" borderId="0" xfId="3" applyNumberFormat="1" applyFont="1" applyBorder="1" applyAlignment="1">
      <alignment horizontal="center" vertical="center"/>
    </xf>
    <xf numFmtId="1" fontId="18" fillId="38" borderId="0" xfId="3" applyNumberFormat="1" applyFill="1" applyBorder="1" applyAlignment="1">
      <alignment horizontal="center" vertical="center"/>
    </xf>
    <xf numFmtId="0" fontId="26" fillId="34" borderId="11" xfId="3" applyFont="1" applyFill="1" applyBorder="1" applyAlignment="1">
      <alignment horizontal="center" vertical="center"/>
    </xf>
    <xf numFmtId="1" fontId="19" fillId="38" borderId="21" xfId="3" applyNumberFormat="1" applyFont="1" applyFill="1" applyBorder="1" applyAlignment="1">
      <alignment horizontal="center" vertical="center"/>
    </xf>
    <xf numFmtId="1" fontId="19" fillId="43" borderId="21" xfId="3" applyNumberFormat="1" applyFont="1" applyFill="1" applyBorder="1" applyAlignment="1">
      <alignment horizontal="center" vertical="center"/>
    </xf>
    <xf numFmtId="1" fontId="19" fillId="40" borderId="21" xfId="3" applyNumberFormat="1" applyFont="1" applyFill="1" applyBorder="1" applyAlignment="1">
      <alignment horizontal="center" vertical="center"/>
    </xf>
    <xf numFmtId="1" fontId="19" fillId="44" borderId="21" xfId="3" applyNumberFormat="1" applyFont="1" applyFill="1" applyBorder="1" applyAlignment="1">
      <alignment horizontal="center" vertical="center"/>
    </xf>
    <xf numFmtId="3" fontId="19" fillId="0" borderId="0" xfId="3" applyNumberFormat="1" applyFont="1" applyFill="1" applyBorder="1" applyAlignment="1" applyProtection="1">
      <alignment horizontal="center" vertical="center"/>
    </xf>
    <xf numFmtId="3" fontId="30" fillId="0" borderId="0" xfId="3" applyNumberFormat="1" applyFont="1" applyAlignment="1">
      <alignment horizontal="center" vertical="center"/>
    </xf>
    <xf numFmtId="167" fontId="50" fillId="0" borderId="0" xfId="3" applyNumberFormat="1" applyFont="1" applyAlignment="1">
      <alignment horizontal="center" vertical="center"/>
    </xf>
    <xf numFmtId="1" fontId="19" fillId="0" borderId="0" xfId="3" applyNumberFormat="1" applyFont="1" applyBorder="1" applyAlignment="1">
      <alignment horizontal="center" vertical="center"/>
    </xf>
    <xf numFmtId="2" fontId="47" fillId="0" borderId="0" xfId="3" applyNumberFormat="1" applyFont="1" applyFill="1" applyAlignment="1">
      <alignment horizontal="center" vertical="center"/>
    </xf>
    <xf numFmtId="2" fontId="19" fillId="0" borderId="0" xfId="3" applyNumberFormat="1" applyFont="1" applyFill="1" applyBorder="1" applyAlignment="1">
      <alignment horizontal="center" vertical="center"/>
    </xf>
    <xf numFmtId="3" fontId="19" fillId="0" borderId="0" xfId="3" applyNumberFormat="1" applyFont="1" applyAlignment="1">
      <alignment horizontal="center" vertical="center"/>
    </xf>
    <xf numFmtId="0" fontId="19" fillId="0" borderId="0" xfId="3" applyFont="1" applyFill="1" applyBorder="1" applyAlignment="1">
      <alignment horizontal="center" vertical="center"/>
    </xf>
    <xf numFmtId="4" fontId="19" fillId="0" borderId="0" xfId="3" applyNumberFormat="1" applyFont="1" applyFill="1" applyBorder="1" applyAlignment="1">
      <alignment horizontal="center" vertical="center"/>
    </xf>
    <xf numFmtId="2" fontId="19" fillId="0" borderId="0" xfId="3" applyNumberFormat="1" applyFont="1" applyFill="1" applyBorder="1" applyAlignment="1">
      <alignment horizontal="left" vertical="center"/>
    </xf>
    <xf numFmtId="1" fontId="19" fillId="0" borderId="0" xfId="3" applyNumberFormat="1" applyFont="1" applyAlignment="1">
      <alignment horizontal="center" vertical="center" wrapText="1"/>
    </xf>
    <xf numFmtId="1" fontId="19" fillId="38" borderId="0" xfId="3" applyNumberFormat="1" applyFont="1" applyFill="1" applyAlignment="1">
      <alignment horizontal="center" vertical="center"/>
    </xf>
    <xf numFmtId="1" fontId="18" fillId="38" borderId="21" xfId="6" applyNumberFormat="1" applyFont="1" applyFill="1" applyBorder="1" applyAlignment="1">
      <alignment horizontal="center"/>
    </xf>
    <xf numFmtId="1" fontId="19" fillId="0" borderId="21" xfId="3" applyNumberFormat="1" applyFont="1" applyFill="1" applyBorder="1" applyAlignment="1">
      <alignment horizontal="center" vertical="center"/>
    </xf>
    <xf numFmtId="1" fontId="18" fillId="38" borderId="11" xfId="3" applyNumberFormat="1" applyFont="1" applyFill="1" applyBorder="1" applyAlignment="1">
      <alignment vertical="center" wrapText="1"/>
    </xf>
    <xf numFmtId="0" fontId="53" fillId="0" borderId="0" xfId="7" applyAlignment="1" applyProtection="1">
      <alignment vertical="center"/>
    </xf>
    <xf numFmtId="0" fontId="26" fillId="34" borderId="16" xfId="3" applyFont="1" applyFill="1" applyBorder="1" applyAlignment="1">
      <alignment horizontal="center" vertical="center" wrapText="1"/>
    </xf>
    <xf numFmtId="0" fontId="19" fillId="0" borderId="0" xfId="3" applyFont="1" applyAlignment="1">
      <alignment vertical="center" wrapText="1"/>
    </xf>
    <xf numFmtId="0" fontId="38" fillId="38" borderId="21" xfId="3" applyNumberFormat="1" applyFont="1" applyFill="1" applyBorder="1" applyAlignment="1">
      <alignment horizontal="center" vertical="center"/>
    </xf>
    <xf numFmtId="1" fontId="38" fillId="38" borderId="21" xfId="3" applyNumberFormat="1" applyFont="1" applyFill="1" applyBorder="1" applyAlignment="1">
      <alignment horizontal="center" vertical="center"/>
    </xf>
    <xf numFmtId="0" fontId="38" fillId="38" borderId="22" xfId="3" applyNumberFormat="1" applyFont="1" applyFill="1" applyBorder="1" applyAlignment="1">
      <alignment horizontal="center" vertical="center"/>
    </xf>
    <xf numFmtId="1" fontId="38" fillId="38" borderId="22" xfId="3" applyNumberFormat="1" applyFont="1" applyFill="1" applyBorder="1" applyAlignment="1">
      <alignment horizontal="center" vertical="center"/>
    </xf>
    <xf numFmtId="0" fontId="30" fillId="39" borderId="29" xfId="3" applyFont="1" applyFill="1" applyBorder="1" applyAlignment="1">
      <alignment horizontal="center" vertical="center" wrapText="1"/>
    </xf>
    <xf numFmtId="0" fontId="30" fillId="39" borderId="30" xfId="3" applyFont="1" applyFill="1" applyBorder="1" applyAlignment="1">
      <alignment horizontal="center" vertical="center" wrapText="1"/>
    </xf>
    <xf numFmtId="0" fontId="30" fillId="39" borderId="16" xfId="3" applyFont="1" applyFill="1" applyBorder="1" applyAlignment="1">
      <alignment horizontal="center" vertical="center" wrapText="1"/>
    </xf>
    <xf numFmtId="0" fontId="30" fillId="39" borderId="31" xfId="3" applyFont="1" applyFill="1" applyBorder="1" applyAlignment="1">
      <alignment horizontal="center" vertical="center" wrapText="1"/>
    </xf>
    <xf numFmtId="0" fontId="30" fillId="39" borderId="32" xfId="3" applyFont="1" applyFill="1" applyBorder="1" applyAlignment="1">
      <alignment horizontal="center" vertical="center" wrapText="1"/>
    </xf>
    <xf numFmtId="0" fontId="30" fillId="39" borderId="33" xfId="3" applyFont="1" applyFill="1" applyBorder="1" applyAlignment="1">
      <alignment horizontal="center" vertical="center" wrapText="1"/>
    </xf>
    <xf numFmtId="0" fontId="30" fillId="39" borderId="34" xfId="3" applyFont="1" applyFill="1" applyBorder="1" applyAlignment="1">
      <alignment horizontal="center" vertical="center" wrapText="1"/>
    </xf>
    <xf numFmtId="0" fontId="19" fillId="0" borderId="0" xfId="3" applyFont="1" applyAlignment="1">
      <alignment horizontal="center" vertical="center" wrapText="1"/>
    </xf>
    <xf numFmtId="168" fontId="38" fillId="0" borderId="20" xfId="5" applyNumberFormat="1" applyFont="1" applyFill="1" applyBorder="1" applyAlignment="1">
      <alignment horizontal="center" vertical="center"/>
    </xf>
    <xf numFmtId="168" fontId="38" fillId="0" borderId="20" xfId="5" applyNumberFormat="1" applyFont="1" applyFill="1" applyBorder="1" applyAlignment="1">
      <alignment vertical="center"/>
    </xf>
    <xf numFmtId="173" fontId="38" fillId="41" borderId="20" xfId="5" applyNumberFormat="1" applyFont="1" applyFill="1" applyBorder="1" applyAlignment="1">
      <alignment vertical="center"/>
    </xf>
    <xf numFmtId="1" fontId="36" fillId="0" borderId="12" xfId="3" applyNumberFormat="1" applyFont="1" applyFill="1" applyBorder="1" applyAlignment="1">
      <alignment horizontal="center" vertical="center" wrapText="1"/>
    </xf>
    <xf numFmtId="1" fontId="22" fillId="0" borderId="21" xfId="3" applyNumberFormat="1" applyFont="1" applyFill="1" applyBorder="1" applyAlignment="1">
      <alignment horizontal="center" vertical="center"/>
    </xf>
    <xf numFmtId="3" fontId="43" fillId="0" borderId="0" xfId="0" applyNumberFormat="1" applyFont="1" applyFill="1" applyAlignment="1">
      <alignment vertical="center"/>
    </xf>
    <xf numFmtId="3" fontId="0" fillId="0" borderId="0" xfId="0" applyNumberFormat="1" applyAlignment="1">
      <alignment vertical="center"/>
    </xf>
    <xf numFmtId="173" fontId="38" fillId="41" borderId="20" xfId="5" applyNumberFormat="1" applyFont="1" applyFill="1" applyBorder="1" applyAlignment="1">
      <alignment horizontal="center" vertical="center"/>
    </xf>
    <xf numFmtId="0" fontId="19" fillId="38" borderId="12" xfId="3" applyFont="1" applyFill="1" applyBorder="1" applyAlignment="1">
      <alignment horizontal="center" vertical="center"/>
    </xf>
    <xf numFmtId="0" fontId="19" fillId="38" borderId="21" xfId="3" applyFont="1" applyFill="1" applyBorder="1" applyAlignment="1">
      <alignment horizontal="center" vertical="center" wrapText="1"/>
    </xf>
    <xf numFmtId="168" fontId="38" fillId="0" borderId="20" xfId="0" applyNumberFormat="1" applyFont="1" applyFill="1" applyBorder="1" applyAlignment="1">
      <alignment horizontal="center" vertical="center"/>
    </xf>
    <xf numFmtId="168" fontId="38" fillId="0" borderId="20" xfId="0" applyNumberFormat="1" applyFont="1" applyBorder="1" applyAlignment="1">
      <alignment horizontal="center" vertical="center"/>
    </xf>
    <xf numFmtId="0" fontId="18" fillId="38" borderId="0" xfId="3" applyNumberFormat="1" applyFont="1" applyFill="1" applyAlignment="1">
      <alignment horizontal="center" vertical="center"/>
    </xf>
    <xf numFmtId="168" fontId="38" fillId="38" borderId="20" xfId="0" applyNumberFormat="1" applyFont="1" applyFill="1" applyBorder="1" applyAlignment="1">
      <alignment horizontal="center" vertical="center"/>
    </xf>
    <xf numFmtId="0" fontId="18" fillId="38" borderId="21" xfId="6" applyNumberFormat="1" applyFont="1" applyFill="1" applyBorder="1" applyAlignment="1">
      <alignment horizontal="center" vertical="center"/>
    </xf>
    <xf numFmtId="168" fontId="38" fillId="37" borderId="20" xfId="0" applyNumberFormat="1" applyFont="1" applyFill="1" applyBorder="1" applyAlignment="1">
      <alignment horizontal="center" vertical="center"/>
    </xf>
    <xf numFmtId="0" fontId="18" fillId="38" borderId="21" xfId="6" applyNumberFormat="1" applyFill="1" applyBorder="1" applyAlignment="1">
      <alignment horizontal="center" vertical="center"/>
    </xf>
    <xf numFmtId="168" fontId="38" fillId="38" borderId="10" xfId="0" applyNumberFormat="1" applyFont="1" applyFill="1" applyBorder="1" applyAlignment="1">
      <alignment horizontal="center" vertical="center"/>
    </xf>
    <xf numFmtId="1" fontId="18" fillId="38" borderId="21" xfId="6" applyNumberFormat="1" applyFont="1" applyFill="1" applyBorder="1" applyAlignment="1">
      <alignment horizontal="center" vertical="center"/>
    </xf>
    <xf numFmtId="1" fontId="18" fillId="0" borderId="21" xfId="3" applyNumberFormat="1" applyFill="1" applyBorder="1" applyAlignment="1">
      <alignment horizontal="center"/>
    </xf>
    <xf numFmtId="0" fontId="55" fillId="37" borderId="0" xfId="0" applyFont="1" applyFill="1" applyAlignment="1">
      <alignment wrapText="1"/>
    </xf>
    <xf numFmtId="2" fontId="48" fillId="37" borderId="0" xfId="3" applyNumberFormat="1" applyFont="1" applyFill="1" applyAlignment="1">
      <alignment horizontal="center" vertical="center"/>
    </xf>
    <xf numFmtId="0" fontId="26" fillId="34" borderId="21" xfId="3" applyFont="1" applyFill="1" applyBorder="1" applyAlignment="1">
      <alignment horizontal="center" vertical="center"/>
    </xf>
    <xf numFmtId="0" fontId="35" fillId="38" borderId="21" xfId="3" applyFont="1" applyFill="1" applyBorder="1" applyAlignment="1">
      <alignment horizontal="center" vertical="center"/>
    </xf>
    <xf numFmtId="168" fontId="38" fillId="0" borderId="10" xfId="5" applyNumberFormat="1" applyFont="1" applyFill="1" applyBorder="1" applyAlignment="1">
      <alignment vertical="center"/>
    </xf>
    <xf numFmtId="1" fontId="35" fillId="38" borderId="21" xfId="3" applyNumberFormat="1" applyFont="1" applyFill="1" applyBorder="1" applyAlignment="1">
      <alignment horizontal="center" vertical="center"/>
    </xf>
    <xf numFmtId="0" fontId="40" fillId="38" borderId="12" xfId="3" applyFont="1" applyFill="1" applyBorder="1" applyAlignment="1">
      <alignment horizontal="center" vertical="center"/>
    </xf>
    <xf numFmtId="0" fontId="40" fillId="38" borderId="21" xfId="3" applyFont="1" applyFill="1" applyBorder="1" applyAlignment="1">
      <alignment horizontal="center" vertical="center" wrapText="1"/>
    </xf>
    <xf numFmtId="168" fontId="56" fillId="0" borderId="10" xfId="0" applyNumberFormat="1" applyFont="1" applyFill="1" applyBorder="1" applyAlignment="1">
      <alignment horizontal="center" vertical="center"/>
    </xf>
    <xf numFmtId="0" fontId="18" fillId="37" borderId="21" xfId="3" applyNumberFormat="1" applyFill="1" applyBorder="1" applyAlignment="1">
      <alignment horizontal="center" vertical="center"/>
    </xf>
    <xf numFmtId="1" fontId="19" fillId="0" borderId="10" xfId="3" applyNumberFormat="1" applyFont="1" applyFill="1" applyBorder="1" applyAlignment="1" applyProtection="1">
      <alignment vertical="center"/>
    </xf>
    <xf numFmtId="1" fontId="19" fillId="0" borderId="10" xfId="3" applyNumberFormat="1" applyFont="1" applyFill="1" applyBorder="1" applyAlignment="1" applyProtection="1">
      <alignment horizontal="center" vertical="center"/>
    </xf>
    <xf numFmtId="1" fontId="19" fillId="0" borderId="20" xfId="1" applyNumberFormat="1" applyFont="1" applyFill="1" applyBorder="1" applyAlignment="1">
      <alignment horizontal="center" vertical="center"/>
    </xf>
    <xf numFmtId="1" fontId="19" fillId="0" borderId="20" xfId="0" applyNumberFormat="1" applyFont="1" applyFill="1" applyBorder="1" applyAlignment="1" applyProtection="1">
      <alignment horizontal="center" vertical="center"/>
    </xf>
    <xf numFmtId="168" fontId="56" fillId="0" borderId="10" xfId="5" applyNumberFormat="1" applyFont="1" applyFill="1" applyBorder="1" applyAlignment="1">
      <alignment horizontal="center" vertical="center"/>
    </xf>
    <xf numFmtId="1" fontId="18" fillId="37" borderId="21" xfId="3" applyNumberFormat="1" applyFill="1" applyBorder="1" applyAlignment="1">
      <alignment horizontal="center" vertical="center"/>
    </xf>
    <xf numFmtId="1" fontId="45" fillId="0" borderId="0" xfId="3" applyNumberFormat="1" applyFont="1" applyBorder="1" applyAlignment="1">
      <alignment horizontal="center" vertical="center"/>
    </xf>
    <xf numFmtId="168" fontId="38" fillId="38" borderId="10" xfId="5" applyNumberFormat="1" applyFont="1" applyFill="1" applyBorder="1" applyAlignment="1">
      <alignment vertical="center"/>
    </xf>
    <xf numFmtId="1" fontId="19" fillId="0" borderId="20" xfId="1" applyNumberFormat="1" applyFont="1" applyFill="1" applyBorder="1" applyAlignment="1">
      <alignment vertical="center"/>
    </xf>
    <xf numFmtId="1" fontId="19" fillId="0" borderId="20" xfId="0" applyNumberFormat="1" applyFont="1" applyFill="1" applyBorder="1" applyAlignment="1" applyProtection="1">
      <alignment vertical="center"/>
    </xf>
    <xf numFmtId="168" fontId="38" fillId="0" borderId="10" xfId="0" applyNumberFormat="1" applyFont="1" applyFill="1" applyBorder="1" applyAlignment="1">
      <alignment vertical="center"/>
    </xf>
    <xf numFmtId="0" fontId="26" fillId="36" borderId="21" xfId="3" applyFont="1" applyFill="1" applyBorder="1" applyAlignment="1">
      <alignment horizontal="center" vertical="center"/>
    </xf>
    <xf numFmtId="168" fontId="38" fillId="37" borderId="10" xfId="5" applyNumberFormat="1" applyFont="1" applyFill="1" applyBorder="1" applyAlignment="1">
      <alignment vertical="center"/>
    </xf>
    <xf numFmtId="168" fontId="38" fillId="37" borderId="20" xfId="5" applyNumberFormat="1" applyFont="1" applyFill="1" applyBorder="1" applyAlignment="1">
      <alignment horizontal="center" vertical="center"/>
    </xf>
    <xf numFmtId="3" fontId="30" fillId="37" borderId="10" xfId="3" applyNumberFormat="1" applyFont="1" applyFill="1" applyBorder="1" applyAlignment="1">
      <alignment horizontal="center" vertical="center"/>
    </xf>
    <xf numFmtId="168" fontId="19" fillId="0" borderId="0" xfId="3" applyNumberFormat="1" applyFont="1" applyFill="1" applyAlignment="1">
      <alignment horizontal="center" vertical="center"/>
    </xf>
    <xf numFmtId="0" fontId="18" fillId="0" borderId="21" xfId="3" applyNumberFormat="1" applyFont="1" applyFill="1" applyBorder="1" applyAlignment="1">
      <alignment horizontal="center" vertical="center"/>
    </xf>
    <xf numFmtId="3" fontId="19" fillId="0" borderId="10" xfId="3" applyNumberFormat="1" applyFont="1" applyFill="1" applyBorder="1" applyAlignment="1">
      <alignment horizontal="center" vertical="center"/>
    </xf>
    <xf numFmtId="0" fontId="18" fillId="38" borderId="21" xfId="3" applyFont="1" applyFill="1" applyBorder="1" applyAlignment="1">
      <alignment vertical="center"/>
    </xf>
    <xf numFmtId="1" fontId="18" fillId="0" borderId="21" xfId="6" applyNumberFormat="1" applyFill="1" applyBorder="1" applyAlignment="1">
      <alignment horizontal="center" vertical="center"/>
    </xf>
    <xf numFmtId="1" fontId="19" fillId="0" borderId="21" xfId="3" applyNumberFormat="1" applyFont="1" applyBorder="1" applyAlignment="1">
      <alignment horizontal="center" vertical="center" wrapText="1"/>
    </xf>
    <xf numFmtId="1" fontId="19" fillId="37" borderId="0" xfId="3" applyNumberFormat="1" applyFont="1" applyFill="1" applyAlignment="1">
      <alignment horizontal="center" vertical="center"/>
    </xf>
    <xf numFmtId="168" fontId="22" fillId="0" borderId="0" xfId="3" applyNumberFormat="1" applyFont="1" applyAlignment="1">
      <alignment vertical="center"/>
    </xf>
    <xf numFmtId="2" fontId="23" fillId="0" borderId="0" xfId="3" applyNumberFormat="1" applyFont="1" applyAlignment="1">
      <alignment vertical="center"/>
    </xf>
    <xf numFmtId="166" fontId="23" fillId="0" borderId="0" xfId="4" applyNumberFormat="1" applyFont="1" applyAlignment="1">
      <alignment vertical="center"/>
    </xf>
    <xf numFmtId="1" fontId="23" fillId="0" borderId="0" xfId="3" applyNumberFormat="1" applyFont="1" applyAlignment="1">
      <alignment vertical="center"/>
    </xf>
    <xf numFmtId="9" fontId="23" fillId="0" borderId="0" xfId="3" applyNumberFormat="1" applyFont="1" applyAlignment="1">
      <alignment vertical="center"/>
    </xf>
    <xf numFmtId="2" fontId="23" fillId="33" borderId="0" xfId="3" applyNumberFormat="1" applyFont="1" applyFill="1" applyAlignment="1">
      <alignment horizontal="right" vertical="center"/>
    </xf>
    <xf numFmtId="164" fontId="57" fillId="33" borderId="0" xfId="3" applyNumberFormat="1" applyFont="1" applyFill="1" applyAlignment="1">
      <alignment vertical="center"/>
    </xf>
    <xf numFmtId="164" fontId="57" fillId="0" borderId="0" xfId="3" applyNumberFormat="1" applyFont="1" applyFill="1" applyBorder="1" applyAlignment="1">
      <alignment vertical="center"/>
    </xf>
    <xf numFmtId="0" fontId="45" fillId="34" borderId="10" xfId="3" applyFont="1" applyFill="1" applyBorder="1" applyAlignment="1">
      <alignment vertical="center"/>
    </xf>
    <xf numFmtId="0" fontId="23" fillId="0" borderId="0" xfId="3" applyFont="1" applyFill="1" applyBorder="1" applyAlignment="1">
      <alignment vertical="center"/>
    </xf>
    <xf numFmtId="0" fontId="33" fillId="34" borderId="11" xfId="3" applyFont="1" applyFill="1" applyBorder="1" applyAlignment="1">
      <alignment vertical="center"/>
    </xf>
    <xf numFmtId="0" fontId="33" fillId="34" borderId="12" xfId="3" applyFont="1" applyFill="1" applyBorder="1" applyAlignment="1">
      <alignment vertical="center"/>
    </xf>
    <xf numFmtId="0" fontId="33" fillId="34" borderId="12" xfId="3" applyFont="1" applyFill="1" applyBorder="1" applyAlignment="1">
      <alignment vertical="center" wrapText="1"/>
    </xf>
    <xf numFmtId="1" fontId="18" fillId="38" borderId="12" xfId="3" applyNumberFormat="1" applyFont="1" applyFill="1" applyBorder="1" applyAlignment="1">
      <alignment vertical="center"/>
    </xf>
    <xf numFmtId="49" fontId="18" fillId="37" borderId="12" xfId="3" applyNumberFormat="1" applyFont="1" applyFill="1" applyBorder="1" applyAlignment="1">
      <alignment vertical="center" wrapText="1"/>
    </xf>
    <xf numFmtId="16" fontId="19" fillId="38" borderId="20" xfId="3" applyNumberFormat="1" applyFont="1" applyFill="1" applyBorder="1" applyAlignment="1">
      <alignment horizontal="center" vertical="center"/>
    </xf>
    <xf numFmtId="1" fontId="22" fillId="0" borderId="21" xfId="3" applyNumberFormat="1" applyFont="1" applyBorder="1" applyAlignment="1">
      <alignment horizontal="center" vertical="center"/>
    </xf>
    <xf numFmtId="1" fontId="24" fillId="38" borderId="21" xfId="3" applyNumberFormat="1" applyFont="1" applyFill="1" applyBorder="1" applyAlignment="1">
      <alignment horizontal="left" vertical="center"/>
    </xf>
    <xf numFmtId="16" fontId="19" fillId="38" borderId="10" xfId="3" applyNumberFormat="1" applyFont="1" applyFill="1" applyBorder="1" applyAlignment="1">
      <alignment horizontal="center" vertical="center"/>
    </xf>
    <xf numFmtId="0" fontId="18" fillId="0" borderId="21" xfId="3" applyNumberFormat="1" applyFill="1" applyBorder="1" applyAlignment="1">
      <alignment horizontal="center" vertical="center"/>
    </xf>
    <xf numFmtId="0" fontId="18" fillId="40" borderId="21" xfId="3" applyNumberFormat="1" applyFill="1" applyBorder="1" applyAlignment="1">
      <alignment horizontal="center" vertical="center"/>
    </xf>
    <xf numFmtId="0" fontId="18" fillId="40" borderId="21" xfId="3" applyNumberFormat="1" applyFill="1" applyBorder="1" applyAlignment="1">
      <alignment horizontal="center"/>
    </xf>
    <xf numFmtId="1" fontId="18" fillId="38" borderId="21" xfId="3" applyNumberFormat="1" applyFont="1" applyFill="1" applyBorder="1" applyAlignment="1">
      <alignment horizontal="left" vertical="center"/>
    </xf>
    <xf numFmtId="168" fontId="30" fillId="0" borderId="10" xfId="3" applyNumberFormat="1" applyFont="1" applyFill="1" applyBorder="1" applyAlignment="1" applyProtection="1">
      <alignment horizontal="center" vertical="center"/>
    </xf>
    <xf numFmtId="0" fontId="18" fillId="0" borderId="21" xfId="6" applyNumberFormat="1" applyFont="1" applyFill="1" applyBorder="1" applyAlignment="1">
      <alignment horizontal="center"/>
    </xf>
    <xf numFmtId="0" fontId="18" fillId="0" borderId="21" xfId="3" applyNumberFormat="1" applyFill="1" applyBorder="1" applyAlignment="1">
      <alignment horizontal="center"/>
    </xf>
    <xf numFmtId="0" fontId="18" fillId="0" borderId="21" xfId="6" applyNumberFormat="1" applyFill="1" applyBorder="1" applyAlignment="1">
      <alignment horizontal="center"/>
    </xf>
    <xf numFmtId="168" fontId="59" fillId="0" borderId="20" xfId="5" applyNumberFormat="1" applyFont="1" applyFill="1" applyBorder="1" applyAlignment="1">
      <alignment horizontal="center" vertical="center"/>
    </xf>
    <xf numFmtId="0" fontId="18" fillId="0" borderId="21" xfId="3" applyNumberFormat="1" applyFont="1" applyFill="1" applyBorder="1" applyAlignment="1">
      <alignment horizontal="center"/>
    </xf>
    <xf numFmtId="3" fontId="30" fillId="38" borderId="20" xfId="3" applyNumberFormat="1" applyFont="1" applyFill="1" applyBorder="1" applyAlignment="1">
      <alignment horizontal="center" vertical="center"/>
    </xf>
    <xf numFmtId="1" fontId="19" fillId="0" borderId="0" xfId="3" applyNumberFormat="1" applyFont="1" applyFill="1" applyBorder="1" applyAlignment="1">
      <alignment horizontal="center" vertical="center"/>
    </xf>
    <xf numFmtId="1" fontId="36" fillId="0" borderId="21" xfId="3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right"/>
    </xf>
    <xf numFmtId="0" fontId="0" fillId="37" borderId="0" xfId="0" applyFill="1"/>
    <xf numFmtId="0" fontId="14" fillId="0" borderId="0" xfId="0" applyFont="1"/>
    <xf numFmtId="1" fontId="22" fillId="0" borderId="21" xfId="3" applyNumberFormat="1" applyFont="1" applyBorder="1" applyAlignment="1">
      <alignment horizontal="center"/>
    </xf>
    <xf numFmtId="165" fontId="19" fillId="0" borderId="0" xfId="3" applyNumberFormat="1" applyFont="1" applyAlignment="1">
      <alignment horizontal="center" vertical="center"/>
    </xf>
    <xf numFmtId="0" fontId="0" fillId="0" borderId="21" xfId="0" applyBorder="1" applyAlignment="1">
      <alignment horizontal="center" vertical="center"/>
    </xf>
    <xf numFmtId="3" fontId="19" fillId="0" borderId="0" xfId="3" applyNumberFormat="1" applyFont="1" applyFill="1" applyAlignment="1">
      <alignment vertical="center"/>
    </xf>
    <xf numFmtId="4" fontId="23" fillId="0" borderId="0" xfId="3" applyNumberFormat="1" applyFont="1" applyAlignment="1">
      <alignment vertical="center"/>
    </xf>
    <xf numFmtId="0" fontId="19" fillId="0" borderId="21" xfId="3" applyNumberFormat="1" applyFont="1" applyFill="1" applyBorder="1" applyAlignment="1">
      <alignment horizontal="center" vertical="center"/>
    </xf>
    <xf numFmtId="0" fontId="18" fillId="0" borderId="12" xfId="3" applyNumberFormat="1" applyFill="1" applyBorder="1" applyAlignment="1">
      <alignment horizontal="center" vertical="center"/>
    </xf>
    <xf numFmtId="0" fontId="36" fillId="0" borderId="22" xfId="3" applyNumberFormat="1" applyFont="1" applyFill="1" applyBorder="1" applyAlignment="1">
      <alignment horizontal="center" vertical="center"/>
    </xf>
    <xf numFmtId="1" fontId="18" fillId="0" borderId="12" xfId="3" applyNumberFormat="1" applyFill="1" applyBorder="1" applyAlignment="1">
      <alignment horizontal="center" vertical="center" wrapText="1"/>
    </xf>
    <xf numFmtId="0" fontId="18" fillId="0" borderId="12" xfId="3" applyNumberFormat="1" applyFill="1" applyBorder="1" applyAlignment="1">
      <alignment horizontal="center" vertical="center" wrapText="1"/>
    </xf>
    <xf numFmtId="1" fontId="18" fillId="0" borderId="21" xfId="3" applyNumberFormat="1" applyFont="1" applyFill="1" applyBorder="1" applyAlignment="1">
      <alignment horizontal="center"/>
    </xf>
    <xf numFmtId="0" fontId="18" fillId="0" borderId="22" xfId="3" applyNumberFormat="1" applyFill="1" applyBorder="1" applyAlignment="1">
      <alignment horizontal="center"/>
    </xf>
    <xf numFmtId="1" fontId="18" fillId="0" borderId="22" xfId="3" applyNumberFormat="1" applyFill="1" applyBorder="1" applyAlignment="1">
      <alignment horizontal="center"/>
    </xf>
    <xf numFmtId="0" fontId="36" fillId="0" borderId="22" xfId="3" applyNumberFormat="1" applyFont="1" applyFill="1" applyBorder="1" applyAlignment="1">
      <alignment horizontal="center"/>
    </xf>
    <xf numFmtId="0" fontId="18" fillId="0" borderId="22" xfId="3" applyNumberFormat="1" applyFill="1" applyBorder="1" applyAlignment="1">
      <alignment horizontal="center" vertical="center"/>
    </xf>
    <xf numFmtId="1" fontId="18" fillId="0" borderId="22" xfId="3" applyNumberFormat="1" applyFont="1" applyFill="1" applyBorder="1" applyAlignment="1">
      <alignment horizontal="center" vertical="center"/>
    </xf>
    <xf numFmtId="1" fontId="18" fillId="0" borderId="22" xfId="3" applyNumberFormat="1" applyFill="1" applyBorder="1" applyAlignment="1">
      <alignment horizontal="center" vertical="center"/>
    </xf>
    <xf numFmtId="1" fontId="24" fillId="0" borderId="21" xfId="3" applyNumberFormat="1" applyFont="1" applyFill="1" applyBorder="1" applyAlignment="1">
      <alignment horizontal="center"/>
    </xf>
    <xf numFmtId="1" fontId="24" fillId="0" borderId="21" xfId="3" applyNumberFormat="1" applyFont="1" applyFill="1" applyBorder="1" applyAlignment="1">
      <alignment horizontal="center" vertical="center"/>
    </xf>
    <xf numFmtId="1" fontId="18" fillId="0" borderId="21" xfId="6" applyNumberFormat="1" applyFill="1" applyBorder="1" applyAlignment="1">
      <alignment horizontal="center"/>
    </xf>
    <xf numFmtId="168" fontId="19" fillId="0" borderId="10" xfId="3" applyNumberFormat="1" applyFont="1" applyFill="1" applyBorder="1" applyAlignment="1">
      <alignment horizontal="center" vertical="center"/>
    </xf>
    <xf numFmtId="1" fontId="22" fillId="0" borderId="0" xfId="3" applyNumberFormat="1" applyFont="1" applyFill="1" applyAlignment="1">
      <alignment horizontal="center" vertical="center"/>
    </xf>
    <xf numFmtId="0" fontId="18" fillId="0" borderId="22" xfId="6" applyNumberFormat="1" applyFill="1" applyBorder="1" applyAlignment="1">
      <alignment horizontal="center" vertical="center"/>
    </xf>
    <xf numFmtId="0" fontId="18" fillId="0" borderId="22" xfId="3" applyNumberFormat="1" applyFont="1" applyFill="1" applyBorder="1" applyAlignment="1">
      <alignment horizontal="center" vertical="center"/>
    </xf>
    <xf numFmtId="165" fontId="19" fillId="0" borderId="0" xfId="3" applyNumberFormat="1" applyFont="1" applyFill="1" applyAlignment="1">
      <alignment horizontal="center" vertical="center"/>
    </xf>
    <xf numFmtId="0" fontId="0" fillId="0" borderId="0" xfId="0" applyFill="1"/>
    <xf numFmtId="1" fontId="23" fillId="0" borderId="0" xfId="3" applyNumberFormat="1" applyFont="1" applyAlignment="1">
      <alignment horizontal="center" vertical="center" wrapText="1"/>
    </xf>
    <xf numFmtId="0" fontId="14" fillId="0" borderId="0" xfId="0" applyFont="1" applyFill="1"/>
    <xf numFmtId="0" fontId="0" fillId="0" borderId="0" xfId="0" applyFill="1" applyAlignment="1">
      <alignment horizontal="right"/>
    </xf>
    <xf numFmtId="1" fontId="18" fillId="0" borderId="21" xfId="6" applyNumberFormat="1" applyFont="1" applyFill="1" applyBorder="1" applyAlignment="1">
      <alignment horizontal="center"/>
    </xf>
    <xf numFmtId="1" fontId="22" fillId="0" borderId="21" xfId="3" applyNumberFormat="1" applyFont="1" applyFill="1" applyBorder="1" applyAlignment="1">
      <alignment horizontal="center"/>
    </xf>
    <xf numFmtId="1" fontId="19" fillId="0" borderId="0" xfId="3" applyNumberFormat="1" applyFont="1" applyFill="1" applyAlignment="1">
      <alignment horizontal="center" vertical="center" wrapText="1"/>
    </xf>
    <xf numFmtId="1" fontId="18" fillId="0" borderId="12" xfId="3" applyNumberFormat="1" applyFont="1" applyFill="1" applyBorder="1" applyAlignment="1">
      <alignment horizontal="center" vertical="center" wrapText="1"/>
    </xf>
    <xf numFmtId="0" fontId="18" fillId="0" borderId="21" xfId="3" quotePrefix="1" applyNumberFormat="1" applyFill="1" applyBorder="1" applyAlignment="1">
      <alignment horizontal="center"/>
    </xf>
    <xf numFmtId="0" fontId="18" fillId="0" borderId="21" xfId="8" applyNumberFormat="1" applyFont="1" applyFill="1" applyBorder="1" applyAlignment="1">
      <alignment horizontal="center"/>
    </xf>
    <xf numFmtId="0" fontId="18" fillId="38" borderId="0" xfId="3" applyFill="1"/>
    <xf numFmtId="0" fontId="28" fillId="38" borderId="21" xfId="3" applyFont="1" applyFill="1" applyBorder="1" applyAlignment="1">
      <alignment horizontal="center"/>
    </xf>
    <xf numFmtId="0" fontId="28" fillId="38" borderId="0" xfId="3" applyFont="1" applyFill="1" applyBorder="1"/>
    <xf numFmtId="0" fontId="0" fillId="37" borderId="0" xfId="0" quotePrefix="1" applyFill="1"/>
    <xf numFmtId="167" fontId="0" fillId="37" borderId="0" xfId="1" quotePrefix="1" applyFont="1" applyFill="1"/>
    <xf numFmtId="167" fontId="0" fillId="37" borderId="0" xfId="1" applyFont="1" applyFill="1"/>
    <xf numFmtId="167" fontId="0" fillId="37" borderId="0" xfId="1" applyNumberFormat="1" applyFont="1" applyFill="1"/>
    <xf numFmtId="167" fontId="0" fillId="37" borderId="0" xfId="1" quotePrefix="1" applyNumberFormat="1" applyFont="1" applyFill="1"/>
    <xf numFmtId="2" fontId="0" fillId="0" borderId="0" xfId="0" applyNumberFormat="1"/>
    <xf numFmtId="0" fontId="0" fillId="0" borderId="0" xfId="0" applyBorder="1"/>
    <xf numFmtId="0" fontId="0" fillId="0" borderId="13" xfId="0" applyBorder="1"/>
    <xf numFmtId="0" fontId="0" fillId="0" borderId="16" xfId="0" applyBorder="1"/>
    <xf numFmtId="0" fontId="0" fillId="0" borderId="14" xfId="0" applyBorder="1"/>
    <xf numFmtId="0" fontId="0" fillId="0" borderId="15" xfId="0" applyBorder="1"/>
    <xf numFmtId="0" fontId="0" fillId="0" borderId="35" xfId="0" applyBorder="1"/>
    <xf numFmtId="0" fontId="0" fillId="0" borderId="18" xfId="0" applyBorder="1"/>
    <xf numFmtId="0" fontId="0" fillId="0" borderId="20" xfId="0" applyBorder="1"/>
    <xf numFmtId="0" fontId="0" fillId="0" borderId="19" xfId="0" applyBorder="1"/>
    <xf numFmtId="0" fontId="13" fillId="46" borderId="36" xfId="0" applyFont="1" applyFill="1" applyBorder="1" applyAlignment="1">
      <alignment horizontal="center"/>
    </xf>
    <xf numFmtId="0" fontId="0" fillId="47" borderId="36" xfId="0" applyFill="1" applyBorder="1" applyAlignment="1">
      <alignment horizontal="center"/>
    </xf>
    <xf numFmtId="2" fontId="0" fillId="47" borderId="36" xfId="0" applyNumberFormat="1" applyFill="1" applyBorder="1" applyAlignment="1">
      <alignment horizontal="center"/>
    </xf>
    <xf numFmtId="9" fontId="0" fillId="47" borderId="36" xfId="2" applyFont="1" applyFill="1" applyBorder="1" applyAlignment="1">
      <alignment horizontal="center"/>
    </xf>
    <xf numFmtId="9" fontId="0" fillId="37" borderId="36" xfId="2" applyFont="1" applyFill="1" applyBorder="1" applyAlignment="1">
      <alignment horizontal="center"/>
    </xf>
    <xf numFmtId="0" fontId="43" fillId="0" borderId="0" xfId="0" applyFont="1"/>
    <xf numFmtId="0" fontId="17" fillId="0" borderId="0" xfId="0" applyFont="1"/>
    <xf numFmtId="1" fontId="17" fillId="0" borderId="0" xfId="0" applyNumberFormat="1" applyFont="1"/>
    <xf numFmtId="0" fontId="27" fillId="38" borderId="0" xfId="3" applyFont="1" applyFill="1" applyAlignment="1">
      <alignment vertical="center"/>
    </xf>
    <xf numFmtId="16" fontId="27" fillId="48" borderId="21" xfId="3" applyNumberFormat="1" applyFont="1" applyFill="1" applyBorder="1" applyAlignment="1"/>
    <xf numFmtId="0" fontId="27" fillId="48" borderId="21" xfId="3" applyFont="1" applyFill="1" applyBorder="1" applyAlignment="1"/>
    <xf numFmtId="0" fontId="18" fillId="38" borderId="0" xfId="3" applyFill="1" applyAlignment="1"/>
    <xf numFmtId="0" fontId="18" fillId="44" borderId="21" xfId="3" applyFill="1" applyBorder="1" applyAlignment="1">
      <alignment horizontal="center"/>
    </xf>
    <xf numFmtId="0" fontId="18" fillId="40" borderId="21" xfId="3" applyFill="1" applyBorder="1" applyAlignment="1"/>
    <xf numFmtId="0" fontId="18" fillId="49" borderId="21" xfId="3" applyFill="1" applyBorder="1" applyAlignment="1">
      <alignment horizontal="center"/>
    </xf>
    <xf numFmtId="0" fontId="18" fillId="38" borderId="21" xfId="3" applyFill="1" applyBorder="1" applyAlignment="1"/>
    <xf numFmtId="0" fontId="18" fillId="49" borderId="21" xfId="3" applyFont="1" applyFill="1" applyBorder="1" applyAlignment="1">
      <alignment horizontal="center"/>
    </xf>
    <xf numFmtId="0" fontId="28" fillId="38" borderId="21" xfId="3" applyFont="1" applyFill="1" applyBorder="1" applyAlignment="1"/>
    <xf numFmtId="0" fontId="18" fillId="49" borderId="21" xfId="3" applyFont="1" applyFill="1" applyBorder="1" applyAlignment="1"/>
    <xf numFmtId="10" fontId="16" fillId="38" borderId="21" xfId="4" applyNumberFormat="1" applyFont="1" applyFill="1" applyBorder="1" applyAlignment="1"/>
    <xf numFmtId="10" fontId="1" fillId="49" borderId="21" xfId="4" applyNumberFormat="1" applyFont="1" applyFill="1" applyBorder="1" applyAlignment="1"/>
    <xf numFmtId="9" fontId="16" fillId="38" borderId="21" xfId="4" applyFont="1" applyFill="1" applyBorder="1" applyAlignment="1"/>
    <xf numFmtId="9" fontId="0" fillId="38" borderId="0" xfId="4" applyFont="1" applyFill="1" applyAlignment="1"/>
    <xf numFmtId="0" fontId="18" fillId="49" borderId="21" xfId="3" applyFill="1" applyBorder="1" applyAlignment="1"/>
    <xf numFmtId="0" fontId="18" fillId="40" borderId="21" xfId="3" applyFill="1" applyBorder="1" applyAlignment="1">
      <alignment horizontal="center"/>
    </xf>
    <xf numFmtId="0" fontId="18" fillId="0" borderId="21" xfId="3" applyFill="1" applyBorder="1" applyAlignment="1"/>
    <xf numFmtId="10" fontId="0" fillId="49" borderId="21" xfId="4" applyNumberFormat="1" applyFont="1" applyFill="1" applyBorder="1" applyAlignment="1"/>
    <xf numFmtId="1" fontId="19" fillId="0" borderId="0" xfId="3" applyNumberFormat="1" applyFont="1" applyAlignment="1">
      <alignment horizontal="center" vertical="center"/>
    </xf>
    <xf numFmtId="1" fontId="36" fillId="0" borderId="22" xfId="3" applyNumberFormat="1" applyFont="1" applyFill="1" applyBorder="1" applyAlignment="1">
      <alignment horizontal="center" vertical="center"/>
    </xf>
    <xf numFmtId="0" fontId="23" fillId="0" borderId="0" xfId="3" applyFont="1" applyAlignment="1">
      <alignment horizontal="right" vertical="center"/>
    </xf>
    <xf numFmtId="0" fontId="19" fillId="0" borderId="0" xfId="3" applyFont="1" applyFill="1" applyAlignment="1">
      <alignment horizontal="center" vertical="center"/>
    </xf>
    <xf numFmtId="1" fontId="18" fillId="38" borderId="21" xfId="51926" applyNumberFormat="1" applyFill="1" applyBorder="1" applyAlignment="1">
      <alignment horizontal="center"/>
    </xf>
    <xf numFmtId="1" fontId="18" fillId="38" borderId="21" xfId="51926" applyNumberFormat="1" applyFont="1" applyFill="1" applyBorder="1" applyAlignment="1">
      <alignment horizontal="center"/>
    </xf>
    <xf numFmtId="0" fontId="24" fillId="0" borderId="21" xfId="3" applyNumberFormat="1" applyFont="1" applyFill="1" applyBorder="1" applyAlignment="1">
      <alignment horizontal="center" vertical="center"/>
    </xf>
    <xf numFmtId="3" fontId="30" fillId="41" borderId="10" xfId="3" applyNumberFormat="1" applyFont="1" applyFill="1" applyBorder="1" applyAlignment="1">
      <alignment horizontal="center" vertical="center"/>
    </xf>
    <xf numFmtId="0" fontId="33" fillId="34" borderId="10" xfId="3" applyFont="1" applyFill="1" applyBorder="1" applyAlignment="1">
      <alignment vertical="center"/>
    </xf>
    <xf numFmtId="0" fontId="18" fillId="0" borderId="0" xfId="3" applyFill="1" applyAlignment="1">
      <alignment vertical="center"/>
    </xf>
    <xf numFmtId="1" fontId="19" fillId="0" borderId="0" xfId="3" applyNumberFormat="1" applyFont="1" applyAlignment="1">
      <alignment horizontal="center" vertical="center"/>
    </xf>
    <xf numFmtId="3" fontId="19" fillId="0" borderId="0" xfId="3" applyNumberFormat="1" applyFont="1" applyAlignment="1">
      <alignment vertical="center"/>
    </xf>
    <xf numFmtId="0" fontId="19" fillId="0" borderId="0" xfId="3" applyNumberFormat="1" applyFont="1" applyFill="1" applyAlignment="1">
      <alignment horizontal="center" vertical="center"/>
    </xf>
    <xf numFmtId="0" fontId="0" fillId="0" borderId="0" xfId="0" applyNumberFormat="1" applyFill="1"/>
    <xf numFmtId="0" fontId="19" fillId="0" borderId="0" xfId="3" applyFont="1" applyFill="1" applyAlignment="1">
      <alignment horizontal="left" vertical="center"/>
    </xf>
    <xf numFmtId="1" fontId="18" fillId="0" borderId="11" xfId="3" applyNumberFormat="1" applyFont="1" applyBorder="1" applyAlignment="1">
      <alignment vertical="center" wrapText="1"/>
    </xf>
    <xf numFmtId="1" fontId="18" fillId="0" borderId="12" xfId="3" applyNumberFormat="1" applyFont="1" applyBorder="1" applyAlignment="1">
      <alignment vertical="center" wrapText="1"/>
    </xf>
    <xf numFmtId="0" fontId="26" fillId="34" borderId="11" xfId="3" applyFont="1" applyFill="1" applyBorder="1" applyAlignment="1">
      <alignment horizontal="center" vertical="center"/>
    </xf>
    <xf numFmtId="0" fontId="26" fillId="34" borderId="12" xfId="3" applyFont="1" applyFill="1" applyBorder="1" applyAlignment="1">
      <alignment horizontal="center" vertical="center"/>
    </xf>
    <xf numFmtId="1" fontId="19" fillId="0" borderId="21" xfId="3" applyNumberFormat="1" applyFont="1" applyBorder="1" applyAlignment="1">
      <alignment horizontal="center" vertical="center"/>
    </xf>
    <xf numFmtId="1" fontId="19" fillId="0" borderId="0" xfId="3" applyNumberFormat="1" applyFont="1" applyAlignment="1">
      <alignment horizontal="center" vertical="center"/>
    </xf>
    <xf numFmtId="1" fontId="18" fillId="38" borderId="0" xfId="3" applyNumberFormat="1" applyFill="1" applyBorder="1" applyAlignment="1">
      <alignment horizontal="center"/>
    </xf>
    <xf numFmtId="0" fontId="18" fillId="0" borderId="21" xfId="51926" applyNumberFormat="1" applyFill="1" applyBorder="1" applyAlignment="1">
      <alignment horizontal="center"/>
    </xf>
    <xf numFmtId="0" fontId="18" fillId="0" borderId="21" xfId="51926" applyNumberFormat="1" applyFont="1" applyFill="1" applyBorder="1" applyAlignment="1">
      <alignment horizontal="center"/>
    </xf>
    <xf numFmtId="1" fontId="18" fillId="0" borderId="21" xfId="51926" applyNumberFormat="1" applyFill="1" applyBorder="1" applyAlignment="1">
      <alignment horizontal="center"/>
    </xf>
    <xf numFmtId="174" fontId="18" fillId="0" borderId="21" xfId="3" applyNumberFormat="1" applyFill="1" applyBorder="1" applyAlignment="1">
      <alignment horizontal="center"/>
    </xf>
    <xf numFmtId="174" fontId="18" fillId="0" borderId="22" xfId="3" applyNumberFormat="1" applyFill="1" applyBorder="1" applyAlignment="1">
      <alignment horizontal="center"/>
    </xf>
    <xf numFmtId="0" fontId="0" fillId="0" borderId="0" xfId="0" applyFill="1" applyAlignment="1">
      <alignment vertical="center"/>
    </xf>
    <xf numFmtId="1" fontId="0" fillId="0" borderId="0" xfId="0" applyNumberFormat="1" applyFill="1" applyAlignment="1">
      <alignment vertical="center"/>
    </xf>
    <xf numFmtId="168" fontId="19" fillId="0" borderId="0" xfId="1" applyNumberFormat="1" applyFont="1" applyFill="1" applyAlignment="1">
      <alignment horizontal="center" vertical="center"/>
    </xf>
    <xf numFmtId="3" fontId="30" fillId="0" borderId="0" xfId="3" applyNumberFormat="1" applyFont="1" applyFill="1" applyAlignment="1">
      <alignment horizontal="center" vertical="center"/>
    </xf>
    <xf numFmtId="3" fontId="0" fillId="0" borderId="0" xfId="0" applyNumberFormat="1" applyFill="1" applyAlignment="1">
      <alignment vertical="center"/>
    </xf>
    <xf numFmtId="3" fontId="30" fillId="0" borderId="10" xfId="3" applyNumberFormat="1" applyFont="1" applyFill="1" applyBorder="1" applyAlignment="1">
      <alignment horizontal="center" vertical="center"/>
    </xf>
    <xf numFmtId="1" fontId="24" fillId="0" borderId="21" xfId="3" applyNumberFormat="1" applyFont="1" applyFill="1" applyBorder="1" applyAlignment="1">
      <alignment horizontal="left" vertical="center"/>
    </xf>
    <xf numFmtId="1" fontId="18" fillId="0" borderId="21" xfId="3" applyNumberFormat="1" applyFont="1" applyFill="1" applyBorder="1" applyAlignment="1">
      <alignment horizontal="left" vertical="center"/>
    </xf>
    <xf numFmtId="0" fontId="24" fillId="0" borderId="21" xfId="3" applyFont="1" applyFill="1" applyBorder="1" applyAlignment="1">
      <alignment horizontal="left" vertical="center"/>
    </xf>
    <xf numFmtId="0" fontId="18" fillId="0" borderId="21" xfId="3" applyFont="1" applyFill="1" applyBorder="1" applyAlignment="1">
      <alignment horizontal="left" vertical="center"/>
    </xf>
    <xf numFmtId="0" fontId="18" fillId="0" borderId="21" xfId="3" applyFill="1" applyBorder="1" applyAlignment="1">
      <alignment horizontal="left" vertical="center"/>
    </xf>
    <xf numFmtId="0" fontId="18" fillId="0" borderId="21" xfId="3" applyFont="1" applyFill="1" applyBorder="1" applyAlignment="1">
      <alignment horizontal="center" vertical="center"/>
    </xf>
    <xf numFmtId="2" fontId="318" fillId="0" borderId="0" xfId="3" applyNumberFormat="1" applyFont="1" applyAlignment="1">
      <alignment vertical="center"/>
    </xf>
    <xf numFmtId="1" fontId="18" fillId="0" borderId="21" xfId="3" applyNumberFormat="1" applyFill="1" applyBorder="1" applyAlignment="1">
      <alignment horizontal="center" vertical="top"/>
    </xf>
    <xf numFmtId="1" fontId="19" fillId="0" borderId="0" xfId="3" applyNumberFormat="1" applyFont="1" applyBorder="1" applyAlignment="1">
      <alignment horizontal="center" vertical="center" wrapText="1"/>
    </xf>
    <xf numFmtId="0" fontId="36" fillId="0" borderId="21" xfId="0" applyFont="1" applyBorder="1" applyAlignment="1">
      <alignment horizontal="center" vertical="top"/>
    </xf>
    <xf numFmtId="1" fontId="36" fillId="38" borderId="21" xfId="3" applyNumberFormat="1" applyFont="1" applyFill="1" applyBorder="1" applyAlignment="1">
      <alignment horizontal="center" vertical="top" wrapText="1"/>
    </xf>
    <xf numFmtId="1" fontId="36" fillId="38" borderId="21" xfId="3" applyNumberFormat="1" applyFont="1" applyFill="1" applyBorder="1" applyAlignment="1">
      <alignment horizontal="center" vertical="center" wrapText="1"/>
    </xf>
    <xf numFmtId="1" fontId="18" fillId="37" borderId="21" xfId="3" applyNumberFormat="1" applyFill="1" applyBorder="1" applyAlignment="1">
      <alignment horizontal="center"/>
    </xf>
    <xf numFmtId="1" fontId="19" fillId="37" borderId="0" xfId="3" applyNumberFormat="1" applyFont="1" applyFill="1" applyAlignment="1">
      <alignment horizontal="center"/>
    </xf>
    <xf numFmtId="1" fontId="36" fillId="37" borderId="12" xfId="3" applyNumberFormat="1" applyFont="1" applyFill="1" applyBorder="1" applyAlignment="1">
      <alignment horizontal="center" vertical="center" wrapText="1"/>
    </xf>
    <xf numFmtId="1" fontId="24" fillId="37" borderId="21" xfId="3" applyNumberFormat="1" applyFont="1" applyFill="1" applyBorder="1" applyAlignment="1">
      <alignment horizontal="left" vertical="center"/>
    </xf>
    <xf numFmtId="3" fontId="19" fillId="0" borderId="0" xfId="3" applyNumberFormat="1" applyFont="1" applyFill="1" applyAlignment="1">
      <alignment horizontal="center" vertical="center"/>
    </xf>
    <xf numFmtId="3" fontId="19" fillId="160" borderId="20" xfId="3" applyNumberFormat="1" applyFont="1" applyFill="1" applyBorder="1" applyAlignment="1">
      <alignment horizontal="center" vertical="center"/>
    </xf>
    <xf numFmtId="3" fontId="30" fillId="160" borderId="20" xfId="3" applyNumberFormat="1" applyFont="1" applyFill="1" applyBorder="1" applyAlignment="1">
      <alignment horizontal="center" vertical="center"/>
    </xf>
    <xf numFmtId="1" fontId="0" fillId="0" borderId="0" xfId="0" applyNumberFormat="1" applyFill="1"/>
    <xf numFmtId="4" fontId="39" fillId="0" borderId="20" xfId="3" applyNumberFormat="1" applyFont="1" applyFill="1" applyBorder="1" applyAlignment="1">
      <alignment horizontal="center" vertical="center"/>
    </xf>
    <xf numFmtId="170" fontId="19" fillId="0" borderId="20" xfId="3" applyNumberFormat="1" applyFont="1" applyFill="1" applyBorder="1" applyAlignment="1">
      <alignment horizontal="center" vertical="center"/>
    </xf>
    <xf numFmtId="0" fontId="18" fillId="38" borderId="12" xfId="3" applyNumberFormat="1" applyFont="1" applyFill="1" applyBorder="1" applyAlignment="1">
      <alignment horizontal="center" vertical="center"/>
    </xf>
    <xf numFmtId="1" fontId="40" fillId="0" borderId="0" xfId="3" applyNumberFormat="1" applyFont="1" applyAlignment="1">
      <alignment horizontal="center" vertical="center"/>
    </xf>
    <xf numFmtId="1" fontId="40" fillId="0" borderId="0" xfId="3" applyNumberFormat="1" applyFont="1" applyFill="1" applyAlignment="1">
      <alignment horizontal="center" vertical="center"/>
    </xf>
    <xf numFmtId="168" fontId="58" fillId="0" borderId="10" xfId="5" applyNumberFormat="1" applyFont="1" applyFill="1" applyBorder="1" applyAlignment="1">
      <alignment horizontal="center" vertical="center"/>
    </xf>
    <xf numFmtId="4" fontId="30" fillId="0" borderId="10" xfId="3" applyNumberFormat="1" applyFont="1" applyFill="1" applyBorder="1" applyAlignment="1">
      <alignment horizontal="center" vertical="center"/>
    </xf>
    <xf numFmtId="1" fontId="18" fillId="0" borderId="21" xfId="6" applyNumberFormat="1" applyFont="1" applyFill="1" applyBorder="1" applyAlignment="1">
      <alignment horizontal="center" vertical="center"/>
    </xf>
    <xf numFmtId="1" fontId="18" fillId="0" borderId="22" xfId="3" applyNumberFormat="1" applyFont="1" applyFill="1" applyBorder="1" applyAlignment="1">
      <alignment horizontal="center"/>
    </xf>
    <xf numFmtId="1" fontId="18" fillId="0" borderId="21" xfId="51926" applyNumberFormat="1" applyFont="1" applyFill="1" applyBorder="1" applyAlignment="1">
      <alignment horizontal="center"/>
    </xf>
    <xf numFmtId="0" fontId="17" fillId="0" borderId="0" xfId="0" applyFont="1" applyFill="1"/>
    <xf numFmtId="1" fontId="40" fillId="0" borderId="0" xfId="3" applyNumberFormat="1" applyFont="1" applyFill="1" applyAlignment="1">
      <alignment horizontal="center" vertical="center" wrapText="1"/>
    </xf>
    <xf numFmtId="1" fontId="35" fillId="0" borderId="21" xfId="3" applyNumberFormat="1" applyFont="1" applyFill="1" applyBorder="1" applyAlignment="1">
      <alignment horizontal="left" vertical="center" wrapText="1"/>
    </xf>
    <xf numFmtId="0" fontId="18" fillId="38" borderId="21" xfId="51926" applyNumberFormat="1" applyFont="1" applyFill="1" applyBorder="1" applyAlignment="1">
      <alignment horizontal="center"/>
    </xf>
    <xf numFmtId="0" fontId="18" fillId="38" borderId="21" xfId="51926" applyNumberFormat="1" applyFill="1" applyBorder="1" applyAlignment="1">
      <alignment horizontal="center"/>
    </xf>
    <xf numFmtId="174" fontId="18" fillId="38" borderId="21" xfId="3" applyNumberFormat="1" applyFill="1" applyBorder="1" applyAlignment="1">
      <alignment horizontal="center"/>
    </xf>
    <xf numFmtId="1" fontId="19" fillId="0" borderId="21" xfId="3" applyNumberFormat="1" applyFont="1" applyBorder="1" applyAlignment="1">
      <alignment horizontal="center" vertical="center"/>
    </xf>
    <xf numFmtId="1" fontId="0" fillId="0" borderId="21" xfId="0" applyNumberFormat="1" applyBorder="1" applyAlignment="1">
      <alignment horizontal="center" vertical="center"/>
    </xf>
    <xf numFmtId="1" fontId="19" fillId="0" borderId="21" xfId="3" applyNumberFormat="1" applyFont="1" applyBorder="1" applyAlignment="1">
      <alignment horizontal="center" vertical="center"/>
    </xf>
    <xf numFmtId="1" fontId="18" fillId="37" borderId="21" xfId="51926" applyNumberFormat="1" applyFont="1" applyFill="1" applyBorder="1" applyAlignment="1">
      <alignment horizontal="center"/>
    </xf>
    <xf numFmtId="3" fontId="0" fillId="0" borderId="0" xfId="0" applyNumberFormat="1" applyFill="1"/>
    <xf numFmtId="168" fontId="38" fillId="37" borderId="10" xfId="5" applyNumberFormat="1" applyFont="1" applyFill="1" applyBorder="1" applyAlignment="1">
      <alignment horizontal="center" vertical="center"/>
    </xf>
    <xf numFmtId="1" fontId="36" fillId="161" borderId="21" xfId="3" applyNumberFormat="1" applyFont="1" applyFill="1" applyBorder="1" applyAlignment="1">
      <alignment horizontal="center" vertical="center"/>
    </xf>
    <xf numFmtId="1" fontId="18" fillId="161" borderId="21" xfId="6" applyNumberFormat="1" applyFill="1" applyBorder="1" applyAlignment="1">
      <alignment horizontal="center" vertical="center"/>
    </xf>
    <xf numFmtId="0" fontId="18" fillId="161" borderId="21" xfId="3" applyFont="1" applyFill="1" applyBorder="1" applyAlignment="1">
      <alignment horizontal="left" vertical="center"/>
    </xf>
    <xf numFmtId="1" fontId="18" fillId="161" borderId="21" xfId="3" applyNumberFormat="1" applyFill="1" applyBorder="1" applyAlignment="1">
      <alignment horizontal="center" vertical="center"/>
    </xf>
    <xf numFmtId="0" fontId="19" fillId="161" borderId="0" xfId="3" applyFont="1" applyFill="1" applyAlignment="1">
      <alignment horizontal="left" vertical="center"/>
    </xf>
    <xf numFmtId="1" fontId="19" fillId="0" borderId="21" xfId="3" applyNumberFormat="1" applyFont="1" applyBorder="1" applyAlignment="1">
      <alignment horizontal="center" vertical="center"/>
    </xf>
    <xf numFmtId="1" fontId="18" fillId="45" borderId="21" xfId="3" applyNumberFormat="1" applyFill="1" applyBorder="1" applyAlignment="1">
      <alignment horizontal="center"/>
    </xf>
    <xf numFmtId="1" fontId="19" fillId="0" borderId="21" xfId="3" applyNumberFormat="1" applyFont="1" applyBorder="1" applyAlignment="1">
      <alignment horizontal="center" vertical="center"/>
    </xf>
    <xf numFmtId="1" fontId="19" fillId="0" borderId="0" xfId="3" applyNumberFormat="1" applyFont="1" applyAlignment="1">
      <alignment horizontal="center" vertical="center"/>
    </xf>
    <xf numFmtId="1" fontId="18" fillId="38" borderId="45" xfId="3" applyNumberFormat="1" applyFill="1" applyBorder="1" applyAlignment="1">
      <alignment horizontal="center"/>
    </xf>
    <xf numFmtId="1" fontId="18" fillId="37" borderId="17" xfId="3" applyNumberFormat="1" applyFill="1" applyBorder="1" applyAlignment="1">
      <alignment horizontal="center"/>
    </xf>
    <xf numFmtId="1" fontId="18" fillId="37" borderId="17" xfId="3" applyNumberFormat="1" applyFont="1" applyFill="1" applyBorder="1" applyAlignment="1">
      <alignment horizontal="center" vertical="center"/>
    </xf>
    <xf numFmtId="1" fontId="18" fillId="38" borderId="89" xfId="3" applyNumberFormat="1" applyFont="1" applyFill="1" applyBorder="1" applyAlignment="1">
      <alignment horizontal="center" vertical="center"/>
    </xf>
    <xf numFmtId="0" fontId="18" fillId="45" borderId="21" xfId="3" applyFill="1" applyBorder="1" applyAlignment="1">
      <alignment horizontal="left" vertical="center"/>
    </xf>
    <xf numFmtId="1" fontId="18" fillId="0" borderId="11" xfId="3" applyNumberFormat="1" applyFont="1" applyBorder="1" applyAlignment="1">
      <alignment vertical="center" wrapText="1"/>
    </xf>
    <xf numFmtId="1" fontId="18" fillId="0" borderId="12" xfId="3" applyNumberFormat="1" applyFont="1" applyBorder="1" applyAlignment="1">
      <alignment vertical="center" wrapText="1"/>
    </xf>
    <xf numFmtId="0" fontId="26" fillId="34" borderId="11" xfId="3" applyFont="1" applyFill="1" applyBorder="1" applyAlignment="1">
      <alignment horizontal="center" vertical="center"/>
    </xf>
    <xf numFmtId="0" fontId="26" fillId="34" borderId="12" xfId="3" applyFont="1" applyFill="1" applyBorder="1" applyAlignment="1">
      <alignment horizontal="center" vertical="center"/>
    </xf>
    <xf numFmtId="1" fontId="19" fillId="0" borderId="21" xfId="3" applyNumberFormat="1" applyFont="1" applyBorder="1" applyAlignment="1">
      <alignment horizontal="center" vertical="center"/>
    </xf>
    <xf numFmtId="1" fontId="19" fillId="0" borderId="0" xfId="3" applyNumberFormat="1" applyFont="1" applyAlignment="1">
      <alignment horizontal="center" vertical="center"/>
    </xf>
    <xf numFmtId="1" fontId="22" fillId="37" borderId="21" xfId="3" applyNumberFormat="1" applyFont="1" applyFill="1" applyBorder="1" applyAlignment="1">
      <alignment horizontal="center"/>
    </xf>
    <xf numFmtId="1" fontId="18" fillId="0" borderId="17" xfId="3" applyNumberFormat="1" applyFill="1" applyBorder="1" applyAlignment="1">
      <alignment horizontal="center"/>
    </xf>
    <xf numFmtId="0" fontId="18" fillId="38" borderId="89" xfId="3" applyNumberFormat="1" applyFill="1" applyBorder="1" applyAlignment="1">
      <alignment horizontal="center"/>
    </xf>
    <xf numFmtId="1" fontId="18" fillId="38" borderId="89" xfId="3" applyNumberFormat="1" applyFill="1" applyBorder="1" applyAlignment="1">
      <alignment horizontal="center"/>
    </xf>
    <xf numFmtId="1" fontId="19" fillId="0" borderId="0" xfId="3" applyNumberFormat="1" applyFont="1" applyAlignment="1">
      <alignment horizontal="center"/>
    </xf>
    <xf numFmtId="1" fontId="19" fillId="0" borderId="21" xfId="3" applyNumberFormat="1" applyFont="1" applyBorder="1" applyAlignment="1">
      <alignment horizontal="center" vertical="center"/>
    </xf>
    <xf numFmtId="1" fontId="19" fillId="0" borderId="21" xfId="3" applyNumberFormat="1" applyFont="1" applyBorder="1" applyAlignment="1">
      <alignment horizontal="center" vertical="center"/>
    </xf>
    <xf numFmtId="0" fontId="36" fillId="0" borderId="21" xfId="0" applyFont="1" applyBorder="1" applyAlignment="1">
      <alignment horizontal="center" vertical="center"/>
    </xf>
    <xf numFmtId="1" fontId="36" fillId="45" borderId="21" xfId="3" applyNumberFormat="1" applyFont="1" applyFill="1" applyBorder="1" applyAlignment="1">
      <alignment horizontal="center"/>
    </xf>
    <xf numFmtId="1" fontId="18" fillId="45" borderId="21" xfId="3" applyNumberFormat="1" applyFont="1" applyFill="1" applyBorder="1" applyAlignment="1">
      <alignment horizontal="center" vertical="center"/>
    </xf>
    <xf numFmtId="1" fontId="18" fillId="38" borderId="21" xfId="3" applyNumberFormat="1" applyFill="1" applyBorder="1" applyAlignment="1">
      <alignment horizontal="center" vertical="center" wrapText="1"/>
    </xf>
    <xf numFmtId="1" fontId="19" fillId="0" borderId="0" xfId="3" applyNumberFormat="1" applyFont="1" applyAlignment="1">
      <alignment horizontal="center" vertical="center"/>
    </xf>
    <xf numFmtId="1" fontId="19" fillId="0" borderId="21" xfId="3" applyNumberFormat="1" applyFont="1" applyBorder="1" applyAlignment="1">
      <alignment horizontal="center" vertical="center"/>
    </xf>
    <xf numFmtId="1" fontId="19" fillId="0" borderId="21" xfId="3" applyNumberFormat="1" applyFont="1" applyBorder="1" applyAlignment="1">
      <alignment horizontal="center" vertical="center"/>
    </xf>
    <xf numFmtId="1" fontId="18" fillId="0" borderId="11" xfId="3" applyNumberFormat="1" applyFont="1" applyBorder="1" applyAlignment="1">
      <alignment vertical="center" wrapText="1"/>
    </xf>
    <xf numFmtId="1" fontId="18" fillId="0" borderId="12" xfId="3" applyNumberFormat="1" applyFont="1" applyBorder="1" applyAlignment="1">
      <alignment vertical="center" wrapText="1"/>
    </xf>
    <xf numFmtId="0" fontId="26" fillId="34" borderId="11" xfId="3" applyFont="1" applyFill="1" applyBorder="1" applyAlignment="1">
      <alignment horizontal="center" vertical="center"/>
    </xf>
    <xf numFmtId="0" fontId="26" fillId="34" borderId="12" xfId="3" applyFont="1" applyFill="1" applyBorder="1" applyAlignment="1">
      <alignment horizontal="center" vertical="center"/>
    </xf>
    <xf numFmtId="1" fontId="19" fillId="0" borderId="21" xfId="3" applyNumberFormat="1" applyFont="1" applyBorder="1" applyAlignment="1">
      <alignment horizontal="center" vertical="center"/>
    </xf>
    <xf numFmtId="1" fontId="19" fillId="0" borderId="0" xfId="3" applyNumberFormat="1" applyFont="1" applyAlignment="1">
      <alignment horizontal="center" vertical="center"/>
    </xf>
    <xf numFmtId="1" fontId="18" fillId="0" borderId="11" xfId="3" applyNumberFormat="1" applyFont="1" applyBorder="1" applyAlignment="1">
      <alignment vertical="center" wrapText="1"/>
    </xf>
    <xf numFmtId="1" fontId="18" fillId="0" borderId="12" xfId="3" applyNumberFormat="1" applyFont="1" applyBorder="1" applyAlignment="1">
      <alignment vertical="center" wrapText="1"/>
    </xf>
    <xf numFmtId="0" fontId="26" fillId="34" borderId="11" xfId="3" applyFont="1" applyFill="1" applyBorder="1" applyAlignment="1">
      <alignment horizontal="center" vertical="center"/>
    </xf>
    <xf numFmtId="0" fontId="26" fillId="34" borderId="12" xfId="3" applyFont="1" applyFill="1" applyBorder="1" applyAlignment="1">
      <alignment horizontal="center" vertical="center"/>
    </xf>
    <xf numFmtId="1" fontId="19" fillId="0" borderId="21" xfId="3" applyNumberFormat="1" applyFont="1" applyBorder="1" applyAlignment="1">
      <alignment horizontal="center" vertical="center"/>
    </xf>
    <xf numFmtId="1" fontId="19" fillId="0" borderId="0" xfId="3" applyNumberFormat="1" applyFont="1" applyAlignment="1">
      <alignment horizontal="center" vertical="center"/>
    </xf>
    <xf numFmtId="1" fontId="19" fillId="0" borderId="0" xfId="3" applyNumberFormat="1" applyFont="1" applyAlignment="1">
      <alignment horizontal="center" vertical="center"/>
    </xf>
    <xf numFmtId="14" fontId="19" fillId="38" borderId="20" xfId="3" applyNumberFormat="1" applyFont="1" applyFill="1" applyBorder="1" applyAlignment="1">
      <alignment horizontal="center" vertical="center"/>
    </xf>
    <xf numFmtId="0" fontId="26" fillId="34" borderId="22" xfId="3" applyFont="1" applyFill="1" applyBorder="1" applyAlignment="1">
      <alignment horizontal="center" vertical="center"/>
    </xf>
    <xf numFmtId="0" fontId="26" fillId="34" borderId="10" xfId="3" applyFont="1" applyFill="1" applyBorder="1" applyAlignment="1">
      <alignment horizontal="center" vertical="center"/>
    </xf>
    <xf numFmtId="0" fontId="26" fillId="34" borderId="17" xfId="3" applyFont="1" applyFill="1" applyBorder="1" applyAlignment="1">
      <alignment horizontal="center" vertical="center"/>
    </xf>
    <xf numFmtId="1" fontId="18" fillId="0" borderId="11" xfId="3" applyNumberFormat="1" applyFont="1" applyBorder="1" applyAlignment="1">
      <alignment vertical="center" wrapText="1"/>
    </xf>
    <xf numFmtId="1" fontId="18" fillId="0" borderId="12" xfId="3" applyNumberFormat="1" applyFont="1" applyBorder="1" applyAlignment="1">
      <alignment vertical="center" wrapText="1"/>
    </xf>
    <xf numFmtId="0" fontId="26" fillId="34" borderId="11" xfId="3" applyFont="1" applyFill="1" applyBorder="1" applyAlignment="1">
      <alignment horizontal="center" vertical="center"/>
    </xf>
    <xf numFmtId="0" fontId="26" fillId="34" borderId="12" xfId="3" applyFont="1" applyFill="1" applyBorder="1" applyAlignment="1">
      <alignment horizontal="center" vertical="center"/>
    </xf>
    <xf numFmtId="0" fontId="32" fillId="34" borderId="10" xfId="3" applyFont="1" applyFill="1" applyBorder="1" applyAlignment="1">
      <alignment vertical="center" wrapText="1"/>
    </xf>
    <xf numFmtId="1" fontId="19" fillId="0" borderId="21" xfId="3" applyNumberFormat="1" applyFont="1" applyBorder="1" applyAlignment="1">
      <alignment horizontal="center" vertical="center"/>
    </xf>
    <xf numFmtId="0" fontId="26" fillId="34" borderId="23" xfId="3" applyFont="1" applyFill="1" applyBorder="1" applyAlignment="1">
      <alignment horizontal="center" vertical="center" wrapText="1"/>
    </xf>
    <xf numFmtId="0" fontId="26" fillId="34" borderId="24" xfId="3" applyFont="1" applyFill="1" applyBorder="1" applyAlignment="1">
      <alignment horizontal="center" vertical="center" wrapText="1"/>
    </xf>
    <xf numFmtId="0" fontId="26" fillId="34" borderId="25" xfId="3" applyFont="1" applyFill="1" applyBorder="1" applyAlignment="1">
      <alignment horizontal="center" vertical="center" wrapText="1"/>
    </xf>
    <xf numFmtId="0" fontId="26" fillId="34" borderId="26" xfId="3" applyFont="1" applyFill="1" applyBorder="1" applyAlignment="1">
      <alignment horizontal="center" vertical="center" wrapText="1"/>
    </xf>
    <xf numFmtId="0" fontId="26" fillId="34" borderId="27" xfId="3" applyFont="1" applyFill="1" applyBorder="1" applyAlignment="1">
      <alignment horizontal="center" vertical="center" wrapText="1"/>
    </xf>
    <xf numFmtId="0" fontId="26" fillId="34" borderId="28" xfId="3" applyFont="1" applyFill="1" applyBorder="1" applyAlignment="1">
      <alignment horizontal="center" vertical="center" wrapText="1"/>
    </xf>
    <xf numFmtId="1" fontId="19" fillId="0" borderId="13" xfId="3" applyNumberFormat="1" applyFont="1" applyBorder="1" applyAlignment="1">
      <alignment horizontal="center" vertical="center"/>
    </xf>
    <xf numFmtId="1" fontId="19" fillId="0" borderId="16" xfId="3" applyNumberFormat="1" applyFont="1" applyBorder="1" applyAlignment="1">
      <alignment horizontal="center" vertical="center"/>
    </xf>
    <xf numFmtId="1" fontId="19" fillId="0" borderId="15" xfId="3" applyNumberFormat="1" applyFont="1" applyBorder="1" applyAlignment="1">
      <alignment horizontal="center" vertical="center"/>
    </xf>
    <xf numFmtId="1" fontId="19" fillId="0" borderId="0" xfId="3" applyNumberFormat="1" applyFont="1" applyAlignment="1">
      <alignment horizontal="center" vertical="center"/>
    </xf>
    <xf numFmtId="0" fontId="32" fillId="34" borderId="10" xfId="3" applyFont="1" applyFill="1" applyBorder="1" applyAlignment="1">
      <alignment horizontal="center" vertical="center" wrapText="1"/>
    </xf>
    <xf numFmtId="0" fontId="27" fillId="48" borderId="21" xfId="3" applyFont="1" applyFill="1" applyBorder="1" applyAlignment="1">
      <alignment horizontal="center" vertical="center"/>
    </xf>
    <xf numFmtId="0" fontId="27" fillId="48" borderId="21" xfId="3" applyFont="1" applyFill="1" applyBorder="1" applyAlignment="1">
      <alignment horizontal="center"/>
    </xf>
  </cellXfs>
  <cellStyles count="64417">
    <cellStyle name="_x0002__x0003_" xfId="9" xr:uid="{00000000-0005-0000-0000-000000000000}"/>
    <cellStyle name="_x0004_" xfId="10" xr:uid="{00000000-0005-0000-0000-000001000000}"/>
    <cellStyle name="'" xfId="11" xr:uid="{00000000-0005-0000-0000-000002000000}"/>
    <cellStyle name=" " xfId="12" xr:uid="{00000000-0005-0000-0000-000003000000}"/>
    <cellStyle name="          _x000d__x000a_386grabber=VGA.3GR_x000d__x000a_" xfId="13" xr:uid="{00000000-0005-0000-0000-000004000000}"/>
    <cellStyle name="          _x000d__x000a_386grabber=VGA.3GR_x000d__x000a_ 2" xfId="14" xr:uid="{00000000-0005-0000-0000-000005000000}"/>
    <cellStyle name="          _x000d__x000a_386grabber=VGA.3GR_x000d__x000a_ 3" xfId="15" xr:uid="{00000000-0005-0000-0000-000006000000}"/>
    <cellStyle name="          _x000d__x000a_386grabber=VGA.3GR_x000d__x000a__Financial Analysis Base" xfId="16" xr:uid="{00000000-0005-0000-0000-000007000000}"/>
    <cellStyle name="          _x000d__x000a_shell=progman.exe_x000d__x000a_m" xfId="17" xr:uid="{00000000-0005-0000-0000-000008000000}"/>
    <cellStyle name="          _x000d__x000a_shell=progman.exe_x000d__x000a_m 2" xfId="18" xr:uid="{00000000-0005-0000-0000-000009000000}"/>
    <cellStyle name=" _JE0203" xfId="19" xr:uid="{00000000-0005-0000-0000-00000A000000}"/>
    <cellStyle name=" _JE0203_YTD Mar financial results (2)" xfId="20" xr:uid="{00000000-0005-0000-0000-00000B000000}"/>
    <cellStyle name=" _WON0203" xfId="21" xr:uid="{00000000-0005-0000-0000-00000C000000}"/>
    <cellStyle name=" _WON0203_YTD Mar financial results (2)" xfId="22" xr:uid="{00000000-0005-0000-0000-00000D000000}"/>
    <cellStyle name=" _WON0206" xfId="23" xr:uid="{00000000-0005-0000-0000-00000E000000}"/>
    <cellStyle name=" _WON0206_YTD Mar financial results (2)" xfId="24" xr:uid="{00000000-0005-0000-0000-00000F000000}"/>
    <cellStyle name=" _YTD Mar financial results (2)" xfId="25" xr:uid="{00000000-0005-0000-0000-000010000000}"/>
    <cellStyle name=" 1" xfId="26" xr:uid="{00000000-0005-0000-0000-000011000000}"/>
    <cellStyle name=" 1 2" xfId="27" xr:uid="{00000000-0005-0000-0000-000012000000}"/>
    <cellStyle name=" 2" xfId="28" xr:uid="{00000000-0005-0000-0000-000013000000}"/>
    <cellStyle name=" FY96" xfId="29" xr:uid="{00000000-0005-0000-0000-000014000000}"/>
    <cellStyle name=" labels]_x000d__x000a_total=1_x000d__x000a_1=EMULATION HP III_x000d__x000a__x000d__x000a_[prolog strings]_x000d__x000a_EMULATION HP III=!R! SEM 6; EXIT;_x000d__x000a__x000d__x000a_[epilog" xfId="30" xr:uid="{00000000-0005-0000-0000-000015000000}"/>
    <cellStyle name=" labels]_x000d__x000a_total=1_x000d__x000a_1=EMULATION HP III_x000d__x000a__x000d__x000a_[prolog strings]_x000d__x000a_EMULATION HP III=!R! SEM 6; EXIT;_x000d__x000a__x000d__x000a_[epilog 2" xfId="31" xr:uid="{00000000-0005-0000-0000-000016000000}"/>
    <cellStyle name=" labels]_x000d__x000a_total=1_x000d__x000a_1=EMULATION HP III_x000d__x000a__x000d__x000a_[prolog strings]_x000d__x000a_EMULATION HP III=!R! SEM 6; EXIT;_x000d__x000a__x000d__x000a_[epilog 2 2" xfId="32" xr:uid="{00000000-0005-0000-0000-000017000000}"/>
    <cellStyle name=" labels]_x000d__x000a_total=1_x000d__x000a_1=EMULATION HP III_x000d__x000a__x000d__x000a_[prolog strings]_x000d__x000a_EMULATION HP III=!R! SEM 6; EXIT;_x000d__x000a__x000d__x000a_[epilog 3" xfId="33" xr:uid="{00000000-0005-0000-0000-000018000000}"/>
    <cellStyle name=" labels]_x000d__x000a_total=1_x000d__x000a_1=EMULATION HP III_x000d__x000a__x000d__x000a_[prolog strings]_x000d__x000a_EMULATION HP III=!R! SEM 6; EXIT;_x000d__x000a__x000d__x000a_[epilog 3 2" xfId="34" xr:uid="{00000000-0005-0000-0000-000019000000}"/>
    <cellStyle name=" labels]_x000d__x000a_total=1_x000d__x000a_1=EMULATION HP III_x000d__x000a__x000d__x000a_[prolog strings]_x000d__x000a_EMULATION HP III=!R! SEM 6; EXIT;_x000d__x000a__x000d__x000a_[epilog 3 3" xfId="35" xr:uid="{00000000-0005-0000-0000-00001A000000}"/>
    <cellStyle name=" labels]_x000d__x000a_total=1_x000d__x000a_1=EMULATION HP III_x000d__x000a__x000d__x000a_[prolog strings]_x000d__x000a_EMULATION HP III=!R! SEM 6; EXIT;_x000d__x000a__x000d__x000a_[epilog 3 3 2" xfId="36" xr:uid="{00000000-0005-0000-0000-00001B000000}"/>
    <cellStyle name=" labels]_x000d__x000a_total=1_x000d__x000a_1=EMULATION HP III_x000d__x000a__x000d__x000a_[prolog strings]_x000d__x000a_EMULATION HP III=!R! SEM 6; EXIT;_x000d__x000a__x000d__x000a_[epilog 4" xfId="37" xr:uid="{00000000-0005-0000-0000-00001C000000}"/>
    <cellStyle name=" labels]_x000d__x000a_total=1_x000d__x000a_1=EMULATION HP III_x000d__x000a__x000d__x000a_[prolog strings]_x000d__x000a_EMULATION HP III=!R! SEM 6; EXIT;_x000d__x000a__x000d__x000a_[epilog 4 2" xfId="38" xr:uid="{00000000-0005-0000-0000-00001D000000}"/>
    <cellStyle name=" labels]_x000d__x000a_total=1_x000d__x000a_1=EMULATION HP III_x000d__x000a__x000d__x000a_[prolog strings]_x000d__x000a_EMULATION HP III=!R! SEM 6; EXIT;_x000d__x000a__x000d__x000a_[epilog 5" xfId="39" xr:uid="{00000000-0005-0000-0000-00001E000000}"/>
    <cellStyle name=" labels]_x000d__x000a_total=1_x000d__x000a_1=EMULATION HP III_x000d__x000a__x000d__x000a_[prolog strings]_x000d__x000a_EMULATION HP III=!R! SEM 6; EXIT;_x000d__x000a__x000d__x000a_[epilog 5 2" xfId="40" xr:uid="{00000000-0005-0000-0000-00001F000000}"/>
    <cellStyle name=" labels]_x000d__x000a_total=1_x000d__x000a_1=EMULATION HP III_x000d__x000a__x000d__x000a_[prolog strings]_x000d__x000a_EMULATION HP III=!R! SEM 6; EXIT;_x000d__x000a__x000d__x000a_[epilog_Sheet1" xfId="41" xr:uid="{00000000-0005-0000-0000-000020000000}"/>
    <cellStyle name="_x000b_" xfId="42" xr:uid="{00000000-0005-0000-0000-000021000000}"/>
    <cellStyle name=" " xfId="43" xr:uid="{00000000-0005-0000-0000-000022000000}"/>
    <cellStyle name="&quot;X&quot; Men" xfId="44" xr:uid="{00000000-0005-0000-0000-000023000000}"/>
    <cellStyle name="# ##0.00\" xfId="45" xr:uid="{00000000-0005-0000-0000-000024000000}"/>
    <cellStyle name="#,##0" xfId="46" xr:uid="{00000000-0005-0000-0000-000025000000}"/>
    <cellStyle name="$.0" xfId="47" xr:uid="{00000000-0005-0000-0000-000026000000}"/>
    <cellStyle name="%" xfId="48" xr:uid="{00000000-0005-0000-0000-000027000000}"/>
    <cellStyle name="% 10" xfId="49" xr:uid="{00000000-0005-0000-0000-000028000000}"/>
    <cellStyle name="% 2" xfId="50" xr:uid="{00000000-0005-0000-0000-000029000000}"/>
    <cellStyle name="% 2 2" xfId="51" xr:uid="{00000000-0005-0000-0000-00002A000000}"/>
    <cellStyle name="% 2 2 2" xfId="52" xr:uid="{00000000-0005-0000-0000-00002B000000}"/>
    <cellStyle name="% 2 3" xfId="53" xr:uid="{00000000-0005-0000-0000-00002C000000}"/>
    <cellStyle name="% 3" xfId="54" xr:uid="{00000000-0005-0000-0000-00002D000000}"/>
    <cellStyle name="% 3 2" xfId="55" xr:uid="{00000000-0005-0000-0000-00002E000000}"/>
    <cellStyle name="% 3 2 2" xfId="56" xr:uid="{00000000-0005-0000-0000-00002F000000}"/>
    <cellStyle name="% 3 3" xfId="57" xr:uid="{00000000-0005-0000-0000-000030000000}"/>
    <cellStyle name="% 4" xfId="58" xr:uid="{00000000-0005-0000-0000-000031000000}"/>
    <cellStyle name="% 4 2" xfId="59" xr:uid="{00000000-0005-0000-0000-000032000000}"/>
    <cellStyle name="% 5" xfId="60" xr:uid="{00000000-0005-0000-0000-000033000000}"/>
    <cellStyle name="% Presentation" xfId="61" xr:uid="{00000000-0005-0000-0000-000034000000}"/>
    <cellStyle name="% Presentation 2" xfId="62" xr:uid="{00000000-0005-0000-0000-000035000000}"/>
    <cellStyle name="% Presentation 2 2" xfId="63" xr:uid="{00000000-0005-0000-0000-000036000000}"/>
    <cellStyle name="% Presentation 3" xfId="64" xr:uid="{00000000-0005-0000-0000-000037000000}"/>
    <cellStyle name="%_2012BU_CAPEX_Template v3" xfId="65" xr:uid="{00000000-0005-0000-0000-000038000000}"/>
    <cellStyle name="%_2012BU_CAPEX_Template v3_ProjectList" xfId="66" xr:uid="{00000000-0005-0000-0000-000039000000}"/>
    <cellStyle name="%_2012BU_CAPEX_Template v3_Sheet1" xfId="67" xr:uid="{00000000-0005-0000-0000-00003A000000}"/>
    <cellStyle name="%_2012BU_CAPEX_Template v3_Sheet1_ProjectList" xfId="68" xr:uid="{00000000-0005-0000-0000-00003B000000}"/>
    <cellStyle name="%_2012BU_CAPEX_Template v3_SustainingProjectList" xfId="69" xr:uid="{00000000-0005-0000-0000-00003C000000}"/>
    <cellStyle name="%_AC" xfId="70" xr:uid="{00000000-0005-0000-0000-00003D000000}"/>
    <cellStyle name="%_Acum" xfId="71" xr:uid="{00000000-0005-0000-0000-00003E000000}"/>
    <cellStyle name="%_Análisis Pauta Resina 3YP V2" xfId="72" xr:uid="{00000000-0005-0000-0000-00003F000000}"/>
    <cellStyle name="%_BU 2012 - VIC Templates" xfId="73" xr:uid="{00000000-0005-0000-0000-000040000000}"/>
    <cellStyle name="%_BU 2012 - VIC Templates_Diesel info UA" xfId="74" xr:uid="{00000000-0005-0000-0000-000041000000}"/>
    <cellStyle name="%_BU12_consolidator dom" xfId="75" xr:uid="{00000000-0005-0000-0000-000042000000}"/>
    <cellStyle name="%_Capex 2011" xfId="76" xr:uid="{00000000-0005-0000-0000-000043000000}"/>
    <cellStyle name="%_CAPEX LAS Summary B11 FINAL_v2 (TC 4,17)" xfId="77" xr:uid="{00000000-0005-0000-0000-000044000000}"/>
    <cellStyle name="%_Capex RU_UA_Zn_27 09" xfId="78" xr:uid="{00000000-0005-0000-0000-000045000000}"/>
    <cellStyle name="%_Comm RU" xfId="79" xr:uid="{00000000-0005-0000-0000-000046000000}"/>
    <cellStyle name="%_Comm RU_Diesel info UA" xfId="80" xr:uid="{00000000-0005-0000-0000-000047000000}"/>
    <cellStyle name="%_Comm UA" xfId="81" xr:uid="{00000000-0005-0000-0000-000048000000}"/>
    <cellStyle name="%_Comm UA_Diesel info UA" xfId="82" xr:uid="{00000000-0005-0000-0000-000049000000}"/>
    <cellStyle name="%_Data" xfId="83" xr:uid="{00000000-0005-0000-0000-00004A000000}"/>
    <cellStyle name="%_Familia" xfId="84" xr:uid="{00000000-0005-0000-0000-00004B000000}"/>
    <cellStyle name="%_Financial Analysis Base" xfId="85" xr:uid="{00000000-0005-0000-0000-00004C000000}"/>
    <cellStyle name="%_GHQ ZBB April 2011 v0.3" xfId="86" xr:uid="{00000000-0005-0000-0000-00004D000000}"/>
    <cellStyle name="%_GHQ ZBB March 2011 v0.2" xfId="87" xr:uid="{00000000-0005-0000-0000-00004E000000}"/>
    <cellStyle name="%_Global - ZBB Entity Target monitoring - YTD February" xfId="88" xr:uid="{00000000-0005-0000-0000-00004F000000}"/>
    <cellStyle name="%_Global Supply Template_BU2011_Industrial_Final Revised 10-04-10" xfId="89" xr:uid="{00000000-0005-0000-0000-000050000000}"/>
    <cellStyle name="%_Global Supply Template_BU2012_Industrial_v2 AG" xfId="90" xr:uid="{00000000-0005-0000-0000-000051000000}"/>
    <cellStyle name="%_Global Supply Template_BU2012_Industrial_v2 AG 2" xfId="91" xr:uid="{00000000-0005-0000-0000-000052000000}"/>
    <cellStyle name="%_Global Supply Template_BU2012_Industrial_v2 AG_Diesel info UA" xfId="92" xr:uid="{00000000-0005-0000-0000-000053000000}"/>
    <cellStyle name="%_Metrics" xfId="93" xr:uid="{00000000-0005-0000-0000-000054000000}"/>
    <cellStyle name="%_P&amp;L" xfId="94" xr:uid="{00000000-0005-0000-0000-000055000000}"/>
    <cellStyle name="%_Parameters" xfId="95" xr:uid="{00000000-0005-0000-0000-000056000000}"/>
    <cellStyle name="%_ProjectList" xfId="96" xr:uid="{00000000-0005-0000-0000-000057000000}"/>
    <cellStyle name="%_SCFD" xfId="97" xr:uid="{00000000-0005-0000-0000-000058000000}"/>
    <cellStyle name="%_Sheet1" xfId="98" xr:uid="{00000000-0005-0000-0000-000059000000}"/>
    <cellStyle name="%_Sheet1_Diesel info UA" xfId="99" xr:uid="{00000000-0005-0000-0000-00005A000000}"/>
    <cellStyle name="%_Sheet1_ProjectList" xfId="100" xr:uid="{00000000-0005-0000-0000-00005B000000}"/>
    <cellStyle name="%_Sm Proj Cash Flow" xfId="101" xr:uid="{00000000-0005-0000-0000-00005C000000}"/>
    <cellStyle name="%_Spend Detail" xfId="102" xr:uid="{00000000-0005-0000-0000-00005D000000}"/>
    <cellStyle name="%_Summary of descisions (420 M4)" xfId="103" xr:uid="{00000000-0005-0000-0000-00005E000000}"/>
    <cellStyle name="%_SustainingProjectList" xfId="104" xr:uid="{00000000-0005-0000-0000-00005F000000}"/>
    <cellStyle name="%_SustainingProjectList_1" xfId="105" xr:uid="{00000000-0005-0000-0000-000060000000}"/>
    <cellStyle name="%1" xfId="106" xr:uid="{00000000-0005-0000-0000-000061000000}"/>
    <cellStyle name="******************************************" xfId="107" xr:uid="{00000000-0005-0000-0000-000062000000}"/>
    <cellStyle name="****************************************** 2" xfId="108" xr:uid="{00000000-0005-0000-0000-000063000000}"/>
    <cellStyle name="****************************************** 2 2" xfId="109" xr:uid="{00000000-0005-0000-0000-000064000000}"/>
    <cellStyle name="****************************************** 3" xfId="110" xr:uid="{00000000-0005-0000-0000-000065000000}"/>
    <cellStyle name=";;;" xfId="111" xr:uid="{00000000-0005-0000-0000-000066000000}"/>
    <cellStyle name=";;; 2" xfId="112" xr:uid="{00000000-0005-0000-0000-000067000000}"/>
    <cellStyle name=";;; 2 2" xfId="113" xr:uid="{00000000-0005-0000-0000-000068000000}"/>
    <cellStyle name=";;; 3" xfId="114" xr:uid="{00000000-0005-0000-0000-000069000000}"/>
    <cellStyle name=";;; 3 2" xfId="115" xr:uid="{00000000-0005-0000-0000-00006A000000}"/>
    <cellStyle name=";;; 3 3" xfId="116" xr:uid="{00000000-0005-0000-0000-00006B000000}"/>
    <cellStyle name=";;; 3 3 2" xfId="117" xr:uid="{00000000-0005-0000-0000-00006C000000}"/>
    <cellStyle name=";;; 4" xfId="118" xr:uid="{00000000-0005-0000-0000-00006D000000}"/>
    <cellStyle name=";;; 4 2" xfId="119" xr:uid="{00000000-0005-0000-0000-00006E000000}"/>
    <cellStyle name="??" xfId="120" xr:uid="{00000000-0005-0000-0000-00006F000000}"/>
    <cellStyle name="?? ?? ?????_????0108" xfId="121" xr:uid="{00000000-0005-0000-0000-000070000000}"/>
    <cellStyle name="?? [0]_'00 ????" xfId="122" xr:uid="{00000000-0005-0000-0000-000071000000}"/>
    <cellStyle name="?? 2" xfId="123" xr:uid="{00000000-0005-0000-0000-000072000000}"/>
    <cellStyle name="?? 2 2" xfId="124" xr:uid="{00000000-0005-0000-0000-000073000000}"/>
    <cellStyle name="?? 3" xfId="125" xr:uid="{00000000-0005-0000-0000-000074000000}"/>
    <cellStyle name="?? 3 2" xfId="126" xr:uid="{00000000-0005-0000-0000-000075000000}"/>
    <cellStyle name="?? 4" xfId="127" xr:uid="{00000000-0005-0000-0000-000076000000}"/>
    <cellStyle name="?? 5" xfId="128" xr:uid="{00000000-0005-0000-0000-000077000000}"/>
    <cellStyle name="?_x001d_?&amp;???G_x0008_€ X_x000a__x0007__x0001__x0001_" xfId="129" xr:uid="{00000000-0005-0000-0000-000078000000}"/>
    <cellStyle name="??&amp;O?&amp;H" xfId="130" xr:uid="{00000000-0005-0000-0000-000079000000}"/>
    <cellStyle name="??&amp;O?&amp;H 2" xfId="131" xr:uid="{00000000-0005-0000-0000-00007A000000}"/>
    <cellStyle name="??&amp;O?&amp;H 2 2" xfId="132" xr:uid="{00000000-0005-0000-0000-00007B000000}"/>
    <cellStyle name="??&amp;O?&amp;H 3" xfId="133" xr:uid="{00000000-0005-0000-0000-00007C000000}"/>
    <cellStyle name="??&amp;O?&amp;H?_x0008_??_x0007__x0001__x0001_" xfId="134" xr:uid="{00000000-0005-0000-0000-00007D000000}"/>
    <cellStyle name="??&amp;O?&amp;H?_x0008_??_x0007__x0001__x0001_ 2" xfId="135" xr:uid="{00000000-0005-0000-0000-00007E000000}"/>
    <cellStyle name="??&amp;O?&amp;H?_x0008_??_x0007__x0001__x0001_ 2 2" xfId="136" xr:uid="{00000000-0005-0000-0000-00007F000000}"/>
    <cellStyle name="??&amp;O?&amp;H?_x0008_??_x0007__x0001__x0001_ 2 2 2" xfId="137" xr:uid="{00000000-0005-0000-0000-000080000000}"/>
    <cellStyle name="??&amp;O?&amp;H?_x0008_??_x0007__x0001__x0001_ 2 3" xfId="138" xr:uid="{00000000-0005-0000-0000-000081000000}"/>
    <cellStyle name="??&amp;O?&amp;H?_x0008_??_x0007__x0001__x0001_ 3" xfId="139" xr:uid="{00000000-0005-0000-0000-000082000000}"/>
    <cellStyle name="??&amp;O?&amp;H?_x0008_??_x0007__x0001__x0001_ 3 2" xfId="140" xr:uid="{00000000-0005-0000-0000-000083000000}"/>
    <cellStyle name="??&amp;O?&amp;H?_x0008_??_x0007__x0001__x0001_ 4" xfId="141" xr:uid="{00000000-0005-0000-0000-000084000000}"/>
    <cellStyle name="???? ??" xfId="142" xr:uid="{00000000-0005-0000-0000-000085000000}"/>
    <cellStyle name="???? ?? 2" xfId="143" xr:uid="{00000000-0005-0000-0000-000086000000}"/>
    <cellStyle name="???? ?? 2 2" xfId="144" xr:uid="{00000000-0005-0000-0000-000087000000}"/>
    <cellStyle name="???? ?? 3" xfId="145" xr:uid="{00000000-0005-0000-0000-000088000000}"/>
    <cellStyle name="???? [0.00]_2004 Sales Report JUN - Portfolio CHG" xfId="146" xr:uid="{00000000-0005-0000-0000-000089000000}"/>
    <cellStyle name="???????? [0]_09-2000" xfId="147" xr:uid="{00000000-0005-0000-0000-00008A000000}"/>
    <cellStyle name="?????????? [0]_09-2000" xfId="148" xr:uid="{00000000-0005-0000-0000-00008B000000}"/>
    <cellStyle name="???????????" xfId="149" xr:uid="{00000000-0005-0000-0000-00008C000000}"/>
    <cellStyle name="????????????? ???????????" xfId="150" xr:uid="{00000000-0005-0000-0000-00008D000000}"/>
    <cellStyle name="??????????_09-2000" xfId="151" xr:uid="{00000000-0005-0000-0000-00008E000000}"/>
    <cellStyle name="????????_09-2000" xfId="152" xr:uid="{00000000-0005-0000-0000-00008F000000}"/>
    <cellStyle name="???????_????1" xfId="153" xr:uid="{00000000-0005-0000-0000-000090000000}"/>
    <cellStyle name="?????_VERA" xfId="154" xr:uid="{00000000-0005-0000-0000-000091000000}"/>
    <cellStyle name="????_2002(2+10)F_Prelim" xfId="155" xr:uid="{00000000-0005-0000-0000-000092000000}"/>
    <cellStyle name="??_~0532451" xfId="156" xr:uid="{00000000-0005-0000-0000-000093000000}"/>
    <cellStyle name="?árky_List1" xfId="157" xr:uid="{00000000-0005-0000-0000-000094000000}"/>
    <cellStyle name="@_text" xfId="158" xr:uid="{00000000-0005-0000-0000-000095000000}"/>
    <cellStyle name="[dd-mmm]" xfId="159" xr:uid="{00000000-0005-0000-0000-000096000000}"/>
    <cellStyle name="[dd-mmm] 2" xfId="160" xr:uid="{00000000-0005-0000-0000-000097000000}"/>
    <cellStyle name="[dd-mmm] 2 2" xfId="161" xr:uid="{00000000-0005-0000-0000-000098000000}"/>
    <cellStyle name="[dd-mmm] 2 3" xfId="162" xr:uid="{00000000-0005-0000-0000-000099000000}"/>
    <cellStyle name="[dd-mmm] 2 3 2" xfId="163" xr:uid="{00000000-0005-0000-0000-00009A000000}"/>
    <cellStyle name="[dd-mmm] 3" xfId="164" xr:uid="{00000000-0005-0000-0000-00009B000000}"/>
    <cellStyle name="[dd-mmm] 4" xfId="165" xr:uid="{00000000-0005-0000-0000-00009C000000}"/>
    <cellStyle name="[dd-mmm] 4 2" xfId="166" xr:uid="{00000000-0005-0000-0000-00009D000000}"/>
    <cellStyle name="[d-mmm-yy]" xfId="167" xr:uid="{00000000-0005-0000-0000-00009E000000}"/>
    <cellStyle name="[yyyy]" xfId="168" xr:uid="{00000000-0005-0000-0000-00009F000000}"/>
    <cellStyle name="[yyyy] 2" xfId="169" xr:uid="{00000000-0005-0000-0000-0000A0000000}"/>
    <cellStyle name="[yyyy] 2 2" xfId="170" xr:uid="{00000000-0005-0000-0000-0000A1000000}"/>
    <cellStyle name="[yyyy] 2 3" xfId="171" xr:uid="{00000000-0005-0000-0000-0000A2000000}"/>
    <cellStyle name="[yyyy] 2 3 2" xfId="172" xr:uid="{00000000-0005-0000-0000-0000A3000000}"/>
    <cellStyle name="[yyyy] 3" xfId="173" xr:uid="{00000000-0005-0000-0000-0000A4000000}"/>
    <cellStyle name="[yyyy] 4" xfId="174" xr:uid="{00000000-0005-0000-0000-0000A5000000}"/>
    <cellStyle name="[yyyy] 4 2" xfId="175" xr:uid="{00000000-0005-0000-0000-0000A6000000}"/>
    <cellStyle name="^February 1992" xfId="176" xr:uid="{00000000-0005-0000-0000-0000A7000000}"/>
    <cellStyle name="_# Expenses - UK" xfId="177" xr:uid="{00000000-0005-0000-0000-0000A8000000}"/>
    <cellStyle name="_#alloclev#" xfId="178" xr:uid="{00000000-0005-0000-0000-0000A9000000}"/>
    <cellStyle name="_#alloclev#_1" xfId="179" xr:uid="{00000000-0005-0000-0000-0000AA000000}"/>
    <cellStyle name="_#cc not mapped to function - UK" xfId="180" xr:uid="{00000000-0005-0000-0000-0000AB000000}"/>
    <cellStyle name="_#GRS BoY" xfId="181" xr:uid="{00000000-0005-0000-0000-0000AC000000}"/>
    <cellStyle name="_#GRS dl#" xfId="182" xr:uid="{00000000-0005-0000-0000-0000AD000000}"/>
    <cellStyle name="_#RET# ACTUALS" xfId="183" xr:uid="{00000000-0005-0000-0000-0000AE000000}"/>
    <cellStyle name="_#ret# cclev ireland" xfId="184" xr:uid="{00000000-0005-0000-0000-0000AF000000}"/>
    <cellStyle name="_#ret# cclev uk" xfId="185" xr:uid="{00000000-0005-0000-0000-0000B0000000}"/>
    <cellStyle name="_#ret# GDS Actual" xfId="186" xr:uid="{00000000-0005-0000-0000-0000B1000000}"/>
    <cellStyle name="_#ret# GDS FC" xfId="187" xr:uid="{00000000-0005-0000-0000-0000B2000000}"/>
    <cellStyle name="_#ret# LY" xfId="188" xr:uid="{00000000-0005-0000-0000-0000B3000000}"/>
    <cellStyle name="_#SMR - UK" xfId="189" xr:uid="{00000000-0005-0000-0000-0000B4000000}"/>
    <cellStyle name="_????1" xfId="190" xr:uid="{00000000-0005-0000-0000-0000B5000000}"/>
    <cellStyle name="__3YPlan WEZ One-Page 1 1" xfId="191" xr:uid="{00000000-0005-0000-0000-0000B6000000}"/>
    <cellStyle name="__3YPlan WEZ One-Page 1 1 2" xfId="192" xr:uid="{00000000-0005-0000-0000-0000B7000000}"/>
    <cellStyle name="__3YPlan WEZ One-Page 1 1 2 2" xfId="193" xr:uid="{00000000-0005-0000-0000-0000B8000000}"/>
    <cellStyle name="__3YPlan WEZ One-Page 1 1 3" xfId="194" xr:uid="{00000000-0005-0000-0000-0000B9000000}"/>
    <cellStyle name="__3YPlan WEZ One-Page 1 1_Financial Analysis Base" xfId="195" xr:uid="{00000000-0005-0000-0000-0000BA000000}"/>
    <cellStyle name="__3YPlan WEZ One-Page 1 1_Parameters" xfId="196" xr:uid="{00000000-0005-0000-0000-0000BB000000}"/>
    <cellStyle name="__3YPlan WEZ One-Page 1 1_Sm Proj Cash Flow" xfId="197" xr:uid="{00000000-0005-0000-0000-0000BC000000}"/>
    <cellStyle name="__3YPlan WEZ One-Page 1 1_Spend Detail" xfId="198" xr:uid="{00000000-0005-0000-0000-0000BD000000}"/>
    <cellStyle name="__3YPlan WEZ One-Page 1 1_ZBB Budget 2009 Decks v2 china" xfId="199" xr:uid="{00000000-0005-0000-0000-0000BE000000}"/>
    <cellStyle name="__3YPlan WEZ One-Page 1 1_ZBB Budget 2009 Decks v2 china 2" xfId="200" xr:uid="{00000000-0005-0000-0000-0000BF000000}"/>
    <cellStyle name="__3YPlan WEZ One-Page 1 1_ZBB Budget 2009 Decks v2 china 2 2" xfId="201" xr:uid="{00000000-0005-0000-0000-0000C0000000}"/>
    <cellStyle name="__3YPlan WEZ One-Page 1 1_ZBB Budget 2009 Decks v2 china 2 2 2" xfId="202" xr:uid="{00000000-0005-0000-0000-0000C1000000}"/>
    <cellStyle name="__3YPlan WEZ One-Page 1 1_ZBB Budget 2009 Decks v2 china 2 3" xfId="203" xr:uid="{00000000-0005-0000-0000-0000C2000000}"/>
    <cellStyle name="__3YPlan WEZ One-Page 1 1_ZBB Budget 2009 Decks v2 china 3" xfId="204" xr:uid="{00000000-0005-0000-0000-0000C3000000}"/>
    <cellStyle name="__3YPlan WEZ One-Page 1 1_ZBB Budget 2009 Decks v2 china 3 2" xfId="205" xr:uid="{00000000-0005-0000-0000-0000C4000000}"/>
    <cellStyle name="__3YPlan WEZ One-Page 1 1_ZBB Budget 2009 Decks v2 china 4" xfId="206" xr:uid="{00000000-0005-0000-0000-0000C5000000}"/>
    <cellStyle name="__3YPlan WEZ One-Page 1 1_ZBB standard Template Korea_081105" xfId="207" xr:uid="{00000000-0005-0000-0000-0000C6000000}"/>
    <cellStyle name="__3YPlan WEZ One-Page 1 1_ZBB standard Template Korea_081105 2" xfId="208" xr:uid="{00000000-0005-0000-0000-0000C7000000}"/>
    <cellStyle name="__3YPlan WEZ One-Page 1 1_ZBB standard Template Korea_081105 2 2" xfId="209" xr:uid="{00000000-0005-0000-0000-0000C8000000}"/>
    <cellStyle name="__3YPlan WEZ One-Page 1 1_ZBB standard Template Korea_081105 2 2 2" xfId="210" xr:uid="{00000000-0005-0000-0000-0000C9000000}"/>
    <cellStyle name="__3YPlan WEZ One-Page 1 1_ZBB standard Template Korea_081105 2 3" xfId="211" xr:uid="{00000000-0005-0000-0000-0000CA000000}"/>
    <cellStyle name="__3YPlan WEZ One-Page 1 1_ZBB standard Template Korea_081105 3" xfId="212" xr:uid="{00000000-0005-0000-0000-0000CB000000}"/>
    <cellStyle name="__3YPlan WEZ One-Page 1 1_ZBB standard Template Korea_081105 3 2" xfId="213" xr:uid="{00000000-0005-0000-0000-0000CC000000}"/>
    <cellStyle name="__3YPlan WEZ One-Page 1 1_ZBB standard Template Korea_081105 4" xfId="214" xr:uid="{00000000-0005-0000-0000-0000CD000000}"/>
    <cellStyle name="__3YPlan WEZ One-Page 1 2" xfId="215" xr:uid="{00000000-0005-0000-0000-0000CE000000}"/>
    <cellStyle name="__3YPlan WEZ One-Page 1 2 2" xfId="216" xr:uid="{00000000-0005-0000-0000-0000CF000000}"/>
    <cellStyle name="__3YPlan WEZ One-Page 1 2 2 2" xfId="217" xr:uid="{00000000-0005-0000-0000-0000D0000000}"/>
    <cellStyle name="__3YPlan WEZ One-Page 1 2 3" xfId="218" xr:uid="{00000000-0005-0000-0000-0000D1000000}"/>
    <cellStyle name="__3YPlan WEZ One-Page 1 2_Financial Analysis Base" xfId="219" xr:uid="{00000000-0005-0000-0000-0000D2000000}"/>
    <cellStyle name="__3YPlan WEZ One-Page 1 2_Parameters" xfId="220" xr:uid="{00000000-0005-0000-0000-0000D3000000}"/>
    <cellStyle name="__3YPlan WEZ One-Page 1 2_Sm Proj Cash Flow" xfId="221" xr:uid="{00000000-0005-0000-0000-0000D4000000}"/>
    <cellStyle name="__3YPlan WEZ One-Page 1 2_Spend Detail" xfId="222" xr:uid="{00000000-0005-0000-0000-0000D5000000}"/>
    <cellStyle name="__3YPlan WEZ One-Page 1 2_ZBB Budget 2009 Decks v2 china" xfId="223" xr:uid="{00000000-0005-0000-0000-0000D6000000}"/>
    <cellStyle name="__3YPlan WEZ One-Page 1 2_ZBB Budget 2009 Decks v2 china 2" xfId="224" xr:uid="{00000000-0005-0000-0000-0000D7000000}"/>
    <cellStyle name="__3YPlan WEZ One-Page 1 2_ZBB Budget 2009 Decks v2 china 2 2" xfId="225" xr:uid="{00000000-0005-0000-0000-0000D8000000}"/>
    <cellStyle name="__3YPlan WEZ One-Page 1 2_ZBB Budget 2009 Decks v2 china 2 2 2" xfId="226" xr:uid="{00000000-0005-0000-0000-0000D9000000}"/>
    <cellStyle name="__3YPlan WEZ One-Page 1 2_ZBB Budget 2009 Decks v2 china 2 3" xfId="227" xr:uid="{00000000-0005-0000-0000-0000DA000000}"/>
    <cellStyle name="__3YPlan WEZ One-Page 1 2_ZBB Budget 2009 Decks v2 china 3" xfId="228" xr:uid="{00000000-0005-0000-0000-0000DB000000}"/>
    <cellStyle name="__3YPlan WEZ One-Page 1 2_ZBB Budget 2009 Decks v2 china 3 2" xfId="229" xr:uid="{00000000-0005-0000-0000-0000DC000000}"/>
    <cellStyle name="__3YPlan WEZ One-Page 1 2_ZBB Budget 2009 Decks v2 china 4" xfId="230" xr:uid="{00000000-0005-0000-0000-0000DD000000}"/>
    <cellStyle name="__3YPlan WEZ One-Page 1 2_ZBB standard Template Korea_081105" xfId="231" xr:uid="{00000000-0005-0000-0000-0000DE000000}"/>
    <cellStyle name="__3YPlan WEZ One-Page 1 2_ZBB standard Template Korea_081105 2" xfId="232" xr:uid="{00000000-0005-0000-0000-0000DF000000}"/>
    <cellStyle name="__3YPlan WEZ One-Page 1 2_ZBB standard Template Korea_081105 2 2" xfId="233" xr:uid="{00000000-0005-0000-0000-0000E0000000}"/>
    <cellStyle name="__3YPlan WEZ One-Page 1 2_ZBB standard Template Korea_081105 2 2 2" xfId="234" xr:uid="{00000000-0005-0000-0000-0000E1000000}"/>
    <cellStyle name="__3YPlan WEZ One-Page 1 2_ZBB standard Template Korea_081105 2 3" xfId="235" xr:uid="{00000000-0005-0000-0000-0000E2000000}"/>
    <cellStyle name="__3YPlan WEZ One-Page 1 2_ZBB standard Template Korea_081105 3" xfId="236" xr:uid="{00000000-0005-0000-0000-0000E3000000}"/>
    <cellStyle name="__3YPlan WEZ One-Page 1 2_ZBB standard Template Korea_081105 3 2" xfId="237" xr:uid="{00000000-0005-0000-0000-0000E4000000}"/>
    <cellStyle name="__3YPlan WEZ One-Page 1 2_ZBB standard Template Korea_081105 4" xfId="238" xr:uid="{00000000-0005-0000-0000-0000E5000000}"/>
    <cellStyle name="_~0017721" xfId="239" xr:uid="{00000000-0005-0000-0000-0000E6000000}"/>
    <cellStyle name="_~0017721_Global Group" xfId="240" xr:uid="{00000000-0005-0000-0000-0000E7000000}"/>
    <cellStyle name="_~0229549" xfId="241" xr:uid="{00000000-0005-0000-0000-0000E8000000}"/>
    <cellStyle name="_~0406571" xfId="242" xr:uid="{00000000-0005-0000-0000-0000E9000000}"/>
    <cellStyle name="_~0406571_Global Group" xfId="243" xr:uid="{00000000-0005-0000-0000-0000EA000000}"/>
    <cellStyle name="_~0435513" xfId="244" xr:uid="{00000000-0005-0000-0000-0000EB000000}"/>
    <cellStyle name="_~0605611" xfId="245" xr:uid="{00000000-0005-0000-0000-0000EC000000}"/>
    <cellStyle name="_~0649335" xfId="246" xr:uid="{00000000-0005-0000-0000-0000ED000000}"/>
    <cellStyle name="_~1015788" xfId="247" xr:uid="{00000000-0005-0000-0000-0000EE000000}"/>
    <cellStyle name="_~1330352" xfId="248" xr:uid="{00000000-0005-0000-0000-0000EF000000}"/>
    <cellStyle name="_~1381388" xfId="249" xr:uid="{00000000-0005-0000-0000-0000F0000000}"/>
    <cellStyle name="_~1388453" xfId="250" xr:uid="{00000000-0005-0000-0000-0000F1000000}"/>
    <cellStyle name="_~1448048" xfId="251" xr:uid="{00000000-0005-0000-0000-0000F2000000}"/>
    <cellStyle name="_~1524327" xfId="252" xr:uid="{00000000-0005-0000-0000-0000F3000000}"/>
    <cellStyle name="_~1733286" xfId="253" xr:uid="{00000000-0005-0000-0000-0000F4000000}"/>
    <cellStyle name="_~1755129" xfId="254" xr:uid="{00000000-0005-0000-0000-0000F5000000}"/>
    <cellStyle name="_~1880714" xfId="255" xr:uid="{00000000-0005-0000-0000-0000F6000000}"/>
    <cellStyle name="_~2181823" xfId="256" xr:uid="{00000000-0005-0000-0000-0000F7000000}"/>
    <cellStyle name="_~2257740" xfId="257" xr:uid="{00000000-0005-0000-0000-0000F8000000}"/>
    <cellStyle name="_~2257740_Global Group" xfId="258" xr:uid="{00000000-0005-0000-0000-0000F9000000}"/>
    <cellStyle name="_~2331175" xfId="259" xr:uid="{00000000-0005-0000-0000-0000FA000000}"/>
    <cellStyle name="_~2331175_~4018989" xfId="260" xr:uid="{00000000-0005-0000-0000-0000FB000000}"/>
    <cellStyle name="_~2331175_August 2006 MM Finance Review per Jeanne 09_19_06 v4_portions" xfId="261" xr:uid="{00000000-0005-0000-0000-0000FC000000}"/>
    <cellStyle name="_~2331175_December Results v-1" xfId="262" xr:uid="{00000000-0005-0000-0000-0000FD000000}"/>
    <cellStyle name="_~2331175_January 2007 MM Finance Review 02_07_07 v3" xfId="263" xr:uid="{00000000-0005-0000-0000-0000FE000000}"/>
    <cellStyle name="_~2331175_July 2006 MM Finance Review per Jeanne 08_10_06 v1" xfId="264" xr:uid="{00000000-0005-0000-0000-0000FF000000}"/>
    <cellStyle name="_~2331175_October 2006 MM Finance Review 11_13_06 v1" xfId="265" xr:uid="{00000000-0005-0000-0000-000000010000}"/>
    <cellStyle name="_~2331175_September 2006 MM Finance Review 10_13_06 v3" xfId="266" xr:uid="{00000000-0005-0000-0000-000001010000}"/>
    <cellStyle name="_~2331175_September 2006 MM Finance Review per Jeanne 10_13_06 v1" xfId="267" xr:uid="{00000000-0005-0000-0000-000002010000}"/>
    <cellStyle name="_~2488311" xfId="268" xr:uid="{00000000-0005-0000-0000-000003010000}"/>
    <cellStyle name="_~2488311_Global Group" xfId="269" xr:uid="{00000000-0005-0000-0000-000004010000}"/>
    <cellStyle name="_~2621817" xfId="270" xr:uid="{00000000-0005-0000-0000-000005010000}"/>
    <cellStyle name="_~2838964" xfId="271" xr:uid="{00000000-0005-0000-0000-000006010000}"/>
    <cellStyle name="_~2980776" xfId="272" xr:uid="{00000000-0005-0000-0000-000007010000}"/>
    <cellStyle name="_~3306795" xfId="273" xr:uid="{00000000-0005-0000-0000-000008010000}"/>
    <cellStyle name="_~3886548" xfId="274" xr:uid="{00000000-0005-0000-0000-000009010000}"/>
    <cellStyle name="_~4250295" xfId="275" xr:uid="{00000000-0005-0000-0000-00000A010000}"/>
    <cellStyle name="_~4423544" xfId="276" xr:uid="{00000000-0005-0000-0000-00000B010000}"/>
    <cellStyle name="_~4948258" xfId="277" xr:uid="{00000000-0005-0000-0000-00000C010000}"/>
    <cellStyle name="_~4949364" xfId="278" xr:uid="{00000000-0005-0000-0000-00000D010000}"/>
    <cellStyle name="_~5097589" xfId="279" xr:uid="{00000000-0005-0000-0000-00000E010000}"/>
    <cellStyle name="_~5979809" xfId="280" xr:uid="{00000000-0005-0000-0000-00000F010000}"/>
    <cellStyle name="_~6333836" xfId="281" xr:uid="{00000000-0005-0000-0000-000010010000}"/>
    <cellStyle name="_~6412882" xfId="282" xr:uid="{00000000-0005-0000-0000-000011010000}"/>
    <cellStyle name="_~6497722" xfId="283" xr:uid="{00000000-0005-0000-0000-000012010000}"/>
    <cellStyle name="_~6667202" xfId="284" xr:uid="{00000000-0005-0000-0000-000013010000}"/>
    <cellStyle name="_~6667202_Global Group" xfId="285" xr:uid="{00000000-0005-0000-0000-000014010000}"/>
    <cellStyle name="_~7060048" xfId="286" xr:uid="{00000000-0005-0000-0000-000015010000}"/>
    <cellStyle name="_~7647671" xfId="287" xr:uid="{00000000-0005-0000-0000-000016010000}"/>
    <cellStyle name="_~8319265" xfId="288" xr:uid="{00000000-0005-0000-0000-000017010000}"/>
    <cellStyle name="_~8489866" xfId="289" xr:uid="{00000000-0005-0000-0000-000018010000}"/>
    <cellStyle name="_~8590602" xfId="290" xr:uid="{00000000-0005-0000-0000-000019010000}"/>
    <cellStyle name="_~9323603" xfId="291" xr:uid="{00000000-0005-0000-0000-00001A010000}"/>
    <cellStyle name="_~9951771" xfId="292" xr:uid="{00000000-0005-0000-0000-00001B010000}"/>
    <cellStyle name="_~9953909" xfId="293" xr:uid="{00000000-0005-0000-0000-00001C010000}"/>
    <cellStyle name="_€LE106" xfId="294" xr:uid="{00000000-0005-0000-0000-00001D010000}"/>
    <cellStyle name="_€LE2p&amp;lreport" xfId="295" xr:uid="{00000000-0005-0000-0000-00001E010000}"/>
    <cellStyle name="_€monthlyreportAUG06" xfId="296" xr:uid="{00000000-0005-0000-0000-00001F010000}"/>
    <cellStyle name="_€monthlyreportMARCH06" xfId="297" xr:uid="{00000000-0005-0000-0000-000020010000}"/>
    <cellStyle name="_€pl2007" xfId="298" xr:uid="{00000000-0005-0000-0000-000021010000}"/>
    <cellStyle name="_+12 GTS P&amp;L" xfId="299" xr:uid="{00000000-0005-0000-0000-000022010000}"/>
    <cellStyle name="_+12 GTS P&amp;L_Comms Actuals" xfId="300" xr:uid="{00000000-0005-0000-0000-000023010000}"/>
    <cellStyle name="_+12F P+L" xfId="301" xr:uid="{00000000-0005-0000-0000-000024010000}"/>
    <cellStyle name="_+12F P+L Normilized" xfId="302" xr:uid="{00000000-0005-0000-0000-000025010000}"/>
    <cellStyle name="_+4 P&amp;L FINAL - for distribution" xfId="303" xr:uid="{00000000-0005-0000-0000-000026010000}"/>
    <cellStyle name="_+4 P&amp;L no adj for distribution" xfId="304" xr:uid="{00000000-0005-0000-0000-000027010000}"/>
    <cellStyle name="_+5 deck links" xfId="305" xr:uid="{00000000-0005-0000-0000-000028010000}"/>
    <cellStyle name="_+5 EMEA Call input Trx v F'cast" xfId="306" xr:uid="{00000000-0005-0000-0000-000029010000}"/>
    <cellStyle name="_+5 FINAL for Distribution" xfId="307" xr:uid="{00000000-0005-0000-0000-00002A010000}"/>
    <cellStyle name="_+5 Final P&amp;L" xfId="308" xr:uid="{00000000-0005-0000-0000-00002B010000}"/>
    <cellStyle name="_+5 Final P&amp;L September 2006 for distribution" xfId="309" xr:uid="{00000000-0005-0000-0000-00002C010000}"/>
    <cellStyle name="_+5 Final U.S Business Travel P&amp;L for distribution" xfId="310" xr:uid="{00000000-0005-0000-0000-00002D010000}"/>
    <cellStyle name="_+5 P&amp;L Final - for distribution" xfId="311" xr:uid="{00000000-0005-0000-0000-00002E010000}"/>
    <cellStyle name="_+5 P&amp;L Final for Distribution" xfId="312" xr:uid="{00000000-0005-0000-0000-00002F010000}"/>
    <cellStyle name="_+6 with adj for distribution" xfId="313" xr:uid="{00000000-0005-0000-0000-000030010000}"/>
    <cellStyle name="_0010" xfId="314" xr:uid="{00000000-0005-0000-0000-000031010000}"/>
    <cellStyle name="_0010 2" xfId="315" xr:uid="{00000000-0005-0000-0000-000032010000}"/>
    <cellStyle name="_0010 3" xfId="316" xr:uid="{00000000-0005-0000-0000-000033010000}"/>
    <cellStyle name="_0010 3 2" xfId="317" xr:uid="{00000000-0005-0000-0000-000034010000}"/>
    <cellStyle name="_01.  PDCA Costo Variable" xfId="318" xr:uid="{00000000-0005-0000-0000-000035010000}"/>
    <cellStyle name="_01.  PDCA Costo Variable 2" xfId="319" xr:uid="{00000000-0005-0000-0000-000036010000}"/>
    <cellStyle name="_01.  PDCA Costo Variable 2 2" xfId="320" xr:uid="{00000000-0005-0000-0000-000037010000}"/>
    <cellStyle name="_01.  PDCA Costo Variable 3" xfId="321" xr:uid="{00000000-0005-0000-0000-000038010000}"/>
    <cellStyle name="_05_08 SDG FABRIL SM" xfId="322" xr:uid="{00000000-0005-0000-0000-000039010000}"/>
    <cellStyle name="_05_08 SDG FABRIL SM 2" xfId="323" xr:uid="{00000000-0005-0000-0000-00003A010000}"/>
    <cellStyle name="_05_08 SDG FABRIL SM 2 2" xfId="324" xr:uid="{00000000-0005-0000-0000-00003B010000}"/>
    <cellStyle name="_05_08 SDG FABRIL SM 3" xfId="325" xr:uid="{00000000-0005-0000-0000-00003C010000}"/>
    <cellStyle name="_06 waterfall-US &amp; CA Txns-Dec 15" xfId="326" xr:uid="{00000000-0005-0000-0000-00003D010000}"/>
    <cellStyle name="_06 waterfall-US &amp; CA Txns-Dec 15_~4018989" xfId="327" xr:uid="{00000000-0005-0000-0000-00003E010000}"/>
    <cellStyle name="_06 waterfall-US &amp; CA Txns-Dec 15_August 2006 MM Finance Review per Jeanne 09_19_06 v4_portions" xfId="328" xr:uid="{00000000-0005-0000-0000-00003F010000}"/>
    <cellStyle name="_06 waterfall-US &amp; CA Txns-Dec 15_December Results v-1" xfId="329" xr:uid="{00000000-0005-0000-0000-000040010000}"/>
    <cellStyle name="_06 waterfall-US &amp; CA Txns-Dec 15_January 2007 MM Finance Review 02_07_07 v3" xfId="330" xr:uid="{00000000-0005-0000-0000-000041010000}"/>
    <cellStyle name="_06 waterfall-US &amp; CA Txns-Dec 15_July 2006 MM Finance Review per Jeanne 08_10_06 v1" xfId="331" xr:uid="{00000000-0005-0000-0000-000042010000}"/>
    <cellStyle name="_06 waterfall-US &amp; CA Txns-Dec 15_October 2006 MM Finance Review 11_13_06 v1" xfId="332" xr:uid="{00000000-0005-0000-0000-000043010000}"/>
    <cellStyle name="_06 waterfall-US &amp; CA Txns-Dec 15_September 2006 MM Finance Review 10_13_06 v3" xfId="333" xr:uid="{00000000-0005-0000-0000-000044010000}"/>
    <cellStyle name="_06 waterfall-US &amp; CA Txns-Dec 15_September 2006 MM Finance Review per Jeanne 10_13_06 v1" xfId="334" xr:uid="{00000000-0005-0000-0000-000045010000}"/>
    <cellStyle name="_07 KPIs Tool no links" xfId="335" xr:uid="{00000000-0005-0000-0000-000046010000}"/>
    <cellStyle name="_07 Operations analysis for Andy v4" xfId="336" xr:uid="{00000000-0005-0000-0000-000047010000}"/>
    <cellStyle name="_07PMPOP Commercial Visibility" xfId="337" xr:uid="{00000000-0005-0000-0000-000048010000}"/>
    <cellStyle name="_07PMPOP Decommisioning NA" xfId="338" xr:uid="{00000000-0005-0000-0000-000049010000}"/>
    <cellStyle name="_07PMPOP EBI Canada (Master Data)" xfId="339" xr:uid="{00000000-0005-0000-0000-00004A010000}"/>
    <cellStyle name="_07PMPOP EBI US" xfId="340" xr:uid="{00000000-0005-0000-0000-00004B010000}"/>
    <cellStyle name="_07PMPOP Finance" xfId="341" xr:uid="{00000000-0005-0000-0000-00004C010000}"/>
    <cellStyle name="_07PMPOP People Transformation - NA" xfId="342" xr:uid="{00000000-0005-0000-0000-00004D010000}"/>
    <cellStyle name="_08 Backup" xfId="343" xr:uid="{00000000-0005-0000-0000-00004E010000}"/>
    <cellStyle name="_080918 Target Dashboard - Juan" xfId="344" xr:uid="{00000000-0005-0000-0000-00004F010000}"/>
    <cellStyle name="_080918 Target Dashboard - Juan 2" xfId="345" xr:uid="{00000000-0005-0000-0000-000050010000}"/>
    <cellStyle name="_080918 Target Dashboard - Juan 2 2" xfId="346" xr:uid="{00000000-0005-0000-0000-000051010000}"/>
    <cellStyle name="_080918 Target Dashboard - Juan 3" xfId="347" xr:uid="{00000000-0005-0000-0000-000052010000}"/>
    <cellStyle name="_09 2+10F, 09P, 08A - US &amp; Canada v2_" xfId="348" xr:uid="{00000000-0005-0000-0000-000053010000}"/>
    <cellStyle name="_090204-CPR Template (2)" xfId="349" xr:uid="{00000000-0005-0000-0000-000054010000}"/>
    <cellStyle name="_090204-CPR Template (2) 2" xfId="350" xr:uid="{00000000-0005-0000-0000-000055010000}"/>
    <cellStyle name="_090204-CPR Template (2) 2 2" xfId="351" xr:uid="{00000000-0005-0000-0000-000056010000}"/>
    <cellStyle name="_090204-CPR Template (2) 3" xfId="352" xr:uid="{00000000-0005-0000-0000-000057010000}"/>
    <cellStyle name="_0907 Gabarito Exchange Rate" xfId="353" xr:uid="{00000000-0005-0000-0000-000058010000}"/>
    <cellStyle name="_0907 Gabarito Exchange Rate 2" xfId="354" xr:uid="{00000000-0005-0000-0000-000059010000}"/>
    <cellStyle name="_0907 Gabarito Exchange Rate 2 2" xfId="355" xr:uid="{00000000-0005-0000-0000-00005A010000}"/>
    <cellStyle name="_0907 Gabarito Exchange Rate 3" xfId="356" xr:uid="{00000000-0005-0000-0000-00005B010000}"/>
    <cellStyle name="_0908 Gabarito exchange rate" xfId="357" xr:uid="{00000000-0005-0000-0000-00005C010000}"/>
    <cellStyle name="_0908 Gabarito exchange rate 2" xfId="358" xr:uid="{00000000-0005-0000-0000-00005D010000}"/>
    <cellStyle name="_0908 Gabarito exchange rate 2 2" xfId="359" xr:uid="{00000000-0005-0000-0000-00005E010000}"/>
    <cellStyle name="_0908 Gabarito exchange rate 3" xfId="360" xr:uid="{00000000-0005-0000-0000-00005F010000}"/>
    <cellStyle name="_09Plan-SDNTotal-ForNYCSubmission(v6)" xfId="361" xr:uid="{00000000-0005-0000-0000-000060010000}"/>
    <cellStyle name="_09Plan-SDNTotal-ForNYCSubmission(v6)_Global Group" xfId="362" xr:uid="{00000000-0005-0000-0000-000061010000}"/>
    <cellStyle name="_1_INPUT_TP_No Tank Resales" xfId="363" xr:uid="{00000000-0005-0000-0000-000062010000}"/>
    <cellStyle name="_1+11 F - Stickiness Report EMEA" xfId="364" xr:uid="{00000000-0005-0000-0000-000063010000}"/>
    <cellStyle name="_10 CT EXP by function $ - October v2" xfId="365" xr:uid="{00000000-0005-0000-0000-000064010000}"/>
    <cellStyle name="_1106 2006 &amp; 2007 Re-eng summary" xfId="366" xr:uid="{00000000-0005-0000-0000-000065010000}"/>
    <cellStyle name="_1208 CPS WD+5" xfId="367" xr:uid="{00000000-0005-0000-0000-000066010000}"/>
    <cellStyle name="_123" xfId="368" xr:uid="{00000000-0005-0000-0000-000067010000}"/>
    <cellStyle name="_1st Tier" xfId="369" xr:uid="{00000000-0005-0000-0000-000068010000}"/>
    <cellStyle name="_1st Tier 2" xfId="370" xr:uid="{00000000-0005-0000-0000-000069010000}"/>
    <cellStyle name="_2.7.06 Pulls" xfId="371" xr:uid="{00000000-0005-0000-0000-00006A010000}"/>
    <cellStyle name="_2+10 CV Build_updated per Gary" xfId="372" xr:uid="{00000000-0005-0000-0000-00006B010000}"/>
    <cellStyle name="_2+10 Fcst Harbor 3-19 update V16" xfId="373" xr:uid="{00000000-0005-0000-0000-00006C010000}"/>
    <cellStyle name="_2+10 Regional Air Transactoins" xfId="374" xr:uid="{00000000-0005-0000-0000-00006D010000}"/>
    <cellStyle name="_2+10 Revenue forecast v8" xfId="375" xr:uid="{00000000-0005-0000-0000-00006E010000}"/>
    <cellStyle name="_2+10 vs Restated Plan USCC-GCG Splits" xfId="376" xr:uid="{00000000-0005-0000-0000-00006F010000}"/>
    <cellStyle name="_2+10F Overlay 04-20" xfId="377" xr:uid="{00000000-0005-0000-0000-000070010000}"/>
    <cellStyle name="_2+10FY" xfId="378" xr:uid="{00000000-0005-0000-0000-000071010000}"/>
    <cellStyle name="_2003-2008 total sales-China RMB" xfId="379" xr:uid="{00000000-0005-0000-0000-000072010000}"/>
    <cellStyle name="_2003-2008 total sales-China RMB_Communications Forecast" xfId="380" xr:uid="{00000000-0005-0000-0000-000073010000}"/>
    <cellStyle name="_2003-2008 total sales-China RMB_Marketing and communications July" xfId="381" xr:uid="{00000000-0005-0000-0000-000074010000}"/>
    <cellStyle name="_2003-2008 total sales-China RMB_Marketing and communications June" xfId="382" xr:uid="{00000000-0005-0000-0000-000075010000}"/>
    <cellStyle name="_2003-2008 total sales-China RMB_Marketing and communications June v2" xfId="383" xr:uid="{00000000-0005-0000-0000-000076010000}"/>
    <cellStyle name="_2003-2008 total sales-China RMB_Marketing and communications June v3" xfId="384" xr:uid="{00000000-0005-0000-0000-000077010000}"/>
    <cellStyle name="_2003-2008 total sales-China RMB_Marketing and communications March 3" xfId="385" xr:uid="{00000000-0005-0000-0000-000078010000}"/>
    <cellStyle name="_2003-2008 total sales-China RMB_Marketing Forecast" xfId="386" xr:uid="{00000000-0005-0000-0000-000079010000}"/>
    <cellStyle name="_2004 reconciliation" xfId="387" xr:uid="{00000000-0005-0000-0000-00007A010000}"/>
    <cellStyle name="_2004 reconciliation_Global Group" xfId="388" xr:uid="{00000000-0005-0000-0000-00007B010000}"/>
    <cellStyle name="_2005 2+10 GCC NI Targets@2+10 rates_from 0+12F_updated March 24" xfId="389" xr:uid="{00000000-0005-0000-0000-00007C010000}"/>
    <cellStyle name="_2005 8+4 GCC Scorecard (SECM I)" xfId="390" xr:uid="{00000000-0005-0000-0000-00007D010000}"/>
    <cellStyle name="_2005 8+4 Pres Support w P&amp;L's" xfId="391" xr:uid="{00000000-0005-0000-0000-00007E010000}"/>
    <cellStyle name="_2005 AIA to G2 &amp; G1 Est 05-05 UPDATED 5-11" xfId="392" xr:uid="{00000000-0005-0000-0000-00007F010000}"/>
    <cellStyle name="_2005 Plan ABS(3.1)" xfId="393" xr:uid="{00000000-0005-0000-0000-000080010000}"/>
    <cellStyle name="_2005 Prelim Plan template CURRENT v2 GOALS" xfId="394" xr:uid="{00000000-0005-0000-0000-000081010000}"/>
    <cellStyle name="_2005 Regional Scorecards (5+7)" xfId="395" xr:uid="{00000000-0005-0000-0000-000082010000}"/>
    <cellStyle name="_2005 Regional Scorecards (8+4)" xfId="396" xr:uid="{00000000-0005-0000-0000-000083010000}"/>
    <cellStyle name="_2005 Reported Actuals" xfId="397" xr:uid="{00000000-0005-0000-0000-000084010000}"/>
    <cellStyle name="_2005-2006 Stretch Financial Targets III" xfId="398" xr:uid="{00000000-0005-0000-0000-000085010000}"/>
    <cellStyle name="_2005-2006 Stretch Financial Targets III_~4018989" xfId="399" xr:uid="{00000000-0005-0000-0000-000086010000}"/>
    <cellStyle name="_2005-2006 Stretch Financial Targets III_August 2006 MM Finance Review per Jeanne 09_19_06 v4_portions" xfId="400" xr:uid="{00000000-0005-0000-0000-000087010000}"/>
    <cellStyle name="_2005-2006 Stretch Financial Targets III_December Results v-1" xfId="401" xr:uid="{00000000-0005-0000-0000-000088010000}"/>
    <cellStyle name="_2005-2006 Stretch Financial Targets III_January 2007 MM Finance Review 02_07_07 v3" xfId="402" xr:uid="{00000000-0005-0000-0000-000089010000}"/>
    <cellStyle name="_2005-2006 Stretch Financial Targets III_July 2006 MM Finance Review per Jeanne 08_10_06 v1" xfId="403" xr:uid="{00000000-0005-0000-0000-00008A010000}"/>
    <cellStyle name="_2005-2006 Stretch Financial Targets III_October 2006 MM Finance Review 11_13_06 v1" xfId="404" xr:uid="{00000000-0005-0000-0000-00008B010000}"/>
    <cellStyle name="_2005-2006 Stretch Financial Targets III_September 2006 MM Finance Review 10_13_06 v3" xfId="405" xr:uid="{00000000-0005-0000-0000-00008C010000}"/>
    <cellStyle name="_2005-2006 Stretch Financial Targets III_September 2006 MM Finance Review per Jeanne 10_13_06 v1" xfId="406" xr:uid="{00000000-0005-0000-0000-00008D010000}"/>
    <cellStyle name="_2005-2007 NI Targets &amp; LRP @ Plan Ratesv6" xfId="407" xr:uid="{00000000-0005-0000-0000-00008E010000}"/>
    <cellStyle name="_2005-2007 NI Targets &amp; LRP @ Plan Ratesv7" xfId="408" xr:uid="{00000000-0005-0000-0000-00008F010000}"/>
    <cellStyle name="_2006 1+11 USCC CV Build" xfId="409" xr:uid="{00000000-0005-0000-0000-000090010000}"/>
    <cellStyle name="_2006 5+7 USCC CV Build" xfId="410" xr:uid="{00000000-0005-0000-0000-000091010000}"/>
    <cellStyle name="_2006 5+7F Update_July10" xfId="411" xr:uid="{00000000-0005-0000-0000-000092010000}"/>
    <cellStyle name="_2006 8+4 USCC CV Build" xfId="412" xr:uid="{00000000-0005-0000-0000-000093010000}"/>
    <cellStyle name="_2006 8+4F GCC NI Targets_09_29" xfId="413" xr:uid="{00000000-0005-0000-0000-000094010000}"/>
    <cellStyle name="_2006 8+4F Net Income by Business Unit" xfId="414" xr:uid="{00000000-0005-0000-0000-000095010000}"/>
    <cellStyle name="_2006 8+4F Online Adoption" xfId="415" xr:uid="{00000000-0005-0000-0000-000096010000}"/>
    <cellStyle name="_2006 8+4F Risks and Opps" xfId="416" xr:uid="{00000000-0005-0000-0000-000097010000}"/>
    <cellStyle name="_2006 8+4F Update" xfId="417" xr:uid="{00000000-0005-0000-0000-000098010000}"/>
    <cellStyle name="_2006 8+4F vs 5+7F &amp; LY - GTS P+L" xfId="418" xr:uid="{00000000-0005-0000-0000-000099010000}"/>
    <cellStyle name="_2006 Calendarisation" xfId="419" xr:uid="{00000000-0005-0000-0000-00009A010000}"/>
    <cellStyle name="_2006 CBA PTW - Regional BO Migration (JAPA OPS)v2" xfId="420" xr:uid="{00000000-0005-0000-0000-00009B010000}"/>
    <cellStyle name="_2006 CV 4+8+12 Summary Final" xfId="421" xr:uid="{00000000-0005-0000-0000-00009C010000}"/>
    <cellStyle name="_2006 CV 7+5+12 Summary" xfId="422" xr:uid="{00000000-0005-0000-0000-00009D010000}"/>
    <cellStyle name="_2006 CV 8+4+12 Summary" xfId="423" xr:uid="{00000000-0005-0000-0000-00009E010000}"/>
    <cellStyle name="_2006 GLOBAL METRICS_Dec'06 incl Mal &amp; Ch" xfId="424" xr:uid="{00000000-0005-0000-0000-00009F010000}"/>
    <cellStyle name="_2006 Monthly Act(Work)" xfId="425" xr:uid="{00000000-0005-0000-0000-0000A0010000}"/>
    <cellStyle name="_2006 Plan Assumptions - SDN" xfId="426" xr:uid="{00000000-0005-0000-0000-0000A1010000}"/>
    <cellStyle name="_2006 Plan Official USCC CV Build" xfId="427" xr:uid="{00000000-0005-0000-0000-0000A2010000}"/>
    <cellStyle name="_2006 reeingeering template_Payment" xfId="428" xr:uid="{00000000-0005-0000-0000-0000A3010000}"/>
    <cellStyle name="_2006 Re-eng tracking SepYTD" xfId="429" xr:uid="{00000000-0005-0000-0000-0000A4010000}"/>
    <cellStyle name="_2006 Reengineering Targets-Final BPS" xfId="430" xr:uid="{00000000-0005-0000-0000-0000A5010000}"/>
    <cellStyle name="_2006 SECM II Plan Target File_v 01.12 with Dec update" xfId="431" xr:uid="{00000000-0005-0000-0000-0000A6010000}"/>
    <cellStyle name="_2006 SECM II Plan Target Sheet 01_12" xfId="432" xr:uid="{00000000-0005-0000-0000-0000A7010000}"/>
    <cellStyle name="_2006 Spain Plan Template @ Local FX V2" xfId="433" xr:uid="{00000000-0005-0000-0000-0000A8010000}"/>
    <cellStyle name="_2006 Spain Plan Template @ Local FX V2_Comms Actuals" xfId="434" xr:uid="{00000000-0005-0000-0000-0000A9010000}"/>
    <cellStyle name="_2007" xfId="435" xr:uid="{00000000-0005-0000-0000-0000AA010000}"/>
    <cellStyle name="_2007 - Germany New Sales Force CBA 21.09.06 (version 1)" xfId="436" xr:uid="{00000000-0005-0000-0000-0000AB010000}"/>
    <cellStyle name="_2007 1+11+12F - Stickiness Report" xfId="437" xr:uid="{00000000-0005-0000-0000-0000AC010000}"/>
    <cellStyle name="_2007 1+11F CSI One-Pager" xfId="438" xr:uid="{00000000-0005-0000-0000-0000AD010000}"/>
    <cellStyle name="_2007 2+10F CV by Segment Canada GCS Formulas" xfId="439" xr:uid="{00000000-0005-0000-0000-0000AE010000}"/>
    <cellStyle name="_2007 2+10F for Scorecard P&amp;L's v2" xfId="440" xr:uid="{00000000-0005-0000-0000-0000AF010000}"/>
    <cellStyle name="_2007 2+10Fcst CV" xfId="441" xr:uid="{00000000-0005-0000-0000-0000B0010000}"/>
    <cellStyle name="_2007 2+10Fcst Review_03_19" xfId="442" xr:uid="{00000000-0005-0000-0000-0000B1010000}"/>
    <cellStyle name="_2007 2+10Fcst Target_03_08" xfId="443" xr:uid="{00000000-0005-0000-0000-0000B2010000}"/>
    <cellStyle name="_2007 2+10Fcst Target_0315_sent" xfId="444" xr:uid="{00000000-0005-0000-0000-0000B3010000}"/>
    <cellStyle name="_2007 4+8+12F CSI Forecast Package (06-06-07)" xfId="445" xr:uid="{00000000-0005-0000-0000-0000B4010000}"/>
    <cellStyle name="_2007 5+7F - Submission on 06-22-07" xfId="446" xr:uid="{00000000-0005-0000-0000-0000B5010000}"/>
    <cellStyle name="_2007 5+7Fcst Target_0619_sent - LT" xfId="447" xr:uid="{00000000-0005-0000-0000-0000B6010000}"/>
    <cellStyle name="_2007 8+4 Sales Build v2" xfId="448" xr:uid="{00000000-0005-0000-0000-0000B7010000}"/>
    <cellStyle name="_2007 8+4F - GM&amp;S submission" xfId="449" xr:uid="{00000000-0005-0000-0000-0000B8010000}"/>
    <cellStyle name="_2007 8+4Fcst Target_0907_sent - v2 - backup for 2008 Target - LT" xfId="450" xr:uid="{00000000-0005-0000-0000-0000B9010000}"/>
    <cellStyle name="_2007 Air sales plan" xfId="451" xr:uid="{00000000-0005-0000-0000-0000BA010000}"/>
    <cellStyle name="_2007 Air sales plan2" xfId="452" xr:uid="{00000000-0005-0000-0000-0000BB010000}"/>
    <cellStyle name="_2007 Aus Re-eng 1.9M" xfId="453" xr:uid="{00000000-0005-0000-0000-0000BC010000}"/>
    <cellStyle name="_2007 CSI Investments - Tech SQP Review (Final)" xfId="454" xr:uid="{00000000-0005-0000-0000-0000BD010000}"/>
    <cellStyle name="_2007 GM&amp;S - Target" xfId="455" xr:uid="{00000000-0005-0000-0000-0000BE010000}"/>
    <cellStyle name="_2007 Investments 5+7F 6.15.07 - LT" xfId="456" xr:uid="{00000000-0005-0000-0000-0000BF010000}"/>
    <cellStyle name="_2007 Plan - Gordon Analysis_1-5" xfId="457" xr:uid="{00000000-0005-0000-0000-0000C0010000}"/>
    <cellStyle name="_2007 Plan central teams quote" xfId="458" xr:uid="{00000000-0005-0000-0000-0000C1010000}"/>
    <cellStyle name="_2007 Plan CSI Forecast Package" xfId="459" xr:uid="{00000000-0005-0000-0000-0000C2010000}"/>
    <cellStyle name="_2007 Plan CSI Forecast Package (30-11-06)" xfId="460" xr:uid="{00000000-0005-0000-0000-0000C3010000}"/>
    <cellStyle name="_2007 Plan Target Setting REALLY FINAL (28-11-06) Plan FX" xfId="461" xr:uid="{00000000-0005-0000-0000-0000C4010000}"/>
    <cellStyle name="_2007 Plan US" xfId="462" xr:uid="{00000000-0005-0000-0000-0000C5010000}"/>
    <cellStyle name="_2007 Prelim Plan Ed Review (9.29.06)" xfId="463" xr:uid="{00000000-0005-0000-0000-0000C6010000}"/>
    <cellStyle name="_2007 Reengineering 10-25" xfId="464" xr:uid="{00000000-0005-0000-0000-0000C7010000}"/>
    <cellStyle name="_2007 Reengineering 10-25_Comms Actuals" xfId="465" xr:uid="{00000000-0005-0000-0000-0000C8010000}"/>
    <cellStyle name="_2007 SQP - GM&amp;S" xfId="466" xr:uid="{00000000-0005-0000-0000-0000C9010000}"/>
    <cellStyle name="_2007 SQP - GM&amp;S - Van - 10-27-06" xfId="467" xr:uid="{00000000-0005-0000-0000-0000CA010000}"/>
    <cellStyle name="_2007 SQP Tier 1 - GM&amp;S - Van - 10-23-06" xfId="468" xr:uid="{00000000-0005-0000-0000-0000CB010000}"/>
    <cellStyle name="_2007 Target file from 12+0 01.16.07" xfId="469" xr:uid="{00000000-0005-0000-0000-0000CC010000}"/>
    <cellStyle name="_2007 Target file from 8+4 10.24.06" xfId="470" xr:uid="{00000000-0005-0000-0000-0000CD010000}"/>
    <cellStyle name="_2007 Targets - NA 12-05" xfId="471" xr:uid="{00000000-0005-0000-0000-0000CE010000}"/>
    <cellStyle name="_2007 v 2008 P&amp;L Rate Vol Variance sg 1 20 09 v2" xfId="472" xr:uid="{00000000-0005-0000-0000-0000CF010000}"/>
    <cellStyle name="_20070507 ZBB Korea Budget Assumptions_GC v0.4" xfId="473" xr:uid="{00000000-0005-0000-0000-0000D0010000}"/>
    <cellStyle name="_20070507 ZBB Korea Budget Assumptions_GC v0.4 2" xfId="474" xr:uid="{00000000-0005-0000-0000-0000D1010000}"/>
    <cellStyle name="_20070507 ZBB Korea Budget Assumptions_GC v0.4 2 2" xfId="475" xr:uid="{00000000-0005-0000-0000-0000D2010000}"/>
    <cellStyle name="_20070507 ZBB Korea Budget Assumptions_GC v0.4 2 2 2" xfId="476" xr:uid="{00000000-0005-0000-0000-0000D3010000}"/>
    <cellStyle name="_20070507 ZBB Korea Budget Assumptions_GC v0.4 2 3" xfId="477" xr:uid="{00000000-0005-0000-0000-0000D4010000}"/>
    <cellStyle name="_20070507 ZBB Korea Budget Assumptions_GC v0.4 3" xfId="478" xr:uid="{00000000-0005-0000-0000-0000D5010000}"/>
    <cellStyle name="_20070507 ZBB Korea Budget Assumptions_GC v0.4 3 2" xfId="479" xr:uid="{00000000-0005-0000-0000-0000D6010000}"/>
    <cellStyle name="_20070507 ZBB Korea Budget Assumptions_GC v0.4 4" xfId="480" xr:uid="{00000000-0005-0000-0000-0000D7010000}"/>
    <cellStyle name="_20070507 ZBB Korea Budget Assumptions_GC v0.4_20070622 ZBB LE1 Reconciliation v0.1" xfId="481" xr:uid="{00000000-0005-0000-0000-0000D8010000}"/>
    <cellStyle name="_20070507 ZBB Korea Budget Assumptions_GC v0.4_20070622 ZBB LE1 Reconciliation v0.1 2" xfId="482" xr:uid="{00000000-0005-0000-0000-0000D9010000}"/>
    <cellStyle name="_20070507 ZBB Korea Budget Assumptions_GC v0.4_20070622 ZBB LE1 Reconciliation v0.1 2 2" xfId="483" xr:uid="{00000000-0005-0000-0000-0000DA010000}"/>
    <cellStyle name="_20070507 ZBB Korea Budget Assumptions_GC v0.4_20070622 ZBB LE1 Reconciliation v0.1 2 2 2" xfId="484" xr:uid="{00000000-0005-0000-0000-0000DB010000}"/>
    <cellStyle name="_20070507 ZBB Korea Budget Assumptions_GC v0.4_20070622 ZBB LE1 Reconciliation v0.1 2 3" xfId="485" xr:uid="{00000000-0005-0000-0000-0000DC010000}"/>
    <cellStyle name="_20070507 ZBB Korea Budget Assumptions_GC v0.4_20070622 ZBB LE1 Reconciliation v0.1 3" xfId="486" xr:uid="{00000000-0005-0000-0000-0000DD010000}"/>
    <cellStyle name="_20070507 ZBB Korea Budget Assumptions_GC v0.4_20070622 ZBB LE1 Reconciliation v0.1 3 2" xfId="487" xr:uid="{00000000-0005-0000-0000-0000DE010000}"/>
    <cellStyle name="_20070507 ZBB Korea Budget Assumptions_GC v0.4_20070622 ZBB LE1 Reconciliation v0.1 4" xfId="488" xr:uid="{00000000-0005-0000-0000-0000DF010000}"/>
    <cellStyle name="_20070507 ZBB Korea Budget Assumptions_GC v0.4_20070622 ZBB LE1 Reconciliation v0.1_Copy of 081027 ZBB Budget 2009 Decks - People_Cherry_V4" xfId="489" xr:uid="{00000000-0005-0000-0000-0000E0010000}"/>
    <cellStyle name="_20070507 ZBB Korea Budget Assumptions_GC v0.4_20070622 ZBB LE1 Reconciliation v0.1_Copy of 081027 ZBB Budget 2009 Decks - People_Cherry_V4 2" xfId="490" xr:uid="{00000000-0005-0000-0000-0000E1010000}"/>
    <cellStyle name="_20070507 ZBB Korea Budget Assumptions_GC v0.4_20070622 ZBB LE1 Reconciliation v0.1_Copy of 081027 ZBB Budget 2009 Decks - People_Cherry_V4 2 2" xfId="491" xr:uid="{00000000-0005-0000-0000-0000E2010000}"/>
    <cellStyle name="_20070507 ZBB Korea Budget Assumptions_GC v0.4_20070622 ZBB LE1 Reconciliation v0.1_Copy of 081027 ZBB Budget 2009 Decks - People_Cherry_V4 2 2 2" xfId="492" xr:uid="{00000000-0005-0000-0000-0000E3010000}"/>
    <cellStyle name="_20070507 ZBB Korea Budget Assumptions_GC v0.4_20070622 ZBB LE1 Reconciliation v0.1_Copy of 081027 ZBB Budget 2009 Decks - People_Cherry_V4 2 3" xfId="493" xr:uid="{00000000-0005-0000-0000-0000E4010000}"/>
    <cellStyle name="_20070507 ZBB Korea Budget Assumptions_GC v0.4_20070622 ZBB LE1 Reconciliation v0.1_Copy of 081027 ZBB Budget 2009 Decks - People_Cherry_V4 3" xfId="494" xr:uid="{00000000-0005-0000-0000-0000E5010000}"/>
    <cellStyle name="_20070507 ZBB Korea Budget Assumptions_GC v0.4_20070622 ZBB LE1 Reconciliation v0.1_Copy of 081027 ZBB Budget 2009 Decks - People_Cherry_V4 3 2" xfId="495" xr:uid="{00000000-0005-0000-0000-0000E6010000}"/>
    <cellStyle name="_20070507 ZBB Korea Budget Assumptions_GC v0.4_20070622 ZBB LE1 Reconciliation v0.1_Copy of 081027 ZBB Budget 2009 Decks - People_Cherry_V4 4" xfId="496" xr:uid="{00000000-0005-0000-0000-0000E7010000}"/>
    <cellStyle name="_20070507 ZBB Korea Budget Assumptions_GC v0.4_20070622 ZBB LE1 Reconciliation v0.1_ZBB Budget 2009 Decks" xfId="497" xr:uid="{00000000-0005-0000-0000-0000E8010000}"/>
    <cellStyle name="_20070507 ZBB Korea Budget Assumptions_GC v0.4_20070622 ZBB LE1 Reconciliation v0.1_ZBB Budget 2009 Decks 2" xfId="498" xr:uid="{00000000-0005-0000-0000-0000E9010000}"/>
    <cellStyle name="_20070507 ZBB Korea Budget Assumptions_GC v0.4_20070622 ZBB LE1 Reconciliation v0.1_ZBB Budget 2009 Decks 2 2" xfId="499" xr:uid="{00000000-0005-0000-0000-0000EA010000}"/>
    <cellStyle name="_20070507 ZBB Korea Budget Assumptions_GC v0.4_20070622 ZBB LE1 Reconciliation v0.1_ZBB Budget 2009 Decks 2 2 2" xfId="500" xr:uid="{00000000-0005-0000-0000-0000EB010000}"/>
    <cellStyle name="_20070507 ZBB Korea Budget Assumptions_GC v0.4_20070622 ZBB LE1 Reconciliation v0.1_ZBB Budget 2009 Decks 2 3" xfId="501" xr:uid="{00000000-0005-0000-0000-0000EC010000}"/>
    <cellStyle name="_20070507 ZBB Korea Budget Assumptions_GC v0.4_20070622 ZBB LE1 Reconciliation v0.1_ZBB Budget 2009 Decks 3" xfId="502" xr:uid="{00000000-0005-0000-0000-0000ED010000}"/>
    <cellStyle name="_20070507 ZBB Korea Budget Assumptions_GC v0.4_20070622 ZBB LE1 Reconciliation v0.1_ZBB Budget 2009 Decks 3 2" xfId="503" xr:uid="{00000000-0005-0000-0000-0000EE010000}"/>
    <cellStyle name="_20070507 ZBB Korea Budget Assumptions_GC v0.4_20070622 ZBB LE1 Reconciliation v0.1_ZBB Budget 2009 Decks 4" xfId="504" xr:uid="{00000000-0005-0000-0000-0000EF010000}"/>
    <cellStyle name="_20070507 ZBB Korea Budget Assumptions_GC v0.4_20070622 ZBB LE1 Reconciliation v0.1_ZBB Budget 2009 Decks_with Korea Scope in (Only LE)" xfId="505" xr:uid="{00000000-0005-0000-0000-0000F0010000}"/>
    <cellStyle name="_20070507 ZBB Korea Budget Assumptions_GC v0.4_20070622 ZBB LE1 Reconciliation v0.1_ZBB Budget 2009 Decks_with Korea Scope in (Only LE) (2)" xfId="506" xr:uid="{00000000-0005-0000-0000-0000F1010000}"/>
    <cellStyle name="_20070507 ZBB Korea Budget Assumptions_GC v0.4_20070622 ZBB LE1 Reconciliation v0.1_ZBB Budget 2009 Decks_with Korea Scope in (Only LE) (2) 2" xfId="507" xr:uid="{00000000-0005-0000-0000-0000F2010000}"/>
    <cellStyle name="_20070507 ZBB Korea Budget Assumptions_GC v0.4_20070622 ZBB LE1 Reconciliation v0.1_ZBB Budget 2009 Decks_with Korea Scope in (Only LE) (2) 2 2" xfId="508" xr:uid="{00000000-0005-0000-0000-0000F3010000}"/>
    <cellStyle name="_20070507 ZBB Korea Budget Assumptions_GC v0.4_20070622 ZBB LE1 Reconciliation v0.1_ZBB Budget 2009 Decks_with Korea Scope in (Only LE) (2) 2 2 2" xfId="509" xr:uid="{00000000-0005-0000-0000-0000F4010000}"/>
    <cellStyle name="_20070507 ZBB Korea Budget Assumptions_GC v0.4_20070622 ZBB LE1 Reconciliation v0.1_ZBB Budget 2009 Decks_with Korea Scope in (Only LE) (2) 2 3" xfId="510" xr:uid="{00000000-0005-0000-0000-0000F5010000}"/>
    <cellStyle name="_20070507 ZBB Korea Budget Assumptions_GC v0.4_20070622 ZBB LE1 Reconciliation v0.1_ZBB Budget 2009 Decks_with Korea Scope in (Only LE) (2) 3" xfId="511" xr:uid="{00000000-0005-0000-0000-0000F6010000}"/>
    <cellStyle name="_20070507 ZBB Korea Budget Assumptions_GC v0.4_20070622 ZBB LE1 Reconciliation v0.1_ZBB Budget 2009 Decks_with Korea Scope in (Only LE) (2) 3 2" xfId="512" xr:uid="{00000000-0005-0000-0000-0000F7010000}"/>
    <cellStyle name="_20070507 ZBB Korea Budget Assumptions_GC v0.4_20070622 ZBB LE1 Reconciliation v0.1_ZBB Budget 2009 Decks_with Korea Scope in (Only LE) (2) 4" xfId="513" xr:uid="{00000000-0005-0000-0000-0000F8010000}"/>
    <cellStyle name="_20070507 ZBB Korea Budget Assumptions_GC v0.4_20070622 ZBB LE1 Reconciliation v0.1_ZBB Budget 2009 Decks_with Korea Scope in (Only LE) 2" xfId="514" xr:uid="{00000000-0005-0000-0000-0000F9010000}"/>
    <cellStyle name="_20070507 ZBB Korea Budget Assumptions_GC v0.4_20070622 ZBB LE1 Reconciliation v0.1_ZBB Budget 2009 Decks_with Korea Scope in (Only LE) 2 2" xfId="515" xr:uid="{00000000-0005-0000-0000-0000FA010000}"/>
    <cellStyle name="_20070507 ZBB Korea Budget Assumptions_GC v0.4_20070622 ZBB LE1 Reconciliation v0.1_ZBB Budget 2009 Decks_with Korea Scope in (Only LE) 2 2 2" xfId="516" xr:uid="{00000000-0005-0000-0000-0000FB010000}"/>
    <cellStyle name="_20070507 ZBB Korea Budget Assumptions_GC v0.4_20070622 ZBB LE1 Reconciliation v0.1_ZBB Budget 2009 Decks_with Korea Scope in (Only LE) 2 3" xfId="517" xr:uid="{00000000-0005-0000-0000-0000FC010000}"/>
    <cellStyle name="_20070507 ZBB Korea Budget Assumptions_GC v0.4_20070622 ZBB LE1 Reconciliation v0.1_ZBB Budget 2009 Decks_with Korea Scope in (Only LE) 3" xfId="518" xr:uid="{00000000-0005-0000-0000-0000FD010000}"/>
    <cellStyle name="_20070507 ZBB Korea Budget Assumptions_GC v0.4_20070622 ZBB LE1 Reconciliation v0.1_ZBB Budget 2009 Decks_with Korea Scope in (Only LE) 3 2" xfId="519" xr:uid="{00000000-0005-0000-0000-0000FE010000}"/>
    <cellStyle name="_20070507 ZBB Korea Budget Assumptions_GC v0.4_20070622 ZBB LE1 Reconciliation v0.1_ZBB Budget 2009 Decks_with Korea Scope in (Only LE) 4" xfId="520" xr:uid="{00000000-0005-0000-0000-0000FF010000}"/>
    <cellStyle name="_20070507 ZBB Korea Budget Assumptions_GC v0.4_20070622 ZBB LE1 Reconciliation v0.1_ZBB Budget 2009 Decks_with Korea Scope in (Only LE) 4 2" xfId="521" xr:uid="{00000000-0005-0000-0000-000000020000}"/>
    <cellStyle name="_20070507 ZBB Korea Budget Assumptions_GC v0.4_20070622 ZBB LE1 Reconciliation v0.1_ZBB Budget 2009 Decks_with Korea Scope in (Only LE) 5" xfId="522" xr:uid="{00000000-0005-0000-0000-000001020000}"/>
    <cellStyle name="_20070507 ZBB Korea Budget Assumptions_GC v0.4_20070622 ZBB LE1 Reconciliation v0.1_ZBB Budget 2009 Decks_with Korea Scope in (Only LE) 6" xfId="523" xr:uid="{00000000-0005-0000-0000-000002020000}"/>
    <cellStyle name="_20070507 ZBB Korea Budget Assumptions_GC v0.4_20070625 ZBB 3YP Reconciliation v0.1" xfId="524" xr:uid="{00000000-0005-0000-0000-000003020000}"/>
    <cellStyle name="_20070507 ZBB Korea Budget Assumptions_GC v0.4_20070625 ZBB 3YP Reconciliation v0.1 2" xfId="525" xr:uid="{00000000-0005-0000-0000-000004020000}"/>
    <cellStyle name="_20070507 ZBB Korea Budget Assumptions_GC v0.4_20070625 ZBB 3YP Reconciliation v0.1 2 2" xfId="526" xr:uid="{00000000-0005-0000-0000-000005020000}"/>
    <cellStyle name="_20070507 ZBB Korea Budget Assumptions_GC v0.4_20070625 ZBB 3YP Reconciliation v0.1 2 2 2" xfId="527" xr:uid="{00000000-0005-0000-0000-000006020000}"/>
    <cellStyle name="_20070507 ZBB Korea Budget Assumptions_GC v0.4_20070625 ZBB 3YP Reconciliation v0.1 2 3" xfId="528" xr:uid="{00000000-0005-0000-0000-000007020000}"/>
    <cellStyle name="_20070507 ZBB Korea Budget Assumptions_GC v0.4_20070625 ZBB 3YP Reconciliation v0.1 3" xfId="529" xr:uid="{00000000-0005-0000-0000-000008020000}"/>
    <cellStyle name="_20070507 ZBB Korea Budget Assumptions_GC v0.4_20070625 ZBB 3YP Reconciliation v0.1 3 2" xfId="530" xr:uid="{00000000-0005-0000-0000-000009020000}"/>
    <cellStyle name="_20070507 ZBB Korea Budget Assumptions_GC v0.4_20070625 ZBB 3YP Reconciliation v0.1 4" xfId="531" xr:uid="{00000000-0005-0000-0000-00000A020000}"/>
    <cellStyle name="_20070507 ZBB Korea Budget Assumptions_GC v0.4_20070625 ZBB 3YP Reconciliation v0.1_Copy of 081027 ZBB Budget 2009 Decks - People_Cherry_V4" xfId="532" xr:uid="{00000000-0005-0000-0000-00000B020000}"/>
    <cellStyle name="_20070507 ZBB Korea Budget Assumptions_GC v0.4_20070625 ZBB 3YP Reconciliation v0.1_Copy of 081027 ZBB Budget 2009 Decks - People_Cherry_V4 2" xfId="533" xr:uid="{00000000-0005-0000-0000-00000C020000}"/>
    <cellStyle name="_20070507 ZBB Korea Budget Assumptions_GC v0.4_20070625 ZBB 3YP Reconciliation v0.1_Copy of 081027 ZBB Budget 2009 Decks - People_Cherry_V4 2 2" xfId="534" xr:uid="{00000000-0005-0000-0000-00000D020000}"/>
    <cellStyle name="_20070507 ZBB Korea Budget Assumptions_GC v0.4_20070625 ZBB 3YP Reconciliation v0.1_Copy of 081027 ZBB Budget 2009 Decks - People_Cherry_V4 2 2 2" xfId="535" xr:uid="{00000000-0005-0000-0000-00000E020000}"/>
    <cellStyle name="_20070507 ZBB Korea Budget Assumptions_GC v0.4_20070625 ZBB 3YP Reconciliation v0.1_Copy of 081027 ZBB Budget 2009 Decks - People_Cherry_V4 2 3" xfId="536" xr:uid="{00000000-0005-0000-0000-00000F020000}"/>
    <cellStyle name="_20070507 ZBB Korea Budget Assumptions_GC v0.4_20070625 ZBB 3YP Reconciliation v0.1_Copy of 081027 ZBB Budget 2009 Decks - People_Cherry_V4 3" xfId="537" xr:uid="{00000000-0005-0000-0000-000010020000}"/>
    <cellStyle name="_20070507 ZBB Korea Budget Assumptions_GC v0.4_20070625 ZBB 3YP Reconciliation v0.1_Copy of 081027 ZBB Budget 2009 Decks - People_Cherry_V4 3 2" xfId="538" xr:uid="{00000000-0005-0000-0000-000011020000}"/>
    <cellStyle name="_20070507 ZBB Korea Budget Assumptions_GC v0.4_20070625 ZBB 3YP Reconciliation v0.1_Copy of 081027 ZBB Budget 2009 Decks - People_Cherry_V4 4" xfId="539" xr:uid="{00000000-0005-0000-0000-000012020000}"/>
    <cellStyle name="_20070507 ZBB Korea Budget Assumptions_GC v0.4_20070625 ZBB 3YP Reconciliation v0.1_ZBB Budget 2009 Decks" xfId="540" xr:uid="{00000000-0005-0000-0000-000013020000}"/>
    <cellStyle name="_20070507 ZBB Korea Budget Assumptions_GC v0.4_20070625 ZBB 3YP Reconciliation v0.1_ZBB Budget 2009 Decks 2" xfId="541" xr:uid="{00000000-0005-0000-0000-000014020000}"/>
    <cellStyle name="_20070507 ZBB Korea Budget Assumptions_GC v0.4_20070625 ZBB 3YP Reconciliation v0.1_ZBB Budget 2009 Decks 2 2" xfId="542" xr:uid="{00000000-0005-0000-0000-000015020000}"/>
    <cellStyle name="_20070507 ZBB Korea Budget Assumptions_GC v0.4_20070625 ZBB 3YP Reconciliation v0.1_ZBB Budget 2009 Decks 2 2 2" xfId="543" xr:uid="{00000000-0005-0000-0000-000016020000}"/>
    <cellStyle name="_20070507 ZBB Korea Budget Assumptions_GC v0.4_20070625 ZBB 3YP Reconciliation v0.1_ZBB Budget 2009 Decks 2 3" xfId="544" xr:uid="{00000000-0005-0000-0000-000017020000}"/>
    <cellStyle name="_20070507 ZBB Korea Budget Assumptions_GC v0.4_20070625 ZBB 3YP Reconciliation v0.1_ZBB Budget 2009 Decks 3" xfId="545" xr:uid="{00000000-0005-0000-0000-000018020000}"/>
    <cellStyle name="_20070507 ZBB Korea Budget Assumptions_GC v0.4_20070625 ZBB 3YP Reconciliation v0.1_ZBB Budget 2009 Decks 3 2" xfId="546" xr:uid="{00000000-0005-0000-0000-000019020000}"/>
    <cellStyle name="_20070507 ZBB Korea Budget Assumptions_GC v0.4_20070625 ZBB 3YP Reconciliation v0.1_ZBB Budget 2009 Decks 4" xfId="547" xr:uid="{00000000-0005-0000-0000-00001A020000}"/>
    <cellStyle name="_20070507 ZBB Korea Budget Assumptions_GC v0.4_20070625 ZBB 3YP Reconciliation v0.1_ZBB Budget 2009 Decks_with Korea Scope in (Only LE)" xfId="548" xr:uid="{00000000-0005-0000-0000-00001B020000}"/>
    <cellStyle name="_20070507 ZBB Korea Budget Assumptions_GC v0.4_20070625 ZBB 3YP Reconciliation v0.1_ZBB Budget 2009 Decks_with Korea Scope in (Only LE) (2)" xfId="549" xr:uid="{00000000-0005-0000-0000-00001C020000}"/>
    <cellStyle name="_20070507 ZBB Korea Budget Assumptions_GC v0.4_20070625 ZBB 3YP Reconciliation v0.1_ZBB Budget 2009 Decks_with Korea Scope in (Only LE) (2) 2" xfId="550" xr:uid="{00000000-0005-0000-0000-00001D020000}"/>
    <cellStyle name="_20070507 ZBB Korea Budget Assumptions_GC v0.4_20070625 ZBB 3YP Reconciliation v0.1_ZBB Budget 2009 Decks_with Korea Scope in (Only LE) (2) 2 2" xfId="551" xr:uid="{00000000-0005-0000-0000-00001E020000}"/>
    <cellStyle name="_20070507 ZBB Korea Budget Assumptions_GC v0.4_20070625 ZBB 3YP Reconciliation v0.1_ZBB Budget 2009 Decks_with Korea Scope in (Only LE) (2) 2 2 2" xfId="552" xr:uid="{00000000-0005-0000-0000-00001F020000}"/>
    <cellStyle name="_20070507 ZBB Korea Budget Assumptions_GC v0.4_20070625 ZBB 3YP Reconciliation v0.1_ZBB Budget 2009 Decks_with Korea Scope in (Only LE) (2) 2 3" xfId="553" xr:uid="{00000000-0005-0000-0000-000020020000}"/>
    <cellStyle name="_20070507 ZBB Korea Budget Assumptions_GC v0.4_20070625 ZBB 3YP Reconciliation v0.1_ZBB Budget 2009 Decks_with Korea Scope in (Only LE) (2) 3" xfId="554" xr:uid="{00000000-0005-0000-0000-000021020000}"/>
    <cellStyle name="_20070507 ZBB Korea Budget Assumptions_GC v0.4_20070625 ZBB 3YP Reconciliation v0.1_ZBB Budget 2009 Decks_with Korea Scope in (Only LE) (2) 3 2" xfId="555" xr:uid="{00000000-0005-0000-0000-000022020000}"/>
    <cellStyle name="_20070507 ZBB Korea Budget Assumptions_GC v0.4_20070625 ZBB 3YP Reconciliation v0.1_ZBB Budget 2009 Decks_with Korea Scope in (Only LE) (2) 4" xfId="556" xr:uid="{00000000-0005-0000-0000-000023020000}"/>
    <cellStyle name="_20070507 ZBB Korea Budget Assumptions_GC v0.4_20070625 ZBB 3YP Reconciliation v0.1_ZBB Budget 2009 Decks_with Korea Scope in (Only LE) 2" xfId="557" xr:uid="{00000000-0005-0000-0000-000024020000}"/>
    <cellStyle name="_20070507 ZBB Korea Budget Assumptions_GC v0.4_20070625 ZBB 3YP Reconciliation v0.1_ZBB Budget 2009 Decks_with Korea Scope in (Only LE) 2 2" xfId="558" xr:uid="{00000000-0005-0000-0000-000025020000}"/>
    <cellStyle name="_20070507 ZBB Korea Budget Assumptions_GC v0.4_20070625 ZBB 3YP Reconciliation v0.1_ZBB Budget 2009 Decks_with Korea Scope in (Only LE) 2 2 2" xfId="559" xr:uid="{00000000-0005-0000-0000-000026020000}"/>
    <cellStyle name="_20070507 ZBB Korea Budget Assumptions_GC v0.4_20070625 ZBB 3YP Reconciliation v0.1_ZBB Budget 2009 Decks_with Korea Scope in (Only LE) 2 3" xfId="560" xr:uid="{00000000-0005-0000-0000-000027020000}"/>
    <cellStyle name="_20070507 ZBB Korea Budget Assumptions_GC v0.4_20070625 ZBB 3YP Reconciliation v0.1_ZBB Budget 2009 Decks_with Korea Scope in (Only LE) 3" xfId="561" xr:uid="{00000000-0005-0000-0000-000028020000}"/>
    <cellStyle name="_20070507 ZBB Korea Budget Assumptions_GC v0.4_20070625 ZBB 3YP Reconciliation v0.1_ZBB Budget 2009 Decks_with Korea Scope in (Only LE) 3 2" xfId="562" xr:uid="{00000000-0005-0000-0000-000029020000}"/>
    <cellStyle name="_20070507 ZBB Korea Budget Assumptions_GC v0.4_20070625 ZBB 3YP Reconciliation v0.1_ZBB Budget 2009 Decks_with Korea Scope in (Only LE) 4" xfId="563" xr:uid="{00000000-0005-0000-0000-00002A020000}"/>
    <cellStyle name="_20070507 ZBB Korea Budget Assumptions_GC v0.4_20070625 ZBB 3YP Reconciliation v0.1_ZBB Budget 2009 Decks_with Korea Scope in (Only LE) 4 2" xfId="564" xr:uid="{00000000-0005-0000-0000-00002B020000}"/>
    <cellStyle name="_20070507 ZBB Korea Budget Assumptions_GC v0.4_20070625 ZBB 3YP Reconciliation v0.1_ZBB Budget 2009 Decks_with Korea Scope in (Only LE) 5" xfId="565" xr:uid="{00000000-0005-0000-0000-00002C020000}"/>
    <cellStyle name="_20070507 ZBB Korea Budget Assumptions_GC v0.4_20070625 ZBB 3YP Reconciliation v0.1_ZBB Budget 2009 Decks_with Korea Scope in (Only LE) 6" xfId="566" xr:uid="{00000000-0005-0000-0000-00002D020000}"/>
    <cellStyle name="_20070507 ZBB Korea Budget Assumptions_GC v0.4_20070625 ZBB 3YP Reconciliation v0.2" xfId="567" xr:uid="{00000000-0005-0000-0000-00002E020000}"/>
    <cellStyle name="_20070507 ZBB Korea Budget Assumptions_GC v0.4_20070625 ZBB 3YP Reconciliation v0.2 2" xfId="568" xr:uid="{00000000-0005-0000-0000-00002F020000}"/>
    <cellStyle name="_20070507 ZBB Korea Budget Assumptions_GC v0.4_20070625 ZBB 3YP Reconciliation v0.2 2 2" xfId="569" xr:uid="{00000000-0005-0000-0000-000030020000}"/>
    <cellStyle name="_20070507 ZBB Korea Budget Assumptions_GC v0.4_20070625 ZBB 3YP Reconciliation v0.2 2 2 2" xfId="570" xr:uid="{00000000-0005-0000-0000-000031020000}"/>
    <cellStyle name="_20070507 ZBB Korea Budget Assumptions_GC v0.4_20070625 ZBB 3YP Reconciliation v0.2 2 3" xfId="571" xr:uid="{00000000-0005-0000-0000-000032020000}"/>
    <cellStyle name="_20070507 ZBB Korea Budget Assumptions_GC v0.4_20070625 ZBB 3YP Reconciliation v0.2 3" xfId="572" xr:uid="{00000000-0005-0000-0000-000033020000}"/>
    <cellStyle name="_20070507 ZBB Korea Budget Assumptions_GC v0.4_20070625 ZBB 3YP Reconciliation v0.2 3 2" xfId="573" xr:uid="{00000000-0005-0000-0000-000034020000}"/>
    <cellStyle name="_20070507 ZBB Korea Budget Assumptions_GC v0.4_20070625 ZBB 3YP Reconciliation v0.2 4" xfId="574" xr:uid="{00000000-0005-0000-0000-000035020000}"/>
    <cellStyle name="_20070507 ZBB Korea Budget Assumptions_GC v0.4_20070625 ZBB 3YP Reconciliation v0.2_Copy of 081027 ZBB Budget 2009 Decks - People_Cherry_V4" xfId="575" xr:uid="{00000000-0005-0000-0000-000036020000}"/>
    <cellStyle name="_20070507 ZBB Korea Budget Assumptions_GC v0.4_20070625 ZBB 3YP Reconciliation v0.2_Copy of 081027 ZBB Budget 2009 Decks - People_Cherry_V4 2" xfId="576" xr:uid="{00000000-0005-0000-0000-000037020000}"/>
    <cellStyle name="_20070507 ZBB Korea Budget Assumptions_GC v0.4_20070625 ZBB 3YP Reconciliation v0.2_Copy of 081027 ZBB Budget 2009 Decks - People_Cherry_V4 2 2" xfId="577" xr:uid="{00000000-0005-0000-0000-000038020000}"/>
    <cellStyle name="_20070507 ZBB Korea Budget Assumptions_GC v0.4_20070625 ZBB 3YP Reconciliation v0.2_Copy of 081027 ZBB Budget 2009 Decks - People_Cherry_V4 2 2 2" xfId="578" xr:uid="{00000000-0005-0000-0000-000039020000}"/>
    <cellStyle name="_20070507 ZBB Korea Budget Assumptions_GC v0.4_20070625 ZBB 3YP Reconciliation v0.2_Copy of 081027 ZBB Budget 2009 Decks - People_Cherry_V4 2 3" xfId="579" xr:uid="{00000000-0005-0000-0000-00003A020000}"/>
    <cellStyle name="_20070507 ZBB Korea Budget Assumptions_GC v0.4_20070625 ZBB 3YP Reconciliation v0.2_Copy of 081027 ZBB Budget 2009 Decks - People_Cherry_V4 3" xfId="580" xr:uid="{00000000-0005-0000-0000-00003B020000}"/>
    <cellStyle name="_20070507 ZBB Korea Budget Assumptions_GC v0.4_20070625 ZBB 3YP Reconciliation v0.2_Copy of 081027 ZBB Budget 2009 Decks - People_Cherry_V4 3 2" xfId="581" xr:uid="{00000000-0005-0000-0000-00003C020000}"/>
    <cellStyle name="_20070507 ZBB Korea Budget Assumptions_GC v0.4_20070625 ZBB 3YP Reconciliation v0.2_Copy of 081027 ZBB Budget 2009 Decks - People_Cherry_V4 4" xfId="582" xr:uid="{00000000-0005-0000-0000-00003D020000}"/>
    <cellStyle name="_20070507 ZBB Korea Budget Assumptions_GC v0.4_20070625 ZBB 3YP Reconciliation v0.2_ZBB Budget 2009 Decks" xfId="583" xr:uid="{00000000-0005-0000-0000-00003E020000}"/>
    <cellStyle name="_20070507 ZBB Korea Budget Assumptions_GC v0.4_20070625 ZBB 3YP Reconciliation v0.2_ZBB Budget 2009 Decks 2" xfId="584" xr:uid="{00000000-0005-0000-0000-00003F020000}"/>
    <cellStyle name="_20070507 ZBB Korea Budget Assumptions_GC v0.4_20070625 ZBB 3YP Reconciliation v0.2_ZBB Budget 2009 Decks 2 2" xfId="585" xr:uid="{00000000-0005-0000-0000-000040020000}"/>
    <cellStyle name="_20070507 ZBB Korea Budget Assumptions_GC v0.4_20070625 ZBB 3YP Reconciliation v0.2_ZBB Budget 2009 Decks 2 2 2" xfId="586" xr:uid="{00000000-0005-0000-0000-000041020000}"/>
    <cellStyle name="_20070507 ZBB Korea Budget Assumptions_GC v0.4_20070625 ZBB 3YP Reconciliation v0.2_ZBB Budget 2009 Decks 2 3" xfId="587" xr:uid="{00000000-0005-0000-0000-000042020000}"/>
    <cellStyle name="_20070507 ZBB Korea Budget Assumptions_GC v0.4_20070625 ZBB 3YP Reconciliation v0.2_ZBB Budget 2009 Decks 3" xfId="588" xr:uid="{00000000-0005-0000-0000-000043020000}"/>
    <cellStyle name="_20070507 ZBB Korea Budget Assumptions_GC v0.4_20070625 ZBB 3YP Reconciliation v0.2_ZBB Budget 2009 Decks 3 2" xfId="589" xr:uid="{00000000-0005-0000-0000-000044020000}"/>
    <cellStyle name="_20070507 ZBB Korea Budget Assumptions_GC v0.4_20070625 ZBB 3YP Reconciliation v0.2_ZBB Budget 2009 Decks 4" xfId="590" xr:uid="{00000000-0005-0000-0000-000045020000}"/>
    <cellStyle name="_20070507 ZBB Korea Budget Assumptions_GC v0.4_20070625 ZBB 3YP Reconciliation v0.2_ZBB Budget 2009 Decks_with Korea Scope in (Only LE)" xfId="591" xr:uid="{00000000-0005-0000-0000-000046020000}"/>
    <cellStyle name="_20070507 ZBB Korea Budget Assumptions_GC v0.4_20070625 ZBB 3YP Reconciliation v0.2_ZBB Budget 2009 Decks_with Korea Scope in (Only LE) (2)" xfId="592" xr:uid="{00000000-0005-0000-0000-000047020000}"/>
    <cellStyle name="_20070507 ZBB Korea Budget Assumptions_GC v0.4_20070625 ZBB 3YP Reconciliation v0.2_ZBB Budget 2009 Decks_with Korea Scope in (Only LE) (2) 2" xfId="593" xr:uid="{00000000-0005-0000-0000-000048020000}"/>
    <cellStyle name="_20070507 ZBB Korea Budget Assumptions_GC v0.4_20070625 ZBB 3YP Reconciliation v0.2_ZBB Budget 2009 Decks_with Korea Scope in (Only LE) (2) 2 2" xfId="594" xr:uid="{00000000-0005-0000-0000-000049020000}"/>
    <cellStyle name="_20070507 ZBB Korea Budget Assumptions_GC v0.4_20070625 ZBB 3YP Reconciliation v0.2_ZBB Budget 2009 Decks_with Korea Scope in (Only LE) (2) 2 2 2" xfId="595" xr:uid="{00000000-0005-0000-0000-00004A020000}"/>
    <cellStyle name="_20070507 ZBB Korea Budget Assumptions_GC v0.4_20070625 ZBB 3YP Reconciliation v0.2_ZBB Budget 2009 Decks_with Korea Scope in (Only LE) (2) 2 3" xfId="596" xr:uid="{00000000-0005-0000-0000-00004B020000}"/>
    <cellStyle name="_20070507 ZBB Korea Budget Assumptions_GC v0.4_20070625 ZBB 3YP Reconciliation v0.2_ZBB Budget 2009 Decks_with Korea Scope in (Only LE) (2) 3" xfId="597" xr:uid="{00000000-0005-0000-0000-00004C020000}"/>
    <cellStyle name="_20070507 ZBB Korea Budget Assumptions_GC v0.4_20070625 ZBB 3YP Reconciliation v0.2_ZBB Budget 2009 Decks_with Korea Scope in (Only LE) (2) 3 2" xfId="598" xr:uid="{00000000-0005-0000-0000-00004D020000}"/>
    <cellStyle name="_20070507 ZBB Korea Budget Assumptions_GC v0.4_20070625 ZBB 3YP Reconciliation v0.2_ZBB Budget 2009 Decks_with Korea Scope in (Only LE) (2) 4" xfId="599" xr:uid="{00000000-0005-0000-0000-00004E020000}"/>
    <cellStyle name="_20070507 ZBB Korea Budget Assumptions_GC v0.4_20070625 ZBB 3YP Reconciliation v0.2_ZBB Budget 2009 Decks_with Korea Scope in (Only LE) 2" xfId="600" xr:uid="{00000000-0005-0000-0000-00004F020000}"/>
    <cellStyle name="_20070507 ZBB Korea Budget Assumptions_GC v0.4_20070625 ZBB 3YP Reconciliation v0.2_ZBB Budget 2009 Decks_with Korea Scope in (Only LE) 2 2" xfId="601" xr:uid="{00000000-0005-0000-0000-000050020000}"/>
    <cellStyle name="_20070507 ZBB Korea Budget Assumptions_GC v0.4_20070625 ZBB 3YP Reconciliation v0.2_ZBB Budget 2009 Decks_with Korea Scope in (Only LE) 2 2 2" xfId="602" xr:uid="{00000000-0005-0000-0000-000051020000}"/>
    <cellStyle name="_20070507 ZBB Korea Budget Assumptions_GC v0.4_20070625 ZBB 3YP Reconciliation v0.2_ZBB Budget 2009 Decks_with Korea Scope in (Only LE) 2 3" xfId="603" xr:uid="{00000000-0005-0000-0000-000052020000}"/>
    <cellStyle name="_20070507 ZBB Korea Budget Assumptions_GC v0.4_20070625 ZBB 3YP Reconciliation v0.2_ZBB Budget 2009 Decks_with Korea Scope in (Only LE) 3" xfId="604" xr:uid="{00000000-0005-0000-0000-000053020000}"/>
    <cellStyle name="_20070507 ZBB Korea Budget Assumptions_GC v0.4_20070625 ZBB 3YP Reconciliation v0.2_ZBB Budget 2009 Decks_with Korea Scope in (Only LE) 3 2" xfId="605" xr:uid="{00000000-0005-0000-0000-000054020000}"/>
    <cellStyle name="_20070507 ZBB Korea Budget Assumptions_GC v0.4_20070625 ZBB 3YP Reconciliation v0.2_ZBB Budget 2009 Decks_with Korea Scope in (Only LE) 4" xfId="606" xr:uid="{00000000-0005-0000-0000-000055020000}"/>
    <cellStyle name="_20070507 ZBB Korea Budget Assumptions_GC v0.4_20070625 ZBB 3YP Reconciliation v0.2_ZBB Budget 2009 Decks_with Korea Scope in (Only LE) 4 2" xfId="607" xr:uid="{00000000-0005-0000-0000-000056020000}"/>
    <cellStyle name="_20070507 ZBB Korea Budget Assumptions_GC v0.4_20070625 ZBB 3YP Reconciliation v0.2_ZBB Budget 2009 Decks_with Korea Scope in (Only LE) 5" xfId="608" xr:uid="{00000000-0005-0000-0000-000057020000}"/>
    <cellStyle name="_20070507 ZBB Korea Budget Assumptions_GC v0.4_20070625 ZBB 3YP Reconciliation v0.2_ZBB Budget 2009 Decks_with Korea Scope in (Only LE) 6" xfId="609" xr:uid="{00000000-0005-0000-0000-000058020000}"/>
    <cellStyle name="_20070507 ZBB Korea Budget Assumptions_GC v0.4_20070625 ZBB 3YP Reconciliation v0.4" xfId="610" xr:uid="{00000000-0005-0000-0000-000059020000}"/>
    <cellStyle name="_20070507 ZBB Korea Budget Assumptions_GC v0.4_20070625 ZBB 3YP Reconciliation v0.4 2" xfId="611" xr:uid="{00000000-0005-0000-0000-00005A020000}"/>
    <cellStyle name="_20070507 ZBB Korea Budget Assumptions_GC v0.4_20070625 ZBB 3YP Reconciliation v0.4 2 2" xfId="612" xr:uid="{00000000-0005-0000-0000-00005B020000}"/>
    <cellStyle name="_20070507 ZBB Korea Budget Assumptions_GC v0.4_20070625 ZBB 3YP Reconciliation v0.4 2 2 2" xfId="613" xr:uid="{00000000-0005-0000-0000-00005C020000}"/>
    <cellStyle name="_20070507 ZBB Korea Budget Assumptions_GC v0.4_20070625 ZBB 3YP Reconciliation v0.4 2 3" xfId="614" xr:uid="{00000000-0005-0000-0000-00005D020000}"/>
    <cellStyle name="_20070507 ZBB Korea Budget Assumptions_GC v0.4_20070625 ZBB 3YP Reconciliation v0.4 3" xfId="615" xr:uid="{00000000-0005-0000-0000-00005E020000}"/>
    <cellStyle name="_20070507 ZBB Korea Budget Assumptions_GC v0.4_20070625 ZBB 3YP Reconciliation v0.4 3 2" xfId="616" xr:uid="{00000000-0005-0000-0000-00005F020000}"/>
    <cellStyle name="_20070507 ZBB Korea Budget Assumptions_GC v0.4_20070625 ZBB 3YP Reconciliation v0.4 4" xfId="617" xr:uid="{00000000-0005-0000-0000-000060020000}"/>
    <cellStyle name="_20070507 ZBB Korea Budget Assumptions_GC v0.4_20070625 ZBB 3YP Reconciliation v0.4_Copy of 081027 ZBB Budget 2009 Decks - People_Cherry_V4" xfId="618" xr:uid="{00000000-0005-0000-0000-000061020000}"/>
    <cellStyle name="_20070507 ZBB Korea Budget Assumptions_GC v0.4_20070625 ZBB 3YP Reconciliation v0.4_Copy of 081027 ZBB Budget 2009 Decks - People_Cherry_V4 2" xfId="619" xr:uid="{00000000-0005-0000-0000-000062020000}"/>
    <cellStyle name="_20070507 ZBB Korea Budget Assumptions_GC v0.4_20070625 ZBB 3YP Reconciliation v0.4_Copy of 081027 ZBB Budget 2009 Decks - People_Cherry_V4 2 2" xfId="620" xr:uid="{00000000-0005-0000-0000-000063020000}"/>
    <cellStyle name="_20070507 ZBB Korea Budget Assumptions_GC v0.4_20070625 ZBB 3YP Reconciliation v0.4_Copy of 081027 ZBB Budget 2009 Decks - People_Cherry_V4 2 2 2" xfId="621" xr:uid="{00000000-0005-0000-0000-000064020000}"/>
    <cellStyle name="_20070507 ZBB Korea Budget Assumptions_GC v0.4_20070625 ZBB 3YP Reconciliation v0.4_Copy of 081027 ZBB Budget 2009 Decks - People_Cherry_V4 2 3" xfId="622" xr:uid="{00000000-0005-0000-0000-000065020000}"/>
    <cellStyle name="_20070507 ZBB Korea Budget Assumptions_GC v0.4_20070625 ZBB 3YP Reconciliation v0.4_Copy of 081027 ZBB Budget 2009 Decks - People_Cherry_V4 3" xfId="623" xr:uid="{00000000-0005-0000-0000-000066020000}"/>
    <cellStyle name="_20070507 ZBB Korea Budget Assumptions_GC v0.4_20070625 ZBB 3YP Reconciliation v0.4_Copy of 081027 ZBB Budget 2009 Decks - People_Cherry_V4 3 2" xfId="624" xr:uid="{00000000-0005-0000-0000-000067020000}"/>
    <cellStyle name="_20070507 ZBB Korea Budget Assumptions_GC v0.4_20070625 ZBB 3YP Reconciliation v0.4_Copy of 081027 ZBB Budget 2009 Decks - People_Cherry_V4 4" xfId="625" xr:uid="{00000000-0005-0000-0000-000068020000}"/>
    <cellStyle name="_20070507 ZBB Korea Budget Assumptions_GC v0.4_20070625 ZBB 3YP Reconciliation v0.4_ZBB Budget 2009 Decks" xfId="626" xr:uid="{00000000-0005-0000-0000-000069020000}"/>
    <cellStyle name="_20070507 ZBB Korea Budget Assumptions_GC v0.4_20070625 ZBB 3YP Reconciliation v0.4_ZBB Budget 2009 Decks 2" xfId="627" xr:uid="{00000000-0005-0000-0000-00006A020000}"/>
    <cellStyle name="_20070507 ZBB Korea Budget Assumptions_GC v0.4_20070625 ZBB 3YP Reconciliation v0.4_ZBB Budget 2009 Decks 2 2" xfId="628" xr:uid="{00000000-0005-0000-0000-00006B020000}"/>
    <cellStyle name="_20070507 ZBB Korea Budget Assumptions_GC v0.4_20070625 ZBB 3YP Reconciliation v0.4_ZBB Budget 2009 Decks 2 2 2" xfId="629" xr:uid="{00000000-0005-0000-0000-00006C020000}"/>
    <cellStyle name="_20070507 ZBB Korea Budget Assumptions_GC v0.4_20070625 ZBB 3YP Reconciliation v0.4_ZBB Budget 2009 Decks 2 3" xfId="630" xr:uid="{00000000-0005-0000-0000-00006D020000}"/>
    <cellStyle name="_20070507 ZBB Korea Budget Assumptions_GC v0.4_20070625 ZBB 3YP Reconciliation v0.4_ZBB Budget 2009 Decks 3" xfId="631" xr:uid="{00000000-0005-0000-0000-00006E020000}"/>
    <cellStyle name="_20070507 ZBB Korea Budget Assumptions_GC v0.4_20070625 ZBB 3YP Reconciliation v0.4_ZBB Budget 2009 Decks 3 2" xfId="632" xr:uid="{00000000-0005-0000-0000-00006F020000}"/>
    <cellStyle name="_20070507 ZBB Korea Budget Assumptions_GC v0.4_20070625 ZBB 3YP Reconciliation v0.4_ZBB Budget 2009 Decks 4" xfId="633" xr:uid="{00000000-0005-0000-0000-000070020000}"/>
    <cellStyle name="_20070507 ZBB Korea Budget Assumptions_GC v0.4_20070625 ZBB 3YP Reconciliation v0.4_ZBB Budget 2009 Decks_with Korea Scope in (Only LE)" xfId="634" xr:uid="{00000000-0005-0000-0000-000071020000}"/>
    <cellStyle name="_20070507 ZBB Korea Budget Assumptions_GC v0.4_20070625 ZBB 3YP Reconciliation v0.4_ZBB Budget 2009 Decks_with Korea Scope in (Only LE) (2)" xfId="635" xr:uid="{00000000-0005-0000-0000-000072020000}"/>
    <cellStyle name="_20070507 ZBB Korea Budget Assumptions_GC v0.4_20070625 ZBB 3YP Reconciliation v0.4_ZBB Budget 2009 Decks_with Korea Scope in (Only LE) (2) 2" xfId="636" xr:uid="{00000000-0005-0000-0000-000073020000}"/>
    <cellStyle name="_20070507 ZBB Korea Budget Assumptions_GC v0.4_20070625 ZBB 3YP Reconciliation v0.4_ZBB Budget 2009 Decks_with Korea Scope in (Only LE) (2) 2 2" xfId="637" xr:uid="{00000000-0005-0000-0000-000074020000}"/>
    <cellStyle name="_20070507 ZBB Korea Budget Assumptions_GC v0.4_20070625 ZBB 3YP Reconciliation v0.4_ZBB Budget 2009 Decks_with Korea Scope in (Only LE) (2) 2 2 2" xfId="638" xr:uid="{00000000-0005-0000-0000-000075020000}"/>
    <cellStyle name="_20070507 ZBB Korea Budget Assumptions_GC v0.4_20070625 ZBB 3YP Reconciliation v0.4_ZBB Budget 2009 Decks_with Korea Scope in (Only LE) (2) 2 3" xfId="639" xr:uid="{00000000-0005-0000-0000-000076020000}"/>
    <cellStyle name="_20070507 ZBB Korea Budget Assumptions_GC v0.4_20070625 ZBB 3YP Reconciliation v0.4_ZBB Budget 2009 Decks_with Korea Scope in (Only LE) (2) 3" xfId="640" xr:uid="{00000000-0005-0000-0000-000077020000}"/>
    <cellStyle name="_20070507 ZBB Korea Budget Assumptions_GC v0.4_20070625 ZBB 3YP Reconciliation v0.4_ZBB Budget 2009 Decks_with Korea Scope in (Only LE) (2) 3 2" xfId="641" xr:uid="{00000000-0005-0000-0000-000078020000}"/>
    <cellStyle name="_20070507 ZBB Korea Budget Assumptions_GC v0.4_20070625 ZBB 3YP Reconciliation v0.4_ZBB Budget 2009 Decks_with Korea Scope in (Only LE) (2) 4" xfId="642" xr:uid="{00000000-0005-0000-0000-000079020000}"/>
    <cellStyle name="_20070507 ZBB Korea Budget Assumptions_GC v0.4_20070625 ZBB 3YP Reconciliation v0.4_ZBB Budget 2009 Decks_with Korea Scope in (Only LE) 2" xfId="643" xr:uid="{00000000-0005-0000-0000-00007A020000}"/>
    <cellStyle name="_20070507 ZBB Korea Budget Assumptions_GC v0.4_20070625 ZBB 3YP Reconciliation v0.4_ZBB Budget 2009 Decks_with Korea Scope in (Only LE) 2 2" xfId="644" xr:uid="{00000000-0005-0000-0000-00007B020000}"/>
    <cellStyle name="_20070507 ZBB Korea Budget Assumptions_GC v0.4_20070625 ZBB 3YP Reconciliation v0.4_ZBB Budget 2009 Decks_with Korea Scope in (Only LE) 2 2 2" xfId="645" xr:uid="{00000000-0005-0000-0000-00007C020000}"/>
    <cellStyle name="_20070507 ZBB Korea Budget Assumptions_GC v0.4_20070625 ZBB 3YP Reconciliation v0.4_ZBB Budget 2009 Decks_with Korea Scope in (Only LE) 2 3" xfId="646" xr:uid="{00000000-0005-0000-0000-00007D020000}"/>
    <cellStyle name="_20070507 ZBB Korea Budget Assumptions_GC v0.4_20070625 ZBB 3YP Reconciliation v0.4_ZBB Budget 2009 Decks_with Korea Scope in (Only LE) 3" xfId="647" xr:uid="{00000000-0005-0000-0000-00007E020000}"/>
    <cellStyle name="_20070507 ZBB Korea Budget Assumptions_GC v0.4_20070625 ZBB 3YP Reconciliation v0.4_ZBB Budget 2009 Decks_with Korea Scope in (Only LE) 3 2" xfId="648" xr:uid="{00000000-0005-0000-0000-00007F020000}"/>
    <cellStyle name="_20070507 ZBB Korea Budget Assumptions_GC v0.4_20070625 ZBB 3YP Reconciliation v0.4_ZBB Budget 2009 Decks_with Korea Scope in (Only LE) 4" xfId="649" xr:uid="{00000000-0005-0000-0000-000080020000}"/>
    <cellStyle name="_20070507 ZBB Korea Budget Assumptions_GC v0.4_20070625 ZBB 3YP Reconciliation v0.4_ZBB Budget 2009 Decks_with Korea Scope in (Only LE) 4 2" xfId="650" xr:uid="{00000000-0005-0000-0000-000081020000}"/>
    <cellStyle name="_20070507 ZBB Korea Budget Assumptions_GC v0.4_20070625 ZBB 3YP Reconciliation v0.4_ZBB Budget 2009 Decks_with Korea Scope in (Only LE) 5" xfId="651" xr:uid="{00000000-0005-0000-0000-000082020000}"/>
    <cellStyle name="_20070507 ZBB Korea Budget Assumptions_GC v0.4_20070625 ZBB 3YP Reconciliation v0.4_ZBB Budget 2009 Decks_with Korea Scope in (Only LE) 6" xfId="652" xr:uid="{00000000-0005-0000-0000-000083020000}"/>
    <cellStyle name="_20070507 ZBB Korea Budget Assumptions_GC v0.4_20070625 ZBB 3YP Reconciliation v0.5" xfId="653" xr:uid="{00000000-0005-0000-0000-000084020000}"/>
    <cellStyle name="_20070507 ZBB Korea Budget Assumptions_GC v0.4_20070625 ZBB 3YP Reconciliation v0.5 2" xfId="654" xr:uid="{00000000-0005-0000-0000-000085020000}"/>
    <cellStyle name="_20070507 ZBB Korea Budget Assumptions_GC v0.4_20070625 ZBB 3YP Reconciliation v0.5 2 2" xfId="655" xr:uid="{00000000-0005-0000-0000-000086020000}"/>
    <cellStyle name="_20070507 ZBB Korea Budget Assumptions_GC v0.4_20070625 ZBB 3YP Reconciliation v0.5 2 2 2" xfId="656" xr:uid="{00000000-0005-0000-0000-000087020000}"/>
    <cellStyle name="_20070507 ZBB Korea Budget Assumptions_GC v0.4_20070625 ZBB 3YP Reconciliation v0.5 2 3" xfId="657" xr:uid="{00000000-0005-0000-0000-000088020000}"/>
    <cellStyle name="_20070507 ZBB Korea Budget Assumptions_GC v0.4_20070625 ZBB 3YP Reconciliation v0.5 3" xfId="658" xr:uid="{00000000-0005-0000-0000-000089020000}"/>
    <cellStyle name="_20070507 ZBB Korea Budget Assumptions_GC v0.4_20070625 ZBB 3YP Reconciliation v0.5 3 2" xfId="659" xr:uid="{00000000-0005-0000-0000-00008A020000}"/>
    <cellStyle name="_20070507 ZBB Korea Budget Assumptions_GC v0.4_20070625 ZBB 3YP Reconciliation v0.5 4" xfId="660" xr:uid="{00000000-0005-0000-0000-00008B020000}"/>
    <cellStyle name="_20070507 ZBB Korea Budget Assumptions_GC v0.4_20070625 ZBB 3YP Reconciliation v0.5_Copy of 081027 ZBB Budget 2009 Decks - People_Cherry_V4" xfId="661" xr:uid="{00000000-0005-0000-0000-00008C020000}"/>
    <cellStyle name="_20070507 ZBB Korea Budget Assumptions_GC v0.4_20070625 ZBB 3YP Reconciliation v0.5_Copy of 081027 ZBB Budget 2009 Decks - People_Cherry_V4 2" xfId="662" xr:uid="{00000000-0005-0000-0000-00008D020000}"/>
    <cellStyle name="_20070507 ZBB Korea Budget Assumptions_GC v0.4_20070625 ZBB 3YP Reconciliation v0.5_Copy of 081027 ZBB Budget 2009 Decks - People_Cherry_V4 2 2" xfId="663" xr:uid="{00000000-0005-0000-0000-00008E020000}"/>
    <cellStyle name="_20070507 ZBB Korea Budget Assumptions_GC v0.4_20070625 ZBB 3YP Reconciliation v0.5_Copy of 081027 ZBB Budget 2009 Decks - People_Cherry_V4 2 2 2" xfId="664" xr:uid="{00000000-0005-0000-0000-00008F020000}"/>
    <cellStyle name="_20070507 ZBB Korea Budget Assumptions_GC v0.4_20070625 ZBB 3YP Reconciliation v0.5_Copy of 081027 ZBB Budget 2009 Decks - People_Cherry_V4 2 3" xfId="665" xr:uid="{00000000-0005-0000-0000-000090020000}"/>
    <cellStyle name="_20070507 ZBB Korea Budget Assumptions_GC v0.4_20070625 ZBB 3YP Reconciliation v0.5_Copy of 081027 ZBB Budget 2009 Decks - People_Cherry_V4 3" xfId="666" xr:uid="{00000000-0005-0000-0000-000091020000}"/>
    <cellStyle name="_20070507 ZBB Korea Budget Assumptions_GC v0.4_20070625 ZBB 3YP Reconciliation v0.5_Copy of 081027 ZBB Budget 2009 Decks - People_Cherry_V4 3 2" xfId="667" xr:uid="{00000000-0005-0000-0000-000092020000}"/>
    <cellStyle name="_20070507 ZBB Korea Budget Assumptions_GC v0.4_20070625 ZBB 3YP Reconciliation v0.5_Copy of 081027 ZBB Budget 2009 Decks - People_Cherry_V4 4" xfId="668" xr:uid="{00000000-0005-0000-0000-000093020000}"/>
    <cellStyle name="_20070507 ZBB Korea Budget Assumptions_GC v0.4_20070625 ZBB 3YP Reconciliation v0.5_ZBB Budget 2009 Decks" xfId="669" xr:uid="{00000000-0005-0000-0000-000094020000}"/>
    <cellStyle name="_20070507 ZBB Korea Budget Assumptions_GC v0.4_20070625 ZBB 3YP Reconciliation v0.5_ZBB Budget 2009 Decks 2" xfId="670" xr:uid="{00000000-0005-0000-0000-000095020000}"/>
    <cellStyle name="_20070507 ZBB Korea Budget Assumptions_GC v0.4_20070625 ZBB 3YP Reconciliation v0.5_ZBB Budget 2009 Decks 2 2" xfId="671" xr:uid="{00000000-0005-0000-0000-000096020000}"/>
    <cellStyle name="_20070507 ZBB Korea Budget Assumptions_GC v0.4_20070625 ZBB 3YP Reconciliation v0.5_ZBB Budget 2009 Decks 2 2 2" xfId="672" xr:uid="{00000000-0005-0000-0000-000097020000}"/>
    <cellStyle name="_20070507 ZBB Korea Budget Assumptions_GC v0.4_20070625 ZBB 3YP Reconciliation v0.5_ZBB Budget 2009 Decks 2 3" xfId="673" xr:uid="{00000000-0005-0000-0000-000098020000}"/>
    <cellStyle name="_20070507 ZBB Korea Budget Assumptions_GC v0.4_20070625 ZBB 3YP Reconciliation v0.5_ZBB Budget 2009 Decks 3" xfId="674" xr:uid="{00000000-0005-0000-0000-000099020000}"/>
    <cellStyle name="_20070507 ZBB Korea Budget Assumptions_GC v0.4_20070625 ZBB 3YP Reconciliation v0.5_ZBB Budget 2009 Decks 3 2" xfId="675" xr:uid="{00000000-0005-0000-0000-00009A020000}"/>
    <cellStyle name="_20070507 ZBB Korea Budget Assumptions_GC v0.4_20070625 ZBB 3YP Reconciliation v0.5_ZBB Budget 2009 Decks 4" xfId="676" xr:uid="{00000000-0005-0000-0000-00009B020000}"/>
    <cellStyle name="_20070507 ZBB Korea Budget Assumptions_GC v0.4_20070625 ZBB 3YP Reconciliation v0.5_ZBB Budget 2009 Decks_with Korea Scope in (Only LE)" xfId="677" xr:uid="{00000000-0005-0000-0000-00009C020000}"/>
    <cellStyle name="_20070507 ZBB Korea Budget Assumptions_GC v0.4_20070625 ZBB 3YP Reconciliation v0.5_ZBB Budget 2009 Decks_with Korea Scope in (Only LE) (2)" xfId="678" xr:uid="{00000000-0005-0000-0000-00009D020000}"/>
    <cellStyle name="_20070507 ZBB Korea Budget Assumptions_GC v0.4_20070625 ZBB 3YP Reconciliation v0.5_ZBB Budget 2009 Decks_with Korea Scope in (Only LE) (2) 2" xfId="679" xr:uid="{00000000-0005-0000-0000-00009E020000}"/>
    <cellStyle name="_20070507 ZBB Korea Budget Assumptions_GC v0.4_20070625 ZBB 3YP Reconciliation v0.5_ZBB Budget 2009 Decks_with Korea Scope in (Only LE) (2) 2 2" xfId="680" xr:uid="{00000000-0005-0000-0000-00009F020000}"/>
    <cellStyle name="_20070507 ZBB Korea Budget Assumptions_GC v0.4_20070625 ZBB 3YP Reconciliation v0.5_ZBB Budget 2009 Decks_with Korea Scope in (Only LE) (2) 2 2 2" xfId="681" xr:uid="{00000000-0005-0000-0000-0000A0020000}"/>
    <cellStyle name="_20070507 ZBB Korea Budget Assumptions_GC v0.4_20070625 ZBB 3YP Reconciliation v0.5_ZBB Budget 2009 Decks_with Korea Scope in (Only LE) (2) 2 3" xfId="682" xr:uid="{00000000-0005-0000-0000-0000A1020000}"/>
    <cellStyle name="_20070507 ZBB Korea Budget Assumptions_GC v0.4_20070625 ZBB 3YP Reconciliation v0.5_ZBB Budget 2009 Decks_with Korea Scope in (Only LE) (2) 3" xfId="683" xr:uid="{00000000-0005-0000-0000-0000A2020000}"/>
    <cellStyle name="_20070507 ZBB Korea Budget Assumptions_GC v0.4_20070625 ZBB 3YP Reconciliation v0.5_ZBB Budget 2009 Decks_with Korea Scope in (Only LE) (2) 3 2" xfId="684" xr:uid="{00000000-0005-0000-0000-0000A3020000}"/>
    <cellStyle name="_20070507 ZBB Korea Budget Assumptions_GC v0.4_20070625 ZBB 3YP Reconciliation v0.5_ZBB Budget 2009 Decks_with Korea Scope in (Only LE) (2) 4" xfId="685" xr:uid="{00000000-0005-0000-0000-0000A4020000}"/>
    <cellStyle name="_20070507 ZBB Korea Budget Assumptions_GC v0.4_20070625 ZBB 3YP Reconciliation v0.5_ZBB Budget 2009 Decks_with Korea Scope in (Only LE) 2" xfId="686" xr:uid="{00000000-0005-0000-0000-0000A5020000}"/>
    <cellStyle name="_20070507 ZBB Korea Budget Assumptions_GC v0.4_20070625 ZBB 3YP Reconciliation v0.5_ZBB Budget 2009 Decks_with Korea Scope in (Only LE) 2 2" xfId="687" xr:uid="{00000000-0005-0000-0000-0000A6020000}"/>
    <cellStyle name="_20070507 ZBB Korea Budget Assumptions_GC v0.4_20070625 ZBB 3YP Reconciliation v0.5_ZBB Budget 2009 Decks_with Korea Scope in (Only LE) 2 2 2" xfId="688" xr:uid="{00000000-0005-0000-0000-0000A7020000}"/>
    <cellStyle name="_20070507 ZBB Korea Budget Assumptions_GC v0.4_20070625 ZBB 3YP Reconciliation v0.5_ZBB Budget 2009 Decks_with Korea Scope in (Only LE) 2 3" xfId="689" xr:uid="{00000000-0005-0000-0000-0000A8020000}"/>
    <cellStyle name="_20070507 ZBB Korea Budget Assumptions_GC v0.4_20070625 ZBB 3YP Reconciliation v0.5_ZBB Budget 2009 Decks_with Korea Scope in (Only LE) 3" xfId="690" xr:uid="{00000000-0005-0000-0000-0000A9020000}"/>
    <cellStyle name="_20070507 ZBB Korea Budget Assumptions_GC v0.4_20070625 ZBB 3YP Reconciliation v0.5_ZBB Budget 2009 Decks_with Korea Scope in (Only LE) 3 2" xfId="691" xr:uid="{00000000-0005-0000-0000-0000AA020000}"/>
    <cellStyle name="_20070507 ZBB Korea Budget Assumptions_GC v0.4_20070625 ZBB 3YP Reconciliation v0.5_ZBB Budget 2009 Decks_with Korea Scope in (Only LE) 4" xfId="692" xr:uid="{00000000-0005-0000-0000-0000AB020000}"/>
    <cellStyle name="_20070507 ZBB Korea Budget Assumptions_GC v0.4_20070625 ZBB 3YP Reconciliation v0.5_ZBB Budget 2009 Decks_with Korea Scope in (Only LE) 4 2" xfId="693" xr:uid="{00000000-0005-0000-0000-0000AC020000}"/>
    <cellStyle name="_20070507 ZBB Korea Budget Assumptions_GC v0.4_20070625 ZBB 3YP Reconciliation v0.5_ZBB Budget 2009 Decks_with Korea Scope in (Only LE) 5" xfId="694" xr:uid="{00000000-0005-0000-0000-0000AD020000}"/>
    <cellStyle name="_20070507 ZBB Korea Budget Assumptions_GC v0.4_20070625 ZBB 3YP Reconciliation v0.5_ZBB Budget 2009 Decks_with Korea Scope in (Only LE) 6" xfId="695" xr:uid="{00000000-0005-0000-0000-0000AE020000}"/>
    <cellStyle name="_20070507 ZBB Korea Budget Assumptions_GC v0.4_Copy of 081027 ZBB Budget 2009 Decks - People_Cherry_V4" xfId="696" xr:uid="{00000000-0005-0000-0000-0000AF020000}"/>
    <cellStyle name="_20070507 ZBB Korea Budget Assumptions_GC v0.4_Copy of 081027 ZBB Budget 2009 Decks - People_Cherry_V4 2" xfId="697" xr:uid="{00000000-0005-0000-0000-0000B0020000}"/>
    <cellStyle name="_20070507 ZBB Korea Budget Assumptions_GC v0.4_Copy of 081027 ZBB Budget 2009 Decks - People_Cherry_V4 2 2" xfId="698" xr:uid="{00000000-0005-0000-0000-0000B1020000}"/>
    <cellStyle name="_20070507 ZBB Korea Budget Assumptions_GC v0.4_Copy of 081027 ZBB Budget 2009 Decks - People_Cherry_V4 2 2 2" xfId="699" xr:uid="{00000000-0005-0000-0000-0000B2020000}"/>
    <cellStyle name="_20070507 ZBB Korea Budget Assumptions_GC v0.4_Copy of 081027 ZBB Budget 2009 Decks - People_Cherry_V4 2 3" xfId="700" xr:uid="{00000000-0005-0000-0000-0000B3020000}"/>
    <cellStyle name="_20070507 ZBB Korea Budget Assumptions_GC v0.4_Copy of 081027 ZBB Budget 2009 Decks - People_Cherry_V4 3" xfId="701" xr:uid="{00000000-0005-0000-0000-0000B4020000}"/>
    <cellStyle name="_20070507 ZBB Korea Budget Assumptions_GC v0.4_Copy of 081027 ZBB Budget 2009 Decks - People_Cherry_V4 3 2" xfId="702" xr:uid="{00000000-0005-0000-0000-0000B5020000}"/>
    <cellStyle name="_20070507 ZBB Korea Budget Assumptions_GC v0.4_Copy of 081027 ZBB Budget 2009 Decks - People_Cherry_V4 4" xfId="703" xr:uid="{00000000-0005-0000-0000-0000B6020000}"/>
    <cellStyle name="_20070507 ZBB Korea Budget Assumptions_GC v0.4_Copy of 3YPlan Zone One-Page - China v0 3" xfId="704" xr:uid="{00000000-0005-0000-0000-0000B7020000}"/>
    <cellStyle name="_20070507 ZBB Korea Budget Assumptions_GC v0.4_Copy of 3YPlan Zone One-Page - China v0 3 2" xfId="705" xr:uid="{00000000-0005-0000-0000-0000B8020000}"/>
    <cellStyle name="_20070507 ZBB Korea Budget Assumptions_GC v0.4_Copy of 3YPlan Zone One-Page - China v0 3 2 2" xfId="706" xr:uid="{00000000-0005-0000-0000-0000B9020000}"/>
    <cellStyle name="_20070507 ZBB Korea Budget Assumptions_GC v0.4_Copy of 3YPlan Zone One-Page - China v0 3 2 2 2" xfId="707" xr:uid="{00000000-0005-0000-0000-0000BA020000}"/>
    <cellStyle name="_20070507 ZBB Korea Budget Assumptions_GC v0.4_Copy of 3YPlan Zone One-Page - China v0 3 2 3" xfId="708" xr:uid="{00000000-0005-0000-0000-0000BB020000}"/>
    <cellStyle name="_20070507 ZBB Korea Budget Assumptions_GC v0.4_Copy of 3YPlan Zone One-Page - China v0 3 3" xfId="709" xr:uid="{00000000-0005-0000-0000-0000BC020000}"/>
    <cellStyle name="_20070507 ZBB Korea Budget Assumptions_GC v0.4_Copy of 3YPlan Zone One-Page - China v0 3 3 2" xfId="710" xr:uid="{00000000-0005-0000-0000-0000BD020000}"/>
    <cellStyle name="_20070507 ZBB Korea Budget Assumptions_GC v0.4_Copy of 3YPlan Zone One-Page - China v0 3 4" xfId="711" xr:uid="{00000000-0005-0000-0000-0000BE020000}"/>
    <cellStyle name="_20070507 ZBB Korea Budget Assumptions_GC v0.4_Copy of 3YPlan Zone One-Page - China v0 3_Copy of 081027 ZBB Budget 2009 Decks - People_Cherry_V4" xfId="712" xr:uid="{00000000-0005-0000-0000-0000BF020000}"/>
    <cellStyle name="_20070507 ZBB Korea Budget Assumptions_GC v0.4_Copy of 3YPlan Zone One-Page - China v0 3_Copy of 081027 ZBB Budget 2009 Decks - People_Cherry_V4 2" xfId="713" xr:uid="{00000000-0005-0000-0000-0000C0020000}"/>
    <cellStyle name="_20070507 ZBB Korea Budget Assumptions_GC v0.4_Copy of 3YPlan Zone One-Page - China v0 3_Copy of 081027 ZBB Budget 2009 Decks - People_Cherry_V4 2 2" xfId="714" xr:uid="{00000000-0005-0000-0000-0000C1020000}"/>
    <cellStyle name="_20070507 ZBB Korea Budget Assumptions_GC v0.4_Copy of 3YPlan Zone One-Page - China v0 3_Copy of 081027 ZBB Budget 2009 Decks - People_Cherry_V4 2 2 2" xfId="715" xr:uid="{00000000-0005-0000-0000-0000C2020000}"/>
    <cellStyle name="_20070507 ZBB Korea Budget Assumptions_GC v0.4_Copy of 3YPlan Zone One-Page - China v0 3_Copy of 081027 ZBB Budget 2009 Decks - People_Cherry_V4 2 3" xfId="716" xr:uid="{00000000-0005-0000-0000-0000C3020000}"/>
    <cellStyle name="_20070507 ZBB Korea Budget Assumptions_GC v0.4_Copy of 3YPlan Zone One-Page - China v0 3_Copy of 081027 ZBB Budget 2009 Decks - People_Cherry_V4 3" xfId="717" xr:uid="{00000000-0005-0000-0000-0000C4020000}"/>
    <cellStyle name="_20070507 ZBB Korea Budget Assumptions_GC v0.4_Copy of 3YPlan Zone One-Page - China v0 3_Copy of 081027 ZBB Budget 2009 Decks - People_Cherry_V4 3 2" xfId="718" xr:uid="{00000000-0005-0000-0000-0000C5020000}"/>
    <cellStyle name="_20070507 ZBB Korea Budget Assumptions_GC v0.4_Copy of 3YPlan Zone One-Page - China v0 3_Copy of 081027 ZBB Budget 2009 Decks - People_Cherry_V4 4" xfId="719" xr:uid="{00000000-0005-0000-0000-0000C6020000}"/>
    <cellStyle name="_20070507 ZBB Korea Budget Assumptions_GC v0.4_Copy of 3YPlan Zone One-Page - China v0 3_ZBB Budget 2009 Decks" xfId="720" xr:uid="{00000000-0005-0000-0000-0000C7020000}"/>
    <cellStyle name="_20070507 ZBB Korea Budget Assumptions_GC v0.4_Copy of 3YPlan Zone One-Page - China v0 3_ZBB Budget 2009 Decks 2" xfId="721" xr:uid="{00000000-0005-0000-0000-0000C8020000}"/>
    <cellStyle name="_20070507 ZBB Korea Budget Assumptions_GC v0.4_Copy of 3YPlan Zone One-Page - China v0 3_ZBB Budget 2009 Decks 2 2" xfId="722" xr:uid="{00000000-0005-0000-0000-0000C9020000}"/>
    <cellStyle name="_20070507 ZBB Korea Budget Assumptions_GC v0.4_Copy of 3YPlan Zone One-Page - China v0 3_ZBB Budget 2009 Decks 2 2 2" xfId="723" xr:uid="{00000000-0005-0000-0000-0000CA020000}"/>
    <cellStyle name="_20070507 ZBB Korea Budget Assumptions_GC v0.4_Copy of 3YPlan Zone One-Page - China v0 3_ZBB Budget 2009 Decks 2 3" xfId="724" xr:uid="{00000000-0005-0000-0000-0000CB020000}"/>
    <cellStyle name="_20070507 ZBB Korea Budget Assumptions_GC v0.4_Copy of 3YPlan Zone One-Page - China v0 3_ZBB Budget 2009 Decks 3" xfId="725" xr:uid="{00000000-0005-0000-0000-0000CC020000}"/>
    <cellStyle name="_20070507 ZBB Korea Budget Assumptions_GC v0.4_Copy of 3YPlan Zone One-Page - China v0 3_ZBB Budget 2009 Decks 3 2" xfId="726" xr:uid="{00000000-0005-0000-0000-0000CD020000}"/>
    <cellStyle name="_20070507 ZBB Korea Budget Assumptions_GC v0.4_Copy of 3YPlan Zone One-Page - China v0 3_ZBB Budget 2009 Decks 4" xfId="727" xr:uid="{00000000-0005-0000-0000-0000CE020000}"/>
    <cellStyle name="_20070507 ZBB Korea Budget Assumptions_GC v0.4_Copy of 3YPlan Zone One-Page - China v0 3_ZBB Budget 2009 Decks_with Korea Scope in (Only LE)" xfId="728" xr:uid="{00000000-0005-0000-0000-0000CF020000}"/>
    <cellStyle name="_20070507 ZBB Korea Budget Assumptions_GC v0.4_Copy of 3YPlan Zone One-Page - China v0 3_ZBB Budget 2009 Decks_with Korea Scope in (Only LE) (2)" xfId="729" xr:uid="{00000000-0005-0000-0000-0000D0020000}"/>
    <cellStyle name="_20070507 ZBB Korea Budget Assumptions_GC v0.4_Copy of 3YPlan Zone One-Page - China v0 3_ZBB Budget 2009 Decks_with Korea Scope in (Only LE) (2) 2" xfId="730" xr:uid="{00000000-0005-0000-0000-0000D1020000}"/>
    <cellStyle name="_20070507 ZBB Korea Budget Assumptions_GC v0.4_Copy of 3YPlan Zone One-Page - China v0 3_ZBB Budget 2009 Decks_with Korea Scope in (Only LE) (2) 2 2" xfId="731" xr:uid="{00000000-0005-0000-0000-0000D2020000}"/>
    <cellStyle name="_20070507 ZBB Korea Budget Assumptions_GC v0.4_Copy of 3YPlan Zone One-Page - China v0 3_ZBB Budget 2009 Decks_with Korea Scope in (Only LE) (2) 2 2 2" xfId="732" xr:uid="{00000000-0005-0000-0000-0000D3020000}"/>
    <cellStyle name="_20070507 ZBB Korea Budget Assumptions_GC v0.4_Copy of 3YPlan Zone One-Page - China v0 3_ZBB Budget 2009 Decks_with Korea Scope in (Only LE) (2) 2 3" xfId="733" xr:uid="{00000000-0005-0000-0000-0000D4020000}"/>
    <cellStyle name="_20070507 ZBB Korea Budget Assumptions_GC v0.4_Copy of 3YPlan Zone One-Page - China v0 3_ZBB Budget 2009 Decks_with Korea Scope in (Only LE) (2) 3" xfId="734" xr:uid="{00000000-0005-0000-0000-0000D5020000}"/>
    <cellStyle name="_20070507 ZBB Korea Budget Assumptions_GC v0.4_Copy of 3YPlan Zone One-Page - China v0 3_ZBB Budget 2009 Decks_with Korea Scope in (Only LE) (2) 3 2" xfId="735" xr:uid="{00000000-0005-0000-0000-0000D6020000}"/>
    <cellStyle name="_20070507 ZBB Korea Budget Assumptions_GC v0.4_Copy of 3YPlan Zone One-Page - China v0 3_ZBB Budget 2009 Decks_with Korea Scope in (Only LE) (2) 4" xfId="736" xr:uid="{00000000-0005-0000-0000-0000D7020000}"/>
    <cellStyle name="_20070507 ZBB Korea Budget Assumptions_GC v0.4_Copy of 3YPlan Zone One-Page - China v0 3_ZBB Budget 2009 Decks_with Korea Scope in (Only LE) 2" xfId="737" xr:uid="{00000000-0005-0000-0000-0000D8020000}"/>
    <cellStyle name="_20070507 ZBB Korea Budget Assumptions_GC v0.4_Copy of 3YPlan Zone One-Page - China v0 3_ZBB Budget 2009 Decks_with Korea Scope in (Only LE) 2 2" xfId="738" xr:uid="{00000000-0005-0000-0000-0000D9020000}"/>
    <cellStyle name="_20070507 ZBB Korea Budget Assumptions_GC v0.4_Copy of 3YPlan Zone One-Page - China v0 3_ZBB Budget 2009 Decks_with Korea Scope in (Only LE) 2 2 2" xfId="739" xr:uid="{00000000-0005-0000-0000-0000DA020000}"/>
    <cellStyle name="_20070507 ZBB Korea Budget Assumptions_GC v0.4_Copy of 3YPlan Zone One-Page - China v0 3_ZBB Budget 2009 Decks_with Korea Scope in (Only LE) 2 3" xfId="740" xr:uid="{00000000-0005-0000-0000-0000DB020000}"/>
    <cellStyle name="_20070507 ZBB Korea Budget Assumptions_GC v0.4_Copy of 3YPlan Zone One-Page - China v0 3_ZBB Budget 2009 Decks_with Korea Scope in (Only LE) 3" xfId="741" xr:uid="{00000000-0005-0000-0000-0000DC020000}"/>
    <cellStyle name="_20070507 ZBB Korea Budget Assumptions_GC v0.4_Copy of 3YPlan Zone One-Page - China v0 3_ZBB Budget 2009 Decks_with Korea Scope in (Only LE) 3 2" xfId="742" xr:uid="{00000000-0005-0000-0000-0000DD020000}"/>
    <cellStyle name="_20070507 ZBB Korea Budget Assumptions_GC v0.4_Copy of 3YPlan Zone One-Page - China v0 3_ZBB Budget 2009 Decks_with Korea Scope in (Only LE) 4" xfId="743" xr:uid="{00000000-0005-0000-0000-0000DE020000}"/>
    <cellStyle name="_20070507 ZBB Korea Budget Assumptions_GC v0.4_Copy of 3YPlan Zone One-Page - China v0 3_ZBB Budget 2009 Decks_with Korea Scope in (Only LE) 4 2" xfId="744" xr:uid="{00000000-0005-0000-0000-0000DF020000}"/>
    <cellStyle name="_20070507 ZBB Korea Budget Assumptions_GC v0.4_Copy of 3YPlan Zone One-Page - China v0 3_ZBB Budget 2009 Decks_with Korea Scope in (Only LE) 5" xfId="745" xr:uid="{00000000-0005-0000-0000-0000E0020000}"/>
    <cellStyle name="_20070507 ZBB Korea Budget Assumptions_GC v0.4_Copy of 3YPlan Zone One-Page - China v0 3_ZBB Budget 2009 Decks_with Korea Scope in (Only LE) 6" xfId="746" xr:uid="{00000000-0005-0000-0000-0000E1020000}"/>
    <cellStyle name="_20070507 ZBB Korea Budget Assumptions_GC v0.4_ZBB Budget 2009 Decks" xfId="747" xr:uid="{00000000-0005-0000-0000-0000E2020000}"/>
    <cellStyle name="_20070507 ZBB Korea Budget Assumptions_GC v0.4_ZBB Budget 2009 Decks 2" xfId="748" xr:uid="{00000000-0005-0000-0000-0000E3020000}"/>
    <cellStyle name="_20070507 ZBB Korea Budget Assumptions_GC v0.4_ZBB Budget 2009 Decks 2 2" xfId="749" xr:uid="{00000000-0005-0000-0000-0000E4020000}"/>
    <cellStyle name="_20070507 ZBB Korea Budget Assumptions_GC v0.4_ZBB Budget 2009 Decks 2 2 2" xfId="750" xr:uid="{00000000-0005-0000-0000-0000E5020000}"/>
    <cellStyle name="_20070507 ZBB Korea Budget Assumptions_GC v0.4_ZBB Budget 2009 Decks 2 3" xfId="751" xr:uid="{00000000-0005-0000-0000-0000E6020000}"/>
    <cellStyle name="_20070507 ZBB Korea Budget Assumptions_GC v0.4_ZBB Budget 2009 Decks 3" xfId="752" xr:uid="{00000000-0005-0000-0000-0000E7020000}"/>
    <cellStyle name="_20070507 ZBB Korea Budget Assumptions_GC v0.4_ZBB Budget 2009 Decks 3 2" xfId="753" xr:uid="{00000000-0005-0000-0000-0000E8020000}"/>
    <cellStyle name="_20070507 ZBB Korea Budget Assumptions_GC v0.4_ZBB Budget 2009 Decks 4" xfId="754" xr:uid="{00000000-0005-0000-0000-0000E9020000}"/>
    <cellStyle name="_20070507 ZBB Korea Budget Assumptions_GC v0.4_ZBB Budget 2009 Decks_with Korea Scope in (Only LE)" xfId="755" xr:uid="{00000000-0005-0000-0000-0000EA020000}"/>
    <cellStyle name="_20070507 ZBB Korea Budget Assumptions_GC v0.4_ZBB Budget 2009 Decks_with Korea Scope in (Only LE) (2)" xfId="756" xr:uid="{00000000-0005-0000-0000-0000EB020000}"/>
    <cellStyle name="_20070507 ZBB Korea Budget Assumptions_GC v0.4_ZBB Budget 2009 Decks_with Korea Scope in (Only LE) (2) 2" xfId="757" xr:uid="{00000000-0005-0000-0000-0000EC020000}"/>
    <cellStyle name="_20070507 ZBB Korea Budget Assumptions_GC v0.4_ZBB Budget 2009 Decks_with Korea Scope in (Only LE) (2) 2 2" xfId="758" xr:uid="{00000000-0005-0000-0000-0000ED020000}"/>
    <cellStyle name="_20070507 ZBB Korea Budget Assumptions_GC v0.4_ZBB Budget 2009 Decks_with Korea Scope in (Only LE) (2) 2 2 2" xfId="759" xr:uid="{00000000-0005-0000-0000-0000EE020000}"/>
    <cellStyle name="_20070507 ZBB Korea Budget Assumptions_GC v0.4_ZBB Budget 2009 Decks_with Korea Scope in (Only LE) (2) 2 3" xfId="760" xr:uid="{00000000-0005-0000-0000-0000EF020000}"/>
    <cellStyle name="_20070507 ZBB Korea Budget Assumptions_GC v0.4_ZBB Budget 2009 Decks_with Korea Scope in (Only LE) (2) 3" xfId="761" xr:uid="{00000000-0005-0000-0000-0000F0020000}"/>
    <cellStyle name="_20070507 ZBB Korea Budget Assumptions_GC v0.4_ZBB Budget 2009 Decks_with Korea Scope in (Only LE) (2) 3 2" xfId="762" xr:uid="{00000000-0005-0000-0000-0000F1020000}"/>
    <cellStyle name="_20070507 ZBB Korea Budget Assumptions_GC v0.4_ZBB Budget 2009 Decks_with Korea Scope in (Only LE) (2) 4" xfId="763" xr:uid="{00000000-0005-0000-0000-0000F2020000}"/>
    <cellStyle name="_20070507 ZBB Korea Budget Assumptions_GC v0.4_ZBB Budget 2009 Decks_with Korea Scope in (Only LE) 2" xfId="764" xr:uid="{00000000-0005-0000-0000-0000F3020000}"/>
    <cellStyle name="_20070507 ZBB Korea Budget Assumptions_GC v0.4_ZBB Budget 2009 Decks_with Korea Scope in (Only LE) 2 2" xfId="765" xr:uid="{00000000-0005-0000-0000-0000F4020000}"/>
    <cellStyle name="_20070507 ZBB Korea Budget Assumptions_GC v0.4_ZBB Budget 2009 Decks_with Korea Scope in (Only LE) 2 2 2" xfId="766" xr:uid="{00000000-0005-0000-0000-0000F5020000}"/>
    <cellStyle name="_20070507 ZBB Korea Budget Assumptions_GC v0.4_ZBB Budget 2009 Decks_with Korea Scope in (Only LE) 2 3" xfId="767" xr:uid="{00000000-0005-0000-0000-0000F6020000}"/>
    <cellStyle name="_20070507 ZBB Korea Budget Assumptions_GC v0.4_ZBB Budget 2009 Decks_with Korea Scope in (Only LE) 3" xfId="768" xr:uid="{00000000-0005-0000-0000-0000F7020000}"/>
    <cellStyle name="_20070507 ZBB Korea Budget Assumptions_GC v0.4_ZBB Budget 2009 Decks_with Korea Scope in (Only LE) 3 2" xfId="769" xr:uid="{00000000-0005-0000-0000-0000F8020000}"/>
    <cellStyle name="_20070507 ZBB Korea Budget Assumptions_GC v0.4_ZBB Budget 2009 Decks_with Korea Scope in (Only LE) 4" xfId="770" xr:uid="{00000000-0005-0000-0000-0000F9020000}"/>
    <cellStyle name="_20070507 ZBB Korea Budget Assumptions_GC v0.4_ZBB Budget 2009 Decks_with Korea Scope in (Only LE) 4 2" xfId="771" xr:uid="{00000000-0005-0000-0000-0000FA020000}"/>
    <cellStyle name="_20070507 ZBB Korea Budget Assumptions_GC v0.4_ZBB Budget 2009 Decks_with Korea Scope in (Only LE) 5" xfId="772" xr:uid="{00000000-0005-0000-0000-0000FB020000}"/>
    <cellStyle name="_20070507 ZBB Korea Budget Assumptions_GC v0.4_ZBB Budget 2009 Decks_with Korea Scope in (Only LE) 6" xfId="773" xr:uid="{00000000-0005-0000-0000-0000FC020000}"/>
    <cellStyle name="_20070525 AC06 vs BU07 v1 9b + update LAN&amp;LAS" xfId="774" xr:uid="{00000000-0005-0000-0000-0000FD020000}"/>
    <cellStyle name="_20070525 AC06 vs BU07 v1 9b + update LAN&amp;LAS_Financial Analysis Base" xfId="775" xr:uid="{00000000-0005-0000-0000-0000FE020000}"/>
    <cellStyle name="_20070525 AC06 vs BU07 v1 9b + update LAN&amp;LAS_Parameters" xfId="776" xr:uid="{00000000-0005-0000-0000-0000FF020000}"/>
    <cellStyle name="_20070525 AC06 vs BU07 v1 9b + update LAN&amp;LAS_Sm Proj Cash Flow" xfId="777" xr:uid="{00000000-0005-0000-0000-000000030000}"/>
    <cellStyle name="_20070525 AC06 vs BU07 v1 9b + update LAN&amp;LAS_Spend Detail" xfId="778" xr:uid="{00000000-0005-0000-0000-000001030000}"/>
    <cellStyle name="_20070606 Conso Hypo Zone LAS_People_v0.3" xfId="779" xr:uid="{00000000-0005-0000-0000-000002030000}"/>
    <cellStyle name="_20070621 3YP CEE Details" xfId="780" xr:uid="{00000000-0005-0000-0000-000003030000}"/>
    <cellStyle name="_20070621 3YP CEE Details 2" xfId="781" xr:uid="{00000000-0005-0000-0000-000004030000}"/>
    <cellStyle name="_20070621 3YP CEE Details 2 2" xfId="782" xr:uid="{00000000-0005-0000-0000-000005030000}"/>
    <cellStyle name="_20070621 3YP CEE Details 3" xfId="783" xr:uid="{00000000-0005-0000-0000-000006030000}"/>
    <cellStyle name="_20070621 3YP CEE Details_Financial Analysis Base" xfId="784" xr:uid="{00000000-0005-0000-0000-000007030000}"/>
    <cellStyle name="_20070621 3YP CEE Details_Parameters" xfId="785" xr:uid="{00000000-0005-0000-0000-000008030000}"/>
    <cellStyle name="_20070621 3YP CEE Details_Sm Proj Cash Flow" xfId="786" xr:uid="{00000000-0005-0000-0000-000009030000}"/>
    <cellStyle name="_20070621 3YP CEE Details_Spend Detail" xfId="787" xr:uid="{00000000-0005-0000-0000-00000A030000}"/>
    <cellStyle name="_20070621 3YP CEE Details_ZBB Budget 2009 Decks v2 china" xfId="788" xr:uid="{00000000-0005-0000-0000-00000B030000}"/>
    <cellStyle name="_20070621 3YP CEE Details_ZBB Budget 2009 Decks v2 china 2" xfId="789" xr:uid="{00000000-0005-0000-0000-00000C030000}"/>
    <cellStyle name="_20070621 3YP CEE Details_ZBB Budget 2009 Decks v2 china 2 2" xfId="790" xr:uid="{00000000-0005-0000-0000-00000D030000}"/>
    <cellStyle name="_20070621 3YP CEE Details_ZBB Budget 2009 Decks v2 china 2 2 2" xfId="791" xr:uid="{00000000-0005-0000-0000-00000E030000}"/>
    <cellStyle name="_20070621 3YP CEE Details_ZBB Budget 2009 Decks v2 china 2 3" xfId="792" xr:uid="{00000000-0005-0000-0000-00000F030000}"/>
    <cellStyle name="_20070621 3YP CEE Details_ZBB Budget 2009 Decks v2 china 3" xfId="793" xr:uid="{00000000-0005-0000-0000-000010030000}"/>
    <cellStyle name="_20070621 3YP CEE Details_ZBB Budget 2009 Decks v2 china 3 2" xfId="794" xr:uid="{00000000-0005-0000-0000-000011030000}"/>
    <cellStyle name="_20070621 3YP CEE Details_ZBB Budget 2009 Decks v2 china 4" xfId="795" xr:uid="{00000000-0005-0000-0000-000012030000}"/>
    <cellStyle name="_20070621 3YP CEE Details_ZBB standard Template Korea_081105" xfId="796" xr:uid="{00000000-0005-0000-0000-000013030000}"/>
    <cellStyle name="_20070621 3YP CEE Details_ZBB standard Template Korea_081105 2" xfId="797" xr:uid="{00000000-0005-0000-0000-000014030000}"/>
    <cellStyle name="_20070621 3YP CEE Details_ZBB standard Template Korea_081105 2 2" xfId="798" xr:uid="{00000000-0005-0000-0000-000015030000}"/>
    <cellStyle name="_20070621 3YP CEE Details_ZBB standard Template Korea_081105 2 2 2" xfId="799" xr:uid="{00000000-0005-0000-0000-000016030000}"/>
    <cellStyle name="_20070621 3YP CEE Details_ZBB standard Template Korea_081105 2 3" xfId="800" xr:uid="{00000000-0005-0000-0000-000017030000}"/>
    <cellStyle name="_20070621 3YP CEE Details_ZBB standard Template Korea_081105 3" xfId="801" xr:uid="{00000000-0005-0000-0000-000018030000}"/>
    <cellStyle name="_20070621 3YP CEE Details_ZBB standard Template Korea_081105 3 2" xfId="802" xr:uid="{00000000-0005-0000-0000-000019030000}"/>
    <cellStyle name="_20070621 3YP CEE Details_ZBB standard Template Korea_081105 4" xfId="803" xr:uid="{00000000-0005-0000-0000-00001A030000}"/>
    <cellStyle name="_20070625 ZBB 3YP Reconciliation v0.5" xfId="804" xr:uid="{00000000-0005-0000-0000-00001B030000}"/>
    <cellStyle name="_20070814 ZBB T&amp;M Deck - Zone Overview July" xfId="805" xr:uid="{00000000-0005-0000-0000-00001C030000}"/>
    <cellStyle name="_20071019_KPI_CDP Canada_W42_v1.0" xfId="806" xr:uid="{00000000-0005-0000-0000-00001D030000}"/>
    <cellStyle name="_20071019_KPI_CDP Canada_W42_v1.0 2" xfId="807" xr:uid="{00000000-0005-0000-0000-00001E030000}"/>
    <cellStyle name="_2007HC Build - v11" xfId="808" xr:uid="{00000000-0005-0000-0000-00001F030000}"/>
    <cellStyle name="_2007HC Build - v8" xfId="809" xr:uid="{00000000-0005-0000-0000-000020030000}"/>
    <cellStyle name="_2007P Risk-Opp_Release_01-31" xfId="810" xr:uid="{00000000-0005-0000-0000-000021030000}"/>
    <cellStyle name="_2007P Risk-Opp_Release_03-7" xfId="811" xr:uid="{00000000-0005-0000-0000-000022030000}"/>
    <cellStyle name="_2008 Investments 5+7F (final)" xfId="812" xr:uid="{00000000-0005-0000-0000-000023030000}"/>
    <cellStyle name="_2008 OVERVIEW ADVERTISING BUDGET" xfId="813" xr:uid="{00000000-0005-0000-0000-000024030000}"/>
    <cellStyle name="_2008 Tail from 2007 Investments 10.11.07" xfId="814" xr:uid="{00000000-0005-0000-0000-000025030000}"/>
    <cellStyle name="_2008 win loss MM Direct-v2" xfId="815" xr:uid="{00000000-0005-0000-0000-000026030000}"/>
    <cellStyle name="_2008 win loss MM Direct-v2_Global Group" xfId="816" xr:uid="{00000000-0005-0000-0000-000027030000}"/>
    <cellStyle name="_2008.08.11 - BR 630 Imp Norte" xfId="817" xr:uid="{00000000-0005-0000-0000-000028030000}"/>
    <cellStyle name="_2008.08.11 - BR 630 Imp Norte 2" xfId="818" xr:uid="{00000000-0005-0000-0000-000029030000}"/>
    <cellStyle name="_2008.08.11 - BR 630 Imp Norte 2 2" xfId="819" xr:uid="{00000000-0005-0000-0000-00002A030000}"/>
    <cellStyle name="_2008.08.11 - BR 630 Imp Norte 3" xfId="820" xr:uid="{00000000-0005-0000-0000-00002B030000}"/>
    <cellStyle name="_200803_Supply_RisksOpportunities_CEE" xfId="821" xr:uid="{00000000-0005-0000-0000-00002C030000}"/>
    <cellStyle name="_200803_Supply_RisksOpportunities_CEE 2" xfId="822" xr:uid="{00000000-0005-0000-0000-00002D030000}"/>
    <cellStyle name="_200803_Supply_RisksOpportunities_CEE_Accident frequency" xfId="823" xr:uid="{00000000-0005-0000-0000-00002E030000}"/>
    <cellStyle name="_200803_Supply_RisksOpportunities_CEE_Accident frequency 2" xfId="824" xr:uid="{00000000-0005-0000-0000-00002F030000}"/>
    <cellStyle name="_200803_Supply_RisksOpportunities_CEE_Accident frequency_Financial Analysis Base" xfId="825" xr:uid="{00000000-0005-0000-0000-000030030000}"/>
    <cellStyle name="_200803_Supply_RisksOpportunities_CEE_Financial Analysis Base" xfId="826" xr:uid="{00000000-0005-0000-0000-000031030000}"/>
    <cellStyle name="_2009 Advisory Submission" xfId="827" xr:uid="{00000000-0005-0000-0000-000032030000}"/>
    <cellStyle name="_2009 Advisory Submission_Global Group" xfId="828" xr:uid="{00000000-0005-0000-0000-000033030000}"/>
    <cellStyle name="_2009 Plan - Loader &amp; LRP v18" xfId="829" xr:uid="{00000000-0005-0000-0000-000034030000}"/>
    <cellStyle name="_2009 Plan Investment Requests Summary master list v4" xfId="830" xr:uid="{00000000-0005-0000-0000-000035030000}"/>
    <cellStyle name="_2009 Reeng potential opp 101308 v3" xfId="831" xr:uid="{00000000-0005-0000-0000-000036030000}"/>
    <cellStyle name="_2009 vs 2008" xfId="832" xr:uid="{00000000-0005-0000-0000-000037030000}"/>
    <cellStyle name="_2009 vs 2008 2" xfId="833" xr:uid="{00000000-0005-0000-0000-000038030000}"/>
    <cellStyle name="_2009 vs 2008_Financial Analysis Base" xfId="834" xr:uid="{00000000-0005-0000-0000-000039030000}"/>
    <cellStyle name="_2009 vs 2008_Parameters" xfId="835" xr:uid="{00000000-0005-0000-0000-00003A030000}"/>
    <cellStyle name="_2009 vs 2008_Sm Proj Cash Flow" xfId="836" xr:uid="{00000000-0005-0000-0000-00003B030000}"/>
    <cellStyle name="_2009 vs 2008_Spend Detail" xfId="837" xr:uid="{00000000-0005-0000-0000-00003C030000}"/>
    <cellStyle name="_2009_Action_Plan_Consolidado HILA V2" xfId="838" xr:uid="{00000000-0005-0000-0000-00003D030000}"/>
    <cellStyle name="_2009_Action_Plan_Consolidado HILA V2 2" xfId="839" xr:uid="{00000000-0005-0000-0000-00003E030000}"/>
    <cellStyle name="_2009_Action_Plan_Consolidado HILA V2 2 2" xfId="840" xr:uid="{00000000-0005-0000-0000-00003F030000}"/>
    <cellStyle name="_2009_Action_Plan_Consolidado HILA V2 3" xfId="841" xr:uid="{00000000-0005-0000-0000-000040030000}"/>
    <cellStyle name="_2nd tier" xfId="842" xr:uid="{00000000-0005-0000-0000-000041030000}"/>
    <cellStyle name="_2nd Tier_1" xfId="843" xr:uid="{00000000-0005-0000-0000-000042030000}"/>
    <cellStyle name="_2nd Tier_1 2" xfId="844" xr:uid="{00000000-0005-0000-0000-000043030000}"/>
    <cellStyle name="_2PK DATABASE - LE1 08 (version 8)" xfId="845" xr:uid="{00000000-0005-0000-0000-000044030000}"/>
    <cellStyle name="_3.  Paquete OBZ Suministros 2008" xfId="846" xr:uid="{00000000-0005-0000-0000-000045030000}"/>
    <cellStyle name="_3.  Paquete OBZ Suministros 2008 2" xfId="847" xr:uid="{00000000-0005-0000-0000-000046030000}"/>
    <cellStyle name="_3.  Paquete OBZ Suministros 2008 2 2" xfId="848" xr:uid="{00000000-0005-0000-0000-000047030000}"/>
    <cellStyle name="_3.  Paquete OBZ Suministros 2008 3" xfId="849" xr:uid="{00000000-0005-0000-0000-000048030000}"/>
    <cellStyle name="_30l Keg Inland" xfId="850" xr:uid="{00000000-0005-0000-0000-000049030000}"/>
    <cellStyle name="_30l Keg Inland 2" xfId="851" xr:uid="{00000000-0005-0000-0000-00004A030000}"/>
    <cellStyle name="_30l Keg Inland_Sheet1" xfId="852" xr:uid="{00000000-0005-0000-0000-00004B030000}"/>
    <cellStyle name="_30l Keg Inland_Sm Proj Cash Flow" xfId="853" xr:uid="{00000000-0005-0000-0000-00004C030000}"/>
    <cellStyle name="_30l Keg Inland_Spend Detail" xfId="854" xr:uid="{00000000-0005-0000-0000-00004D030000}"/>
    <cellStyle name="_30l Keg Inland_SustainingProjectList" xfId="855" xr:uid="{00000000-0005-0000-0000-00004E030000}"/>
    <cellStyle name="_3YP - 2007-2009_HR" xfId="856" xr:uid="{00000000-0005-0000-0000-00004F030000}"/>
    <cellStyle name="_3YP - 2007-2009_HR_23_05_06" xfId="857" xr:uid="{00000000-0005-0000-0000-000050030000}"/>
    <cellStyle name="_3YP 08 Model SD UKI (JC &amp; CF) v2" xfId="858" xr:uid="{00000000-0005-0000-0000-000051030000}"/>
    <cellStyle name="_3YP 08 Model SD UKI (JC &amp; CF) v2 2" xfId="859" xr:uid="{00000000-0005-0000-0000-000052030000}"/>
    <cellStyle name="_3YP 08 Model SD UKI (JC &amp; CF) v2 2 2" xfId="860" xr:uid="{00000000-0005-0000-0000-000053030000}"/>
    <cellStyle name="_3YP 08 Model SD UKI (JC &amp; CF) v2 3" xfId="861" xr:uid="{00000000-0005-0000-0000-000054030000}"/>
    <cellStyle name="_3YP 08 Model SD UKI (JC &amp; CF) v2_Financial Analysis Base" xfId="862" xr:uid="{00000000-0005-0000-0000-000055030000}"/>
    <cellStyle name="_3YP 08 Model SD UKI (JC &amp; CF) v2_Parameters" xfId="863" xr:uid="{00000000-0005-0000-0000-000056030000}"/>
    <cellStyle name="_3YP 08 Model SD UKI (JC &amp; CF) v2_Sm Proj Cash Flow" xfId="864" xr:uid="{00000000-0005-0000-0000-000057030000}"/>
    <cellStyle name="_3YP 08 Model SD UKI (JC &amp; CF) v2_Spend Detail" xfId="865" xr:uid="{00000000-0005-0000-0000-000058030000}"/>
    <cellStyle name="_3YP model after countries feedback" xfId="866" xr:uid="{00000000-0005-0000-0000-000059030000}"/>
    <cellStyle name="_3YP model after countries feedback 2" xfId="867" xr:uid="{00000000-0005-0000-0000-00005A030000}"/>
    <cellStyle name="_3YP model after countries feedback 2 2" xfId="868" xr:uid="{00000000-0005-0000-0000-00005B030000}"/>
    <cellStyle name="_3YP model after countries feedback 3" xfId="869" xr:uid="{00000000-0005-0000-0000-00005C030000}"/>
    <cellStyle name="_3YP model after countries feedback_Financial Analysis Base" xfId="870" xr:uid="{00000000-0005-0000-0000-00005D030000}"/>
    <cellStyle name="_3YP model after countries feedback_Parameters" xfId="871" xr:uid="{00000000-0005-0000-0000-00005E030000}"/>
    <cellStyle name="_3YP model after countries feedback_Sm Proj Cash Flow" xfId="872" xr:uid="{00000000-0005-0000-0000-00005F030000}"/>
    <cellStyle name="_3YP model after countries feedback_Spend Detail" xfId="873" xr:uid="{00000000-0005-0000-0000-000060030000}"/>
    <cellStyle name="_3YP06 Zone Deck 200619_05" xfId="874" xr:uid="{00000000-0005-0000-0000-000061030000}"/>
    <cellStyle name="_3YP06 Zone Deck 200619_05 2" xfId="875" xr:uid="{00000000-0005-0000-0000-000062030000}"/>
    <cellStyle name="_3YP06 Zone Deck 200619_05 3" xfId="876" xr:uid="{00000000-0005-0000-0000-000063030000}"/>
    <cellStyle name="_3YP06 Zone Deck 200619_05 3 2" xfId="877" xr:uid="{00000000-0005-0000-0000-000064030000}"/>
    <cellStyle name="_3YP06 Zone Deck 200619_05 3 3" xfId="878" xr:uid="{00000000-0005-0000-0000-000065030000}"/>
    <cellStyle name="_3YP06 Zone Deck 200619_05 3 3 2" xfId="879" xr:uid="{00000000-0005-0000-0000-000066030000}"/>
    <cellStyle name="_3YP06 Zone Deck 200619_05 4" xfId="880" xr:uid="{00000000-0005-0000-0000-000067030000}"/>
    <cellStyle name="_3YP06 Zone Deck 200619_05 4 2" xfId="881" xr:uid="{00000000-0005-0000-0000-000068030000}"/>
    <cellStyle name="_3YP06 Zone Deck 200619_05_Belgium_brew" xfId="882" xr:uid="{00000000-0005-0000-0000-000069030000}"/>
    <cellStyle name="_3YP06 Zone Deck 200619_05_Belgium_brew 2" xfId="883" xr:uid="{00000000-0005-0000-0000-00006A030000}"/>
    <cellStyle name="_3YP06 Zone Deck 200619_05_Belgium_brew 3" xfId="884" xr:uid="{00000000-0005-0000-0000-00006B030000}"/>
    <cellStyle name="_3YP06 Zone Deck 200619_05_Belgium_brew 3 2" xfId="885" xr:uid="{00000000-0005-0000-0000-00006C030000}"/>
    <cellStyle name="_3YP06 Zone Deck 200619_05_BU 12 TP Database - Regular Volumes Revised" xfId="886" xr:uid="{00000000-0005-0000-0000-00006D030000}"/>
    <cellStyle name="_3YP06 Zone Deck 200619_05_BU 12 TP Database - Regular Volumes Revised 2" xfId="887" xr:uid="{00000000-0005-0000-0000-00006E030000}"/>
    <cellStyle name="_3YP06 Zone Deck 200619_05_BU 12 TP Database - Regular Volumes Revised 3" xfId="888" xr:uid="{00000000-0005-0000-0000-00006F030000}"/>
    <cellStyle name="_3YP06 Zone Deck 200619_05_BU 12 TP Database - Regular Volumes Revised 3 2" xfId="889" xr:uid="{00000000-0005-0000-0000-000070030000}"/>
    <cellStyle name="_3YP06 Zone Deck 200619_05_BU 12 TP Database - Regular Volumes Revised 3 3" xfId="890" xr:uid="{00000000-0005-0000-0000-000071030000}"/>
    <cellStyle name="_3YP06 Zone Deck 200619_05_BU 12 TP Database - Regular Volumes Revised 3 3 2" xfId="891" xr:uid="{00000000-0005-0000-0000-000072030000}"/>
    <cellStyle name="_3YP06 Zone Deck 200619_05_BU 12 TP Database - Regular Volumes Revised 4" xfId="892" xr:uid="{00000000-0005-0000-0000-000073030000}"/>
    <cellStyle name="_3YP06 Zone Deck 200619_05_BU 12 TP Database - Regular Volumes Revised 4 2" xfId="893" xr:uid="{00000000-0005-0000-0000-000074030000}"/>
    <cellStyle name="_3YP06 Zone Deck 200619_05_BU 12 TP Database - Regular Volumes V3" xfId="894" xr:uid="{00000000-0005-0000-0000-000075030000}"/>
    <cellStyle name="_3YP06 Zone Deck 200619_05_BU 12 TP Database - Regular Volumes V3 2" xfId="895" xr:uid="{00000000-0005-0000-0000-000076030000}"/>
    <cellStyle name="_3YP06 Zone Deck 200619_05_BU 12 TP Database - Regular Volumes V3 3" xfId="896" xr:uid="{00000000-0005-0000-0000-000077030000}"/>
    <cellStyle name="_3YP06 Zone Deck 200619_05_BU 12 TP Database - Regular Volumes V3 3 2" xfId="897" xr:uid="{00000000-0005-0000-0000-000078030000}"/>
    <cellStyle name="_3YP06 Zone Deck 200619_05_BU 12 TP Database - Regular Volumes V3 3 3" xfId="898" xr:uid="{00000000-0005-0000-0000-000079030000}"/>
    <cellStyle name="_3YP06 Zone Deck 200619_05_BU 12 TP Database - Regular Volumes V3 3 3 2" xfId="899" xr:uid="{00000000-0005-0000-0000-00007A030000}"/>
    <cellStyle name="_3YP06 Zone Deck 200619_05_BU 12 TP Database - Regular Volumes V3 4" xfId="900" xr:uid="{00000000-0005-0000-0000-00007B030000}"/>
    <cellStyle name="_3YP06 Zone Deck 200619_05_BU 12 TP Database - Regular Volumes V3 4 2" xfId="901" xr:uid="{00000000-0005-0000-0000-00007C030000}"/>
    <cellStyle name="_3YP06 Zone Deck 200619_05_BU 12 TP Database - Regular Volumes V4 (2)" xfId="902" xr:uid="{00000000-0005-0000-0000-00007D030000}"/>
    <cellStyle name="_3YP06 Zone Deck 200619_05_BU 12 TP Database - Regular Volumes V4 (2) 2" xfId="903" xr:uid="{00000000-0005-0000-0000-00007E030000}"/>
    <cellStyle name="_3YP06 Zone Deck 200619_05_BU 12 TP Database - Regular Volumes V4 (2) 3" xfId="904" xr:uid="{00000000-0005-0000-0000-00007F030000}"/>
    <cellStyle name="_3YP06 Zone Deck 200619_05_BU 12 TP Database - Regular Volumes V4 (2) 3 2" xfId="905" xr:uid="{00000000-0005-0000-0000-000080030000}"/>
    <cellStyle name="_3YP06 Zone Deck 200619_05_BU 12 TP Database - Regular Volumes V4 (2) 3 3" xfId="906" xr:uid="{00000000-0005-0000-0000-000081030000}"/>
    <cellStyle name="_3YP06 Zone Deck 200619_05_BU 12 TP Database - Regular Volumes V4 (2) 3 3 2" xfId="907" xr:uid="{00000000-0005-0000-0000-000082030000}"/>
    <cellStyle name="_3YP06 Zone Deck 200619_05_BU 12 TP Database - Regular Volumes V4 (2) 4" xfId="908" xr:uid="{00000000-0005-0000-0000-000083030000}"/>
    <cellStyle name="_3YP06 Zone Deck 200619_05_BU 12 TP Database - Regular Volumes V4 (2) 4 2" xfId="909" xr:uid="{00000000-0005-0000-0000-000084030000}"/>
    <cellStyle name="_3YP06 Zone Deck 200619_05_BU 12 TP Database - Regular Volumes_US_CAN" xfId="910" xr:uid="{00000000-0005-0000-0000-000085030000}"/>
    <cellStyle name="_3YP06 Zone Deck 200619_05_BU 12 TP Database - Regular Volumes_US_CAN 2" xfId="911" xr:uid="{00000000-0005-0000-0000-000086030000}"/>
    <cellStyle name="_3YP06 Zone Deck 200619_05_BU 12 TP Database - Regular Volumes_US_CAN 3" xfId="912" xr:uid="{00000000-0005-0000-0000-000087030000}"/>
    <cellStyle name="_3YP06 Zone Deck 200619_05_BU 12 TP Database - Regular Volumes_US_CAN 3 2" xfId="913" xr:uid="{00000000-0005-0000-0000-000088030000}"/>
    <cellStyle name="_3YP06 Zone Deck 200619_05_BU12 TP database - REGULAR VOLUMES LAN" xfId="914" xr:uid="{00000000-0005-0000-0000-000089030000}"/>
    <cellStyle name="_3YP06 Zone Deck 200619_05_Canada" xfId="915" xr:uid="{00000000-0005-0000-0000-00008A030000}"/>
    <cellStyle name="_3YP06 Zone Deck 200619_05_Canada 2" xfId="916" xr:uid="{00000000-0005-0000-0000-00008B030000}"/>
    <cellStyle name="_3YP06 Zone Deck 200619_05_Canada_Dominican Rep" xfId="917" xr:uid="{00000000-0005-0000-0000-00008C030000}"/>
    <cellStyle name="_3YP06 Zone Deck_Croatia_20_06" xfId="918" xr:uid="{00000000-0005-0000-0000-00008D030000}"/>
    <cellStyle name="_3YP06 Zone Deck_Croatia_20_06 2" xfId="919" xr:uid="{00000000-0005-0000-0000-00008E030000}"/>
    <cellStyle name="_3YP06 Zone Deck_Croatia_20_06 3" xfId="920" xr:uid="{00000000-0005-0000-0000-00008F030000}"/>
    <cellStyle name="_3YP06 Zone Deck_Croatia_20_06 3 2" xfId="921" xr:uid="{00000000-0005-0000-0000-000090030000}"/>
    <cellStyle name="_3YP06 Zone Deck_Croatia_20_06 3 3" xfId="922" xr:uid="{00000000-0005-0000-0000-000091030000}"/>
    <cellStyle name="_3YP06 Zone Deck_Croatia_20_06 3 3 2" xfId="923" xr:uid="{00000000-0005-0000-0000-000092030000}"/>
    <cellStyle name="_3YP06 Zone Deck_Croatia_20_06 4" xfId="924" xr:uid="{00000000-0005-0000-0000-000093030000}"/>
    <cellStyle name="_3YP06 Zone Deck_Croatia_20_06 4 2" xfId="925" xr:uid="{00000000-0005-0000-0000-000094030000}"/>
    <cellStyle name="_3YP06 Zone Deck_Croatia_20_06_Belgium_brew" xfId="926" xr:uid="{00000000-0005-0000-0000-000095030000}"/>
    <cellStyle name="_3YP06 Zone Deck_Croatia_20_06_Belgium_brew 2" xfId="927" xr:uid="{00000000-0005-0000-0000-000096030000}"/>
    <cellStyle name="_3YP06 Zone Deck_Croatia_20_06_Belgium_brew 3" xfId="928" xr:uid="{00000000-0005-0000-0000-000097030000}"/>
    <cellStyle name="_3YP06 Zone Deck_Croatia_20_06_Belgium_brew 3 2" xfId="929" xr:uid="{00000000-0005-0000-0000-000098030000}"/>
    <cellStyle name="_3YP06 Zone Deck_Croatia_20_06_BU 12 TP Database - Regular Volumes Revised" xfId="930" xr:uid="{00000000-0005-0000-0000-000099030000}"/>
    <cellStyle name="_3YP06 Zone Deck_Croatia_20_06_BU 12 TP Database - Regular Volumes Revised 2" xfId="931" xr:uid="{00000000-0005-0000-0000-00009A030000}"/>
    <cellStyle name="_3YP06 Zone Deck_Croatia_20_06_BU 12 TP Database - Regular Volumes Revised 3" xfId="932" xr:uid="{00000000-0005-0000-0000-00009B030000}"/>
    <cellStyle name="_3YP06 Zone Deck_Croatia_20_06_BU 12 TP Database - Regular Volumes Revised 3 2" xfId="933" xr:uid="{00000000-0005-0000-0000-00009C030000}"/>
    <cellStyle name="_3YP06 Zone Deck_Croatia_20_06_BU 12 TP Database - Regular Volumes Revised 3 3" xfId="934" xr:uid="{00000000-0005-0000-0000-00009D030000}"/>
    <cellStyle name="_3YP06 Zone Deck_Croatia_20_06_BU 12 TP Database - Regular Volumes Revised 3 3 2" xfId="935" xr:uid="{00000000-0005-0000-0000-00009E030000}"/>
    <cellStyle name="_3YP06 Zone Deck_Croatia_20_06_BU 12 TP Database - Regular Volumes Revised 4" xfId="936" xr:uid="{00000000-0005-0000-0000-00009F030000}"/>
    <cellStyle name="_3YP06 Zone Deck_Croatia_20_06_BU 12 TP Database - Regular Volumes Revised 4 2" xfId="937" xr:uid="{00000000-0005-0000-0000-0000A0030000}"/>
    <cellStyle name="_3YP06 Zone Deck_Croatia_20_06_BU 12 TP Database - Regular Volumes V3" xfId="938" xr:uid="{00000000-0005-0000-0000-0000A1030000}"/>
    <cellStyle name="_3YP06 Zone Deck_Croatia_20_06_BU 12 TP Database - Regular Volumes V3 2" xfId="939" xr:uid="{00000000-0005-0000-0000-0000A2030000}"/>
    <cellStyle name="_3YP06 Zone Deck_Croatia_20_06_BU 12 TP Database - Regular Volumes V3 3" xfId="940" xr:uid="{00000000-0005-0000-0000-0000A3030000}"/>
    <cellStyle name="_3YP06 Zone Deck_Croatia_20_06_BU 12 TP Database - Regular Volumes V3 3 2" xfId="941" xr:uid="{00000000-0005-0000-0000-0000A4030000}"/>
    <cellStyle name="_3YP06 Zone Deck_Croatia_20_06_BU 12 TP Database - Regular Volumes V3 3 3" xfId="942" xr:uid="{00000000-0005-0000-0000-0000A5030000}"/>
    <cellStyle name="_3YP06 Zone Deck_Croatia_20_06_BU 12 TP Database - Regular Volumes V3 3 3 2" xfId="943" xr:uid="{00000000-0005-0000-0000-0000A6030000}"/>
    <cellStyle name="_3YP06 Zone Deck_Croatia_20_06_BU 12 TP Database - Regular Volumes V3 4" xfId="944" xr:uid="{00000000-0005-0000-0000-0000A7030000}"/>
    <cellStyle name="_3YP06 Zone Deck_Croatia_20_06_BU 12 TP Database - Regular Volumes V3 4 2" xfId="945" xr:uid="{00000000-0005-0000-0000-0000A8030000}"/>
    <cellStyle name="_3YP06 Zone Deck_Croatia_20_06_BU 12 TP Database - Regular Volumes V4 (2)" xfId="946" xr:uid="{00000000-0005-0000-0000-0000A9030000}"/>
    <cellStyle name="_3YP06 Zone Deck_Croatia_20_06_BU 12 TP Database - Regular Volumes V4 (2) 2" xfId="947" xr:uid="{00000000-0005-0000-0000-0000AA030000}"/>
    <cellStyle name="_3YP06 Zone Deck_Croatia_20_06_BU 12 TP Database - Regular Volumes V4 (2) 3" xfId="948" xr:uid="{00000000-0005-0000-0000-0000AB030000}"/>
    <cellStyle name="_3YP06 Zone Deck_Croatia_20_06_BU 12 TP Database - Regular Volumes V4 (2) 3 2" xfId="949" xr:uid="{00000000-0005-0000-0000-0000AC030000}"/>
    <cellStyle name="_3YP06 Zone Deck_Croatia_20_06_BU 12 TP Database - Regular Volumes V4 (2) 3 3" xfId="950" xr:uid="{00000000-0005-0000-0000-0000AD030000}"/>
    <cellStyle name="_3YP06 Zone Deck_Croatia_20_06_BU 12 TP Database - Regular Volumes V4 (2) 3 3 2" xfId="951" xr:uid="{00000000-0005-0000-0000-0000AE030000}"/>
    <cellStyle name="_3YP06 Zone Deck_Croatia_20_06_BU 12 TP Database - Regular Volumes V4 (2) 4" xfId="952" xr:uid="{00000000-0005-0000-0000-0000AF030000}"/>
    <cellStyle name="_3YP06 Zone Deck_Croatia_20_06_BU 12 TP Database - Regular Volumes V4 (2) 4 2" xfId="953" xr:uid="{00000000-0005-0000-0000-0000B0030000}"/>
    <cellStyle name="_3YP06 Zone Deck_Croatia_20_06_BU 12 TP Database - Regular Volumes_US_CAN" xfId="954" xr:uid="{00000000-0005-0000-0000-0000B1030000}"/>
    <cellStyle name="_3YP06 Zone Deck_Croatia_20_06_BU 12 TP Database - Regular Volumes_US_CAN 2" xfId="955" xr:uid="{00000000-0005-0000-0000-0000B2030000}"/>
    <cellStyle name="_3YP06 Zone Deck_Croatia_20_06_BU 12 TP Database - Regular Volumes_US_CAN 3" xfId="956" xr:uid="{00000000-0005-0000-0000-0000B3030000}"/>
    <cellStyle name="_3YP06 Zone Deck_Croatia_20_06_BU 12 TP Database - Regular Volumes_US_CAN 3 2" xfId="957" xr:uid="{00000000-0005-0000-0000-0000B4030000}"/>
    <cellStyle name="_3YP06 Zone Deck_Croatia_20_06_BU12 TP database - REGULAR VOLUMES LAN" xfId="958" xr:uid="{00000000-0005-0000-0000-0000B5030000}"/>
    <cellStyle name="_3YP06 Zone Deck_Croatia_20_06_Canada" xfId="959" xr:uid="{00000000-0005-0000-0000-0000B6030000}"/>
    <cellStyle name="_3YP06 Zone Deck_Croatia_20_06_Canada 2" xfId="960" xr:uid="{00000000-0005-0000-0000-0000B7030000}"/>
    <cellStyle name="_3YP06 Zone Deck_Croatia_20_06_Canada_Dominican Rep" xfId="961" xr:uid="{00000000-0005-0000-0000-0000B8030000}"/>
    <cellStyle name="_3YP06 Zone Deck_Croatia_2206" xfId="962" xr:uid="{00000000-0005-0000-0000-0000B9030000}"/>
    <cellStyle name="_3YP06 Zone Deck_Croatia_2206 2" xfId="963" xr:uid="{00000000-0005-0000-0000-0000BA030000}"/>
    <cellStyle name="_3YP06 Zone Deck_Croatia_2206 3" xfId="964" xr:uid="{00000000-0005-0000-0000-0000BB030000}"/>
    <cellStyle name="_3YP06 Zone Deck_Croatia_2206 3 2" xfId="965" xr:uid="{00000000-0005-0000-0000-0000BC030000}"/>
    <cellStyle name="_3YP06 Zone Deck_Croatia_2206 3 3" xfId="966" xr:uid="{00000000-0005-0000-0000-0000BD030000}"/>
    <cellStyle name="_3YP06 Zone Deck_Croatia_2206 3 3 2" xfId="967" xr:uid="{00000000-0005-0000-0000-0000BE030000}"/>
    <cellStyle name="_3YP06 Zone Deck_Croatia_2206 4" xfId="968" xr:uid="{00000000-0005-0000-0000-0000BF030000}"/>
    <cellStyle name="_3YP06 Zone Deck_Croatia_2206 4 2" xfId="969" xr:uid="{00000000-0005-0000-0000-0000C0030000}"/>
    <cellStyle name="_3YP06 Zone Deck_Croatia_2206_Belgium_brew" xfId="970" xr:uid="{00000000-0005-0000-0000-0000C1030000}"/>
    <cellStyle name="_3YP06 Zone Deck_Croatia_2206_Belgium_brew 2" xfId="971" xr:uid="{00000000-0005-0000-0000-0000C2030000}"/>
    <cellStyle name="_3YP06 Zone Deck_Croatia_2206_Belgium_brew 3" xfId="972" xr:uid="{00000000-0005-0000-0000-0000C3030000}"/>
    <cellStyle name="_3YP06 Zone Deck_Croatia_2206_Belgium_brew 3 2" xfId="973" xr:uid="{00000000-0005-0000-0000-0000C4030000}"/>
    <cellStyle name="_3YP06 Zone Deck_Croatia_2206_BU 12 TP Database - Regular Volumes Revised" xfId="974" xr:uid="{00000000-0005-0000-0000-0000C5030000}"/>
    <cellStyle name="_3YP06 Zone Deck_Croatia_2206_BU 12 TP Database - Regular Volumes Revised 2" xfId="975" xr:uid="{00000000-0005-0000-0000-0000C6030000}"/>
    <cellStyle name="_3YP06 Zone Deck_Croatia_2206_BU 12 TP Database - Regular Volumes Revised 3" xfId="976" xr:uid="{00000000-0005-0000-0000-0000C7030000}"/>
    <cellStyle name="_3YP06 Zone Deck_Croatia_2206_BU 12 TP Database - Regular Volumes Revised 3 2" xfId="977" xr:uid="{00000000-0005-0000-0000-0000C8030000}"/>
    <cellStyle name="_3YP06 Zone Deck_Croatia_2206_BU 12 TP Database - Regular Volumes Revised 3 3" xfId="978" xr:uid="{00000000-0005-0000-0000-0000C9030000}"/>
    <cellStyle name="_3YP06 Zone Deck_Croatia_2206_BU 12 TP Database - Regular Volumes Revised 3 3 2" xfId="979" xr:uid="{00000000-0005-0000-0000-0000CA030000}"/>
    <cellStyle name="_3YP06 Zone Deck_Croatia_2206_BU 12 TP Database - Regular Volumes Revised 4" xfId="980" xr:uid="{00000000-0005-0000-0000-0000CB030000}"/>
    <cellStyle name="_3YP06 Zone Deck_Croatia_2206_BU 12 TP Database - Regular Volumes Revised 4 2" xfId="981" xr:uid="{00000000-0005-0000-0000-0000CC030000}"/>
    <cellStyle name="_3YP06 Zone Deck_Croatia_2206_BU 12 TP Database - Regular Volumes V3" xfId="982" xr:uid="{00000000-0005-0000-0000-0000CD030000}"/>
    <cellStyle name="_3YP06 Zone Deck_Croatia_2206_BU 12 TP Database - Regular Volumes V3 2" xfId="983" xr:uid="{00000000-0005-0000-0000-0000CE030000}"/>
    <cellStyle name="_3YP06 Zone Deck_Croatia_2206_BU 12 TP Database - Regular Volumes V3 3" xfId="984" xr:uid="{00000000-0005-0000-0000-0000CF030000}"/>
    <cellStyle name="_3YP06 Zone Deck_Croatia_2206_BU 12 TP Database - Regular Volumes V3 3 2" xfId="985" xr:uid="{00000000-0005-0000-0000-0000D0030000}"/>
    <cellStyle name="_3YP06 Zone Deck_Croatia_2206_BU 12 TP Database - Regular Volumes V3 3 3" xfId="986" xr:uid="{00000000-0005-0000-0000-0000D1030000}"/>
    <cellStyle name="_3YP06 Zone Deck_Croatia_2206_BU 12 TP Database - Regular Volumes V3 3 3 2" xfId="987" xr:uid="{00000000-0005-0000-0000-0000D2030000}"/>
    <cellStyle name="_3YP06 Zone Deck_Croatia_2206_BU 12 TP Database - Regular Volumes V3 4" xfId="988" xr:uid="{00000000-0005-0000-0000-0000D3030000}"/>
    <cellStyle name="_3YP06 Zone Deck_Croatia_2206_BU 12 TP Database - Regular Volumes V3 4 2" xfId="989" xr:uid="{00000000-0005-0000-0000-0000D4030000}"/>
    <cellStyle name="_3YP06 Zone Deck_Croatia_2206_BU 12 TP Database - Regular Volumes V4 (2)" xfId="990" xr:uid="{00000000-0005-0000-0000-0000D5030000}"/>
    <cellStyle name="_3YP06 Zone Deck_Croatia_2206_BU 12 TP Database - Regular Volumes V4 (2) 2" xfId="991" xr:uid="{00000000-0005-0000-0000-0000D6030000}"/>
    <cellStyle name="_3YP06 Zone Deck_Croatia_2206_BU 12 TP Database - Regular Volumes V4 (2) 3" xfId="992" xr:uid="{00000000-0005-0000-0000-0000D7030000}"/>
    <cellStyle name="_3YP06 Zone Deck_Croatia_2206_BU 12 TP Database - Regular Volumes V4 (2) 3 2" xfId="993" xr:uid="{00000000-0005-0000-0000-0000D8030000}"/>
    <cellStyle name="_3YP06 Zone Deck_Croatia_2206_BU 12 TP Database - Regular Volumes V4 (2) 3 3" xfId="994" xr:uid="{00000000-0005-0000-0000-0000D9030000}"/>
    <cellStyle name="_3YP06 Zone Deck_Croatia_2206_BU 12 TP Database - Regular Volumes V4 (2) 3 3 2" xfId="995" xr:uid="{00000000-0005-0000-0000-0000DA030000}"/>
    <cellStyle name="_3YP06 Zone Deck_Croatia_2206_BU 12 TP Database - Regular Volumes V4 (2) 4" xfId="996" xr:uid="{00000000-0005-0000-0000-0000DB030000}"/>
    <cellStyle name="_3YP06 Zone Deck_Croatia_2206_BU 12 TP Database - Regular Volumes V4 (2) 4 2" xfId="997" xr:uid="{00000000-0005-0000-0000-0000DC030000}"/>
    <cellStyle name="_3YP06 Zone Deck_Croatia_2206_BU 12 TP Database - Regular Volumes_US_CAN" xfId="998" xr:uid="{00000000-0005-0000-0000-0000DD030000}"/>
    <cellStyle name="_3YP06 Zone Deck_Croatia_2206_BU 12 TP Database - Regular Volumes_US_CAN 2" xfId="999" xr:uid="{00000000-0005-0000-0000-0000DE030000}"/>
    <cellStyle name="_3YP06 Zone Deck_Croatia_2206_BU 12 TP Database - Regular Volumes_US_CAN 3" xfId="1000" xr:uid="{00000000-0005-0000-0000-0000DF030000}"/>
    <cellStyle name="_3YP06 Zone Deck_Croatia_2206_BU 12 TP Database - Regular Volumes_US_CAN 3 2" xfId="1001" xr:uid="{00000000-0005-0000-0000-0000E0030000}"/>
    <cellStyle name="_3YP06 Zone Deck_Croatia_2206_BU12 TP database - REGULAR VOLUMES LAN" xfId="1002" xr:uid="{00000000-0005-0000-0000-0000E1030000}"/>
    <cellStyle name="_3YP06 Zone Deck_Croatia_2206_Canada" xfId="1003" xr:uid="{00000000-0005-0000-0000-0000E2030000}"/>
    <cellStyle name="_3YP06 Zone Deck_Croatia_2206_Canada 2" xfId="1004" xr:uid="{00000000-0005-0000-0000-0000E3030000}"/>
    <cellStyle name="_3YP06 Zone Deck_Croatia_2206_Canada_Dominican Rep" xfId="1005" xr:uid="{00000000-0005-0000-0000-0000E4030000}"/>
    <cellStyle name="_3YPlan GHQ One-Page" xfId="1006" xr:uid="{00000000-0005-0000-0000-0000E5030000}"/>
    <cellStyle name="_3YPlan GHQ One-Page 2" xfId="1007" xr:uid="{00000000-0005-0000-0000-0000E6030000}"/>
    <cellStyle name="_3YPlan GHQ One-Page 2 2" xfId="1008" xr:uid="{00000000-0005-0000-0000-0000E7030000}"/>
    <cellStyle name="_3YPlan GHQ One-Page 3" xfId="1009" xr:uid="{00000000-0005-0000-0000-0000E8030000}"/>
    <cellStyle name="_3YPlan GHQ One-Page v1 2" xfId="1010" xr:uid="{00000000-0005-0000-0000-0000E9030000}"/>
    <cellStyle name="_3YPlan GHQ One-Page v1 2 2" xfId="1011" xr:uid="{00000000-0005-0000-0000-0000EA030000}"/>
    <cellStyle name="_3YPlan GHQ One-Page v1 2 2 2" xfId="1012" xr:uid="{00000000-0005-0000-0000-0000EB030000}"/>
    <cellStyle name="_3YPlan GHQ One-Page v1 2 3" xfId="1013" xr:uid="{00000000-0005-0000-0000-0000EC030000}"/>
    <cellStyle name="_3YPlan GHQ One-Page v1 2_Financial Analysis Base" xfId="1014" xr:uid="{00000000-0005-0000-0000-0000ED030000}"/>
    <cellStyle name="_3YPlan GHQ One-Page v1 2_Parameters" xfId="1015" xr:uid="{00000000-0005-0000-0000-0000EE030000}"/>
    <cellStyle name="_3YPlan GHQ One-Page v1 2_Sm Proj Cash Flow" xfId="1016" xr:uid="{00000000-0005-0000-0000-0000EF030000}"/>
    <cellStyle name="_3YPlan GHQ One-Page v1 2_Spend Detail" xfId="1017" xr:uid="{00000000-0005-0000-0000-0000F0030000}"/>
    <cellStyle name="_3YPlan GHQ One-Page v1 2_ZBB Budget 2009 Decks v2 china" xfId="1018" xr:uid="{00000000-0005-0000-0000-0000F1030000}"/>
    <cellStyle name="_3YPlan GHQ One-Page v1 2_ZBB Budget 2009 Decks v2 china 2" xfId="1019" xr:uid="{00000000-0005-0000-0000-0000F2030000}"/>
    <cellStyle name="_3YPlan GHQ One-Page v1 2_ZBB Budget 2009 Decks v2 china 2 2" xfId="1020" xr:uid="{00000000-0005-0000-0000-0000F3030000}"/>
    <cellStyle name="_3YPlan GHQ One-Page v1 2_ZBB Budget 2009 Decks v2 china 2 2 2" xfId="1021" xr:uid="{00000000-0005-0000-0000-0000F4030000}"/>
    <cellStyle name="_3YPlan GHQ One-Page v1 2_ZBB Budget 2009 Decks v2 china 2 3" xfId="1022" xr:uid="{00000000-0005-0000-0000-0000F5030000}"/>
    <cellStyle name="_3YPlan GHQ One-Page v1 2_ZBB Budget 2009 Decks v2 china 3" xfId="1023" xr:uid="{00000000-0005-0000-0000-0000F6030000}"/>
    <cellStyle name="_3YPlan GHQ One-Page v1 2_ZBB Budget 2009 Decks v2 china 3 2" xfId="1024" xr:uid="{00000000-0005-0000-0000-0000F7030000}"/>
    <cellStyle name="_3YPlan GHQ One-Page v1 2_ZBB Budget 2009 Decks v2 china 4" xfId="1025" xr:uid="{00000000-0005-0000-0000-0000F8030000}"/>
    <cellStyle name="_3YPlan GHQ One-Page v1 2_ZBB standard Template Korea_081105" xfId="1026" xr:uid="{00000000-0005-0000-0000-0000F9030000}"/>
    <cellStyle name="_3YPlan GHQ One-Page v1 2_ZBB standard Template Korea_081105 2" xfId="1027" xr:uid="{00000000-0005-0000-0000-0000FA030000}"/>
    <cellStyle name="_3YPlan GHQ One-Page v1 2_ZBB standard Template Korea_081105 2 2" xfId="1028" xr:uid="{00000000-0005-0000-0000-0000FB030000}"/>
    <cellStyle name="_3YPlan GHQ One-Page v1 2_ZBB standard Template Korea_081105 2 2 2" xfId="1029" xr:uid="{00000000-0005-0000-0000-0000FC030000}"/>
    <cellStyle name="_3YPlan GHQ One-Page v1 2_ZBB standard Template Korea_081105 2 3" xfId="1030" xr:uid="{00000000-0005-0000-0000-0000FD030000}"/>
    <cellStyle name="_3YPlan GHQ One-Page v1 2_ZBB standard Template Korea_081105 3" xfId="1031" xr:uid="{00000000-0005-0000-0000-0000FE030000}"/>
    <cellStyle name="_3YPlan GHQ One-Page v1 2_ZBB standard Template Korea_081105 3 2" xfId="1032" xr:uid="{00000000-0005-0000-0000-0000FF030000}"/>
    <cellStyle name="_3YPlan GHQ One-Page v1 2_ZBB standard Template Korea_081105 4" xfId="1033" xr:uid="{00000000-0005-0000-0000-000000040000}"/>
    <cellStyle name="_3YPlan GHQ One-Page_Financial Analysis Base" xfId="1034" xr:uid="{00000000-0005-0000-0000-000001040000}"/>
    <cellStyle name="_3YPlan GHQ One-Page_Parameters" xfId="1035" xr:uid="{00000000-0005-0000-0000-000002040000}"/>
    <cellStyle name="_3YPlan GHQ One-Page_Sm Proj Cash Flow" xfId="1036" xr:uid="{00000000-0005-0000-0000-000003040000}"/>
    <cellStyle name="_3YPlan GHQ One-Page_Spend Detail" xfId="1037" xr:uid="{00000000-0005-0000-0000-000004040000}"/>
    <cellStyle name="_3YPlan GHQ One-Page_ZBB Budget 2009 Decks v2 china" xfId="1038" xr:uid="{00000000-0005-0000-0000-000005040000}"/>
    <cellStyle name="_3YPlan GHQ One-Page_ZBB Budget 2009 Decks v2 china 2" xfId="1039" xr:uid="{00000000-0005-0000-0000-000006040000}"/>
    <cellStyle name="_3YPlan GHQ One-Page_ZBB Budget 2009 Decks v2 china 2 2" xfId="1040" xr:uid="{00000000-0005-0000-0000-000007040000}"/>
    <cellStyle name="_3YPlan GHQ One-Page_ZBB Budget 2009 Decks v2 china 2 2 2" xfId="1041" xr:uid="{00000000-0005-0000-0000-000008040000}"/>
    <cellStyle name="_3YPlan GHQ One-Page_ZBB Budget 2009 Decks v2 china 2 3" xfId="1042" xr:uid="{00000000-0005-0000-0000-000009040000}"/>
    <cellStyle name="_3YPlan GHQ One-Page_ZBB Budget 2009 Decks v2 china 3" xfId="1043" xr:uid="{00000000-0005-0000-0000-00000A040000}"/>
    <cellStyle name="_3YPlan GHQ One-Page_ZBB Budget 2009 Decks v2 china 3 2" xfId="1044" xr:uid="{00000000-0005-0000-0000-00000B040000}"/>
    <cellStyle name="_3YPlan GHQ One-Page_ZBB Budget 2009 Decks v2 china 4" xfId="1045" xr:uid="{00000000-0005-0000-0000-00000C040000}"/>
    <cellStyle name="_3YPlan GHQ One-Page_ZBB standard Template Korea_081105" xfId="1046" xr:uid="{00000000-0005-0000-0000-00000D040000}"/>
    <cellStyle name="_3YPlan GHQ One-Page_ZBB standard Template Korea_081105 2" xfId="1047" xr:uid="{00000000-0005-0000-0000-00000E040000}"/>
    <cellStyle name="_3YPlan GHQ One-Page_ZBB standard Template Korea_081105 2 2" xfId="1048" xr:uid="{00000000-0005-0000-0000-00000F040000}"/>
    <cellStyle name="_3YPlan GHQ One-Page_ZBB standard Template Korea_081105 2 2 2" xfId="1049" xr:uid="{00000000-0005-0000-0000-000010040000}"/>
    <cellStyle name="_3YPlan GHQ One-Page_ZBB standard Template Korea_081105 2 3" xfId="1050" xr:uid="{00000000-0005-0000-0000-000011040000}"/>
    <cellStyle name="_3YPlan GHQ One-Page_ZBB standard Template Korea_081105 3" xfId="1051" xr:uid="{00000000-0005-0000-0000-000012040000}"/>
    <cellStyle name="_3YPlan GHQ One-Page_ZBB standard Template Korea_081105 3 2" xfId="1052" xr:uid="{00000000-0005-0000-0000-000013040000}"/>
    <cellStyle name="_3YPlan GHQ One-Page_ZBB standard Template Korea_081105 4" xfId="1053" xr:uid="{00000000-0005-0000-0000-000014040000}"/>
    <cellStyle name="_3YPlan Zone One-Page - Template LAN" xfId="1054" xr:uid="{00000000-0005-0000-0000-000015040000}"/>
    <cellStyle name="_3YPlan Zone One-Page - Template LAN 2" xfId="1055" xr:uid="{00000000-0005-0000-0000-000016040000}"/>
    <cellStyle name="_3YPlan Zone One-Page - Template LAN 2 2" xfId="1056" xr:uid="{00000000-0005-0000-0000-000017040000}"/>
    <cellStyle name="_3YPlan Zone One-Page - Template LAN 3" xfId="1057" xr:uid="{00000000-0005-0000-0000-000018040000}"/>
    <cellStyle name="_3YPlan Zone One-Page - Template LAN_Financial Analysis Base" xfId="1058" xr:uid="{00000000-0005-0000-0000-000019040000}"/>
    <cellStyle name="_3YPlan Zone One-Page - Template LAN_Parameters" xfId="1059" xr:uid="{00000000-0005-0000-0000-00001A040000}"/>
    <cellStyle name="_3YPlan Zone One-Page - Template LAN_Sm Proj Cash Flow" xfId="1060" xr:uid="{00000000-0005-0000-0000-00001B040000}"/>
    <cellStyle name="_3YPlan Zone One-Page - Template LAN_Spend Detail" xfId="1061" xr:uid="{00000000-0005-0000-0000-00001C040000}"/>
    <cellStyle name="_3YPlan Zone One-Page - Template LAN_ZBB Budget 2009 Decks v2 china" xfId="1062" xr:uid="{00000000-0005-0000-0000-00001D040000}"/>
    <cellStyle name="_3YPlan Zone One-Page - Template LAN_ZBB Budget 2009 Decks v2 china 2" xfId="1063" xr:uid="{00000000-0005-0000-0000-00001E040000}"/>
    <cellStyle name="_3YPlan Zone One-Page - Template LAN_ZBB Budget 2009 Decks v2 china 2 2" xfId="1064" xr:uid="{00000000-0005-0000-0000-00001F040000}"/>
    <cellStyle name="_3YPlan Zone One-Page - Template LAN_ZBB Budget 2009 Decks v2 china 2 2 2" xfId="1065" xr:uid="{00000000-0005-0000-0000-000020040000}"/>
    <cellStyle name="_3YPlan Zone One-Page - Template LAN_ZBB Budget 2009 Decks v2 china 2 3" xfId="1066" xr:uid="{00000000-0005-0000-0000-000021040000}"/>
    <cellStyle name="_3YPlan Zone One-Page - Template LAN_ZBB Budget 2009 Decks v2 china 3" xfId="1067" xr:uid="{00000000-0005-0000-0000-000022040000}"/>
    <cellStyle name="_3YPlan Zone One-Page - Template LAN_ZBB Budget 2009 Decks v2 china 3 2" xfId="1068" xr:uid="{00000000-0005-0000-0000-000023040000}"/>
    <cellStyle name="_3YPlan Zone One-Page - Template LAN_ZBB Budget 2009 Decks v2 china 4" xfId="1069" xr:uid="{00000000-0005-0000-0000-000024040000}"/>
    <cellStyle name="_3YPlan Zone One-Page - Template LAN_ZBB standard Template Korea_081105" xfId="1070" xr:uid="{00000000-0005-0000-0000-000025040000}"/>
    <cellStyle name="_3YPlan Zone One-Page - Template LAN_ZBB standard Template Korea_081105 2" xfId="1071" xr:uid="{00000000-0005-0000-0000-000026040000}"/>
    <cellStyle name="_3YPlan Zone One-Page - Template LAN_ZBB standard Template Korea_081105 2 2" xfId="1072" xr:uid="{00000000-0005-0000-0000-000027040000}"/>
    <cellStyle name="_3YPlan Zone One-Page - Template LAN_ZBB standard Template Korea_081105 2 2 2" xfId="1073" xr:uid="{00000000-0005-0000-0000-000028040000}"/>
    <cellStyle name="_3YPlan Zone One-Page - Template LAN_ZBB standard Template Korea_081105 2 3" xfId="1074" xr:uid="{00000000-0005-0000-0000-000029040000}"/>
    <cellStyle name="_3YPlan Zone One-Page - Template LAN_ZBB standard Template Korea_081105 3" xfId="1075" xr:uid="{00000000-0005-0000-0000-00002A040000}"/>
    <cellStyle name="_3YPlan Zone One-Page - Template LAN_ZBB standard Template Korea_081105 3 2" xfId="1076" xr:uid="{00000000-0005-0000-0000-00002B040000}"/>
    <cellStyle name="_3YPlan Zone One-Page - Template LAN_ZBB standard Template Korea_081105 4" xfId="1077" xr:uid="{00000000-0005-0000-0000-00002C040000}"/>
    <cellStyle name="_4.3.06 Pulls" xfId="1078" xr:uid="{00000000-0005-0000-0000-00002D040000}"/>
    <cellStyle name="_4+8F CIF and Fees data 5.08" xfId="1079" xr:uid="{00000000-0005-0000-0000-00002E040000}"/>
    <cellStyle name="_5+7 Online Forecast_EMEA v1.2" xfId="1080" xr:uid="{00000000-0005-0000-0000-00002F040000}"/>
    <cellStyle name="_5+7+9" xfId="1081" xr:uid="{00000000-0005-0000-0000-000030040000}"/>
    <cellStyle name="_5+7F PTI Reconciliation vs 2+10F and vs 05A_Waterfall" xfId="1082" xr:uid="{00000000-0005-0000-0000-000031040000}"/>
    <cellStyle name="_5+7F PTI Reconciliation vs 2+10F and vs 05A_Waterfall_Comms Actuals" xfId="1083" xr:uid="{00000000-0005-0000-0000-000032040000}"/>
    <cellStyle name="_7.1 FTE" xfId="1084" xr:uid="{00000000-0005-0000-0000-000033040000}"/>
    <cellStyle name="_7+5 CSI Forecast Package" xfId="1085" xr:uid="{00000000-0005-0000-0000-000034040000}"/>
    <cellStyle name="_7+5F CSI Forecast Package" xfId="1086" xr:uid="{00000000-0005-0000-0000-000035040000}"/>
    <cellStyle name="_7+5F WTT (PHolland)" xfId="1087" xr:uid="{00000000-0005-0000-0000-000036040000}"/>
    <cellStyle name="_8+4 2009 Forecast Prediction V0.4 210808" xfId="1088" xr:uid="{00000000-0005-0000-0000-000037040000}"/>
    <cellStyle name="_8+4+12F CV data 9.28" xfId="1089" xr:uid="{00000000-0005-0000-0000-000038040000}"/>
    <cellStyle name="_8+4F Customer Rev_Key Markets" xfId="1090" xr:uid="{00000000-0005-0000-0000-000039040000}"/>
    <cellStyle name="_8+4F CV data Cognos 9.18" xfId="1091" xr:uid="{00000000-0005-0000-0000-00003A040000}"/>
    <cellStyle name="_8+4F CV data Cognos 9.20 (194,792)" xfId="1092" xr:uid="{00000000-0005-0000-0000-00003B040000}"/>
    <cellStyle name="_8+4F Interactive vs Traditional analysis - EMEA" xfId="1093" xr:uid="{00000000-0005-0000-0000-00003C040000}"/>
    <cellStyle name="_8+4F Interactive vs Traditional analysis - EMEA_Comms Actuals" xfId="1094" xr:uid="{00000000-0005-0000-0000-00003D040000}"/>
    <cellStyle name="_8+4F P+L v2" xfId="1095" xr:uid="{00000000-0005-0000-0000-00003E040000}"/>
    <cellStyle name="_8+4F P+L v3" xfId="1096" xr:uid="{00000000-0005-0000-0000-00003F040000}"/>
    <cellStyle name="_8+4F SDN Consolidation Report  - As of November 16 v9" xfId="1097" xr:uid="{00000000-0005-0000-0000-000040040000}"/>
    <cellStyle name="_8+4F SDN Consolidation Report  - As of November 16 v9_Comms Actuals" xfId="1098" xr:uid="{00000000-0005-0000-0000-000041040000}"/>
    <cellStyle name="_8+4F TRX for GTS" xfId="1099" xr:uid="{00000000-0005-0000-0000-000042040000}"/>
    <cellStyle name="_a.Intl_Wipro_Calendarization_070307" xfId="1100" xr:uid="{00000000-0005-0000-0000-000043040000}"/>
    <cellStyle name="_AbractBR" xfId="1101" xr:uid="{00000000-0005-0000-0000-000044040000}"/>
    <cellStyle name="_ABS-4Q-2006" xfId="1102" xr:uid="{00000000-0005-0000-0000-000045040000}"/>
    <cellStyle name="_Absatz Ist je Artikel &amp; Woche V1" xfId="1103" xr:uid="{00000000-0005-0000-0000-000046040000}"/>
    <cellStyle name="_Absatz Ist je Artikel &amp; Woche V1 2" xfId="1104" xr:uid="{00000000-0005-0000-0000-000047040000}"/>
    <cellStyle name="_Absatz Ist je Artikel &amp; Woche V1_Sheet1" xfId="1105" xr:uid="{00000000-0005-0000-0000-000048040000}"/>
    <cellStyle name="_Absatz Ist je Artikel &amp; Woche V1_Sm Proj Cash Flow" xfId="1106" xr:uid="{00000000-0005-0000-0000-000049040000}"/>
    <cellStyle name="_Absatz Ist je Artikel &amp; Woche V1_Spend Detail" xfId="1107" xr:uid="{00000000-0005-0000-0000-00004A040000}"/>
    <cellStyle name="_Absatz Ist je Artikel &amp; Woche V1_SustainingProjectList" xfId="1108" xr:uid="{00000000-0005-0000-0000-00004B040000}"/>
    <cellStyle name="_Accident frequency" xfId="1109" xr:uid="{00000000-0005-0000-0000-00004C040000}"/>
    <cellStyle name="_ACCT" xfId="1110" xr:uid="{00000000-0005-0000-0000-00004D040000}"/>
    <cellStyle name="_ACT" xfId="1111" xr:uid="{00000000-0005-0000-0000-00004E040000}"/>
    <cellStyle name="_actual $ YTD" xfId="1112" xr:uid="{00000000-0005-0000-0000-00004F040000}"/>
    <cellStyle name="_actual £ YTD" xfId="1113" xr:uid="{00000000-0005-0000-0000-000050040000}"/>
    <cellStyle name="_AdHocIRD093+9Fcst(04_28)" xfId="1114" xr:uid="{00000000-0005-0000-0000-000051040000}"/>
    <cellStyle name="_ADM" xfId="1115" xr:uid="{00000000-0005-0000-0000-000052040000}"/>
    <cellStyle name="_ADM 2" xfId="1116" xr:uid="{00000000-0005-0000-0000-000053040000}"/>
    <cellStyle name="_ADM 2 2" xfId="1117" xr:uid="{00000000-0005-0000-0000-000054040000}"/>
    <cellStyle name="_ADM 3" xfId="1118" xr:uid="{00000000-0005-0000-0000-000055040000}"/>
    <cellStyle name="_ADM 3 2" xfId="1119" xr:uid="{00000000-0005-0000-0000-000056040000}"/>
    <cellStyle name="_ADM 3 3" xfId="1120" xr:uid="{00000000-0005-0000-0000-000057040000}"/>
    <cellStyle name="_ADM 3 3 2" xfId="1121" xr:uid="{00000000-0005-0000-0000-000058040000}"/>
    <cellStyle name="_ADM 4" xfId="1122" xr:uid="{00000000-0005-0000-0000-000059040000}"/>
    <cellStyle name="_ADM 4 2" xfId="1123" xr:uid="{00000000-0005-0000-0000-00005A040000}"/>
    <cellStyle name="_ADM_010808 Market Programs  for Budget Deck" xfId="1124" xr:uid="{00000000-0005-0000-0000-00005B040000}"/>
    <cellStyle name="_ADM_010808 Market Programs  for Budget Deck 2" xfId="1125" xr:uid="{00000000-0005-0000-0000-00005C040000}"/>
    <cellStyle name="_ADM_010808 Market Programs  for Budget Deck 2 2" xfId="1126" xr:uid="{00000000-0005-0000-0000-00005D040000}"/>
    <cellStyle name="_ADM_010808 Market Programs  for Budget Deck 3" xfId="1127" xr:uid="{00000000-0005-0000-0000-00005E040000}"/>
    <cellStyle name="_ADM_010808 Market Programs  for Budget Deck_Financial Analysis Base" xfId="1128" xr:uid="{00000000-0005-0000-0000-00005F040000}"/>
    <cellStyle name="_ADM_010808 Market Programs  for Budget Deck_Parameters" xfId="1129" xr:uid="{00000000-0005-0000-0000-000060040000}"/>
    <cellStyle name="_ADM_010808 Market Programs  for Budget Deck_Sm Proj Cash Flow" xfId="1130" xr:uid="{00000000-0005-0000-0000-000061040000}"/>
    <cellStyle name="_ADM_010808 Market Programs  for Budget Deck_Spend Detail" xfId="1131" xr:uid="{00000000-0005-0000-0000-000062040000}"/>
    <cellStyle name="_ADM_BGT 08 Templates Sales  Marketing - final (revised)" xfId="1132" xr:uid="{00000000-0005-0000-0000-000063040000}"/>
    <cellStyle name="_ADM_BGT 08 Templates Sales  Marketing - final (revised) 2" xfId="1133" xr:uid="{00000000-0005-0000-0000-000064040000}"/>
    <cellStyle name="_ADM_BGT 08 Templates Sales  Marketing - final (revised) 2 2" xfId="1134" xr:uid="{00000000-0005-0000-0000-000065040000}"/>
    <cellStyle name="_ADM_BGT 08 Templates Sales  Marketing - final (revised) 3" xfId="1135" xr:uid="{00000000-0005-0000-0000-000066040000}"/>
    <cellStyle name="_ADM_BGT 08 Templates Sales  Marketing - final (revised) 3 2" xfId="1136" xr:uid="{00000000-0005-0000-0000-000067040000}"/>
    <cellStyle name="_ADM_BGT 08 Templates Sales  Marketing - final (revised) 3 3" xfId="1137" xr:uid="{00000000-0005-0000-0000-000068040000}"/>
    <cellStyle name="_ADM_BGT 08 Templates Sales  Marketing - final (revised) 3 3 2" xfId="1138" xr:uid="{00000000-0005-0000-0000-000069040000}"/>
    <cellStyle name="_ADM_BGT 08 Templates Sales  Marketing - final (revised) 4" xfId="1139" xr:uid="{00000000-0005-0000-0000-00006A040000}"/>
    <cellStyle name="_ADM_BGT 08 Templates Sales  Marketing - final (revised) 4 2" xfId="1140" xr:uid="{00000000-0005-0000-0000-00006B040000}"/>
    <cellStyle name="_ADM_BGT 08 Templates Sales  Marketing - final (revised)_Sheet1" xfId="1141" xr:uid="{00000000-0005-0000-0000-00006C040000}"/>
    <cellStyle name="_ADM_BGT 08 Templates Sales  Marketing - final (revised)_Sm Proj Cash Flow" xfId="1142" xr:uid="{00000000-0005-0000-0000-00006D040000}"/>
    <cellStyle name="_ADM_BGT 08 Templates Sales  Marketing - final (revised)_Spend Detail" xfId="1143" xr:uid="{00000000-0005-0000-0000-00006E040000}"/>
    <cellStyle name="_ADM_BGT 08 Templates Sales  Marketing - final (revised)_SustainingProjectList" xfId="1144" xr:uid="{00000000-0005-0000-0000-00006F040000}"/>
    <cellStyle name="_ADM_CAPEX Analysis WE v3 Thomas" xfId="1145" xr:uid="{00000000-0005-0000-0000-000070040000}"/>
    <cellStyle name="_ADM_CAPEX Analysis WE v3 Thomas 2" xfId="1146" xr:uid="{00000000-0005-0000-0000-000071040000}"/>
    <cellStyle name="_ADM_CAPEX Analysis WE v3 Thomas_Financial Analysis Base" xfId="1147" xr:uid="{00000000-0005-0000-0000-000072040000}"/>
    <cellStyle name="_ADM_CAPEX Analysis WE v3 Thomas_Parameters" xfId="1148" xr:uid="{00000000-0005-0000-0000-000073040000}"/>
    <cellStyle name="_ADM_CAPEX Analysis WE v3 Thomas_Sm Proj Cash Flow" xfId="1149" xr:uid="{00000000-0005-0000-0000-000074040000}"/>
    <cellStyle name="_ADM_CAPEX Analysis WE v3 Thomas_Spend Detail" xfId="1150" xr:uid="{00000000-0005-0000-0000-000075040000}"/>
    <cellStyle name="_ADM_Challenge" xfId="1151" xr:uid="{00000000-0005-0000-0000-000076040000}"/>
    <cellStyle name="_ADM_Challenge 2" xfId="1152" xr:uid="{00000000-0005-0000-0000-000077040000}"/>
    <cellStyle name="_ADM_Challenge_Sheet1" xfId="1153" xr:uid="{00000000-0005-0000-0000-000078040000}"/>
    <cellStyle name="_ADM_Challenge_Sm Proj Cash Flow" xfId="1154" xr:uid="{00000000-0005-0000-0000-000079040000}"/>
    <cellStyle name="_ADM_Challenge_Spend Detail" xfId="1155" xr:uid="{00000000-0005-0000-0000-00007A040000}"/>
    <cellStyle name="_ADM_Challenge_SustainingProjectList" xfId="1156" xr:uid="{00000000-0005-0000-0000-00007B040000}"/>
    <cellStyle name="_ADM_Copy of BGT 08 Templates Sales  Marketing - final (revised)" xfId="1157" xr:uid="{00000000-0005-0000-0000-00007C040000}"/>
    <cellStyle name="_ADM_Copy of BGT 08 Templates Sales  Marketing - final (revised) 2" xfId="1158" xr:uid="{00000000-0005-0000-0000-00007D040000}"/>
    <cellStyle name="_ADM_Copy of BGT 08 Templates Sales  Marketing - final (revised) 2 2" xfId="1159" xr:uid="{00000000-0005-0000-0000-00007E040000}"/>
    <cellStyle name="_ADM_Copy of BGT 08 Templates Sales  Marketing - final (revised) 3" xfId="1160" xr:uid="{00000000-0005-0000-0000-00007F040000}"/>
    <cellStyle name="_ADM_Copy of BGT 08 Templates Sales  Marketing - final (revised) 3 2" xfId="1161" xr:uid="{00000000-0005-0000-0000-000080040000}"/>
    <cellStyle name="_ADM_Copy of BGT 08 Templates Sales  Marketing - final (revised) 3 3" xfId="1162" xr:uid="{00000000-0005-0000-0000-000081040000}"/>
    <cellStyle name="_ADM_Copy of BGT 08 Templates Sales  Marketing - final (revised) 3 3 2" xfId="1163" xr:uid="{00000000-0005-0000-0000-000082040000}"/>
    <cellStyle name="_ADM_Copy of BGT 08 Templates Sales  Marketing - final (revised) 4" xfId="1164" xr:uid="{00000000-0005-0000-0000-000083040000}"/>
    <cellStyle name="_ADM_Copy of BGT 08 Templates Sales  Marketing - final (revised) 4 2" xfId="1165" xr:uid="{00000000-0005-0000-0000-000084040000}"/>
    <cellStyle name="_ADM_Copy of BGT 08 Templates Sales  Marketing - final (revised)_Sheet1" xfId="1166" xr:uid="{00000000-0005-0000-0000-000085040000}"/>
    <cellStyle name="_ADM_Copy of BGT 08 Templates Sales  Marketing - final (revised)_Sm Proj Cash Flow" xfId="1167" xr:uid="{00000000-0005-0000-0000-000086040000}"/>
    <cellStyle name="_ADM_Copy of BGT 08 Templates Sales  Marketing - final (revised)_Spend Detail" xfId="1168" xr:uid="{00000000-0005-0000-0000-000087040000}"/>
    <cellStyle name="_ADM_Copy of BGT 08 Templates Sales  Marketing - final (revised)_SustainingProjectList" xfId="1169" xr:uid="{00000000-0005-0000-0000-000088040000}"/>
    <cellStyle name="_ADM_Excel sheets to support Market Program Template for Budget 09" xfId="1170" xr:uid="{00000000-0005-0000-0000-000089040000}"/>
    <cellStyle name="_ADM_Excel sheets to support Market Program Template for Budget 09 (5) (2)" xfId="1171" xr:uid="{00000000-0005-0000-0000-00008A040000}"/>
    <cellStyle name="_ADM_Excel sheets to support Market Program Template for Budget 09 (5) (2) 2" xfId="1172" xr:uid="{00000000-0005-0000-0000-00008B040000}"/>
    <cellStyle name="_ADM_Excel sheets to support Market Program Template for Budget 09 (5) (2) 2 2" xfId="1173" xr:uid="{00000000-0005-0000-0000-00008C040000}"/>
    <cellStyle name="_ADM_Excel sheets to support Market Program Template for Budget 09 (5) (2) 3" xfId="1174" xr:uid="{00000000-0005-0000-0000-00008D040000}"/>
    <cellStyle name="_ADM_Excel sheets to support Market Program Template for Budget 09 (5) (2)_Financial Analysis Base" xfId="1175" xr:uid="{00000000-0005-0000-0000-00008E040000}"/>
    <cellStyle name="_ADM_Excel sheets to support Market Program Template for Budget 09 (5) (2)_Parameters" xfId="1176" xr:uid="{00000000-0005-0000-0000-00008F040000}"/>
    <cellStyle name="_ADM_Excel sheets to support Market Program Template for Budget 09 (5) (2)_Sm Proj Cash Flow" xfId="1177" xr:uid="{00000000-0005-0000-0000-000090040000}"/>
    <cellStyle name="_ADM_Excel sheets to support Market Program Template for Budget 09 (5) (2)_Spend Detail" xfId="1178" xr:uid="{00000000-0005-0000-0000-000091040000}"/>
    <cellStyle name="_ADM_Excel sheets to support Market Program Template for Budget 09 (5) (3)" xfId="1179" xr:uid="{00000000-0005-0000-0000-000092040000}"/>
    <cellStyle name="_ADM_Excel sheets to support Market Program Template for Budget 09 (5) (3) 2" xfId="1180" xr:uid="{00000000-0005-0000-0000-000093040000}"/>
    <cellStyle name="_ADM_Excel sheets to support Market Program Template for Budget 09 (5) (3) 2 2" xfId="1181" xr:uid="{00000000-0005-0000-0000-000094040000}"/>
    <cellStyle name="_ADM_Excel sheets to support Market Program Template for Budget 09 (5) (3) 3" xfId="1182" xr:uid="{00000000-0005-0000-0000-000095040000}"/>
    <cellStyle name="_ADM_Excel sheets to support Market Program Template for Budget 09 (5) (3)_Financial Analysis Base" xfId="1183" xr:uid="{00000000-0005-0000-0000-000096040000}"/>
    <cellStyle name="_ADM_Excel sheets to support Market Program Template for Budget 09 (5) (3)_Parameters" xfId="1184" xr:uid="{00000000-0005-0000-0000-000097040000}"/>
    <cellStyle name="_ADM_Excel sheets to support Market Program Template for Budget 09 (5) (3)_Sm Proj Cash Flow" xfId="1185" xr:uid="{00000000-0005-0000-0000-000098040000}"/>
    <cellStyle name="_ADM_Excel sheets to support Market Program Template for Budget 09 (5) (3)_Spend Detail" xfId="1186" xr:uid="{00000000-0005-0000-0000-000099040000}"/>
    <cellStyle name="_ADM_Excel sheets to support Market Program Template for Budget 09 10" xfId="1187" xr:uid="{00000000-0005-0000-0000-00009A040000}"/>
    <cellStyle name="_ADM_Excel sheets to support Market Program Template for Budget 09 11" xfId="1188" xr:uid="{00000000-0005-0000-0000-00009B040000}"/>
    <cellStyle name="_ADM_Excel sheets to support Market Program Template for Budget 09 11 2" xfId="1189" xr:uid="{00000000-0005-0000-0000-00009C040000}"/>
    <cellStyle name="_ADM_Excel sheets to support Market Program Template for Budget 09 12" xfId="1190" xr:uid="{00000000-0005-0000-0000-00009D040000}"/>
    <cellStyle name="_ADM_Excel sheets to support Market Program Template for Budget 09 12 2" xfId="1191" xr:uid="{00000000-0005-0000-0000-00009E040000}"/>
    <cellStyle name="_ADM_Excel sheets to support Market Program Template for Budget 09 13" xfId="1192" xr:uid="{00000000-0005-0000-0000-00009F040000}"/>
    <cellStyle name="_ADM_Excel sheets to support Market Program Template for Budget 09 13 2" xfId="1193" xr:uid="{00000000-0005-0000-0000-0000A0040000}"/>
    <cellStyle name="_ADM_Excel sheets to support Market Program Template for Budget 09 14" xfId="1194" xr:uid="{00000000-0005-0000-0000-0000A1040000}"/>
    <cellStyle name="_ADM_Excel sheets to support Market Program Template for Budget 09 14 2" xfId="1195" xr:uid="{00000000-0005-0000-0000-0000A2040000}"/>
    <cellStyle name="_ADM_Excel sheets to support Market Program Template for Budget 09 2" xfId="1196" xr:uid="{00000000-0005-0000-0000-0000A3040000}"/>
    <cellStyle name="_ADM_Excel sheets to support Market Program Template for Budget 09 2 2" xfId="1197" xr:uid="{00000000-0005-0000-0000-0000A4040000}"/>
    <cellStyle name="_ADM_Excel sheets to support Market Program Template for Budget 09 3" xfId="1198" xr:uid="{00000000-0005-0000-0000-0000A5040000}"/>
    <cellStyle name="_ADM_Excel sheets to support Market Program Template for Budget 09 3 2" xfId="1199" xr:uid="{00000000-0005-0000-0000-0000A6040000}"/>
    <cellStyle name="_ADM_Excel sheets to support Market Program Template for Budget 09 4" xfId="1200" xr:uid="{00000000-0005-0000-0000-0000A7040000}"/>
    <cellStyle name="_ADM_Excel sheets to support Market Program Template for Budget 09 5" xfId="1201" xr:uid="{00000000-0005-0000-0000-0000A8040000}"/>
    <cellStyle name="_ADM_Excel sheets to support Market Program Template for Budget 09 5 2" xfId="1202" xr:uid="{00000000-0005-0000-0000-0000A9040000}"/>
    <cellStyle name="_ADM_Excel sheets to support Market Program Template for Budget 09 5 3" xfId="1203" xr:uid="{00000000-0005-0000-0000-0000AA040000}"/>
    <cellStyle name="_ADM_Excel sheets to support Market Program Template for Budget 09 5 3 2" xfId="1204" xr:uid="{00000000-0005-0000-0000-0000AB040000}"/>
    <cellStyle name="_ADM_Excel sheets to support Market Program Template for Budget 09 6" xfId="1205" xr:uid="{00000000-0005-0000-0000-0000AC040000}"/>
    <cellStyle name="_ADM_Excel sheets to support Market Program Template for Budget 09 6 2" xfId="1206" xr:uid="{00000000-0005-0000-0000-0000AD040000}"/>
    <cellStyle name="_ADM_Excel sheets to support Market Program Template for Budget 09 6 3" xfId="1207" xr:uid="{00000000-0005-0000-0000-0000AE040000}"/>
    <cellStyle name="_ADM_Excel sheets to support Market Program Template for Budget 09 6 3 2" xfId="1208" xr:uid="{00000000-0005-0000-0000-0000AF040000}"/>
    <cellStyle name="_ADM_Excel sheets to support Market Program Template for Budget 09 7" xfId="1209" xr:uid="{00000000-0005-0000-0000-0000B0040000}"/>
    <cellStyle name="_ADM_Excel sheets to support Market Program Template for Budget 09 8" xfId="1210" xr:uid="{00000000-0005-0000-0000-0000B1040000}"/>
    <cellStyle name="_ADM_Excel sheets to support Market Program Template for Budget 09 9" xfId="1211" xr:uid="{00000000-0005-0000-0000-0000B2040000}"/>
    <cellStyle name="_ADM_Excel sheets to support Market Program Template for Budget 09_Sheet1" xfId="1212" xr:uid="{00000000-0005-0000-0000-0000B3040000}"/>
    <cellStyle name="_ADM_Excel sheets to support Market Program Template for Budget 09_Sm Proj Cash Flow" xfId="1213" xr:uid="{00000000-0005-0000-0000-0000B4040000}"/>
    <cellStyle name="_ADM_Excel sheets to support Market Program Template for Budget 09_Spend Detail" xfId="1214" xr:uid="{00000000-0005-0000-0000-0000B5040000}"/>
    <cellStyle name="_ADM_Excel sheets to support Market Program Template for Budget 09_SustainingProjectList" xfId="1215" xr:uid="{00000000-0005-0000-0000-0000B6040000}"/>
    <cellStyle name="_ADM_Financial Analysis Base" xfId="1216" xr:uid="{00000000-0005-0000-0000-0000B7040000}"/>
    <cellStyle name="_ADM_Parameters" xfId="1217" xr:uid="{00000000-0005-0000-0000-0000B8040000}"/>
    <cellStyle name="_ADM_Sm Proj Cash Flow" xfId="1218" xr:uid="{00000000-0005-0000-0000-0000B9040000}"/>
    <cellStyle name="_ADM_Spend Detail" xfId="1219" xr:uid="{00000000-0005-0000-0000-0000BA040000}"/>
    <cellStyle name="_ADP Nov and Dec" xfId="1220" xr:uid="{00000000-0005-0000-0000-0000BB040000}"/>
    <cellStyle name="_ADP Nov and Dec_Comms Actuals" xfId="1221" xr:uid="{00000000-0005-0000-0000-0000BC040000}"/>
    <cellStyle name="_advisory grs" xfId="1222" xr:uid="{00000000-0005-0000-0000-0000BD040000}"/>
    <cellStyle name="_AIA @ G1 Detail" xfId="1223" xr:uid="{00000000-0005-0000-0000-0000BE040000}"/>
    <cellStyle name="_Air" xfId="1224" xr:uid="{00000000-0005-0000-0000-0000BF040000}"/>
    <cellStyle name="_Air &amp; Rail TRX Pull" xfId="1225" xr:uid="{00000000-0005-0000-0000-0000C0040000}"/>
    <cellStyle name="_Air Sales - GTS v.4" xfId="1226" xr:uid="{00000000-0005-0000-0000-0000C1040000}"/>
    <cellStyle name="_Air Sales Retrieval" xfId="1227" xr:uid="{00000000-0005-0000-0000-0000C2040000}"/>
    <cellStyle name="_Air Transactions - All Markets" xfId="1228" xr:uid="{00000000-0005-0000-0000-0000C3040000}"/>
    <cellStyle name="_Air trx pull" xfId="1229" xr:uid="{00000000-0005-0000-0000-0000C4040000}"/>
    <cellStyle name="_Amex Air Sales 2007-2008" xfId="1230" xr:uid="{00000000-0005-0000-0000-0000C5040000}"/>
    <cellStyle name="_Analisi costo venduto" xfId="1231" xr:uid="{00000000-0005-0000-0000-0000C6040000}"/>
    <cellStyle name="_Analisi costo venduto_BB (2)" xfId="1232" xr:uid="{00000000-0005-0000-0000-0000C7040000}"/>
    <cellStyle name="_Analisi costo venduto_C00200" xfId="1233" xr:uid="{00000000-0005-0000-0000-0000C8040000}"/>
    <cellStyle name="_Analisi costo venduto_C00210" xfId="1234" xr:uid="{00000000-0005-0000-0000-0000C9040000}"/>
    <cellStyle name="_Analisi costo venduto_C00300" xfId="1235" xr:uid="{00000000-0005-0000-0000-0000CA040000}"/>
    <cellStyle name="_Analisi costo venduto_C00400" xfId="1236" xr:uid="{00000000-0005-0000-0000-0000CB040000}"/>
    <cellStyle name="_Analisi costo venduto_check6" xfId="1237" xr:uid="{00000000-0005-0000-0000-0000CC040000}"/>
    <cellStyle name="_Analisi costo venduto_Sheet1" xfId="1238" xr:uid="{00000000-0005-0000-0000-0000CD040000}"/>
    <cellStyle name="_Analisi costo venduto_Sheet1 (5)" xfId="1239" xr:uid="{00000000-0005-0000-0000-0000CE040000}"/>
    <cellStyle name="_Analisi costo venduto_Sheet1 (6)" xfId="1240" xr:uid="{00000000-0005-0000-0000-0000CF040000}"/>
    <cellStyle name="_Analisi costo venduto_Sheet2" xfId="1241" xr:uid="{00000000-0005-0000-0000-0000D0040000}"/>
    <cellStyle name="_Analisi costo venduto_Sheet3" xfId="1242" xr:uid="{00000000-0005-0000-0000-0000D1040000}"/>
    <cellStyle name="_Analisi costo venduto_status" xfId="1243" xr:uid="{00000000-0005-0000-0000-0000D2040000}"/>
    <cellStyle name="_Analisi vol ott" xfId="1244" xr:uid="{00000000-0005-0000-0000-0000D3040000}"/>
    <cellStyle name="_Analisi vol ott_BB (2)" xfId="1245" xr:uid="{00000000-0005-0000-0000-0000D4040000}"/>
    <cellStyle name="_Analisi vol ott_C00200" xfId="1246" xr:uid="{00000000-0005-0000-0000-0000D5040000}"/>
    <cellStyle name="_Analisi vol ott_C00210" xfId="1247" xr:uid="{00000000-0005-0000-0000-0000D6040000}"/>
    <cellStyle name="_Analisi vol ott_C00300" xfId="1248" xr:uid="{00000000-0005-0000-0000-0000D7040000}"/>
    <cellStyle name="_Analisi vol ott_C00400" xfId="1249" xr:uid="{00000000-0005-0000-0000-0000D8040000}"/>
    <cellStyle name="_Analisi vol ott_check6" xfId="1250" xr:uid="{00000000-0005-0000-0000-0000D9040000}"/>
    <cellStyle name="_Analisi vol ott_Sheet1" xfId="1251" xr:uid="{00000000-0005-0000-0000-0000DA040000}"/>
    <cellStyle name="_Analisi vol ott_Sheet1 (5)" xfId="1252" xr:uid="{00000000-0005-0000-0000-0000DB040000}"/>
    <cellStyle name="_Analisi vol ott_Sheet1 (6)" xfId="1253" xr:uid="{00000000-0005-0000-0000-0000DC040000}"/>
    <cellStyle name="_Analisi vol ott_Sheet2" xfId="1254" xr:uid="{00000000-0005-0000-0000-0000DD040000}"/>
    <cellStyle name="_Analisi vol ott_Sheet3" xfId="1255" xr:uid="{00000000-0005-0000-0000-0000DE040000}"/>
    <cellStyle name="_Analisi vol ott_status" xfId="1256" xr:uid="{00000000-0005-0000-0000-0000DF040000}"/>
    <cellStyle name="_Análisis CWC DBI - Ago08" xfId="1257" xr:uid="{00000000-0005-0000-0000-0000E0040000}"/>
    <cellStyle name="_Análisis CWC DBI - Ago08 2" xfId="1258" xr:uid="{00000000-0005-0000-0000-0000E1040000}"/>
    <cellStyle name="_Análisis CWC DBI - Ago08 2 2" xfId="1259" xr:uid="{00000000-0005-0000-0000-0000E2040000}"/>
    <cellStyle name="_Análisis CWC DBI - Ago08 3" xfId="1260" xr:uid="{00000000-0005-0000-0000-0000E3040000}"/>
    <cellStyle name="_APA ATP" xfId="1261" xr:uid="{00000000-0005-0000-0000-0000E4040000}"/>
    <cellStyle name="_Apoio Leste - Mai" xfId="1262" xr:uid="{00000000-0005-0000-0000-0000E5040000}"/>
    <cellStyle name="_Apoio Leste - Outubro" xfId="1263" xr:uid="{00000000-0005-0000-0000-0000E6040000}"/>
    <cellStyle name="_Apoio SDG Contagem" xfId="1264" xr:uid="{00000000-0005-0000-0000-0000E7040000}"/>
    <cellStyle name="_APPROVED" xfId="1265" xr:uid="{00000000-0005-0000-0000-0000E8040000}"/>
    <cellStyle name="_Approved open position add backs" xfId="1266" xr:uid="{00000000-0005-0000-0000-0000E9040000}"/>
    <cellStyle name="_Apr 2006 BT Monthly Report - Final" xfId="1267" xr:uid="{00000000-0005-0000-0000-0000EA040000}"/>
    <cellStyle name="_Apr07 GCS Card Close File" xfId="1268" xr:uid="{00000000-0005-0000-0000-0000EB040000}"/>
    <cellStyle name="_Apr07 GCS Card Close File_~0509683" xfId="1269" xr:uid="{00000000-0005-0000-0000-0000EC040000}"/>
    <cellStyle name="_Apr07 GCS Card Close File_~0509683_Communications Forecast" xfId="1270" xr:uid="{00000000-0005-0000-0000-0000ED040000}"/>
    <cellStyle name="_Apr07 GCS Card Close File_~0509683_Marketing and communications July" xfId="1271" xr:uid="{00000000-0005-0000-0000-0000EE040000}"/>
    <cellStyle name="_Apr07 GCS Card Close File_~0509683_Marketing and communications June" xfId="1272" xr:uid="{00000000-0005-0000-0000-0000EF040000}"/>
    <cellStyle name="_Apr07 GCS Card Close File_~0509683_Marketing and communications June v2" xfId="1273" xr:uid="{00000000-0005-0000-0000-0000F0040000}"/>
    <cellStyle name="_Apr07 GCS Card Close File_~0509683_Marketing and communications June v3" xfId="1274" xr:uid="{00000000-0005-0000-0000-0000F1040000}"/>
    <cellStyle name="_Apr07 GCS Card Close File_~0509683_Marketing and communications March 3" xfId="1275" xr:uid="{00000000-0005-0000-0000-0000F2040000}"/>
    <cellStyle name="_Apr07 GCS Card Close File_~0509683_Marketing Forecast" xfId="1276" xr:uid="{00000000-0005-0000-0000-0000F3040000}"/>
    <cellStyle name="_Apr07 GCS Card Close File_~8807032" xfId="1277" xr:uid="{00000000-0005-0000-0000-0000F4040000}"/>
    <cellStyle name="_Apr07 GCS Card Close File_~8807032_Communications Forecast" xfId="1278" xr:uid="{00000000-0005-0000-0000-0000F5040000}"/>
    <cellStyle name="_Apr07 GCS Card Close File_~8807032_Marketing and communications July" xfId="1279" xr:uid="{00000000-0005-0000-0000-0000F6040000}"/>
    <cellStyle name="_Apr07 GCS Card Close File_~8807032_Marketing and communications June" xfId="1280" xr:uid="{00000000-0005-0000-0000-0000F7040000}"/>
    <cellStyle name="_Apr07 GCS Card Close File_~8807032_Marketing and communications June v2" xfId="1281" xr:uid="{00000000-0005-0000-0000-0000F8040000}"/>
    <cellStyle name="_Apr07 GCS Card Close File_~8807032_Marketing and communications June v3" xfId="1282" xr:uid="{00000000-0005-0000-0000-0000F9040000}"/>
    <cellStyle name="_Apr07 GCS Card Close File_~8807032_Marketing and communications March 3" xfId="1283" xr:uid="{00000000-0005-0000-0000-0000FA040000}"/>
    <cellStyle name="_Apr07 GCS Card Close File_~8807032_Marketing Forecast" xfId="1284" xr:uid="{00000000-0005-0000-0000-0000FB040000}"/>
    <cellStyle name="_Apr07 GCS Card Close File_2009 GRS" xfId="1285" xr:uid="{00000000-0005-0000-0000-0000FC040000}"/>
    <cellStyle name="_Apr07 GCS Card Close File_B2B P&amp;L" xfId="1286" xr:uid="{00000000-0005-0000-0000-0000FD040000}"/>
    <cellStyle name="_Apr07 GCS Card Close File_B2B P&amp;L_Global Group" xfId="1287" xr:uid="{00000000-0005-0000-0000-0000FE040000}"/>
    <cellStyle name="_Apr07 GCS Card Close File_GCC P&amp;L Rptd (2)" xfId="1288" xr:uid="{00000000-0005-0000-0000-0000FF040000}"/>
    <cellStyle name="_Apr07 GCS Card Close File_GCC P&amp;L Rptd (2)_Communications Forecast" xfId="1289" xr:uid="{00000000-0005-0000-0000-000000050000}"/>
    <cellStyle name="_Apr07 GCS Card Close File_GCC P&amp;L Rptd (2)_Marketing and communications July" xfId="1290" xr:uid="{00000000-0005-0000-0000-000001050000}"/>
    <cellStyle name="_Apr07 GCS Card Close File_GCC P&amp;L Rptd (2)_Marketing and communications June" xfId="1291" xr:uid="{00000000-0005-0000-0000-000002050000}"/>
    <cellStyle name="_Apr07 GCS Card Close File_GCC P&amp;L Rptd (2)_Marketing and communications June v2" xfId="1292" xr:uid="{00000000-0005-0000-0000-000003050000}"/>
    <cellStyle name="_Apr07 GCS Card Close File_GCC P&amp;L Rptd (2)_Marketing and communications June v3" xfId="1293" xr:uid="{00000000-0005-0000-0000-000004050000}"/>
    <cellStyle name="_Apr07 GCS Card Close File_GCC P&amp;L Rptd (2)_Marketing and communications March 3" xfId="1294" xr:uid="{00000000-0005-0000-0000-000005050000}"/>
    <cellStyle name="_Apr07 GCS Card Close File_GCC P&amp;L Rptd (2)_Marketing Forecast" xfId="1295" xr:uid="{00000000-0005-0000-0000-000006050000}"/>
    <cellStyle name="_Apr07 GCS Card Close File_GMS CM &amp; Detailed P&amp;L (TM1)" xfId="1296" xr:uid="{00000000-0005-0000-0000-000007050000}"/>
    <cellStyle name="_Apr07 GCS Card Close File_GMS CM &amp; Detailed P&amp;L (TM1)_Communications Forecast" xfId="1297" xr:uid="{00000000-0005-0000-0000-000008050000}"/>
    <cellStyle name="_Apr07 GCS Card Close File_GMS CM &amp; Detailed P&amp;L (TM1)_Marketing and communications July" xfId="1298" xr:uid="{00000000-0005-0000-0000-000009050000}"/>
    <cellStyle name="_Apr07 GCS Card Close File_GMS CM &amp; Detailed P&amp;L (TM1)_Marketing and communications June" xfId="1299" xr:uid="{00000000-0005-0000-0000-00000A050000}"/>
    <cellStyle name="_Apr07 GCS Card Close File_GMS CM &amp; Detailed P&amp;L (TM1)_Marketing and communications June v2" xfId="1300" xr:uid="{00000000-0005-0000-0000-00000B050000}"/>
    <cellStyle name="_Apr07 GCS Card Close File_GMS CM &amp; Detailed P&amp;L (TM1)_Marketing and communications June v3" xfId="1301" xr:uid="{00000000-0005-0000-0000-00000C050000}"/>
    <cellStyle name="_Apr07 GCS Card Close File_GMS CM &amp; Detailed P&amp;L (TM1)_Marketing and communications March 3" xfId="1302" xr:uid="{00000000-0005-0000-0000-00000D050000}"/>
    <cellStyle name="_Apr07 GCS Card Close File_GMS CM &amp; Detailed P&amp;L (TM1)_Marketing Forecast" xfId="1303" xr:uid="{00000000-0005-0000-0000-00000E050000}"/>
    <cellStyle name="_Apr07 GCS Card Close File_GTS CM &amp; Detailed P&amp;L (TM1)" xfId="1304" xr:uid="{00000000-0005-0000-0000-00000F050000}"/>
    <cellStyle name="_Apr07 GCS Card Close File_GTS CM &amp; Detailed P&amp;L (TM1)_Communications Forecast" xfId="1305" xr:uid="{00000000-0005-0000-0000-000010050000}"/>
    <cellStyle name="_Apr07 GCS Card Close File_GTS CM &amp; Detailed P&amp;L (TM1)_Marketing and communications July" xfId="1306" xr:uid="{00000000-0005-0000-0000-000011050000}"/>
    <cellStyle name="_Apr07 GCS Card Close File_GTS CM &amp; Detailed P&amp;L (TM1)_Marketing and communications June" xfId="1307" xr:uid="{00000000-0005-0000-0000-000012050000}"/>
    <cellStyle name="_Apr07 GCS Card Close File_GTS CM &amp; Detailed P&amp;L (TM1)_Marketing and communications June v2" xfId="1308" xr:uid="{00000000-0005-0000-0000-000013050000}"/>
    <cellStyle name="_Apr07 GCS Card Close File_GTS CM &amp; Detailed P&amp;L (TM1)_Marketing and communications June v3" xfId="1309" xr:uid="{00000000-0005-0000-0000-000014050000}"/>
    <cellStyle name="_Apr07 GCS Card Close File_GTS CM &amp; Detailed P&amp;L (TM1)_Marketing and communications March 3" xfId="1310" xr:uid="{00000000-0005-0000-0000-000015050000}"/>
    <cellStyle name="_Apr07 GCS Card Close File_GTS CM &amp; Detailed P&amp;L (TM1)_Marketing Forecast" xfId="1311" xr:uid="{00000000-0005-0000-0000-000016050000}"/>
    <cellStyle name="_Apr07 GCS Card Close File_P&amp;L Summary" xfId="1312" xr:uid="{00000000-0005-0000-0000-000017050000}"/>
    <cellStyle name="_Apr07 GCS Card Close File_P&amp;L Summary_Communications Forecast" xfId="1313" xr:uid="{00000000-0005-0000-0000-000018050000}"/>
    <cellStyle name="_Apr07 GCS Card Close File_P&amp;L Summary_Marketing and communications July" xfId="1314" xr:uid="{00000000-0005-0000-0000-000019050000}"/>
    <cellStyle name="_Apr07 GCS Card Close File_P&amp;L Summary_Marketing and communications June" xfId="1315" xr:uid="{00000000-0005-0000-0000-00001A050000}"/>
    <cellStyle name="_Apr07 GCS Card Close File_P&amp;L Summary_Marketing and communications June v2" xfId="1316" xr:uid="{00000000-0005-0000-0000-00001B050000}"/>
    <cellStyle name="_Apr07 GCS Card Close File_P&amp;L Summary_Marketing and communications June v3" xfId="1317" xr:uid="{00000000-0005-0000-0000-00001C050000}"/>
    <cellStyle name="_Apr07 GCS Card Close File_P&amp;L Summary_Marketing and communications March 3" xfId="1318" xr:uid="{00000000-0005-0000-0000-00001D050000}"/>
    <cellStyle name="_Apr07 GCS Card Close File_P&amp;L Summary_Marketing Forecast" xfId="1319" xr:uid="{00000000-0005-0000-0000-00001E050000}"/>
    <cellStyle name="_April 06 Rebate Sheet_NY Deck" xfId="1320" xr:uid="{00000000-0005-0000-0000-00001F050000}"/>
    <cellStyle name="_April 06 Rebate Sheet_NY Deck_Global Group" xfId="1321" xr:uid="{00000000-0005-0000-0000-000020050000}"/>
    <cellStyle name="_April 5 2006 2+10 Updatev3" xfId="1322" xr:uid="{00000000-0005-0000-0000-000021050000}"/>
    <cellStyle name="_Argentina Oracle" xfId="1323" xr:uid="{00000000-0005-0000-0000-000022050000}"/>
    <cellStyle name="_Arquivos padrão SDG Revisada" xfId="1324" xr:uid="{00000000-0005-0000-0000-000023050000}"/>
    <cellStyle name="_Asset Needs" xfId="1325" xr:uid="{00000000-0005-0000-0000-000024050000}"/>
    <cellStyle name="_Assumptions 2 - LE2 1YP 2007" xfId="1326" xr:uid="{00000000-0005-0000-0000-000025050000}"/>
    <cellStyle name="_Assumptions 2 - LE2 1YP 2007 2" xfId="1327" xr:uid="{00000000-0005-0000-0000-000026050000}"/>
    <cellStyle name="_Assumptions 2 - LE2 1YP 2007 2 2" xfId="1328" xr:uid="{00000000-0005-0000-0000-000027050000}"/>
    <cellStyle name="_Assumptions 2 - LE2 1YP 2007 3" xfId="1329" xr:uid="{00000000-0005-0000-0000-000028050000}"/>
    <cellStyle name="_Aug 2007 BT Monthly Report" xfId="1330" xr:uid="{00000000-0005-0000-0000-000029050000}"/>
    <cellStyle name="_Aug07 GCS Card Close File" xfId="1331" xr:uid="{00000000-0005-0000-0000-00002A050000}"/>
    <cellStyle name="_Aus Review with Justin Morgan June06" xfId="1332" xr:uid="{00000000-0005-0000-0000-00002B050000}"/>
    <cellStyle name="_Aust Oracle" xfId="1333" xr:uid="{00000000-0005-0000-0000-00002C050000}"/>
    <cellStyle name="_Austria" xfId="1334" xr:uid="{00000000-0005-0000-0000-00002D050000}"/>
    <cellStyle name="_AXcessFinancialPackage-Mar09" xfId="1335" xr:uid="{00000000-0005-0000-0000-00002E050000}"/>
    <cellStyle name="_AXIOMAccessFees-FY08vs8+4" xfId="1336" xr:uid="{00000000-0005-0000-0000-00002F050000}"/>
    <cellStyle name="_AXIOMAccessFeesSummary-YTDMar09" xfId="1337" xr:uid="{00000000-0005-0000-0000-000030050000}"/>
    <cellStyle name="_AXIOMProjections7+5(GC)-v1" xfId="1338" xr:uid="{00000000-0005-0000-0000-000031050000}"/>
    <cellStyle name="_AXPi P&amp;L" xfId="1339" xr:uid="{00000000-0005-0000-0000-000032050000}"/>
    <cellStyle name="_B 2007_07_09_2006_1,5%Corepriceincrease1_4" xfId="1340" xr:uid="{00000000-0005-0000-0000-000033050000}"/>
    <cellStyle name="_B07Deck_Marketing_Costs_Sep14FINAL" xfId="1341" xr:uid="{00000000-0005-0000-0000-000034050000}"/>
    <cellStyle name="_B07Deck_Marketing_Costs_Sep14FINAL 2" xfId="1342" xr:uid="{00000000-0005-0000-0000-000035050000}"/>
    <cellStyle name="_B07Deck_Marketing_Costs_Sep14FINAL 3" xfId="1343" xr:uid="{00000000-0005-0000-0000-000036050000}"/>
    <cellStyle name="_B07Deck_Marketing_Costs_Sep14FINAL 3 2" xfId="1344" xr:uid="{00000000-0005-0000-0000-000037050000}"/>
    <cellStyle name="_B07Deck_Marketing_Costs_Sep14FINAL 3 3" xfId="1345" xr:uid="{00000000-0005-0000-0000-000038050000}"/>
    <cellStyle name="_B07Deck_Marketing_Costs_Sep14FINAL 3 3 2" xfId="1346" xr:uid="{00000000-0005-0000-0000-000039050000}"/>
    <cellStyle name="_B07Deck_Marketing_Costs_Sep14FINAL 4" xfId="1347" xr:uid="{00000000-0005-0000-0000-00003A050000}"/>
    <cellStyle name="_B07Deck_Marketing_Costs_Sep14FINAL 4 2" xfId="1348" xr:uid="{00000000-0005-0000-0000-00003B050000}"/>
    <cellStyle name="_B07Deck_Marketing_Costs_Sep14FINAL_Belgium_brew" xfId="1349" xr:uid="{00000000-0005-0000-0000-00003C050000}"/>
    <cellStyle name="_B07Deck_Marketing_Costs_Sep14FINAL_Belgium_brew 2" xfId="1350" xr:uid="{00000000-0005-0000-0000-00003D050000}"/>
    <cellStyle name="_B07Deck_Marketing_Costs_Sep14FINAL_Belgium_brew 3" xfId="1351" xr:uid="{00000000-0005-0000-0000-00003E050000}"/>
    <cellStyle name="_B07Deck_Marketing_Costs_Sep14FINAL_Belgium_brew 3 2" xfId="1352" xr:uid="{00000000-0005-0000-0000-00003F050000}"/>
    <cellStyle name="_B07Deck_Marketing_Costs_Sep14FINAL_BU 12 TP Database - Regular Volumes Revised" xfId="1353" xr:uid="{00000000-0005-0000-0000-000040050000}"/>
    <cellStyle name="_B07Deck_Marketing_Costs_Sep14FINAL_BU 12 TP Database - Regular Volumes Revised 2" xfId="1354" xr:uid="{00000000-0005-0000-0000-000041050000}"/>
    <cellStyle name="_B07Deck_Marketing_Costs_Sep14FINAL_BU 12 TP Database - Regular Volumes Revised 3" xfId="1355" xr:uid="{00000000-0005-0000-0000-000042050000}"/>
    <cellStyle name="_B07Deck_Marketing_Costs_Sep14FINAL_BU 12 TP Database - Regular Volumes Revised 3 2" xfId="1356" xr:uid="{00000000-0005-0000-0000-000043050000}"/>
    <cellStyle name="_B07Deck_Marketing_Costs_Sep14FINAL_BU 12 TP Database - Regular Volumes Revised 3 3" xfId="1357" xr:uid="{00000000-0005-0000-0000-000044050000}"/>
    <cellStyle name="_B07Deck_Marketing_Costs_Sep14FINAL_BU 12 TP Database - Regular Volumes Revised 3 3 2" xfId="1358" xr:uid="{00000000-0005-0000-0000-000045050000}"/>
    <cellStyle name="_B07Deck_Marketing_Costs_Sep14FINAL_BU 12 TP Database - Regular Volumes Revised 4" xfId="1359" xr:uid="{00000000-0005-0000-0000-000046050000}"/>
    <cellStyle name="_B07Deck_Marketing_Costs_Sep14FINAL_BU 12 TP Database - Regular Volumes Revised 4 2" xfId="1360" xr:uid="{00000000-0005-0000-0000-000047050000}"/>
    <cellStyle name="_B07Deck_Marketing_Costs_Sep14FINAL_BU 12 TP Database - Regular Volumes V3" xfId="1361" xr:uid="{00000000-0005-0000-0000-000048050000}"/>
    <cellStyle name="_B07Deck_Marketing_Costs_Sep14FINAL_BU 12 TP Database - Regular Volumes V3 2" xfId="1362" xr:uid="{00000000-0005-0000-0000-000049050000}"/>
    <cellStyle name="_B07Deck_Marketing_Costs_Sep14FINAL_BU 12 TP Database - Regular Volumes V3 3" xfId="1363" xr:uid="{00000000-0005-0000-0000-00004A050000}"/>
    <cellStyle name="_B07Deck_Marketing_Costs_Sep14FINAL_BU 12 TP Database - Regular Volumes V3 3 2" xfId="1364" xr:uid="{00000000-0005-0000-0000-00004B050000}"/>
    <cellStyle name="_B07Deck_Marketing_Costs_Sep14FINAL_BU 12 TP Database - Regular Volumes V3 3 3" xfId="1365" xr:uid="{00000000-0005-0000-0000-00004C050000}"/>
    <cellStyle name="_B07Deck_Marketing_Costs_Sep14FINAL_BU 12 TP Database - Regular Volumes V3 3 3 2" xfId="1366" xr:uid="{00000000-0005-0000-0000-00004D050000}"/>
    <cellStyle name="_B07Deck_Marketing_Costs_Sep14FINAL_BU 12 TP Database - Regular Volumes V3 4" xfId="1367" xr:uid="{00000000-0005-0000-0000-00004E050000}"/>
    <cellStyle name="_B07Deck_Marketing_Costs_Sep14FINAL_BU 12 TP Database - Regular Volumes V3 4 2" xfId="1368" xr:uid="{00000000-0005-0000-0000-00004F050000}"/>
    <cellStyle name="_B07Deck_Marketing_Costs_Sep14FINAL_BU 12 TP Database - Regular Volumes V4 (2)" xfId="1369" xr:uid="{00000000-0005-0000-0000-000050050000}"/>
    <cellStyle name="_B07Deck_Marketing_Costs_Sep14FINAL_BU 12 TP Database - Regular Volumes V4 (2) 2" xfId="1370" xr:uid="{00000000-0005-0000-0000-000051050000}"/>
    <cellStyle name="_B07Deck_Marketing_Costs_Sep14FINAL_BU 12 TP Database - Regular Volumes V4 (2) 3" xfId="1371" xr:uid="{00000000-0005-0000-0000-000052050000}"/>
    <cellStyle name="_B07Deck_Marketing_Costs_Sep14FINAL_BU 12 TP Database - Regular Volumes V4 (2) 3 2" xfId="1372" xr:uid="{00000000-0005-0000-0000-000053050000}"/>
    <cellStyle name="_B07Deck_Marketing_Costs_Sep14FINAL_BU 12 TP Database - Regular Volumes V4 (2) 3 3" xfId="1373" xr:uid="{00000000-0005-0000-0000-000054050000}"/>
    <cellStyle name="_B07Deck_Marketing_Costs_Sep14FINAL_BU 12 TP Database - Regular Volumes V4 (2) 3 3 2" xfId="1374" xr:uid="{00000000-0005-0000-0000-000055050000}"/>
    <cellStyle name="_B07Deck_Marketing_Costs_Sep14FINAL_BU 12 TP Database - Regular Volumes V4 (2) 4" xfId="1375" xr:uid="{00000000-0005-0000-0000-000056050000}"/>
    <cellStyle name="_B07Deck_Marketing_Costs_Sep14FINAL_BU 12 TP Database - Regular Volumes V4 (2) 4 2" xfId="1376" xr:uid="{00000000-0005-0000-0000-000057050000}"/>
    <cellStyle name="_B07Deck_Marketing_Costs_Sep14FINAL_BU 12 TP Database - Regular Volumes_US_CAN" xfId="1377" xr:uid="{00000000-0005-0000-0000-000058050000}"/>
    <cellStyle name="_B07Deck_Marketing_Costs_Sep14FINAL_BU 12 TP Database - Regular Volumes_US_CAN 2" xfId="1378" xr:uid="{00000000-0005-0000-0000-000059050000}"/>
    <cellStyle name="_B07Deck_Marketing_Costs_Sep14FINAL_BU 12 TP Database - Regular Volumes_US_CAN 3" xfId="1379" xr:uid="{00000000-0005-0000-0000-00005A050000}"/>
    <cellStyle name="_B07Deck_Marketing_Costs_Sep14FINAL_BU 12 TP Database - Regular Volumes_US_CAN 3 2" xfId="1380" xr:uid="{00000000-0005-0000-0000-00005B050000}"/>
    <cellStyle name="_B07Deck_Marketing_Costs_Sep14FINAL_BU12 TP database - REGULAR VOLUMES LAN" xfId="1381" xr:uid="{00000000-0005-0000-0000-00005C050000}"/>
    <cellStyle name="_B07Deck_Marketing_Costs_Sep14FINAL_Canada" xfId="1382" xr:uid="{00000000-0005-0000-0000-00005D050000}"/>
    <cellStyle name="_B07Deck_Marketing_Costs_Sep14FINAL_Canada 2" xfId="1383" xr:uid="{00000000-0005-0000-0000-00005E050000}"/>
    <cellStyle name="_B07Deck_Marketing_Costs_Sep14FINAL_Canada_Dominican Rep" xfId="1384" xr:uid="{00000000-0005-0000-0000-00005F050000}"/>
    <cellStyle name="_B09 vs LE08 Price Assumptions WE_CountrySplit  - CONSOLIDATED-V 7 exclVE" xfId="1385" xr:uid="{00000000-0005-0000-0000-000060050000}"/>
    <cellStyle name="_B2008_Frango_10IM10BS10CF (release 14 FEB) " xfId="1386" xr:uid="{00000000-0005-0000-0000-000061050000}"/>
    <cellStyle name="_B2B 2009 8+4F Support Templates (GTS)" xfId="1387" xr:uid="{00000000-0005-0000-0000-000062050000}"/>
    <cellStyle name="_Back up TRX&amp;TRX Fee 8+4F-values 27-09" xfId="1388" xr:uid="{00000000-0005-0000-0000-000063050000}"/>
    <cellStyle name="_Basis" xfId="1389" xr:uid="{00000000-0005-0000-0000-000064050000}"/>
    <cellStyle name="_Basis 2" xfId="1390" xr:uid="{00000000-0005-0000-0000-000065050000}"/>
    <cellStyle name="_Basis 2 2" xfId="1391" xr:uid="{00000000-0005-0000-0000-000066050000}"/>
    <cellStyle name="_Basis_packaging" xfId="1392" xr:uid="{00000000-0005-0000-0000-000067050000}"/>
    <cellStyle name="_Basis_packaging_Sheet5" xfId="1393" xr:uid="{00000000-0005-0000-0000-000068050000}"/>
    <cellStyle name="_Basis_Pallet" xfId="1394" xr:uid="{00000000-0005-0000-0000-000069050000}"/>
    <cellStyle name="_Basis_RFFS SUBMISSION TO VPs" xfId="1395" xr:uid="{00000000-0005-0000-0000-00006A050000}"/>
    <cellStyle name="_Basis_RFFS SUBMISSION TO VPs 2" xfId="1396" xr:uid="{00000000-0005-0000-0000-00006B050000}"/>
    <cellStyle name="_Basis_RFFS_SUBMISSION_TO_VPs _v2" xfId="1397" xr:uid="{00000000-0005-0000-0000-00006C050000}"/>
    <cellStyle name="_Basis_RFFS_SUBMISSION_TO_VPs _v2 2" xfId="1398" xr:uid="{00000000-0005-0000-0000-00006D050000}"/>
    <cellStyle name="_Basis_Sheet1" xfId="1399" xr:uid="{00000000-0005-0000-0000-00006E050000}"/>
    <cellStyle name="_Basis_Sheet5" xfId="1400" xr:uid="{00000000-0005-0000-0000-00006F050000}"/>
    <cellStyle name="_Basis_Sm Proj Cash Flow" xfId="1401" xr:uid="{00000000-0005-0000-0000-000070050000}"/>
    <cellStyle name="_Basis_Spend Detail" xfId="1402" xr:uid="{00000000-0005-0000-0000-000071050000}"/>
    <cellStyle name="_Basis_SustainingProjectList" xfId="1403" xr:uid="{00000000-0005-0000-0000-000072050000}"/>
    <cellStyle name="_BE0002_FINAL Variance Analysis 06.2010_USD1" xfId="1404" xr:uid="{00000000-0005-0000-0000-000073050000}"/>
    <cellStyle name="_BE0900 CWC AC0808 monthly" xfId="1405" xr:uid="{00000000-0005-0000-0000-000074050000}"/>
    <cellStyle name="_Bei cost center v3" xfId="1406" xr:uid="{00000000-0005-0000-0000-000075050000}"/>
    <cellStyle name="_Belgium 2008 LE2" xfId="1407" xr:uid="{00000000-0005-0000-0000-000076050000}"/>
    <cellStyle name="_Bellux" xfId="1408" xr:uid="{00000000-0005-0000-0000-000077050000}"/>
    <cellStyle name="_BE-SCFD-YTD0701" xfId="1409" xr:uid="{00000000-0005-0000-0000-000078050000}"/>
    <cellStyle name="_BE-SCFD-YTD0701_Accident frequency" xfId="1410" xr:uid="{00000000-0005-0000-0000-000079050000}"/>
    <cellStyle name="_BE-SCFD-YTD0701_New! Priorities FLC" xfId="1411" xr:uid="{00000000-0005-0000-0000-00007A050000}"/>
    <cellStyle name="_BE-SCFD-YTD0701_New! Priorities FLC_Accident frequency" xfId="1412" xr:uid="{00000000-0005-0000-0000-00007B050000}"/>
    <cellStyle name="_BE-SCFD-YTD0701_New! Priorities VLC" xfId="1413" xr:uid="{00000000-0005-0000-0000-00007C050000}"/>
    <cellStyle name="_BE-SCFD-YTD0701_New! Priorities VLC_Accident frequency" xfId="1414" xr:uid="{00000000-0005-0000-0000-00007D050000}"/>
    <cellStyle name="_BE-SCFD-YTD0701_prioritization-VIC" xfId="1415" xr:uid="{00000000-0005-0000-0000-00007E050000}"/>
    <cellStyle name="_BE-SCFD-YTD0701_prioritization-VIC_Accident frequency" xfId="1416" xr:uid="{00000000-0005-0000-0000-00007F050000}"/>
    <cellStyle name="_BGT 07 CZ deck_Croatia 19.09xls" xfId="1417" xr:uid="{00000000-0005-0000-0000-000080050000}"/>
    <cellStyle name="_BGT 07 CZ deck_Croatia 19.09xls 2" xfId="1418" xr:uid="{00000000-0005-0000-0000-000081050000}"/>
    <cellStyle name="_BGT 07 CZ deck_Croatia 19.09xls 3" xfId="1419" xr:uid="{00000000-0005-0000-0000-000082050000}"/>
    <cellStyle name="_BGT 07 CZ deck_Croatia 19.09xls 3 2" xfId="1420" xr:uid="{00000000-0005-0000-0000-000083050000}"/>
    <cellStyle name="_BGT 07 CZ deck_Croatia 19.09xls 3 3" xfId="1421" xr:uid="{00000000-0005-0000-0000-000084050000}"/>
    <cellStyle name="_BGT 07 CZ deck_Croatia 19.09xls 3 3 2" xfId="1422" xr:uid="{00000000-0005-0000-0000-000085050000}"/>
    <cellStyle name="_BGT 07 CZ deck_Croatia 19.09xls 4" xfId="1423" xr:uid="{00000000-0005-0000-0000-000086050000}"/>
    <cellStyle name="_BGT 07 CZ deck_Croatia 19.09xls 4 2" xfId="1424" xr:uid="{00000000-0005-0000-0000-000087050000}"/>
    <cellStyle name="_BGT 07 CZ deck_Croatia 19.09xls_Belgium_brew" xfId="1425" xr:uid="{00000000-0005-0000-0000-000088050000}"/>
    <cellStyle name="_BGT 07 CZ deck_Croatia 19.09xls_Belgium_brew 2" xfId="1426" xr:uid="{00000000-0005-0000-0000-000089050000}"/>
    <cellStyle name="_BGT 07 CZ deck_Croatia 19.09xls_Belgium_brew 3" xfId="1427" xr:uid="{00000000-0005-0000-0000-00008A050000}"/>
    <cellStyle name="_BGT 07 CZ deck_Croatia 19.09xls_Belgium_brew 3 2" xfId="1428" xr:uid="{00000000-0005-0000-0000-00008B050000}"/>
    <cellStyle name="_BGT 07 CZ deck_Croatia 19.09xls_BU 12 TP Database - Regular Volumes Revised" xfId="1429" xr:uid="{00000000-0005-0000-0000-00008C050000}"/>
    <cellStyle name="_BGT 07 CZ deck_Croatia 19.09xls_BU 12 TP Database - Regular Volumes Revised 2" xfId="1430" xr:uid="{00000000-0005-0000-0000-00008D050000}"/>
    <cellStyle name="_BGT 07 CZ deck_Croatia 19.09xls_BU 12 TP Database - Regular Volumes Revised 3" xfId="1431" xr:uid="{00000000-0005-0000-0000-00008E050000}"/>
    <cellStyle name="_BGT 07 CZ deck_Croatia 19.09xls_BU 12 TP Database - Regular Volumes Revised 3 2" xfId="1432" xr:uid="{00000000-0005-0000-0000-00008F050000}"/>
    <cellStyle name="_BGT 07 CZ deck_Croatia 19.09xls_BU 12 TP Database - Regular Volumes Revised 3 3" xfId="1433" xr:uid="{00000000-0005-0000-0000-000090050000}"/>
    <cellStyle name="_BGT 07 CZ deck_Croatia 19.09xls_BU 12 TP Database - Regular Volumes Revised 3 3 2" xfId="1434" xr:uid="{00000000-0005-0000-0000-000091050000}"/>
    <cellStyle name="_BGT 07 CZ deck_Croatia 19.09xls_BU 12 TP Database - Regular Volumes Revised 4" xfId="1435" xr:uid="{00000000-0005-0000-0000-000092050000}"/>
    <cellStyle name="_BGT 07 CZ deck_Croatia 19.09xls_BU 12 TP Database - Regular Volumes Revised 4 2" xfId="1436" xr:uid="{00000000-0005-0000-0000-000093050000}"/>
    <cellStyle name="_BGT 07 CZ deck_Croatia 19.09xls_BU 12 TP Database - Regular Volumes V3" xfId="1437" xr:uid="{00000000-0005-0000-0000-000094050000}"/>
    <cellStyle name="_BGT 07 CZ deck_Croatia 19.09xls_BU 12 TP Database - Regular Volumes V3 2" xfId="1438" xr:uid="{00000000-0005-0000-0000-000095050000}"/>
    <cellStyle name="_BGT 07 CZ deck_Croatia 19.09xls_BU 12 TP Database - Regular Volumes V3 3" xfId="1439" xr:uid="{00000000-0005-0000-0000-000096050000}"/>
    <cellStyle name="_BGT 07 CZ deck_Croatia 19.09xls_BU 12 TP Database - Regular Volumes V3 3 2" xfId="1440" xr:uid="{00000000-0005-0000-0000-000097050000}"/>
    <cellStyle name="_BGT 07 CZ deck_Croatia 19.09xls_BU 12 TP Database - Regular Volumes V3 3 3" xfId="1441" xr:uid="{00000000-0005-0000-0000-000098050000}"/>
    <cellStyle name="_BGT 07 CZ deck_Croatia 19.09xls_BU 12 TP Database - Regular Volumes V3 3 3 2" xfId="1442" xr:uid="{00000000-0005-0000-0000-000099050000}"/>
    <cellStyle name="_BGT 07 CZ deck_Croatia 19.09xls_BU 12 TP Database - Regular Volumes V3 4" xfId="1443" xr:uid="{00000000-0005-0000-0000-00009A050000}"/>
    <cellStyle name="_BGT 07 CZ deck_Croatia 19.09xls_BU 12 TP Database - Regular Volumes V3 4 2" xfId="1444" xr:uid="{00000000-0005-0000-0000-00009B050000}"/>
    <cellStyle name="_BGT 07 CZ deck_Croatia 19.09xls_BU 12 TP Database - Regular Volumes V4 (2)" xfId="1445" xr:uid="{00000000-0005-0000-0000-00009C050000}"/>
    <cellStyle name="_BGT 07 CZ deck_Croatia 19.09xls_BU 12 TP Database - Regular Volumes V4 (2) 2" xfId="1446" xr:uid="{00000000-0005-0000-0000-00009D050000}"/>
    <cellStyle name="_BGT 07 CZ deck_Croatia 19.09xls_BU 12 TP Database - Regular Volumes V4 (2) 3" xfId="1447" xr:uid="{00000000-0005-0000-0000-00009E050000}"/>
    <cellStyle name="_BGT 07 CZ deck_Croatia 19.09xls_BU 12 TP Database - Regular Volumes V4 (2) 3 2" xfId="1448" xr:uid="{00000000-0005-0000-0000-00009F050000}"/>
    <cellStyle name="_BGT 07 CZ deck_Croatia 19.09xls_BU 12 TP Database - Regular Volumes V4 (2) 3 3" xfId="1449" xr:uid="{00000000-0005-0000-0000-0000A0050000}"/>
    <cellStyle name="_BGT 07 CZ deck_Croatia 19.09xls_BU 12 TP Database - Regular Volumes V4 (2) 3 3 2" xfId="1450" xr:uid="{00000000-0005-0000-0000-0000A1050000}"/>
    <cellStyle name="_BGT 07 CZ deck_Croatia 19.09xls_BU 12 TP Database - Regular Volumes V4 (2) 4" xfId="1451" xr:uid="{00000000-0005-0000-0000-0000A2050000}"/>
    <cellStyle name="_BGT 07 CZ deck_Croatia 19.09xls_BU 12 TP Database - Regular Volumes V4 (2) 4 2" xfId="1452" xr:uid="{00000000-0005-0000-0000-0000A3050000}"/>
    <cellStyle name="_BGT 07 CZ deck_Croatia 19.09xls_BU 12 TP Database - Regular Volumes_US_CAN" xfId="1453" xr:uid="{00000000-0005-0000-0000-0000A4050000}"/>
    <cellStyle name="_BGT 07 CZ deck_Croatia 19.09xls_BU 12 TP Database - Regular Volumes_US_CAN 2" xfId="1454" xr:uid="{00000000-0005-0000-0000-0000A5050000}"/>
    <cellStyle name="_BGT 07 CZ deck_Croatia 19.09xls_BU 12 TP Database - Regular Volumes_US_CAN 3" xfId="1455" xr:uid="{00000000-0005-0000-0000-0000A6050000}"/>
    <cellStyle name="_BGT 07 CZ deck_Croatia 19.09xls_BU 12 TP Database - Regular Volumes_US_CAN 3 2" xfId="1456" xr:uid="{00000000-0005-0000-0000-0000A7050000}"/>
    <cellStyle name="_BGT 07 CZ deck_Croatia 19.09xls_BU12 TP database - REGULAR VOLUMES LAN" xfId="1457" xr:uid="{00000000-0005-0000-0000-0000A8050000}"/>
    <cellStyle name="_BGT 07 CZ deck_Croatia 19.09xls_Canada" xfId="1458" xr:uid="{00000000-0005-0000-0000-0000A9050000}"/>
    <cellStyle name="_BGT 07 CZ deck_Croatia 19.09xls_Canada 2" xfId="1459" xr:uid="{00000000-0005-0000-0000-0000AA050000}"/>
    <cellStyle name="_BGT 07 CZ deck_Croatia 19.09xls_Canada_Dominican Rep" xfId="1460" xr:uid="{00000000-0005-0000-0000-0000AB050000}"/>
    <cellStyle name="_Billed Business by Market_Sent" xfId="1461" xr:uid="{00000000-0005-0000-0000-0000AC050000}"/>
    <cellStyle name="_boas praticas" xfId="1462" xr:uid="{00000000-0005-0000-0000-0000AD050000}"/>
    <cellStyle name="_Bonificaciones OB2007" xfId="1463" xr:uid="{00000000-0005-0000-0000-0000AE050000}"/>
    <cellStyle name="_Bonificaciones OB2007 2" xfId="1464" xr:uid="{00000000-0005-0000-0000-0000AF050000}"/>
    <cellStyle name="_Bonificaciones OB2007 2 2" xfId="1465" xr:uid="{00000000-0005-0000-0000-0000B0050000}"/>
    <cellStyle name="_Bonificaciones OB2007 3" xfId="1466" xr:uid="{00000000-0005-0000-0000-0000B1050000}"/>
    <cellStyle name="_Book Metas G&amp;G 2008 V3" xfId="1467" xr:uid="{00000000-0005-0000-0000-0000B2050000}"/>
    <cellStyle name="_Book Metas G&amp;G 2008 V3 2" xfId="1468" xr:uid="{00000000-0005-0000-0000-0000B3050000}"/>
    <cellStyle name="_Book Metas G&amp;G 2008 V3 2 2" xfId="1469" xr:uid="{00000000-0005-0000-0000-0000B4050000}"/>
    <cellStyle name="_Book Metas G&amp;G 2008 V3 3" xfId="1470" xr:uid="{00000000-0005-0000-0000-0000B5050000}"/>
    <cellStyle name="_Book1" xfId="1471" xr:uid="{00000000-0005-0000-0000-0000B6050000}"/>
    <cellStyle name="_Book1 2" xfId="1472" xr:uid="{00000000-0005-0000-0000-0000B7050000}"/>
    <cellStyle name="_Book1 2 2" xfId="1473" xr:uid="{00000000-0005-0000-0000-0000B8050000}"/>
    <cellStyle name="_Book1 3" xfId="1474" xr:uid="{00000000-0005-0000-0000-0000B9050000}"/>
    <cellStyle name="_Book1_8+4 2009 Forecast Prediction V0.4 210808" xfId="1475" xr:uid="{00000000-0005-0000-0000-0000BA050000}"/>
    <cellStyle name="_Book1_Comms Actuals" xfId="1476" xr:uid="{00000000-0005-0000-0000-0000BB050000}"/>
    <cellStyle name="_Book1_Financial Analysis Base" xfId="1477" xr:uid="{00000000-0005-0000-0000-0000BC050000}"/>
    <cellStyle name="_Book1_Parameters" xfId="1478" xr:uid="{00000000-0005-0000-0000-0000BD050000}"/>
    <cellStyle name="_Book1_Sm Proj Cash Flow" xfId="1479" xr:uid="{00000000-0005-0000-0000-0000BE050000}"/>
    <cellStyle name="_Book1_Spend Detail" xfId="1480" xr:uid="{00000000-0005-0000-0000-0000BF050000}"/>
    <cellStyle name="_Book117" xfId="1481" xr:uid="{00000000-0005-0000-0000-0000C0050000}"/>
    <cellStyle name="_Book117 2" xfId="1482" xr:uid="{00000000-0005-0000-0000-0000C1050000}"/>
    <cellStyle name="_Book117 3" xfId="1483" xr:uid="{00000000-0005-0000-0000-0000C2050000}"/>
    <cellStyle name="_Book117 3 2" xfId="1484" xr:uid="{00000000-0005-0000-0000-0000C3050000}"/>
    <cellStyle name="_Book117 3 3" xfId="1485" xr:uid="{00000000-0005-0000-0000-0000C4050000}"/>
    <cellStyle name="_Book117 3 3 2" xfId="1486" xr:uid="{00000000-0005-0000-0000-0000C5050000}"/>
    <cellStyle name="_Book117 4" xfId="1487" xr:uid="{00000000-0005-0000-0000-0000C6050000}"/>
    <cellStyle name="_Book117 4 2" xfId="1488" xr:uid="{00000000-0005-0000-0000-0000C7050000}"/>
    <cellStyle name="_Book117_Belgium_brew" xfId="1489" xr:uid="{00000000-0005-0000-0000-0000C8050000}"/>
    <cellStyle name="_Book117_Belgium_brew 2" xfId="1490" xr:uid="{00000000-0005-0000-0000-0000C9050000}"/>
    <cellStyle name="_Book117_Belgium_brew 3" xfId="1491" xr:uid="{00000000-0005-0000-0000-0000CA050000}"/>
    <cellStyle name="_Book117_Belgium_brew 3 2" xfId="1492" xr:uid="{00000000-0005-0000-0000-0000CB050000}"/>
    <cellStyle name="_Book117_BU 12 TP Database - Regular Volumes Revised" xfId="1493" xr:uid="{00000000-0005-0000-0000-0000CC050000}"/>
    <cellStyle name="_Book117_BU 12 TP Database - Regular Volumes Revised 2" xfId="1494" xr:uid="{00000000-0005-0000-0000-0000CD050000}"/>
    <cellStyle name="_Book117_BU 12 TP Database - Regular Volumes Revised 3" xfId="1495" xr:uid="{00000000-0005-0000-0000-0000CE050000}"/>
    <cellStyle name="_Book117_BU 12 TP Database - Regular Volumes Revised 3 2" xfId="1496" xr:uid="{00000000-0005-0000-0000-0000CF050000}"/>
    <cellStyle name="_Book117_BU 12 TP Database - Regular Volumes Revised 3 3" xfId="1497" xr:uid="{00000000-0005-0000-0000-0000D0050000}"/>
    <cellStyle name="_Book117_BU 12 TP Database - Regular Volumes Revised 3 3 2" xfId="1498" xr:uid="{00000000-0005-0000-0000-0000D1050000}"/>
    <cellStyle name="_Book117_BU 12 TP Database - Regular Volumes Revised 4" xfId="1499" xr:uid="{00000000-0005-0000-0000-0000D2050000}"/>
    <cellStyle name="_Book117_BU 12 TP Database - Regular Volumes Revised 4 2" xfId="1500" xr:uid="{00000000-0005-0000-0000-0000D3050000}"/>
    <cellStyle name="_Book117_BU 12 TP Database - Regular Volumes V3" xfId="1501" xr:uid="{00000000-0005-0000-0000-0000D4050000}"/>
    <cellStyle name="_Book117_BU 12 TP Database - Regular Volumes V3 2" xfId="1502" xr:uid="{00000000-0005-0000-0000-0000D5050000}"/>
    <cellStyle name="_Book117_BU 12 TP Database - Regular Volumes V3 3" xfId="1503" xr:uid="{00000000-0005-0000-0000-0000D6050000}"/>
    <cellStyle name="_Book117_BU 12 TP Database - Regular Volumes V3 3 2" xfId="1504" xr:uid="{00000000-0005-0000-0000-0000D7050000}"/>
    <cellStyle name="_Book117_BU 12 TP Database - Regular Volumes V3 3 3" xfId="1505" xr:uid="{00000000-0005-0000-0000-0000D8050000}"/>
    <cellStyle name="_Book117_BU 12 TP Database - Regular Volumes V3 3 3 2" xfId="1506" xr:uid="{00000000-0005-0000-0000-0000D9050000}"/>
    <cellStyle name="_Book117_BU 12 TP Database - Regular Volumes V3 4" xfId="1507" xr:uid="{00000000-0005-0000-0000-0000DA050000}"/>
    <cellStyle name="_Book117_BU 12 TP Database - Regular Volumes V3 4 2" xfId="1508" xr:uid="{00000000-0005-0000-0000-0000DB050000}"/>
    <cellStyle name="_Book117_BU 12 TP Database - Regular Volumes V4 (2)" xfId="1509" xr:uid="{00000000-0005-0000-0000-0000DC050000}"/>
    <cellStyle name="_Book117_BU 12 TP Database - Regular Volumes V4 (2) 2" xfId="1510" xr:uid="{00000000-0005-0000-0000-0000DD050000}"/>
    <cellStyle name="_Book117_BU 12 TP Database - Regular Volumes V4 (2) 3" xfId="1511" xr:uid="{00000000-0005-0000-0000-0000DE050000}"/>
    <cellStyle name="_Book117_BU 12 TP Database - Regular Volumes V4 (2) 3 2" xfId="1512" xr:uid="{00000000-0005-0000-0000-0000DF050000}"/>
    <cellStyle name="_Book117_BU 12 TP Database - Regular Volumes V4 (2) 3 3" xfId="1513" xr:uid="{00000000-0005-0000-0000-0000E0050000}"/>
    <cellStyle name="_Book117_BU 12 TP Database - Regular Volumes V4 (2) 3 3 2" xfId="1514" xr:uid="{00000000-0005-0000-0000-0000E1050000}"/>
    <cellStyle name="_Book117_BU 12 TP Database - Regular Volumes V4 (2) 4" xfId="1515" xr:uid="{00000000-0005-0000-0000-0000E2050000}"/>
    <cellStyle name="_Book117_BU 12 TP Database - Regular Volumes V4 (2) 4 2" xfId="1516" xr:uid="{00000000-0005-0000-0000-0000E3050000}"/>
    <cellStyle name="_Book117_BU 12 TP Database - Regular Volumes_US_CAN" xfId="1517" xr:uid="{00000000-0005-0000-0000-0000E4050000}"/>
    <cellStyle name="_Book117_BU 12 TP Database - Regular Volumes_US_CAN 2" xfId="1518" xr:uid="{00000000-0005-0000-0000-0000E5050000}"/>
    <cellStyle name="_Book117_BU 12 TP Database - Regular Volumes_US_CAN 3" xfId="1519" xr:uid="{00000000-0005-0000-0000-0000E6050000}"/>
    <cellStyle name="_Book117_BU 12 TP Database - Regular Volumes_US_CAN 3 2" xfId="1520" xr:uid="{00000000-0005-0000-0000-0000E7050000}"/>
    <cellStyle name="_Book117_BU12 TP database - REGULAR VOLUMES LAN" xfId="1521" xr:uid="{00000000-0005-0000-0000-0000E8050000}"/>
    <cellStyle name="_Book117_Canada" xfId="1522" xr:uid="{00000000-0005-0000-0000-0000E9050000}"/>
    <cellStyle name="_Book117_Canada 2" xfId="1523" xr:uid="{00000000-0005-0000-0000-0000EA050000}"/>
    <cellStyle name="_Book117_Canada_Dominican Rep" xfId="1524" xr:uid="{00000000-0005-0000-0000-0000EB050000}"/>
    <cellStyle name="_Book2" xfId="1525" xr:uid="{00000000-0005-0000-0000-0000EC050000}"/>
    <cellStyle name="_Book2 (3)" xfId="1526" xr:uid="{00000000-0005-0000-0000-0000ED050000}"/>
    <cellStyle name="_Book2 (3) 2" xfId="1527" xr:uid="{00000000-0005-0000-0000-0000EE050000}"/>
    <cellStyle name="_Book3" xfId="1528" xr:uid="{00000000-0005-0000-0000-0000EF050000}"/>
    <cellStyle name="_Book3_Comms Actuals" xfId="1529" xr:uid="{00000000-0005-0000-0000-0000F0050000}"/>
    <cellStyle name="_Book6" xfId="1530" xr:uid="{00000000-0005-0000-0000-0000F1050000}"/>
    <cellStyle name="_Book6 (2)" xfId="1531" xr:uid="{00000000-0005-0000-0000-0000F2050000}"/>
    <cellStyle name="_Book6 (2)_Sm Proj Cash Flow" xfId="1532" xr:uid="{00000000-0005-0000-0000-0000F3050000}"/>
    <cellStyle name="_Book6 (2)_Spend Detail" xfId="1533" xr:uid="{00000000-0005-0000-0000-0000F4050000}"/>
    <cellStyle name="_BOY Online projection" xfId="1534" xr:uid="{00000000-0005-0000-0000-0000F5050000}"/>
    <cellStyle name="_Brand Mix" xfId="1535" xr:uid="{00000000-0005-0000-0000-0000F6050000}"/>
    <cellStyle name="_Brand Mix (2)" xfId="1536" xr:uid="{00000000-0005-0000-0000-0000F7050000}"/>
    <cellStyle name="_Brand Mix 2" xfId="1537" xr:uid="{00000000-0005-0000-0000-0000F8050000}"/>
    <cellStyle name="_Brand Mix 2 2" xfId="1538" xr:uid="{00000000-0005-0000-0000-0000F9050000}"/>
    <cellStyle name="_Brand Mix 2 2 2" xfId="1539" xr:uid="{00000000-0005-0000-0000-0000FA050000}"/>
    <cellStyle name="_Brand Mix 2 3" xfId="1540" xr:uid="{00000000-0005-0000-0000-0000FB050000}"/>
    <cellStyle name="_Brand Mix 3" xfId="1541" xr:uid="{00000000-0005-0000-0000-0000FC050000}"/>
    <cellStyle name="_Brand Mix 3 2" xfId="1542" xr:uid="{00000000-0005-0000-0000-0000FD050000}"/>
    <cellStyle name="_Brand Mix 4" xfId="1543" xr:uid="{00000000-0005-0000-0000-0000FE050000}"/>
    <cellStyle name="_Brand Mix_0908 Gabarito exchange rate" xfId="1544" xr:uid="{00000000-0005-0000-0000-0000FF050000}"/>
    <cellStyle name="_Brand Mix_0908 Gabarito exchange rate 2" xfId="1545" xr:uid="{00000000-0005-0000-0000-000000060000}"/>
    <cellStyle name="_Brand Mix_0908 Gabarito exchange rate 2 2" xfId="1546" xr:uid="{00000000-0005-0000-0000-000001060000}"/>
    <cellStyle name="_Brand Mix_0908 Gabarito exchange rate 3" xfId="1547" xr:uid="{00000000-0005-0000-0000-000002060000}"/>
    <cellStyle name="_Brand Mix_Additional Templates" xfId="1548" xr:uid="{00000000-0005-0000-0000-000003060000}"/>
    <cellStyle name="_Brand Mix_Additional Templates (2)" xfId="1549" xr:uid="{00000000-0005-0000-0000-000004060000}"/>
    <cellStyle name="_Brand Mix_Additional Templates (3)" xfId="1550" xr:uid="{00000000-0005-0000-0000-000005060000}"/>
    <cellStyle name="_Brand Mix_Additional Templates (4)" xfId="1551" xr:uid="{00000000-0005-0000-0000-000006060000}"/>
    <cellStyle name="_Brand Mix_Additional Templates (5)" xfId="1552" xr:uid="{00000000-0005-0000-0000-000007060000}"/>
    <cellStyle name="_Brand Mix_Book5" xfId="1553" xr:uid="{00000000-0005-0000-0000-000008060000}"/>
    <cellStyle name="_Brand Mix_Book5 2" xfId="1554" xr:uid="{00000000-0005-0000-0000-000009060000}"/>
    <cellStyle name="_Brand Mix_Book5 2 2" xfId="1555" xr:uid="{00000000-0005-0000-0000-00000A060000}"/>
    <cellStyle name="_Brand Mix_Book5 3" xfId="1556" xr:uid="{00000000-0005-0000-0000-00000B060000}"/>
    <cellStyle name="_Brand Mix_Bplan RD 1001" xfId="1557" xr:uid="{00000000-0005-0000-0000-00000C060000}"/>
    <cellStyle name="_Brand Mix_Bplan RD 1001 2" xfId="1558" xr:uid="{00000000-0005-0000-0000-00000D060000}"/>
    <cellStyle name="_Brand Mix_Bplan RD 1001 2 2" xfId="1559" xr:uid="{00000000-0005-0000-0000-00000E060000}"/>
    <cellStyle name="_Brand Mix_Bplan RD 1001 3" xfId="1560" xr:uid="{00000000-0005-0000-0000-00000F060000}"/>
    <cellStyle name="_Brand Mix_CAPEX Analysis WE v3 Thomas" xfId="1561" xr:uid="{00000000-0005-0000-0000-000010060000}"/>
    <cellStyle name="_Brand Mix_CAPEX Analysis WE v3 Thomas_Financial Analysis Base" xfId="1562" xr:uid="{00000000-0005-0000-0000-000011060000}"/>
    <cellStyle name="_Brand Mix_CAPEX Analysis WE v3 Thomas_Parameters" xfId="1563" xr:uid="{00000000-0005-0000-0000-000012060000}"/>
    <cellStyle name="_Brand Mix_CAPEX Analysis WE v3 Thomas_Sm Proj Cash Flow" xfId="1564" xr:uid="{00000000-0005-0000-0000-000013060000}"/>
    <cellStyle name="_Brand Mix_CAPEX Analysis WE v3 Thomas_Spend Detail" xfId="1565" xr:uid="{00000000-0005-0000-0000-000014060000}"/>
    <cellStyle name="_Brand Mix_Challenge" xfId="1566" xr:uid="{00000000-0005-0000-0000-000015060000}"/>
    <cellStyle name="_Brand Mix_Challenge 2" xfId="1567" xr:uid="{00000000-0005-0000-0000-000016060000}"/>
    <cellStyle name="_Brand Mix_Challenge_Sheet1" xfId="1568" xr:uid="{00000000-0005-0000-0000-000017060000}"/>
    <cellStyle name="_Brand Mix_Challenge_Sm Proj Cash Flow" xfId="1569" xr:uid="{00000000-0005-0000-0000-000018060000}"/>
    <cellStyle name="_Brand Mix_Challenge_Spend Detail" xfId="1570" xr:uid="{00000000-0005-0000-0000-000019060000}"/>
    <cellStyle name="_Brand Mix_Challenge_SustainingProjectList" xfId="1571" xr:uid="{00000000-0005-0000-0000-00001A060000}"/>
    <cellStyle name="_Brand Mix_Copy of 081027 ZBB Budget 2009 Decks - People_Cherry_V4" xfId="1572" xr:uid="{00000000-0005-0000-0000-00001B060000}"/>
    <cellStyle name="_Brand Mix_Copy of 081027 ZBB Budget 2009 Decks - People_Cherry_V4 2" xfId="1573" xr:uid="{00000000-0005-0000-0000-00001C060000}"/>
    <cellStyle name="_Brand Mix_Copy of 081027 ZBB Budget 2009 Decks - People_Cherry_V4 2 2" xfId="1574" xr:uid="{00000000-0005-0000-0000-00001D060000}"/>
    <cellStyle name="_Brand Mix_Copy of 081027 ZBB Budget 2009 Decks - People_Cherry_V4 2 2 2" xfId="1575" xr:uid="{00000000-0005-0000-0000-00001E060000}"/>
    <cellStyle name="_Brand Mix_Copy of 081027 ZBB Budget 2009 Decks - People_Cherry_V4 2 3" xfId="1576" xr:uid="{00000000-0005-0000-0000-00001F060000}"/>
    <cellStyle name="_Brand Mix_Copy of 081027 ZBB Budget 2009 Decks - People_Cherry_V4 3" xfId="1577" xr:uid="{00000000-0005-0000-0000-000020060000}"/>
    <cellStyle name="_Brand Mix_Copy of 081027 ZBB Budget 2009 Decks - People_Cherry_V4 3 2" xfId="1578" xr:uid="{00000000-0005-0000-0000-000021060000}"/>
    <cellStyle name="_Brand Mix_Copy of 081027 ZBB Budget 2009 Decks - People_Cherry_V4 4" xfId="1579" xr:uid="{00000000-0005-0000-0000-000022060000}"/>
    <cellStyle name="_Brand Mix_Financial Analysis Base" xfId="1580" xr:uid="{00000000-0005-0000-0000-000023060000}"/>
    <cellStyle name="_Brand Mix_LE Ebitda RD Feb-10 v2" xfId="1581" xr:uid="{00000000-0005-0000-0000-000024060000}"/>
    <cellStyle name="_Brand Mix_LE Ebitda RD Feb-10 v2 2" xfId="1582" xr:uid="{00000000-0005-0000-0000-000025060000}"/>
    <cellStyle name="_Brand Mix_LE Ebitda RD Feb-10 v2 2 2" xfId="1583" xr:uid="{00000000-0005-0000-0000-000026060000}"/>
    <cellStyle name="_Brand Mix_LE Ebitda RD Feb-10 v2 3" xfId="1584" xr:uid="{00000000-0005-0000-0000-000027060000}"/>
    <cellStyle name="_Brand Mix_NNT_LE'08_1605vsBGT'09_1713" xfId="1585" xr:uid="{00000000-0005-0000-0000-000028060000}"/>
    <cellStyle name="_Brand Mix_NNT_LE'08_1605vsBGT'09_1713 2" xfId="1586" xr:uid="{00000000-0005-0000-0000-000029060000}"/>
    <cellStyle name="_Brand Mix_NNT_LE'08_1605vsBGT'09_1713 3" xfId="1587" xr:uid="{00000000-0005-0000-0000-00002A060000}"/>
    <cellStyle name="_Brand Mix_NNT_LE'08_1605vsBGT'09_1713 3 2" xfId="1588" xr:uid="{00000000-0005-0000-0000-00002B060000}"/>
    <cellStyle name="_Brand Mix_NNT_LE'08_1605vsBGT'09_1713 3 3" xfId="1589" xr:uid="{00000000-0005-0000-0000-00002C060000}"/>
    <cellStyle name="_Brand Mix_NNT_LE'08_1605vsBGT'09_1713 3 3 2" xfId="1590" xr:uid="{00000000-0005-0000-0000-00002D060000}"/>
    <cellStyle name="_Brand Mix_NNT_LE'08_1605vsBGT'09_1713 4" xfId="1591" xr:uid="{00000000-0005-0000-0000-00002E060000}"/>
    <cellStyle name="_Brand Mix_NNT_LE'08_1605vsBGT'09_1713 4 2" xfId="1592" xr:uid="{00000000-0005-0000-0000-00002F060000}"/>
    <cellStyle name="_Brand Mix_Parameters" xfId="1593" xr:uid="{00000000-0005-0000-0000-000030060000}"/>
    <cellStyle name="_Brand Mix_People Package" xfId="1594" xr:uid="{00000000-0005-0000-0000-000031060000}"/>
    <cellStyle name="_Brand Mix_People Package (2)" xfId="1595" xr:uid="{00000000-0005-0000-0000-000032060000}"/>
    <cellStyle name="_Brand Mix_People Package (2) 2" xfId="1596" xr:uid="{00000000-0005-0000-0000-000033060000}"/>
    <cellStyle name="_Brand Mix_People Package (2) 2 2" xfId="1597" xr:uid="{00000000-0005-0000-0000-000034060000}"/>
    <cellStyle name="_Brand Mix_People Package (2) 2 2 2" xfId="1598" xr:uid="{00000000-0005-0000-0000-000035060000}"/>
    <cellStyle name="_Brand Mix_People Package (2) 2 3" xfId="1599" xr:uid="{00000000-0005-0000-0000-000036060000}"/>
    <cellStyle name="_Brand Mix_People Package (2) 3" xfId="1600" xr:uid="{00000000-0005-0000-0000-000037060000}"/>
    <cellStyle name="_Brand Mix_People Package (2) 3 2" xfId="1601" xr:uid="{00000000-0005-0000-0000-000038060000}"/>
    <cellStyle name="_Brand Mix_People Package (2) 4" xfId="1602" xr:uid="{00000000-0005-0000-0000-000039060000}"/>
    <cellStyle name="_Brand Mix_People Package 2" xfId="1603" xr:uid="{00000000-0005-0000-0000-00003A060000}"/>
    <cellStyle name="_Brand Mix_People Package 2 2" xfId="1604" xr:uid="{00000000-0005-0000-0000-00003B060000}"/>
    <cellStyle name="_Brand Mix_People Package 2 2 2" xfId="1605" xr:uid="{00000000-0005-0000-0000-00003C060000}"/>
    <cellStyle name="_Brand Mix_People Package 2 3" xfId="1606" xr:uid="{00000000-0005-0000-0000-00003D060000}"/>
    <cellStyle name="_Brand Mix_People Package 3" xfId="1607" xr:uid="{00000000-0005-0000-0000-00003E060000}"/>
    <cellStyle name="_Brand Mix_People Package 3 2" xfId="1608" xr:uid="{00000000-0005-0000-0000-00003F060000}"/>
    <cellStyle name="_Brand Mix_People Package 4" xfId="1609" xr:uid="{00000000-0005-0000-0000-000040060000}"/>
    <cellStyle name="_Brand Mix_People Package 4 2" xfId="1610" xr:uid="{00000000-0005-0000-0000-000041060000}"/>
    <cellStyle name="_Brand Mix_People Package 5" xfId="1611" xr:uid="{00000000-0005-0000-0000-000042060000}"/>
    <cellStyle name="_Brand Mix_People Package 6" xfId="1612" xr:uid="{00000000-0005-0000-0000-000043060000}"/>
    <cellStyle name="_Brand Mix_Sales and Marketing - revised" xfId="1613" xr:uid="{00000000-0005-0000-0000-000044060000}"/>
    <cellStyle name="_Brand Mix_Sales and Marketing - revised 2" xfId="1614" xr:uid="{00000000-0005-0000-0000-000045060000}"/>
    <cellStyle name="_Brand Mix_Sales and Marketing - revised 2 2" xfId="1615" xr:uid="{00000000-0005-0000-0000-000046060000}"/>
    <cellStyle name="_Brand Mix_Sales and Marketing - revised 3" xfId="1616" xr:uid="{00000000-0005-0000-0000-000047060000}"/>
    <cellStyle name="_Brand Mix_Sim Ebitda LE 0909 v4" xfId="1617" xr:uid="{00000000-0005-0000-0000-000048060000}"/>
    <cellStyle name="_Brand Mix_Sim Ebitda LE 0909 v4 2" xfId="1618" xr:uid="{00000000-0005-0000-0000-000049060000}"/>
    <cellStyle name="_Brand Mix_Sim Ebitda LE 0909 v4 2 2" xfId="1619" xr:uid="{00000000-0005-0000-0000-00004A060000}"/>
    <cellStyle name="_Brand Mix_Sim Ebitda LE 0909 v4 3" xfId="1620" xr:uid="{00000000-0005-0000-0000-00004B060000}"/>
    <cellStyle name="_Brand Mix_Slide for initiatives (2)" xfId="1621" xr:uid="{00000000-0005-0000-0000-00004C060000}"/>
    <cellStyle name="_Brand Mix_Slide for initiatives (2) 2" xfId="1622" xr:uid="{00000000-0005-0000-0000-00004D060000}"/>
    <cellStyle name="_Brand Mix_Slide for initiatives (2) 3" xfId="1623" xr:uid="{00000000-0005-0000-0000-00004E060000}"/>
    <cellStyle name="_Brand Mix_Slide for initiatives (2) 3 2" xfId="1624" xr:uid="{00000000-0005-0000-0000-00004F060000}"/>
    <cellStyle name="_Brand Mix_Slide for initiatives (2) 3 3" xfId="1625" xr:uid="{00000000-0005-0000-0000-000050060000}"/>
    <cellStyle name="_Brand Mix_Slide for initiatives (2) 3 3 2" xfId="1626" xr:uid="{00000000-0005-0000-0000-000051060000}"/>
    <cellStyle name="_Brand Mix_Slide for initiatives (2) 4" xfId="1627" xr:uid="{00000000-0005-0000-0000-000052060000}"/>
    <cellStyle name="_Brand Mix_Slide for initiatives (2) 4 2" xfId="1628" xr:uid="{00000000-0005-0000-0000-000053060000}"/>
    <cellStyle name="_Brand Mix_Sm Proj Cash Flow" xfId="1629" xr:uid="{00000000-0005-0000-0000-000054060000}"/>
    <cellStyle name="_Brand Mix_Spend Detail" xfId="1630" xr:uid="{00000000-0005-0000-0000-000055060000}"/>
    <cellStyle name="_Brand Mix_WF Ebitda RD Abr-10" xfId="1631" xr:uid="{00000000-0005-0000-0000-000056060000}"/>
    <cellStyle name="_Brand Mix_WF Ebitda RD Abr-10 2" xfId="1632" xr:uid="{00000000-0005-0000-0000-000057060000}"/>
    <cellStyle name="_Brand Mix_WF Ebitda RD Abr-10 2 2" xfId="1633" xr:uid="{00000000-0005-0000-0000-000058060000}"/>
    <cellStyle name="_Brand Mix_WF Ebitda RD Abr-10 3" xfId="1634" xr:uid="{00000000-0005-0000-0000-000059060000}"/>
    <cellStyle name="_Brand Mix_WF Ebitda Sep09" xfId="1635" xr:uid="{00000000-0005-0000-0000-00005A060000}"/>
    <cellStyle name="_Brand Mix_WF Ebitda Sep09 2" xfId="1636" xr:uid="{00000000-0005-0000-0000-00005B060000}"/>
    <cellStyle name="_Brand Mix_WF Ebitda Sep09 2 2" xfId="1637" xr:uid="{00000000-0005-0000-0000-00005C060000}"/>
    <cellStyle name="_Brand Mix_WF Ebitda Sep09 3" xfId="1638" xr:uid="{00000000-0005-0000-0000-00005D060000}"/>
    <cellStyle name="_Brand Mix_ZBB" xfId="1639" xr:uid="{00000000-0005-0000-0000-00005E060000}"/>
    <cellStyle name="_Brand Mix_ZBB 2" xfId="1640" xr:uid="{00000000-0005-0000-0000-00005F060000}"/>
    <cellStyle name="_Brand Mix_ZBB 2 2" xfId="1641" xr:uid="{00000000-0005-0000-0000-000060060000}"/>
    <cellStyle name="_Brand Mix_ZBB 2 2 2" xfId="1642" xr:uid="{00000000-0005-0000-0000-000061060000}"/>
    <cellStyle name="_Brand Mix_ZBB 2 3" xfId="1643" xr:uid="{00000000-0005-0000-0000-000062060000}"/>
    <cellStyle name="_Brand Mix_ZBB 3" xfId="1644" xr:uid="{00000000-0005-0000-0000-000063060000}"/>
    <cellStyle name="_Brand Mix_ZBB 3 2" xfId="1645" xr:uid="{00000000-0005-0000-0000-000064060000}"/>
    <cellStyle name="_Brand Mix_ZBB 4" xfId="1646" xr:uid="{00000000-0005-0000-0000-000065060000}"/>
    <cellStyle name="_Brand Mix_ZBB Budget 2009 Decks" xfId="1647" xr:uid="{00000000-0005-0000-0000-000066060000}"/>
    <cellStyle name="_Brand Mix_ZBB Budget 2009 Decks 2" xfId="1648" xr:uid="{00000000-0005-0000-0000-000067060000}"/>
    <cellStyle name="_Brand Mix_ZBB Budget 2009 Decks 2 2" xfId="1649" xr:uid="{00000000-0005-0000-0000-000068060000}"/>
    <cellStyle name="_Brand Mix_ZBB Budget 2009 Decks 2 2 2" xfId="1650" xr:uid="{00000000-0005-0000-0000-000069060000}"/>
    <cellStyle name="_Brand Mix_ZBB Budget 2009 Decks 2 3" xfId="1651" xr:uid="{00000000-0005-0000-0000-00006A060000}"/>
    <cellStyle name="_Brand Mix_ZBB Budget 2009 Decks 3" xfId="1652" xr:uid="{00000000-0005-0000-0000-00006B060000}"/>
    <cellStyle name="_Brand Mix_ZBB Budget 2009 Decks 3 2" xfId="1653" xr:uid="{00000000-0005-0000-0000-00006C060000}"/>
    <cellStyle name="_Brand Mix_ZBB Budget 2009 Decks 4" xfId="1654" xr:uid="{00000000-0005-0000-0000-00006D060000}"/>
    <cellStyle name="_Brand Mix_ZBB Budget 2009 Decks v2 china" xfId="1655" xr:uid="{00000000-0005-0000-0000-00006E060000}"/>
    <cellStyle name="_Brand Mix_ZBB Budget 2009 Decks v2 china 2" xfId="1656" xr:uid="{00000000-0005-0000-0000-00006F060000}"/>
    <cellStyle name="_Brand Mix_ZBB Budget 2009 Decks v2 china 2 2" xfId="1657" xr:uid="{00000000-0005-0000-0000-000070060000}"/>
    <cellStyle name="_Brand Mix_ZBB Budget 2009 Decks v2 china 2 2 2" xfId="1658" xr:uid="{00000000-0005-0000-0000-000071060000}"/>
    <cellStyle name="_Brand Mix_ZBB Budget 2009 Decks v2 china 2 3" xfId="1659" xr:uid="{00000000-0005-0000-0000-000072060000}"/>
    <cellStyle name="_Brand Mix_ZBB Budget 2009 Decks v2 china 3" xfId="1660" xr:uid="{00000000-0005-0000-0000-000073060000}"/>
    <cellStyle name="_Brand Mix_ZBB Budget 2009 Decks v2 china 3 2" xfId="1661" xr:uid="{00000000-0005-0000-0000-000074060000}"/>
    <cellStyle name="_Brand Mix_ZBB Budget 2009 Decks v2 china 4" xfId="1662" xr:uid="{00000000-0005-0000-0000-000075060000}"/>
    <cellStyle name="_Brand Mix_ZBB Budget 2009 Decks_with Korea Scope in (Only LE)" xfId="1663" xr:uid="{00000000-0005-0000-0000-000076060000}"/>
    <cellStyle name="_Brand Mix_ZBB Budget 2009 Decks_with Korea Scope in (Only LE) (2)" xfId="1664" xr:uid="{00000000-0005-0000-0000-000077060000}"/>
    <cellStyle name="_Brand Mix_ZBB Budget 2009 Decks_with Korea Scope in (Only LE) (2) 2" xfId="1665" xr:uid="{00000000-0005-0000-0000-000078060000}"/>
    <cellStyle name="_Brand Mix_ZBB Budget 2009 Decks_with Korea Scope in (Only LE) (2) 2 2" xfId="1666" xr:uid="{00000000-0005-0000-0000-000079060000}"/>
    <cellStyle name="_Brand Mix_ZBB Budget 2009 Decks_with Korea Scope in (Only LE) (2) 2 2 2" xfId="1667" xr:uid="{00000000-0005-0000-0000-00007A060000}"/>
    <cellStyle name="_Brand Mix_ZBB Budget 2009 Decks_with Korea Scope in (Only LE) (2) 2 3" xfId="1668" xr:uid="{00000000-0005-0000-0000-00007B060000}"/>
    <cellStyle name="_Brand Mix_ZBB Budget 2009 Decks_with Korea Scope in (Only LE) (2) 3" xfId="1669" xr:uid="{00000000-0005-0000-0000-00007C060000}"/>
    <cellStyle name="_Brand Mix_ZBB Budget 2009 Decks_with Korea Scope in (Only LE) (2) 3 2" xfId="1670" xr:uid="{00000000-0005-0000-0000-00007D060000}"/>
    <cellStyle name="_Brand Mix_ZBB Budget 2009 Decks_with Korea Scope in (Only LE) (2) 4" xfId="1671" xr:uid="{00000000-0005-0000-0000-00007E060000}"/>
    <cellStyle name="_Brand Mix_ZBB Budget 2009 Decks_with Korea Scope in (Only LE) 2" xfId="1672" xr:uid="{00000000-0005-0000-0000-00007F060000}"/>
    <cellStyle name="_Brand Mix_ZBB Budget 2009 Decks_with Korea Scope in (Only LE) 2 2" xfId="1673" xr:uid="{00000000-0005-0000-0000-000080060000}"/>
    <cellStyle name="_Brand Mix_ZBB Budget 2009 Decks_with Korea Scope in (Only LE) 2 2 2" xfId="1674" xr:uid="{00000000-0005-0000-0000-000081060000}"/>
    <cellStyle name="_Brand Mix_ZBB Budget 2009 Decks_with Korea Scope in (Only LE) 2 3" xfId="1675" xr:uid="{00000000-0005-0000-0000-000082060000}"/>
    <cellStyle name="_Brand Mix_ZBB Budget 2009 Decks_with Korea Scope in (Only LE) 3" xfId="1676" xr:uid="{00000000-0005-0000-0000-000083060000}"/>
    <cellStyle name="_Brand Mix_ZBB Budget 2009 Decks_with Korea Scope in (Only LE) 3 2" xfId="1677" xr:uid="{00000000-0005-0000-0000-000084060000}"/>
    <cellStyle name="_Brand Mix_ZBB Budget 2009 Decks_with Korea Scope in (Only LE) 4" xfId="1678" xr:uid="{00000000-0005-0000-0000-000085060000}"/>
    <cellStyle name="_Brand Mix_ZBB Budget 2009 Decks_with Korea Scope in (Only LE) 4 2" xfId="1679" xr:uid="{00000000-0005-0000-0000-000086060000}"/>
    <cellStyle name="_Brand Mix_ZBB Budget 2009 Decks_with Korea Scope in (Only LE) 5" xfId="1680" xr:uid="{00000000-0005-0000-0000-000087060000}"/>
    <cellStyle name="_Brand Mix_ZBB Budget 2009 Decks_with Korea Scope in (Only LE) 6" xfId="1681" xr:uid="{00000000-0005-0000-0000-000088060000}"/>
    <cellStyle name="_Brand Mix_ZBB standard Template Korea_081105" xfId="1682" xr:uid="{00000000-0005-0000-0000-000089060000}"/>
    <cellStyle name="_Brand Mix_ZBB standard Template Korea_081105 2" xfId="1683" xr:uid="{00000000-0005-0000-0000-00008A060000}"/>
    <cellStyle name="_Brand Mix_ZBB standard Template Korea_081105 2 2" xfId="1684" xr:uid="{00000000-0005-0000-0000-00008B060000}"/>
    <cellStyle name="_Brand Mix_ZBB standard Template Korea_081105 2 2 2" xfId="1685" xr:uid="{00000000-0005-0000-0000-00008C060000}"/>
    <cellStyle name="_Brand Mix_ZBB standard Template Korea_081105 2 3" xfId="1686" xr:uid="{00000000-0005-0000-0000-00008D060000}"/>
    <cellStyle name="_Brand Mix_ZBB standard Template Korea_081105 3" xfId="1687" xr:uid="{00000000-0005-0000-0000-00008E060000}"/>
    <cellStyle name="_Brand Mix_ZBB standard Template Korea_081105 3 2" xfId="1688" xr:uid="{00000000-0005-0000-0000-00008F060000}"/>
    <cellStyle name="_Brand Mix_ZBB standard Template Korea_081105 4" xfId="1689" xr:uid="{00000000-0005-0000-0000-000090060000}"/>
    <cellStyle name="_BS" xfId="1690" xr:uid="{00000000-0005-0000-0000-000091060000}"/>
    <cellStyle name="_BT UKI March08 Results by Function" xfId="1691" xr:uid="{00000000-0005-0000-0000-000092060000}"/>
    <cellStyle name="_BU Moscow 0507-Commercial Pack" xfId="1692" xr:uid="{00000000-0005-0000-0000-000093060000}"/>
    <cellStyle name="_BUD $ YTD" xfId="1693" xr:uid="{00000000-0005-0000-0000-000094060000}"/>
    <cellStyle name="_BUD £ YTD" xfId="1694" xr:uid="{00000000-0005-0000-0000-000095060000}"/>
    <cellStyle name="_Bud vs LEQ3" xfId="1695" xr:uid="{00000000-0005-0000-0000-000096060000}"/>
    <cellStyle name="_BUDGET 2007_19_09" xfId="1696" xr:uid="{00000000-0005-0000-0000-000097060000}"/>
    <cellStyle name="_Budget 2008 preparation monthly split input from Germany" xfId="1697" xr:uid="{00000000-0005-0000-0000-000098060000}"/>
    <cellStyle name="_Budget 2008 preparation monthly split input from Germany 2" xfId="1698" xr:uid="{00000000-0005-0000-0000-000099060000}"/>
    <cellStyle name="_Budget 2009 - Capacity Increase Template" xfId="1699" xr:uid="{00000000-0005-0000-0000-00009A060000}"/>
    <cellStyle name="_Budget 2009 - Capacity Increase Template 2" xfId="1700" xr:uid="{00000000-0005-0000-0000-00009B060000}"/>
    <cellStyle name="_Budget 2009 - Capacity Increase Template 2 2" xfId="1701" xr:uid="{00000000-0005-0000-0000-00009C060000}"/>
    <cellStyle name="_Budget 2009 - Capacity Increase Template 2 2 2" xfId="1702" xr:uid="{00000000-0005-0000-0000-00009D060000}"/>
    <cellStyle name="_Budget 2009 - Capacity Increase Template 2 3" xfId="1703" xr:uid="{00000000-0005-0000-0000-00009E060000}"/>
    <cellStyle name="_Budget 2009 - Capacity Increase Template 3" xfId="1704" xr:uid="{00000000-0005-0000-0000-00009F060000}"/>
    <cellStyle name="_Budget 2009 - Capacity Increase Template 3 2" xfId="1705" xr:uid="{00000000-0005-0000-0000-0000A0060000}"/>
    <cellStyle name="_Budget 2009 - Capacity Increase Template 4" xfId="1706" xr:uid="{00000000-0005-0000-0000-0000A1060000}"/>
    <cellStyle name="_Budget 2009 - Capacity Increase Template_Accident frequency" xfId="1707" xr:uid="{00000000-0005-0000-0000-0000A2060000}"/>
    <cellStyle name="_Budget2006_final submission_HR_v1" xfId="1708" xr:uid="{00000000-0005-0000-0000-0000A3060000}"/>
    <cellStyle name="_BUR Q2 2005" xfId="1709" xr:uid="{00000000-0005-0000-0000-0000A4060000}"/>
    <cellStyle name="_BY0812" xfId="1710" xr:uid="{00000000-0005-0000-0000-0000A5060000}"/>
    <cellStyle name="_Calendarised HQ BUI Quote" xfId="1711" xr:uid="{00000000-0005-0000-0000-0000A6060000}"/>
    <cellStyle name="_Canada (2)" xfId="1712" xr:uid="{00000000-0005-0000-0000-0000A7060000}"/>
    <cellStyle name="_Canada (3)" xfId="1713" xr:uid="{00000000-0005-0000-0000-0000A8060000}"/>
    <cellStyle name="_Canada 8+4 Summary" xfId="1714" xr:uid="{00000000-0005-0000-0000-0000A9060000}"/>
    <cellStyle name="_Canada 8+4 Summary_Communications Forecast" xfId="1715" xr:uid="{00000000-0005-0000-0000-0000AA060000}"/>
    <cellStyle name="_Canada 8+4 Summary_Marketing and communications July" xfId="1716" xr:uid="{00000000-0005-0000-0000-0000AB060000}"/>
    <cellStyle name="_Canada 8+4 Summary_Marketing and communications June" xfId="1717" xr:uid="{00000000-0005-0000-0000-0000AC060000}"/>
    <cellStyle name="_Canada 8+4 Summary_Marketing and communications June v2" xfId="1718" xr:uid="{00000000-0005-0000-0000-0000AD060000}"/>
    <cellStyle name="_Canada 8+4 Summary_Marketing and communications June v3" xfId="1719" xr:uid="{00000000-0005-0000-0000-0000AE060000}"/>
    <cellStyle name="_Canada 8+4 Summary_Marketing and communications March 3" xfId="1720" xr:uid="{00000000-0005-0000-0000-0000AF060000}"/>
    <cellStyle name="_Canada 8+4 Summary_Marketing Forecast" xfId="1721" xr:uid="{00000000-0005-0000-0000-0000B0060000}"/>
    <cellStyle name="_Canada ETS - Eugene" xfId="1722" xr:uid="{00000000-0005-0000-0000-0000B1060000}"/>
    <cellStyle name="_Canada ETS - Eugene_Global Group" xfId="1723" xr:uid="{00000000-0005-0000-0000-0000B2060000}"/>
    <cellStyle name="_Canada ETS Expenses" xfId="1724" xr:uid="{00000000-0005-0000-0000-0000B3060000}"/>
    <cellStyle name="_Canada ETS Sep YTD- ELee" xfId="1725" xr:uid="{00000000-0005-0000-0000-0000B4060000}"/>
    <cellStyle name="_Canada Oracle" xfId="1726" xr:uid="{00000000-0005-0000-0000-0000B5060000}"/>
    <cellStyle name="_Canada Revised v3" xfId="1727" xr:uid="{00000000-0005-0000-0000-0000B6060000}"/>
    <cellStyle name="_Capacity" xfId="1728" xr:uid="{00000000-0005-0000-0000-0000B7060000}"/>
    <cellStyle name="_Capacity 2" xfId="1729" xr:uid="{00000000-0005-0000-0000-0000B8060000}"/>
    <cellStyle name="_Capacity Summary CEE" xfId="1730" xr:uid="{00000000-0005-0000-0000-0000B9060000}"/>
    <cellStyle name="_Capacity Summary CEE 2" xfId="1731" xr:uid="{00000000-0005-0000-0000-0000BA060000}"/>
    <cellStyle name="_Capacity Summary CEE 2 2" xfId="1732" xr:uid="{00000000-0005-0000-0000-0000BB060000}"/>
    <cellStyle name="_Capacity Summary CEE 3" xfId="1733" xr:uid="{00000000-0005-0000-0000-0000BC060000}"/>
    <cellStyle name="_Capacity Summary CEE_Accident frequency" xfId="1734" xr:uid="{00000000-0005-0000-0000-0000BD060000}"/>
    <cellStyle name="_Capacity Summary CEE_Accident frequency 2" xfId="1735" xr:uid="{00000000-0005-0000-0000-0000BE060000}"/>
    <cellStyle name="_Capacity Summary CEE_Capacity Increase Korea" xfId="1736" xr:uid="{00000000-0005-0000-0000-0000BF060000}"/>
    <cellStyle name="_Capacity Summary CEE_Capacity Increase Korea 2" xfId="1737" xr:uid="{00000000-0005-0000-0000-0000C0060000}"/>
    <cellStyle name="_Capacity Summary CEE_Capacity Increase Korea 2 2" xfId="1738" xr:uid="{00000000-0005-0000-0000-0000C1060000}"/>
    <cellStyle name="_Capacity Summary CEE_Capacity Increase Korea 2 2 2" xfId="1739" xr:uid="{00000000-0005-0000-0000-0000C2060000}"/>
    <cellStyle name="_Capacity Summary CEE_Capacity Increase Korea 2 3" xfId="1740" xr:uid="{00000000-0005-0000-0000-0000C3060000}"/>
    <cellStyle name="_Capacity Summary CEE_Capacity Increase Korea 3" xfId="1741" xr:uid="{00000000-0005-0000-0000-0000C4060000}"/>
    <cellStyle name="_Capacity Summary CEE_Capacity Increase Korea 3 2" xfId="1742" xr:uid="{00000000-0005-0000-0000-0000C5060000}"/>
    <cellStyle name="_Capacity Summary CEE_Capacity Increase Korea 4" xfId="1743" xr:uid="{00000000-0005-0000-0000-0000C6060000}"/>
    <cellStyle name="_Capacity Summary CEE_Capacity Increase Korea_Accident frequency" xfId="1744" xr:uid="{00000000-0005-0000-0000-0000C7060000}"/>
    <cellStyle name="_Capacity Summary CEE_Financial Analysis Base" xfId="1745" xr:uid="{00000000-0005-0000-0000-0000C8060000}"/>
    <cellStyle name="_Capacity Summary CEE_Parameters" xfId="1746" xr:uid="{00000000-0005-0000-0000-0000C9060000}"/>
    <cellStyle name="_Capacity Summary CEE_Sm Proj Cash Flow" xfId="1747" xr:uid="{00000000-0005-0000-0000-0000CA060000}"/>
    <cellStyle name="_Capacity Summary CEE_Spend Detail" xfId="1748" xr:uid="{00000000-0005-0000-0000-0000CB060000}"/>
    <cellStyle name="_CapEx 09 - IBS" xfId="1749" xr:uid="{00000000-0005-0000-0000-0000CC060000}"/>
    <cellStyle name="_CapEx 09 - IBS 2" xfId="1750" xr:uid="{00000000-0005-0000-0000-0000CD060000}"/>
    <cellStyle name="_CapEx 09 - IBS_Financial Analysis Base" xfId="1751" xr:uid="{00000000-0005-0000-0000-0000CE060000}"/>
    <cellStyle name="_CapEx 09 - IBS_Parameters" xfId="1752" xr:uid="{00000000-0005-0000-0000-0000CF060000}"/>
    <cellStyle name="_CapEx 09 - IBS_Sm Proj Cash Flow" xfId="1753" xr:uid="{00000000-0005-0000-0000-0000D0060000}"/>
    <cellStyle name="_CapEx 09 - IBS_Spend Detail" xfId="1754" xr:uid="{00000000-0005-0000-0000-0000D1060000}"/>
    <cellStyle name="_Capex AC vs BU (Mar), vol adj + AC at BU exch rate" xfId="1755" xr:uid="{00000000-0005-0000-0000-0000D2060000}"/>
    <cellStyle name="_Capex AC vs BU (Mar), vol adj + AC at BU exch rate 2" xfId="1756" xr:uid="{00000000-0005-0000-0000-0000D3060000}"/>
    <cellStyle name="_Capex AC vs BU (Mar), vol adj + AC at BU exch rate 2 2" xfId="1757" xr:uid="{00000000-0005-0000-0000-0000D4060000}"/>
    <cellStyle name="_Capex AC vs BU (Mar), vol adj + AC at BU exch rate 3" xfId="1758" xr:uid="{00000000-0005-0000-0000-0000D5060000}"/>
    <cellStyle name="_Capex AC vs BU (Mar), vol adj + AC at BU exch rate_Financial Analysis Base" xfId="1759" xr:uid="{00000000-0005-0000-0000-0000D6060000}"/>
    <cellStyle name="_Capex AC vs BU (Mar), vol adj + AC at BU exch rate_Parameters" xfId="1760" xr:uid="{00000000-0005-0000-0000-0000D7060000}"/>
    <cellStyle name="_Capex AC vs BU (Mar), vol adj + AC at BU exch rate_Sm Proj Cash Flow" xfId="1761" xr:uid="{00000000-0005-0000-0000-0000D8060000}"/>
    <cellStyle name="_Capex AC vs BU (Mar), vol adj + AC at BU exch rate_Spend Detail" xfId="1762" xr:uid="{00000000-0005-0000-0000-0000D9060000}"/>
    <cellStyle name="_Capex BU 2010 (CEE) 29 09 09" xfId="1763" xr:uid="{00000000-0005-0000-0000-0000DA060000}"/>
    <cellStyle name="_Capex BU 2010 (CEE) 29 09 09 2" xfId="1764" xr:uid="{00000000-0005-0000-0000-0000DB060000}"/>
    <cellStyle name="_CAPEX Emballagen LE 1 2005" xfId="1765" xr:uid="{00000000-0005-0000-0000-0000DC060000}"/>
    <cellStyle name="_CAPEX Emballagen LE 1 2005_Financial Analysis Base" xfId="1766" xr:uid="{00000000-0005-0000-0000-0000DD060000}"/>
    <cellStyle name="_CAPEX Emballagen LE 1 2005_Parameters" xfId="1767" xr:uid="{00000000-0005-0000-0000-0000DE060000}"/>
    <cellStyle name="_CAPEX Emballagen LE 1 2005_Sm Proj Cash Flow" xfId="1768" xr:uid="{00000000-0005-0000-0000-0000DF060000}"/>
    <cellStyle name="_CAPEX Emballagen LE 1 2005_Spend Detail" xfId="1769" xr:uid="{00000000-0005-0000-0000-0000E0060000}"/>
    <cellStyle name="_CAPEX Germany Packaging SP 2005" xfId="1770" xr:uid="{00000000-0005-0000-0000-0000E1060000}"/>
    <cellStyle name="_CAPEX Germany Packaging SP 2005 2" xfId="1771" xr:uid="{00000000-0005-0000-0000-0000E2060000}"/>
    <cellStyle name="_CAPEX Germany Packaging SP 2005_Sheet1" xfId="1772" xr:uid="{00000000-0005-0000-0000-0000E3060000}"/>
    <cellStyle name="_CAPEX Germany Packaging SP 2005_Sm Proj Cash Flow" xfId="1773" xr:uid="{00000000-0005-0000-0000-0000E4060000}"/>
    <cellStyle name="_CAPEX Germany Packaging SP 2005_Spend Detail" xfId="1774" xr:uid="{00000000-0005-0000-0000-0000E5060000}"/>
    <cellStyle name="_CAPEX Germany Packaging SP 2005_SustainingProjectList" xfId="1775" xr:uid="{00000000-0005-0000-0000-0000E6060000}"/>
    <cellStyle name="_CAPEX Report April 06" xfId="1776" xr:uid="{00000000-0005-0000-0000-0000E7060000}"/>
    <cellStyle name="_Capex SP template" xfId="1777" xr:uid="{00000000-0005-0000-0000-0000E8060000}"/>
    <cellStyle name="_Capex SP template 2" xfId="1778" xr:uid="{00000000-0005-0000-0000-0000E9060000}"/>
    <cellStyle name="_Capex SP template 2 2" xfId="1779" xr:uid="{00000000-0005-0000-0000-0000EA060000}"/>
    <cellStyle name="_Capex SP template 3" xfId="1780" xr:uid="{00000000-0005-0000-0000-0000EB060000}"/>
    <cellStyle name="_Capex SP template_Financial Analysis Base" xfId="1781" xr:uid="{00000000-0005-0000-0000-0000EC060000}"/>
    <cellStyle name="_Capex SP template_Parameters" xfId="1782" xr:uid="{00000000-0005-0000-0000-0000ED060000}"/>
    <cellStyle name="_Capex SP template_Sm Proj Cash Flow" xfId="1783" xr:uid="{00000000-0005-0000-0000-0000EE060000}"/>
    <cellStyle name="_Capex SP template_Spend Detail" xfId="1784" xr:uid="{00000000-0005-0000-0000-0000EF060000}"/>
    <cellStyle name="_Capex Target" xfId="1785" xr:uid="{00000000-0005-0000-0000-0000F0060000}"/>
    <cellStyle name="_Capex Target_Financial Analysis Base" xfId="1786" xr:uid="{00000000-0005-0000-0000-0000F1060000}"/>
    <cellStyle name="_Capex Target_Parameters" xfId="1787" xr:uid="{00000000-0005-0000-0000-0000F2060000}"/>
    <cellStyle name="_Capex Target_Sm Proj Cash Flow" xfId="1788" xr:uid="{00000000-0005-0000-0000-0000F3060000}"/>
    <cellStyle name="_Capex Target_Spend Detail" xfId="1789" xr:uid="{00000000-0005-0000-0000-0000F4060000}"/>
    <cellStyle name="_Capex ZBB Style - 1st Tier" xfId="1790" xr:uid="{00000000-0005-0000-0000-0000F5060000}"/>
    <cellStyle name="_Capex ZBB Style - 1st Tier 2" xfId="1791" xr:uid="{00000000-0005-0000-0000-0000F6060000}"/>
    <cellStyle name="_Capex ZBB Style - 2nd Tier" xfId="1792" xr:uid="{00000000-0005-0000-0000-0000F7060000}"/>
    <cellStyle name="_Capex ZBB Style - 2nd Tier 2" xfId="1793" xr:uid="{00000000-0005-0000-0000-0000F8060000}"/>
    <cellStyle name="_Capex ZBB Style - 2nd Tier_Sheet1" xfId="1794" xr:uid="{00000000-0005-0000-0000-0000F9060000}"/>
    <cellStyle name="_Capex ZBB Style - 2nd Tier_Sm Proj Cash Flow" xfId="1795" xr:uid="{00000000-0005-0000-0000-0000FA060000}"/>
    <cellStyle name="_Capex ZBB Style - 2nd Tier_Spend Detail" xfId="1796" xr:uid="{00000000-0005-0000-0000-0000FB060000}"/>
    <cellStyle name="_Capex ZBB Style - 2nd Tier_SustainingProjectList" xfId="1797" xr:uid="{00000000-0005-0000-0000-0000FC060000}"/>
    <cellStyle name="_Capex ZBB Style - Cemex" xfId="1798" xr:uid="{00000000-0005-0000-0000-0000FD060000}"/>
    <cellStyle name="_Capex ZBB Style - Cemex 2" xfId="1799" xr:uid="{00000000-0005-0000-0000-0000FE060000}"/>
    <cellStyle name="_Capex ZBB Style - Consumer" xfId="1800" xr:uid="{00000000-0005-0000-0000-0000FF060000}"/>
    <cellStyle name="_Capex ZBB Style - Consumer 2" xfId="1801" xr:uid="{00000000-0005-0000-0000-000000070000}"/>
    <cellStyle name="_Capex ZBB Style - Consumer_Croatia_Sep4" xfId="1802" xr:uid="{00000000-0005-0000-0000-000001070000}"/>
    <cellStyle name="_Capex ZBB Style - Consumer_Croatia_Sep4 2" xfId="1803" xr:uid="{00000000-0005-0000-0000-000002070000}"/>
    <cellStyle name="_Capex ZBB Style - Consumer_Croatia_Sep4_Sheet1" xfId="1804" xr:uid="{00000000-0005-0000-0000-000003070000}"/>
    <cellStyle name="_Capex ZBB Style - Consumer_Croatia_Sep4_Sm Proj Cash Flow" xfId="1805" xr:uid="{00000000-0005-0000-0000-000004070000}"/>
    <cellStyle name="_Capex ZBB Style - Consumer_Croatia_Sep4_Spend Detail" xfId="1806" xr:uid="{00000000-0005-0000-0000-000005070000}"/>
    <cellStyle name="_Capex ZBB Style - Consumer_Croatia_Sep4_SustainingProjectList" xfId="1807" xr:uid="{00000000-0005-0000-0000-000006070000}"/>
    <cellStyle name="_Capex ZBB Style - Returnable Packaging" xfId="1808" xr:uid="{00000000-0005-0000-0000-000007070000}"/>
    <cellStyle name="_Capex ZBB Style - Returnable Packaging 2" xfId="1809" xr:uid="{00000000-0005-0000-0000-000008070000}"/>
    <cellStyle name="_Cartel1" xfId="1810" xr:uid="{00000000-0005-0000-0000-000009070000}"/>
    <cellStyle name="_Cartel1_BB (2)" xfId="1811" xr:uid="{00000000-0005-0000-0000-00000A070000}"/>
    <cellStyle name="_Cartel1_C00200" xfId="1812" xr:uid="{00000000-0005-0000-0000-00000B070000}"/>
    <cellStyle name="_Cartel1_C00210" xfId="1813" xr:uid="{00000000-0005-0000-0000-00000C070000}"/>
    <cellStyle name="_Cartel1_C00300" xfId="1814" xr:uid="{00000000-0005-0000-0000-00000D070000}"/>
    <cellStyle name="_Cartel1_C00400" xfId="1815" xr:uid="{00000000-0005-0000-0000-00000E070000}"/>
    <cellStyle name="_Cartel1_check6" xfId="1816" xr:uid="{00000000-0005-0000-0000-00000F070000}"/>
    <cellStyle name="_Cartel1_Sheet1" xfId="1817" xr:uid="{00000000-0005-0000-0000-000010070000}"/>
    <cellStyle name="_Cartel1_Sheet1 (5)" xfId="1818" xr:uid="{00000000-0005-0000-0000-000011070000}"/>
    <cellStyle name="_Cartel1_Sheet1 (6)" xfId="1819" xr:uid="{00000000-0005-0000-0000-000012070000}"/>
    <cellStyle name="_Cartel1_Sheet2" xfId="1820" xr:uid="{00000000-0005-0000-0000-000013070000}"/>
    <cellStyle name="_Cartel1_Sheet3" xfId="1821" xr:uid="{00000000-0005-0000-0000-000014070000}"/>
    <cellStyle name="_Cartel1_status" xfId="1822" xr:uid="{00000000-0005-0000-0000-000015070000}"/>
    <cellStyle name="_CC_Russia final budget" xfId="1823" xr:uid="{00000000-0005-0000-0000-000016070000}"/>
    <cellStyle name="_CC_ZBB_profiled_costsTM" xfId="1824" xr:uid="{00000000-0005-0000-0000-000017070000}"/>
    <cellStyle name="_CEE Capex B09 Tragets" xfId="1825" xr:uid="{00000000-0005-0000-0000-000018070000}"/>
    <cellStyle name="_CEE Capex B09 Tragets_Financial Analysis Base" xfId="1826" xr:uid="{00000000-0005-0000-0000-000019070000}"/>
    <cellStyle name="_CEE Capex B09 Tragets_Parameters" xfId="1827" xr:uid="{00000000-0005-0000-0000-00001A070000}"/>
    <cellStyle name="_CEE Capex B09 Tragets_Sm Proj Cash Flow" xfId="1828" xr:uid="{00000000-0005-0000-0000-00001B070000}"/>
    <cellStyle name="_CEE Capex B09 Tragets_Spend Detail" xfId="1829" xr:uid="{00000000-0005-0000-0000-00001C070000}"/>
    <cellStyle name="_CEE CAPEX Challenge v6 0_sent to Countries" xfId="1830" xr:uid="{00000000-0005-0000-0000-00001D070000}"/>
    <cellStyle name="_CEE CAPEX Challenge v6 0_sent to Countries 2" xfId="1831" xr:uid="{00000000-0005-0000-0000-00001E070000}"/>
    <cellStyle name="_CEE CAPEX Challenge v6 0_sent to Countries v2" xfId="1832" xr:uid="{00000000-0005-0000-0000-00001F070000}"/>
    <cellStyle name="_CEE CAPEX Challenge v6 0_sent to Countries v2 2" xfId="1833" xr:uid="{00000000-0005-0000-0000-000020070000}"/>
    <cellStyle name="_CEE Marketing Packagev5" xfId="1834" xr:uid="{00000000-0005-0000-0000-000021070000}"/>
    <cellStyle name="_CEE Marketing Packagev5_Financial Analysis Base" xfId="1835" xr:uid="{00000000-0005-0000-0000-000022070000}"/>
    <cellStyle name="_CEE Marketing Packagev5_Parameters" xfId="1836" xr:uid="{00000000-0005-0000-0000-000023070000}"/>
    <cellStyle name="_CEE Marketing Packagev5_Sm Proj Cash Flow" xfId="1837" xr:uid="{00000000-0005-0000-0000-000024070000}"/>
    <cellStyle name="_CEE Marketing Packagev5_Spend Detail" xfId="1838" xr:uid="{00000000-0005-0000-0000-000025070000}"/>
    <cellStyle name="_CEE per countries" xfId="1839" xr:uid="{00000000-0005-0000-0000-000026070000}"/>
    <cellStyle name="_CEE per countries 2" xfId="1840" xr:uid="{00000000-0005-0000-0000-000027070000}"/>
    <cellStyle name="_CEE per countries 2 2" xfId="1841" xr:uid="{00000000-0005-0000-0000-000028070000}"/>
    <cellStyle name="_CEE per countries 3" xfId="1842" xr:uid="{00000000-0005-0000-0000-000029070000}"/>
    <cellStyle name="_CEE per countries_Financial Analysis Base" xfId="1843" xr:uid="{00000000-0005-0000-0000-00002A070000}"/>
    <cellStyle name="_CEE per countries_Parameters" xfId="1844" xr:uid="{00000000-0005-0000-0000-00002B070000}"/>
    <cellStyle name="_CEE per countries_Sm Proj Cash Flow" xfId="1845" xr:uid="{00000000-0005-0000-0000-00002C070000}"/>
    <cellStyle name="_CEE per countries_Spend Detail" xfId="1846" xr:uid="{00000000-0005-0000-0000-00002D070000}"/>
    <cellStyle name="_CEE TOTAL" xfId="1847" xr:uid="{00000000-0005-0000-0000-00002E070000}"/>
    <cellStyle name="_Central HQ - 1+11F Stickiness Report" xfId="1848" xr:uid="{00000000-0005-0000-0000-00002F070000}"/>
    <cellStyle name="_CF" xfId="1849" xr:uid="{00000000-0005-0000-0000-000030070000}"/>
    <cellStyle name="_CF 2" xfId="1850" xr:uid="{00000000-0005-0000-0000-000031070000}"/>
    <cellStyle name="_CF 2 2" xfId="1851" xr:uid="{00000000-0005-0000-0000-000032070000}"/>
    <cellStyle name="_CF 3" xfId="1852" xr:uid="{00000000-0005-0000-0000-000033070000}"/>
    <cellStyle name="_CF_BE0002_FINAL Variance Analysis 06.2010_USD1" xfId="1853" xr:uid="{00000000-0005-0000-0000-000034070000}"/>
    <cellStyle name="_CF_IS" xfId="1854" xr:uid="{00000000-0005-0000-0000-000035070000}"/>
    <cellStyle name="_CF_Sheet1" xfId="1855" xr:uid="{00000000-0005-0000-0000-000036070000}"/>
    <cellStyle name="_CF_Sheet3" xfId="1856" xr:uid="{00000000-0005-0000-0000-000037070000}"/>
    <cellStyle name="_CGM costs allocation" xfId="1857" xr:uid="{00000000-0005-0000-0000-000038070000}"/>
    <cellStyle name="_Charge Volume Pages May WD+11" xfId="1858" xr:uid="{00000000-0005-0000-0000-000039070000}"/>
    <cellStyle name="_Charge Volume Pages May WD+11_Global Group" xfId="1859" xr:uid="{00000000-0005-0000-0000-00003A070000}"/>
    <cellStyle name="_China 2006 JAPA Op's Scorecard SepYTD" xfId="1860" xr:uid="{00000000-0005-0000-0000-00003B070000}"/>
    <cellStyle name="_China P&amp;L - 09 Plan" xfId="1861" xr:uid="{00000000-0005-0000-0000-00003C070000}"/>
    <cellStyle name="_China Projects and Roadmap v6" xfId="1862" xr:uid="{00000000-0005-0000-0000-00003D070000}"/>
    <cellStyle name="_China Projects and Roadmap v8" xfId="1863" xr:uid="{00000000-0005-0000-0000-00003E070000}"/>
    <cellStyle name="_China provisional Goals 2007 v1" xfId="1864" xr:uid="{00000000-0005-0000-0000-00003F070000}"/>
    <cellStyle name="_China_Gov" xfId="1865" xr:uid="{00000000-0005-0000-0000-000040070000}"/>
    <cellStyle name="_CITSAE China Reengineering Initiative Summary-Sep06" xfId="1866" xr:uid="{00000000-0005-0000-0000-000041070000}"/>
    <cellStyle name="_CM and Detailed P&amp;L" xfId="1867" xr:uid="{00000000-0005-0000-0000-000042070000}"/>
    <cellStyle name="_CM P&amp;L" xfId="1868" xr:uid="{00000000-0005-0000-0000-000043070000}"/>
    <cellStyle name="_Cognos Codes" xfId="1869" xr:uid="{00000000-0005-0000-0000-000044070000}"/>
    <cellStyle name="_Cognos Codes 2" xfId="1870" xr:uid="{00000000-0005-0000-0000-000045070000}"/>
    <cellStyle name="_Column1" xfId="1871" xr:uid="{00000000-0005-0000-0000-000046070000}"/>
    <cellStyle name="_Column1 2" xfId="1872" xr:uid="{00000000-0005-0000-0000-000047070000}"/>
    <cellStyle name="_Column1 2 2" xfId="1873" xr:uid="{00000000-0005-0000-0000-000048070000}"/>
    <cellStyle name="_Column1 3" xfId="1874" xr:uid="{00000000-0005-0000-0000-000049070000}"/>
    <cellStyle name="_Column1 3 2" xfId="1875" xr:uid="{00000000-0005-0000-0000-00004A070000}"/>
    <cellStyle name="_Column1 3 3" xfId="1876" xr:uid="{00000000-0005-0000-0000-00004B070000}"/>
    <cellStyle name="_Column1 3 3 2" xfId="1877" xr:uid="{00000000-0005-0000-0000-00004C070000}"/>
    <cellStyle name="_Column1 4" xfId="1878" xr:uid="{00000000-0005-0000-0000-00004D070000}"/>
    <cellStyle name="_Column1 4 2" xfId="1879" xr:uid="{00000000-0005-0000-0000-00004E070000}"/>
    <cellStyle name="_Column1_04_10" xfId="1880" xr:uid="{00000000-0005-0000-0000-00004F070000}"/>
    <cellStyle name="_Column1_080813 Germany-High&amp;Low" xfId="1881" xr:uid="{00000000-0005-0000-0000-000050070000}"/>
    <cellStyle name="_Column1_080813 Germany-Lidl" xfId="1882" xr:uid="{00000000-0005-0000-0000-000051070000}"/>
    <cellStyle name="_Column1_1_INPUT" xfId="1883" xr:uid="{00000000-0005-0000-0000-000052070000}"/>
    <cellStyle name="_Column1_1_INPUT_TP_No Tank Resales" xfId="1884" xr:uid="{00000000-0005-0000-0000-000053070000}"/>
    <cellStyle name="_Column1_1_INPUT_TP_No Tank Resales_1" xfId="1885" xr:uid="{00000000-0005-0000-0000-000054070000}"/>
    <cellStyle name="_Column1_1_INPUT_TP_No Tank Resales_1 2" xfId="1886" xr:uid="{00000000-0005-0000-0000-000055070000}"/>
    <cellStyle name="_Column1_1_INPUT_TP_No Tank Resales_1_Dominican Rep" xfId="1887" xr:uid="{00000000-0005-0000-0000-000056070000}"/>
    <cellStyle name="_Column1_2pk SP 2008" xfId="1888" xr:uid="{00000000-0005-0000-0000-000057070000}"/>
    <cellStyle name="_Column1_2pk SP 2008 2" xfId="1889" xr:uid="{00000000-0005-0000-0000-000058070000}"/>
    <cellStyle name="_Column1_2pk SP 2008_Sheet1" xfId="1890" xr:uid="{00000000-0005-0000-0000-000059070000}"/>
    <cellStyle name="_Column1_2pk SP 2008_Sm Proj Cash Flow" xfId="1891" xr:uid="{00000000-0005-0000-0000-00005A070000}"/>
    <cellStyle name="_Column1_2pk SP 2008_Spend Detail" xfId="1892" xr:uid="{00000000-0005-0000-0000-00005B070000}"/>
    <cellStyle name="_Column1_2pk SP 2008_SustainingProjectList" xfId="1893" xr:uid="{00000000-0005-0000-0000-00005C070000}"/>
    <cellStyle name="_Column1_3YP 08 Model SD Italy 28.4.08" xfId="1894" xr:uid="{00000000-0005-0000-0000-00005D070000}"/>
    <cellStyle name="_Column1_3YP 08 Model SD Italy 28.4.08 2" xfId="1895" xr:uid="{00000000-0005-0000-0000-00005E070000}"/>
    <cellStyle name="_Column1_3YP 08 Model SD Italy 28.4.08 3" xfId="1896" xr:uid="{00000000-0005-0000-0000-00005F070000}"/>
    <cellStyle name="_Column1_3YP 08 Model SD Italy 28.4.08 3 2" xfId="1897" xr:uid="{00000000-0005-0000-0000-000060070000}"/>
    <cellStyle name="_Column1_3YP 08 Model SD Italyv3 - filled up by Bain" xfId="1898" xr:uid="{00000000-0005-0000-0000-000061070000}"/>
    <cellStyle name="_Column1_3YP 08 Model SD Italyv3 - filled up by Bain 2" xfId="1899" xr:uid="{00000000-0005-0000-0000-000062070000}"/>
    <cellStyle name="_Column1_3YP 08 Model SD Italyv3 - filled up by Bain 3" xfId="1900" xr:uid="{00000000-0005-0000-0000-000063070000}"/>
    <cellStyle name="_Column1_3YP 08 Model SD Italyv3 - filled up by Bain 3 2" xfId="1901" xr:uid="{00000000-0005-0000-0000-000064070000}"/>
    <cellStyle name="_Column1_6Dic estraz" xfId="1902" xr:uid="{00000000-0005-0000-0000-000065070000}"/>
    <cellStyle name="_Column1_AB" xfId="1903" xr:uid="{00000000-0005-0000-0000-000066070000}"/>
    <cellStyle name="_Column1_Abfüllmenge &amp; Anstellwürze Bremen Budget 2006 V1.1" xfId="1904" xr:uid="{00000000-0005-0000-0000-000067070000}"/>
    <cellStyle name="_Column1_Abfüllmenge &amp; Anstellwürze Bremen Budget 2006 V1.1_Sheet5" xfId="1905" xr:uid="{00000000-0005-0000-0000-000068070000}"/>
    <cellStyle name="_Column1_Abfüllmenge &amp; Anstellwürze Issum Budget 2006 V1.1" xfId="1906" xr:uid="{00000000-0005-0000-0000-000069070000}"/>
    <cellStyle name="_Column1_Abfüllmenge &amp; Anstellwürze Issum Budget 2006 V1.1_Sheet5" xfId="1907" xr:uid="{00000000-0005-0000-0000-00006A070000}"/>
    <cellStyle name="_Column1_Absatz Ist je Artikel &amp; Woche V1" xfId="1908" xr:uid="{00000000-0005-0000-0000-00006B070000}"/>
    <cellStyle name="_Column1_Absatz Ist je Artikel &amp; Woche V1 2" xfId="1909" xr:uid="{00000000-0005-0000-0000-00006C070000}"/>
    <cellStyle name="_Column1_Absatz Ist je Artikel &amp; Woche V1_Sheet1" xfId="1910" xr:uid="{00000000-0005-0000-0000-00006D070000}"/>
    <cellStyle name="_Column1_Absatz Ist je Artikel &amp; Woche V1_Sm Proj Cash Flow" xfId="1911" xr:uid="{00000000-0005-0000-0000-00006E070000}"/>
    <cellStyle name="_Column1_Absatz Ist je Artikel &amp; Woche V1_Spend Detail" xfId="1912" xr:uid="{00000000-0005-0000-0000-00006F070000}"/>
    <cellStyle name="_Column1_Absatz Ist je Artikel &amp; Woche V1_SustainingProjectList" xfId="1913" xr:uid="{00000000-0005-0000-0000-000070070000}"/>
    <cellStyle name="_Column1_Absatz SP2007 pro SKU 30 5 2007 vs 4 6 2007 " xfId="1914" xr:uid="{00000000-0005-0000-0000-000071070000}"/>
    <cellStyle name="_Column1_Abstimmung IDVG Absätze für LE2 2004" xfId="1915" xr:uid="{00000000-0005-0000-0000-000072070000}"/>
    <cellStyle name="_Column1_Abstimmung IDVG Absätze für LE2 2004 2" xfId="1916" xr:uid="{00000000-0005-0000-0000-000073070000}"/>
    <cellStyle name="_Column1_Abstimmung IDVG Absätze für LE2 2004 2 2" xfId="1917" xr:uid="{00000000-0005-0000-0000-000074070000}"/>
    <cellStyle name="_Column1_Abstimmung IDVG Absätze für LE2 2004_Basis" xfId="1918" xr:uid="{00000000-0005-0000-0000-000075070000}"/>
    <cellStyle name="_Column1_Abstimmung IDVG Absätze für LE2 2004_Basis 2" xfId="1919" xr:uid="{00000000-0005-0000-0000-000076070000}"/>
    <cellStyle name="_Column1_Abstimmung IDVG Absätze für LE2 2004_Basis 2 2" xfId="1920" xr:uid="{00000000-0005-0000-0000-000077070000}"/>
    <cellStyle name="_Column1_Abstimmung IDVG Absätze für LE2 2004_Basis_Sheet1" xfId="1921" xr:uid="{00000000-0005-0000-0000-000078070000}"/>
    <cellStyle name="_Column1_Abstimmung IDVG Absätze für LE2 2004_Basis_Sheet5" xfId="1922" xr:uid="{00000000-0005-0000-0000-000079070000}"/>
    <cellStyle name="_Column1_Abstimmung IDVG Absätze für LE2 2004_Basis_Sm Proj Cash Flow" xfId="1923" xr:uid="{00000000-0005-0000-0000-00007A070000}"/>
    <cellStyle name="_Column1_Abstimmung IDVG Absätze für LE2 2004_Basis_Spend Detail" xfId="1924" xr:uid="{00000000-0005-0000-0000-00007B070000}"/>
    <cellStyle name="_Column1_Abstimmung IDVG Absätze für LE2 2004_Basis_SustainingProjectList" xfId="1925" xr:uid="{00000000-0005-0000-0000-00007C070000}"/>
    <cellStyle name="_Column1_Abstimmung IDVG Absätze für LE2 2004_Sheet1" xfId="1926" xr:uid="{00000000-0005-0000-0000-00007D070000}"/>
    <cellStyle name="_Column1_Abstimmung IDVG Absätze für LE2 2004_Sheet5" xfId="1927" xr:uid="{00000000-0005-0000-0000-00007E070000}"/>
    <cellStyle name="_Column1_Abstimmung IDVG Absätze für LE2 2004_SKU Volumen" xfId="1928" xr:uid="{00000000-0005-0000-0000-00007F070000}"/>
    <cellStyle name="_Column1_Abstimmung IDVG Absätze für LE2 2004_SKU Volumen 2" xfId="1929" xr:uid="{00000000-0005-0000-0000-000080070000}"/>
    <cellStyle name="_Column1_Abstimmung IDVG Absätze für LE2 2004_SKU Volumen_Sheet1" xfId="1930" xr:uid="{00000000-0005-0000-0000-000081070000}"/>
    <cellStyle name="_Column1_Abstimmung IDVG Absätze für LE2 2004_SKU Volumen_Sm Proj Cash Flow" xfId="1931" xr:uid="{00000000-0005-0000-0000-000082070000}"/>
    <cellStyle name="_Column1_Abstimmung IDVG Absätze für LE2 2004_SKU Volumen_Spend Detail" xfId="1932" xr:uid="{00000000-0005-0000-0000-000083070000}"/>
    <cellStyle name="_Column1_Abstimmung IDVG Absätze für LE2 2004_SKU Volumen_SustainingProjectList" xfId="1933" xr:uid="{00000000-0005-0000-0000-000084070000}"/>
    <cellStyle name="_Column1_Abstimmung IDVG Absätze für LE2 2004_Sm Proj Cash Flow" xfId="1934" xr:uid="{00000000-0005-0000-0000-000085070000}"/>
    <cellStyle name="_Column1_Abstimmung IDVG Absätze für LE2 2004_Spend Detail" xfId="1935" xr:uid="{00000000-0005-0000-0000-000086070000}"/>
    <cellStyle name="_Column1_Abstimmung IDVG Absätze für LE2 2004_SustainingProjectList" xfId="1936" xr:uid="{00000000-0005-0000-0000-000087070000}"/>
    <cellStyle name="_Column1_Abstimmung IDVG Absätze für LE2 2004_Tabelle1" xfId="1937" xr:uid="{00000000-0005-0000-0000-000088070000}"/>
    <cellStyle name="_Column1_Abstimmung IDVG Absätze für LE2 2004_Tabelle1 2" xfId="1938" xr:uid="{00000000-0005-0000-0000-000089070000}"/>
    <cellStyle name="_Column1_Abstimmung IDVG Absätze für LE2 2004_Tabelle1_Sheet1" xfId="1939" xr:uid="{00000000-0005-0000-0000-00008A070000}"/>
    <cellStyle name="_Column1_Abstimmung IDVG Absätze für LE2 2004_Tabelle1_Sm Proj Cash Flow" xfId="1940" xr:uid="{00000000-0005-0000-0000-00008B070000}"/>
    <cellStyle name="_Column1_Abstimmung IDVG Absätze für LE2 2004_Tabelle1_Spend Detail" xfId="1941" xr:uid="{00000000-0005-0000-0000-00008C070000}"/>
    <cellStyle name="_Column1_Abstimmung IDVG Absätze für LE2 2004_Tabelle1_SustainingProjectList" xfId="1942" xr:uid="{00000000-0005-0000-0000-00008D070000}"/>
    <cellStyle name="_Column1_Acc to bonus Off" xfId="1943" xr:uid="{00000000-0005-0000-0000-00008E070000}"/>
    <cellStyle name="_Column1_Acc.to fuori fattura Off-trade Feb 2007 " xfId="1944" xr:uid="{00000000-0005-0000-0000-00008F070000}"/>
    <cellStyle name="_Column1_Acc.to fuori fattura Off-trade Feb 2007  2" xfId="1945" xr:uid="{00000000-0005-0000-0000-000090070000}"/>
    <cellStyle name="_Column1_Acc.to fuori fattura Off-trade Feb 2007  3" xfId="1946" xr:uid="{00000000-0005-0000-0000-000091070000}"/>
    <cellStyle name="_Column1_Acc.to fuori fattura Off-trade Feb 2007  3 2" xfId="1947" xr:uid="{00000000-0005-0000-0000-000092070000}"/>
    <cellStyle name="_Column1_Acc.to fuori fattura Off-trade Feb 2007 _BB (2)" xfId="1948" xr:uid="{00000000-0005-0000-0000-000093070000}"/>
    <cellStyle name="_Column1_Acc.to fuori fattura Off-trade Feb 2007 _C00200" xfId="1949" xr:uid="{00000000-0005-0000-0000-000094070000}"/>
    <cellStyle name="_Column1_Acc.to fuori fattura Off-trade Feb 2007 _C00210" xfId="1950" xr:uid="{00000000-0005-0000-0000-000095070000}"/>
    <cellStyle name="_Column1_Acc.to fuori fattura Off-trade Feb 2007 _C00300" xfId="1951" xr:uid="{00000000-0005-0000-0000-000096070000}"/>
    <cellStyle name="_Column1_Acc.to fuori fattura Off-trade Feb 2007 _C00400" xfId="1952" xr:uid="{00000000-0005-0000-0000-000097070000}"/>
    <cellStyle name="_Column1_Acc.to fuori fattura Off-trade Feb 2007 _check6" xfId="1953" xr:uid="{00000000-0005-0000-0000-000098070000}"/>
    <cellStyle name="_Column1_Acc.to fuori fattura Off-trade Feb 2007 _Sheet1" xfId="1954" xr:uid="{00000000-0005-0000-0000-000099070000}"/>
    <cellStyle name="_Column1_Acc.to fuori fattura Off-trade Feb 2007 _Sheet1 (5)" xfId="1955" xr:uid="{00000000-0005-0000-0000-00009A070000}"/>
    <cellStyle name="_Column1_Acc.to fuori fattura Off-trade Feb 2007 _Sheet1 (6)" xfId="1956" xr:uid="{00000000-0005-0000-0000-00009B070000}"/>
    <cellStyle name="_Column1_Acc.to fuori fattura Off-trade Feb 2007 _Sheet2" xfId="1957" xr:uid="{00000000-0005-0000-0000-00009C070000}"/>
    <cellStyle name="_Column1_Acc.to fuori fattura Off-trade Feb 2007 _Sheet3" xfId="1958" xr:uid="{00000000-0005-0000-0000-00009D070000}"/>
    <cellStyle name="_Column1_Acc.to fuori fattura Off-trade Feb 2007 _status" xfId="1959" xr:uid="{00000000-0005-0000-0000-00009E070000}"/>
    <cellStyle name="_Column1_Accident frequency" xfId="1960" xr:uid="{00000000-0005-0000-0000-00009F070000}"/>
    <cellStyle name="_Column1_Accident frequency 2" xfId="1961" xr:uid="{00000000-0005-0000-0000-0000A0070000}"/>
    <cellStyle name="_Column1_Accident frequency_Financial Analysis Base" xfId="1962" xr:uid="{00000000-0005-0000-0000-0000A1070000}"/>
    <cellStyle name="_Column1_Accise" xfId="1963" xr:uid="{00000000-0005-0000-0000-0000A2070000}"/>
    <cellStyle name="_Column1_Accise Ist" xfId="1964" xr:uid="{00000000-0005-0000-0000-0000A3070000}"/>
    <cellStyle name="_Column1_actual 06" xfId="1965" xr:uid="{00000000-0005-0000-0000-0000A4070000}"/>
    <cellStyle name="_Column1_Ad hoc PL 3YP HRK za COGNOS unos JULY20" xfId="1966" xr:uid="{00000000-0005-0000-0000-0000A5070000}"/>
    <cellStyle name="_Column1_Ad hoc PL 3YP HRK za COGNOS unos JULY20 2" xfId="1967" xr:uid="{00000000-0005-0000-0000-0000A6070000}"/>
    <cellStyle name="_Column1_Ad hoc PL 3YP HRK za COGNOS unos JULY20 3" xfId="1968" xr:uid="{00000000-0005-0000-0000-0000A7070000}"/>
    <cellStyle name="_Column1_Ad hoc PL 3YP HRK za COGNOS unos JULY20 3 2" xfId="1969" xr:uid="{00000000-0005-0000-0000-0000A8070000}"/>
    <cellStyle name="_Column1_Ad hoc PL 3YP HRK za COGNOS unos JULY20 3 3" xfId="1970" xr:uid="{00000000-0005-0000-0000-0000A9070000}"/>
    <cellStyle name="_Column1_Ad hoc PL 3YP HRK za COGNOS unos JULY20 3 3 2" xfId="1971" xr:uid="{00000000-0005-0000-0000-0000AA070000}"/>
    <cellStyle name="_Column1_Ad hoc PL 3YP HRK za COGNOS unos JULY20 4" xfId="1972" xr:uid="{00000000-0005-0000-0000-0000AB070000}"/>
    <cellStyle name="_Column1_Ad hoc PL 3YP HRK za COGNOS unos JULY20 4 2" xfId="1973" xr:uid="{00000000-0005-0000-0000-0000AC070000}"/>
    <cellStyle name="_Column1_Ad hoc PL 3YP HRK za COGNOS unos JULY20_BU12 TP database - REGULAR VOLUMES LAN" xfId="1974" xr:uid="{00000000-0005-0000-0000-0000AD070000}"/>
    <cellStyle name="_Column1_Ad hoc PL 3YP HRK za COGNOS unos JULY20_Canada" xfId="1975" xr:uid="{00000000-0005-0000-0000-0000AE070000}"/>
    <cellStyle name="_Column1_Ad hoc PL 3YP HRK za COGNOS unos JULY20_Canada 2" xfId="1976" xr:uid="{00000000-0005-0000-0000-0000AF070000}"/>
    <cellStyle name="_Column1_Ad hoc PL 3YP HRK za COGNOS unos JULY20_Canada_Dominican Rep" xfId="1977" xr:uid="{00000000-0005-0000-0000-0000B0070000}"/>
    <cellStyle name="_Column1_aggiornato LE2 OFF TRADE 25_08 FL" xfId="1978" xr:uid="{00000000-0005-0000-0000-0000B1070000}"/>
    <cellStyle name="_Column1_AL 05,12,06 VS LE2" xfId="1979" xr:uid="{00000000-0005-0000-0000-0000B2070000}"/>
    <cellStyle name="_Column1_ALEA" xfId="1980" xr:uid="{00000000-0005-0000-0000-0000B3070000}"/>
    <cellStyle name="_Column1_ALEA 2" xfId="1981" xr:uid="{00000000-0005-0000-0000-0000B4070000}"/>
    <cellStyle name="_Column1_ALEA 3" xfId="1982" xr:uid="{00000000-0005-0000-0000-0000B5070000}"/>
    <cellStyle name="_Column1_ALEA 3 2" xfId="1983" xr:uid="{00000000-0005-0000-0000-0000B6070000}"/>
    <cellStyle name="_Column1_ALEA 3 3" xfId="1984" xr:uid="{00000000-0005-0000-0000-0000B7070000}"/>
    <cellStyle name="_Column1_ALEA 3 3 2" xfId="1985" xr:uid="{00000000-0005-0000-0000-0000B8070000}"/>
    <cellStyle name="_Column1_ALEA 4" xfId="1986" xr:uid="{00000000-0005-0000-0000-0000B9070000}"/>
    <cellStyle name="_Column1_ALEA 4 2" xfId="1987" xr:uid="{00000000-0005-0000-0000-0000BA070000}"/>
    <cellStyle name="_Column1_ALEA OFF LE2" xfId="1988" xr:uid="{00000000-0005-0000-0000-0000BB070000}"/>
    <cellStyle name="_Column1_Alea x mkt pack" xfId="1989" xr:uid="{00000000-0005-0000-0000-0000BC070000}"/>
    <cellStyle name="_Column1_Alea x sales pack" xfId="1990" xr:uid="{00000000-0005-0000-0000-0000BD070000}"/>
    <cellStyle name="_Column1_ALEA_Sheet5" xfId="1991" xr:uid="{00000000-0005-0000-0000-0000BE070000}"/>
    <cellStyle name="_Column1_All" xfId="1992" xr:uid="{00000000-0005-0000-0000-0000BF070000}"/>
    <cellStyle name="_Column1_Analisi costo venduto" xfId="1993" xr:uid="{00000000-0005-0000-0000-0000C0070000}"/>
    <cellStyle name="_Column1_Analisi LE2'06 e bdg'07" xfId="1994" xr:uid="{00000000-0005-0000-0000-0000C1070000}"/>
    <cellStyle name="_Column1_Analisi Net Turnover Off YTD Mar" xfId="1995" xr:uid="{00000000-0005-0000-0000-0000C2070000}"/>
    <cellStyle name="_Column1_Analisi vol ott" xfId="1996" xr:uid="{00000000-0005-0000-0000-0000C3070000}"/>
    <cellStyle name="_Column1_Apr ON + DD (2)" xfId="1997" xr:uid="{00000000-0005-0000-0000-0000C4070000}"/>
    <cellStyle name="_Column1_Asset Needs" xfId="1998" xr:uid="{00000000-0005-0000-0000-0000C5070000}"/>
    <cellStyle name="_Column1_Asset Needs 2" xfId="1999" xr:uid="{00000000-0005-0000-0000-0000C6070000}"/>
    <cellStyle name="_Column1_BACK UP FIGURES for PRESENTATION LE1" xfId="2000" xr:uid="{00000000-0005-0000-0000-0000C7070000}"/>
    <cellStyle name="_Column1_Basis" xfId="2001" xr:uid="{00000000-0005-0000-0000-0000C8070000}"/>
    <cellStyle name="_Column1_Basis 2" xfId="2002" xr:uid="{00000000-0005-0000-0000-0000C9070000}"/>
    <cellStyle name="_Column1_Basis 2 2" xfId="2003" xr:uid="{00000000-0005-0000-0000-0000CA070000}"/>
    <cellStyle name="_Column1_Basis_Sheet1" xfId="2004" xr:uid="{00000000-0005-0000-0000-0000CB070000}"/>
    <cellStyle name="_Column1_Basis_Sheet5" xfId="2005" xr:uid="{00000000-0005-0000-0000-0000CC070000}"/>
    <cellStyle name="_Column1_Basis_Sm Proj Cash Flow" xfId="2006" xr:uid="{00000000-0005-0000-0000-0000CD070000}"/>
    <cellStyle name="_Column1_Basis_Spend Detail" xfId="2007" xr:uid="{00000000-0005-0000-0000-0000CE070000}"/>
    <cellStyle name="_Column1_Basis_SustainingProjectList" xfId="2008" xr:uid="{00000000-0005-0000-0000-0000CF070000}"/>
    <cellStyle name="_Column1_BB" xfId="2009" xr:uid="{00000000-0005-0000-0000-0000D0070000}"/>
    <cellStyle name="_Column1_BB (2)" xfId="2010" xr:uid="{00000000-0005-0000-0000-0000D1070000}"/>
    <cellStyle name="_Column1_BE_FG" xfId="2011" xr:uid="{00000000-0005-0000-0000-0000D2070000}"/>
    <cellStyle name="_Column1_BE_FG 2" xfId="2012" xr:uid="{00000000-0005-0000-0000-0000D3070000}"/>
    <cellStyle name="_Column1_BE_FG 3" xfId="2013" xr:uid="{00000000-0005-0000-0000-0000D4070000}"/>
    <cellStyle name="_Column1_BE_FG 3 2" xfId="2014" xr:uid="{00000000-0005-0000-0000-0000D5070000}"/>
    <cellStyle name="_Column1_BE_FG 3 3" xfId="2015" xr:uid="{00000000-0005-0000-0000-0000D6070000}"/>
    <cellStyle name="_Column1_BE_FG 3 3 2" xfId="2016" xr:uid="{00000000-0005-0000-0000-0000D7070000}"/>
    <cellStyle name="_Column1_BE_FG 4" xfId="2017" xr:uid="{00000000-0005-0000-0000-0000D8070000}"/>
    <cellStyle name="_Column1_BE_FG 4 2" xfId="2018" xr:uid="{00000000-0005-0000-0000-0000D9070000}"/>
    <cellStyle name="_Column1_Beck's Incremental costs" xfId="2019" xr:uid="{00000000-0005-0000-0000-0000DA070000}"/>
    <cellStyle name="_Column1_Beval REPORT novembre'06" xfId="2020" xr:uid="{00000000-0005-0000-0000-0000DB070000}"/>
    <cellStyle name="_Column1_Beval REPORT novembre'06 2" xfId="2021" xr:uid="{00000000-0005-0000-0000-0000DC070000}"/>
    <cellStyle name="_Column1_Beval REPORT novembre'06 3" xfId="2022" xr:uid="{00000000-0005-0000-0000-0000DD070000}"/>
    <cellStyle name="_Column1_Beval REPORT novembre'06 3 2" xfId="2023" xr:uid="{00000000-0005-0000-0000-0000DE070000}"/>
    <cellStyle name="_Column1_Beval REPORT novembre'06_BB (2)" xfId="2024" xr:uid="{00000000-0005-0000-0000-0000DF070000}"/>
    <cellStyle name="_Column1_Beval REPORT novembre'06_C00200" xfId="2025" xr:uid="{00000000-0005-0000-0000-0000E0070000}"/>
    <cellStyle name="_Column1_Beval REPORT novembre'06_C00210" xfId="2026" xr:uid="{00000000-0005-0000-0000-0000E1070000}"/>
    <cellStyle name="_Column1_Beval REPORT novembre'06_C00300" xfId="2027" xr:uid="{00000000-0005-0000-0000-0000E2070000}"/>
    <cellStyle name="_Column1_Beval REPORT novembre'06_C00400" xfId="2028" xr:uid="{00000000-0005-0000-0000-0000E3070000}"/>
    <cellStyle name="_Column1_Beval REPORT novembre'06_check6" xfId="2029" xr:uid="{00000000-0005-0000-0000-0000E4070000}"/>
    <cellStyle name="_Column1_Beval REPORT novembre'06_Sheet1" xfId="2030" xr:uid="{00000000-0005-0000-0000-0000E5070000}"/>
    <cellStyle name="_Column1_Beval REPORT novembre'06_Sheet1 (5)" xfId="2031" xr:uid="{00000000-0005-0000-0000-0000E6070000}"/>
    <cellStyle name="_Column1_Beval REPORT novembre'06_Sheet1 (6)" xfId="2032" xr:uid="{00000000-0005-0000-0000-0000E7070000}"/>
    <cellStyle name="_Column1_Beval REPORT novembre'06_Sheet2" xfId="2033" xr:uid="{00000000-0005-0000-0000-0000E8070000}"/>
    <cellStyle name="_Column1_Beval REPORT novembre'06_Sheet3" xfId="2034" xr:uid="{00000000-0005-0000-0000-0000E9070000}"/>
    <cellStyle name="_Column1_Beval REPORT novembre'06_status" xfId="2035" xr:uid="{00000000-0005-0000-0000-0000EA070000}"/>
    <cellStyle name="_Column1_Bil apr" xfId="2036" xr:uid="{00000000-0005-0000-0000-0000EB070000}"/>
    <cellStyle name="_Column1_Brew Ops Capacity balzer Modufi" xfId="2037" xr:uid="{00000000-0005-0000-0000-0000EC070000}"/>
    <cellStyle name="_Column1_Brew Ops Capacity balzer Modufi 2" xfId="2038" xr:uid="{00000000-0005-0000-0000-0000ED070000}"/>
    <cellStyle name="_Column1_Brew Ops Capacity balzer Modufi 2 2" xfId="2039" xr:uid="{00000000-0005-0000-0000-0000EE070000}"/>
    <cellStyle name="_Column1_Brew Ops Capacity balzer Modufi_Sheet1" xfId="2040" xr:uid="{00000000-0005-0000-0000-0000EF070000}"/>
    <cellStyle name="_Column1_Brew Ops Capacity balzer Modufi_Sheet5" xfId="2041" xr:uid="{00000000-0005-0000-0000-0000F0070000}"/>
    <cellStyle name="_Column1_Brew Ops Capacity balzer Modufi_Sm Proj Cash Flow" xfId="2042" xr:uid="{00000000-0005-0000-0000-0000F1070000}"/>
    <cellStyle name="_Column1_Brew Ops Capacity balzer Modufi_Spend Detail" xfId="2043" xr:uid="{00000000-0005-0000-0000-0000F2070000}"/>
    <cellStyle name="_Column1_Brew Ops Capacity balzer Modufi_SustainingProjectList" xfId="2044" xr:uid="{00000000-0005-0000-0000-0000F3070000}"/>
    <cellStyle name="_Column1_BS ABF" xfId="2045" xr:uid="{00000000-0005-0000-0000-0000F4070000}"/>
    <cellStyle name="_Column1_BS ABF 2" xfId="2046" xr:uid="{00000000-0005-0000-0000-0000F5070000}"/>
    <cellStyle name="_Column1_BS ABF 2 2" xfId="2047" xr:uid="{00000000-0005-0000-0000-0000F6070000}"/>
    <cellStyle name="_Column1_BS ABF_Basis" xfId="2048" xr:uid="{00000000-0005-0000-0000-0000F7070000}"/>
    <cellStyle name="_Column1_BS ABF_Basis 2" xfId="2049" xr:uid="{00000000-0005-0000-0000-0000F8070000}"/>
    <cellStyle name="_Column1_BS ABF_Basis 2 2" xfId="2050" xr:uid="{00000000-0005-0000-0000-0000F9070000}"/>
    <cellStyle name="_Column1_BS ABF_Basis_Sheet1" xfId="2051" xr:uid="{00000000-0005-0000-0000-0000FA070000}"/>
    <cellStyle name="_Column1_BS ABF_Basis_Sheet5" xfId="2052" xr:uid="{00000000-0005-0000-0000-0000FB070000}"/>
    <cellStyle name="_Column1_BS ABF_Basis_Sm Proj Cash Flow" xfId="2053" xr:uid="{00000000-0005-0000-0000-0000FC070000}"/>
    <cellStyle name="_Column1_BS ABF_Basis_Spend Detail" xfId="2054" xr:uid="{00000000-0005-0000-0000-0000FD070000}"/>
    <cellStyle name="_Column1_BS ABF_Basis_SustainingProjectList" xfId="2055" xr:uid="{00000000-0005-0000-0000-0000FE070000}"/>
    <cellStyle name="_Column1_BS ABF_Sheet1" xfId="2056" xr:uid="{00000000-0005-0000-0000-0000FF070000}"/>
    <cellStyle name="_Column1_BS ABF_Sheet5" xfId="2057" xr:uid="{00000000-0005-0000-0000-000000080000}"/>
    <cellStyle name="_Column1_BS ABF_SKU Volumen" xfId="2058" xr:uid="{00000000-0005-0000-0000-000001080000}"/>
    <cellStyle name="_Column1_BS ABF_SKU Volumen 2" xfId="2059" xr:uid="{00000000-0005-0000-0000-000002080000}"/>
    <cellStyle name="_Column1_BS ABF_SKU Volumen_Sheet1" xfId="2060" xr:uid="{00000000-0005-0000-0000-000003080000}"/>
    <cellStyle name="_Column1_BS ABF_SKU Volumen_Sm Proj Cash Flow" xfId="2061" xr:uid="{00000000-0005-0000-0000-000004080000}"/>
    <cellStyle name="_Column1_BS ABF_SKU Volumen_Spend Detail" xfId="2062" xr:uid="{00000000-0005-0000-0000-000005080000}"/>
    <cellStyle name="_Column1_BS ABF_SKU Volumen_SustainingProjectList" xfId="2063" xr:uid="{00000000-0005-0000-0000-000006080000}"/>
    <cellStyle name="_Column1_BS ABF_Sm Proj Cash Flow" xfId="2064" xr:uid="{00000000-0005-0000-0000-000007080000}"/>
    <cellStyle name="_Column1_BS ABF_Spend Detail" xfId="2065" xr:uid="{00000000-0005-0000-0000-000008080000}"/>
    <cellStyle name="_Column1_BS ABF_SustainingProjectList" xfId="2066" xr:uid="{00000000-0005-0000-0000-000009080000}"/>
    <cellStyle name="_Column1_BS ABF_Tabelle1" xfId="2067" xr:uid="{00000000-0005-0000-0000-00000A080000}"/>
    <cellStyle name="_Column1_BS ABF_Tabelle1 2" xfId="2068" xr:uid="{00000000-0005-0000-0000-00000B080000}"/>
    <cellStyle name="_Column1_BS ABF_Tabelle1_Sheet1" xfId="2069" xr:uid="{00000000-0005-0000-0000-00000C080000}"/>
    <cellStyle name="_Column1_BS ABF_Tabelle1_Sm Proj Cash Flow" xfId="2070" xr:uid="{00000000-0005-0000-0000-00000D080000}"/>
    <cellStyle name="_Column1_BS ABF_Tabelle1_Spend Detail" xfId="2071" xr:uid="{00000000-0005-0000-0000-00000E080000}"/>
    <cellStyle name="_Column1_BS ABF_Tabelle1_SustainingProjectList" xfId="2072" xr:uid="{00000000-0005-0000-0000-00000F080000}"/>
    <cellStyle name="_Column1_BU1112 TP database - REGULAR VOLUMES" xfId="2073" xr:uid="{00000000-0005-0000-0000-000010080000}"/>
    <cellStyle name="_Column1_BU1112 TP database - REGULAR VOLUMES 2" xfId="2074" xr:uid="{00000000-0005-0000-0000-000011080000}"/>
    <cellStyle name="_Column1_BU1112 TP database - REGULAR VOLUMES 3" xfId="2075" xr:uid="{00000000-0005-0000-0000-000012080000}"/>
    <cellStyle name="_Column1_BU1112 TP database - REGULAR VOLUMES 3 2" xfId="2076" xr:uid="{00000000-0005-0000-0000-000013080000}"/>
    <cellStyle name="_Column1_BU1112 TP database - REGULAR VOLUMES NATB" xfId="2077" xr:uid="{00000000-0005-0000-0000-000014080000}"/>
    <cellStyle name="_Column1_BU1112 TP database - REGULAR VOLUMES NATB 2" xfId="2078" xr:uid="{00000000-0005-0000-0000-000015080000}"/>
    <cellStyle name="_Column1_BU1112 TP database - REGULAR VOLUMES NATB 3" xfId="2079" xr:uid="{00000000-0005-0000-0000-000016080000}"/>
    <cellStyle name="_Column1_BU1112 TP database - REGULAR VOLUMES NATB 3 2" xfId="2080" xr:uid="{00000000-0005-0000-0000-000017080000}"/>
    <cellStyle name="_Column1_BU12 TP database - REGULAR VOLUMES LAN" xfId="2081" xr:uid="{00000000-0005-0000-0000-000018080000}"/>
    <cellStyle name="_Column1_Budget 2005" xfId="2082" xr:uid="{00000000-0005-0000-0000-000019080000}"/>
    <cellStyle name="_Column1_Budget 2005 2" xfId="2083" xr:uid="{00000000-0005-0000-0000-00001A080000}"/>
    <cellStyle name="_Column1_Budget 2005_Sheet1" xfId="2084" xr:uid="{00000000-0005-0000-0000-00001B080000}"/>
    <cellStyle name="_Column1_Budget 2005_SustainingProjectList" xfId="2085" xr:uid="{00000000-0005-0000-0000-00001C080000}"/>
    <cellStyle name="_Column1_Budget 2008 - Sales &amp; marketing excel support v1.0" xfId="2086" xr:uid="{00000000-0005-0000-0000-00001D080000}"/>
    <cellStyle name="_Column1_Budget 2008 - Sales &amp; marketing excel support v1.0 2" xfId="2087" xr:uid="{00000000-0005-0000-0000-00001E080000}"/>
    <cellStyle name="_Column1_Budget 2008 - Sales &amp; marketing excel support v1.0 3" xfId="2088" xr:uid="{00000000-0005-0000-0000-00001F080000}"/>
    <cellStyle name="_Column1_Budget 2008 - Sales &amp; marketing excel support v1.0 3 2" xfId="2089" xr:uid="{00000000-0005-0000-0000-000020080000}"/>
    <cellStyle name="_Column1_Budget 2008 commercial plan 121107 after delist (2)" xfId="2090" xr:uid="{00000000-0005-0000-0000-000021080000}"/>
    <cellStyle name="_Column1_Budget 2008 commercial plan 121107 after delist (2) 2" xfId="2091" xr:uid="{00000000-0005-0000-0000-000022080000}"/>
    <cellStyle name="_Column1_Budget 2008 commercial plan 121107 after delist (2) 3" xfId="2092" xr:uid="{00000000-0005-0000-0000-000023080000}"/>
    <cellStyle name="_Column1_Budget 2008 commercial plan 121107 after delist (2) 3 2" xfId="2093" xr:uid="{00000000-0005-0000-0000-000024080000}"/>
    <cellStyle name="_Column1_Budget 2008 x Cognos" xfId="2094" xr:uid="{00000000-0005-0000-0000-000025080000}"/>
    <cellStyle name="_Column1_Budget 2008 x Cognos 2" xfId="2095" xr:uid="{00000000-0005-0000-0000-000026080000}"/>
    <cellStyle name="_Column1_Budget 2008 x Cognos 3" xfId="2096" xr:uid="{00000000-0005-0000-0000-000027080000}"/>
    <cellStyle name="_Column1_Budget 2008 x Cognos 3 2" xfId="2097" xr:uid="{00000000-0005-0000-0000-000028080000}"/>
    <cellStyle name="_Column1_Budget monthly" xfId="2098" xr:uid="{00000000-0005-0000-0000-000029080000}"/>
    <cellStyle name="_Column1_Budget monthly 2" xfId="2099" xr:uid="{00000000-0005-0000-0000-00002A080000}"/>
    <cellStyle name="_Column1_Budget monthly 3" xfId="2100" xr:uid="{00000000-0005-0000-0000-00002B080000}"/>
    <cellStyle name="_Column1_Budget monthly 3 2" xfId="2101" xr:uid="{00000000-0005-0000-0000-00002C080000}"/>
    <cellStyle name="_Column1_Budget monthly 3 3" xfId="2102" xr:uid="{00000000-0005-0000-0000-00002D080000}"/>
    <cellStyle name="_Column1_Budget monthly 3 3 2" xfId="2103" xr:uid="{00000000-0005-0000-0000-00002E080000}"/>
    <cellStyle name="_Column1_Budget monthly 4" xfId="2104" xr:uid="{00000000-0005-0000-0000-00002F080000}"/>
    <cellStyle name="_Column1_Budget monthly 4 2" xfId="2105" xr:uid="{00000000-0005-0000-0000-000030080000}"/>
    <cellStyle name="_Column1_Budget monthly_Sheet5" xfId="2106" xr:uid="{00000000-0005-0000-0000-000031080000}"/>
    <cellStyle name="_Column1_Budget_NT Waterfall vers. FRA 11.10.07" xfId="2107" xr:uid="{00000000-0005-0000-0000-000032080000}"/>
    <cellStyle name="_Column1_Budget_NT Waterfall vers. FRA 11.10.07 2" xfId="2108" xr:uid="{00000000-0005-0000-0000-000033080000}"/>
    <cellStyle name="_Column1_Budget_NT Waterfall vers. FRA 11.10.07 3" xfId="2109" xr:uid="{00000000-0005-0000-0000-000034080000}"/>
    <cellStyle name="_Column1_Budget_NT Waterfall vers. FRA 11.10.07 3 2" xfId="2110" xr:uid="{00000000-0005-0000-0000-000035080000}"/>
    <cellStyle name="_Column1_budget_trasp_offtrade290108AC" xfId="2111" xr:uid="{00000000-0005-0000-0000-000036080000}"/>
    <cellStyle name="_Column1_budget_trasp_offtrade290108AC 2" xfId="2112" xr:uid="{00000000-0005-0000-0000-000037080000}"/>
    <cellStyle name="_Column1_budget_trasp_offtrade290108AC 3" xfId="2113" xr:uid="{00000000-0005-0000-0000-000038080000}"/>
    <cellStyle name="_Column1_budget_trasp_offtrade290108AC 3 2" xfId="2114" xr:uid="{00000000-0005-0000-0000-000039080000}"/>
    <cellStyle name="_Column1_C00200" xfId="2115" xr:uid="{00000000-0005-0000-0000-00003A080000}"/>
    <cellStyle name="_Column1_C00210" xfId="2116" xr:uid="{00000000-0005-0000-0000-00003B080000}"/>
    <cellStyle name="_Column1_C00300" xfId="2117" xr:uid="{00000000-0005-0000-0000-00003C080000}"/>
    <cellStyle name="_Column1_C00400" xfId="2118" xr:uid="{00000000-0005-0000-0000-00003D080000}"/>
    <cellStyle name="_Column1_CA ML" xfId="2119" xr:uid="{00000000-0005-0000-0000-00003E080000}"/>
    <cellStyle name="_Column1_CA ML 2" xfId="2120" xr:uid="{00000000-0005-0000-0000-00003F080000}"/>
    <cellStyle name="_Column1_CA ML 2 2" xfId="2121" xr:uid="{00000000-0005-0000-0000-000040080000}"/>
    <cellStyle name="_Column1_CA ML 3" xfId="2122" xr:uid="{00000000-0005-0000-0000-000041080000}"/>
    <cellStyle name="_Column1_CA ML_1" xfId="2123" xr:uid="{00000000-0005-0000-0000-000042080000}"/>
    <cellStyle name="_Column1_CA ML_1 2" xfId="2124" xr:uid="{00000000-0005-0000-0000-000043080000}"/>
    <cellStyle name="_Column1_CA ML_1 2 2" xfId="2125" xr:uid="{00000000-0005-0000-0000-000044080000}"/>
    <cellStyle name="_Column1_CA ML_1 3" xfId="2126" xr:uid="{00000000-0005-0000-0000-000045080000}"/>
    <cellStyle name="_Column1_CA ML_2" xfId="2127" xr:uid="{00000000-0005-0000-0000-000046080000}"/>
    <cellStyle name="_Column1_CA ML_2 2" xfId="2128" xr:uid="{00000000-0005-0000-0000-000047080000}"/>
    <cellStyle name="_Column1_CA ML_2 2 2" xfId="2129" xr:uid="{00000000-0005-0000-0000-000048080000}"/>
    <cellStyle name="_Column1_CA ML_2 3" xfId="2130" xr:uid="{00000000-0005-0000-0000-000049080000}"/>
    <cellStyle name="_Column1_CA USD" xfId="2131" xr:uid="{00000000-0005-0000-0000-00004A080000}"/>
    <cellStyle name="_Column1_CA USD 2" xfId="2132" xr:uid="{00000000-0005-0000-0000-00004B080000}"/>
    <cellStyle name="_Column1_CA USD 2 2" xfId="2133" xr:uid="{00000000-0005-0000-0000-00004C080000}"/>
    <cellStyle name="_Column1_CA USD 3" xfId="2134" xr:uid="{00000000-0005-0000-0000-00004D080000}"/>
    <cellStyle name="_Column1_Calcolo Mens volumi Off_LE1" xfId="2135" xr:uid="{00000000-0005-0000-0000-00004E080000}"/>
    <cellStyle name="_Column1_Canada" xfId="2136" xr:uid="{00000000-0005-0000-0000-00004F080000}"/>
    <cellStyle name="_Column1_Canada 2" xfId="2137" xr:uid="{00000000-0005-0000-0000-000050080000}"/>
    <cellStyle name="_Column1_Canada_Dominican Rep" xfId="2138" xr:uid="{00000000-0005-0000-0000-000051080000}"/>
    <cellStyle name="_Column1_Capacity Util. Hannover ORII-Bgt05" xfId="2139" xr:uid="{00000000-0005-0000-0000-000052080000}"/>
    <cellStyle name="_Column1_Capacity Util. Hannover ORII-Bgt05 2" xfId="2140" xr:uid="{00000000-0005-0000-0000-000053080000}"/>
    <cellStyle name="_Column1_Capacity Util. Hannover ORII-Bgt05_Sheet1" xfId="2141" xr:uid="{00000000-0005-0000-0000-000054080000}"/>
    <cellStyle name="_Column1_Capacity Util. Hannover ORII-Bgt05_SustainingProjectList" xfId="2142" xr:uid="{00000000-0005-0000-0000-000055080000}"/>
    <cellStyle name="_Column1_Capacity Util. Issum ORII-Bgt05" xfId="2143" xr:uid="{00000000-0005-0000-0000-000056080000}"/>
    <cellStyle name="_Column1_Capacity Util. Issum ORII-Bgt05 2" xfId="2144" xr:uid="{00000000-0005-0000-0000-000057080000}"/>
    <cellStyle name="_Column1_Capacity Util. Issum ORII-Bgt05_Sheet1" xfId="2145" xr:uid="{00000000-0005-0000-0000-000058080000}"/>
    <cellStyle name="_Column1_Capacity Util. Issum ORII-Bgt05_SustainingProjectList" xfId="2146" xr:uid="{00000000-0005-0000-0000-000059080000}"/>
    <cellStyle name="_Column1_Capex x AnnaC (2)" xfId="2147" xr:uid="{00000000-0005-0000-0000-00005A080000}"/>
    <cellStyle name="_Column1_Capex_view" xfId="2148" xr:uid="{00000000-0005-0000-0000-00005B080000}"/>
    <cellStyle name="_Column1_Capex_view 2" xfId="2149" xr:uid="{00000000-0005-0000-0000-00005C080000}"/>
    <cellStyle name="_Column1_Cartel1" xfId="2150" xr:uid="{00000000-0005-0000-0000-00005D080000}"/>
    <cellStyle name="_Column1_Cartel1 2" xfId="2151" xr:uid="{00000000-0005-0000-0000-00005E080000}"/>
    <cellStyle name="_Column1_Cartel1 3" xfId="2152" xr:uid="{00000000-0005-0000-0000-00005F080000}"/>
    <cellStyle name="_Column1_Cartel1 3 2" xfId="2153" xr:uid="{00000000-0005-0000-0000-000060080000}"/>
    <cellStyle name="_Column1_Cartel1_1" xfId="2154" xr:uid="{00000000-0005-0000-0000-000061080000}"/>
    <cellStyle name="_Column1_Cartel1_BB (2)" xfId="2155" xr:uid="{00000000-0005-0000-0000-000062080000}"/>
    <cellStyle name="_Column1_Cartel1_C00200" xfId="2156" xr:uid="{00000000-0005-0000-0000-000063080000}"/>
    <cellStyle name="_Column1_Cartel1_C00210" xfId="2157" xr:uid="{00000000-0005-0000-0000-000064080000}"/>
    <cellStyle name="_Column1_Cartel1_C00300" xfId="2158" xr:uid="{00000000-0005-0000-0000-000065080000}"/>
    <cellStyle name="_Column1_Cartel1_C00400" xfId="2159" xr:uid="{00000000-0005-0000-0000-000066080000}"/>
    <cellStyle name="_Column1_Cartel1_check6" xfId="2160" xr:uid="{00000000-0005-0000-0000-000067080000}"/>
    <cellStyle name="_Column1_Cartel1_Sheet1" xfId="2161" xr:uid="{00000000-0005-0000-0000-000068080000}"/>
    <cellStyle name="_Column1_Cartel1_Sheet1 (5)" xfId="2162" xr:uid="{00000000-0005-0000-0000-000069080000}"/>
    <cellStyle name="_Column1_Cartel1_Sheet2" xfId="2163" xr:uid="{00000000-0005-0000-0000-00006A080000}"/>
    <cellStyle name="_Column1_Cartel1_Sheet3" xfId="2164" xr:uid="{00000000-0005-0000-0000-00006B080000}"/>
    <cellStyle name="_Column1_Cartel1_status" xfId="2165" xr:uid="{00000000-0005-0000-0000-00006C080000}"/>
    <cellStyle name="_Column1_CC_ZBB_profiled_costsTM" xfId="2166" xr:uid="{00000000-0005-0000-0000-00006D080000}"/>
    <cellStyle name="_Column1_CC_ZBB_profiled_costsTM 2" xfId="2167" xr:uid="{00000000-0005-0000-0000-00006E080000}"/>
    <cellStyle name="_Column1_CC_ZBB_profiled_costsTM_Dominican Rep" xfId="2168" xr:uid="{00000000-0005-0000-0000-00006F080000}"/>
    <cellStyle name="_Column1_CE da Alea" xfId="2169" xr:uid="{00000000-0005-0000-0000-000070080000}"/>
    <cellStyle name="_Column1_check fehlende Transportkosten 082006" xfId="2170" xr:uid="{00000000-0005-0000-0000-000071080000}"/>
    <cellStyle name="_Column1_check fehlende Transportkosten 082006 2" xfId="2171" xr:uid="{00000000-0005-0000-0000-000072080000}"/>
    <cellStyle name="_Column1_check fehlende Transportkosten 082006 3" xfId="2172" xr:uid="{00000000-0005-0000-0000-000073080000}"/>
    <cellStyle name="_Column1_check fehlende Transportkosten 082006 3 2" xfId="2173" xr:uid="{00000000-0005-0000-0000-000074080000}"/>
    <cellStyle name="_Column1_check fehlende Transportkosten 082006 3 3" xfId="2174" xr:uid="{00000000-0005-0000-0000-000075080000}"/>
    <cellStyle name="_Column1_check fehlende Transportkosten 082006 3 3 2" xfId="2175" xr:uid="{00000000-0005-0000-0000-000076080000}"/>
    <cellStyle name="_Column1_check fehlende Transportkosten 082006 4" xfId="2176" xr:uid="{00000000-0005-0000-0000-000077080000}"/>
    <cellStyle name="_Column1_check fehlende Transportkosten 082006 4 2" xfId="2177" xr:uid="{00000000-0005-0000-0000-000078080000}"/>
    <cellStyle name="_Column1_check fehlende Transportkosten 082006_Sheet5" xfId="2178" xr:uid="{00000000-0005-0000-0000-000079080000}"/>
    <cellStyle name="_Column1_check6" xfId="2179" xr:uid="{00000000-0005-0000-0000-00007A080000}"/>
    <cellStyle name="_Column1_Chi2 1" xfId="2180" xr:uid="{00000000-0005-0000-0000-00007B080000}"/>
    <cellStyle name="_Column1_Chi2 1 2" xfId="2181" xr:uid="{00000000-0005-0000-0000-00007C080000}"/>
    <cellStyle name="_Column1_Chi2 1_Sheet1" xfId="2182" xr:uid="{00000000-0005-0000-0000-00007D080000}"/>
    <cellStyle name="_Column1_Chi2 1_Sm Proj Cash Flow" xfId="2183" xr:uid="{00000000-0005-0000-0000-00007E080000}"/>
    <cellStyle name="_Column1_Chi2 1_Spend Detail" xfId="2184" xr:uid="{00000000-0005-0000-0000-00007F080000}"/>
    <cellStyle name="_Column1_Chi2 1_SustainingProjectList" xfId="2185" xr:uid="{00000000-0005-0000-0000-000080080000}"/>
    <cellStyle name="_Column1_Chi2 HEX" xfId="2186" xr:uid="{00000000-0005-0000-0000-000081080000}"/>
    <cellStyle name="_Column1_Chi2 HEX 2" xfId="2187" xr:uid="{00000000-0005-0000-0000-000082080000}"/>
    <cellStyle name="_Column1_Chi2 HEX_Sheet1" xfId="2188" xr:uid="{00000000-0005-0000-0000-000083080000}"/>
    <cellStyle name="_Column1_Chi2 HEX_Sm Proj Cash Flow" xfId="2189" xr:uid="{00000000-0005-0000-0000-000084080000}"/>
    <cellStyle name="_Column1_Chi2 HEX_Spend Detail" xfId="2190" xr:uid="{00000000-0005-0000-0000-000085080000}"/>
    <cellStyle name="_Column1_Chi2 HEX_SustainingProjectList" xfId="2191" xr:uid="{00000000-0005-0000-0000-000086080000}"/>
    <cellStyle name="_Column1_Comm Agreem Distr" xfId="2192" xr:uid="{00000000-0005-0000-0000-000087080000}"/>
    <cellStyle name="_Column1_Comm Agreem On Trade" xfId="2193" xr:uid="{00000000-0005-0000-0000-000088080000}"/>
    <cellStyle name="_Column1_CommAgreeDistr" xfId="2194" xr:uid="{00000000-0005-0000-0000-000089080000}"/>
    <cellStyle name="_Column1_Conciliacao 1" xfId="2195" xr:uid="{00000000-0005-0000-0000-00008A080000}"/>
    <cellStyle name="_Column1_Conciliacao 1 2" xfId="2196" xr:uid="{00000000-0005-0000-0000-00008B080000}"/>
    <cellStyle name="_Column1_Conciliacao 1 2 2" xfId="2197" xr:uid="{00000000-0005-0000-0000-00008C080000}"/>
    <cellStyle name="_Column1_Conciliacao 1 3" xfId="2198" xr:uid="{00000000-0005-0000-0000-00008D080000}"/>
    <cellStyle name="_Column1_Copia di MACO BU'07 Total Italy new" xfId="2199" xr:uid="{00000000-0005-0000-0000-00008E080000}"/>
    <cellStyle name="_Column1_Copia di MACO BU'07 Total Italy new 2" xfId="2200" xr:uid="{00000000-0005-0000-0000-00008F080000}"/>
    <cellStyle name="_Column1_Copia di MACO BU'07 Total Italy new 3" xfId="2201" xr:uid="{00000000-0005-0000-0000-000090080000}"/>
    <cellStyle name="_Column1_Copia di MACO BU'07 Total Italy new 3 2" xfId="2202" xr:uid="{00000000-0005-0000-0000-000091080000}"/>
    <cellStyle name="_Column1_Copia di MACO BU'07 Total Italy new_BB (2)" xfId="2203" xr:uid="{00000000-0005-0000-0000-000092080000}"/>
    <cellStyle name="_Column1_Copia di MACO BU'07 Total Italy new_C00200" xfId="2204" xr:uid="{00000000-0005-0000-0000-000093080000}"/>
    <cellStyle name="_Column1_Copia di MACO BU'07 Total Italy new_C00210" xfId="2205" xr:uid="{00000000-0005-0000-0000-000094080000}"/>
    <cellStyle name="_Column1_Copia di MACO BU'07 Total Italy new_C00300" xfId="2206" xr:uid="{00000000-0005-0000-0000-000095080000}"/>
    <cellStyle name="_Column1_Copia di MACO BU'07 Total Italy new_C00400" xfId="2207" xr:uid="{00000000-0005-0000-0000-000096080000}"/>
    <cellStyle name="_Column1_Copia di MACO BU'07 Total Italy new_check6" xfId="2208" xr:uid="{00000000-0005-0000-0000-000097080000}"/>
    <cellStyle name="_Column1_Copia di MACO BU'07 Total Italy new_Sheet1" xfId="2209" xr:uid="{00000000-0005-0000-0000-000098080000}"/>
    <cellStyle name="_Column1_Copia di MACO BU'07 Total Italy new_Sheet1 (5)" xfId="2210" xr:uid="{00000000-0005-0000-0000-000099080000}"/>
    <cellStyle name="_Column1_Copia di MACO BU'07 Total Italy new_Sheet2" xfId="2211" xr:uid="{00000000-0005-0000-0000-00009A080000}"/>
    <cellStyle name="_Column1_Copia di MACO BU'07 Total Italy new_Sheet3" xfId="2212" xr:uid="{00000000-0005-0000-0000-00009B080000}"/>
    <cellStyle name="_Column1_Copia di MACO BU'07 Total Italy new_status" xfId="2213" xr:uid="{00000000-0005-0000-0000-00009C080000}"/>
    <cellStyle name="_Column1_Copy of ZBB cost analysis B08 _fintm04092007v2 04.09.07" xfId="2214" xr:uid="{00000000-0005-0000-0000-00009D080000}"/>
    <cellStyle name="_Column1_Copy of ZBB cost analysis B08 _fintm04092007v2 04.09.07 2" xfId="2215" xr:uid="{00000000-0005-0000-0000-00009E080000}"/>
    <cellStyle name="_Column1_Copy of ZBB cost analysis B08 _fintm04092007v2 04.09.07_Dominican Rep" xfId="2216" xr:uid="{00000000-0005-0000-0000-00009F080000}"/>
    <cellStyle name="_Column1_Copy of ZBB costs P&amp;L od Slavice 04.09.2007" xfId="2217" xr:uid="{00000000-0005-0000-0000-0000A0080000}"/>
    <cellStyle name="_Column1_Copy of ZBB costs P&amp;L od Slavice 04.09.2007 2" xfId="2218" xr:uid="{00000000-0005-0000-0000-0000A1080000}"/>
    <cellStyle name="_Column1_Copy of ZBB costs P&amp;L od Slavice 04.09.2007_Dominican Rep" xfId="2219" xr:uid="{00000000-0005-0000-0000-0000A2080000}"/>
    <cellStyle name="_Column1_Copy of ZBB_Budget07PRAVI_Entities per package4xls4" xfId="2220" xr:uid="{00000000-0005-0000-0000-0000A3080000}"/>
    <cellStyle name="_Column1_Copy of ZBB_Budget07PRAVI_Entities per package4xls4 2" xfId="2221" xr:uid="{00000000-0005-0000-0000-0000A4080000}"/>
    <cellStyle name="_Column1_Copy of ZBB_Budget07PRAVI_Entities per package4xls4_Dominican Rep" xfId="2222" xr:uid="{00000000-0005-0000-0000-0000A5080000}"/>
    <cellStyle name="_Column1_Costo vend new sku" xfId="2223" xr:uid="{00000000-0005-0000-0000-0000A6080000}"/>
    <cellStyle name="_Column1_Cro_Template 3YP 08-10 - Update (2)" xfId="2224" xr:uid="{00000000-0005-0000-0000-0000A7080000}"/>
    <cellStyle name="_Column1_Cro_Template 3YP 08-10 - Update (2) 2" xfId="2225" xr:uid="{00000000-0005-0000-0000-0000A8080000}"/>
    <cellStyle name="_Column1_Cro_Template 3YP 08-10 - Update (2) 3" xfId="2226" xr:uid="{00000000-0005-0000-0000-0000A9080000}"/>
    <cellStyle name="_Column1_Cro_Template 3YP 08-10 - Update (2) 3 2" xfId="2227" xr:uid="{00000000-0005-0000-0000-0000AA080000}"/>
    <cellStyle name="_Column1_Cro_Template 3YP 08-10 - Update (2) 3 3" xfId="2228" xr:uid="{00000000-0005-0000-0000-0000AB080000}"/>
    <cellStyle name="_Column1_Cro_Template 3YP 08-10 - Update (2) 3 3 2" xfId="2229" xr:uid="{00000000-0005-0000-0000-0000AC080000}"/>
    <cellStyle name="_Column1_Cro_Template 3YP 08-10 - Update (2) 4" xfId="2230" xr:uid="{00000000-0005-0000-0000-0000AD080000}"/>
    <cellStyle name="_Column1_Cro_Template 3YP 08-10 - Update (2) 4 2" xfId="2231" xr:uid="{00000000-0005-0000-0000-0000AE080000}"/>
    <cellStyle name="_Column1_Cro_Template 3YP 08-10 - Update (2)_BU12 TP database - REGULAR VOLUMES LAN" xfId="2232" xr:uid="{00000000-0005-0000-0000-0000AF080000}"/>
    <cellStyle name="_Column1_Cro_Template 3YP 08-10 - Update (2)_Canada" xfId="2233" xr:uid="{00000000-0005-0000-0000-0000B0080000}"/>
    <cellStyle name="_Column1_Cro_Template 3YP 08-10 - Update (2)_Canada 2" xfId="2234" xr:uid="{00000000-0005-0000-0000-0000B1080000}"/>
    <cellStyle name="_Column1_Cro_Template 3YP 08-10 - Update (2)_Canada_Dominican Rep" xfId="2235" xr:uid="{00000000-0005-0000-0000-0000B2080000}"/>
    <cellStyle name="_Column1_data" xfId="2236" xr:uid="{00000000-0005-0000-0000-0000B3080000}"/>
    <cellStyle name="_Column1_data 2" xfId="2237" xr:uid="{00000000-0005-0000-0000-0000B4080000}"/>
    <cellStyle name="_Column1_data 3" xfId="2238" xr:uid="{00000000-0005-0000-0000-0000B5080000}"/>
    <cellStyle name="_Column1_data 3 2" xfId="2239" xr:uid="{00000000-0005-0000-0000-0000B6080000}"/>
    <cellStyle name="_Column1_data 3 3" xfId="2240" xr:uid="{00000000-0005-0000-0000-0000B7080000}"/>
    <cellStyle name="_Column1_data 3 3 2" xfId="2241" xr:uid="{00000000-0005-0000-0000-0000B8080000}"/>
    <cellStyle name="_Column1_data 4" xfId="2242" xr:uid="{00000000-0005-0000-0000-0000B9080000}"/>
    <cellStyle name="_Column1_data 4 2" xfId="2243" xr:uid="{00000000-0005-0000-0000-0000BA080000}"/>
    <cellStyle name="_Column1_data_BU12 TP database - REGULAR VOLUMES LAN" xfId="2244" xr:uid="{00000000-0005-0000-0000-0000BB080000}"/>
    <cellStyle name="_Column1_data_Canada" xfId="2245" xr:uid="{00000000-0005-0000-0000-0000BC080000}"/>
    <cellStyle name="_Column1_data_Canada 2" xfId="2246" xr:uid="{00000000-0005-0000-0000-0000BD080000}"/>
    <cellStyle name="_Column1_data_Canada_Dominican Rep" xfId="2247" xr:uid="{00000000-0005-0000-0000-0000BE080000}"/>
    <cellStyle name="_Column1_Daten" xfId="2248" xr:uid="{00000000-0005-0000-0000-0000BF080000}"/>
    <cellStyle name="_Column1_Daten 2" xfId="2249" xr:uid="{00000000-0005-0000-0000-0000C0080000}"/>
    <cellStyle name="_Column1_Daten_1" xfId="2250" xr:uid="{00000000-0005-0000-0000-0000C1080000}"/>
    <cellStyle name="_Column1_Daten_1_RFFS SUBMISSION TO VPs" xfId="2251" xr:uid="{00000000-0005-0000-0000-0000C2080000}"/>
    <cellStyle name="_Column1_Daten_1_RFFS_SUBMISSION_TO_VPs _v2" xfId="2252" xr:uid="{00000000-0005-0000-0000-0000C3080000}"/>
    <cellStyle name="_Column1_Daten_Sheet1" xfId="2253" xr:uid="{00000000-0005-0000-0000-0000C4080000}"/>
    <cellStyle name="_Column1_Daten_SustainingProjectList" xfId="2254" xr:uid="{00000000-0005-0000-0000-0000C5080000}"/>
    <cellStyle name="_Column1_DBSET" xfId="2255" xr:uid="{00000000-0005-0000-0000-0000C6080000}"/>
    <cellStyle name="_Column1_DBSET 2" xfId="2256" xr:uid="{00000000-0005-0000-0000-0000C7080000}"/>
    <cellStyle name="_Column1_DBSET_Sheet1" xfId="2257" xr:uid="{00000000-0005-0000-0000-0000C8080000}"/>
    <cellStyle name="_Column1_DBSET_SustainingProjectList" xfId="2258" xr:uid="{00000000-0005-0000-0000-0000C9080000}"/>
    <cellStyle name="_Column1_DEP" xfId="2259" xr:uid="{00000000-0005-0000-0000-0000CA080000}"/>
    <cellStyle name="_Column1_details" xfId="2260" xr:uid="{00000000-0005-0000-0000-0000CB080000}"/>
    <cellStyle name="_Column1_details 2" xfId="2261" xr:uid="{00000000-0005-0000-0000-0000CC080000}"/>
    <cellStyle name="_Column1_Dinke" xfId="2262" xr:uid="{00000000-0005-0000-0000-0000CD080000}"/>
    <cellStyle name="_Column1_Dir Trade Mktg Mat - on trade" xfId="2263" xr:uid="{00000000-0005-0000-0000-0000CE080000}"/>
    <cellStyle name="_Column1_Dir.Trade Mktg Mat." xfId="2264" xr:uid="{00000000-0005-0000-0000-0000CF080000}"/>
    <cellStyle name="_Column1_Discounts Off" xfId="2265" xr:uid="{00000000-0005-0000-0000-0000D0080000}"/>
    <cellStyle name="_Column1_Distributer Support" xfId="2266" xr:uid="{00000000-0005-0000-0000-0000D1080000}"/>
    <cellStyle name="_Column1_EC ML" xfId="2267" xr:uid="{00000000-0005-0000-0000-0000D2080000}"/>
    <cellStyle name="_Column1_EC ML 2" xfId="2268" xr:uid="{00000000-0005-0000-0000-0000D3080000}"/>
    <cellStyle name="_Column1_EC ML 2 2" xfId="2269" xr:uid="{00000000-0005-0000-0000-0000D4080000}"/>
    <cellStyle name="_Column1_EC ML 3" xfId="2270" xr:uid="{00000000-0005-0000-0000-0000D5080000}"/>
    <cellStyle name="_Column1_EC ML_1" xfId="2271" xr:uid="{00000000-0005-0000-0000-0000D6080000}"/>
    <cellStyle name="_Column1_EC ML_1 2" xfId="2272" xr:uid="{00000000-0005-0000-0000-0000D7080000}"/>
    <cellStyle name="_Column1_EC ML_1 2 2" xfId="2273" xr:uid="{00000000-0005-0000-0000-0000D8080000}"/>
    <cellStyle name="_Column1_EC ML_1 3" xfId="2274" xr:uid="{00000000-0005-0000-0000-0000D9080000}"/>
    <cellStyle name="_Column1_EC USD" xfId="2275" xr:uid="{00000000-0005-0000-0000-0000DA080000}"/>
    <cellStyle name="_Column1_EC USD 2" xfId="2276" xr:uid="{00000000-0005-0000-0000-0000DB080000}"/>
    <cellStyle name="_Column1_EC USD 2 2" xfId="2277" xr:uid="{00000000-0005-0000-0000-0000DC080000}"/>
    <cellStyle name="_Column1_EC USD 3" xfId="2278" xr:uid="{00000000-0005-0000-0000-0000DD080000}"/>
    <cellStyle name="_Column1_ERP" xfId="2279" xr:uid="{00000000-0005-0000-0000-0000DE080000}"/>
    <cellStyle name="_Column1_ERP_RFFS SUBMISSION TO VPs" xfId="2280" xr:uid="{00000000-0005-0000-0000-0000DF080000}"/>
    <cellStyle name="_Column1_ERP_RFFS_SUBMISSION_TO_VPs _v2" xfId="2281" xr:uid="{00000000-0005-0000-0000-0000E0080000}"/>
    <cellStyle name="_Column1_Estraz Alea x dim mens'06" xfId="2282" xr:uid="{00000000-0005-0000-0000-0000E1080000}"/>
    <cellStyle name="_Column1_Estraz MIS Alea" xfId="2283" xr:uid="{00000000-0005-0000-0000-0000E2080000}"/>
    <cellStyle name="_Column1_Etat 2007 S2-65700" xfId="2284" xr:uid="{00000000-0005-0000-0000-0000E3080000}"/>
    <cellStyle name="_Column1_Etat 2007 S2-65700 2" xfId="2285" xr:uid="{00000000-0005-0000-0000-0000E4080000}"/>
    <cellStyle name="_Column1_Etat 2007 S2-65700_Sheet1" xfId="2286" xr:uid="{00000000-0005-0000-0000-0000E5080000}"/>
    <cellStyle name="_Column1_Etat 2007 S2-65700_Sm Proj Cash Flow" xfId="2287" xr:uid="{00000000-0005-0000-0000-0000E6080000}"/>
    <cellStyle name="_Column1_Etat 2007 S2-65700_Spend Detail" xfId="2288" xr:uid="{00000000-0005-0000-0000-0000E7080000}"/>
    <cellStyle name="_Column1_Etat 2007 S2-65700_SustainingProjectList" xfId="2289" xr:uid="{00000000-0005-0000-0000-0000E8080000}"/>
    <cellStyle name="_Column1_FAG_FTE" xfId="2290" xr:uid="{00000000-0005-0000-0000-0000E9080000}"/>
    <cellStyle name="_Column1_FAG_FTE 2" xfId="2291" xr:uid="{00000000-0005-0000-0000-0000EA080000}"/>
    <cellStyle name="_Column1_FAG_FTE_Sheet1" xfId="2292" xr:uid="{00000000-0005-0000-0000-0000EB080000}"/>
    <cellStyle name="_Column1_FAG_FTE_Sheet5" xfId="2293" xr:uid="{00000000-0005-0000-0000-0000EC080000}"/>
    <cellStyle name="_Column1_FAG_FTE_TP_IC_2013" xfId="2294" xr:uid="{00000000-0005-0000-0000-0000ED080000}"/>
    <cellStyle name="_Column1_Fatture Partner" xfId="2295" xr:uid="{00000000-0005-0000-0000-0000EE080000}"/>
    <cellStyle name="_Column1_Fatture Partner 2" xfId="2296" xr:uid="{00000000-0005-0000-0000-0000EF080000}"/>
    <cellStyle name="_Column1_Fatture Partner 3" xfId="2297" xr:uid="{00000000-0005-0000-0000-0000F0080000}"/>
    <cellStyle name="_Column1_Fatture Partner 3 2" xfId="2298" xr:uid="{00000000-0005-0000-0000-0000F1080000}"/>
    <cellStyle name="_Column1_Fatture Partner_BB (2)" xfId="2299" xr:uid="{00000000-0005-0000-0000-0000F2080000}"/>
    <cellStyle name="_Column1_Fatture Partner_C00200" xfId="2300" xr:uid="{00000000-0005-0000-0000-0000F3080000}"/>
    <cellStyle name="_Column1_Fatture Partner_C00210" xfId="2301" xr:uid="{00000000-0005-0000-0000-0000F4080000}"/>
    <cellStyle name="_Column1_Fatture Partner_C00300" xfId="2302" xr:uid="{00000000-0005-0000-0000-0000F5080000}"/>
    <cellStyle name="_Column1_Fatture Partner_C00400" xfId="2303" xr:uid="{00000000-0005-0000-0000-0000F6080000}"/>
    <cellStyle name="_Column1_Fatture Partner_check6" xfId="2304" xr:uid="{00000000-0005-0000-0000-0000F7080000}"/>
    <cellStyle name="_Column1_Fatture Partner_Sheet1" xfId="2305" xr:uid="{00000000-0005-0000-0000-0000F8080000}"/>
    <cellStyle name="_Column1_Fatture Partner_Sheet1 (5)" xfId="2306" xr:uid="{00000000-0005-0000-0000-0000F9080000}"/>
    <cellStyle name="_Column1_Fatture Partner_Sheet2" xfId="2307" xr:uid="{00000000-0005-0000-0000-0000FA080000}"/>
    <cellStyle name="_Column1_Fatture Partner_Sheet3" xfId="2308" xr:uid="{00000000-0005-0000-0000-0000FB080000}"/>
    <cellStyle name="_Column1_Fatture Partner_status" xfId="2309" xr:uid="{00000000-0005-0000-0000-0000FC080000}"/>
    <cellStyle name="_Column1_FCAccuracy_week_0907" xfId="2310" xr:uid="{00000000-0005-0000-0000-0000FD080000}"/>
    <cellStyle name="_Column1_FCAccuracy_week_0907 2" xfId="2311" xr:uid="{00000000-0005-0000-0000-0000FE080000}"/>
    <cellStyle name="_Column1_Feasability requests follow up (2)" xfId="2312" xr:uid="{00000000-0005-0000-0000-0000FF080000}"/>
    <cellStyle name="_Column1_Feasability requests follow up (2) 2" xfId="2313" xr:uid="{00000000-0005-0000-0000-000000090000}"/>
    <cellStyle name="_Column1_Feasibility Request_Diebels" xfId="2314" xr:uid="{00000000-0005-0000-0000-000001090000}"/>
    <cellStyle name="_Column1_Feasibility Request_Diebels_RFFS SUBMISSION TO VPs" xfId="2315" xr:uid="{00000000-0005-0000-0000-000002090000}"/>
    <cellStyle name="_Column1_Feasibility Request_Diebels_RFFS_SUBMISSION_TO_VPs _v2" xfId="2316" xr:uid="{00000000-0005-0000-0000-000003090000}"/>
    <cellStyle name="_Column1_Feasibility Request_Dimix" xfId="2317" xr:uid="{00000000-0005-0000-0000-000004090000}"/>
    <cellStyle name="_Column1_Feasibility Request_Dimix_RFFS SUBMISSION TO VPs" xfId="2318" xr:uid="{00000000-0005-0000-0000-000005090000}"/>
    <cellStyle name="_Column1_Feasibility Request_Dimix_RFFS_SUBMISSION_TO_VPs _v2" xfId="2319" xr:uid="{00000000-0005-0000-0000-000006090000}"/>
    <cellStyle name="_Column1_Feasibility_Request_WE_12322-B" xfId="2320" xr:uid="{00000000-0005-0000-0000-000007090000}"/>
    <cellStyle name="_Column1_Feasibility_Request_WE_12322-B 2" xfId="2321" xr:uid="{00000000-0005-0000-0000-000008090000}"/>
    <cellStyle name="_Column1_Febr ON + DD" xfId="2322" xr:uid="{00000000-0005-0000-0000-000009090000}"/>
    <cellStyle name="_Column1_Float" xfId="2323" xr:uid="{00000000-0005-0000-0000-00000A090000}"/>
    <cellStyle name="_Column1_Float 2" xfId="2324" xr:uid="{00000000-0005-0000-0000-00000B090000}"/>
    <cellStyle name="_Column1_foglio prova" xfId="2325" xr:uid="{00000000-0005-0000-0000-00000C090000}"/>
    <cellStyle name="_Column1_Foglio1" xfId="2326" xr:uid="{00000000-0005-0000-0000-00000D090000}"/>
    <cellStyle name="_Column1_Foglio1 2" xfId="2327" xr:uid="{00000000-0005-0000-0000-00000E090000}"/>
    <cellStyle name="_Column1_Foglio1_1" xfId="2328" xr:uid="{00000000-0005-0000-0000-00000F090000}"/>
    <cellStyle name="_Column1_Foglio1_Agosto 2007 Deck vers 30.8.07" xfId="2329" xr:uid="{00000000-0005-0000-0000-000010090000}"/>
    <cellStyle name="_Column1_Foglio1_Analisi costo venduto" xfId="2330" xr:uid="{00000000-0005-0000-0000-000011090000}"/>
    <cellStyle name="_Column1_Foglio1_Analisi vol ott" xfId="2331" xr:uid="{00000000-0005-0000-0000-000012090000}"/>
    <cellStyle name="_Column1_Foglio1_BACK UP FIGURES for PRESENTATION LE1" xfId="2332" xr:uid="{00000000-0005-0000-0000-000013090000}"/>
    <cellStyle name="_Column1_Foglio1_Budget 2008 commercial plan 121107 after delist (2)" xfId="2333" xr:uid="{00000000-0005-0000-0000-000014090000}"/>
    <cellStyle name="_Column1_Foglio1_Capex x AnnaC (2)" xfId="2334" xr:uid="{00000000-0005-0000-0000-000015090000}"/>
    <cellStyle name="_Column1_Foglio1_Cartel1" xfId="2335" xr:uid="{00000000-0005-0000-0000-000016090000}"/>
    <cellStyle name="_Column1_Foglio1_CC targets july" xfId="2336" xr:uid="{00000000-0005-0000-0000-000017090000}"/>
    <cellStyle name="_Column1_Foglio1_Comm depr SP 08-10" xfId="2337" xr:uid="{00000000-0005-0000-0000-000018090000}"/>
    <cellStyle name="_Column1_Foglio1_DBSET" xfId="2338" xr:uid="{00000000-0005-0000-0000-000019090000}"/>
    <cellStyle name="_Column1_Foglio1_DBSET 2" xfId="2339" xr:uid="{00000000-0005-0000-0000-00001A090000}"/>
    <cellStyle name="_Column1_Foglio1_DBSET_Sheet1" xfId="2340" xr:uid="{00000000-0005-0000-0000-00001B090000}"/>
    <cellStyle name="_Column1_Foglio1_DBSET_SustainingProjectList" xfId="2341" xr:uid="{00000000-0005-0000-0000-00001C090000}"/>
    <cellStyle name="_Column1_Foglio1_Foglio1" xfId="2342" xr:uid="{00000000-0005-0000-0000-00001D090000}"/>
    <cellStyle name="_Column1_Foglio1_LE1 - file x Francesca 19.7.07" xfId="2343" xr:uid="{00000000-0005-0000-0000-00001E090000}"/>
    <cellStyle name="_Column1_Foglio1_LE1 addendum" xfId="2344" xr:uid="{00000000-0005-0000-0000-00001F090000}"/>
    <cellStyle name="_Column1_Foglio1_LEI templates - per Francesca by PPM" xfId="2345" xr:uid="{00000000-0005-0000-0000-000020090000}"/>
    <cellStyle name="_Column1_Foglio1_Listino Off" xfId="2346" xr:uid="{00000000-0005-0000-0000-000021090000}"/>
    <cellStyle name="_Column1_Foglio1_Maco budget" xfId="2347" xr:uid="{00000000-0005-0000-0000-000022090000}"/>
    <cellStyle name="_Column1_Foglio1_Maco LE1 vers 30.4.07" xfId="2348" xr:uid="{00000000-0005-0000-0000-000023090000}"/>
    <cellStyle name="_Column1_Foglio1_MACO On x sku" xfId="2349" xr:uid="{00000000-0005-0000-0000-000024090000}"/>
    <cellStyle name="_Column1_Foglio1_Mens volumi LE1 x BBP" xfId="2350" xr:uid="{00000000-0005-0000-0000-000025090000}"/>
    <cellStyle name="_Column1_Foglio1_Mensilizzazione Off budget 2010" xfId="2351" xr:uid="{00000000-0005-0000-0000-000026090000}"/>
    <cellStyle name="_Column1_Foglio1_On Trade Maco x sku MM YTD Lug (2)" xfId="2352" xr:uid="{00000000-0005-0000-0000-000027090000}"/>
    <cellStyle name="_Column1_Foglio1_S&amp;D Italy Alea Gennaio" xfId="2353" xr:uid="{00000000-0005-0000-0000-000028090000}"/>
    <cellStyle name="_Column1_Foglio1_Sheet1" xfId="2354" xr:uid="{00000000-0005-0000-0000-000029090000}"/>
    <cellStyle name="_Column1_Foglio1_SustainingProjectList" xfId="2355" xr:uid="{00000000-0005-0000-0000-00002A090000}"/>
    <cellStyle name="_Column1_Foglio1_VOLUMES ITALY SP 2008-2010 per PLANNING with STEP-UP" xfId="2356" xr:uid="{00000000-0005-0000-0000-00002B090000}"/>
    <cellStyle name="_Column1_Foglio1_Volumi 2008" xfId="2357" xr:uid="{00000000-0005-0000-0000-00002C090000}"/>
    <cellStyle name="_Column1_Foglio2" xfId="2358" xr:uid="{00000000-0005-0000-0000-00002D090000}"/>
    <cellStyle name="_Column1_Foglio2 2" xfId="2359" xr:uid="{00000000-0005-0000-0000-00002E090000}"/>
    <cellStyle name="_Column1_Foglio2_1" xfId="2360" xr:uid="{00000000-0005-0000-0000-00002F090000}"/>
    <cellStyle name="_Column1_Foglio2_Analisi costo venduto" xfId="2361" xr:uid="{00000000-0005-0000-0000-000030090000}"/>
    <cellStyle name="_Column1_Foglio2_BACK UP FIGURES for PRESENTATION LE1" xfId="2362" xr:uid="{00000000-0005-0000-0000-000031090000}"/>
    <cellStyle name="_Column1_Foglio2_LE1 addendum" xfId="2363" xr:uid="{00000000-0005-0000-0000-000032090000}"/>
    <cellStyle name="_Column1_Foglio2_LEI templates - per Francesca by PPM" xfId="2364" xr:uid="{00000000-0005-0000-0000-000033090000}"/>
    <cellStyle name="_Column1_Foglio2_Maco €-Hls LE1" xfId="2365" xr:uid="{00000000-0005-0000-0000-000034090000}"/>
    <cellStyle name="_Column1_Foglio2_MACO On x sku" xfId="2366" xr:uid="{00000000-0005-0000-0000-000035090000}"/>
    <cellStyle name="_Column1_Foglio2_Sheet1" xfId="2367" xr:uid="{00000000-0005-0000-0000-000036090000}"/>
    <cellStyle name="_Column1_Foglio2_SustainingProjectList" xfId="2368" xr:uid="{00000000-0005-0000-0000-000037090000}"/>
    <cellStyle name="_Column1_Foglio3" xfId="2369" xr:uid="{00000000-0005-0000-0000-000038090000}"/>
    <cellStyle name="_Column1_Foglio3 2" xfId="2370" xr:uid="{00000000-0005-0000-0000-000039090000}"/>
    <cellStyle name="_Column1_Foglio3_1" xfId="2371" xr:uid="{00000000-0005-0000-0000-00003A090000}"/>
    <cellStyle name="_Column1_Foglio3_Analisi vol ott" xfId="2372" xr:uid="{00000000-0005-0000-0000-00003B090000}"/>
    <cellStyle name="_Column1_Foglio3_BACK UP FIGURES for PRESENTATION LE1" xfId="2373" xr:uid="{00000000-0005-0000-0000-00003C090000}"/>
    <cellStyle name="_Column1_Foglio3_Budget 2008 commercial plan 121107 after delist (2)" xfId="2374" xr:uid="{00000000-0005-0000-0000-00003D090000}"/>
    <cellStyle name="_Column1_Foglio3_Cartel1" xfId="2375" xr:uid="{00000000-0005-0000-0000-00003E090000}"/>
    <cellStyle name="_Column1_Foglio3_IN MACO BGT 2010" xfId="2376" xr:uid="{00000000-0005-0000-0000-00003F090000}"/>
    <cellStyle name="_Column1_Foglio3_Maco" xfId="2377" xr:uid="{00000000-0005-0000-0000-000040090000}"/>
    <cellStyle name="_Column1_Foglio3_Maco budget" xfId="2378" xr:uid="{00000000-0005-0000-0000-000041090000}"/>
    <cellStyle name="_Column1_Foglio3_Maco LE1 vers 30.4.07" xfId="2379" xr:uid="{00000000-0005-0000-0000-000042090000}"/>
    <cellStyle name="_Column1_Foglio3_Maco LE1 vers 30.4.07 PER PRESENTAZ" xfId="2380" xr:uid="{00000000-0005-0000-0000-000043090000}"/>
    <cellStyle name="_Column1_Foglio3_Maco riep (2)" xfId="2381" xr:uid="{00000000-0005-0000-0000-000044090000}"/>
    <cellStyle name="_Column1_Foglio3_Maco riep agosto" xfId="2382" xr:uid="{00000000-0005-0000-0000-000045090000}"/>
    <cellStyle name="_Column1_Foglio3_Maco riep luglio" xfId="2383" xr:uid="{00000000-0005-0000-0000-000046090000}"/>
    <cellStyle name="_Column1_Foglio3_Maco_S&amp;D Italy Alea Gennaio" xfId="2384" xr:uid="{00000000-0005-0000-0000-000047090000}"/>
    <cellStyle name="_Column1_Foglio3_Maggio 2007 Deck vers 7.6.07" xfId="2385" xr:uid="{00000000-0005-0000-0000-000048090000}"/>
    <cellStyle name="_Column1_Foglio3_Marzo 2007 Deck vers 16.4.07" xfId="2386" xr:uid="{00000000-0005-0000-0000-000049090000}"/>
    <cellStyle name="_Column1_Foglio3_Mensilizz Volumes On Trade H1_H2_Budget dicembre" xfId="2387" xr:uid="{00000000-0005-0000-0000-00004A090000}"/>
    <cellStyle name="_Column1_Foglio3_New Hp Luca LE'09-BGT'10" xfId="2388" xr:uid="{00000000-0005-0000-0000-00004B090000}"/>
    <cellStyle name="_Column1_Foglio3_On Trade Maco x sku MM YTD Lug (2)" xfId="2389" xr:uid="{00000000-0005-0000-0000-00004C090000}"/>
    <cellStyle name="_Column1_Foglio3_S&amp;D Italy Alea Gennaio" xfId="2390" xr:uid="{00000000-0005-0000-0000-00004D090000}"/>
    <cellStyle name="_Column1_Foglio3_Sheet1" xfId="2391" xr:uid="{00000000-0005-0000-0000-00004E090000}"/>
    <cellStyle name="_Column1_Foglio3_SustainingProjectList" xfId="2392" xr:uid="{00000000-0005-0000-0000-00004F090000}"/>
    <cellStyle name="_Column1_Foglio3_Uncond €_hl OFF" xfId="2393" xr:uid="{00000000-0005-0000-0000-000050090000}"/>
    <cellStyle name="_Column1_Foglio3_VOLUMES ITALY SP 2008-2010 per PLANNING with STEP-UP" xfId="2394" xr:uid="{00000000-0005-0000-0000-000051090000}"/>
    <cellStyle name="_Column1_Foglio3_Volumi 2008" xfId="2395" xr:uid="{00000000-0005-0000-0000-000052090000}"/>
    <cellStyle name="_Column1_Foglio3_Volumi LE1 sku - brand - package" xfId="2396" xr:uid="{00000000-0005-0000-0000-000053090000}"/>
    <cellStyle name="_Column1_Foglio3_Volumi x BU" xfId="2397" xr:uid="{00000000-0005-0000-0000-000054090000}"/>
    <cellStyle name="_Column1_Foglio4" xfId="2398" xr:uid="{00000000-0005-0000-0000-000055090000}"/>
    <cellStyle name="_Column1_Foglio4_Agosto 2007 Deck vers 30.8.07" xfId="2399" xr:uid="{00000000-0005-0000-0000-000056090000}"/>
    <cellStyle name="_Column1_Foglio4_BACK UP FIGURES for PRESENTATION LE1" xfId="2400" xr:uid="{00000000-0005-0000-0000-000057090000}"/>
    <cellStyle name="_Column1_Foglio4_Comm depr SP 08-10" xfId="2401" xr:uid="{00000000-0005-0000-0000-000058090000}"/>
    <cellStyle name="_Column1_Foglio4_LE1 - file x Francesca 19.7.07" xfId="2402" xr:uid="{00000000-0005-0000-0000-000059090000}"/>
    <cellStyle name="_Column1_Foglio4_Maco" xfId="2403" xr:uid="{00000000-0005-0000-0000-00005A090000}"/>
    <cellStyle name="_Column1_Foglio4_Maco LE1 vers 30.4.07" xfId="2404" xr:uid="{00000000-0005-0000-0000-00005B090000}"/>
    <cellStyle name="_Column1_Foglio4_Maco LE1 vers 30.4.07 PER PRESENTAZ" xfId="2405" xr:uid="{00000000-0005-0000-0000-00005C090000}"/>
    <cellStyle name="_Column1_Foglio4_Maco riep (2)" xfId="2406" xr:uid="{00000000-0005-0000-0000-00005D090000}"/>
    <cellStyle name="_Column1_Foglio4_Maco riep agosto" xfId="2407" xr:uid="{00000000-0005-0000-0000-00005E090000}"/>
    <cellStyle name="_Column1_Foglio4_Maco riep luglio" xfId="2408" xr:uid="{00000000-0005-0000-0000-00005F090000}"/>
    <cellStyle name="_Column1_Foglio4_Maco_S&amp;D Italy Alea Gennaio" xfId="2409" xr:uid="{00000000-0005-0000-0000-000060090000}"/>
    <cellStyle name="_Column1_Foglio4_Maggio 2007 Deck vers 7.6.07" xfId="2410" xr:uid="{00000000-0005-0000-0000-000061090000}"/>
    <cellStyle name="_Column1_Foglio4_Marzo 2007 Deck vers 16.4.07" xfId="2411" xr:uid="{00000000-0005-0000-0000-000062090000}"/>
    <cellStyle name="_Column1_Foglio5" xfId="2412" xr:uid="{00000000-0005-0000-0000-000063090000}"/>
    <cellStyle name="_Column1_Foglio5_Agosto 2007 Deck vers 30.8.07" xfId="2413" xr:uid="{00000000-0005-0000-0000-000064090000}"/>
    <cellStyle name="_Column1_Foglio5_BACK UP FIGURES for PRESENTATION LE1" xfId="2414" xr:uid="{00000000-0005-0000-0000-000065090000}"/>
    <cellStyle name="_Column1_Foglio5_Comm depr SP 08-10" xfId="2415" xr:uid="{00000000-0005-0000-0000-000066090000}"/>
    <cellStyle name="_Column1_Foglio5_LE1 - file x Francesca 19.7.07" xfId="2416" xr:uid="{00000000-0005-0000-0000-000067090000}"/>
    <cellStyle name="_Column1_Foglio5_Maco" xfId="2417" xr:uid="{00000000-0005-0000-0000-000068090000}"/>
    <cellStyle name="_Column1_Foglio5_Maco budget" xfId="2418" xr:uid="{00000000-0005-0000-0000-000069090000}"/>
    <cellStyle name="_Column1_Foglio5_Maco LE1 vers 30.4.07" xfId="2419" xr:uid="{00000000-0005-0000-0000-00006A090000}"/>
    <cellStyle name="_Column1_Foglio5_Maco LE1 vers 30.4.07 PER PRESENTAZ" xfId="2420" xr:uid="{00000000-0005-0000-0000-00006B090000}"/>
    <cellStyle name="_Column1_Foglio5_Maco riep (2)" xfId="2421" xr:uid="{00000000-0005-0000-0000-00006C090000}"/>
    <cellStyle name="_Column1_Foglio5_Maco riep agosto" xfId="2422" xr:uid="{00000000-0005-0000-0000-00006D090000}"/>
    <cellStyle name="_Column1_Foglio5_Maco riep luglio" xfId="2423" xr:uid="{00000000-0005-0000-0000-00006E090000}"/>
    <cellStyle name="_Column1_Foglio5_Maco_S&amp;D Italy Alea Gennaio" xfId="2424" xr:uid="{00000000-0005-0000-0000-00006F090000}"/>
    <cellStyle name="_Column1_Foglio5_Maggio 2007 Deck vers 7.6.07" xfId="2425" xr:uid="{00000000-0005-0000-0000-000070090000}"/>
    <cellStyle name="_Column1_Foglio5_Marzo 2007 Deck vers 16.4.07" xfId="2426" xr:uid="{00000000-0005-0000-0000-000071090000}"/>
    <cellStyle name="_Column1_Foglio6" xfId="2427" xr:uid="{00000000-0005-0000-0000-000072090000}"/>
    <cellStyle name="_Column1_FRANGO_Monatsbericht Italy_0611" xfId="2428" xr:uid="{00000000-0005-0000-0000-000073090000}"/>
    <cellStyle name="_Column1_FRANGO_Monatsbericht Italy_0611 2" xfId="2429" xr:uid="{00000000-0005-0000-0000-000074090000}"/>
    <cellStyle name="_Column1_FRANGO_Monatsbericht Italy_0611 3" xfId="2430" xr:uid="{00000000-0005-0000-0000-000075090000}"/>
    <cellStyle name="_Column1_FRANGO_Monatsbericht Italy_0611 3 2" xfId="2431" xr:uid="{00000000-0005-0000-0000-000076090000}"/>
    <cellStyle name="_Column1_FRANGO_Monatsbericht Italy_0611_BB (2)" xfId="2432" xr:uid="{00000000-0005-0000-0000-000077090000}"/>
    <cellStyle name="_Column1_FRANGO_Monatsbericht Italy_0611_C00200" xfId="2433" xr:uid="{00000000-0005-0000-0000-000078090000}"/>
    <cellStyle name="_Column1_FRANGO_Monatsbericht Italy_0611_C00210" xfId="2434" xr:uid="{00000000-0005-0000-0000-000079090000}"/>
    <cellStyle name="_Column1_FRANGO_Monatsbericht Italy_0611_C00300" xfId="2435" xr:uid="{00000000-0005-0000-0000-00007A090000}"/>
    <cellStyle name="_Column1_FRANGO_Monatsbericht Italy_0611_C00400" xfId="2436" xr:uid="{00000000-0005-0000-0000-00007B090000}"/>
    <cellStyle name="_Column1_FRANGO_Monatsbericht Italy_0611_check6" xfId="2437" xr:uid="{00000000-0005-0000-0000-00007C090000}"/>
    <cellStyle name="_Column1_FRANGO_Monatsbericht Italy_0611_Sheet1" xfId="2438" xr:uid="{00000000-0005-0000-0000-00007D090000}"/>
    <cellStyle name="_Column1_FRANGO_Monatsbericht Italy_0611_Sheet1 (5)" xfId="2439" xr:uid="{00000000-0005-0000-0000-00007E090000}"/>
    <cellStyle name="_Column1_FRANGO_Monatsbericht Italy_0611_Sheet2" xfId="2440" xr:uid="{00000000-0005-0000-0000-00007F090000}"/>
    <cellStyle name="_Column1_FRANGO_Monatsbericht Italy_0611_Sheet3" xfId="2441" xr:uid="{00000000-0005-0000-0000-000080090000}"/>
    <cellStyle name="_Column1_FRANGO_Monatsbericht Italy_0611_status" xfId="2442" xr:uid="{00000000-0005-0000-0000-000081090000}"/>
    <cellStyle name="_Column1_Franz demand" xfId="2443" xr:uid="{00000000-0005-0000-0000-000082090000}"/>
    <cellStyle name="_Column1_Franz demand 2" xfId="2444" xr:uid="{00000000-0005-0000-0000-000083090000}"/>
    <cellStyle name="_Column1_Franz demand_Sheet1" xfId="2445" xr:uid="{00000000-0005-0000-0000-000084090000}"/>
    <cellStyle name="_Column1_Franz demand_Sm Proj Cash Flow" xfId="2446" xr:uid="{00000000-0005-0000-0000-000085090000}"/>
    <cellStyle name="_Column1_Franz demand_Spend Detail" xfId="2447" xr:uid="{00000000-0005-0000-0000-000086090000}"/>
    <cellStyle name="_Column1_Franz demand_SustainingProjectList" xfId="2448" xr:uid="{00000000-0005-0000-0000-000087090000}"/>
    <cellStyle name="_Column1_Franz Development" xfId="2449" xr:uid="{00000000-0005-0000-0000-000088090000}"/>
    <cellStyle name="_Column1_Franz Development 2" xfId="2450" xr:uid="{00000000-0005-0000-0000-000089090000}"/>
    <cellStyle name="_Column1_Franz Development_Sheet1" xfId="2451" xr:uid="{00000000-0005-0000-0000-00008A090000}"/>
    <cellStyle name="_Column1_Franz Development_Sm Proj Cash Flow" xfId="2452" xr:uid="{00000000-0005-0000-0000-00008B090000}"/>
    <cellStyle name="_Column1_Franz Development_Spend Detail" xfId="2453" xr:uid="{00000000-0005-0000-0000-00008C090000}"/>
    <cellStyle name="_Column1_Franz Development_SustainingProjectList" xfId="2454" xr:uid="{00000000-0005-0000-0000-00008D090000}"/>
    <cellStyle name="_Column1_Franz Ist" xfId="2455" xr:uid="{00000000-0005-0000-0000-00008E090000}"/>
    <cellStyle name="_Column1_Franz Ist 2" xfId="2456" xr:uid="{00000000-0005-0000-0000-00008F090000}"/>
    <cellStyle name="_Column1_Franz Ist_Sheet1" xfId="2457" xr:uid="{00000000-0005-0000-0000-000090090000}"/>
    <cellStyle name="_Column1_Franz Ist_Sm Proj Cash Flow" xfId="2458" xr:uid="{00000000-0005-0000-0000-000091090000}"/>
    <cellStyle name="_Column1_Franz Ist_Spend Detail" xfId="2459" xr:uid="{00000000-0005-0000-0000-000092090000}"/>
    <cellStyle name="_Column1_Franz Ist_SustainingProjectList" xfId="2460" xr:uid="{00000000-0005-0000-0000-000093090000}"/>
    <cellStyle name="_Column1_Free Worksheet" xfId="2461" xr:uid="{00000000-0005-0000-0000-000094090000}"/>
    <cellStyle name="_Column1_fx" xfId="2462" xr:uid="{00000000-0005-0000-0000-000095090000}"/>
    <cellStyle name="_Column1_fx 2" xfId="2463" xr:uid="{00000000-0005-0000-0000-000096090000}"/>
    <cellStyle name="_Column1_fx 2 2" xfId="2464" xr:uid="{00000000-0005-0000-0000-000097090000}"/>
    <cellStyle name="_Column1_fx 3" xfId="2465" xr:uid="{00000000-0005-0000-0000-000098090000}"/>
    <cellStyle name="_Column1_Gen estr 6.2.07" xfId="2466" xr:uid="{00000000-0005-0000-0000-000099090000}"/>
    <cellStyle name="_Column1_Gen post accrual ON + DD" xfId="2467" xr:uid="{00000000-0005-0000-0000-00009A090000}"/>
    <cellStyle name="_Column1_Gen post accrual ON + DD (2)" xfId="2468" xr:uid="{00000000-0005-0000-0000-00009B090000}"/>
    <cellStyle name="_Column1_Gennaio draft ON + DD" xfId="2469" xr:uid="{00000000-0005-0000-0000-00009C090000}"/>
    <cellStyle name="_Column1_Germany" xfId="2470" xr:uid="{00000000-0005-0000-0000-00009D090000}"/>
    <cellStyle name="_Column1_Germany_brew" xfId="2471" xr:uid="{00000000-0005-0000-0000-00009E090000}"/>
    <cellStyle name="_Column1_Gilde Maco" xfId="2472" xr:uid="{00000000-0005-0000-0000-00009F090000}"/>
    <cellStyle name="_Column1_Gilde Maco 2" xfId="2473" xr:uid="{00000000-0005-0000-0000-0000A0090000}"/>
    <cellStyle name="_Column1_Gilde Maco 2 2" xfId="2474" xr:uid="{00000000-0005-0000-0000-0000A1090000}"/>
    <cellStyle name="_Column1_Gilde Maco_Basis" xfId="2475" xr:uid="{00000000-0005-0000-0000-0000A2090000}"/>
    <cellStyle name="_Column1_Gilde Maco_Basis 2" xfId="2476" xr:uid="{00000000-0005-0000-0000-0000A3090000}"/>
    <cellStyle name="_Column1_Gilde Maco_Basis 2 2" xfId="2477" xr:uid="{00000000-0005-0000-0000-0000A4090000}"/>
    <cellStyle name="_Column1_Gilde Maco_Basis_Sheet1" xfId="2478" xr:uid="{00000000-0005-0000-0000-0000A5090000}"/>
    <cellStyle name="_Column1_Gilde Maco_Basis_Sheet5" xfId="2479" xr:uid="{00000000-0005-0000-0000-0000A6090000}"/>
    <cellStyle name="_Column1_Gilde Maco_Basis_Sm Proj Cash Flow" xfId="2480" xr:uid="{00000000-0005-0000-0000-0000A7090000}"/>
    <cellStyle name="_Column1_Gilde Maco_Basis_Spend Detail" xfId="2481" xr:uid="{00000000-0005-0000-0000-0000A8090000}"/>
    <cellStyle name="_Column1_Gilde Maco_Basis_SustainingProjectList" xfId="2482" xr:uid="{00000000-0005-0000-0000-0000A9090000}"/>
    <cellStyle name="_Column1_Gilde Maco_Sheet1" xfId="2483" xr:uid="{00000000-0005-0000-0000-0000AA090000}"/>
    <cellStyle name="_Column1_Gilde Maco_Sheet5" xfId="2484" xr:uid="{00000000-0005-0000-0000-0000AB090000}"/>
    <cellStyle name="_Column1_Gilde Maco_SKU Volumen" xfId="2485" xr:uid="{00000000-0005-0000-0000-0000AC090000}"/>
    <cellStyle name="_Column1_Gilde Maco_SKU Volumen 2" xfId="2486" xr:uid="{00000000-0005-0000-0000-0000AD090000}"/>
    <cellStyle name="_Column1_Gilde Maco_SKU Volumen_Sheet1" xfId="2487" xr:uid="{00000000-0005-0000-0000-0000AE090000}"/>
    <cellStyle name="_Column1_Gilde Maco_SKU Volumen_Sm Proj Cash Flow" xfId="2488" xr:uid="{00000000-0005-0000-0000-0000AF090000}"/>
    <cellStyle name="_Column1_Gilde Maco_SKU Volumen_Spend Detail" xfId="2489" xr:uid="{00000000-0005-0000-0000-0000B0090000}"/>
    <cellStyle name="_Column1_Gilde Maco_SKU Volumen_SustainingProjectList" xfId="2490" xr:uid="{00000000-0005-0000-0000-0000B1090000}"/>
    <cellStyle name="_Column1_Gilde Maco_Sm Proj Cash Flow" xfId="2491" xr:uid="{00000000-0005-0000-0000-0000B2090000}"/>
    <cellStyle name="_Column1_Gilde Maco_Spend Detail" xfId="2492" xr:uid="{00000000-0005-0000-0000-0000B3090000}"/>
    <cellStyle name="_Column1_Gilde Maco_SustainingProjectList" xfId="2493" xr:uid="{00000000-0005-0000-0000-0000B4090000}"/>
    <cellStyle name="_Column1_Gilde Maco_Tabelle1" xfId="2494" xr:uid="{00000000-0005-0000-0000-0000B5090000}"/>
    <cellStyle name="_Column1_Gilde Maco_Tabelle1 2" xfId="2495" xr:uid="{00000000-0005-0000-0000-0000B6090000}"/>
    <cellStyle name="_Column1_Gilde Maco_Tabelle1_Sheet1" xfId="2496" xr:uid="{00000000-0005-0000-0000-0000B7090000}"/>
    <cellStyle name="_Column1_Gilde Maco_Tabelle1_Sm Proj Cash Flow" xfId="2497" xr:uid="{00000000-0005-0000-0000-0000B8090000}"/>
    <cellStyle name="_Column1_Gilde Maco_Tabelle1_Spend Detail" xfId="2498" xr:uid="{00000000-0005-0000-0000-0000B9090000}"/>
    <cellStyle name="_Column1_Gilde Maco_Tabelle1_SustainingProjectList" xfId="2499" xr:uid="{00000000-0005-0000-0000-0000BA090000}"/>
    <cellStyle name="_Column1_Global_Final_18122006 (2)" xfId="2500" xr:uid="{00000000-0005-0000-0000-0000BB090000}"/>
    <cellStyle name="_Column1_Global_Final_18122006 (2) 2" xfId="2501" xr:uid="{00000000-0005-0000-0000-0000BC090000}"/>
    <cellStyle name="_Column1_Global_Final_18122006 (2)_Sheet1" xfId="2502" xr:uid="{00000000-0005-0000-0000-0000BD090000}"/>
    <cellStyle name="_Column1_Global_Final_18122006 (2)_Sm Proj Cash Flow" xfId="2503" xr:uid="{00000000-0005-0000-0000-0000BE090000}"/>
    <cellStyle name="_Column1_Global_Final_18122006 (2)_Spend Detail" xfId="2504" xr:uid="{00000000-0005-0000-0000-0000BF090000}"/>
    <cellStyle name="_Column1_Global_Final_18122006 (2)_SustainingProjectList" xfId="2505" xr:uid="{00000000-0005-0000-0000-0000C0090000}"/>
    <cellStyle name="_Column1_Hass Dashboard" xfId="2506" xr:uid="{00000000-0005-0000-0000-0000C1090000}"/>
    <cellStyle name="_Column1_Hass Dashboard 2" xfId="2507" xr:uid="{00000000-0005-0000-0000-0000C2090000}"/>
    <cellStyle name="_Column1_Hass Dashboard v1" xfId="2508" xr:uid="{00000000-0005-0000-0000-0000C3090000}"/>
    <cellStyle name="_Column1_Hass Dashboard v1 2" xfId="2509" xr:uid="{00000000-0005-0000-0000-0000C4090000}"/>
    <cellStyle name="_Column1_Hass Dashboard v1_Sheet1" xfId="2510" xr:uid="{00000000-0005-0000-0000-0000C5090000}"/>
    <cellStyle name="_Column1_Hass Dashboard v1_Sm Proj Cash Flow" xfId="2511" xr:uid="{00000000-0005-0000-0000-0000C6090000}"/>
    <cellStyle name="_Column1_Hass Dashboard v1_Spend Detail" xfId="2512" xr:uid="{00000000-0005-0000-0000-0000C7090000}"/>
    <cellStyle name="_Column1_Hass Dashboard v1_SustainingProjectList" xfId="2513" xr:uid="{00000000-0005-0000-0000-0000C8090000}"/>
    <cellStyle name="_Column1_Hass Dashboard_Sheet1" xfId="2514" xr:uid="{00000000-0005-0000-0000-0000C9090000}"/>
    <cellStyle name="_Column1_Hass Dashboard_Sm Proj Cash Flow" xfId="2515" xr:uid="{00000000-0005-0000-0000-0000CA090000}"/>
    <cellStyle name="_Column1_Hass Dashboard_Spend Detail" xfId="2516" xr:uid="{00000000-0005-0000-0000-0000CB090000}"/>
    <cellStyle name="_Column1_Hass Dashboard_SustainingProjectList" xfId="2517" xr:uid="{00000000-0005-0000-0000-0000CC090000}"/>
    <cellStyle name="_Column1_Hasseröder Export Detailplanung nach Wochen Version Radler + Diesel 10.4.2007" xfId="2518" xr:uid="{00000000-0005-0000-0000-0000CD090000}"/>
    <cellStyle name="_Column1_Hasseröder Export Detailplanung nach Wochen Version Radler + Diesel 10.4.2007 2" xfId="2519" xr:uid="{00000000-0005-0000-0000-0000CE090000}"/>
    <cellStyle name="_Column1_Hasseröder Export Detailplanung nach Wochen Version Radler + Diesel 10.4.2007_Sheet1" xfId="2520" xr:uid="{00000000-0005-0000-0000-0000CF090000}"/>
    <cellStyle name="_Column1_Hasseröder Export Detailplanung nach Wochen Version Radler + Diesel 10.4.2007_Sm Proj Cash Flow" xfId="2521" xr:uid="{00000000-0005-0000-0000-0000D0090000}"/>
    <cellStyle name="_Column1_Hasseröder Export Detailplanung nach Wochen Version Radler + Diesel 10.4.2007_Spend Detail" xfId="2522" xr:uid="{00000000-0005-0000-0000-0000D1090000}"/>
    <cellStyle name="_Column1_Hasseröder Export Detailplanung nach Wochen Version Radler + Diesel 10.4.2007_SustainingProjectList" xfId="2523" xr:uid="{00000000-0005-0000-0000-0000D2090000}"/>
    <cellStyle name="_Column1_Hl Feb Alea 22.2.07" xfId="2524" xr:uid="{00000000-0005-0000-0000-0000D3090000}"/>
    <cellStyle name="_Column1_Hl Gen" xfId="2525" xr:uid="{00000000-0005-0000-0000-0000D4090000}"/>
    <cellStyle name="_Column1_Hopfen" xfId="2526" xr:uid="{00000000-0005-0000-0000-0000D5090000}"/>
    <cellStyle name="_Column1_Hopfen 2" xfId="2527" xr:uid="{00000000-0005-0000-0000-0000D6090000}"/>
    <cellStyle name="_Column1_Hopfen 3" xfId="2528" xr:uid="{00000000-0005-0000-0000-0000D7090000}"/>
    <cellStyle name="_Column1_Hopfen 3 2" xfId="2529" xr:uid="{00000000-0005-0000-0000-0000D8090000}"/>
    <cellStyle name="_Column1_Hopfen 3 3" xfId="2530" xr:uid="{00000000-0005-0000-0000-0000D9090000}"/>
    <cellStyle name="_Column1_Hopfen 3 3 2" xfId="2531" xr:uid="{00000000-0005-0000-0000-0000DA090000}"/>
    <cellStyle name="_Column1_Hopfen 4" xfId="2532" xr:uid="{00000000-0005-0000-0000-0000DB090000}"/>
    <cellStyle name="_Column1_Hopfen 4 2" xfId="2533" xr:uid="{00000000-0005-0000-0000-0000DC090000}"/>
    <cellStyle name="_Column1_Hopfen_Sheet5" xfId="2534" xr:uid="{00000000-0005-0000-0000-0000DD090000}"/>
    <cellStyle name="_Column1_IC_purchase" xfId="2535" xr:uid="{00000000-0005-0000-0000-0000DE090000}"/>
    <cellStyle name="_Column1_IDVG Maco" xfId="2536" xr:uid="{00000000-0005-0000-0000-0000DF090000}"/>
    <cellStyle name="_Column1_IDVG Maco 2" xfId="2537" xr:uid="{00000000-0005-0000-0000-0000E0090000}"/>
    <cellStyle name="_Column1_IDVG Maco 2 2" xfId="2538" xr:uid="{00000000-0005-0000-0000-0000E1090000}"/>
    <cellStyle name="_Column1_IDVG Maco_Basis" xfId="2539" xr:uid="{00000000-0005-0000-0000-0000E2090000}"/>
    <cellStyle name="_Column1_IDVG Maco_Basis 2" xfId="2540" xr:uid="{00000000-0005-0000-0000-0000E3090000}"/>
    <cellStyle name="_Column1_IDVG Maco_Basis 2 2" xfId="2541" xr:uid="{00000000-0005-0000-0000-0000E4090000}"/>
    <cellStyle name="_Column1_IDVG Maco_Basis_Sheet1" xfId="2542" xr:uid="{00000000-0005-0000-0000-0000E5090000}"/>
    <cellStyle name="_Column1_IDVG Maco_Basis_Sheet5" xfId="2543" xr:uid="{00000000-0005-0000-0000-0000E6090000}"/>
    <cellStyle name="_Column1_IDVG Maco_Basis_Sm Proj Cash Flow" xfId="2544" xr:uid="{00000000-0005-0000-0000-0000E7090000}"/>
    <cellStyle name="_Column1_IDVG Maco_Basis_Spend Detail" xfId="2545" xr:uid="{00000000-0005-0000-0000-0000E8090000}"/>
    <cellStyle name="_Column1_IDVG Maco_Basis_SustainingProjectList" xfId="2546" xr:uid="{00000000-0005-0000-0000-0000E9090000}"/>
    <cellStyle name="_Column1_IDVG Maco_Sheet1" xfId="2547" xr:uid="{00000000-0005-0000-0000-0000EA090000}"/>
    <cellStyle name="_Column1_IDVG Maco_Sheet5" xfId="2548" xr:uid="{00000000-0005-0000-0000-0000EB090000}"/>
    <cellStyle name="_Column1_IDVG Maco_SKU Volumen" xfId="2549" xr:uid="{00000000-0005-0000-0000-0000EC090000}"/>
    <cellStyle name="_Column1_IDVG Maco_SKU Volumen 2" xfId="2550" xr:uid="{00000000-0005-0000-0000-0000ED090000}"/>
    <cellStyle name="_Column1_IDVG Maco_SKU Volumen_Sheet1" xfId="2551" xr:uid="{00000000-0005-0000-0000-0000EE090000}"/>
    <cellStyle name="_Column1_IDVG Maco_SKU Volumen_Sm Proj Cash Flow" xfId="2552" xr:uid="{00000000-0005-0000-0000-0000EF090000}"/>
    <cellStyle name="_Column1_IDVG Maco_SKU Volumen_Spend Detail" xfId="2553" xr:uid="{00000000-0005-0000-0000-0000F0090000}"/>
    <cellStyle name="_Column1_IDVG Maco_SKU Volumen_SustainingProjectList" xfId="2554" xr:uid="{00000000-0005-0000-0000-0000F1090000}"/>
    <cellStyle name="_Column1_IDVG Maco_Sm Proj Cash Flow" xfId="2555" xr:uid="{00000000-0005-0000-0000-0000F2090000}"/>
    <cellStyle name="_Column1_IDVG Maco_Spend Detail" xfId="2556" xr:uid="{00000000-0005-0000-0000-0000F3090000}"/>
    <cellStyle name="_Column1_IDVG Maco_SustainingProjectList" xfId="2557" xr:uid="{00000000-0005-0000-0000-0000F4090000}"/>
    <cellStyle name="_Column1_IDVG Maco_Tabelle1" xfId="2558" xr:uid="{00000000-0005-0000-0000-0000F5090000}"/>
    <cellStyle name="_Column1_IDVG Maco_Tabelle1 2" xfId="2559" xr:uid="{00000000-0005-0000-0000-0000F6090000}"/>
    <cellStyle name="_Column1_IDVG Maco_Tabelle1_Sheet1" xfId="2560" xr:uid="{00000000-0005-0000-0000-0000F7090000}"/>
    <cellStyle name="_Column1_IDVG Maco_Tabelle1_Sm Proj Cash Flow" xfId="2561" xr:uid="{00000000-0005-0000-0000-0000F8090000}"/>
    <cellStyle name="_Column1_IDVG Maco_Tabelle1_Spend Detail" xfId="2562" xr:uid="{00000000-0005-0000-0000-0000F9090000}"/>
    <cellStyle name="_Column1_IDVG Maco_Tabelle1_SustainingProjectList" xfId="2563" xr:uid="{00000000-0005-0000-0000-0000FA090000}"/>
    <cellStyle name="_Column1_Import Discounts €hl BU08" xfId="2564" xr:uid="{00000000-0005-0000-0000-0000FB090000}"/>
    <cellStyle name="_Column1_Import Discounts €hl BU08 2" xfId="2565" xr:uid="{00000000-0005-0000-0000-0000FC090000}"/>
    <cellStyle name="_Column1_Import Discounts €hl BU08 3" xfId="2566" xr:uid="{00000000-0005-0000-0000-0000FD090000}"/>
    <cellStyle name="_Column1_Import Discounts €hl BU08 3 2" xfId="2567" xr:uid="{00000000-0005-0000-0000-0000FE090000}"/>
    <cellStyle name="_Column1_IN MACO" xfId="2568" xr:uid="{00000000-0005-0000-0000-0000FF090000}"/>
    <cellStyle name="_Column1_IN MACO BGT 2010" xfId="2569" xr:uid="{00000000-0005-0000-0000-0000000A0000}"/>
    <cellStyle name="_Column1_IN MACO BGT 2010 2" xfId="2570" xr:uid="{00000000-0005-0000-0000-0000010A0000}"/>
    <cellStyle name="_Column1_IN MACO BGT 2010 3" xfId="2571" xr:uid="{00000000-0005-0000-0000-0000020A0000}"/>
    <cellStyle name="_Column1_IN MACO BGT 2010 3 2" xfId="2572" xr:uid="{00000000-0005-0000-0000-0000030A0000}"/>
    <cellStyle name="_Column1_IN MACO Ist" xfId="2573" xr:uid="{00000000-0005-0000-0000-0000040A0000}"/>
    <cellStyle name="_Column1_Incollare volumi estr da Alea" xfId="2574" xr:uid="{00000000-0005-0000-0000-0000050A0000}"/>
    <cellStyle name="_Column1_Incollare volumi estr da Alea 2" xfId="2575" xr:uid="{00000000-0005-0000-0000-0000060A0000}"/>
    <cellStyle name="_Column1_Incollare volumi estr da Alea_Sheet1" xfId="2576" xr:uid="{00000000-0005-0000-0000-0000070A0000}"/>
    <cellStyle name="_Column1_Incollare volumi estr da Alea_SustainingProjectList" xfId="2577" xr:uid="{00000000-0005-0000-0000-0000080A0000}"/>
    <cellStyle name="_Column1_Industry Volumes" xfId="2578" xr:uid="{00000000-0005-0000-0000-0000090A0000}"/>
    <cellStyle name="_Column1_Industry Volumes 2" xfId="2579" xr:uid="{00000000-0005-0000-0000-00000A0A0000}"/>
    <cellStyle name="_Column1_Industry Volumes 2 2" xfId="2580" xr:uid="{00000000-0005-0000-0000-00000B0A0000}"/>
    <cellStyle name="_Column1_Industry Volumes 2 2 2" xfId="2581" xr:uid="{00000000-0005-0000-0000-00000C0A0000}"/>
    <cellStyle name="_Column1_Industry Volumes 2 3" xfId="2582" xr:uid="{00000000-0005-0000-0000-00000D0A0000}"/>
    <cellStyle name="_Column1_Industry Volumes 2 3 2" xfId="2583" xr:uid="{00000000-0005-0000-0000-00000E0A0000}"/>
    <cellStyle name="_Column1_Industry Volumes 2 3 3" xfId="2584" xr:uid="{00000000-0005-0000-0000-00000F0A0000}"/>
    <cellStyle name="_Column1_Industry Volumes 2 4" xfId="2585" xr:uid="{00000000-0005-0000-0000-0000100A0000}"/>
    <cellStyle name="_Column1_Industry Volumes 2 5" xfId="2586" xr:uid="{00000000-0005-0000-0000-0000110A0000}"/>
    <cellStyle name="_Column1_Industry Volumes 3" xfId="2587" xr:uid="{00000000-0005-0000-0000-0000120A0000}"/>
    <cellStyle name="_Column1_Industry Volumes 3 2" xfId="2588" xr:uid="{00000000-0005-0000-0000-0000130A0000}"/>
    <cellStyle name="_Column1_Industry Volumes 3 3" xfId="2589" xr:uid="{00000000-0005-0000-0000-0000140A0000}"/>
    <cellStyle name="_Column1_Industry Volumes 3 3 2" xfId="2590" xr:uid="{00000000-0005-0000-0000-0000150A0000}"/>
    <cellStyle name="_Column1_Industry Volumes 4" xfId="2591" xr:uid="{00000000-0005-0000-0000-0000160A0000}"/>
    <cellStyle name="_Column1_Industry Volumes 4 2" xfId="2592" xr:uid="{00000000-0005-0000-0000-0000170A0000}"/>
    <cellStyle name="_Column1_Industry Volumes 4 3" xfId="2593" xr:uid="{00000000-0005-0000-0000-0000180A0000}"/>
    <cellStyle name="_Column1_Industry Volumes 5" xfId="2594" xr:uid="{00000000-0005-0000-0000-0000190A0000}"/>
    <cellStyle name="_Column1_Industry Volumes 6" xfId="2595" xr:uid="{00000000-0005-0000-0000-00001A0A0000}"/>
    <cellStyle name="_Column1_Industry Volumes_Sheet1" xfId="2596" xr:uid="{00000000-0005-0000-0000-00001B0A0000}"/>
    <cellStyle name="_Column1_Industry Volumes_Sm Proj Cash Flow" xfId="2597" xr:uid="{00000000-0005-0000-0000-00001C0A0000}"/>
    <cellStyle name="_Column1_Industry Volumes_Spend Detail" xfId="2598" xr:uid="{00000000-0005-0000-0000-00001D0A0000}"/>
    <cellStyle name="_Column1_Industry Volumes_SustainingProjectList" xfId="2599" xr:uid="{00000000-0005-0000-0000-00001E0A0000}"/>
    <cellStyle name="_Column1_innovation volumi" xfId="2600" xr:uid="{00000000-0005-0000-0000-00001F0A0000}"/>
    <cellStyle name="_Column1_INPUT" xfId="2601" xr:uid="{00000000-0005-0000-0000-0000200A0000}"/>
    <cellStyle name="_Column1_INPUT 2" xfId="2602" xr:uid="{00000000-0005-0000-0000-0000210A0000}"/>
    <cellStyle name="_Column1_INPUT_Sheet1" xfId="2603" xr:uid="{00000000-0005-0000-0000-0000220A0000}"/>
    <cellStyle name="_Column1_INPUT_SustainingProjectList" xfId="2604" xr:uid="{00000000-0005-0000-0000-0000230A0000}"/>
    <cellStyle name="_Column1_IS Inbev 4.6.07" xfId="2605" xr:uid="{00000000-0005-0000-0000-0000240A0000}"/>
    <cellStyle name="_Column1_IS Inbev 6.6.07" xfId="2606" xr:uid="{00000000-0005-0000-0000-0000250A0000}"/>
    <cellStyle name="_Column1_IS Inbev 6.7.07" xfId="2607" xr:uid="{00000000-0005-0000-0000-0000260A0000}"/>
    <cellStyle name="_Column1_IS Inbev estraz ..." xfId="2608" xr:uid="{00000000-0005-0000-0000-0000270A0000}"/>
    <cellStyle name="_Column1_IS Inbev estraz 6.8.07" xfId="2609" xr:uid="{00000000-0005-0000-0000-0000280A0000}"/>
    <cellStyle name="_Column1_IS LE1 ricevuto da On Trade" xfId="2610" xr:uid="{00000000-0005-0000-0000-0000290A0000}"/>
    <cellStyle name="_Column1_IS LE1 ricevuto da On Trade 2" xfId="2611" xr:uid="{00000000-0005-0000-0000-00002A0A0000}"/>
    <cellStyle name="_Column1_IS LE1 ricevuto da On Trade 3" xfId="2612" xr:uid="{00000000-0005-0000-0000-00002B0A0000}"/>
    <cellStyle name="_Column1_IS LE1 ricevuto da On Trade 3 2" xfId="2613" xr:uid="{00000000-0005-0000-0000-00002C0A0000}"/>
    <cellStyle name="_Column1_IS LE1 ricevuto da On Trade_BB (2)" xfId="2614" xr:uid="{00000000-0005-0000-0000-00002D0A0000}"/>
    <cellStyle name="_Column1_IS LE1 ricevuto da On Trade_C00200" xfId="2615" xr:uid="{00000000-0005-0000-0000-00002E0A0000}"/>
    <cellStyle name="_Column1_IS LE1 ricevuto da On Trade_C00210" xfId="2616" xr:uid="{00000000-0005-0000-0000-00002F0A0000}"/>
    <cellStyle name="_Column1_IS LE1 ricevuto da On Trade_C00300" xfId="2617" xr:uid="{00000000-0005-0000-0000-0000300A0000}"/>
    <cellStyle name="_Column1_IS LE1 ricevuto da On Trade_C00400" xfId="2618" xr:uid="{00000000-0005-0000-0000-0000310A0000}"/>
    <cellStyle name="_Column1_IS LE1 ricevuto da On Trade_check6" xfId="2619" xr:uid="{00000000-0005-0000-0000-0000320A0000}"/>
    <cellStyle name="_Column1_IS LE1 ricevuto da On Trade_Sheet1" xfId="2620" xr:uid="{00000000-0005-0000-0000-0000330A0000}"/>
    <cellStyle name="_Column1_IS LE1 ricevuto da On Trade_Sheet1 (5)" xfId="2621" xr:uid="{00000000-0005-0000-0000-0000340A0000}"/>
    <cellStyle name="_Column1_IS LE1 ricevuto da On Trade_Sheet2" xfId="2622" xr:uid="{00000000-0005-0000-0000-0000350A0000}"/>
    <cellStyle name="_Column1_IS LE1 ricevuto da On Trade_Sheet3" xfId="2623" xr:uid="{00000000-0005-0000-0000-0000360A0000}"/>
    <cellStyle name="_Column1_IS LE1 ricevuto da On Trade_status" xfId="2624" xr:uid="{00000000-0005-0000-0000-0000370A0000}"/>
    <cellStyle name="_Column1_IT_TR2 (Maco YTD Giu)" xfId="2625" xr:uid="{00000000-0005-0000-0000-0000380A0000}"/>
    <cellStyle name="_Column1_IT_TR2 (Maco YTD Giu) 2" xfId="2626" xr:uid="{00000000-0005-0000-0000-0000390A0000}"/>
    <cellStyle name="_Column1_IT_TR2 (Maco YTD Giu)_Sheet1" xfId="2627" xr:uid="{00000000-0005-0000-0000-00003A0A0000}"/>
    <cellStyle name="_Column1_IT_TR2 (Maco YTD Giu)_Sm Proj Cash Flow" xfId="2628" xr:uid="{00000000-0005-0000-0000-00003B0A0000}"/>
    <cellStyle name="_Column1_IT_TR2 (Maco YTD Giu)_Spend Detail" xfId="2629" xr:uid="{00000000-0005-0000-0000-00003C0A0000}"/>
    <cellStyle name="_Column1_IT_TR2 (Maco YTD Giu)_SustainingProjectList" xfId="2630" xr:uid="{00000000-0005-0000-0000-00003D0A0000}"/>
    <cellStyle name="_Column1_June draft ON + DD" xfId="2631" xr:uid="{00000000-0005-0000-0000-00003E0A0000}"/>
    <cellStyle name="_Column1_June ON +DD" xfId="2632" xr:uid="{00000000-0005-0000-0000-00003F0A0000}"/>
    <cellStyle name="_Column1_JW_Absätze aus diversen MACO-Würfeln" xfId="2633" xr:uid="{00000000-0005-0000-0000-0000400A0000}"/>
    <cellStyle name="_Column1_JW_Absätze aus diversen MACO-Würfeln 2" xfId="2634" xr:uid="{00000000-0005-0000-0000-0000410A0000}"/>
    <cellStyle name="_Column1_JW_Absätze aus diversen MACO-Würfeln 2 2" xfId="2635" xr:uid="{00000000-0005-0000-0000-0000420A0000}"/>
    <cellStyle name="_Column1_JW_Absätze aus diversen MACO-Würfeln_Sheet1" xfId="2636" xr:uid="{00000000-0005-0000-0000-0000430A0000}"/>
    <cellStyle name="_Column1_JW_Absätze aus diversen MACO-Würfeln_Sheet5" xfId="2637" xr:uid="{00000000-0005-0000-0000-0000440A0000}"/>
    <cellStyle name="_Column1_JW_Absätze aus diversen MACO-Würfeln_Sm Proj Cash Flow" xfId="2638" xr:uid="{00000000-0005-0000-0000-0000450A0000}"/>
    <cellStyle name="_Column1_JW_Absätze aus diversen MACO-Würfeln_Spend Detail" xfId="2639" xr:uid="{00000000-0005-0000-0000-0000460A0000}"/>
    <cellStyle name="_Column1_JW_Absätze aus diversen MACO-Würfeln_SustainingProjectList" xfId="2640" xr:uid="{00000000-0005-0000-0000-0000470A0000}"/>
    <cellStyle name="_Column1_K01 Budget'07 mens" xfId="2641" xr:uid="{00000000-0005-0000-0000-0000480A0000}"/>
    <cellStyle name="_Column1_K01 Budget'07 mens 2" xfId="2642" xr:uid="{00000000-0005-0000-0000-0000490A0000}"/>
    <cellStyle name="_Column1_K01 Budget'07 mens 3" xfId="2643" xr:uid="{00000000-0005-0000-0000-00004A0A0000}"/>
    <cellStyle name="_Column1_K01 Budget'07 mens 3 2" xfId="2644" xr:uid="{00000000-0005-0000-0000-00004B0A0000}"/>
    <cellStyle name="_Column1_K01 Budget'07 mens_BB (2)" xfId="2645" xr:uid="{00000000-0005-0000-0000-00004C0A0000}"/>
    <cellStyle name="_Column1_K01 Budget'07 mens_C00200" xfId="2646" xr:uid="{00000000-0005-0000-0000-00004D0A0000}"/>
    <cellStyle name="_Column1_K01 Budget'07 mens_C00210" xfId="2647" xr:uid="{00000000-0005-0000-0000-00004E0A0000}"/>
    <cellStyle name="_Column1_K01 Budget'07 mens_C00300" xfId="2648" xr:uid="{00000000-0005-0000-0000-00004F0A0000}"/>
    <cellStyle name="_Column1_K01 Budget'07 mens_C00400" xfId="2649" xr:uid="{00000000-0005-0000-0000-0000500A0000}"/>
    <cellStyle name="_Column1_K01 Budget'07 mens_check6" xfId="2650" xr:uid="{00000000-0005-0000-0000-0000510A0000}"/>
    <cellStyle name="_Column1_K01 Budget'07 mens_Sheet1" xfId="2651" xr:uid="{00000000-0005-0000-0000-0000520A0000}"/>
    <cellStyle name="_Column1_K01 Budget'07 mens_Sheet1 (5)" xfId="2652" xr:uid="{00000000-0005-0000-0000-0000530A0000}"/>
    <cellStyle name="_Column1_K01 Budget'07 mens_Sheet2" xfId="2653" xr:uid="{00000000-0005-0000-0000-0000540A0000}"/>
    <cellStyle name="_Column1_K01 Budget'07 mens_Sheet3" xfId="2654" xr:uid="{00000000-0005-0000-0000-0000550A0000}"/>
    <cellStyle name="_Column1_K01 Budget'07 mens_status" xfId="2655" xr:uid="{00000000-0005-0000-0000-0000560A0000}"/>
    <cellStyle name="_Column1_K01 January 07" xfId="2656" xr:uid="{00000000-0005-0000-0000-0000570A0000}"/>
    <cellStyle name="_Column1_K01 January 07 2" xfId="2657" xr:uid="{00000000-0005-0000-0000-0000580A0000}"/>
    <cellStyle name="_Column1_K01 January 07 3" xfId="2658" xr:uid="{00000000-0005-0000-0000-0000590A0000}"/>
    <cellStyle name="_Column1_K01 January 07 3 2" xfId="2659" xr:uid="{00000000-0005-0000-0000-00005A0A0000}"/>
    <cellStyle name="_Column1_K01 January 07_BB (2)" xfId="2660" xr:uid="{00000000-0005-0000-0000-00005B0A0000}"/>
    <cellStyle name="_Column1_K01 January 07_C00200" xfId="2661" xr:uid="{00000000-0005-0000-0000-00005C0A0000}"/>
    <cellStyle name="_Column1_K01 January 07_C00210" xfId="2662" xr:uid="{00000000-0005-0000-0000-00005D0A0000}"/>
    <cellStyle name="_Column1_K01 January 07_C00300" xfId="2663" xr:uid="{00000000-0005-0000-0000-00005E0A0000}"/>
    <cellStyle name="_Column1_K01 January 07_C00400" xfId="2664" xr:uid="{00000000-0005-0000-0000-00005F0A0000}"/>
    <cellStyle name="_Column1_K01 January 07_check6" xfId="2665" xr:uid="{00000000-0005-0000-0000-0000600A0000}"/>
    <cellStyle name="_Column1_K01 January 07_Sheet1" xfId="2666" xr:uid="{00000000-0005-0000-0000-0000610A0000}"/>
    <cellStyle name="_Column1_K01 January 07_Sheet1 (5)" xfId="2667" xr:uid="{00000000-0005-0000-0000-0000620A0000}"/>
    <cellStyle name="_Column1_K01 January 07_Sheet2" xfId="2668" xr:uid="{00000000-0005-0000-0000-0000630A0000}"/>
    <cellStyle name="_Column1_K01 January 07_Sheet3" xfId="2669" xr:uid="{00000000-0005-0000-0000-0000640A0000}"/>
    <cellStyle name="_Column1_K01 January 07_status" xfId="2670" xr:uid="{00000000-0005-0000-0000-0000650A0000}"/>
    <cellStyle name="_Column1_K01 March 07" xfId="2671" xr:uid="{00000000-0005-0000-0000-0000660A0000}"/>
    <cellStyle name="_Column1_K01 March 07 2" xfId="2672" xr:uid="{00000000-0005-0000-0000-0000670A0000}"/>
    <cellStyle name="_Column1_K01 March 07 3" xfId="2673" xr:uid="{00000000-0005-0000-0000-0000680A0000}"/>
    <cellStyle name="_Column1_K01 March 07 3 2" xfId="2674" xr:uid="{00000000-0005-0000-0000-0000690A0000}"/>
    <cellStyle name="_Column1_K01 March 07_BB (2)" xfId="2675" xr:uid="{00000000-0005-0000-0000-00006A0A0000}"/>
    <cellStyle name="_Column1_K01 March 07_C00200" xfId="2676" xr:uid="{00000000-0005-0000-0000-00006B0A0000}"/>
    <cellStyle name="_Column1_K01 March 07_C00210" xfId="2677" xr:uid="{00000000-0005-0000-0000-00006C0A0000}"/>
    <cellStyle name="_Column1_K01 March 07_C00300" xfId="2678" xr:uid="{00000000-0005-0000-0000-00006D0A0000}"/>
    <cellStyle name="_Column1_K01 March 07_C00400" xfId="2679" xr:uid="{00000000-0005-0000-0000-00006E0A0000}"/>
    <cellStyle name="_Column1_K01 March 07_check6" xfId="2680" xr:uid="{00000000-0005-0000-0000-00006F0A0000}"/>
    <cellStyle name="_Column1_K01 March 07_Sheet1" xfId="2681" xr:uid="{00000000-0005-0000-0000-0000700A0000}"/>
    <cellStyle name="_Column1_K01 March 07_Sheet1 (5)" xfId="2682" xr:uid="{00000000-0005-0000-0000-0000710A0000}"/>
    <cellStyle name="_Column1_K01 March 07_Sheet2" xfId="2683" xr:uid="{00000000-0005-0000-0000-0000720A0000}"/>
    <cellStyle name="_Column1_K01 March 07_Sheet3" xfId="2684" xr:uid="{00000000-0005-0000-0000-0000730A0000}"/>
    <cellStyle name="_Column1_K01 March 07_status" xfId="2685" xr:uid="{00000000-0005-0000-0000-0000740A0000}"/>
    <cellStyle name="_Column1_KK_3YP Model S&amp;D Stand 3.7.07" xfId="2686" xr:uid="{00000000-0005-0000-0000-0000750A0000}"/>
    <cellStyle name="_Column1_KK_3YP Model S&amp;D Stand 3.7.07 2" xfId="2687" xr:uid="{00000000-0005-0000-0000-0000760A0000}"/>
    <cellStyle name="_Column1_KK_3YP Model S&amp;D Stand 3.7.07 2 2" xfId="2688" xr:uid="{00000000-0005-0000-0000-0000770A0000}"/>
    <cellStyle name="_Column1_KK_3YP Model S&amp;D Stand 3.7.07 2 2 2" xfId="2689" xr:uid="{00000000-0005-0000-0000-0000780A0000}"/>
    <cellStyle name="_Column1_KK_3YP Model S&amp;D Stand 3.7.07 2 3" xfId="2690" xr:uid="{00000000-0005-0000-0000-0000790A0000}"/>
    <cellStyle name="_Column1_KK_3YP Model S&amp;D Stand 3.7.07 2 3 2" xfId="2691" xr:uid="{00000000-0005-0000-0000-00007A0A0000}"/>
    <cellStyle name="_Column1_KK_3YP Model S&amp;D Stand 3.7.07 2 3 3" xfId="2692" xr:uid="{00000000-0005-0000-0000-00007B0A0000}"/>
    <cellStyle name="_Column1_KK_3YP Model S&amp;D Stand 3.7.07 2 4" xfId="2693" xr:uid="{00000000-0005-0000-0000-00007C0A0000}"/>
    <cellStyle name="_Column1_KK_3YP Model S&amp;D Stand 3.7.07 2 5" xfId="2694" xr:uid="{00000000-0005-0000-0000-00007D0A0000}"/>
    <cellStyle name="_Column1_KK_3YP Model S&amp;D Stand 3.7.07 3" xfId="2695" xr:uid="{00000000-0005-0000-0000-00007E0A0000}"/>
    <cellStyle name="_Column1_KK_3YP Model S&amp;D Stand 3.7.07 3 2" xfId="2696" xr:uid="{00000000-0005-0000-0000-00007F0A0000}"/>
    <cellStyle name="_Column1_KK_3YP Model S&amp;D Stand 3.7.07 3 3" xfId="2697" xr:uid="{00000000-0005-0000-0000-0000800A0000}"/>
    <cellStyle name="_Column1_KK_3YP Model S&amp;D Stand 3.7.07 3 3 2" xfId="2698" xr:uid="{00000000-0005-0000-0000-0000810A0000}"/>
    <cellStyle name="_Column1_KK_3YP Model S&amp;D Stand 3.7.07 4" xfId="2699" xr:uid="{00000000-0005-0000-0000-0000820A0000}"/>
    <cellStyle name="_Column1_KK_3YP Model S&amp;D Stand 3.7.07 4 2" xfId="2700" xr:uid="{00000000-0005-0000-0000-0000830A0000}"/>
    <cellStyle name="_Column1_KK_3YP Model S&amp;D Stand 3.7.07 4 3" xfId="2701" xr:uid="{00000000-0005-0000-0000-0000840A0000}"/>
    <cellStyle name="_Column1_KK_3YP Model S&amp;D Stand 3.7.07 5" xfId="2702" xr:uid="{00000000-0005-0000-0000-0000850A0000}"/>
    <cellStyle name="_Column1_KK_3YP Model S&amp;D Stand 3.7.07 6" xfId="2703" xr:uid="{00000000-0005-0000-0000-0000860A0000}"/>
    <cellStyle name="_Column1_KK_3YP Model S&amp;D Stand 3.7.07_Sheet1" xfId="2704" xr:uid="{00000000-0005-0000-0000-0000870A0000}"/>
    <cellStyle name="_Column1_KK_3YP Model S&amp;D Stand 3.7.07_Sm Proj Cash Flow" xfId="2705" xr:uid="{00000000-0005-0000-0000-0000880A0000}"/>
    <cellStyle name="_Column1_KK_3YP Model S&amp;D Stand 3.7.07_Spend Detail" xfId="2706" xr:uid="{00000000-0005-0000-0000-0000890A0000}"/>
    <cellStyle name="_Column1_KK_3YP Model S&amp;D Stand 3.7.07_SustainingProjectList" xfId="2707" xr:uid="{00000000-0005-0000-0000-00008A0A0000}"/>
    <cellStyle name="_Column1_KTN Germ x deck" xfId="2708" xr:uid="{00000000-0005-0000-0000-00008B0A0000}"/>
    <cellStyle name="_Column1_KTN ITW x deck" xfId="2709" xr:uid="{00000000-0005-0000-0000-00008C0A0000}"/>
    <cellStyle name="_Column1_LE 1 On Trade" xfId="2710" xr:uid="{00000000-0005-0000-0000-00008D0A0000}"/>
    <cellStyle name="_Column1_LE1" xfId="2711" xr:uid="{00000000-0005-0000-0000-00008E0A0000}"/>
    <cellStyle name="_Column1_LE1 2" xfId="2712" xr:uid="{00000000-0005-0000-0000-00008F0A0000}"/>
    <cellStyle name="_Column1_LE1 2007" xfId="2713" xr:uid="{00000000-0005-0000-0000-0000900A0000}"/>
    <cellStyle name="_Column1_LE1 3" xfId="2714" xr:uid="{00000000-0005-0000-0000-0000910A0000}"/>
    <cellStyle name="_Column1_LE1 3 2" xfId="2715" xr:uid="{00000000-0005-0000-0000-0000920A0000}"/>
    <cellStyle name="_Column1_LE1 3 3" xfId="2716" xr:uid="{00000000-0005-0000-0000-0000930A0000}"/>
    <cellStyle name="_Column1_LE1 3 3 2" xfId="2717" xr:uid="{00000000-0005-0000-0000-0000940A0000}"/>
    <cellStyle name="_Column1_LE1 4" xfId="2718" xr:uid="{00000000-0005-0000-0000-0000950A0000}"/>
    <cellStyle name="_Column1_LE1 4 2" xfId="2719" xr:uid="{00000000-0005-0000-0000-0000960A0000}"/>
    <cellStyle name="_Column1_LE1 controllo ZBB vers 27.4.07 bis" xfId="2720" xr:uid="{00000000-0005-0000-0000-0000970A0000}"/>
    <cellStyle name="_Column1_LE1_Sheet5" xfId="2721" xr:uid="{00000000-0005-0000-0000-0000980A0000}"/>
    <cellStyle name="_Column1_lease_fees_transport" xfId="2722" xr:uid="{00000000-0005-0000-0000-0000990A0000}"/>
    <cellStyle name="_Column1_LEI templates - per Francesca by PPM" xfId="2723" xr:uid="{00000000-0005-0000-0000-00009A0A0000}"/>
    <cellStyle name="_Column1_LEI templates - per Francesca by PPM 2" xfId="2724" xr:uid="{00000000-0005-0000-0000-00009B0A0000}"/>
    <cellStyle name="_Column1_LEI templates - per Francesca by PPM 3" xfId="2725" xr:uid="{00000000-0005-0000-0000-00009C0A0000}"/>
    <cellStyle name="_Column1_LEI templates - per Francesca by PPM 3 2" xfId="2726" xr:uid="{00000000-0005-0000-0000-00009D0A0000}"/>
    <cellStyle name="_Column1_LEI templates - per Francesca by PPM_BB (2)" xfId="2727" xr:uid="{00000000-0005-0000-0000-00009E0A0000}"/>
    <cellStyle name="_Column1_LEI templates - per Francesca by PPM_C00200" xfId="2728" xr:uid="{00000000-0005-0000-0000-00009F0A0000}"/>
    <cellStyle name="_Column1_LEI templates - per Francesca by PPM_C00210" xfId="2729" xr:uid="{00000000-0005-0000-0000-0000A00A0000}"/>
    <cellStyle name="_Column1_LEI templates - per Francesca by PPM_C00300" xfId="2730" xr:uid="{00000000-0005-0000-0000-0000A10A0000}"/>
    <cellStyle name="_Column1_LEI templates - per Francesca by PPM_C00400" xfId="2731" xr:uid="{00000000-0005-0000-0000-0000A20A0000}"/>
    <cellStyle name="_Column1_LEI templates - per Francesca by PPM_check6" xfId="2732" xr:uid="{00000000-0005-0000-0000-0000A30A0000}"/>
    <cellStyle name="_Column1_LEI templates - per Francesca by PPM_Sheet1" xfId="2733" xr:uid="{00000000-0005-0000-0000-0000A40A0000}"/>
    <cellStyle name="_Column1_LEI templates - per Francesca by PPM_Sheet1 (5)" xfId="2734" xr:uid="{00000000-0005-0000-0000-0000A50A0000}"/>
    <cellStyle name="_Column1_LEI templates - per Francesca by PPM_Sheet2" xfId="2735" xr:uid="{00000000-0005-0000-0000-0000A60A0000}"/>
    <cellStyle name="_Column1_LEI templates - per Francesca by PPM_Sheet3" xfId="2736" xr:uid="{00000000-0005-0000-0000-0000A70A0000}"/>
    <cellStyle name="_Column1_LEI templates - per Francesca by PPM_status" xfId="2737" xr:uid="{00000000-0005-0000-0000-0000A80A0000}"/>
    <cellStyle name="_Column1_loop ist energie" xfId="2738" xr:uid="{00000000-0005-0000-0000-0000A90A0000}"/>
    <cellStyle name="_Column1_loop ist energie 2" xfId="2739" xr:uid="{00000000-0005-0000-0000-0000AA0A0000}"/>
    <cellStyle name="_Column1_loop ist energie 3" xfId="2740" xr:uid="{00000000-0005-0000-0000-0000AB0A0000}"/>
    <cellStyle name="_Column1_loop ist energie 3 2" xfId="2741" xr:uid="{00000000-0005-0000-0000-0000AC0A0000}"/>
    <cellStyle name="_Column1_loop ist energie 3 3" xfId="2742" xr:uid="{00000000-0005-0000-0000-0000AD0A0000}"/>
    <cellStyle name="_Column1_loop ist energie 3 3 2" xfId="2743" xr:uid="{00000000-0005-0000-0000-0000AE0A0000}"/>
    <cellStyle name="_Column1_loop ist energie 4" xfId="2744" xr:uid="{00000000-0005-0000-0000-0000AF0A0000}"/>
    <cellStyle name="_Column1_loop ist energie 4 2" xfId="2745" xr:uid="{00000000-0005-0000-0000-0000B00A0000}"/>
    <cellStyle name="_Column1_loop ist energie_Sheet5" xfId="2746" xr:uid="{00000000-0005-0000-0000-0000B10A0000}"/>
    <cellStyle name="_Column1_MACO 2008 bdg" xfId="2747" xr:uid="{00000000-0005-0000-0000-0000B20A0000}"/>
    <cellStyle name="_Column1_Maco budget 2007 On Trade" xfId="2748" xr:uid="{00000000-0005-0000-0000-0000B30A0000}"/>
    <cellStyle name="_Column1_MACO Budget 2008  (2)" xfId="2749" xr:uid="{00000000-0005-0000-0000-0000B40A0000}"/>
    <cellStyle name="_Column1_MACO Gen 2008 " xfId="2750" xr:uid="{00000000-0005-0000-0000-0000B50A0000}"/>
    <cellStyle name="_Column1_Maco IN MACO e ITW" xfId="2751" xr:uid="{00000000-0005-0000-0000-0000B60A0000}"/>
    <cellStyle name="_Column1_Maco IN MACO e ITW Feb" xfId="2752" xr:uid="{00000000-0005-0000-0000-0000B70A0000}"/>
    <cellStyle name="_Column1_Maco L2" xfId="2753" xr:uid="{00000000-0005-0000-0000-0000B80A0000}"/>
    <cellStyle name="_Column1_Maco LE1 vers 30.4.07" xfId="2754" xr:uid="{00000000-0005-0000-0000-0000B90A0000}"/>
    <cellStyle name="_Column1_Maco LE1 vers 30.4.07 PER PRESENTAZ" xfId="2755" xr:uid="{00000000-0005-0000-0000-0000BA0A0000}"/>
    <cellStyle name="_Column1_MACO waterfall feb'07" xfId="2756" xr:uid="{00000000-0005-0000-0000-0000BB0A0000}"/>
    <cellStyle name="_Column1_MACO waterfall feb'07 2" xfId="2757" xr:uid="{00000000-0005-0000-0000-0000BC0A0000}"/>
    <cellStyle name="_Column1_MACO waterfall feb'07 3" xfId="2758" xr:uid="{00000000-0005-0000-0000-0000BD0A0000}"/>
    <cellStyle name="_Column1_MACO waterfall feb'07 3 2" xfId="2759" xr:uid="{00000000-0005-0000-0000-0000BE0A0000}"/>
    <cellStyle name="_Column1_MACO waterfall feb'07_BB (2)" xfId="2760" xr:uid="{00000000-0005-0000-0000-0000BF0A0000}"/>
    <cellStyle name="_Column1_MACO waterfall feb'07_C00200" xfId="2761" xr:uid="{00000000-0005-0000-0000-0000C00A0000}"/>
    <cellStyle name="_Column1_MACO waterfall feb'07_C00210" xfId="2762" xr:uid="{00000000-0005-0000-0000-0000C10A0000}"/>
    <cellStyle name="_Column1_MACO waterfall feb'07_C00300" xfId="2763" xr:uid="{00000000-0005-0000-0000-0000C20A0000}"/>
    <cellStyle name="_Column1_MACO waterfall feb'07_C00400" xfId="2764" xr:uid="{00000000-0005-0000-0000-0000C30A0000}"/>
    <cellStyle name="_Column1_MACO waterfall feb'07_check6" xfId="2765" xr:uid="{00000000-0005-0000-0000-0000C40A0000}"/>
    <cellStyle name="_Column1_MACO waterfall feb'07_Sheet1" xfId="2766" xr:uid="{00000000-0005-0000-0000-0000C50A0000}"/>
    <cellStyle name="_Column1_MACO waterfall feb'07_Sheet1 (5)" xfId="2767" xr:uid="{00000000-0005-0000-0000-0000C60A0000}"/>
    <cellStyle name="_Column1_MACO waterfall feb'07_Sheet2" xfId="2768" xr:uid="{00000000-0005-0000-0000-0000C70A0000}"/>
    <cellStyle name="_Column1_MACO waterfall feb'07_Sheet3" xfId="2769" xr:uid="{00000000-0005-0000-0000-0000C80A0000}"/>
    <cellStyle name="_Column1_MACO waterfall feb'07_status" xfId="2770" xr:uid="{00000000-0005-0000-0000-0000C90A0000}"/>
    <cellStyle name="_Column1_Mappe2" xfId="2771" xr:uid="{00000000-0005-0000-0000-0000CA0A0000}"/>
    <cellStyle name="_Column1_Mappe2 2" xfId="2772" xr:uid="{00000000-0005-0000-0000-0000CB0A0000}"/>
    <cellStyle name="_Column1_Mar ON + DD" xfId="2773" xr:uid="{00000000-0005-0000-0000-0000CC0A0000}"/>
    <cellStyle name="_Column1_Mark up Ist" xfId="2774" xr:uid="{00000000-0005-0000-0000-0000CD0A0000}"/>
    <cellStyle name="_Column1_Mark up Ist 2" xfId="2775" xr:uid="{00000000-0005-0000-0000-0000CE0A0000}"/>
    <cellStyle name="_Column1_Mark up Ist 3" xfId="2776" xr:uid="{00000000-0005-0000-0000-0000CF0A0000}"/>
    <cellStyle name="_Column1_Mark up Ist 3 2" xfId="2777" xr:uid="{00000000-0005-0000-0000-0000D00A0000}"/>
    <cellStyle name="_Column1_Mark up Ist_BB (2)" xfId="2778" xr:uid="{00000000-0005-0000-0000-0000D10A0000}"/>
    <cellStyle name="_Column1_Mark up Ist_C00200" xfId="2779" xr:uid="{00000000-0005-0000-0000-0000D20A0000}"/>
    <cellStyle name="_Column1_Mark up Ist_C00210" xfId="2780" xr:uid="{00000000-0005-0000-0000-0000D30A0000}"/>
    <cellStyle name="_Column1_Mark up Ist_C00300" xfId="2781" xr:uid="{00000000-0005-0000-0000-0000D40A0000}"/>
    <cellStyle name="_Column1_Mark up Ist_C00400" xfId="2782" xr:uid="{00000000-0005-0000-0000-0000D50A0000}"/>
    <cellStyle name="_Column1_Mark up Ist_check6" xfId="2783" xr:uid="{00000000-0005-0000-0000-0000D60A0000}"/>
    <cellStyle name="_Column1_Mark up Ist_Sheet1" xfId="2784" xr:uid="{00000000-0005-0000-0000-0000D70A0000}"/>
    <cellStyle name="_Column1_Mark up Ist_Sheet1 (5)" xfId="2785" xr:uid="{00000000-0005-0000-0000-0000D80A0000}"/>
    <cellStyle name="_Column1_Mark up Ist_Sheet2" xfId="2786" xr:uid="{00000000-0005-0000-0000-0000D90A0000}"/>
    <cellStyle name="_Column1_Mark up Ist_Sheet3" xfId="2787" xr:uid="{00000000-0005-0000-0000-0000DA0A0000}"/>
    <cellStyle name="_Column1_Mark up Ist_status" xfId="2788" xr:uid="{00000000-0005-0000-0000-0000DB0A0000}"/>
    <cellStyle name="_Column1_Marketing e commercial €Hls" xfId="2789" xr:uid="{00000000-0005-0000-0000-0000DC0A0000}"/>
    <cellStyle name="_Column1_Marzo 2007 Deck vers 16.4.07" xfId="2790" xr:uid="{00000000-0005-0000-0000-0000DD0A0000}"/>
    <cellStyle name="_Column1_Mens volumi LE1 x BBP" xfId="2791" xr:uid="{00000000-0005-0000-0000-0000DE0A0000}"/>
    <cellStyle name="_Column1_Mensilizz Volumes On Trade H1_H2_Budget dicembre" xfId="2792" xr:uid="{00000000-0005-0000-0000-0000DF0A0000}"/>
    <cellStyle name="_Column1_Mensilizzazione Off budget 2010" xfId="2793" xr:uid="{00000000-0005-0000-0000-0000E00A0000}"/>
    <cellStyle name="_Column1_MIS1" xfId="2794" xr:uid="{00000000-0005-0000-0000-0000E10A0000}"/>
    <cellStyle name="_Column1_MIS10" xfId="2795" xr:uid="{00000000-0005-0000-0000-0000E20A0000}"/>
    <cellStyle name="_Column1_MIS17" xfId="2796" xr:uid="{00000000-0005-0000-0000-0000E30A0000}"/>
    <cellStyle name="_Column1_MIS17_Sheet5" xfId="2797" xr:uid="{00000000-0005-0000-0000-0000E40A0000}"/>
    <cellStyle name="_Column1_MIS2" xfId="2798" xr:uid="{00000000-0005-0000-0000-0000E50A0000}"/>
    <cellStyle name="_Column1_MIS2 2" xfId="2799" xr:uid="{00000000-0005-0000-0000-0000E60A0000}"/>
    <cellStyle name="_Column1_MIS2 2 2" xfId="2800" xr:uid="{00000000-0005-0000-0000-0000E70A0000}"/>
    <cellStyle name="_Column1_MIS2 2 2 2" xfId="2801" xr:uid="{00000000-0005-0000-0000-0000E80A0000}"/>
    <cellStyle name="_Column1_MIS2 2 3" xfId="2802" xr:uid="{00000000-0005-0000-0000-0000E90A0000}"/>
    <cellStyle name="_Column1_MIS2 2 3 2" xfId="2803" xr:uid="{00000000-0005-0000-0000-0000EA0A0000}"/>
    <cellStyle name="_Column1_MIS2 2 3 3" xfId="2804" xr:uid="{00000000-0005-0000-0000-0000EB0A0000}"/>
    <cellStyle name="_Column1_MIS2 2 4" xfId="2805" xr:uid="{00000000-0005-0000-0000-0000EC0A0000}"/>
    <cellStyle name="_Column1_MIS2 2 5" xfId="2806" xr:uid="{00000000-0005-0000-0000-0000ED0A0000}"/>
    <cellStyle name="_Column1_MIS2 3" xfId="2807" xr:uid="{00000000-0005-0000-0000-0000EE0A0000}"/>
    <cellStyle name="_Column1_MIS2 3 2" xfId="2808" xr:uid="{00000000-0005-0000-0000-0000EF0A0000}"/>
    <cellStyle name="_Column1_MIS2 4" xfId="2809" xr:uid="{00000000-0005-0000-0000-0000F00A0000}"/>
    <cellStyle name="_Column1_MIS2 4 2" xfId="2810" xr:uid="{00000000-0005-0000-0000-0000F10A0000}"/>
    <cellStyle name="_Column1_MIS2 4 3" xfId="2811" xr:uid="{00000000-0005-0000-0000-0000F20A0000}"/>
    <cellStyle name="_Column1_MIS2 5" xfId="2812" xr:uid="{00000000-0005-0000-0000-0000F30A0000}"/>
    <cellStyle name="_Column1_MIS2 6" xfId="2813" xr:uid="{00000000-0005-0000-0000-0000F40A0000}"/>
    <cellStyle name="_Column1_MIS2_1" xfId="2814" xr:uid="{00000000-0005-0000-0000-0000F50A0000}"/>
    <cellStyle name="_Column1_MIS2_1 2" xfId="2815" xr:uid="{00000000-0005-0000-0000-0000F60A0000}"/>
    <cellStyle name="_Column1_MIS2_1 2 2" xfId="2816" xr:uid="{00000000-0005-0000-0000-0000F70A0000}"/>
    <cellStyle name="_Column1_MIS2_1_Sheet1" xfId="2817" xr:uid="{00000000-0005-0000-0000-0000F80A0000}"/>
    <cellStyle name="_Column1_MIS2_1_Sheet5" xfId="2818" xr:uid="{00000000-0005-0000-0000-0000F90A0000}"/>
    <cellStyle name="_Column1_MIS2_1_Sm Proj Cash Flow" xfId="2819" xr:uid="{00000000-0005-0000-0000-0000FA0A0000}"/>
    <cellStyle name="_Column1_MIS2_1_Spend Detail" xfId="2820" xr:uid="{00000000-0005-0000-0000-0000FB0A0000}"/>
    <cellStyle name="_Column1_MIS2_1_SustainingProjectList" xfId="2821" xr:uid="{00000000-0005-0000-0000-0000FC0A0000}"/>
    <cellStyle name="_Column1_MIS2_Anlagenbelegung Auswertung SKU pro Linie 2006-07-25 -ÜB." xfId="2822" xr:uid="{00000000-0005-0000-0000-0000FD0A0000}"/>
    <cellStyle name="_Column1_MIS2_Basis" xfId="2823" xr:uid="{00000000-0005-0000-0000-0000FE0A0000}"/>
    <cellStyle name="_Column1_MIS2_Basis 2" xfId="2824" xr:uid="{00000000-0005-0000-0000-0000FF0A0000}"/>
    <cellStyle name="_Column1_MIS2_Basis 2 2" xfId="2825" xr:uid="{00000000-0005-0000-0000-0000000B0000}"/>
    <cellStyle name="_Column1_MIS2_Basis_Sheet1" xfId="2826" xr:uid="{00000000-0005-0000-0000-0000010B0000}"/>
    <cellStyle name="_Column1_MIS2_Basis_Sheet5" xfId="2827" xr:uid="{00000000-0005-0000-0000-0000020B0000}"/>
    <cellStyle name="_Column1_MIS2_Basis_Sm Proj Cash Flow" xfId="2828" xr:uid="{00000000-0005-0000-0000-0000030B0000}"/>
    <cellStyle name="_Column1_MIS2_Basis_Spend Detail" xfId="2829" xr:uid="{00000000-0005-0000-0000-0000040B0000}"/>
    <cellStyle name="_Column1_MIS2_Basis_SustainingProjectList" xfId="2830" xr:uid="{00000000-0005-0000-0000-0000050B0000}"/>
    <cellStyle name="_Column1_MIS2_Changeover t, theor. u. per h. " xfId="2831" xr:uid="{00000000-0005-0000-0000-0000060B0000}"/>
    <cellStyle name="_Column1_MIS2_JW_VPLC Bremen" xfId="2832" xr:uid="{00000000-0005-0000-0000-0000070B0000}"/>
    <cellStyle name="_Column1_MIS2_Mother line Bremen" xfId="2833" xr:uid="{00000000-0005-0000-0000-0000080B0000}"/>
    <cellStyle name="_Column1_MIS2_RB&amp;JW_Produktionsplanung_LE1_2006 sortiert" xfId="2834" xr:uid="{00000000-0005-0000-0000-0000090B0000}"/>
    <cellStyle name="_Column1_MIS2_RB&amp;JW_Produktionsplanung_LE1_2006 sortiert 2" xfId="2835" xr:uid="{00000000-0005-0000-0000-00000A0B0000}"/>
    <cellStyle name="_Column1_MIS2_RB&amp;JW_Produktionsplanung_LE1_2006 sortiert 2 2" xfId="2836" xr:uid="{00000000-0005-0000-0000-00000B0B0000}"/>
    <cellStyle name="_Column1_MIS2_RB&amp;JW_Produktionsplanung_LE1_2006 sortiert_Sheet1" xfId="2837" xr:uid="{00000000-0005-0000-0000-00000C0B0000}"/>
    <cellStyle name="_Column1_MIS2_RB&amp;JW_Produktionsplanung_LE1_2006 sortiert_Sheet5" xfId="2838" xr:uid="{00000000-0005-0000-0000-00000D0B0000}"/>
    <cellStyle name="_Column1_MIS2_RB&amp;JW_Produktionsplanung_LE1_2006 sortiert_Sm Proj Cash Flow" xfId="2839" xr:uid="{00000000-0005-0000-0000-00000E0B0000}"/>
    <cellStyle name="_Column1_MIS2_RB&amp;JW_Produktionsplanung_LE1_2006 sortiert_Spend Detail" xfId="2840" xr:uid="{00000000-0005-0000-0000-00000F0B0000}"/>
    <cellStyle name="_Column1_MIS2_RB&amp;JW_Produktionsplanung_LE1_2006 sortiert_SustainingProjectList" xfId="2841" xr:uid="{00000000-0005-0000-0000-0000100B0000}"/>
    <cellStyle name="_Column1_MIS2_Rüstzeit" xfId="2842" xr:uid="{00000000-0005-0000-0000-0000110B0000}"/>
    <cellStyle name="_Column1_MIS2_Rüstzeit_Sheet5" xfId="2843" xr:uid="{00000000-0005-0000-0000-0000120B0000}"/>
    <cellStyle name="_Column1_MIS2_Sheet1" xfId="2844" xr:uid="{00000000-0005-0000-0000-0000130B0000}"/>
    <cellStyle name="_Column1_MIS2_Sheet5" xfId="2845" xr:uid="{00000000-0005-0000-0000-0000140B0000}"/>
    <cellStyle name="_Column1_MIS2_SKU Volumen" xfId="2846" xr:uid="{00000000-0005-0000-0000-0000150B0000}"/>
    <cellStyle name="_Column1_MIS2_SKU Volumen 2" xfId="2847" xr:uid="{00000000-0005-0000-0000-0000160B0000}"/>
    <cellStyle name="_Column1_MIS2_SKU Volumen_Sheet1" xfId="2848" xr:uid="{00000000-0005-0000-0000-0000170B0000}"/>
    <cellStyle name="_Column1_MIS2_SKU Volumen_Sm Proj Cash Flow" xfId="2849" xr:uid="{00000000-0005-0000-0000-0000180B0000}"/>
    <cellStyle name="_Column1_MIS2_SKU Volumen_Spend Detail" xfId="2850" xr:uid="{00000000-0005-0000-0000-0000190B0000}"/>
    <cellStyle name="_Column1_MIS2_SKU Volumen_SustainingProjectList" xfId="2851" xr:uid="{00000000-0005-0000-0000-00001A0B0000}"/>
    <cellStyle name="_Column1_MIS2_SustainingProjectList" xfId="2852" xr:uid="{00000000-0005-0000-0000-00001B0B0000}"/>
    <cellStyle name="_Column1_MIS2_Tabelle1" xfId="2853" xr:uid="{00000000-0005-0000-0000-00001C0B0000}"/>
    <cellStyle name="_Column1_MIS2_Tabelle1 2" xfId="2854" xr:uid="{00000000-0005-0000-0000-00001D0B0000}"/>
    <cellStyle name="_Column1_MIS2_Tabelle1 2 2" xfId="2855" xr:uid="{00000000-0005-0000-0000-00001E0B0000}"/>
    <cellStyle name="_Column1_MIS2_Tabelle1_Sheet1" xfId="2856" xr:uid="{00000000-0005-0000-0000-00001F0B0000}"/>
    <cellStyle name="_Column1_MIS2_Tabelle1_Sheet5" xfId="2857" xr:uid="{00000000-0005-0000-0000-0000200B0000}"/>
    <cellStyle name="_Column1_MIS2_Tabelle1_Sm Proj Cash Flow" xfId="2858" xr:uid="{00000000-0005-0000-0000-0000210B0000}"/>
    <cellStyle name="_Column1_MIS2_Tabelle1_Spend Detail" xfId="2859" xr:uid="{00000000-0005-0000-0000-0000220B0000}"/>
    <cellStyle name="_Column1_MIS2_Tabelle1_SustainingProjectList" xfId="2860" xr:uid="{00000000-0005-0000-0000-0000230B0000}"/>
    <cellStyle name="_Column1_MIS2_TP_IC_2013" xfId="2861" xr:uid="{00000000-0005-0000-0000-0000240B0000}"/>
    <cellStyle name="_Column1_Mis23" xfId="2862" xr:uid="{00000000-0005-0000-0000-0000250B0000}"/>
    <cellStyle name="_Column1_Mis23 2" xfId="2863" xr:uid="{00000000-0005-0000-0000-0000260B0000}"/>
    <cellStyle name="_Column1_Mis23 3" xfId="2864" xr:uid="{00000000-0005-0000-0000-0000270B0000}"/>
    <cellStyle name="_Column1_Mis23 3 2" xfId="2865" xr:uid="{00000000-0005-0000-0000-0000280B0000}"/>
    <cellStyle name="_Column1_Mis23 3 3" xfId="2866" xr:uid="{00000000-0005-0000-0000-0000290B0000}"/>
    <cellStyle name="_Column1_Mis23 3 3 2" xfId="2867" xr:uid="{00000000-0005-0000-0000-00002A0B0000}"/>
    <cellStyle name="_Column1_Mis23 4" xfId="2868" xr:uid="{00000000-0005-0000-0000-00002B0B0000}"/>
    <cellStyle name="_Column1_Mis23 4 2" xfId="2869" xr:uid="{00000000-0005-0000-0000-00002C0B0000}"/>
    <cellStyle name="_Column1_Mis23_Sheet5" xfId="2870" xr:uid="{00000000-0005-0000-0000-00002D0B0000}"/>
    <cellStyle name="_Column1_Mis24" xfId="2871" xr:uid="{00000000-0005-0000-0000-00002E0B0000}"/>
    <cellStyle name="_Column1_Mis24 2" xfId="2872" xr:uid="{00000000-0005-0000-0000-00002F0B0000}"/>
    <cellStyle name="_Column1_Mis24 2 2" xfId="2873" xr:uid="{00000000-0005-0000-0000-0000300B0000}"/>
    <cellStyle name="_Column1_Mis24 3" xfId="2874" xr:uid="{00000000-0005-0000-0000-0000310B0000}"/>
    <cellStyle name="_Column1_Mis24 3 2" xfId="2875" xr:uid="{00000000-0005-0000-0000-0000320B0000}"/>
    <cellStyle name="_Column1_Mis24_BB (2)" xfId="2876" xr:uid="{00000000-0005-0000-0000-0000330B0000}"/>
    <cellStyle name="_Column1_Mis24_C00200" xfId="2877" xr:uid="{00000000-0005-0000-0000-0000340B0000}"/>
    <cellStyle name="_Column1_Mis24_C00210" xfId="2878" xr:uid="{00000000-0005-0000-0000-0000350B0000}"/>
    <cellStyle name="_Column1_Mis24_C00300" xfId="2879" xr:uid="{00000000-0005-0000-0000-0000360B0000}"/>
    <cellStyle name="_Column1_Mis24_C00400" xfId="2880" xr:uid="{00000000-0005-0000-0000-0000370B0000}"/>
    <cellStyle name="_Column1_Mis24_CA ML" xfId="2881" xr:uid="{00000000-0005-0000-0000-0000380B0000}"/>
    <cellStyle name="_Column1_Mis24_CA ML 2" xfId="2882" xr:uid="{00000000-0005-0000-0000-0000390B0000}"/>
    <cellStyle name="_Column1_Mis24_CA ML 2 2" xfId="2883" xr:uid="{00000000-0005-0000-0000-00003A0B0000}"/>
    <cellStyle name="_Column1_Mis24_CA ML 3" xfId="2884" xr:uid="{00000000-0005-0000-0000-00003B0B0000}"/>
    <cellStyle name="_Column1_Mis24_CA ML_1" xfId="2885" xr:uid="{00000000-0005-0000-0000-00003C0B0000}"/>
    <cellStyle name="_Column1_Mis24_CA ML_1 2" xfId="2886" xr:uid="{00000000-0005-0000-0000-00003D0B0000}"/>
    <cellStyle name="_Column1_Mis24_CA ML_1 2 2" xfId="2887" xr:uid="{00000000-0005-0000-0000-00003E0B0000}"/>
    <cellStyle name="_Column1_Mis24_CA ML_1 3" xfId="2888" xr:uid="{00000000-0005-0000-0000-00003F0B0000}"/>
    <cellStyle name="_Column1_Mis24_CA ML_2" xfId="2889" xr:uid="{00000000-0005-0000-0000-0000400B0000}"/>
    <cellStyle name="_Column1_Mis24_CA ML_2 2" xfId="2890" xr:uid="{00000000-0005-0000-0000-0000410B0000}"/>
    <cellStyle name="_Column1_Mis24_CA ML_2 2 2" xfId="2891" xr:uid="{00000000-0005-0000-0000-0000420B0000}"/>
    <cellStyle name="_Column1_Mis24_CA ML_2 3" xfId="2892" xr:uid="{00000000-0005-0000-0000-0000430B0000}"/>
    <cellStyle name="_Column1_Mis24_CA USD" xfId="2893" xr:uid="{00000000-0005-0000-0000-0000440B0000}"/>
    <cellStyle name="_Column1_Mis24_CA USD 2" xfId="2894" xr:uid="{00000000-0005-0000-0000-0000450B0000}"/>
    <cellStyle name="_Column1_Mis24_CA USD 2 2" xfId="2895" xr:uid="{00000000-0005-0000-0000-0000460B0000}"/>
    <cellStyle name="_Column1_Mis24_CA USD 3" xfId="2896" xr:uid="{00000000-0005-0000-0000-0000470B0000}"/>
    <cellStyle name="_Column1_Mis24_check6" xfId="2897" xr:uid="{00000000-0005-0000-0000-0000480B0000}"/>
    <cellStyle name="_Column1_Mis24_Conciliacao 1" xfId="2898" xr:uid="{00000000-0005-0000-0000-0000490B0000}"/>
    <cellStyle name="_Column1_Mis24_Conciliacao 1 2" xfId="2899" xr:uid="{00000000-0005-0000-0000-00004A0B0000}"/>
    <cellStyle name="_Column1_Mis24_Conciliacao 1 2 2" xfId="2900" xr:uid="{00000000-0005-0000-0000-00004B0B0000}"/>
    <cellStyle name="_Column1_Mis24_Conciliacao 1 3" xfId="2901" xr:uid="{00000000-0005-0000-0000-00004C0B0000}"/>
    <cellStyle name="_Column1_Mis24_EC ML" xfId="2902" xr:uid="{00000000-0005-0000-0000-00004D0B0000}"/>
    <cellStyle name="_Column1_Mis24_EC ML 2" xfId="2903" xr:uid="{00000000-0005-0000-0000-00004E0B0000}"/>
    <cellStyle name="_Column1_Mis24_EC ML 2 2" xfId="2904" xr:uid="{00000000-0005-0000-0000-00004F0B0000}"/>
    <cellStyle name="_Column1_Mis24_EC ML 3" xfId="2905" xr:uid="{00000000-0005-0000-0000-0000500B0000}"/>
    <cellStyle name="_Column1_Mis24_EC ML_1" xfId="2906" xr:uid="{00000000-0005-0000-0000-0000510B0000}"/>
    <cellStyle name="_Column1_Mis24_EC ML_1 2" xfId="2907" xr:uid="{00000000-0005-0000-0000-0000520B0000}"/>
    <cellStyle name="_Column1_Mis24_EC ML_1 2 2" xfId="2908" xr:uid="{00000000-0005-0000-0000-0000530B0000}"/>
    <cellStyle name="_Column1_Mis24_EC ML_1 3" xfId="2909" xr:uid="{00000000-0005-0000-0000-0000540B0000}"/>
    <cellStyle name="_Column1_Mis24_EC USD" xfId="2910" xr:uid="{00000000-0005-0000-0000-0000550B0000}"/>
    <cellStyle name="_Column1_Mis24_EC USD 2" xfId="2911" xr:uid="{00000000-0005-0000-0000-0000560B0000}"/>
    <cellStyle name="_Column1_Mis24_EC USD 2 2" xfId="2912" xr:uid="{00000000-0005-0000-0000-0000570B0000}"/>
    <cellStyle name="_Column1_Mis24_EC USD 3" xfId="2913" xr:uid="{00000000-0005-0000-0000-0000580B0000}"/>
    <cellStyle name="_Column1_Mis24_fx" xfId="2914" xr:uid="{00000000-0005-0000-0000-0000590B0000}"/>
    <cellStyle name="_Column1_Mis24_fx 2" xfId="2915" xr:uid="{00000000-0005-0000-0000-00005A0B0000}"/>
    <cellStyle name="_Column1_Mis24_fx 2 2" xfId="2916" xr:uid="{00000000-0005-0000-0000-00005B0B0000}"/>
    <cellStyle name="_Column1_Mis24_fx 3" xfId="2917" xr:uid="{00000000-0005-0000-0000-00005C0B0000}"/>
    <cellStyle name="_Column1_Mis24_Pasta2" xfId="2918" xr:uid="{00000000-0005-0000-0000-00005D0B0000}"/>
    <cellStyle name="_Column1_Mis24_Pasta2 2" xfId="2919" xr:uid="{00000000-0005-0000-0000-00005E0B0000}"/>
    <cellStyle name="_Column1_Mis24_Pasta2 2 2" xfId="2920" xr:uid="{00000000-0005-0000-0000-00005F0B0000}"/>
    <cellStyle name="_Column1_Mis24_Pasta2 3" xfId="2921" xr:uid="{00000000-0005-0000-0000-0000600B0000}"/>
    <cellStyle name="_Column1_Mis24_PE ML" xfId="2922" xr:uid="{00000000-0005-0000-0000-0000610B0000}"/>
    <cellStyle name="_Column1_Mis24_PE ML 2" xfId="2923" xr:uid="{00000000-0005-0000-0000-0000620B0000}"/>
    <cellStyle name="_Column1_Mis24_PE ML 2 2" xfId="2924" xr:uid="{00000000-0005-0000-0000-0000630B0000}"/>
    <cellStyle name="_Column1_Mis24_PE ML 3" xfId="2925" xr:uid="{00000000-0005-0000-0000-0000640B0000}"/>
    <cellStyle name="_Column1_Mis24_PE ML_1" xfId="2926" xr:uid="{00000000-0005-0000-0000-0000650B0000}"/>
    <cellStyle name="_Column1_Mis24_PE ML_1 2" xfId="2927" xr:uid="{00000000-0005-0000-0000-0000660B0000}"/>
    <cellStyle name="_Column1_Mis24_PE ML_1 2 2" xfId="2928" xr:uid="{00000000-0005-0000-0000-0000670B0000}"/>
    <cellStyle name="_Column1_Mis24_PE ML_1 3" xfId="2929" xr:uid="{00000000-0005-0000-0000-0000680B0000}"/>
    <cellStyle name="_Column1_Mis24_PE ML_2" xfId="2930" xr:uid="{00000000-0005-0000-0000-0000690B0000}"/>
    <cellStyle name="_Column1_Mis24_PE ML_2 2" xfId="2931" xr:uid="{00000000-0005-0000-0000-00006A0B0000}"/>
    <cellStyle name="_Column1_Mis24_PE ML_2 2 2" xfId="2932" xr:uid="{00000000-0005-0000-0000-00006B0B0000}"/>
    <cellStyle name="_Column1_Mis24_PE ML_2 3" xfId="2933" xr:uid="{00000000-0005-0000-0000-00006C0B0000}"/>
    <cellStyle name="_Column1_Mis24_PE Simulador Precios P1A 2009 v.2_rev.fernando" xfId="2934" xr:uid="{00000000-0005-0000-0000-00006D0B0000}"/>
    <cellStyle name="_Column1_Mis24_PE Simulador Precios P1A 2009 v.2_rev.fernando 2" xfId="2935" xr:uid="{00000000-0005-0000-0000-00006E0B0000}"/>
    <cellStyle name="_Column1_Mis24_PE Simulador Precios P1A 2009 v.2_rev.fernando 2 2" xfId="2936" xr:uid="{00000000-0005-0000-0000-00006F0B0000}"/>
    <cellStyle name="_Column1_Mis24_PE Simulador Precios P1A 2009 v.2_rev.fernando 3" xfId="2937" xr:uid="{00000000-0005-0000-0000-0000700B0000}"/>
    <cellStyle name="_Column1_Mis24_PE USD" xfId="2938" xr:uid="{00000000-0005-0000-0000-0000710B0000}"/>
    <cellStyle name="_Column1_Mis24_PE USD 2" xfId="2939" xr:uid="{00000000-0005-0000-0000-0000720B0000}"/>
    <cellStyle name="_Column1_Mis24_PE USD 2 2" xfId="2940" xr:uid="{00000000-0005-0000-0000-0000730B0000}"/>
    <cellStyle name="_Column1_Mis24_PE USD 3" xfId="2941" xr:uid="{00000000-0005-0000-0000-0000740B0000}"/>
    <cellStyle name="_Column1_Mis24_RD ML" xfId="2942" xr:uid="{00000000-0005-0000-0000-0000750B0000}"/>
    <cellStyle name="_Column1_Mis24_RD ML 2" xfId="2943" xr:uid="{00000000-0005-0000-0000-0000760B0000}"/>
    <cellStyle name="_Column1_Mis24_RD ML 2 2" xfId="2944" xr:uid="{00000000-0005-0000-0000-0000770B0000}"/>
    <cellStyle name="_Column1_Mis24_RD ML 3" xfId="2945" xr:uid="{00000000-0005-0000-0000-0000780B0000}"/>
    <cellStyle name="_Column1_Mis24_RD ML_1" xfId="2946" xr:uid="{00000000-0005-0000-0000-0000790B0000}"/>
    <cellStyle name="_Column1_Mis24_RD ML_1 2" xfId="2947" xr:uid="{00000000-0005-0000-0000-00007A0B0000}"/>
    <cellStyle name="_Column1_Mis24_RD ML_1 2 2" xfId="2948" xr:uid="{00000000-0005-0000-0000-00007B0B0000}"/>
    <cellStyle name="_Column1_Mis24_RD ML_1 3" xfId="2949" xr:uid="{00000000-0005-0000-0000-00007C0B0000}"/>
    <cellStyle name="_Column1_Mis24_RD ML_2" xfId="2950" xr:uid="{00000000-0005-0000-0000-00007D0B0000}"/>
    <cellStyle name="_Column1_Mis24_RD ML_2 2" xfId="2951" xr:uid="{00000000-0005-0000-0000-00007E0B0000}"/>
    <cellStyle name="_Column1_Mis24_RD ML_2 2 2" xfId="2952" xr:uid="{00000000-0005-0000-0000-00007F0B0000}"/>
    <cellStyle name="_Column1_Mis24_RD ML_2 3" xfId="2953" xr:uid="{00000000-0005-0000-0000-0000800B0000}"/>
    <cellStyle name="_Column1_Mis24_RD USD" xfId="2954" xr:uid="{00000000-0005-0000-0000-0000810B0000}"/>
    <cellStyle name="_Column1_Mis24_RD USD 2" xfId="2955" xr:uid="{00000000-0005-0000-0000-0000820B0000}"/>
    <cellStyle name="_Column1_Mis24_RD USD 2 2" xfId="2956" xr:uid="{00000000-0005-0000-0000-0000830B0000}"/>
    <cellStyle name="_Column1_Mis24_RD USD 3" xfId="2957" xr:uid="{00000000-0005-0000-0000-0000840B0000}"/>
    <cellStyle name="_Column1_Mis24_Riesgos - Oportunidades" xfId="2958" xr:uid="{00000000-0005-0000-0000-0000850B0000}"/>
    <cellStyle name="_Column1_Mis24_Riesgos - Oportunidades 2" xfId="2959" xr:uid="{00000000-0005-0000-0000-0000860B0000}"/>
    <cellStyle name="_Column1_Mis24_Riesgos - Oportunidades 2 2" xfId="2960" xr:uid="{00000000-0005-0000-0000-0000870B0000}"/>
    <cellStyle name="_Column1_Mis24_Riesgos - Oportunidades 3" xfId="2961" xr:uid="{00000000-0005-0000-0000-0000880B0000}"/>
    <cellStyle name="_Column1_Mis24_SDG FEV" xfId="2962" xr:uid="{00000000-0005-0000-0000-0000890B0000}"/>
    <cellStyle name="_Column1_Mis24_SDG FEV 2" xfId="2963" xr:uid="{00000000-0005-0000-0000-00008A0B0000}"/>
    <cellStyle name="_Column1_Mis24_SDG FEV 2 2" xfId="2964" xr:uid="{00000000-0005-0000-0000-00008B0B0000}"/>
    <cellStyle name="_Column1_Mis24_SDG FEV 3" xfId="2965" xr:uid="{00000000-0005-0000-0000-00008C0B0000}"/>
    <cellStyle name="_Column1_Mis24_Sheet1" xfId="2966" xr:uid="{00000000-0005-0000-0000-00008D0B0000}"/>
    <cellStyle name="_Column1_Mis24_Sheet1 (5)" xfId="2967" xr:uid="{00000000-0005-0000-0000-00008E0B0000}"/>
    <cellStyle name="_Column1_Mis24_Sheet2" xfId="2968" xr:uid="{00000000-0005-0000-0000-00008F0B0000}"/>
    <cellStyle name="_Column1_Mis24_Sheet3" xfId="2969" xr:uid="{00000000-0005-0000-0000-0000900B0000}"/>
    <cellStyle name="_Column1_Mis24_Sim LE Full v2 (1o. Tri com Ene real) Organic " xfId="2970" xr:uid="{00000000-0005-0000-0000-0000910B0000}"/>
    <cellStyle name="_Column1_Mis24_Sim LE Full v2 (1o. Tri com Ene real) Organic  2" xfId="2971" xr:uid="{00000000-0005-0000-0000-0000920B0000}"/>
    <cellStyle name="_Column1_Mis24_Sim LE Full v2 (1o. Tri com Ene real) Organic  2 2" xfId="2972" xr:uid="{00000000-0005-0000-0000-0000930B0000}"/>
    <cellStyle name="_Column1_Mis24_Sim LE Full v2 (1o. Tri com Ene real) Organic  3" xfId="2973" xr:uid="{00000000-0005-0000-0000-0000940B0000}"/>
    <cellStyle name="_Column1_Mis24_SIMULADOR RDV6!" xfId="2974" xr:uid="{00000000-0005-0000-0000-0000950B0000}"/>
    <cellStyle name="_Column1_Mis24_SIMULADOR RDV6! 2" xfId="2975" xr:uid="{00000000-0005-0000-0000-0000960B0000}"/>
    <cellStyle name="_Column1_Mis24_SIMULADOR RDV6! 2 2" xfId="2976" xr:uid="{00000000-0005-0000-0000-0000970B0000}"/>
    <cellStyle name="_Column1_Mis24_SIMULADOR RDV6! 3" xfId="2977" xr:uid="{00000000-0005-0000-0000-0000980B0000}"/>
    <cellStyle name="_Column1_Mis24_Sm Proj Cash Flow" xfId="2978" xr:uid="{00000000-0005-0000-0000-0000990B0000}"/>
    <cellStyle name="_Column1_Mis24_Spend Detail" xfId="2979" xr:uid="{00000000-0005-0000-0000-00009A0B0000}"/>
    <cellStyle name="_Column1_Mis24_status" xfId="2980" xr:uid="{00000000-0005-0000-0000-00009B0B0000}"/>
    <cellStyle name="_Column1_Mis24_SustainingProjectList" xfId="2981" xr:uid="{00000000-0005-0000-0000-00009C0B0000}"/>
    <cellStyle name="_Column1_Mis24_TENDENCIA V0309" xfId="2982" xr:uid="{00000000-0005-0000-0000-00009D0B0000}"/>
    <cellStyle name="_Column1_Mis24_TENDENCIA V0309 2" xfId="2983" xr:uid="{00000000-0005-0000-0000-00009E0B0000}"/>
    <cellStyle name="_Column1_Mis24_TENDENCIA V0309 2 2" xfId="2984" xr:uid="{00000000-0005-0000-0000-00009F0B0000}"/>
    <cellStyle name="_Column1_Mis24_TENDENCIA V0309 3" xfId="2985" xr:uid="{00000000-0005-0000-0000-0000A00B0000}"/>
    <cellStyle name="_Column1_Mis24_TENDENCIA V0409" xfId="2986" xr:uid="{00000000-0005-0000-0000-0000A10B0000}"/>
    <cellStyle name="_Column1_Mis24_TENDENCIA V0409 2" xfId="2987" xr:uid="{00000000-0005-0000-0000-0000A20B0000}"/>
    <cellStyle name="_Column1_Mis24_TENDENCIA V0409 2 2" xfId="2988" xr:uid="{00000000-0005-0000-0000-0000A30B0000}"/>
    <cellStyle name="_Column1_Mis24_TENDENCIA V0409 3" xfId="2989" xr:uid="{00000000-0005-0000-0000-0000A40B0000}"/>
    <cellStyle name="_Column1_Mis24_TENDENCIA V2" xfId="2990" xr:uid="{00000000-0005-0000-0000-0000A50B0000}"/>
    <cellStyle name="_Column1_Mis24_TENDENCIA V2 2" xfId="2991" xr:uid="{00000000-0005-0000-0000-0000A60B0000}"/>
    <cellStyle name="_Column1_Mis24_TENDENCIA V2 2 2" xfId="2992" xr:uid="{00000000-0005-0000-0000-0000A70B0000}"/>
    <cellStyle name="_Column1_Mis24_TENDENCIA V2 3" xfId="2993" xr:uid="{00000000-0005-0000-0000-0000A80B0000}"/>
    <cellStyle name="_Column1_Mis24_TENDENCIA0709 " xfId="2994" xr:uid="{00000000-0005-0000-0000-0000A90B0000}"/>
    <cellStyle name="_Column1_Mis24_TENDENCIA0709  2" xfId="2995" xr:uid="{00000000-0005-0000-0000-0000AA0B0000}"/>
    <cellStyle name="_Column1_Mis24_TENDENCIA0709  2 2" xfId="2996" xr:uid="{00000000-0005-0000-0000-0000AB0B0000}"/>
    <cellStyle name="_Column1_Mis24_TENDENCIA0709  3" xfId="2997" xr:uid="{00000000-0005-0000-0000-0000AC0B0000}"/>
    <cellStyle name="_Column1_Mis24_TENDENCIA0909 " xfId="2998" xr:uid="{00000000-0005-0000-0000-0000AD0B0000}"/>
    <cellStyle name="_Column1_Mis24_TENDENCIA0909  2" xfId="2999" xr:uid="{00000000-0005-0000-0000-0000AE0B0000}"/>
    <cellStyle name="_Column1_Mis24_TENDENCIA0909  2 2" xfId="3000" xr:uid="{00000000-0005-0000-0000-0000AF0B0000}"/>
    <cellStyle name="_Column1_Mis24_TENDENCIA0909  3" xfId="3001" xr:uid="{00000000-0005-0000-0000-0000B00B0000}"/>
    <cellStyle name="_Column1_Mis25" xfId="3002" xr:uid="{00000000-0005-0000-0000-0000B10B0000}"/>
    <cellStyle name="_Column1_Mis25 2" xfId="3003" xr:uid="{00000000-0005-0000-0000-0000B20B0000}"/>
    <cellStyle name="_Column1_Mis25 3" xfId="3004" xr:uid="{00000000-0005-0000-0000-0000B30B0000}"/>
    <cellStyle name="_Column1_Mis25 3 2" xfId="3005" xr:uid="{00000000-0005-0000-0000-0000B40B0000}"/>
    <cellStyle name="_Column1_Mis25 3 3" xfId="3006" xr:uid="{00000000-0005-0000-0000-0000B50B0000}"/>
    <cellStyle name="_Column1_Mis25 3 3 2" xfId="3007" xr:uid="{00000000-0005-0000-0000-0000B60B0000}"/>
    <cellStyle name="_Column1_Mis25 4" xfId="3008" xr:uid="{00000000-0005-0000-0000-0000B70B0000}"/>
    <cellStyle name="_Column1_Mis25 4 2" xfId="3009" xr:uid="{00000000-0005-0000-0000-0000B80B0000}"/>
    <cellStyle name="_Column1_Mis25_Sheet5" xfId="3010" xr:uid="{00000000-0005-0000-0000-0000B90B0000}"/>
    <cellStyle name="_Column1_MIS3" xfId="3011" xr:uid="{00000000-0005-0000-0000-0000BA0B0000}"/>
    <cellStyle name="_Column1_MIS3 2" xfId="3012" xr:uid="{00000000-0005-0000-0000-0000BB0B0000}"/>
    <cellStyle name="_Column1_MIS3 2 2" xfId="3013" xr:uid="{00000000-0005-0000-0000-0000BC0B0000}"/>
    <cellStyle name="_Column1_MIS3 2 2 2" xfId="3014" xr:uid="{00000000-0005-0000-0000-0000BD0B0000}"/>
    <cellStyle name="_Column1_MIS3 2 3" xfId="3015" xr:uid="{00000000-0005-0000-0000-0000BE0B0000}"/>
    <cellStyle name="_Column1_MIS3 2 3 2" xfId="3016" xr:uid="{00000000-0005-0000-0000-0000BF0B0000}"/>
    <cellStyle name="_Column1_MIS3 2 3 3" xfId="3017" xr:uid="{00000000-0005-0000-0000-0000C00B0000}"/>
    <cellStyle name="_Column1_MIS3 2 4" xfId="3018" xr:uid="{00000000-0005-0000-0000-0000C10B0000}"/>
    <cellStyle name="_Column1_MIS3 2 5" xfId="3019" xr:uid="{00000000-0005-0000-0000-0000C20B0000}"/>
    <cellStyle name="_Column1_MIS3 3" xfId="3020" xr:uid="{00000000-0005-0000-0000-0000C30B0000}"/>
    <cellStyle name="_Column1_MIS3 3 2" xfId="3021" xr:uid="{00000000-0005-0000-0000-0000C40B0000}"/>
    <cellStyle name="_Column1_MIS3 3 3" xfId="3022" xr:uid="{00000000-0005-0000-0000-0000C50B0000}"/>
    <cellStyle name="_Column1_MIS3 3 3 2" xfId="3023" xr:uid="{00000000-0005-0000-0000-0000C60B0000}"/>
    <cellStyle name="_Column1_MIS3 4" xfId="3024" xr:uid="{00000000-0005-0000-0000-0000C70B0000}"/>
    <cellStyle name="_Column1_MIS3 4 2" xfId="3025" xr:uid="{00000000-0005-0000-0000-0000C80B0000}"/>
    <cellStyle name="_Column1_MIS3 4 3" xfId="3026" xr:uid="{00000000-0005-0000-0000-0000C90B0000}"/>
    <cellStyle name="_Column1_MIS3 5" xfId="3027" xr:uid="{00000000-0005-0000-0000-0000CA0B0000}"/>
    <cellStyle name="_Column1_MIS3 6" xfId="3028" xr:uid="{00000000-0005-0000-0000-0000CB0B0000}"/>
    <cellStyle name="_Column1_MIS3_Sheet1" xfId="3029" xr:uid="{00000000-0005-0000-0000-0000CC0B0000}"/>
    <cellStyle name="_Column1_MIS3_Sm Proj Cash Flow" xfId="3030" xr:uid="{00000000-0005-0000-0000-0000CD0B0000}"/>
    <cellStyle name="_Column1_MIS3_Spend Detail" xfId="3031" xr:uid="{00000000-0005-0000-0000-0000CE0B0000}"/>
    <cellStyle name="_Column1_MIS3_SustainingProjectList" xfId="3032" xr:uid="{00000000-0005-0000-0000-0000CF0B0000}"/>
    <cellStyle name="_Column1_MIS4" xfId="3033" xr:uid="{00000000-0005-0000-0000-0000D00B0000}"/>
    <cellStyle name="_Column1_MIS4_1" xfId="3034" xr:uid="{00000000-0005-0000-0000-0000D10B0000}"/>
    <cellStyle name="_Column1_MIS4_1_packaging" xfId="3035" xr:uid="{00000000-0005-0000-0000-0000D20B0000}"/>
    <cellStyle name="_Column1_MIS4_Sheet5" xfId="3036" xr:uid="{00000000-0005-0000-0000-0000D30B0000}"/>
    <cellStyle name="_Column1_MIS5" xfId="3037" xr:uid="{00000000-0005-0000-0000-0000D40B0000}"/>
    <cellStyle name="_Column1_MIS5 2" xfId="3038" xr:uid="{00000000-0005-0000-0000-0000D50B0000}"/>
    <cellStyle name="_Column1_MIS5_1" xfId="3039" xr:uid="{00000000-0005-0000-0000-0000D60B0000}"/>
    <cellStyle name="_Column1_MIS5_1_packaging" xfId="3040" xr:uid="{00000000-0005-0000-0000-0000D70B0000}"/>
    <cellStyle name="_Column1_MIS5_Sheet1" xfId="3041" xr:uid="{00000000-0005-0000-0000-0000D80B0000}"/>
    <cellStyle name="_Column1_MIS5_Sheet5" xfId="3042" xr:uid="{00000000-0005-0000-0000-0000D90B0000}"/>
    <cellStyle name="_Column1_MIS5_SustainingProjectList" xfId="3043" xr:uid="{00000000-0005-0000-0000-0000DA0B0000}"/>
    <cellStyle name="_Column1_MIS5_TP_IC_2013" xfId="3044" xr:uid="{00000000-0005-0000-0000-0000DB0B0000}"/>
    <cellStyle name="_Column1_MIS7" xfId="3045" xr:uid="{00000000-0005-0000-0000-0000DC0B0000}"/>
    <cellStyle name="_Column1_MIS7_Sheet5" xfId="3046" xr:uid="{00000000-0005-0000-0000-0000DD0B0000}"/>
    <cellStyle name="_Column1_MIS9" xfId="3047" xr:uid="{00000000-0005-0000-0000-0000DE0B0000}"/>
    <cellStyle name="_Column1_MIS9 2" xfId="3048" xr:uid="{00000000-0005-0000-0000-0000DF0B0000}"/>
    <cellStyle name="_Column1_MIS9_Anlagenbelegung Auswertung SKU pro Linie 2006-07-25 -ÜB." xfId="3049" xr:uid="{00000000-0005-0000-0000-0000E00B0000}"/>
    <cellStyle name="_Column1_MIS9_Sheet1" xfId="3050" xr:uid="{00000000-0005-0000-0000-0000E10B0000}"/>
    <cellStyle name="_Column1_MIS9_Sheet5" xfId="3051" xr:uid="{00000000-0005-0000-0000-0000E20B0000}"/>
    <cellStyle name="_Column1_MIS9_SustainingProjectList" xfId="3052" xr:uid="{00000000-0005-0000-0000-0000E30B0000}"/>
    <cellStyle name="_Column1_Mkt marzo" xfId="3053" xr:uid="{00000000-0005-0000-0000-0000E40B0000}"/>
    <cellStyle name="_Column1_Netherlands" xfId="3054" xr:uid="{00000000-0005-0000-0000-0000E50B0000}"/>
    <cellStyle name="_Column1_New Hp Luca LE'09-BGT'10" xfId="3055" xr:uid="{00000000-0005-0000-0000-0000E60B0000}"/>
    <cellStyle name="_Column1_non bev sales inc" xfId="3056" xr:uid="{00000000-0005-0000-0000-0000E70B0000}"/>
    <cellStyle name="_Column1_Non bev sales income" xfId="3057" xr:uid="{00000000-0005-0000-0000-0000E80B0000}"/>
    <cellStyle name="_Column1_Non bev. sales income" xfId="3058" xr:uid="{00000000-0005-0000-0000-0000E90B0000}"/>
    <cellStyle name="_Column1_Nov" xfId="3059" xr:uid="{00000000-0005-0000-0000-0000EA0B0000}"/>
    <cellStyle name="_Column1_Novi Visibility za Sales_2005" xfId="3060" xr:uid="{00000000-0005-0000-0000-0000EB0B0000}"/>
    <cellStyle name="_Column1_Novi Visibility za Sales_2005 2" xfId="3061" xr:uid="{00000000-0005-0000-0000-0000EC0B0000}"/>
    <cellStyle name="_Column1_Novi Visibility za Sales_2005_Dominican Rep" xfId="3062" xr:uid="{00000000-0005-0000-0000-0000ED0B0000}"/>
    <cellStyle name="_Column1_Nuove sku" xfId="3063" xr:uid="{00000000-0005-0000-0000-0000EE0B0000}"/>
    <cellStyle name="_Column1_Off T. marzo" xfId="3064" xr:uid="{00000000-0005-0000-0000-0000EF0B0000}"/>
    <cellStyle name="_Column1_Off Trade Maco x sku LG" xfId="3065" xr:uid="{00000000-0005-0000-0000-0000F00B0000}"/>
    <cellStyle name="_Column1_OFF TRADE Volumi e maco Bdg 2007 by LUCA" xfId="3066" xr:uid="{00000000-0005-0000-0000-0000F10B0000}"/>
    <cellStyle name="_Column1_OFF TRADE_MACO 2006" xfId="3067" xr:uid="{00000000-0005-0000-0000-0000F20B0000}"/>
    <cellStyle name="_Column1_OFF TRADE_MACO 2006 2" xfId="3068" xr:uid="{00000000-0005-0000-0000-0000F30B0000}"/>
    <cellStyle name="_Column1_OFF TRADE_MACO 2006 3" xfId="3069" xr:uid="{00000000-0005-0000-0000-0000F40B0000}"/>
    <cellStyle name="_Column1_OFF TRADE_MACO 2006 3 2" xfId="3070" xr:uid="{00000000-0005-0000-0000-0000F50B0000}"/>
    <cellStyle name="_Column1_OFF TRADE_MACO 2006_BB (2)" xfId="3071" xr:uid="{00000000-0005-0000-0000-0000F60B0000}"/>
    <cellStyle name="_Column1_OFF TRADE_MACO 2006_C00200" xfId="3072" xr:uid="{00000000-0005-0000-0000-0000F70B0000}"/>
    <cellStyle name="_Column1_OFF TRADE_MACO 2006_C00210" xfId="3073" xr:uid="{00000000-0005-0000-0000-0000F80B0000}"/>
    <cellStyle name="_Column1_OFF TRADE_MACO 2006_C00300" xfId="3074" xr:uid="{00000000-0005-0000-0000-0000F90B0000}"/>
    <cellStyle name="_Column1_OFF TRADE_MACO 2006_C00400" xfId="3075" xr:uid="{00000000-0005-0000-0000-0000FA0B0000}"/>
    <cellStyle name="_Column1_OFF TRADE_MACO 2006_check6" xfId="3076" xr:uid="{00000000-0005-0000-0000-0000FB0B0000}"/>
    <cellStyle name="_Column1_OFF TRADE_MACO 2006_Sheet1" xfId="3077" xr:uid="{00000000-0005-0000-0000-0000FC0B0000}"/>
    <cellStyle name="_Column1_OFF TRADE_MACO 2006_Sheet1 (5)" xfId="3078" xr:uid="{00000000-0005-0000-0000-0000FD0B0000}"/>
    <cellStyle name="_Column1_OFF TRADE_MACO 2006_Sheet2" xfId="3079" xr:uid="{00000000-0005-0000-0000-0000FE0B0000}"/>
    <cellStyle name="_Column1_OFF TRADE_MACO 2006_Sheet3" xfId="3080" xr:uid="{00000000-0005-0000-0000-0000FF0B0000}"/>
    <cellStyle name="_Column1_OFF TRADE_MACO 2006_status" xfId="3081" xr:uid="{00000000-0005-0000-0000-0000000C0000}"/>
    <cellStyle name="_Column1_On Trade estratto al 30.06.06" xfId="3082" xr:uid="{00000000-0005-0000-0000-0000010C0000}"/>
    <cellStyle name="_Column1_On Trade Gen'07" xfId="3083" xr:uid="{00000000-0005-0000-0000-0000020C0000}"/>
    <cellStyle name="_Column1_On Trade Maco x sku MM" xfId="3084" xr:uid="{00000000-0005-0000-0000-0000030C0000}"/>
    <cellStyle name="_Column1_Out of scope" xfId="3085" xr:uid="{00000000-0005-0000-0000-0000040C0000}"/>
    <cellStyle name="_Column1_Packages + Subpack" xfId="3086" xr:uid="{00000000-0005-0000-0000-0000050C0000}"/>
    <cellStyle name="_Column1_Packages ON + DD" xfId="3087" xr:uid="{00000000-0005-0000-0000-0000060C0000}"/>
    <cellStyle name="_Column1_packaging" xfId="3088" xr:uid="{00000000-0005-0000-0000-0000070C0000}"/>
    <cellStyle name="_Column1_packaging 2" xfId="3089" xr:uid="{00000000-0005-0000-0000-0000080C0000}"/>
    <cellStyle name="_Column1_packaging 3" xfId="3090" xr:uid="{00000000-0005-0000-0000-0000090C0000}"/>
    <cellStyle name="_Column1_packaging 3 2" xfId="3091" xr:uid="{00000000-0005-0000-0000-00000A0C0000}"/>
    <cellStyle name="_Column1_packaging 3 3" xfId="3092" xr:uid="{00000000-0005-0000-0000-00000B0C0000}"/>
    <cellStyle name="_Column1_packaging 3 3 2" xfId="3093" xr:uid="{00000000-0005-0000-0000-00000C0C0000}"/>
    <cellStyle name="_Column1_packaging 4" xfId="3094" xr:uid="{00000000-0005-0000-0000-00000D0C0000}"/>
    <cellStyle name="_Column1_packaging 4 2" xfId="3095" xr:uid="{00000000-0005-0000-0000-00000E0C0000}"/>
    <cellStyle name="_Column1_packaging_1" xfId="3096" xr:uid="{00000000-0005-0000-0000-00000F0C0000}"/>
    <cellStyle name="_Column1_packaging_Sheet5" xfId="3097" xr:uid="{00000000-0005-0000-0000-0000100C0000}"/>
    <cellStyle name="_Column1_Partner - bilancio novembre" xfId="3098" xr:uid="{00000000-0005-0000-0000-0000110C0000}"/>
    <cellStyle name="_Column1_Partner - bilancio novembre 2" xfId="3099" xr:uid="{00000000-0005-0000-0000-0000120C0000}"/>
    <cellStyle name="_Column1_Partner - bilancio novembre 3" xfId="3100" xr:uid="{00000000-0005-0000-0000-0000130C0000}"/>
    <cellStyle name="_Column1_Partner - bilancio novembre 3 2" xfId="3101" xr:uid="{00000000-0005-0000-0000-0000140C0000}"/>
    <cellStyle name="_Column1_Partner - bilancio novembre_BB (2)" xfId="3102" xr:uid="{00000000-0005-0000-0000-0000150C0000}"/>
    <cellStyle name="_Column1_Partner - bilancio novembre_C00200" xfId="3103" xr:uid="{00000000-0005-0000-0000-0000160C0000}"/>
    <cellStyle name="_Column1_Partner - bilancio novembre_C00210" xfId="3104" xr:uid="{00000000-0005-0000-0000-0000170C0000}"/>
    <cellStyle name="_Column1_Partner - bilancio novembre_C00300" xfId="3105" xr:uid="{00000000-0005-0000-0000-0000180C0000}"/>
    <cellStyle name="_Column1_Partner - bilancio novembre_C00400" xfId="3106" xr:uid="{00000000-0005-0000-0000-0000190C0000}"/>
    <cellStyle name="_Column1_Partner - bilancio novembre_check6" xfId="3107" xr:uid="{00000000-0005-0000-0000-00001A0C0000}"/>
    <cellStyle name="_Column1_Partner - bilancio novembre_Sheet1" xfId="3108" xr:uid="{00000000-0005-0000-0000-00001B0C0000}"/>
    <cellStyle name="_Column1_Partner - bilancio novembre_Sheet1 (5)" xfId="3109" xr:uid="{00000000-0005-0000-0000-00001C0C0000}"/>
    <cellStyle name="_Column1_Partner - bilancio novembre_Sheet2" xfId="3110" xr:uid="{00000000-0005-0000-0000-00001D0C0000}"/>
    <cellStyle name="_Column1_Partner - bilancio novembre_Sheet3" xfId="3111" xr:uid="{00000000-0005-0000-0000-00001E0C0000}"/>
    <cellStyle name="_Column1_Partner - bilancio novembre_status" xfId="3112" xr:uid="{00000000-0005-0000-0000-00001F0C0000}"/>
    <cellStyle name="_Column1_Pasta2" xfId="3113" xr:uid="{00000000-0005-0000-0000-0000200C0000}"/>
    <cellStyle name="_Column1_Pasta2 2" xfId="3114" xr:uid="{00000000-0005-0000-0000-0000210C0000}"/>
    <cellStyle name="_Column1_Pasta2 2 2" xfId="3115" xr:uid="{00000000-0005-0000-0000-0000220C0000}"/>
    <cellStyle name="_Column1_Pasta2 3" xfId="3116" xr:uid="{00000000-0005-0000-0000-0000230C0000}"/>
    <cellStyle name="_Column1_PE ML" xfId="3117" xr:uid="{00000000-0005-0000-0000-0000240C0000}"/>
    <cellStyle name="_Column1_PE ML 2" xfId="3118" xr:uid="{00000000-0005-0000-0000-0000250C0000}"/>
    <cellStyle name="_Column1_PE ML 2 2" xfId="3119" xr:uid="{00000000-0005-0000-0000-0000260C0000}"/>
    <cellStyle name="_Column1_PE ML 3" xfId="3120" xr:uid="{00000000-0005-0000-0000-0000270C0000}"/>
    <cellStyle name="_Column1_PE ML_1" xfId="3121" xr:uid="{00000000-0005-0000-0000-0000280C0000}"/>
    <cellStyle name="_Column1_PE ML_1 2" xfId="3122" xr:uid="{00000000-0005-0000-0000-0000290C0000}"/>
    <cellStyle name="_Column1_PE ML_1 2 2" xfId="3123" xr:uid="{00000000-0005-0000-0000-00002A0C0000}"/>
    <cellStyle name="_Column1_PE ML_1 3" xfId="3124" xr:uid="{00000000-0005-0000-0000-00002B0C0000}"/>
    <cellStyle name="_Column1_PE ML_2" xfId="3125" xr:uid="{00000000-0005-0000-0000-00002C0C0000}"/>
    <cellStyle name="_Column1_PE ML_2 2" xfId="3126" xr:uid="{00000000-0005-0000-0000-00002D0C0000}"/>
    <cellStyle name="_Column1_PE ML_2 2 2" xfId="3127" xr:uid="{00000000-0005-0000-0000-00002E0C0000}"/>
    <cellStyle name="_Column1_PE ML_2 3" xfId="3128" xr:uid="{00000000-0005-0000-0000-00002F0C0000}"/>
    <cellStyle name="_Column1_PE Simulador Precios P1A 2009 v.2_rev.fernando" xfId="3129" xr:uid="{00000000-0005-0000-0000-0000300C0000}"/>
    <cellStyle name="_Column1_PE Simulador Precios P1A 2009 v.2_rev.fernando 2" xfId="3130" xr:uid="{00000000-0005-0000-0000-0000310C0000}"/>
    <cellStyle name="_Column1_PE Simulador Precios P1A 2009 v.2_rev.fernando 2 2" xfId="3131" xr:uid="{00000000-0005-0000-0000-0000320C0000}"/>
    <cellStyle name="_Column1_PE Simulador Precios P1A 2009 v.2_rev.fernando 3" xfId="3132" xr:uid="{00000000-0005-0000-0000-0000330C0000}"/>
    <cellStyle name="_Column1_PE USD" xfId="3133" xr:uid="{00000000-0005-0000-0000-0000340C0000}"/>
    <cellStyle name="_Column1_PE USD 2" xfId="3134" xr:uid="{00000000-0005-0000-0000-0000350C0000}"/>
    <cellStyle name="_Column1_PE USD 2 2" xfId="3135" xr:uid="{00000000-0005-0000-0000-0000360C0000}"/>
    <cellStyle name="_Column1_PE USD 3" xfId="3136" xr:uid="{00000000-0005-0000-0000-0000370C0000}"/>
    <cellStyle name="_Column1_pivot" xfId="3137" xr:uid="{00000000-0005-0000-0000-0000380C0000}"/>
    <cellStyle name="_Column1_pivot_RFFS SUBMISSION TO VPs" xfId="3138" xr:uid="{00000000-0005-0000-0000-0000390C0000}"/>
    <cellStyle name="_Column1_pivot_RFFS_SUBMISSION_TO_VPs _v2" xfId="3139" xr:uid="{00000000-0005-0000-0000-00003A0C0000}"/>
    <cellStyle name="_Column1_P-LE-YTD-abs(loc)" xfId="3140" xr:uid="{00000000-0005-0000-0000-00003B0C0000}"/>
    <cellStyle name="_Column1_P-LE-YTD-abs(loc)_packaging" xfId="3141" xr:uid="{00000000-0005-0000-0000-00003C0C0000}"/>
    <cellStyle name="_Column1_RB&amp;JW_Produktionsplanung_LE1_2006 sortiert" xfId="3142" xr:uid="{00000000-0005-0000-0000-00003D0C0000}"/>
    <cellStyle name="_Column1_RB&amp;JW_Produktionsplanung_LE1_2006 sortiert 2" xfId="3143" xr:uid="{00000000-0005-0000-0000-00003E0C0000}"/>
    <cellStyle name="_Column1_RB&amp;JW_Produktionsplanung_LE1_2006 sortiert 2 2" xfId="3144" xr:uid="{00000000-0005-0000-0000-00003F0C0000}"/>
    <cellStyle name="_Column1_RB&amp;JW_Produktionsplanung_LE1_2006 sortiert_Sheet1" xfId="3145" xr:uid="{00000000-0005-0000-0000-0000400C0000}"/>
    <cellStyle name="_Column1_RB&amp;JW_Produktionsplanung_LE1_2006 sortiert_Sheet5" xfId="3146" xr:uid="{00000000-0005-0000-0000-0000410C0000}"/>
    <cellStyle name="_Column1_RB&amp;JW_Produktionsplanung_LE1_2006 sortiert_Sm Proj Cash Flow" xfId="3147" xr:uid="{00000000-0005-0000-0000-0000420C0000}"/>
    <cellStyle name="_Column1_RB&amp;JW_Produktionsplanung_LE1_2006 sortiert_Spend Detail" xfId="3148" xr:uid="{00000000-0005-0000-0000-0000430C0000}"/>
    <cellStyle name="_Column1_RB&amp;JW_Produktionsplanung_LE1_2006 sortiert_SustainingProjectList" xfId="3149" xr:uid="{00000000-0005-0000-0000-0000440C0000}"/>
    <cellStyle name="_Column1_RD ML" xfId="3150" xr:uid="{00000000-0005-0000-0000-0000450C0000}"/>
    <cellStyle name="_Column1_RD ML 2" xfId="3151" xr:uid="{00000000-0005-0000-0000-0000460C0000}"/>
    <cellStyle name="_Column1_RD ML 2 2" xfId="3152" xr:uid="{00000000-0005-0000-0000-0000470C0000}"/>
    <cellStyle name="_Column1_RD ML 3" xfId="3153" xr:uid="{00000000-0005-0000-0000-0000480C0000}"/>
    <cellStyle name="_Column1_RD ML_1" xfId="3154" xr:uid="{00000000-0005-0000-0000-0000490C0000}"/>
    <cellStyle name="_Column1_RD ML_1 2" xfId="3155" xr:uid="{00000000-0005-0000-0000-00004A0C0000}"/>
    <cellStyle name="_Column1_RD ML_1 2 2" xfId="3156" xr:uid="{00000000-0005-0000-0000-00004B0C0000}"/>
    <cellStyle name="_Column1_RD ML_1 3" xfId="3157" xr:uid="{00000000-0005-0000-0000-00004C0C0000}"/>
    <cellStyle name="_Column1_RD ML_2" xfId="3158" xr:uid="{00000000-0005-0000-0000-00004D0C0000}"/>
    <cellStyle name="_Column1_RD ML_2 2" xfId="3159" xr:uid="{00000000-0005-0000-0000-00004E0C0000}"/>
    <cellStyle name="_Column1_RD ML_2 2 2" xfId="3160" xr:uid="{00000000-0005-0000-0000-00004F0C0000}"/>
    <cellStyle name="_Column1_RD ML_2 3" xfId="3161" xr:uid="{00000000-0005-0000-0000-0000500C0000}"/>
    <cellStyle name="_Column1_RD USD" xfId="3162" xr:uid="{00000000-0005-0000-0000-0000510C0000}"/>
    <cellStyle name="_Column1_RD USD 2" xfId="3163" xr:uid="{00000000-0005-0000-0000-0000520C0000}"/>
    <cellStyle name="_Column1_RD USD 2 2" xfId="3164" xr:uid="{00000000-0005-0000-0000-0000530C0000}"/>
    <cellStyle name="_Column1_RD USD 3" xfId="3165" xr:uid="{00000000-0005-0000-0000-0000540C0000}"/>
    <cellStyle name="_Column1_Reference salaries CEE 2007" xfId="3166" xr:uid="{00000000-0005-0000-0000-0000550C0000}"/>
    <cellStyle name="_Column1_Reference salaries CEE 2007 2" xfId="3167" xr:uid="{00000000-0005-0000-0000-0000560C0000}"/>
    <cellStyle name="_Column1_Reference salaries CEE 2007 2 2" xfId="3168" xr:uid="{00000000-0005-0000-0000-0000570C0000}"/>
    <cellStyle name="_Column1_Reference salaries CEE 2007 3" xfId="3169" xr:uid="{00000000-0005-0000-0000-0000580C0000}"/>
    <cellStyle name="_Column1_Reference salaries CEE 2007_Copy of 081027 ZBB Budget 2009 Decks - People_Cherry_V4" xfId="3170" xr:uid="{00000000-0005-0000-0000-0000590C0000}"/>
    <cellStyle name="_Column1_Reference salaries CEE 2007_Copy of 081027 ZBB Budget 2009 Decks - People_Cherry_V4 2" xfId="3171" xr:uid="{00000000-0005-0000-0000-00005A0C0000}"/>
    <cellStyle name="_Column1_Reference salaries CEE 2007_Copy of 081027 ZBB Budget 2009 Decks - People_Cherry_V4 2 2" xfId="3172" xr:uid="{00000000-0005-0000-0000-00005B0C0000}"/>
    <cellStyle name="_Column1_Reference salaries CEE 2007_Copy of 081027 ZBB Budget 2009 Decks - People_Cherry_V4 3" xfId="3173" xr:uid="{00000000-0005-0000-0000-00005C0C0000}"/>
    <cellStyle name="_Column1_Reference salaries CEE 2007_ZBB Budget 2009 Decks" xfId="3174" xr:uid="{00000000-0005-0000-0000-00005D0C0000}"/>
    <cellStyle name="_Column1_Reference salaries CEE 2007_ZBB Budget 2009 Decks 2" xfId="3175" xr:uid="{00000000-0005-0000-0000-00005E0C0000}"/>
    <cellStyle name="_Column1_Reference salaries CEE 2007_ZBB Budget 2009 Decks 2 2" xfId="3176" xr:uid="{00000000-0005-0000-0000-00005F0C0000}"/>
    <cellStyle name="_Column1_Reference salaries CEE 2007_ZBB Budget 2009 Decks 3" xfId="3177" xr:uid="{00000000-0005-0000-0000-0000600C0000}"/>
    <cellStyle name="_Column1_Reference salaries CEE 2007_ZBB Budget 2009 Decks_with Korea Scope in (Only LE)" xfId="3178" xr:uid="{00000000-0005-0000-0000-0000610C0000}"/>
    <cellStyle name="_Column1_Reference salaries CEE 2007_ZBB Budget 2009 Decks_with Korea Scope in (Only LE) (2)" xfId="3179" xr:uid="{00000000-0005-0000-0000-0000620C0000}"/>
    <cellStyle name="_Column1_Reference salaries CEE 2007_ZBB Budget 2009 Decks_with Korea Scope in (Only LE) (2) 2" xfId="3180" xr:uid="{00000000-0005-0000-0000-0000630C0000}"/>
    <cellStyle name="_Column1_Reference salaries CEE 2007_ZBB Budget 2009 Decks_with Korea Scope in (Only LE) (2) 2 2" xfId="3181" xr:uid="{00000000-0005-0000-0000-0000640C0000}"/>
    <cellStyle name="_Column1_Reference salaries CEE 2007_ZBB Budget 2009 Decks_with Korea Scope in (Only LE) (2) 3" xfId="3182" xr:uid="{00000000-0005-0000-0000-0000650C0000}"/>
    <cellStyle name="_Column1_Reference salaries CEE 2007_ZBB Budget 2009 Decks_with Korea Scope in (Only LE) 2" xfId="3183" xr:uid="{00000000-0005-0000-0000-0000660C0000}"/>
    <cellStyle name="_Column1_Reference salaries CEE 2007_ZBB Budget 2009 Decks_with Korea Scope in (Only LE) 2 2" xfId="3184" xr:uid="{00000000-0005-0000-0000-0000670C0000}"/>
    <cellStyle name="_Column1_Reference salaries CEE 2007_ZBB Budget 2009 Decks_with Korea Scope in (Only LE) 3" xfId="3185" xr:uid="{00000000-0005-0000-0000-0000680C0000}"/>
    <cellStyle name="_Column1_Reference salaries CEE 2007_ZBB Budget 2009 Decks_with Korea Scope in (Only LE) 3 2" xfId="3186" xr:uid="{00000000-0005-0000-0000-0000690C0000}"/>
    <cellStyle name="_Column1_Reference salaries CEE 2007_ZBB Budget 2009 Decks_with Korea Scope in (Only LE) 4" xfId="3187" xr:uid="{00000000-0005-0000-0000-00006A0C0000}"/>
    <cellStyle name="_Column1_Reference salaries CEE 2007_ZBB Budget 2009 Decks_with Korea Scope in (Only LE) 5" xfId="3188" xr:uid="{00000000-0005-0000-0000-00006B0C0000}"/>
    <cellStyle name="_Column1_Report Inbev FINANCE November 06" xfId="3189" xr:uid="{00000000-0005-0000-0000-00006C0C0000}"/>
    <cellStyle name="_Column1_Report Inbev FINANCE November 06 2" xfId="3190" xr:uid="{00000000-0005-0000-0000-00006D0C0000}"/>
    <cellStyle name="_Column1_Report Inbev FINANCE November 06 3" xfId="3191" xr:uid="{00000000-0005-0000-0000-00006E0C0000}"/>
    <cellStyle name="_Column1_Report Inbev FINANCE November 06 3 2" xfId="3192" xr:uid="{00000000-0005-0000-0000-00006F0C0000}"/>
    <cellStyle name="_Column1_Report Inbev FINANCE November 06_BB (2)" xfId="3193" xr:uid="{00000000-0005-0000-0000-0000700C0000}"/>
    <cellStyle name="_Column1_Report Inbev FINANCE November 06_C00200" xfId="3194" xr:uid="{00000000-0005-0000-0000-0000710C0000}"/>
    <cellStyle name="_Column1_Report Inbev FINANCE November 06_C00210" xfId="3195" xr:uid="{00000000-0005-0000-0000-0000720C0000}"/>
    <cellStyle name="_Column1_Report Inbev FINANCE November 06_C00300" xfId="3196" xr:uid="{00000000-0005-0000-0000-0000730C0000}"/>
    <cellStyle name="_Column1_Report Inbev FINANCE November 06_C00400" xfId="3197" xr:uid="{00000000-0005-0000-0000-0000740C0000}"/>
    <cellStyle name="_Column1_Report Inbev FINANCE November 06_check6" xfId="3198" xr:uid="{00000000-0005-0000-0000-0000750C0000}"/>
    <cellStyle name="_Column1_Report Inbev FINANCE November 06_Sheet1" xfId="3199" xr:uid="{00000000-0005-0000-0000-0000760C0000}"/>
    <cellStyle name="_Column1_Report Inbev FINANCE November 06_Sheet1 (5)" xfId="3200" xr:uid="{00000000-0005-0000-0000-0000770C0000}"/>
    <cellStyle name="_Column1_Report Inbev FINANCE November 06_Sheet2" xfId="3201" xr:uid="{00000000-0005-0000-0000-0000780C0000}"/>
    <cellStyle name="_Column1_Report Inbev FINANCE November 06_Sheet3" xfId="3202" xr:uid="{00000000-0005-0000-0000-0000790C0000}"/>
    <cellStyle name="_Column1_Report Inbev FINANCE November 06_status" xfId="3203" xr:uid="{00000000-0005-0000-0000-00007A0C0000}"/>
    <cellStyle name="_Column1_Return rates" xfId="3204" xr:uid="{00000000-0005-0000-0000-00007B0C0000}"/>
    <cellStyle name="_Column1_Return rates 2" xfId="3205" xr:uid="{00000000-0005-0000-0000-00007C0C0000}"/>
    <cellStyle name="_Column1_Return rates_Sheet1" xfId="3206" xr:uid="{00000000-0005-0000-0000-00007D0C0000}"/>
    <cellStyle name="_Column1_Return rates_Sm Proj Cash Flow" xfId="3207" xr:uid="{00000000-0005-0000-0000-00007E0C0000}"/>
    <cellStyle name="_Column1_Return rates_Spend Detail" xfId="3208" xr:uid="{00000000-0005-0000-0000-00007F0C0000}"/>
    <cellStyle name="_Column1_Return rates_SustainingProjectList" xfId="3209" xr:uid="{00000000-0005-0000-0000-0000800C0000}"/>
    <cellStyle name="_Column1_Returnable Packaging" xfId="3210" xr:uid="{00000000-0005-0000-0000-0000810C0000}"/>
    <cellStyle name="_Column1_Returnable Packaging Prices 2008 (2)" xfId="3211" xr:uid="{00000000-0005-0000-0000-0000820C0000}"/>
    <cellStyle name="_Column1_Returnable Packaging Prices 2008 (2) 2" xfId="3212" xr:uid="{00000000-0005-0000-0000-0000830C0000}"/>
    <cellStyle name="_Column1_Returnable Packaging Prices 2008 (2)_Sheet1" xfId="3213" xr:uid="{00000000-0005-0000-0000-0000840C0000}"/>
    <cellStyle name="_Column1_Returnable Packaging Prices 2008 (2)_Sm Proj Cash Flow" xfId="3214" xr:uid="{00000000-0005-0000-0000-0000850C0000}"/>
    <cellStyle name="_Column1_Returnable Packaging Prices 2008 (2)_Spend Detail" xfId="3215" xr:uid="{00000000-0005-0000-0000-0000860C0000}"/>
    <cellStyle name="_Column1_Returnable Packaging Prices 2008 (2)_SustainingProjectList" xfId="3216" xr:uid="{00000000-0005-0000-0000-0000870C0000}"/>
    <cellStyle name="_Column1_RFFS 11020 Logpack 24 02 09" xfId="3217" xr:uid="{00000000-0005-0000-0000-0000880C0000}"/>
    <cellStyle name="_Column1_RFFS 11020 Logpack 24 02 09 2" xfId="3218" xr:uid="{00000000-0005-0000-0000-0000890C0000}"/>
    <cellStyle name="_Column1_RFFS 11022 St Pauli Seasonals 'Winterbeer' 4x6 35,5cl (MF 27.02.2009)" xfId="3219" xr:uid="{00000000-0005-0000-0000-00008A0C0000}"/>
    <cellStyle name="_Column1_RFFS 11022 St Pauli Seasonals 'Winterbeer' 4x6 35,5cl (MF 27.02.2009) 2" xfId="3220" xr:uid="{00000000-0005-0000-0000-00008B0C0000}"/>
    <cellStyle name="_Column1_RFFS 11023 St Pauli Seasonals 'Oktoberfest' 4x6 35,5cl (MF 27.02.2009)" xfId="3221" xr:uid="{00000000-0005-0000-0000-00008C0C0000}"/>
    <cellStyle name="_Column1_RFFS 11023 St Pauli Seasonals 'Oktoberfest' 4x6 35,5cl (MF 27.02.2009) 2" xfId="3222" xr:uid="{00000000-0005-0000-0000-00008D0C0000}"/>
    <cellStyle name="_Column1_RFFS 11024 St Pauli Seasonals 'Bockbier' 4x6 35,5cl (MF 27.02.2009)" xfId="3223" xr:uid="{00000000-0005-0000-0000-00008E0C0000}"/>
    <cellStyle name="_Column1_RFFS 11024 St Pauli Seasonals 'Bockbier' 4x6 35,5cl (MF 27.02.2009) 2" xfId="3224" xr:uid="{00000000-0005-0000-0000-00008F0C0000}"/>
    <cellStyle name="_Column1_RFFS 11025 St Pauli Seasonals 'Summerbeer' 4x6 35,5cl (MF 27.02.2009)" xfId="3225" xr:uid="{00000000-0005-0000-0000-0000900C0000}"/>
    <cellStyle name="_Column1_RFFS 11025 St Pauli Seasonals 'Summerbeer' 4x6 35,5cl (MF 27.02.2009) 2" xfId="3226" xr:uid="{00000000-0005-0000-0000-0000910C0000}"/>
    <cellStyle name="_Column1_RFFS 11027 LB Original Neck Label" xfId="3227" xr:uid="{00000000-0005-0000-0000-0000920C0000}"/>
    <cellStyle name="_Column1_RFFS 11027 LB Original Neck Label 2" xfId="3228" xr:uid="{00000000-0005-0000-0000-0000930C0000}"/>
    <cellStyle name="_Column1_RFFS 11034 Becks 8x0,5lcan halfchep CH" xfId="3229" xr:uid="{00000000-0005-0000-0000-0000940C0000}"/>
    <cellStyle name="_Column1_RFFS 11034 Becks 8x0,5lcan halfchep CH 2" xfId="3230" xr:uid="{00000000-0005-0000-0000-0000950C0000}"/>
    <cellStyle name="_Column1_RFFS 11037 Haake-Beck back labels" xfId="3231" xr:uid="{00000000-0005-0000-0000-0000960C0000}"/>
    <cellStyle name="_Column1_RFFS 11037 Haake-Beck back labels 2" xfId="3232" xr:uid="{00000000-0005-0000-0000-0000970C0000}"/>
    <cellStyle name="_Column1_RFFS 11051 LB PGI crown cap" xfId="3233" xr:uid="{00000000-0005-0000-0000-0000980C0000}"/>
    <cellStyle name="_Column1_RFFS 11051 LB PGI crown cap 2" xfId="3234" xr:uid="{00000000-0005-0000-0000-0000990C0000}"/>
    <cellStyle name="_Column1_RFFS 11055 Becks Pils CAN Cross Filling in Munich" xfId="3235" xr:uid="{00000000-0005-0000-0000-00009A0C0000}"/>
    <cellStyle name="_Column1_RFFS 11055 Becks Pils CAN Cross Filling in Munich 2" xfId="3236" xr:uid="{00000000-0005-0000-0000-00009B0C0000}"/>
    <cellStyle name="_Column1_RFFS 11056 LB PGI can end" xfId="3237" xr:uid="{00000000-0005-0000-0000-00009C0C0000}"/>
    <cellStyle name="_Column1_RFFS 11056 LB PGI can end 2" xfId="3238" xr:uid="{00000000-0005-0000-0000-00009D0C0000}"/>
    <cellStyle name="_Column1_RFFS 11058 Chromium plus_TFS-TCA Beck's UPDATE 250309" xfId="3239" xr:uid="{00000000-0005-0000-0000-00009E0C0000}"/>
    <cellStyle name="_Column1_RFFS 11058 Chromium plus_TFS-TCA Beck's UPDATE 250309 2" xfId="3240" xr:uid="{00000000-0005-0000-0000-00009F0C0000}"/>
    <cellStyle name="_Column1_RFFS 11064 LB Alkoholfrei Back Label" xfId="3241" xr:uid="{00000000-0005-0000-0000-0000A00C0000}"/>
    <cellStyle name="_Column1_RFFS 11064 LB Alkoholfrei Back Label 2" xfId="3242" xr:uid="{00000000-0005-0000-0000-0000A10C0000}"/>
    <cellStyle name="_Column1_RFFS 11073 Franz 5L Partycan v2" xfId="3243" xr:uid="{00000000-0005-0000-0000-0000A20C0000}"/>
    <cellStyle name="_Column1_RFFS 11073 Franz 5L Partycan v2 2" xfId="3244" xr:uid="{00000000-0005-0000-0000-0000A30C0000}"/>
    <cellStyle name="_Column1_RFFS 11079 Becks Ice Logipack" xfId="3245" xr:uid="{00000000-0005-0000-0000-0000A40C0000}"/>
    <cellStyle name="_Column1_RFFS 11079 Becks Ice Logipack 2" xfId="3246" xr:uid="{00000000-0005-0000-0000-0000A50C0000}"/>
    <cellStyle name="_Column1_RFFS 11083 Art Labels Beck's 5%" xfId="3247" xr:uid="{00000000-0005-0000-0000-0000A60C0000}"/>
    <cellStyle name="_Column1_RFFS 11083 Art Labels Beck's 5% 2" xfId="3248" xr:uid="{00000000-0005-0000-0000-0000A70C0000}"/>
    <cellStyle name="_Column1_RFFS 11089 promotion RE Franziskaner" xfId="3249" xr:uid="{00000000-0005-0000-0000-0000A80C0000}"/>
    <cellStyle name="_Column1_RFFS 11089 promotion RE Franziskaner 2" xfId="3250" xr:uid="{00000000-0005-0000-0000-0000A90C0000}"/>
    <cellStyle name="_Column1_RFFS 11095 61177 Franziskaner 24x0,5l can" xfId="3251" xr:uid="{00000000-0005-0000-0000-0000AA0C0000}"/>
    <cellStyle name="_Column1_RFFS 11095 61177 Franziskaner 24x0,5l can 2" xfId="3252" xr:uid="{00000000-0005-0000-0000-0000AB0C0000}"/>
    <cellStyle name="_Column1_RFFS Haake-Beck Sixpack 0309" xfId="3253" xr:uid="{00000000-0005-0000-0000-0000AC0C0000}"/>
    <cellStyle name="_Column1_RFFS Haake-Beck Sixpack 0309 2" xfId="3254" xr:uid="{00000000-0005-0000-0000-0000AD0C0000}"/>
    <cellStyle name="_Column1_RFFS SUBMISSION TO VPs" xfId="3255" xr:uid="{00000000-0005-0000-0000-0000AE0C0000}"/>
    <cellStyle name="_Column1_RFFS_NewSKU(Beck's_8x05lcan_halfchep)_Switzerland (3)" xfId="3256" xr:uid="{00000000-0005-0000-0000-0000AF0C0000}"/>
    <cellStyle name="_Column1_RFFS_NewSKU(Beck's_8x05lcan_halfchep)_Switzerland (3) 2" xfId="3257" xr:uid="{00000000-0005-0000-0000-0000B00C0000}"/>
    <cellStyle name="_Column1_RFFS_SUBMISSION_TO_VPs _v2" xfId="3258" xr:uid="{00000000-0005-0000-0000-0000B10C0000}"/>
    <cellStyle name="_Column1_Riesgos - Oportunidades" xfId="3259" xr:uid="{00000000-0005-0000-0000-0000B20C0000}"/>
    <cellStyle name="_Column1_Riesgos - Oportunidades 2" xfId="3260" xr:uid="{00000000-0005-0000-0000-0000B30C0000}"/>
    <cellStyle name="_Column1_Riesgos - Oportunidades 2 2" xfId="3261" xr:uid="{00000000-0005-0000-0000-0000B40C0000}"/>
    <cellStyle name="_Column1_Riesgos - Oportunidades 3" xfId="3262" xr:uid="{00000000-0005-0000-0000-0000B50C0000}"/>
    <cellStyle name="_Column1_Rüstzeit" xfId="3263" xr:uid="{00000000-0005-0000-0000-0000B60C0000}"/>
    <cellStyle name="_Column1_Rüstzeit_Sheet5" xfId="3264" xr:uid="{00000000-0005-0000-0000-0000B70C0000}"/>
    <cellStyle name="_Column1_RW_Mutteranlge" xfId="3265" xr:uid="{00000000-0005-0000-0000-0000B80C0000}"/>
    <cellStyle name="_Column1_RW_Mutteranlge_Sheet5" xfId="3266" xr:uid="{00000000-0005-0000-0000-0000B90C0000}"/>
    <cellStyle name="_Column1_RW4" xfId="3267" xr:uid="{00000000-0005-0000-0000-0000BA0C0000}"/>
    <cellStyle name="_Column1_RW4 2" xfId="3268" xr:uid="{00000000-0005-0000-0000-0000BB0C0000}"/>
    <cellStyle name="_Column1_RW4 3" xfId="3269" xr:uid="{00000000-0005-0000-0000-0000BC0C0000}"/>
    <cellStyle name="_Column1_RW4 3 2" xfId="3270" xr:uid="{00000000-0005-0000-0000-0000BD0C0000}"/>
    <cellStyle name="_Column1_RW4 3 3" xfId="3271" xr:uid="{00000000-0005-0000-0000-0000BE0C0000}"/>
    <cellStyle name="_Column1_RW4 3 3 2" xfId="3272" xr:uid="{00000000-0005-0000-0000-0000BF0C0000}"/>
    <cellStyle name="_Column1_RW4 4" xfId="3273" xr:uid="{00000000-0005-0000-0000-0000C00C0000}"/>
    <cellStyle name="_Column1_RW4 4 2" xfId="3274" xr:uid="{00000000-0005-0000-0000-0000C10C0000}"/>
    <cellStyle name="_Column1_RW4_Sheet5" xfId="3275" xr:uid="{00000000-0005-0000-0000-0000C20C0000}"/>
    <cellStyle name="_Column1_S&amp;D Italy" xfId="3276" xr:uid="{00000000-0005-0000-0000-0000C30C0000}"/>
    <cellStyle name="_Column1_S&amp;D Italy ZBB LE2 Challenge TEMPLATE 11.09.07" xfId="3277" xr:uid="{00000000-0005-0000-0000-0000C40C0000}"/>
    <cellStyle name="_Column1_S&amp;D Italy ZBB LE2 Challenge TEMPLATE 11.09.07 2" xfId="3278" xr:uid="{00000000-0005-0000-0000-0000C50C0000}"/>
    <cellStyle name="_Column1_S&amp;D Italy ZBB LE2 Challenge TEMPLATE 11.09.07 3" xfId="3279" xr:uid="{00000000-0005-0000-0000-0000C60C0000}"/>
    <cellStyle name="_Column1_S&amp;D Italy ZBB LE2 Challenge TEMPLATE 11.09.07 3 2" xfId="3280" xr:uid="{00000000-0005-0000-0000-0000C70C0000}"/>
    <cellStyle name="_Column1_Sales" xfId="3281" xr:uid="{00000000-0005-0000-0000-0000C80C0000}"/>
    <cellStyle name="_Column1_Sales Daten" xfId="3282" xr:uid="{00000000-0005-0000-0000-0000C90C0000}"/>
    <cellStyle name="_Column1_Sales On-Trade" xfId="3283" xr:uid="{00000000-0005-0000-0000-0000CA0C0000}"/>
    <cellStyle name="_Column1_Sales Volume in 000HL - YTD February" xfId="3284" xr:uid="{00000000-0005-0000-0000-0000CB0C0000}"/>
    <cellStyle name="_Column1_Sales Volume in 000HL - YTD February 2" xfId="3285" xr:uid="{00000000-0005-0000-0000-0000CC0C0000}"/>
    <cellStyle name="_Column1_Sales Volume in 000HL - YTD February_Sheet1" xfId="3286" xr:uid="{00000000-0005-0000-0000-0000CD0C0000}"/>
    <cellStyle name="_Column1_Sales Volume in 000HL - YTD February_SustainingProjectList" xfId="3287" xr:uid="{00000000-0005-0000-0000-0000CE0C0000}"/>
    <cellStyle name="_Column1_SCFD_FLACON" xfId="3288" xr:uid="{00000000-0005-0000-0000-0000CF0C0000}"/>
    <cellStyle name="_Column1_SCFD_FLACON 2" xfId="3289" xr:uid="{00000000-0005-0000-0000-0000D00C0000}"/>
    <cellStyle name="_Column1_SCFD_FLACON 3" xfId="3290" xr:uid="{00000000-0005-0000-0000-0000D10C0000}"/>
    <cellStyle name="_Column1_SCFD_FLACON 3 2" xfId="3291" xr:uid="{00000000-0005-0000-0000-0000D20C0000}"/>
    <cellStyle name="_Column1_SCFD_FLACON 3 3" xfId="3292" xr:uid="{00000000-0005-0000-0000-0000D30C0000}"/>
    <cellStyle name="_Column1_SCFD_FLACON 3 3 2" xfId="3293" xr:uid="{00000000-0005-0000-0000-0000D40C0000}"/>
    <cellStyle name="_Column1_SCFD_FLACON 4" xfId="3294" xr:uid="{00000000-0005-0000-0000-0000D50C0000}"/>
    <cellStyle name="_Column1_SCFD_FLACON 4 2" xfId="3295" xr:uid="{00000000-0005-0000-0000-0000D60C0000}"/>
    <cellStyle name="_Column1_SCFD_FLACON_Sheet5" xfId="3296" xr:uid="{00000000-0005-0000-0000-0000D70C0000}"/>
    <cellStyle name="_Column1_Scope_Dinkelacker_2006" xfId="3297" xr:uid="{00000000-0005-0000-0000-0000D80C0000}"/>
    <cellStyle name="_Column1_Scope_Wolters Budget 2007" xfId="3298" xr:uid="{00000000-0005-0000-0000-0000D90C0000}"/>
    <cellStyle name="_Column1_SDG FEV" xfId="3299" xr:uid="{00000000-0005-0000-0000-0000DA0C0000}"/>
    <cellStyle name="_Column1_SDG FEV 2" xfId="3300" xr:uid="{00000000-0005-0000-0000-0000DB0C0000}"/>
    <cellStyle name="_Column1_SDG FEV 2 2" xfId="3301" xr:uid="{00000000-0005-0000-0000-0000DC0C0000}"/>
    <cellStyle name="_Column1_SDG FEV 3" xfId="3302" xr:uid="{00000000-0005-0000-0000-0000DD0C0000}"/>
    <cellStyle name="_Column1_SF_Volumes &amp; Maco pro hl Haake-Beck Budget 2009" xfId="3303" xr:uid="{00000000-0005-0000-0000-0000DE0C0000}"/>
    <cellStyle name="_Column1_SF_Volumes &amp; Maco pro hl Haake-Beck Budget 2009_RFFS SUBMISSION TO VPs" xfId="3304" xr:uid="{00000000-0005-0000-0000-0000DF0C0000}"/>
    <cellStyle name="_Column1_SF_Volumes &amp; Maco pro hl Haake-Beck Budget 2009_RFFS_SUBMISSION_TO_VPs _v2" xfId="3305" xr:uid="{00000000-0005-0000-0000-0000E00C0000}"/>
    <cellStyle name="_Column1_Sheet1" xfId="3306" xr:uid="{00000000-0005-0000-0000-0000E10C0000}"/>
    <cellStyle name="_Column1_Sheet1 (2)" xfId="3307" xr:uid="{00000000-0005-0000-0000-0000E20C0000}"/>
    <cellStyle name="_Column1_Sheet1 (2) 2" xfId="3308" xr:uid="{00000000-0005-0000-0000-0000E30C0000}"/>
    <cellStyle name="_Column1_Sheet1 (2) 3" xfId="3309" xr:uid="{00000000-0005-0000-0000-0000E40C0000}"/>
    <cellStyle name="_Column1_Sheet1 (2) 3 2" xfId="3310" xr:uid="{00000000-0005-0000-0000-0000E50C0000}"/>
    <cellStyle name="_Column1_Sheet1 (5)" xfId="3311" xr:uid="{00000000-0005-0000-0000-0000E60C0000}"/>
    <cellStyle name="_Column1_Sheet1 (6)" xfId="3312" xr:uid="{00000000-0005-0000-0000-0000E70C0000}"/>
    <cellStyle name="_Column1_Sheet1 10" xfId="3313" xr:uid="{00000000-0005-0000-0000-0000E80C0000}"/>
    <cellStyle name="_Column1_Sheet1 11" xfId="3314" xr:uid="{00000000-0005-0000-0000-0000E90C0000}"/>
    <cellStyle name="_Column1_Sheet1 11 2" xfId="3315" xr:uid="{00000000-0005-0000-0000-0000EA0C0000}"/>
    <cellStyle name="_Column1_Sheet1 12" xfId="3316" xr:uid="{00000000-0005-0000-0000-0000EB0C0000}"/>
    <cellStyle name="_Column1_Sheet1 12 2" xfId="3317" xr:uid="{00000000-0005-0000-0000-0000EC0C0000}"/>
    <cellStyle name="_Column1_Sheet1 13" xfId="3318" xr:uid="{00000000-0005-0000-0000-0000ED0C0000}"/>
    <cellStyle name="_Column1_Sheet1 13 2" xfId="3319" xr:uid="{00000000-0005-0000-0000-0000EE0C0000}"/>
    <cellStyle name="_Column1_Sheet1 14" xfId="3320" xr:uid="{00000000-0005-0000-0000-0000EF0C0000}"/>
    <cellStyle name="_Column1_Sheet1 14 2" xfId="3321" xr:uid="{00000000-0005-0000-0000-0000F00C0000}"/>
    <cellStyle name="_Column1_Sheet1 15" xfId="3322" xr:uid="{00000000-0005-0000-0000-0000F10C0000}"/>
    <cellStyle name="_Column1_Sheet1 15 2" xfId="3323" xr:uid="{00000000-0005-0000-0000-0000F20C0000}"/>
    <cellStyle name="_Column1_Sheet1 16" xfId="3324" xr:uid="{00000000-0005-0000-0000-0000F30C0000}"/>
    <cellStyle name="_Column1_Sheet1 17" xfId="3325" xr:uid="{00000000-0005-0000-0000-0000F40C0000}"/>
    <cellStyle name="_Column1_Sheet1 18" xfId="3326" xr:uid="{00000000-0005-0000-0000-0000F50C0000}"/>
    <cellStyle name="_Column1_Sheet1 19" xfId="3327" xr:uid="{00000000-0005-0000-0000-0000F60C0000}"/>
    <cellStyle name="_Column1_Sheet1 2" xfId="3328" xr:uid="{00000000-0005-0000-0000-0000F70C0000}"/>
    <cellStyle name="_Column1_Sheet1 2 2" xfId="3329" xr:uid="{00000000-0005-0000-0000-0000F80C0000}"/>
    <cellStyle name="_Column1_Sheet1 20" xfId="3330" xr:uid="{00000000-0005-0000-0000-0000F90C0000}"/>
    <cellStyle name="_Column1_Sheet1 21" xfId="3331" xr:uid="{00000000-0005-0000-0000-0000FA0C0000}"/>
    <cellStyle name="_Column1_Sheet1 22" xfId="3332" xr:uid="{00000000-0005-0000-0000-0000FB0C0000}"/>
    <cellStyle name="_Column1_Sheet1 23" xfId="3333" xr:uid="{00000000-0005-0000-0000-0000FC0C0000}"/>
    <cellStyle name="_Column1_Sheet1 24" xfId="3334" xr:uid="{00000000-0005-0000-0000-0000FD0C0000}"/>
    <cellStyle name="_Column1_Sheet1 25" xfId="3335" xr:uid="{00000000-0005-0000-0000-0000FE0C0000}"/>
    <cellStyle name="_Column1_Sheet1 3" xfId="3336" xr:uid="{00000000-0005-0000-0000-0000FF0C0000}"/>
    <cellStyle name="_Column1_Sheet1 4" xfId="3337" xr:uid="{00000000-0005-0000-0000-0000000D0000}"/>
    <cellStyle name="_Column1_Sheet1 5" xfId="3338" xr:uid="{00000000-0005-0000-0000-0000010D0000}"/>
    <cellStyle name="_Column1_Sheet1 5 2" xfId="3339" xr:uid="{00000000-0005-0000-0000-0000020D0000}"/>
    <cellStyle name="_Column1_Sheet1 5 3" xfId="3340" xr:uid="{00000000-0005-0000-0000-0000030D0000}"/>
    <cellStyle name="_Column1_Sheet1 5 3 2" xfId="3341" xr:uid="{00000000-0005-0000-0000-0000040D0000}"/>
    <cellStyle name="_Column1_Sheet1 6" xfId="3342" xr:uid="{00000000-0005-0000-0000-0000050D0000}"/>
    <cellStyle name="_Column1_Sheet1 6 2" xfId="3343" xr:uid="{00000000-0005-0000-0000-0000060D0000}"/>
    <cellStyle name="_Column1_Sheet1 6 3" xfId="3344" xr:uid="{00000000-0005-0000-0000-0000070D0000}"/>
    <cellStyle name="_Column1_Sheet1 6 3 2" xfId="3345" xr:uid="{00000000-0005-0000-0000-0000080D0000}"/>
    <cellStyle name="_Column1_Sheet1 7" xfId="3346" xr:uid="{00000000-0005-0000-0000-0000090D0000}"/>
    <cellStyle name="_Column1_Sheet1 8" xfId="3347" xr:uid="{00000000-0005-0000-0000-00000A0D0000}"/>
    <cellStyle name="_Column1_Sheet1 9" xfId="3348" xr:uid="{00000000-0005-0000-0000-00000B0D0000}"/>
    <cellStyle name="_Column1_Sheet1_1" xfId="3349" xr:uid="{00000000-0005-0000-0000-00000C0D0000}"/>
    <cellStyle name="_Column1_Sheet1_1_Agosto 2007 Deck vers 30.8.07" xfId="3350" xr:uid="{00000000-0005-0000-0000-00000D0D0000}"/>
    <cellStyle name="_Column1_Sheet1_1_Analisi vol ott" xfId="3351" xr:uid="{00000000-0005-0000-0000-00000E0D0000}"/>
    <cellStyle name="_Column1_Sheet1_1_Analisi vol ott_BB (2)" xfId="3352" xr:uid="{00000000-0005-0000-0000-00000F0D0000}"/>
    <cellStyle name="_Column1_Sheet1_1_Analisi vol ott_C00200" xfId="3353" xr:uid="{00000000-0005-0000-0000-0000100D0000}"/>
    <cellStyle name="_Column1_Sheet1_1_Analisi vol ott_C00210" xfId="3354" xr:uid="{00000000-0005-0000-0000-0000110D0000}"/>
    <cellStyle name="_Column1_Sheet1_1_Analisi vol ott_C00300" xfId="3355" xr:uid="{00000000-0005-0000-0000-0000120D0000}"/>
    <cellStyle name="_Column1_Sheet1_1_Analisi vol ott_C00400" xfId="3356" xr:uid="{00000000-0005-0000-0000-0000130D0000}"/>
    <cellStyle name="_Column1_Sheet1_1_Analisi vol ott_check6" xfId="3357" xr:uid="{00000000-0005-0000-0000-0000140D0000}"/>
    <cellStyle name="_Column1_Sheet1_1_Analisi vol ott_Sheet1" xfId="3358" xr:uid="{00000000-0005-0000-0000-0000150D0000}"/>
    <cellStyle name="_Column1_Sheet1_1_Analisi vol ott_Sheet1 (5)" xfId="3359" xr:uid="{00000000-0005-0000-0000-0000160D0000}"/>
    <cellStyle name="_Column1_Sheet1_1_Analisi vol ott_Sheet2" xfId="3360" xr:uid="{00000000-0005-0000-0000-0000170D0000}"/>
    <cellStyle name="_Column1_Sheet1_1_Analisi vol ott_Sheet3" xfId="3361" xr:uid="{00000000-0005-0000-0000-0000180D0000}"/>
    <cellStyle name="_Column1_Sheet1_1_Analisi vol ott_status" xfId="3362" xr:uid="{00000000-0005-0000-0000-0000190D0000}"/>
    <cellStyle name="_Column1_Sheet1_1_BACK UP FIGURES for PRESENTATION LE1" xfId="3363" xr:uid="{00000000-0005-0000-0000-00001A0D0000}"/>
    <cellStyle name="_Column1_Sheet1_1_Comm depr SP 08-10" xfId="3364" xr:uid="{00000000-0005-0000-0000-00001B0D0000}"/>
    <cellStyle name="_Column1_Sheet1_1_LE1 - file x Francesca 19.7.07" xfId="3365" xr:uid="{00000000-0005-0000-0000-00001C0D0000}"/>
    <cellStyle name="_Column1_Sheet1_1_Maco IN MACO e ITW Gennaio" xfId="3366" xr:uid="{00000000-0005-0000-0000-00001D0D0000}"/>
    <cellStyle name="_Column1_Sheet1_1_Maco LE1 vers 30.4.07" xfId="3367" xr:uid="{00000000-0005-0000-0000-00001E0D0000}"/>
    <cellStyle name="_Column1_Sheet1_1_Maco LE1 vers 30.4.07 2" xfId="3368" xr:uid="{00000000-0005-0000-0000-00001F0D0000}"/>
    <cellStyle name="_Column1_Sheet1_1_Maco LE1 vers 30.4.07 3" xfId="3369" xr:uid="{00000000-0005-0000-0000-0000200D0000}"/>
    <cellStyle name="_Column1_Sheet1_1_Maco LE1 vers 30.4.07 3 2" xfId="3370" xr:uid="{00000000-0005-0000-0000-0000210D0000}"/>
    <cellStyle name="_Column1_Sheet1_1_Maco LE1 vers 30.4.07 PER PRESENTAZ" xfId="3371" xr:uid="{00000000-0005-0000-0000-0000220D0000}"/>
    <cellStyle name="_Column1_Sheet1_1_Maco LE1 vers 30.4.07 PER PRESENTAZ 2" xfId="3372" xr:uid="{00000000-0005-0000-0000-0000230D0000}"/>
    <cellStyle name="_Column1_Sheet1_1_Maco LE1 vers 30.4.07 PER PRESENTAZ 3" xfId="3373" xr:uid="{00000000-0005-0000-0000-0000240D0000}"/>
    <cellStyle name="_Column1_Sheet1_1_Maco LE1 vers 30.4.07 PER PRESENTAZ 3 2" xfId="3374" xr:uid="{00000000-0005-0000-0000-0000250D0000}"/>
    <cellStyle name="_Column1_Sheet1_1_Maco LE1 vers 30.4.07 PER PRESENTAZ_BB (2)" xfId="3375" xr:uid="{00000000-0005-0000-0000-0000260D0000}"/>
    <cellStyle name="_Column1_Sheet1_1_Maco LE1 vers 30.4.07 PER PRESENTAZ_C00200" xfId="3376" xr:uid="{00000000-0005-0000-0000-0000270D0000}"/>
    <cellStyle name="_Column1_Sheet1_1_Maco LE1 vers 30.4.07 PER PRESENTAZ_C00210" xfId="3377" xr:uid="{00000000-0005-0000-0000-0000280D0000}"/>
    <cellStyle name="_Column1_Sheet1_1_Maco LE1 vers 30.4.07 PER PRESENTAZ_C00300" xfId="3378" xr:uid="{00000000-0005-0000-0000-0000290D0000}"/>
    <cellStyle name="_Column1_Sheet1_1_Maco LE1 vers 30.4.07 PER PRESENTAZ_C00400" xfId="3379" xr:uid="{00000000-0005-0000-0000-00002A0D0000}"/>
    <cellStyle name="_Column1_Sheet1_1_Maco LE1 vers 30.4.07 PER PRESENTAZ_check6" xfId="3380" xr:uid="{00000000-0005-0000-0000-00002B0D0000}"/>
    <cellStyle name="_Column1_Sheet1_1_Maco LE1 vers 30.4.07 PER PRESENTAZ_Sheet1" xfId="3381" xr:uid="{00000000-0005-0000-0000-00002C0D0000}"/>
    <cellStyle name="_Column1_Sheet1_1_Maco LE1 vers 30.4.07 PER PRESENTAZ_Sheet1 (5)" xfId="3382" xr:uid="{00000000-0005-0000-0000-00002D0D0000}"/>
    <cellStyle name="_Column1_Sheet1_1_Maco LE1 vers 30.4.07 PER PRESENTAZ_Sheet2" xfId="3383" xr:uid="{00000000-0005-0000-0000-00002E0D0000}"/>
    <cellStyle name="_Column1_Sheet1_1_Maco LE1 vers 30.4.07 PER PRESENTAZ_Sheet3" xfId="3384" xr:uid="{00000000-0005-0000-0000-00002F0D0000}"/>
    <cellStyle name="_Column1_Sheet1_1_Maco LE1 vers 30.4.07 PER PRESENTAZ_status" xfId="3385" xr:uid="{00000000-0005-0000-0000-0000300D0000}"/>
    <cellStyle name="_Column1_Sheet1_1_Maco LE1 vers 30.4.07_BB (2)" xfId="3386" xr:uid="{00000000-0005-0000-0000-0000310D0000}"/>
    <cellStyle name="_Column1_Sheet1_1_Maco LE1 vers 30.4.07_C00200" xfId="3387" xr:uid="{00000000-0005-0000-0000-0000320D0000}"/>
    <cellStyle name="_Column1_Sheet1_1_Maco LE1 vers 30.4.07_C00210" xfId="3388" xr:uid="{00000000-0005-0000-0000-0000330D0000}"/>
    <cellStyle name="_Column1_Sheet1_1_Maco LE1 vers 30.4.07_C00300" xfId="3389" xr:uid="{00000000-0005-0000-0000-0000340D0000}"/>
    <cellStyle name="_Column1_Sheet1_1_Maco LE1 vers 30.4.07_C00400" xfId="3390" xr:uid="{00000000-0005-0000-0000-0000350D0000}"/>
    <cellStyle name="_Column1_Sheet1_1_Maco LE1 vers 30.4.07_check6" xfId="3391" xr:uid="{00000000-0005-0000-0000-0000360D0000}"/>
    <cellStyle name="_Column1_Sheet1_1_Maco LE1 vers 30.4.07_Sheet1" xfId="3392" xr:uid="{00000000-0005-0000-0000-0000370D0000}"/>
    <cellStyle name="_Column1_Sheet1_1_Maco LE1 vers 30.4.07_Sheet1 (5)" xfId="3393" xr:uid="{00000000-0005-0000-0000-0000380D0000}"/>
    <cellStyle name="_Column1_Sheet1_1_Maco LE1 vers 30.4.07_Sheet2" xfId="3394" xr:uid="{00000000-0005-0000-0000-0000390D0000}"/>
    <cellStyle name="_Column1_Sheet1_1_Maco LE1 vers 30.4.07_Sheet3" xfId="3395" xr:uid="{00000000-0005-0000-0000-00003A0D0000}"/>
    <cellStyle name="_Column1_Sheet1_1_Maco LE1 vers 30.4.07_status" xfId="3396" xr:uid="{00000000-0005-0000-0000-00003B0D0000}"/>
    <cellStyle name="_Column1_Sheet1_1_Marzo 2007 Deck vers 16.4.07" xfId="3397" xr:uid="{00000000-0005-0000-0000-00003C0D0000}"/>
    <cellStyle name="_Column1_Sheet1_1_On Trade Maco x sku MM YTD Lug (2)" xfId="3398" xr:uid="{00000000-0005-0000-0000-00003D0D0000}"/>
    <cellStyle name="_Column1_Sheet1_2" xfId="3399" xr:uid="{00000000-0005-0000-0000-00003E0D0000}"/>
    <cellStyle name="_Column1_Sheet1_2 2" xfId="3400" xr:uid="{00000000-0005-0000-0000-00003F0D0000}"/>
    <cellStyle name="_Column1_Sheet1_2 3" xfId="3401" xr:uid="{00000000-0005-0000-0000-0000400D0000}"/>
    <cellStyle name="_Column1_Sheet1_2 3 2" xfId="3402" xr:uid="{00000000-0005-0000-0000-0000410D0000}"/>
    <cellStyle name="_Column1_Sheet1_Belgium" xfId="3403" xr:uid="{00000000-0005-0000-0000-0000420D0000}"/>
    <cellStyle name="_Column1_Sheet1_Belgium_brew" xfId="3404" xr:uid="{00000000-0005-0000-0000-0000430D0000}"/>
    <cellStyle name="_Column1_Sheet1_cans" xfId="3405" xr:uid="{00000000-0005-0000-0000-0000440D0000}"/>
    <cellStyle name="_Column1_Sheet1_cans 2" xfId="3406" xr:uid="{00000000-0005-0000-0000-0000450D0000}"/>
    <cellStyle name="_Column1_Sheet1_Luxembourg_brew" xfId="3407" xr:uid="{00000000-0005-0000-0000-0000460D0000}"/>
    <cellStyle name="_Column1_Sheet1_Sheet1" xfId="3408" xr:uid="{00000000-0005-0000-0000-0000470D0000}"/>
    <cellStyle name="_Column1_Sheet1_welp" xfId="3409" xr:uid="{00000000-0005-0000-0000-0000480D0000}"/>
    <cellStyle name="_Column1_Sheet1_welp_RFFS SUBMISSION TO VPs" xfId="3410" xr:uid="{00000000-0005-0000-0000-0000490D0000}"/>
    <cellStyle name="_Column1_Sheet1_welp_RFFS_SUBMISSION_TO_VPs _v2" xfId="3411" xr:uid="{00000000-0005-0000-0000-00004A0D0000}"/>
    <cellStyle name="_Column1_Sheet2" xfId="3412" xr:uid="{00000000-0005-0000-0000-00004B0D0000}"/>
    <cellStyle name="_Column1_Sheet2 2" xfId="3413" xr:uid="{00000000-0005-0000-0000-00004C0D0000}"/>
    <cellStyle name="_Column1_Sheet2 3" xfId="3414" xr:uid="{00000000-0005-0000-0000-00004D0D0000}"/>
    <cellStyle name="_Column1_Sheet2 3 2" xfId="3415" xr:uid="{00000000-0005-0000-0000-00004E0D0000}"/>
    <cellStyle name="_Column1_Sheet2 3 3" xfId="3416" xr:uid="{00000000-0005-0000-0000-00004F0D0000}"/>
    <cellStyle name="_Column1_Sheet2 3 3 2" xfId="3417" xr:uid="{00000000-0005-0000-0000-0000500D0000}"/>
    <cellStyle name="_Column1_Sheet2 4" xfId="3418" xr:uid="{00000000-0005-0000-0000-0000510D0000}"/>
    <cellStyle name="_Column1_Sheet2 4 2" xfId="3419" xr:uid="{00000000-0005-0000-0000-0000520D0000}"/>
    <cellStyle name="_Column1_Sheet2_1" xfId="3420" xr:uid="{00000000-0005-0000-0000-0000530D0000}"/>
    <cellStyle name="_Column1_Sheet2_1 2" xfId="3421" xr:uid="{00000000-0005-0000-0000-0000540D0000}"/>
    <cellStyle name="_Column1_Sheet2_1 3" xfId="3422" xr:uid="{00000000-0005-0000-0000-0000550D0000}"/>
    <cellStyle name="_Column1_Sheet2_1 3 2" xfId="3423" xr:uid="{00000000-0005-0000-0000-0000560D0000}"/>
    <cellStyle name="_Column1_Sheet2_1_BB (2)" xfId="3424" xr:uid="{00000000-0005-0000-0000-0000570D0000}"/>
    <cellStyle name="_Column1_Sheet2_1_C00200" xfId="3425" xr:uid="{00000000-0005-0000-0000-0000580D0000}"/>
    <cellStyle name="_Column1_Sheet2_1_C00210" xfId="3426" xr:uid="{00000000-0005-0000-0000-0000590D0000}"/>
    <cellStyle name="_Column1_Sheet2_1_C00300" xfId="3427" xr:uid="{00000000-0005-0000-0000-00005A0D0000}"/>
    <cellStyle name="_Column1_Sheet2_1_C00400" xfId="3428" xr:uid="{00000000-0005-0000-0000-00005B0D0000}"/>
    <cellStyle name="_Column1_Sheet2_1_check6" xfId="3429" xr:uid="{00000000-0005-0000-0000-00005C0D0000}"/>
    <cellStyle name="_Column1_Sheet2_1_Sheet1" xfId="3430" xr:uid="{00000000-0005-0000-0000-00005D0D0000}"/>
    <cellStyle name="_Column1_Sheet2_1_Sheet1 (5)" xfId="3431" xr:uid="{00000000-0005-0000-0000-00005E0D0000}"/>
    <cellStyle name="_Column1_Sheet2_1_Sheet2" xfId="3432" xr:uid="{00000000-0005-0000-0000-00005F0D0000}"/>
    <cellStyle name="_Column1_Sheet2_1_Sheet3" xfId="3433" xr:uid="{00000000-0005-0000-0000-0000600D0000}"/>
    <cellStyle name="_Column1_Sheet2_1_status" xfId="3434" xr:uid="{00000000-0005-0000-0000-0000610D0000}"/>
    <cellStyle name="_Column1_Sheet2_2" xfId="3435" xr:uid="{00000000-0005-0000-0000-0000620D0000}"/>
    <cellStyle name="_Column1_Sheet2_Germany_brew" xfId="3436" xr:uid="{00000000-0005-0000-0000-0000630D0000}"/>
    <cellStyle name="_Column1_Sheet3" xfId="3437" xr:uid="{00000000-0005-0000-0000-0000640D0000}"/>
    <cellStyle name="_Column1_Sheet5" xfId="3438" xr:uid="{00000000-0005-0000-0000-0000650D0000}"/>
    <cellStyle name="_Column1_Sim LE Full v2 (1o. Tri com Ene real) Organic " xfId="3439" xr:uid="{00000000-0005-0000-0000-0000660D0000}"/>
    <cellStyle name="_Column1_Sim LE Full v2 (1o. Tri com Ene real) Organic  2" xfId="3440" xr:uid="{00000000-0005-0000-0000-0000670D0000}"/>
    <cellStyle name="_Column1_Sim LE Full v2 (1o. Tri com Ene real) Organic  2 2" xfId="3441" xr:uid="{00000000-0005-0000-0000-0000680D0000}"/>
    <cellStyle name="_Column1_Sim LE Full v2 (1o. Tri com Ene real) Organic  3" xfId="3442" xr:uid="{00000000-0005-0000-0000-0000690D0000}"/>
    <cellStyle name="_Column1_SIMULADOR RDV6!" xfId="3443" xr:uid="{00000000-0005-0000-0000-00006A0D0000}"/>
    <cellStyle name="_Column1_SIMULADOR RDV6! 2" xfId="3444" xr:uid="{00000000-0005-0000-0000-00006B0D0000}"/>
    <cellStyle name="_Column1_SIMULADOR RDV6! 2 2" xfId="3445" xr:uid="{00000000-0005-0000-0000-00006C0D0000}"/>
    <cellStyle name="_Column1_SIMULADOR RDV6! 3" xfId="3446" xr:uid="{00000000-0005-0000-0000-00006D0D0000}"/>
    <cellStyle name="_Column1_Sku listini Off Trade" xfId="3447" xr:uid="{00000000-0005-0000-0000-00006E0D0000}"/>
    <cellStyle name="_Column1_SKU Volumen" xfId="3448" xr:uid="{00000000-0005-0000-0000-00006F0D0000}"/>
    <cellStyle name="_Column1_SKU Volumen 2" xfId="3449" xr:uid="{00000000-0005-0000-0000-0000700D0000}"/>
    <cellStyle name="_Column1_SKU Volumen_Sheet1" xfId="3450" xr:uid="{00000000-0005-0000-0000-0000710D0000}"/>
    <cellStyle name="_Column1_SKU Volumen_Sm Proj Cash Flow" xfId="3451" xr:uid="{00000000-0005-0000-0000-0000720D0000}"/>
    <cellStyle name="_Column1_SKU Volumen_Spend Detail" xfId="3452" xr:uid="{00000000-0005-0000-0000-0000730D0000}"/>
    <cellStyle name="_Column1_SKU Volumen_SustainingProjectList" xfId="3453" xr:uid="{00000000-0005-0000-0000-0000740D0000}"/>
    <cellStyle name="_Column1_slide Innovation" xfId="3454" xr:uid="{00000000-0005-0000-0000-0000750D0000}"/>
    <cellStyle name="_Column1_Slides x 3YP Presentation 14.5.08" xfId="3455" xr:uid="{00000000-0005-0000-0000-0000760D0000}"/>
    <cellStyle name="_Column1_Slides x 3YP Presentation 14.5.08 2" xfId="3456" xr:uid="{00000000-0005-0000-0000-0000770D0000}"/>
    <cellStyle name="_Column1_Slides x 3YP Presentation 14.5.08 3" xfId="3457" xr:uid="{00000000-0005-0000-0000-0000780D0000}"/>
    <cellStyle name="_Column1_Slides x 3YP Presentation 14.5.08 3 2" xfId="3458" xr:uid="{00000000-0005-0000-0000-0000790D0000}"/>
    <cellStyle name="_Column1_Sm Proj Cash Flow" xfId="3459" xr:uid="{00000000-0005-0000-0000-00007A0D0000}"/>
    <cellStyle name="_Column1_Sortierkosten LE2 Hasseröder" xfId="3460" xr:uid="{00000000-0005-0000-0000-00007B0D0000}"/>
    <cellStyle name="_Column1_SP DEMAND" xfId="3461" xr:uid="{00000000-0005-0000-0000-00007C0D0000}"/>
    <cellStyle name="_Column1_Spend Detail" xfId="3462" xr:uid="{00000000-0005-0000-0000-00007D0D0000}"/>
    <cellStyle name="_Column1_status" xfId="3463" xr:uid="{00000000-0005-0000-0000-00007E0D0000}"/>
    <cellStyle name="_Column1_Stock 9.4" xfId="3464" xr:uid="{00000000-0005-0000-0000-00007F0D0000}"/>
    <cellStyle name="_Column1_SustainingProjectList" xfId="3465" xr:uid="{00000000-0005-0000-0000-0000800D0000}"/>
    <cellStyle name="_Column1_Tabelle1" xfId="3466" xr:uid="{00000000-0005-0000-0000-0000810D0000}"/>
    <cellStyle name="_Column1_Tabelle1 2" xfId="3467" xr:uid="{00000000-0005-0000-0000-0000820D0000}"/>
    <cellStyle name="_Column1_Tabelle1 2 2" xfId="3468" xr:uid="{00000000-0005-0000-0000-0000830D0000}"/>
    <cellStyle name="_Column1_Tabelle1_1" xfId="3469" xr:uid="{00000000-0005-0000-0000-0000840D0000}"/>
    <cellStyle name="_Column1_Tabelle1_Absatz Ist je Artikel &amp; Woche V1" xfId="3470" xr:uid="{00000000-0005-0000-0000-0000850D0000}"/>
    <cellStyle name="_Column1_Tabelle1_Rüstzeit" xfId="3471" xr:uid="{00000000-0005-0000-0000-0000860D0000}"/>
    <cellStyle name="_Column1_Tabelle1_Sheet1" xfId="3472" xr:uid="{00000000-0005-0000-0000-0000870D0000}"/>
    <cellStyle name="_Column1_Tabelle1_Sheet5" xfId="3473" xr:uid="{00000000-0005-0000-0000-0000880D0000}"/>
    <cellStyle name="_Column1_Tabelle1_Sm Proj Cash Flow" xfId="3474" xr:uid="{00000000-0005-0000-0000-0000890D0000}"/>
    <cellStyle name="_Column1_Tabelle1_Spend Detail" xfId="3475" xr:uid="{00000000-0005-0000-0000-00008A0D0000}"/>
    <cellStyle name="_Column1_Tabelle1_SustainingProjectList" xfId="3476" xr:uid="{00000000-0005-0000-0000-00008B0D0000}"/>
    <cellStyle name="_Column1_Tabelle11" xfId="3477" xr:uid="{00000000-0005-0000-0000-00008C0D0000}"/>
    <cellStyle name="_Column1_Tabelle2" xfId="3478" xr:uid="{00000000-0005-0000-0000-00008D0D0000}"/>
    <cellStyle name="_Column1_Tabelle2 2" xfId="3479" xr:uid="{00000000-0005-0000-0000-00008E0D0000}"/>
    <cellStyle name="_Column1_Tabelle2_Sheet1" xfId="3480" xr:uid="{00000000-0005-0000-0000-00008F0D0000}"/>
    <cellStyle name="_Column1_Tabelle2_Sm Proj Cash Flow" xfId="3481" xr:uid="{00000000-0005-0000-0000-0000900D0000}"/>
    <cellStyle name="_Column1_Tabelle2_Spend Detail" xfId="3482" xr:uid="{00000000-0005-0000-0000-0000910D0000}"/>
    <cellStyle name="_Column1_Tabelle2_SustainingProjectList" xfId="3483" xr:uid="{00000000-0005-0000-0000-0000920D0000}"/>
    <cellStyle name="_Column1_Tabelle3" xfId="3484" xr:uid="{00000000-0005-0000-0000-0000930D0000}"/>
    <cellStyle name="_Column1_Tabelle3 2" xfId="3485" xr:uid="{00000000-0005-0000-0000-0000940D0000}"/>
    <cellStyle name="_Column1_Tabelle3_Sheet1" xfId="3486" xr:uid="{00000000-0005-0000-0000-0000950D0000}"/>
    <cellStyle name="_Column1_Tabelle3_Sm Proj Cash Flow" xfId="3487" xr:uid="{00000000-0005-0000-0000-0000960D0000}"/>
    <cellStyle name="_Column1_Tabelle3_Spend Detail" xfId="3488" xr:uid="{00000000-0005-0000-0000-0000970D0000}"/>
    <cellStyle name="_Column1_Tabelle3_SustainingProjectList" xfId="3489" xr:uid="{00000000-0005-0000-0000-0000980D0000}"/>
    <cellStyle name="_Column1_targets by functions 2007_07.07" xfId="3490" xr:uid="{00000000-0005-0000-0000-0000990D0000}"/>
    <cellStyle name="_Column1_targets by functions 2007_07.07 2" xfId="3491" xr:uid="{00000000-0005-0000-0000-00009A0D0000}"/>
    <cellStyle name="_Column1_targets by functions 2007_07.07 3" xfId="3492" xr:uid="{00000000-0005-0000-0000-00009B0D0000}"/>
    <cellStyle name="_Column1_targets by functions 2007_07.07 3 2" xfId="3493" xr:uid="{00000000-0005-0000-0000-00009C0D0000}"/>
    <cellStyle name="_Column1_targets by functions 2007_07.07 3 3" xfId="3494" xr:uid="{00000000-0005-0000-0000-00009D0D0000}"/>
    <cellStyle name="_Column1_targets by functions 2007_07.07 3 3 2" xfId="3495" xr:uid="{00000000-0005-0000-0000-00009E0D0000}"/>
    <cellStyle name="_Column1_targets by functions 2007_07.07 4" xfId="3496" xr:uid="{00000000-0005-0000-0000-00009F0D0000}"/>
    <cellStyle name="_Column1_targets by functions 2007_07.07 4 2" xfId="3497" xr:uid="{00000000-0005-0000-0000-0000A00D0000}"/>
    <cellStyle name="_Column1_targets by functions 2007_07.07_BU12 TP database - REGULAR VOLUMES LAN" xfId="3498" xr:uid="{00000000-0005-0000-0000-0000A10D0000}"/>
    <cellStyle name="_Column1_targets by functions 2007_07.07_Canada" xfId="3499" xr:uid="{00000000-0005-0000-0000-0000A20D0000}"/>
    <cellStyle name="_Column1_targets by functions 2007_07.07_Canada 2" xfId="3500" xr:uid="{00000000-0005-0000-0000-0000A30D0000}"/>
    <cellStyle name="_Column1_targets by functions 2007_07.07_Canada_Dominican Rep" xfId="3501" xr:uid="{00000000-0005-0000-0000-0000A40D0000}"/>
    <cellStyle name="_Column1_Tax IT0192 0609" xfId="3502" xr:uid="{00000000-0005-0000-0000-0000A50D0000}"/>
    <cellStyle name="_Column1_Tax IT0192 0609 2" xfId="3503" xr:uid="{00000000-0005-0000-0000-0000A60D0000}"/>
    <cellStyle name="_Column1_Tax IT0192 0609 3" xfId="3504" xr:uid="{00000000-0005-0000-0000-0000A70D0000}"/>
    <cellStyle name="_Column1_Tax IT0192 0609 3 2" xfId="3505" xr:uid="{00000000-0005-0000-0000-0000A80D0000}"/>
    <cellStyle name="_Column1_Tax IT0192 0609_BB (2)" xfId="3506" xr:uid="{00000000-0005-0000-0000-0000A90D0000}"/>
    <cellStyle name="_Column1_Tax IT0192 0609_C00200" xfId="3507" xr:uid="{00000000-0005-0000-0000-0000AA0D0000}"/>
    <cellStyle name="_Column1_Tax IT0192 0609_C00210" xfId="3508" xr:uid="{00000000-0005-0000-0000-0000AB0D0000}"/>
    <cellStyle name="_Column1_Tax IT0192 0609_C00300" xfId="3509" xr:uid="{00000000-0005-0000-0000-0000AC0D0000}"/>
    <cellStyle name="_Column1_Tax IT0192 0609_C00400" xfId="3510" xr:uid="{00000000-0005-0000-0000-0000AD0D0000}"/>
    <cellStyle name="_Column1_Tax IT0192 0609_check6" xfId="3511" xr:uid="{00000000-0005-0000-0000-0000AE0D0000}"/>
    <cellStyle name="_Column1_Tax IT0192 0609_Sheet1" xfId="3512" xr:uid="{00000000-0005-0000-0000-0000AF0D0000}"/>
    <cellStyle name="_Column1_Tax IT0192 0609_Sheet1 (5)" xfId="3513" xr:uid="{00000000-0005-0000-0000-0000B00D0000}"/>
    <cellStyle name="_Column1_Tax IT0192 0609_Sheet2" xfId="3514" xr:uid="{00000000-0005-0000-0000-0000B10D0000}"/>
    <cellStyle name="_Column1_Tax IT0192 0609_Sheet3" xfId="3515" xr:uid="{00000000-0005-0000-0000-0000B20D0000}"/>
    <cellStyle name="_Column1_Tax IT0192 0609_status" xfId="3516" xr:uid="{00000000-0005-0000-0000-0000B30D0000}"/>
    <cellStyle name="_Column1_Template Capex budget 2010 Supply WE" xfId="3517" xr:uid="{00000000-0005-0000-0000-0000B40D0000}"/>
    <cellStyle name="_Column1_Template for processing cognos corrections  (2)" xfId="3518" xr:uid="{00000000-0005-0000-0000-0000B50D0000}"/>
    <cellStyle name="_Column1_TENDENCIA V0309" xfId="3519" xr:uid="{00000000-0005-0000-0000-0000B60D0000}"/>
    <cellStyle name="_Column1_TENDENCIA V0309 2" xfId="3520" xr:uid="{00000000-0005-0000-0000-0000B70D0000}"/>
    <cellStyle name="_Column1_TENDENCIA V0309 2 2" xfId="3521" xr:uid="{00000000-0005-0000-0000-0000B80D0000}"/>
    <cellStyle name="_Column1_TENDENCIA V0309 3" xfId="3522" xr:uid="{00000000-0005-0000-0000-0000B90D0000}"/>
    <cellStyle name="_Column1_TENDENCIA V0409" xfId="3523" xr:uid="{00000000-0005-0000-0000-0000BA0D0000}"/>
    <cellStyle name="_Column1_TENDENCIA V0409 2" xfId="3524" xr:uid="{00000000-0005-0000-0000-0000BB0D0000}"/>
    <cellStyle name="_Column1_TENDENCIA V0409 2 2" xfId="3525" xr:uid="{00000000-0005-0000-0000-0000BC0D0000}"/>
    <cellStyle name="_Column1_TENDENCIA V0409 3" xfId="3526" xr:uid="{00000000-0005-0000-0000-0000BD0D0000}"/>
    <cellStyle name="_Column1_TENDENCIA V2" xfId="3527" xr:uid="{00000000-0005-0000-0000-0000BE0D0000}"/>
    <cellStyle name="_Column1_TENDENCIA V2 2" xfId="3528" xr:uid="{00000000-0005-0000-0000-0000BF0D0000}"/>
    <cellStyle name="_Column1_TENDENCIA V2 2 2" xfId="3529" xr:uid="{00000000-0005-0000-0000-0000C00D0000}"/>
    <cellStyle name="_Column1_TENDENCIA V2 3" xfId="3530" xr:uid="{00000000-0005-0000-0000-0000C10D0000}"/>
    <cellStyle name="_Column1_TENDENCIA0709 " xfId="3531" xr:uid="{00000000-0005-0000-0000-0000C20D0000}"/>
    <cellStyle name="_Column1_TENDENCIA0709  2" xfId="3532" xr:uid="{00000000-0005-0000-0000-0000C30D0000}"/>
    <cellStyle name="_Column1_TENDENCIA0709  2 2" xfId="3533" xr:uid="{00000000-0005-0000-0000-0000C40D0000}"/>
    <cellStyle name="_Column1_TENDENCIA0709  3" xfId="3534" xr:uid="{00000000-0005-0000-0000-0000C50D0000}"/>
    <cellStyle name="_Column1_TENDENCIA0909 " xfId="3535" xr:uid="{00000000-0005-0000-0000-0000C60D0000}"/>
    <cellStyle name="_Column1_TENDENCIA0909  2" xfId="3536" xr:uid="{00000000-0005-0000-0000-0000C70D0000}"/>
    <cellStyle name="_Column1_TENDENCIA0909  2 2" xfId="3537" xr:uid="{00000000-0005-0000-0000-0000C80D0000}"/>
    <cellStyle name="_Column1_TENDENCIA0909  3" xfId="3538" xr:uid="{00000000-0005-0000-0000-0000C90D0000}"/>
    <cellStyle name="_Column1_Tot Germ" xfId="3539" xr:uid="{00000000-0005-0000-0000-0000CA0D0000}"/>
    <cellStyle name="_Column1_Tot Inbev" xfId="3540" xr:uid="{00000000-0005-0000-0000-0000CB0D0000}"/>
    <cellStyle name="_Column1_TP BE_Ad-hoc" xfId="3541" xr:uid="{00000000-0005-0000-0000-0000CC0D0000}"/>
    <cellStyle name="_Column1_TP database" xfId="3542" xr:uid="{00000000-0005-0000-0000-0000CD0D0000}"/>
    <cellStyle name="_Column1_TP database 2" xfId="3543" xr:uid="{00000000-0005-0000-0000-0000CE0D0000}"/>
    <cellStyle name="_Column1_TP database 3" xfId="3544" xr:uid="{00000000-0005-0000-0000-0000CF0D0000}"/>
    <cellStyle name="_Column1_TP database 3 2" xfId="3545" xr:uid="{00000000-0005-0000-0000-0000D00D0000}"/>
    <cellStyle name="_Column1_TP database vers 26.3.07" xfId="3546" xr:uid="{00000000-0005-0000-0000-0000D10D0000}"/>
    <cellStyle name="_Column1_TP database vers 26.3.07 2" xfId="3547" xr:uid="{00000000-0005-0000-0000-0000D20D0000}"/>
    <cellStyle name="_Column1_TP database vers 26.3.07 3" xfId="3548" xr:uid="{00000000-0005-0000-0000-0000D30D0000}"/>
    <cellStyle name="_Column1_TP database vers 26.3.07 3 2" xfId="3549" xr:uid="{00000000-0005-0000-0000-0000D40D0000}"/>
    <cellStyle name="_Column1_TP database vers 26.3.07_BB (2)" xfId="3550" xr:uid="{00000000-0005-0000-0000-0000D50D0000}"/>
    <cellStyle name="_Column1_TP database vers 26.3.07_C00200" xfId="3551" xr:uid="{00000000-0005-0000-0000-0000D60D0000}"/>
    <cellStyle name="_Column1_TP database vers 26.3.07_C00210" xfId="3552" xr:uid="{00000000-0005-0000-0000-0000D70D0000}"/>
    <cellStyle name="_Column1_TP database vers 26.3.07_C00300" xfId="3553" xr:uid="{00000000-0005-0000-0000-0000D80D0000}"/>
    <cellStyle name="_Column1_TP database vers 26.3.07_C00400" xfId="3554" xr:uid="{00000000-0005-0000-0000-0000D90D0000}"/>
    <cellStyle name="_Column1_TP database vers 26.3.07_check6" xfId="3555" xr:uid="{00000000-0005-0000-0000-0000DA0D0000}"/>
    <cellStyle name="_Column1_TP database vers 26.3.07_Sheet1" xfId="3556" xr:uid="{00000000-0005-0000-0000-0000DB0D0000}"/>
    <cellStyle name="_Column1_TP database vers 26.3.07_Sheet1 (5)" xfId="3557" xr:uid="{00000000-0005-0000-0000-0000DC0D0000}"/>
    <cellStyle name="_Column1_TP database vers 26.3.07_Sheet2" xfId="3558" xr:uid="{00000000-0005-0000-0000-0000DD0D0000}"/>
    <cellStyle name="_Column1_TP database vers 26.3.07_Sheet3" xfId="3559" xr:uid="{00000000-0005-0000-0000-0000DE0D0000}"/>
    <cellStyle name="_Column1_TP database vers 26.3.07_status" xfId="3560" xr:uid="{00000000-0005-0000-0000-0000DF0D0000}"/>
    <cellStyle name="_Column1_TP database_BB (2)" xfId="3561" xr:uid="{00000000-0005-0000-0000-0000E00D0000}"/>
    <cellStyle name="_Column1_TP database_C00200" xfId="3562" xr:uid="{00000000-0005-0000-0000-0000E10D0000}"/>
    <cellStyle name="_Column1_TP database_C00210" xfId="3563" xr:uid="{00000000-0005-0000-0000-0000E20D0000}"/>
    <cellStyle name="_Column1_TP database_C00300" xfId="3564" xr:uid="{00000000-0005-0000-0000-0000E30D0000}"/>
    <cellStyle name="_Column1_TP database_C00400" xfId="3565" xr:uid="{00000000-0005-0000-0000-0000E40D0000}"/>
    <cellStyle name="_Column1_TP database_check6" xfId="3566" xr:uid="{00000000-0005-0000-0000-0000E50D0000}"/>
    <cellStyle name="_Column1_TP database_Sheet1" xfId="3567" xr:uid="{00000000-0005-0000-0000-0000E60D0000}"/>
    <cellStyle name="_Column1_TP database_Sheet1 (5)" xfId="3568" xr:uid="{00000000-0005-0000-0000-0000E70D0000}"/>
    <cellStyle name="_Column1_TP database_Sheet2" xfId="3569" xr:uid="{00000000-0005-0000-0000-0000E80D0000}"/>
    <cellStyle name="_Column1_TP database_Sheet3" xfId="3570" xr:uid="{00000000-0005-0000-0000-0000E90D0000}"/>
    <cellStyle name="_Column1_TP database_status" xfId="3571" xr:uid="{00000000-0005-0000-0000-0000EA0D0000}"/>
    <cellStyle name="_Column1_TP_IC_2013" xfId="3572" xr:uid="{00000000-0005-0000-0000-0000EB0D0000}"/>
    <cellStyle name="_Column1_TP_Stella" xfId="3573" xr:uid="{00000000-0005-0000-0000-0000EC0D0000}"/>
    <cellStyle name="_Column1_TP_Stella 2" xfId="3574" xr:uid="{00000000-0005-0000-0000-0000ED0D0000}"/>
    <cellStyle name="_Column1_TP_Stella 3" xfId="3575" xr:uid="{00000000-0005-0000-0000-0000EE0D0000}"/>
    <cellStyle name="_Column1_TP_Stella 3 2" xfId="3576" xr:uid="{00000000-0005-0000-0000-0000EF0D0000}"/>
    <cellStyle name="_Column1_TP_Stella 3 3" xfId="3577" xr:uid="{00000000-0005-0000-0000-0000F00D0000}"/>
    <cellStyle name="_Column1_TP_Stella 3 3 2" xfId="3578" xr:uid="{00000000-0005-0000-0000-0000F10D0000}"/>
    <cellStyle name="_Column1_TP_Stella 4" xfId="3579" xr:uid="{00000000-0005-0000-0000-0000F20D0000}"/>
    <cellStyle name="_Column1_TP_Stella 4 2" xfId="3580" xr:uid="{00000000-0005-0000-0000-0000F30D0000}"/>
    <cellStyle name="_Column1_TP_Stella_Sheet5" xfId="3581" xr:uid="{00000000-0005-0000-0000-0000F40D0000}"/>
    <cellStyle name="_Column1_TPneu" xfId="3582" xr:uid="{00000000-0005-0000-0000-0000F50D0000}"/>
    <cellStyle name="_Column1_TPneu 2" xfId="3583" xr:uid="{00000000-0005-0000-0000-0000F60D0000}"/>
    <cellStyle name="_Column1_TPneu 3" xfId="3584" xr:uid="{00000000-0005-0000-0000-0000F70D0000}"/>
    <cellStyle name="_Column1_TPneu 3 2" xfId="3585" xr:uid="{00000000-0005-0000-0000-0000F80D0000}"/>
    <cellStyle name="_Column1_TPneu 3 3" xfId="3586" xr:uid="{00000000-0005-0000-0000-0000F90D0000}"/>
    <cellStyle name="_Column1_TPneu 3 3 2" xfId="3587" xr:uid="{00000000-0005-0000-0000-0000FA0D0000}"/>
    <cellStyle name="_Column1_TPneu 4" xfId="3588" xr:uid="{00000000-0005-0000-0000-0000FB0D0000}"/>
    <cellStyle name="_Column1_TPneu 4 2" xfId="3589" xr:uid="{00000000-0005-0000-0000-0000FC0D0000}"/>
    <cellStyle name="_Column1_TPneu_BU12 TP database - REGULAR VOLUMES LAN" xfId="3590" xr:uid="{00000000-0005-0000-0000-0000FD0D0000}"/>
    <cellStyle name="_Column1_TPneu_Canada" xfId="3591" xr:uid="{00000000-0005-0000-0000-0000FE0D0000}"/>
    <cellStyle name="_Column1_TPneu_Canada 2" xfId="3592" xr:uid="{00000000-0005-0000-0000-0000FF0D0000}"/>
    <cellStyle name="_Column1_TPneu_Canada_Dominican Rep" xfId="3593" xr:uid="{00000000-0005-0000-0000-0000000E0000}"/>
    <cellStyle name="_Column1_Transport&amp;Log 2007-08" xfId="3594" xr:uid="{00000000-0005-0000-0000-0000010E0000}"/>
    <cellStyle name="_Column1_TS_dimension split Italy 1206" xfId="3595" xr:uid="{00000000-0005-0000-0000-0000020E0000}"/>
    <cellStyle name="_Column1_TS_dimension split Italy 1206 2" xfId="3596" xr:uid="{00000000-0005-0000-0000-0000030E0000}"/>
    <cellStyle name="_Column1_TS_dimension split Italy 1206 3" xfId="3597" xr:uid="{00000000-0005-0000-0000-0000040E0000}"/>
    <cellStyle name="_Column1_TS_dimension split Italy 1206 3 2" xfId="3598" xr:uid="{00000000-0005-0000-0000-0000050E0000}"/>
    <cellStyle name="_Column1_TS_dimension split Italy 1206_BB (2)" xfId="3599" xr:uid="{00000000-0005-0000-0000-0000060E0000}"/>
    <cellStyle name="_Column1_TS_dimension split Italy 1206_C00200" xfId="3600" xr:uid="{00000000-0005-0000-0000-0000070E0000}"/>
    <cellStyle name="_Column1_TS_dimension split Italy 1206_C00210" xfId="3601" xr:uid="{00000000-0005-0000-0000-0000080E0000}"/>
    <cellStyle name="_Column1_TS_dimension split Italy 1206_C00300" xfId="3602" xr:uid="{00000000-0005-0000-0000-0000090E0000}"/>
    <cellStyle name="_Column1_TS_dimension split Italy 1206_C00400" xfId="3603" xr:uid="{00000000-0005-0000-0000-00000A0E0000}"/>
    <cellStyle name="_Column1_TS_dimension split Italy 1206_check6" xfId="3604" xr:uid="{00000000-0005-0000-0000-00000B0E0000}"/>
    <cellStyle name="_Column1_TS_dimension split Italy 1206_Sheet1" xfId="3605" xr:uid="{00000000-0005-0000-0000-00000C0E0000}"/>
    <cellStyle name="_Column1_TS_dimension split Italy 1206_Sheet1 (5)" xfId="3606" xr:uid="{00000000-0005-0000-0000-00000D0E0000}"/>
    <cellStyle name="_Column1_TS_dimension split Italy 1206_Sheet2" xfId="3607" xr:uid="{00000000-0005-0000-0000-00000E0E0000}"/>
    <cellStyle name="_Column1_TS_dimension split Italy 1206_Sheet3" xfId="3608" xr:uid="{00000000-0005-0000-0000-00000F0E0000}"/>
    <cellStyle name="_Column1_TS_dimension split Italy 1206_status" xfId="3609" xr:uid="{00000000-0005-0000-0000-0000100E0000}"/>
    <cellStyle name="_Column1_TS_dimension split Italy January 2008" xfId="3610" xr:uid="{00000000-0005-0000-0000-0000110E0000}"/>
    <cellStyle name="_Column1_TS_dimension split Italy January 2008 2" xfId="3611" xr:uid="{00000000-0005-0000-0000-0000120E0000}"/>
    <cellStyle name="_Column1_TS_dimension split Italy January 2008 3" xfId="3612" xr:uid="{00000000-0005-0000-0000-0000130E0000}"/>
    <cellStyle name="_Column1_TS_dimension split Italy January 2008 3 2" xfId="3613" xr:uid="{00000000-0005-0000-0000-0000140E0000}"/>
    <cellStyle name="_Column1_Uncond €_hl OFF" xfId="3614" xr:uid="{00000000-0005-0000-0000-0000150E0000}"/>
    <cellStyle name="_Column1_Utilities package details B07" xfId="3615" xr:uid="{00000000-0005-0000-0000-0000160E0000}"/>
    <cellStyle name="_Column1_Utilities package details B07 2" xfId="3616" xr:uid="{00000000-0005-0000-0000-0000170E0000}"/>
    <cellStyle name="_Column1_Utilities package details B07_Dominican Rep" xfId="3617" xr:uid="{00000000-0005-0000-0000-0000180E0000}"/>
    <cellStyle name="_Column1_VIC Personalkosten Filling Bremen" xfId="3618" xr:uid="{00000000-0005-0000-0000-0000190E0000}"/>
    <cellStyle name="_Column1_VIC+VPLC On" xfId="3619" xr:uid="{00000000-0005-0000-0000-00001A0E0000}"/>
    <cellStyle name="_Column1_Vol Innovations 1st sub" xfId="3620" xr:uid="{00000000-0005-0000-0000-00001B0E0000}"/>
    <cellStyle name="_Column1_Vol mkt" xfId="3621" xr:uid="{00000000-0005-0000-0000-00001C0E0000}"/>
    <cellStyle name="_Column1_Vol mkt 2" xfId="3622" xr:uid="{00000000-0005-0000-0000-00001D0E0000}"/>
    <cellStyle name="_Column1_Vol mkt 3" xfId="3623" xr:uid="{00000000-0005-0000-0000-00001E0E0000}"/>
    <cellStyle name="_Column1_Vol mkt 3 2" xfId="3624" xr:uid="{00000000-0005-0000-0000-00001F0E0000}"/>
    <cellStyle name="_Column1_Vol mkt_BB (2)" xfId="3625" xr:uid="{00000000-0005-0000-0000-0000200E0000}"/>
    <cellStyle name="_Column1_Vol mkt_C00200" xfId="3626" xr:uid="{00000000-0005-0000-0000-0000210E0000}"/>
    <cellStyle name="_Column1_Vol mkt_C00210" xfId="3627" xr:uid="{00000000-0005-0000-0000-0000220E0000}"/>
    <cellStyle name="_Column1_Vol mkt_C00300" xfId="3628" xr:uid="{00000000-0005-0000-0000-0000230E0000}"/>
    <cellStyle name="_Column1_Vol mkt_C00400" xfId="3629" xr:uid="{00000000-0005-0000-0000-0000240E0000}"/>
    <cellStyle name="_Column1_Vol mkt_check6" xfId="3630" xr:uid="{00000000-0005-0000-0000-0000250E0000}"/>
    <cellStyle name="_Column1_Vol mkt_Sheet1" xfId="3631" xr:uid="{00000000-0005-0000-0000-0000260E0000}"/>
    <cellStyle name="_Column1_Vol mkt_Sheet1 (5)" xfId="3632" xr:uid="{00000000-0005-0000-0000-0000270E0000}"/>
    <cellStyle name="_Column1_Vol mkt_Sheet2" xfId="3633" xr:uid="{00000000-0005-0000-0000-0000280E0000}"/>
    <cellStyle name="_Column1_Vol mkt_Sheet3" xfId="3634" xr:uid="{00000000-0005-0000-0000-0000290E0000}"/>
    <cellStyle name="_Column1_Vol mkt_status" xfId="3635" xr:uid="{00000000-0005-0000-0000-00002A0E0000}"/>
    <cellStyle name="_Column1_Vol x SKU e x package" xfId="3636" xr:uid="{00000000-0005-0000-0000-00002B0E0000}"/>
    <cellStyle name="_Column1_Vol_Innovations 1st Sub." xfId="3637" xr:uid="{00000000-0005-0000-0000-00002C0E0000}"/>
    <cellStyle name="_Column1_Volumen 05&amp;06&amp;07" xfId="3638" xr:uid="{00000000-0005-0000-0000-00002D0E0000}"/>
    <cellStyle name="_Column1_Volumes" xfId="3639" xr:uid="{00000000-0005-0000-0000-00002E0E0000}"/>
    <cellStyle name="_Column1_Volumes Bremen" xfId="3640" xr:uid="{00000000-0005-0000-0000-00002F0E0000}"/>
    <cellStyle name="_Column1_Volumes Bremen_packaging" xfId="3641" xr:uid="{00000000-0005-0000-0000-0000300E0000}"/>
    <cellStyle name="_Column1_VOLUMES ITALY SP 2008-2010 per PLANNING with STEP-UP" xfId="3642" xr:uid="{00000000-0005-0000-0000-0000310E0000}"/>
    <cellStyle name="_Column1_VOLUMES ITALY SP 2008-2010 per PLANNING with STEP-UP 2" xfId="3643" xr:uid="{00000000-0005-0000-0000-0000320E0000}"/>
    <cellStyle name="_Column1_VOLUMES ITALY SP 2008-2010 per PLANNING with STEP-UP 3" xfId="3644" xr:uid="{00000000-0005-0000-0000-0000330E0000}"/>
    <cellStyle name="_Column1_VOLUMES ITALY SP 2008-2010 per PLANNING with STEP-UP 3 2" xfId="3645" xr:uid="{00000000-0005-0000-0000-0000340E0000}"/>
    <cellStyle name="_Column1_Volumes March'06" xfId="3646" xr:uid="{00000000-0005-0000-0000-0000350E0000}"/>
    <cellStyle name="_Column1_Volumes March'06 2" xfId="3647" xr:uid="{00000000-0005-0000-0000-0000360E0000}"/>
    <cellStyle name="_Column1_Volumes March'06_Sheet1" xfId="3648" xr:uid="{00000000-0005-0000-0000-0000370E0000}"/>
    <cellStyle name="_Column1_Volumes March'06_SustainingProjectList" xfId="3649" xr:uid="{00000000-0005-0000-0000-0000380E0000}"/>
    <cellStyle name="_Column1_Volumes_BB (2)" xfId="3650" xr:uid="{00000000-0005-0000-0000-0000390E0000}"/>
    <cellStyle name="_Column1_Volumes_C00200" xfId="3651" xr:uid="{00000000-0005-0000-0000-00003A0E0000}"/>
    <cellStyle name="_Column1_Volumes_C00210" xfId="3652" xr:uid="{00000000-0005-0000-0000-00003B0E0000}"/>
    <cellStyle name="_Column1_Volumes_C00300" xfId="3653" xr:uid="{00000000-0005-0000-0000-00003C0E0000}"/>
    <cellStyle name="_Column1_Volumes_C00400" xfId="3654" xr:uid="{00000000-0005-0000-0000-00003D0E0000}"/>
    <cellStyle name="_Column1_Volumes_check6" xfId="3655" xr:uid="{00000000-0005-0000-0000-00003E0E0000}"/>
    <cellStyle name="_Column1_Volumes_On trade" xfId="3656" xr:uid="{00000000-0005-0000-0000-00003F0E0000}"/>
    <cellStyle name="_Column1_Volumes_On trade 2" xfId="3657" xr:uid="{00000000-0005-0000-0000-0000400E0000}"/>
    <cellStyle name="_Column1_Volumes_On trade 3" xfId="3658" xr:uid="{00000000-0005-0000-0000-0000410E0000}"/>
    <cellStyle name="_Column1_Volumes_On trade 3 2" xfId="3659" xr:uid="{00000000-0005-0000-0000-0000420E0000}"/>
    <cellStyle name="_Column1_Volumes_packaging" xfId="3660" xr:uid="{00000000-0005-0000-0000-0000430E0000}"/>
    <cellStyle name="_Column1_Volumes_Sheet1" xfId="3661" xr:uid="{00000000-0005-0000-0000-0000440E0000}"/>
    <cellStyle name="_Column1_Volumes_Sheet1 (5)" xfId="3662" xr:uid="{00000000-0005-0000-0000-0000450E0000}"/>
    <cellStyle name="_Column1_Volumes_Sheet2" xfId="3663" xr:uid="{00000000-0005-0000-0000-0000460E0000}"/>
    <cellStyle name="_Column1_Volumes_Sheet3" xfId="3664" xr:uid="{00000000-0005-0000-0000-0000470E0000}"/>
    <cellStyle name="_Column1_Volumes_status" xfId="3665" xr:uid="{00000000-0005-0000-0000-0000480E0000}"/>
    <cellStyle name="_Column1_Volumi" xfId="3666" xr:uid="{00000000-0005-0000-0000-0000490E0000}"/>
    <cellStyle name="_Column1_Volumi 2008" xfId="3667" xr:uid="{00000000-0005-0000-0000-00004A0E0000}"/>
    <cellStyle name="_Column1_Volumi 2008 2" xfId="3668" xr:uid="{00000000-0005-0000-0000-00004B0E0000}"/>
    <cellStyle name="_Column1_Volumi 2008 3" xfId="3669" xr:uid="{00000000-0005-0000-0000-00004C0E0000}"/>
    <cellStyle name="_Column1_Volumi 2008 3 2" xfId="3670" xr:uid="{00000000-0005-0000-0000-00004D0E0000}"/>
    <cellStyle name="_Column1_Volumi aprile" xfId="3671" xr:uid="{00000000-0005-0000-0000-00004E0E0000}"/>
    <cellStyle name="_Column1_Volumi Aug estr da Alea" xfId="3672" xr:uid="{00000000-0005-0000-0000-00004F0E0000}"/>
    <cellStyle name="_Column1_Volumi August estr da Alea" xfId="3673" xr:uid="{00000000-0005-0000-0000-0000500E0000}"/>
    <cellStyle name="_Column1_Volumi August estr da Alea 2" xfId="3674" xr:uid="{00000000-0005-0000-0000-0000510E0000}"/>
    <cellStyle name="_Column1_Volumi August estr da Alea_Sheet1" xfId="3675" xr:uid="{00000000-0005-0000-0000-0000520E0000}"/>
    <cellStyle name="_Column1_Volumi August estr da Alea_SustainingProjectList" xfId="3676" xr:uid="{00000000-0005-0000-0000-0000530E0000}"/>
    <cellStyle name="_Column1_Volumi BU'07" xfId="3677" xr:uid="{00000000-0005-0000-0000-0000540E0000}"/>
    <cellStyle name="_Column1_Volumi BU'07 2" xfId="3678" xr:uid="{00000000-0005-0000-0000-0000550E0000}"/>
    <cellStyle name="_Column1_Volumi BU'07 2 2" xfId="3679" xr:uid="{00000000-0005-0000-0000-0000560E0000}"/>
    <cellStyle name="_Column1_Volumi BU'07 3" xfId="3680" xr:uid="{00000000-0005-0000-0000-0000570E0000}"/>
    <cellStyle name="_Column1_Volumi Budget'07 Alea" xfId="3681" xr:uid="{00000000-0005-0000-0000-0000580E0000}"/>
    <cellStyle name="_Column1_Volumi e Net Turn Off (autom)" xfId="3682" xr:uid="{00000000-0005-0000-0000-0000590E0000}"/>
    <cellStyle name="_Column1_Volumi estr 30.6.06" xfId="3683" xr:uid="{00000000-0005-0000-0000-00005A0E0000}"/>
    <cellStyle name="_Column1_Volumi estr Alea" xfId="3684" xr:uid="{00000000-0005-0000-0000-00005B0E0000}"/>
    <cellStyle name="_Column1_Volumi estr Alea_1" xfId="3685" xr:uid="{00000000-0005-0000-0000-00005C0E0000}"/>
    <cellStyle name="_Column1_Volumi July estr da Alea" xfId="3686" xr:uid="{00000000-0005-0000-0000-00005D0E0000}"/>
    <cellStyle name="_Column1_Volumi July estr da Alea 2" xfId="3687" xr:uid="{00000000-0005-0000-0000-00005E0E0000}"/>
    <cellStyle name="_Column1_Volumi July estr da Alea_1" xfId="3688" xr:uid="{00000000-0005-0000-0000-00005F0E0000}"/>
    <cellStyle name="_Column1_Volumi July estr da Alea_Sheet1" xfId="3689" xr:uid="{00000000-0005-0000-0000-0000600E0000}"/>
    <cellStyle name="_Column1_Volumi July estr da Alea_SustainingProjectList" xfId="3690" xr:uid="{00000000-0005-0000-0000-0000610E0000}"/>
    <cellStyle name="_Column1_Volumi LE1 sku - brand - package" xfId="3691" xr:uid="{00000000-0005-0000-0000-0000620E0000}"/>
    <cellStyle name="_Column1_Volumi Marzo (2)" xfId="3692" xr:uid="{00000000-0005-0000-0000-0000630E0000}"/>
    <cellStyle name="_Column1_Volumi Marzo (2) 2" xfId="3693" xr:uid="{00000000-0005-0000-0000-0000640E0000}"/>
    <cellStyle name="_Column1_Volumi Marzo (2)_Sheet1" xfId="3694" xr:uid="{00000000-0005-0000-0000-0000650E0000}"/>
    <cellStyle name="_Column1_Volumi Marzo (2)_SustainingProjectList" xfId="3695" xr:uid="{00000000-0005-0000-0000-0000660E0000}"/>
    <cellStyle name="_Column1_Volumi May estr da Alea" xfId="3696" xr:uid="{00000000-0005-0000-0000-0000670E0000}"/>
    <cellStyle name="_Column1_Volumi May estr da Alea 2" xfId="3697" xr:uid="{00000000-0005-0000-0000-0000680E0000}"/>
    <cellStyle name="_Column1_Volumi May estr da Alea_Sheet1" xfId="3698" xr:uid="{00000000-0005-0000-0000-0000690E0000}"/>
    <cellStyle name="_Column1_Volumi May estr da Alea_SustainingProjectList" xfId="3699" xr:uid="{00000000-0005-0000-0000-00006A0E0000}"/>
    <cellStyle name="_Column1_Volumi October estr da Alea" xfId="3700" xr:uid="{00000000-0005-0000-0000-00006B0E0000}"/>
    <cellStyle name="_Column1_Volumi October estr da Alea 2" xfId="3701" xr:uid="{00000000-0005-0000-0000-00006C0E0000}"/>
    <cellStyle name="_Column1_Volumi October estr da Alea_Sheet1" xfId="3702" xr:uid="{00000000-0005-0000-0000-00006D0E0000}"/>
    <cellStyle name="_Column1_Volumi October estr da Alea_SustainingProjectList" xfId="3703" xr:uid="{00000000-0005-0000-0000-00006E0E0000}"/>
    <cellStyle name="_Column1_Volumi September estr da Alea" xfId="3704" xr:uid="{00000000-0005-0000-0000-00006F0E0000}"/>
    <cellStyle name="_Column1_Volumi September estr da Alea 2" xfId="3705" xr:uid="{00000000-0005-0000-0000-0000700E0000}"/>
    <cellStyle name="_Column1_Volumi September estr da Alea_Sheet1" xfId="3706" xr:uid="{00000000-0005-0000-0000-0000710E0000}"/>
    <cellStyle name="_Column1_Volumi September estr da Alea_SustainingProjectList" xfId="3707" xr:uid="{00000000-0005-0000-0000-0000720E0000}"/>
    <cellStyle name="_Column1_Volumi YTD March x BU 2007 fl" xfId="3708" xr:uid="{00000000-0005-0000-0000-0000730E0000}"/>
    <cellStyle name="_Column1_VP Approval" xfId="3709" xr:uid="{00000000-0005-0000-0000-0000740E0000}"/>
    <cellStyle name="_Column1_VP Approval 2" xfId="3710" xr:uid="{00000000-0005-0000-0000-0000750E0000}"/>
    <cellStyle name="_Column1_VP Supply Approval" xfId="3711" xr:uid="{00000000-0005-0000-0000-0000760E0000}"/>
    <cellStyle name="_Column1_VP Supply Approval 2" xfId="3712" xr:uid="{00000000-0005-0000-0000-0000770E0000}"/>
    <cellStyle name="_Column1_VPLC" xfId="3713" xr:uid="{00000000-0005-0000-0000-0000780E0000}"/>
    <cellStyle name="_Column1_VPLC 2" xfId="3714" xr:uid="{00000000-0005-0000-0000-0000790E0000}"/>
    <cellStyle name="_Column1_VPLC 3" xfId="3715" xr:uid="{00000000-0005-0000-0000-00007A0E0000}"/>
    <cellStyle name="_Column1_VPLC 3 2" xfId="3716" xr:uid="{00000000-0005-0000-0000-00007B0E0000}"/>
    <cellStyle name="_Column1_VPLC 3 3" xfId="3717" xr:uid="{00000000-0005-0000-0000-00007C0E0000}"/>
    <cellStyle name="_Column1_VPLC 3 3 2" xfId="3718" xr:uid="{00000000-0005-0000-0000-00007D0E0000}"/>
    <cellStyle name="_Column1_VPLC 4" xfId="3719" xr:uid="{00000000-0005-0000-0000-00007E0E0000}"/>
    <cellStyle name="_Column1_VPLC 4 2" xfId="3720" xr:uid="{00000000-0005-0000-0000-00007F0E0000}"/>
    <cellStyle name="_Column1_VPLC_Sheet5" xfId="3721" xr:uid="{00000000-0005-0000-0000-0000800E0000}"/>
    <cellStyle name="_Column1_VPs Approval" xfId="3722" xr:uid="{00000000-0005-0000-0000-0000810E0000}"/>
    <cellStyle name="_Column1_VPs Approval 2" xfId="3723" xr:uid="{00000000-0005-0000-0000-0000820E0000}"/>
    <cellStyle name="_Column1_WE_B07_Scope_changes_070507" xfId="3724" xr:uid="{00000000-0005-0000-0000-0000830E0000}"/>
    <cellStyle name="_Column1_WE_B07_Scope_changes_090507" xfId="3725" xr:uid="{00000000-0005-0000-0000-0000840E0000}"/>
    <cellStyle name="_Column1_WE_B07_Scope_changes_100407" xfId="3726" xr:uid="{00000000-0005-0000-0000-0000850E0000}"/>
    <cellStyle name="_Column1_WE_B07_Scope_changes_200307" xfId="3727" xr:uid="{00000000-0005-0000-0000-0000860E0000}"/>
    <cellStyle name="_Column1_WE_B07_Scope_changes_300307" xfId="3728" xr:uid="{00000000-0005-0000-0000-0000870E0000}"/>
    <cellStyle name="_Column1_WE_BusinessUpdate Jan 2007" xfId="3729" xr:uid="{00000000-0005-0000-0000-0000880E0000}"/>
    <cellStyle name="_Column1_WE_BusinessUpdate Jan 2007 2" xfId="3730" xr:uid="{00000000-0005-0000-0000-0000890E0000}"/>
    <cellStyle name="_Column1_WE_BusinessUpdate Jan 2007 3" xfId="3731" xr:uid="{00000000-0005-0000-0000-00008A0E0000}"/>
    <cellStyle name="_Column1_WE_BusinessUpdate Jan 2007 3 2" xfId="3732" xr:uid="{00000000-0005-0000-0000-00008B0E0000}"/>
    <cellStyle name="_Column1_WE_BusinessUpdate Jan 2007_BB (2)" xfId="3733" xr:uid="{00000000-0005-0000-0000-00008C0E0000}"/>
    <cellStyle name="_Column1_WE_BusinessUpdate Jan 2007_C00200" xfId="3734" xr:uid="{00000000-0005-0000-0000-00008D0E0000}"/>
    <cellStyle name="_Column1_WE_BusinessUpdate Jan 2007_C00210" xfId="3735" xr:uid="{00000000-0005-0000-0000-00008E0E0000}"/>
    <cellStyle name="_Column1_WE_BusinessUpdate Jan 2007_C00300" xfId="3736" xr:uid="{00000000-0005-0000-0000-00008F0E0000}"/>
    <cellStyle name="_Column1_WE_BusinessUpdate Jan 2007_C00400" xfId="3737" xr:uid="{00000000-0005-0000-0000-0000900E0000}"/>
    <cellStyle name="_Column1_WE_BusinessUpdate Jan 2007_check6" xfId="3738" xr:uid="{00000000-0005-0000-0000-0000910E0000}"/>
    <cellStyle name="_Column1_WE_BusinessUpdate Jan 2007_Sheet1" xfId="3739" xr:uid="{00000000-0005-0000-0000-0000920E0000}"/>
    <cellStyle name="_Column1_WE_BusinessUpdate Jan 2007_Sheet1 (5)" xfId="3740" xr:uid="{00000000-0005-0000-0000-0000930E0000}"/>
    <cellStyle name="_Column1_WE_BusinessUpdate Jan 2007_Sheet2" xfId="3741" xr:uid="{00000000-0005-0000-0000-0000940E0000}"/>
    <cellStyle name="_Column1_WE_BusinessUpdate Jan 2007_Sheet3" xfId="3742" xr:uid="{00000000-0005-0000-0000-0000950E0000}"/>
    <cellStyle name="_Column1_WE_BusinessUpdate Jan 2007_status" xfId="3743" xr:uid="{00000000-0005-0000-0000-0000960E0000}"/>
    <cellStyle name="_Column1_WE_BusinessUpdate2007_support" xfId="3744" xr:uid="{00000000-0005-0000-0000-0000970E0000}"/>
    <cellStyle name="_Column1_WE_BusinessUpdate2007_support 2" xfId="3745" xr:uid="{00000000-0005-0000-0000-0000980E0000}"/>
    <cellStyle name="_Column1_WE_BusinessUpdate2007_support 3" xfId="3746" xr:uid="{00000000-0005-0000-0000-0000990E0000}"/>
    <cellStyle name="_Column1_WE_BusinessUpdate2007_support 3 2" xfId="3747" xr:uid="{00000000-0005-0000-0000-00009A0E0000}"/>
    <cellStyle name="_Column1_WE_BusinessUpdate2007_support_BB (2)" xfId="3748" xr:uid="{00000000-0005-0000-0000-00009B0E0000}"/>
    <cellStyle name="_Column1_WE_BusinessUpdate2007_support_C00200" xfId="3749" xr:uid="{00000000-0005-0000-0000-00009C0E0000}"/>
    <cellStyle name="_Column1_WE_BusinessUpdate2007_support_C00210" xfId="3750" xr:uid="{00000000-0005-0000-0000-00009D0E0000}"/>
    <cellStyle name="_Column1_WE_BusinessUpdate2007_support_C00300" xfId="3751" xr:uid="{00000000-0005-0000-0000-00009E0E0000}"/>
    <cellStyle name="_Column1_WE_BusinessUpdate2007_support_C00400" xfId="3752" xr:uid="{00000000-0005-0000-0000-00009F0E0000}"/>
    <cellStyle name="_Column1_WE_BusinessUpdate2007_support_check6" xfId="3753" xr:uid="{00000000-0005-0000-0000-0000A00E0000}"/>
    <cellStyle name="_Column1_WE_BusinessUpdate2007_support_Sheet1" xfId="3754" xr:uid="{00000000-0005-0000-0000-0000A10E0000}"/>
    <cellStyle name="_Column1_WE_BusinessUpdate2007_support_Sheet1 (5)" xfId="3755" xr:uid="{00000000-0005-0000-0000-0000A20E0000}"/>
    <cellStyle name="_Column1_WE_BusinessUpdate2007_support_Sheet2" xfId="3756" xr:uid="{00000000-0005-0000-0000-0000A30E0000}"/>
    <cellStyle name="_Column1_WE_BusinessUpdate2007_support_Sheet3" xfId="3757" xr:uid="{00000000-0005-0000-0000-0000A40E0000}"/>
    <cellStyle name="_Column1_WE_BusinessUpdate2007_support_status" xfId="3758" xr:uid="{00000000-0005-0000-0000-0000A50E0000}"/>
    <cellStyle name="_Column1_WE_MacoAnalysis_project" xfId="3759" xr:uid="{00000000-0005-0000-0000-0000A60E0000}"/>
    <cellStyle name="_Column1_WE_MacoAnalysis_project 2" xfId="3760" xr:uid="{00000000-0005-0000-0000-0000A70E0000}"/>
    <cellStyle name="_Column1_WE_MacoAnalysis_project 3" xfId="3761" xr:uid="{00000000-0005-0000-0000-0000A80E0000}"/>
    <cellStyle name="_Column1_WE_MacoAnalysis_project 3 2" xfId="3762" xr:uid="{00000000-0005-0000-0000-0000A90E0000}"/>
    <cellStyle name="_Column1_WE_TargetBook2006__final050307(BG)" xfId="3763" xr:uid="{00000000-0005-0000-0000-0000AA0E0000}"/>
    <cellStyle name="_Column1_YTD Off-Trade giugno" xfId="3764" xr:uid="{00000000-0005-0000-0000-0000AB0E0000}"/>
    <cellStyle name="_Column1_YTD Off-Trade maggio" xfId="3765" xr:uid="{00000000-0005-0000-0000-0000AC0E0000}"/>
    <cellStyle name="_Column1_ZBB 2006" xfId="3766" xr:uid="{00000000-0005-0000-0000-0000AD0E0000}"/>
    <cellStyle name="_Column1_ZBB 2006 2" xfId="3767" xr:uid="{00000000-0005-0000-0000-0000AE0E0000}"/>
    <cellStyle name="_Column1_ZBB 2006 3" xfId="3768" xr:uid="{00000000-0005-0000-0000-0000AF0E0000}"/>
    <cellStyle name="_Column1_ZBB 2006 3 2" xfId="3769" xr:uid="{00000000-0005-0000-0000-0000B00E0000}"/>
    <cellStyle name="_Column1_ZBB 2007 estr Alea" xfId="3770" xr:uid="{00000000-0005-0000-0000-0000B10E0000}"/>
    <cellStyle name="_Column1_ZBB Budget 2009 Decks v2 china" xfId="3771" xr:uid="{00000000-0005-0000-0000-0000B20E0000}"/>
    <cellStyle name="_Column1_ZBB Budget 2009 Decks v2 china 2" xfId="3772" xr:uid="{00000000-0005-0000-0000-0000B30E0000}"/>
    <cellStyle name="_Column1_ZBB Budget 2009 Decks v2 china 2 2" xfId="3773" xr:uid="{00000000-0005-0000-0000-0000B40E0000}"/>
    <cellStyle name="_Column1_ZBB Budget 2009 Decks v2 china 3" xfId="3774" xr:uid="{00000000-0005-0000-0000-0000B50E0000}"/>
    <cellStyle name="_Column1_ZBB cost analysis B08 fin1" xfId="3775" xr:uid="{00000000-0005-0000-0000-0000B60E0000}"/>
    <cellStyle name="_Column1_ZBB cost analysis B08 fin1 2" xfId="3776" xr:uid="{00000000-0005-0000-0000-0000B70E0000}"/>
    <cellStyle name="_Column1_ZBB cost analysis B08 fin1_Dominican Rep" xfId="3777" xr:uid="{00000000-0005-0000-0000-0000B80E0000}"/>
    <cellStyle name="_Column1_ZBB Deck Summary_Korea" xfId="3778" xr:uid="{00000000-0005-0000-0000-0000B90E0000}"/>
    <cellStyle name="_Column1_ZBB Deck Summary_Korea 2" xfId="3779" xr:uid="{00000000-0005-0000-0000-0000BA0E0000}"/>
    <cellStyle name="_Column1_ZBB Deck Summary_Korea_Sheet1" xfId="3780" xr:uid="{00000000-0005-0000-0000-0000BB0E0000}"/>
    <cellStyle name="_Column1_ZBB Deck Summary_Korea_SustainingProjectList" xfId="3781" xr:uid="{00000000-0005-0000-0000-0000BC0E0000}"/>
    <cellStyle name="_Column1_ZBB Germania" xfId="3782" xr:uid="{00000000-0005-0000-0000-0000BD0E0000}"/>
    <cellStyle name="_Column1_ZBB Germania (2)" xfId="3783" xr:uid="{00000000-0005-0000-0000-0000BE0E0000}"/>
    <cellStyle name="_Column1_ZBB Germania_1" xfId="3784" xr:uid="{00000000-0005-0000-0000-0000BF0E0000}"/>
    <cellStyle name="_Column1_ZBB ON" xfId="3785" xr:uid="{00000000-0005-0000-0000-0000C00E0000}"/>
    <cellStyle name="_Column1_ZBB ON (2)" xfId="3786" xr:uid="{00000000-0005-0000-0000-0000C10E0000}"/>
    <cellStyle name="_Column1_ZBB ON jUNE" xfId="3787" xr:uid="{00000000-0005-0000-0000-0000C20E0000}"/>
    <cellStyle name="_Column1_ZBB ON_1" xfId="3788" xr:uid="{00000000-0005-0000-0000-0000C30E0000}"/>
    <cellStyle name="_Column1_ZBB post accrual ON + DD" xfId="3789" xr:uid="{00000000-0005-0000-0000-0000C40E0000}"/>
    <cellStyle name="_Column1_ZBB Risk and oportunities SD Julyok" xfId="3790" xr:uid="{00000000-0005-0000-0000-0000C50E0000}"/>
    <cellStyle name="_Column1_ZBB Risk and oportunities SD Julyok 2" xfId="3791" xr:uid="{00000000-0005-0000-0000-0000C60E0000}"/>
    <cellStyle name="_Column1_ZBB Risk and oportunities SD Julyok 3" xfId="3792" xr:uid="{00000000-0005-0000-0000-0000C70E0000}"/>
    <cellStyle name="_Column1_ZBB Risk and oportunities SD Julyok 3 2" xfId="3793" xr:uid="{00000000-0005-0000-0000-0000C80E0000}"/>
    <cellStyle name="_Column1_ZBB Risk and oportunities SD Julyok 3 3" xfId="3794" xr:uid="{00000000-0005-0000-0000-0000C90E0000}"/>
    <cellStyle name="_Column1_ZBB Risk and oportunities SD Julyok 3 3 2" xfId="3795" xr:uid="{00000000-0005-0000-0000-0000CA0E0000}"/>
    <cellStyle name="_Column1_ZBB Risk and oportunities SD Julyok 4" xfId="3796" xr:uid="{00000000-0005-0000-0000-0000CB0E0000}"/>
    <cellStyle name="_Column1_ZBB Risk and oportunities SD Julyok 4 2" xfId="3797" xr:uid="{00000000-0005-0000-0000-0000CC0E0000}"/>
    <cellStyle name="_Column1_ZBB Risk and oportunities SD Julyok_BU12 TP database - REGULAR VOLUMES LAN" xfId="3798" xr:uid="{00000000-0005-0000-0000-0000CD0E0000}"/>
    <cellStyle name="_Column1_ZBB Risk and oportunities SD Julyok_Canada" xfId="3799" xr:uid="{00000000-0005-0000-0000-0000CE0E0000}"/>
    <cellStyle name="_Column1_ZBB Risk and oportunities SD Julyok_Canada 2" xfId="3800" xr:uid="{00000000-0005-0000-0000-0000CF0E0000}"/>
    <cellStyle name="_Column1_ZBB Risk and oportunities SD Julyok_Canada_Dominican Rep" xfId="3801" xr:uid="{00000000-0005-0000-0000-0000D00E0000}"/>
    <cellStyle name="_Column1_ZBB Sep" xfId="3802" xr:uid="{00000000-0005-0000-0000-0000D10E0000}"/>
    <cellStyle name="_Column1_ZBB standard Template Korea_081105" xfId="3803" xr:uid="{00000000-0005-0000-0000-0000D20E0000}"/>
    <cellStyle name="_Column1_ZBB standard Template Korea_081105 2" xfId="3804" xr:uid="{00000000-0005-0000-0000-0000D30E0000}"/>
    <cellStyle name="_Column1_ZBB standard Template Korea_081105 2 2" xfId="3805" xr:uid="{00000000-0005-0000-0000-0000D40E0000}"/>
    <cellStyle name="_Column1_ZBB standard Template Korea_081105 3" xfId="3806" xr:uid="{00000000-0005-0000-0000-0000D50E0000}"/>
    <cellStyle name="_Column1_ZBB x pack" xfId="3807" xr:uid="{00000000-0005-0000-0000-0000D60E0000}"/>
    <cellStyle name="_Column1_ZBB x pack - dett Mkting" xfId="3808" xr:uid="{00000000-0005-0000-0000-0000D70E0000}"/>
    <cellStyle name="_Column1_ZBB x pack - dett Sales" xfId="3809" xr:uid="{00000000-0005-0000-0000-0000D80E0000}"/>
    <cellStyle name="_Column1_ZBB x pack Finance, Beval e Par" xfId="3810" xr:uid="{00000000-0005-0000-0000-0000D90E0000}"/>
    <cellStyle name="_Column1_ZBB x pack Germania" xfId="3811" xr:uid="{00000000-0005-0000-0000-0000DA0E0000}"/>
    <cellStyle name="_Column1_ZBB x sub-pack" xfId="3812" xr:uid="{00000000-0005-0000-0000-0000DB0E0000}"/>
    <cellStyle name="_Column1_ZBB_Budget07_Entities per package4Sep5" xfId="3813" xr:uid="{00000000-0005-0000-0000-0000DC0E0000}"/>
    <cellStyle name="_Column1_ZBB_Budget07_Entities per package4Sep5 2" xfId="3814" xr:uid="{00000000-0005-0000-0000-0000DD0E0000}"/>
    <cellStyle name="_Column1_ZBB_Budget07_Entities per package4Sep5_Dominican Rep" xfId="3815" xr:uid="{00000000-0005-0000-0000-0000DE0E0000}"/>
    <cellStyle name="_Column1_ZBB_LE2+B08_V1" xfId="3816" xr:uid="{00000000-0005-0000-0000-0000DF0E0000}"/>
    <cellStyle name="_Column1_ZBB_LE2+B08_V1 2" xfId="3817" xr:uid="{00000000-0005-0000-0000-0000E00E0000}"/>
    <cellStyle name="_Column1_ZBB_LE2+B08_V1 3" xfId="3818" xr:uid="{00000000-0005-0000-0000-0000E10E0000}"/>
    <cellStyle name="_Column1_ZBB_LE2+B08_V1 3 2" xfId="3819" xr:uid="{00000000-0005-0000-0000-0000E20E0000}"/>
    <cellStyle name="_Column1_ZBB_LE2+B08_V1 3 3" xfId="3820" xr:uid="{00000000-0005-0000-0000-0000E30E0000}"/>
    <cellStyle name="_Column1_ZBB_LE2+B08_V1 3 3 2" xfId="3821" xr:uid="{00000000-0005-0000-0000-0000E40E0000}"/>
    <cellStyle name="_Column1_ZBB_LE2+B08_V1 4" xfId="3822" xr:uid="{00000000-0005-0000-0000-0000E50E0000}"/>
    <cellStyle name="_Column1_ZBB_LE2+B08_V1 4 2" xfId="3823" xr:uid="{00000000-0005-0000-0000-0000E60E0000}"/>
    <cellStyle name="_Column1_ZBB_LE2+B08_V1_BU12 TP database - REGULAR VOLUMES LAN" xfId="3824" xr:uid="{00000000-0005-0000-0000-0000E70E0000}"/>
    <cellStyle name="_Column1_ZBB_LE2+B08_V1_Canada" xfId="3825" xr:uid="{00000000-0005-0000-0000-0000E80E0000}"/>
    <cellStyle name="_Column1_ZBB_LE2+B08_V1_Canada 2" xfId="3826" xr:uid="{00000000-0005-0000-0000-0000E90E0000}"/>
    <cellStyle name="_Column1_ZBB_LE2+B08_V1_Canada_Dominican Rep" xfId="3827" xr:uid="{00000000-0005-0000-0000-0000EA0E0000}"/>
    <cellStyle name="_Column1_ZBB_SLAVICA" xfId="3828" xr:uid="{00000000-0005-0000-0000-0000EB0E0000}"/>
    <cellStyle name="_Column1_ZBB_SLAVICA 2" xfId="3829" xr:uid="{00000000-0005-0000-0000-0000EC0E0000}"/>
    <cellStyle name="_Column1_ZBB_SLAVICA 3" xfId="3830" xr:uid="{00000000-0005-0000-0000-0000ED0E0000}"/>
    <cellStyle name="_Column1_ZBB_SLAVICA 3 2" xfId="3831" xr:uid="{00000000-0005-0000-0000-0000EE0E0000}"/>
    <cellStyle name="_Column1_ZBB_SLAVICA 3 3" xfId="3832" xr:uid="{00000000-0005-0000-0000-0000EF0E0000}"/>
    <cellStyle name="_Column1_ZBB_SLAVICA 3 3 2" xfId="3833" xr:uid="{00000000-0005-0000-0000-0000F00E0000}"/>
    <cellStyle name="_Column1_ZBB_SLAVICA 4" xfId="3834" xr:uid="{00000000-0005-0000-0000-0000F10E0000}"/>
    <cellStyle name="_Column1_ZBB_SLAVICA 4 2" xfId="3835" xr:uid="{00000000-0005-0000-0000-0000F20E0000}"/>
    <cellStyle name="_Column1_ZBB_SLAVICA_BU12 TP database - REGULAR VOLUMES LAN" xfId="3836" xr:uid="{00000000-0005-0000-0000-0000F30E0000}"/>
    <cellStyle name="_Column1_ZBB_SLAVICA_Canada" xfId="3837" xr:uid="{00000000-0005-0000-0000-0000F40E0000}"/>
    <cellStyle name="_Column1_ZBB_SLAVICA_Canada 2" xfId="3838" xr:uid="{00000000-0005-0000-0000-0000F50E0000}"/>
    <cellStyle name="_Column1_ZBB_SLAVICA_Canada_Dominican Rep" xfId="3839" xr:uid="{00000000-0005-0000-0000-0000F60E0000}"/>
    <cellStyle name="_Column1_Zusammenfassung" xfId="3840" xr:uid="{00000000-0005-0000-0000-0000F70E0000}"/>
    <cellStyle name="_Column1_Zusammenfassung_Sheet5" xfId="3841" xr:uid="{00000000-0005-0000-0000-0000F80E0000}"/>
    <cellStyle name="_Column2" xfId="3842" xr:uid="{00000000-0005-0000-0000-0000F90E0000}"/>
    <cellStyle name="_Column2 2" xfId="3843" xr:uid="{00000000-0005-0000-0000-0000FA0E0000}"/>
    <cellStyle name="_Column2 2 2" xfId="3844" xr:uid="{00000000-0005-0000-0000-0000FB0E0000}"/>
    <cellStyle name="_Column2 3" xfId="3845" xr:uid="{00000000-0005-0000-0000-0000FC0E0000}"/>
    <cellStyle name="_Column2_080813 Germany-High&amp;Low" xfId="3846" xr:uid="{00000000-0005-0000-0000-0000FD0E0000}"/>
    <cellStyle name="_Column2_080813 Germany-Lidl" xfId="3847" xr:uid="{00000000-0005-0000-0000-0000FE0E0000}"/>
    <cellStyle name="_Column2_1_INPUT" xfId="3848" xr:uid="{00000000-0005-0000-0000-0000FF0E0000}"/>
    <cellStyle name="_Column2_1_INPUT_TP_No Tank Resales" xfId="3849" xr:uid="{00000000-0005-0000-0000-0000000F0000}"/>
    <cellStyle name="_Column2_2pk SP 2008" xfId="3850" xr:uid="{00000000-0005-0000-0000-0000010F0000}"/>
    <cellStyle name="_Column2_6Dic estraz" xfId="3851" xr:uid="{00000000-0005-0000-0000-0000020F0000}"/>
    <cellStyle name="_Column2_AB" xfId="3852" xr:uid="{00000000-0005-0000-0000-0000030F0000}"/>
    <cellStyle name="_Column2_Abfüllmenge &amp; Anstellwürze Bremen Budget 2006 V1.1" xfId="3853" xr:uid="{00000000-0005-0000-0000-0000040F0000}"/>
    <cellStyle name="_Column2_Abfüllmenge &amp; Anstellwürze Issum Budget 2006 V1.1" xfId="3854" xr:uid="{00000000-0005-0000-0000-0000050F0000}"/>
    <cellStyle name="_Column2_Absatz Ist je Artikel &amp; Woche V1" xfId="3855" xr:uid="{00000000-0005-0000-0000-0000060F0000}"/>
    <cellStyle name="_Column2_Absatz SP2007 pro SKU 30 5 2007 vs 4 6 2007 " xfId="3856" xr:uid="{00000000-0005-0000-0000-0000070F0000}"/>
    <cellStyle name="_Column2_Abstimmung IDVG Absätze für LE2 2004" xfId="3857" xr:uid="{00000000-0005-0000-0000-0000080F0000}"/>
    <cellStyle name="_Column2_Abstimmung IDVG Absätze für LE2 2004 2" xfId="3858" xr:uid="{00000000-0005-0000-0000-0000090F0000}"/>
    <cellStyle name="_Column2_Abstimmung IDVG Absätze für LE2 2004 2 2" xfId="3859" xr:uid="{00000000-0005-0000-0000-00000A0F0000}"/>
    <cellStyle name="_Column2_Abstimmung IDVG Absätze für LE2 2004_Basis" xfId="3860" xr:uid="{00000000-0005-0000-0000-00000B0F0000}"/>
    <cellStyle name="_Column2_Abstimmung IDVG Absätze für LE2 2004_Basis 2" xfId="3861" xr:uid="{00000000-0005-0000-0000-00000C0F0000}"/>
    <cellStyle name="_Column2_Abstimmung IDVG Absätze für LE2 2004_Basis 2 2" xfId="3862" xr:uid="{00000000-0005-0000-0000-00000D0F0000}"/>
    <cellStyle name="_Column2_Abstimmung IDVG Absätze für LE2 2004_Basis_Sheet1" xfId="3863" xr:uid="{00000000-0005-0000-0000-00000E0F0000}"/>
    <cellStyle name="_Column2_Abstimmung IDVG Absätze für LE2 2004_Basis_Sheet5" xfId="3864" xr:uid="{00000000-0005-0000-0000-00000F0F0000}"/>
    <cellStyle name="_Column2_Abstimmung IDVG Absätze für LE2 2004_Basis_Sm Proj Cash Flow" xfId="3865" xr:uid="{00000000-0005-0000-0000-0000100F0000}"/>
    <cellStyle name="_Column2_Abstimmung IDVG Absätze für LE2 2004_Basis_Spend Detail" xfId="3866" xr:uid="{00000000-0005-0000-0000-0000110F0000}"/>
    <cellStyle name="_Column2_Abstimmung IDVG Absätze für LE2 2004_Basis_SustainingProjectList" xfId="3867" xr:uid="{00000000-0005-0000-0000-0000120F0000}"/>
    <cellStyle name="_Column2_Abstimmung IDVG Absätze für LE2 2004_Sheet1" xfId="3868" xr:uid="{00000000-0005-0000-0000-0000130F0000}"/>
    <cellStyle name="_Column2_Abstimmung IDVG Absätze für LE2 2004_Sheet5" xfId="3869" xr:uid="{00000000-0005-0000-0000-0000140F0000}"/>
    <cellStyle name="_Column2_Abstimmung IDVG Absätze für LE2 2004_SKU Volumen" xfId="3870" xr:uid="{00000000-0005-0000-0000-0000150F0000}"/>
    <cellStyle name="_Column2_Abstimmung IDVG Absätze für LE2 2004_SKU Volumen 2" xfId="3871" xr:uid="{00000000-0005-0000-0000-0000160F0000}"/>
    <cellStyle name="_Column2_Abstimmung IDVG Absätze für LE2 2004_SKU Volumen_Sheet1" xfId="3872" xr:uid="{00000000-0005-0000-0000-0000170F0000}"/>
    <cellStyle name="_Column2_Abstimmung IDVG Absätze für LE2 2004_SKU Volumen_Sm Proj Cash Flow" xfId="3873" xr:uid="{00000000-0005-0000-0000-0000180F0000}"/>
    <cellStyle name="_Column2_Abstimmung IDVG Absätze für LE2 2004_SKU Volumen_Spend Detail" xfId="3874" xr:uid="{00000000-0005-0000-0000-0000190F0000}"/>
    <cellStyle name="_Column2_Abstimmung IDVG Absätze für LE2 2004_SKU Volumen_SustainingProjectList" xfId="3875" xr:uid="{00000000-0005-0000-0000-00001A0F0000}"/>
    <cellStyle name="_Column2_Abstimmung IDVG Absätze für LE2 2004_Sm Proj Cash Flow" xfId="3876" xr:uid="{00000000-0005-0000-0000-00001B0F0000}"/>
    <cellStyle name="_Column2_Abstimmung IDVG Absätze für LE2 2004_Spend Detail" xfId="3877" xr:uid="{00000000-0005-0000-0000-00001C0F0000}"/>
    <cellStyle name="_Column2_Abstimmung IDVG Absätze für LE2 2004_SustainingProjectList" xfId="3878" xr:uid="{00000000-0005-0000-0000-00001D0F0000}"/>
    <cellStyle name="_Column2_Abstimmung IDVG Absätze für LE2 2004_Tabelle1" xfId="3879" xr:uid="{00000000-0005-0000-0000-00001E0F0000}"/>
    <cellStyle name="_Column2_Abstimmung IDVG Absätze für LE2 2004_Tabelle1 2" xfId="3880" xr:uid="{00000000-0005-0000-0000-00001F0F0000}"/>
    <cellStyle name="_Column2_Abstimmung IDVG Absätze für LE2 2004_Tabelle1_Sheet1" xfId="3881" xr:uid="{00000000-0005-0000-0000-0000200F0000}"/>
    <cellStyle name="_Column2_Abstimmung IDVG Absätze für LE2 2004_Tabelle1_Sm Proj Cash Flow" xfId="3882" xr:uid="{00000000-0005-0000-0000-0000210F0000}"/>
    <cellStyle name="_Column2_Abstimmung IDVG Absätze für LE2 2004_Tabelle1_Spend Detail" xfId="3883" xr:uid="{00000000-0005-0000-0000-0000220F0000}"/>
    <cellStyle name="_Column2_Abstimmung IDVG Absätze für LE2 2004_Tabelle1_SustainingProjectList" xfId="3884" xr:uid="{00000000-0005-0000-0000-0000230F0000}"/>
    <cellStyle name="_Column2_Acc.to fuori fattura Off-trade Feb 2007 " xfId="3885" xr:uid="{00000000-0005-0000-0000-0000240F0000}"/>
    <cellStyle name="_Column2_Accident frequency" xfId="3886" xr:uid="{00000000-0005-0000-0000-0000250F0000}"/>
    <cellStyle name="_Column2_Accise" xfId="3887" xr:uid="{00000000-0005-0000-0000-0000260F0000}"/>
    <cellStyle name="_Column2_Accise Ist" xfId="3888" xr:uid="{00000000-0005-0000-0000-0000270F0000}"/>
    <cellStyle name="_Column2_actual 06" xfId="3889" xr:uid="{00000000-0005-0000-0000-0000280F0000}"/>
    <cellStyle name="_Column2_Ad hoc PL 3YP HRK za COGNOS unos JULY20" xfId="3890" xr:uid="{00000000-0005-0000-0000-0000290F0000}"/>
    <cellStyle name="_Column2_aggiornato LE2 OFF TRADE 25_08 FL" xfId="3891" xr:uid="{00000000-0005-0000-0000-00002A0F0000}"/>
    <cellStyle name="_Column2_AL 05,12,06 VS LE2" xfId="3892" xr:uid="{00000000-0005-0000-0000-00002B0F0000}"/>
    <cellStyle name="_Column2_ALEA" xfId="3893" xr:uid="{00000000-0005-0000-0000-00002C0F0000}"/>
    <cellStyle name="_Column2_ALEA OFF LE2" xfId="3894" xr:uid="{00000000-0005-0000-0000-00002D0F0000}"/>
    <cellStyle name="_Column2_Alea x mkt pack" xfId="3895" xr:uid="{00000000-0005-0000-0000-00002E0F0000}"/>
    <cellStyle name="_Column2_Alea x sales pack" xfId="3896" xr:uid="{00000000-0005-0000-0000-00002F0F0000}"/>
    <cellStyle name="_Column2_All" xfId="3897" xr:uid="{00000000-0005-0000-0000-0000300F0000}"/>
    <cellStyle name="_Column2_Analisi costo venduto" xfId="3898" xr:uid="{00000000-0005-0000-0000-0000310F0000}"/>
    <cellStyle name="_Column2_Analisi LE2'06 e bdg'07" xfId="3899" xr:uid="{00000000-0005-0000-0000-0000320F0000}"/>
    <cellStyle name="_Column2_Analisi Net Turnover Off YTD Mar" xfId="3900" xr:uid="{00000000-0005-0000-0000-0000330F0000}"/>
    <cellStyle name="_Column2_Analisi vol ott" xfId="3901" xr:uid="{00000000-0005-0000-0000-0000340F0000}"/>
    <cellStyle name="_Column2_Apr ON + DD (2)" xfId="3902" xr:uid="{00000000-0005-0000-0000-0000350F0000}"/>
    <cellStyle name="_Column2_Asset Needs" xfId="3903" xr:uid="{00000000-0005-0000-0000-0000360F0000}"/>
    <cellStyle name="_Column2_BACK UP FIGURES for PRESENTATION LE1" xfId="3904" xr:uid="{00000000-0005-0000-0000-0000370F0000}"/>
    <cellStyle name="_Column2_Basis" xfId="3905" xr:uid="{00000000-0005-0000-0000-0000380F0000}"/>
    <cellStyle name="_Column2_Basis_1" xfId="3906" xr:uid="{00000000-0005-0000-0000-0000390F0000}"/>
    <cellStyle name="_Column2_Basis_1 2" xfId="3907" xr:uid="{00000000-0005-0000-0000-00003A0F0000}"/>
    <cellStyle name="_Column2_Basis_1 2 2" xfId="3908" xr:uid="{00000000-0005-0000-0000-00003B0F0000}"/>
    <cellStyle name="_Column2_Basis_1_Sheet1" xfId="3909" xr:uid="{00000000-0005-0000-0000-00003C0F0000}"/>
    <cellStyle name="_Column2_Basis_1_Sheet5" xfId="3910" xr:uid="{00000000-0005-0000-0000-00003D0F0000}"/>
    <cellStyle name="_Column2_Basis_1_Sm Proj Cash Flow" xfId="3911" xr:uid="{00000000-0005-0000-0000-00003E0F0000}"/>
    <cellStyle name="_Column2_Basis_1_Spend Detail" xfId="3912" xr:uid="{00000000-0005-0000-0000-00003F0F0000}"/>
    <cellStyle name="_Column2_Basis_1_SustainingProjectList" xfId="3913" xr:uid="{00000000-0005-0000-0000-0000400F0000}"/>
    <cellStyle name="_Column2_BB" xfId="3914" xr:uid="{00000000-0005-0000-0000-0000410F0000}"/>
    <cellStyle name="_Column2_BE_FG" xfId="3915" xr:uid="{00000000-0005-0000-0000-0000420F0000}"/>
    <cellStyle name="_Column2_Beval REPORT novembre'06" xfId="3916" xr:uid="{00000000-0005-0000-0000-0000430F0000}"/>
    <cellStyle name="_Column2_Bil apr" xfId="3917" xr:uid="{00000000-0005-0000-0000-0000440F0000}"/>
    <cellStyle name="_Column2_Brew Ops Capacity balzer Modufi" xfId="3918" xr:uid="{00000000-0005-0000-0000-0000450F0000}"/>
    <cellStyle name="_Column2_BS ABF" xfId="3919" xr:uid="{00000000-0005-0000-0000-0000460F0000}"/>
    <cellStyle name="_Column2_BS ABF 2" xfId="3920" xr:uid="{00000000-0005-0000-0000-0000470F0000}"/>
    <cellStyle name="_Column2_BS ABF 2 2" xfId="3921" xr:uid="{00000000-0005-0000-0000-0000480F0000}"/>
    <cellStyle name="_Column2_BS ABF_Basis" xfId="3922" xr:uid="{00000000-0005-0000-0000-0000490F0000}"/>
    <cellStyle name="_Column2_BS ABF_Basis 2" xfId="3923" xr:uid="{00000000-0005-0000-0000-00004A0F0000}"/>
    <cellStyle name="_Column2_BS ABF_Basis 2 2" xfId="3924" xr:uid="{00000000-0005-0000-0000-00004B0F0000}"/>
    <cellStyle name="_Column2_BS ABF_Basis_Sheet1" xfId="3925" xr:uid="{00000000-0005-0000-0000-00004C0F0000}"/>
    <cellStyle name="_Column2_BS ABF_Basis_Sheet5" xfId="3926" xr:uid="{00000000-0005-0000-0000-00004D0F0000}"/>
    <cellStyle name="_Column2_BS ABF_Basis_Sm Proj Cash Flow" xfId="3927" xr:uid="{00000000-0005-0000-0000-00004E0F0000}"/>
    <cellStyle name="_Column2_BS ABF_Basis_Spend Detail" xfId="3928" xr:uid="{00000000-0005-0000-0000-00004F0F0000}"/>
    <cellStyle name="_Column2_BS ABF_Basis_SustainingProjectList" xfId="3929" xr:uid="{00000000-0005-0000-0000-0000500F0000}"/>
    <cellStyle name="_Column2_BS ABF_Sheet1" xfId="3930" xr:uid="{00000000-0005-0000-0000-0000510F0000}"/>
    <cellStyle name="_Column2_BS ABF_Sheet5" xfId="3931" xr:uid="{00000000-0005-0000-0000-0000520F0000}"/>
    <cellStyle name="_Column2_BS ABF_SKU Volumen" xfId="3932" xr:uid="{00000000-0005-0000-0000-0000530F0000}"/>
    <cellStyle name="_Column2_BS ABF_SKU Volumen 2" xfId="3933" xr:uid="{00000000-0005-0000-0000-0000540F0000}"/>
    <cellStyle name="_Column2_BS ABF_SKU Volumen_Sheet1" xfId="3934" xr:uid="{00000000-0005-0000-0000-0000550F0000}"/>
    <cellStyle name="_Column2_BS ABF_SKU Volumen_Sm Proj Cash Flow" xfId="3935" xr:uid="{00000000-0005-0000-0000-0000560F0000}"/>
    <cellStyle name="_Column2_BS ABF_SKU Volumen_Spend Detail" xfId="3936" xr:uid="{00000000-0005-0000-0000-0000570F0000}"/>
    <cellStyle name="_Column2_BS ABF_SKU Volumen_SustainingProjectList" xfId="3937" xr:uid="{00000000-0005-0000-0000-0000580F0000}"/>
    <cellStyle name="_Column2_BS ABF_Sm Proj Cash Flow" xfId="3938" xr:uid="{00000000-0005-0000-0000-0000590F0000}"/>
    <cellStyle name="_Column2_BS ABF_Spend Detail" xfId="3939" xr:uid="{00000000-0005-0000-0000-00005A0F0000}"/>
    <cellStyle name="_Column2_BS ABF_SustainingProjectList" xfId="3940" xr:uid="{00000000-0005-0000-0000-00005B0F0000}"/>
    <cellStyle name="_Column2_BS ABF_Tabelle1" xfId="3941" xr:uid="{00000000-0005-0000-0000-00005C0F0000}"/>
    <cellStyle name="_Column2_BS ABF_Tabelle1 2" xfId="3942" xr:uid="{00000000-0005-0000-0000-00005D0F0000}"/>
    <cellStyle name="_Column2_BS ABF_Tabelle1_Sheet1" xfId="3943" xr:uid="{00000000-0005-0000-0000-00005E0F0000}"/>
    <cellStyle name="_Column2_BS ABF_Tabelle1_Sm Proj Cash Flow" xfId="3944" xr:uid="{00000000-0005-0000-0000-00005F0F0000}"/>
    <cellStyle name="_Column2_BS ABF_Tabelle1_Spend Detail" xfId="3945" xr:uid="{00000000-0005-0000-0000-0000600F0000}"/>
    <cellStyle name="_Column2_BS ABF_Tabelle1_SustainingProjectList" xfId="3946" xr:uid="{00000000-0005-0000-0000-0000610F0000}"/>
    <cellStyle name="_Column2_BU1112 TP database - REGULAR VOLUMES" xfId="3947" xr:uid="{00000000-0005-0000-0000-0000620F0000}"/>
    <cellStyle name="_Column2_BU1112 TP database - REGULAR VOLUMES NATB" xfId="3948" xr:uid="{00000000-0005-0000-0000-0000630F0000}"/>
    <cellStyle name="_Column2_Budget 2005" xfId="3949" xr:uid="{00000000-0005-0000-0000-0000640F0000}"/>
    <cellStyle name="_Column2_Budget 2008 - Sales &amp; marketing excel support v1.0" xfId="3950" xr:uid="{00000000-0005-0000-0000-0000650F0000}"/>
    <cellStyle name="_Column2_Budget 2008 - Sales &amp; marketing excel support v1.0 2" xfId="3951" xr:uid="{00000000-0005-0000-0000-0000660F0000}"/>
    <cellStyle name="_Column2_Budget 2008 - Sales &amp; marketing excel support v1.0 3" xfId="3952" xr:uid="{00000000-0005-0000-0000-0000670F0000}"/>
    <cellStyle name="_Column2_Budget 2008 - Sales &amp; marketing excel support v1.0 3 2" xfId="3953" xr:uid="{00000000-0005-0000-0000-0000680F0000}"/>
    <cellStyle name="_Column2_Budget 2008 commercial plan 121107 after delist (2)" xfId="3954" xr:uid="{00000000-0005-0000-0000-0000690F0000}"/>
    <cellStyle name="_Column2_Budget 2008 x Cognos" xfId="3955" xr:uid="{00000000-0005-0000-0000-00006A0F0000}"/>
    <cellStyle name="_Column2_Budget monthly" xfId="3956" xr:uid="{00000000-0005-0000-0000-00006B0F0000}"/>
    <cellStyle name="_Column2_Calcolo Mens volumi Off_LE1" xfId="3957" xr:uid="{00000000-0005-0000-0000-00006C0F0000}"/>
    <cellStyle name="_Column2_Capacity Util. Hannover ORII-Bgt05" xfId="3958" xr:uid="{00000000-0005-0000-0000-00006D0F0000}"/>
    <cellStyle name="_Column2_Capacity Util. Issum ORII-Bgt05" xfId="3959" xr:uid="{00000000-0005-0000-0000-00006E0F0000}"/>
    <cellStyle name="_Column2_Capex x AnnaC (2)" xfId="3960" xr:uid="{00000000-0005-0000-0000-00006F0F0000}"/>
    <cellStyle name="_Column2_Capex_view" xfId="3961" xr:uid="{00000000-0005-0000-0000-0000700F0000}"/>
    <cellStyle name="_Column2_Cartel1" xfId="3962" xr:uid="{00000000-0005-0000-0000-0000710F0000}"/>
    <cellStyle name="_Column2_Cartel1_1" xfId="3963" xr:uid="{00000000-0005-0000-0000-0000720F0000}"/>
    <cellStyle name="_Column2_CC_ZBB_profiled_costsTM" xfId="3964" xr:uid="{00000000-0005-0000-0000-0000730F0000}"/>
    <cellStyle name="_Column2_CE da Alea" xfId="3965" xr:uid="{00000000-0005-0000-0000-0000740F0000}"/>
    <cellStyle name="_Column2_check fehlende Transportkosten 082006" xfId="3966" xr:uid="{00000000-0005-0000-0000-0000750F0000}"/>
    <cellStyle name="_Column2_Chi2 1" xfId="3967" xr:uid="{00000000-0005-0000-0000-0000760F0000}"/>
    <cellStyle name="_Column2_Chi2 HEX" xfId="3968" xr:uid="{00000000-0005-0000-0000-0000770F0000}"/>
    <cellStyle name="_Column2_Comm Agreem Distr" xfId="3969" xr:uid="{00000000-0005-0000-0000-0000780F0000}"/>
    <cellStyle name="_Column2_Comm Agreem On Trade" xfId="3970" xr:uid="{00000000-0005-0000-0000-0000790F0000}"/>
    <cellStyle name="_Column2_CommAgreeDistr" xfId="3971" xr:uid="{00000000-0005-0000-0000-00007A0F0000}"/>
    <cellStyle name="_Column2_Copia di MACO BU'07 Total Italy new" xfId="3972" xr:uid="{00000000-0005-0000-0000-00007B0F0000}"/>
    <cellStyle name="_Column2_Copy of 081027 ZBB Budget 2009 Decks - People_Cherry_V4" xfId="3973" xr:uid="{00000000-0005-0000-0000-00007C0F0000}"/>
    <cellStyle name="_Column2_Copy of 081027 ZBB Budget 2009 Decks - People_Cherry_V4 2" xfId="3974" xr:uid="{00000000-0005-0000-0000-00007D0F0000}"/>
    <cellStyle name="_Column2_Copy of 081027 ZBB Budget 2009 Decks - People_Cherry_V4 2 2" xfId="3975" xr:uid="{00000000-0005-0000-0000-00007E0F0000}"/>
    <cellStyle name="_Column2_Copy of 081027 ZBB Budget 2009 Decks - People_Cherry_V4 3" xfId="3976" xr:uid="{00000000-0005-0000-0000-00007F0F0000}"/>
    <cellStyle name="_Column2_Copy of ZBB cost analysis B08 _fintm04092007v2 04.09.07" xfId="3977" xr:uid="{00000000-0005-0000-0000-0000800F0000}"/>
    <cellStyle name="_Column2_Copy of ZBB costs P&amp;L od Slavice 04.09.2007" xfId="3978" xr:uid="{00000000-0005-0000-0000-0000810F0000}"/>
    <cellStyle name="_Column2_Costo vend new sku" xfId="3979" xr:uid="{00000000-0005-0000-0000-0000820F0000}"/>
    <cellStyle name="_Column2_Cro_Template 3YP 08-10 - Update (2)" xfId="3980" xr:uid="{00000000-0005-0000-0000-0000830F0000}"/>
    <cellStyle name="_Column2_Daten" xfId="3981" xr:uid="{00000000-0005-0000-0000-0000840F0000}"/>
    <cellStyle name="_Column2_Daten_1" xfId="3982" xr:uid="{00000000-0005-0000-0000-0000850F0000}"/>
    <cellStyle name="_Column2_Daten_1_RFFS SUBMISSION TO VPs" xfId="3983" xr:uid="{00000000-0005-0000-0000-0000860F0000}"/>
    <cellStyle name="_Column2_Daten_1_RFFS_SUBMISSION_TO_VPs _v2" xfId="3984" xr:uid="{00000000-0005-0000-0000-0000870F0000}"/>
    <cellStyle name="_Column2_DBSET" xfId="3985" xr:uid="{00000000-0005-0000-0000-0000880F0000}"/>
    <cellStyle name="_Column2_DEP" xfId="3986" xr:uid="{00000000-0005-0000-0000-0000890F0000}"/>
    <cellStyle name="_Column2_details" xfId="3987" xr:uid="{00000000-0005-0000-0000-00008A0F0000}"/>
    <cellStyle name="_Column2_Dir Trade Mktg Mat - on trade" xfId="3988" xr:uid="{00000000-0005-0000-0000-00008B0F0000}"/>
    <cellStyle name="_Column2_Dir.Trade Mktg Mat." xfId="3989" xr:uid="{00000000-0005-0000-0000-00008C0F0000}"/>
    <cellStyle name="_Column2_Discounts Off" xfId="3990" xr:uid="{00000000-0005-0000-0000-00008D0F0000}"/>
    <cellStyle name="_Column2_Distributer Support" xfId="3991" xr:uid="{00000000-0005-0000-0000-00008E0F0000}"/>
    <cellStyle name="_Column2_ERP" xfId="3992" xr:uid="{00000000-0005-0000-0000-00008F0F0000}"/>
    <cellStyle name="_Column2_ERP_RFFS SUBMISSION TO VPs" xfId="3993" xr:uid="{00000000-0005-0000-0000-0000900F0000}"/>
    <cellStyle name="_Column2_ERP_RFFS_SUBMISSION_TO_VPs _v2" xfId="3994" xr:uid="{00000000-0005-0000-0000-0000910F0000}"/>
    <cellStyle name="_Column2_Estraz Alea x dim mens'06" xfId="3995" xr:uid="{00000000-0005-0000-0000-0000920F0000}"/>
    <cellStyle name="_Column2_Estraz MIS Alea" xfId="3996" xr:uid="{00000000-0005-0000-0000-0000930F0000}"/>
    <cellStyle name="_Column2_FAG_FTE" xfId="3997" xr:uid="{00000000-0005-0000-0000-0000940F0000}"/>
    <cellStyle name="_Column2_FAG_FTE 2" xfId="3998" xr:uid="{00000000-0005-0000-0000-0000950F0000}"/>
    <cellStyle name="_Column2_FAG_FTE_Sheet1" xfId="3999" xr:uid="{00000000-0005-0000-0000-0000960F0000}"/>
    <cellStyle name="_Column2_FAG_FTE_Sheet5" xfId="4000" xr:uid="{00000000-0005-0000-0000-0000970F0000}"/>
    <cellStyle name="_Column2_FAG_FTE_TP_IC_2013" xfId="4001" xr:uid="{00000000-0005-0000-0000-0000980F0000}"/>
    <cellStyle name="_Column2_Fatture Partner" xfId="4002" xr:uid="{00000000-0005-0000-0000-0000990F0000}"/>
    <cellStyle name="_Column2_FCAccuracy_week_0907" xfId="4003" xr:uid="{00000000-0005-0000-0000-00009A0F0000}"/>
    <cellStyle name="_Column2_Feasibility Request_Diebels" xfId="4004" xr:uid="{00000000-0005-0000-0000-00009B0F0000}"/>
    <cellStyle name="_Column2_Feasibility Request_Diebels_RFFS SUBMISSION TO VPs" xfId="4005" xr:uid="{00000000-0005-0000-0000-00009C0F0000}"/>
    <cellStyle name="_Column2_Feasibility Request_Diebels_RFFS_SUBMISSION_TO_VPs _v2" xfId="4006" xr:uid="{00000000-0005-0000-0000-00009D0F0000}"/>
    <cellStyle name="_Column2_Feasibility Request_Dimix" xfId="4007" xr:uid="{00000000-0005-0000-0000-00009E0F0000}"/>
    <cellStyle name="_Column2_Feasibility Request_Dimix_RFFS SUBMISSION TO VPs" xfId="4008" xr:uid="{00000000-0005-0000-0000-00009F0F0000}"/>
    <cellStyle name="_Column2_Feasibility Request_Dimix_RFFS_SUBMISSION_TO_VPs _v2" xfId="4009" xr:uid="{00000000-0005-0000-0000-0000A00F0000}"/>
    <cellStyle name="_Column2_Float" xfId="4010" xr:uid="{00000000-0005-0000-0000-0000A10F0000}"/>
    <cellStyle name="_Column2_foglio prova" xfId="4011" xr:uid="{00000000-0005-0000-0000-0000A20F0000}"/>
    <cellStyle name="_Column2_Foglio1" xfId="4012" xr:uid="{00000000-0005-0000-0000-0000A30F0000}"/>
    <cellStyle name="_Column2_Foglio1_1" xfId="4013" xr:uid="{00000000-0005-0000-0000-0000A40F0000}"/>
    <cellStyle name="_Column2_Foglio1_Analisi costo venduto" xfId="4014" xr:uid="{00000000-0005-0000-0000-0000A50F0000}"/>
    <cellStyle name="_Column2_Foglio1_Analisi vol ott" xfId="4015" xr:uid="{00000000-0005-0000-0000-0000A60F0000}"/>
    <cellStyle name="_Column2_Foglio1_BACK UP FIGURES for PRESENTATION LE1" xfId="4016" xr:uid="{00000000-0005-0000-0000-0000A70F0000}"/>
    <cellStyle name="_Column2_Foglio1_Capex x AnnaC (2)" xfId="4017" xr:uid="{00000000-0005-0000-0000-0000A80F0000}"/>
    <cellStyle name="_Column2_Foglio1_CC targets july" xfId="4018" xr:uid="{00000000-0005-0000-0000-0000A90F0000}"/>
    <cellStyle name="_Column2_Foglio1_DBSET" xfId="4019" xr:uid="{00000000-0005-0000-0000-0000AA0F0000}"/>
    <cellStyle name="_Column2_Foglio1_Foglio1" xfId="4020" xr:uid="{00000000-0005-0000-0000-0000AB0F0000}"/>
    <cellStyle name="_Column2_Foglio1_LE1 addendum" xfId="4021" xr:uid="{00000000-0005-0000-0000-0000AC0F0000}"/>
    <cellStyle name="_Column2_Foglio1_LEI templates - per Francesca by PPM" xfId="4022" xr:uid="{00000000-0005-0000-0000-0000AD0F0000}"/>
    <cellStyle name="_Column2_Foglio1_Maco budget" xfId="4023" xr:uid="{00000000-0005-0000-0000-0000AE0F0000}"/>
    <cellStyle name="_Column2_Foglio1_Mens volumi LE1 x BBP" xfId="4024" xr:uid="{00000000-0005-0000-0000-0000AF0F0000}"/>
    <cellStyle name="_Column2_Foglio2" xfId="4025" xr:uid="{00000000-0005-0000-0000-0000B00F0000}"/>
    <cellStyle name="_Column2_Foglio2_1" xfId="4026" xr:uid="{00000000-0005-0000-0000-0000B10F0000}"/>
    <cellStyle name="_Column2_Foglio2_Analisi costo venduto" xfId="4027" xr:uid="{00000000-0005-0000-0000-0000B20F0000}"/>
    <cellStyle name="_Column2_Foglio2_BACK UP FIGURES for PRESENTATION LE1" xfId="4028" xr:uid="{00000000-0005-0000-0000-0000B30F0000}"/>
    <cellStyle name="_Column2_Foglio2_LE1 addendum" xfId="4029" xr:uid="{00000000-0005-0000-0000-0000B40F0000}"/>
    <cellStyle name="_Column2_Foglio2_LEI templates - per Francesca by PPM" xfId="4030" xr:uid="{00000000-0005-0000-0000-0000B50F0000}"/>
    <cellStyle name="_Column2_Foglio3" xfId="4031" xr:uid="{00000000-0005-0000-0000-0000B60F0000}"/>
    <cellStyle name="_Column2_Foglio3_1" xfId="4032" xr:uid="{00000000-0005-0000-0000-0000B70F0000}"/>
    <cellStyle name="_Column2_Foglio3_Analisi vol ott" xfId="4033" xr:uid="{00000000-0005-0000-0000-0000B80F0000}"/>
    <cellStyle name="_Column2_Foglio3_BACK UP FIGURES for PRESENTATION LE1" xfId="4034" xr:uid="{00000000-0005-0000-0000-0000B90F0000}"/>
    <cellStyle name="_Column2_Foglio3_Maco budget" xfId="4035" xr:uid="{00000000-0005-0000-0000-0000BA0F0000}"/>
    <cellStyle name="_Column2_Foglio3_Maco LE1 vers 30.4.07" xfId="4036" xr:uid="{00000000-0005-0000-0000-0000BB0F0000}"/>
    <cellStyle name="_Column2_Foglio3_Maco LE1 vers 30.4.07 PER PRESENTAZ" xfId="4037" xr:uid="{00000000-0005-0000-0000-0000BC0F0000}"/>
    <cellStyle name="_Column2_Foglio3_Marzo 2007 Deck vers 16.4.07" xfId="4038" xr:uid="{00000000-0005-0000-0000-0000BD0F0000}"/>
    <cellStyle name="_Column2_Foglio3_Volumi LE1 sku - brand - package" xfId="4039" xr:uid="{00000000-0005-0000-0000-0000BE0F0000}"/>
    <cellStyle name="_Column2_Foglio4" xfId="4040" xr:uid="{00000000-0005-0000-0000-0000BF0F0000}"/>
    <cellStyle name="_Column2_Foglio4_BACK UP FIGURES for PRESENTATION LE1" xfId="4041" xr:uid="{00000000-0005-0000-0000-0000C00F0000}"/>
    <cellStyle name="_Column2_Foglio4_Maco LE1 vers 30.4.07" xfId="4042" xr:uid="{00000000-0005-0000-0000-0000C10F0000}"/>
    <cellStyle name="_Column2_Foglio4_Maco LE1 vers 30.4.07 PER PRESENTAZ" xfId="4043" xr:uid="{00000000-0005-0000-0000-0000C20F0000}"/>
    <cellStyle name="_Column2_Foglio4_Marzo 2007 Deck vers 16.4.07" xfId="4044" xr:uid="{00000000-0005-0000-0000-0000C30F0000}"/>
    <cellStyle name="_Column2_Foglio5" xfId="4045" xr:uid="{00000000-0005-0000-0000-0000C40F0000}"/>
    <cellStyle name="_Column2_Foglio5_BACK UP FIGURES for PRESENTATION LE1" xfId="4046" xr:uid="{00000000-0005-0000-0000-0000C50F0000}"/>
    <cellStyle name="_Column2_Foglio5_Maco budget" xfId="4047" xr:uid="{00000000-0005-0000-0000-0000C60F0000}"/>
    <cellStyle name="_Column2_Foglio5_Maco LE1 vers 30.4.07" xfId="4048" xr:uid="{00000000-0005-0000-0000-0000C70F0000}"/>
    <cellStyle name="_Column2_Foglio5_Maco LE1 vers 30.4.07 PER PRESENTAZ" xfId="4049" xr:uid="{00000000-0005-0000-0000-0000C80F0000}"/>
    <cellStyle name="_Column2_Foglio5_Marzo 2007 Deck vers 16.4.07" xfId="4050" xr:uid="{00000000-0005-0000-0000-0000C90F0000}"/>
    <cellStyle name="_Column2_Foglio6" xfId="4051" xr:uid="{00000000-0005-0000-0000-0000CA0F0000}"/>
    <cellStyle name="_Column2_FRANGO_Monatsbericht Italy_0611" xfId="4052" xr:uid="{00000000-0005-0000-0000-0000CB0F0000}"/>
    <cellStyle name="_Column2_Franz demand" xfId="4053" xr:uid="{00000000-0005-0000-0000-0000CC0F0000}"/>
    <cellStyle name="_Column2_Franz Development" xfId="4054" xr:uid="{00000000-0005-0000-0000-0000CD0F0000}"/>
    <cellStyle name="_Column2_Franz Ist" xfId="4055" xr:uid="{00000000-0005-0000-0000-0000CE0F0000}"/>
    <cellStyle name="_Column2_Free Worksheet" xfId="4056" xr:uid="{00000000-0005-0000-0000-0000CF0F0000}"/>
    <cellStyle name="_Column2_Gennaio draft ON + DD" xfId="4057" xr:uid="{00000000-0005-0000-0000-0000D00F0000}"/>
    <cellStyle name="_Column2_Germany" xfId="4058" xr:uid="{00000000-0005-0000-0000-0000D10F0000}"/>
    <cellStyle name="_Column2_Germany_brew" xfId="4059" xr:uid="{00000000-0005-0000-0000-0000D20F0000}"/>
    <cellStyle name="_Column2_Gilde Maco" xfId="4060" xr:uid="{00000000-0005-0000-0000-0000D30F0000}"/>
    <cellStyle name="_Column2_Gilde Maco 2" xfId="4061" xr:uid="{00000000-0005-0000-0000-0000D40F0000}"/>
    <cellStyle name="_Column2_Gilde Maco 2 2" xfId="4062" xr:uid="{00000000-0005-0000-0000-0000D50F0000}"/>
    <cellStyle name="_Column2_Gilde Maco_Basis" xfId="4063" xr:uid="{00000000-0005-0000-0000-0000D60F0000}"/>
    <cellStyle name="_Column2_Gilde Maco_Basis 2" xfId="4064" xr:uid="{00000000-0005-0000-0000-0000D70F0000}"/>
    <cellStyle name="_Column2_Gilde Maco_Basis 2 2" xfId="4065" xr:uid="{00000000-0005-0000-0000-0000D80F0000}"/>
    <cellStyle name="_Column2_Gilde Maco_Basis_Sheet1" xfId="4066" xr:uid="{00000000-0005-0000-0000-0000D90F0000}"/>
    <cellStyle name="_Column2_Gilde Maco_Basis_Sheet5" xfId="4067" xr:uid="{00000000-0005-0000-0000-0000DA0F0000}"/>
    <cellStyle name="_Column2_Gilde Maco_Basis_Sm Proj Cash Flow" xfId="4068" xr:uid="{00000000-0005-0000-0000-0000DB0F0000}"/>
    <cellStyle name="_Column2_Gilde Maco_Basis_Spend Detail" xfId="4069" xr:uid="{00000000-0005-0000-0000-0000DC0F0000}"/>
    <cellStyle name="_Column2_Gilde Maco_Basis_SustainingProjectList" xfId="4070" xr:uid="{00000000-0005-0000-0000-0000DD0F0000}"/>
    <cellStyle name="_Column2_Gilde Maco_Sheet1" xfId="4071" xr:uid="{00000000-0005-0000-0000-0000DE0F0000}"/>
    <cellStyle name="_Column2_Gilde Maco_Sheet5" xfId="4072" xr:uid="{00000000-0005-0000-0000-0000DF0F0000}"/>
    <cellStyle name="_Column2_Gilde Maco_SKU Volumen" xfId="4073" xr:uid="{00000000-0005-0000-0000-0000E00F0000}"/>
    <cellStyle name="_Column2_Gilde Maco_SKU Volumen 2" xfId="4074" xr:uid="{00000000-0005-0000-0000-0000E10F0000}"/>
    <cellStyle name="_Column2_Gilde Maco_SKU Volumen_Sheet1" xfId="4075" xr:uid="{00000000-0005-0000-0000-0000E20F0000}"/>
    <cellStyle name="_Column2_Gilde Maco_SKU Volumen_Sm Proj Cash Flow" xfId="4076" xr:uid="{00000000-0005-0000-0000-0000E30F0000}"/>
    <cellStyle name="_Column2_Gilde Maco_SKU Volumen_Spend Detail" xfId="4077" xr:uid="{00000000-0005-0000-0000-0000E40F0000}"/>
    <cellStyle name="_Column2_Gilde Maco_SKU Volumen_SustainingProjectList" xfId="4078" xr:uid="{00000000-0005-0000-0000-0000E50F0000}"/>
    <cellStyle name="_Column2_Gilde Maco_Sm Proj Cash Flow" xfId="4079" xr:uid="{00000000-0005-0000-0000-0000E60F0000}"/>
    <cellStyle name="_Column2_Gilde Maco_Spend Detail" xfId="4080" xr:uid="{00000000-0005-0000-0000-0000E70F0000}"/>
    <cellStyle name="_Column2_Gilde Maco_SustainingProjectList" xfId="4081" xr:uid="{00000000-0005-0000-0000-0000E80F0000}"/>
    <cellStyle name="_Column2_Gilde Maco_Tabelle1" xfId="4082" xr:uid="{00000000-0005-0000-0000-0000E90F0000}"/>
    <cellStyle name="_Column2_Gilde Maco_Tabelle1 2" xfId="4083" xr:uid="{00000000-0005-0000-0000-0000EA0F0000}"/>
    <cellStyle name="_Column2_Gilde Maco_Tabelle1_Sheet1" xfId="4084" xr:uid="{00000000-0005-0000-0000-0000EB0F0000}"/>
    <cellStyle name="_Column2_Gilde Maco_Tabelle1_Sm Proj Cash Flow" xfId="4085" xr:uid="{00000000-0005-0000-0000-0000EC0F0000}"/>
    <cellStyle name="_Column2_Gilde Maco_Tabelle1_Spend Detail" xfId="4086" xr:uid="{00000000-0005-0000-0000-0000ED0F0000}"/>
    <cellStyle name="_Column2_Gilde Maco_Tabelle1_SustainingProjectList" xfId="4087" xr:uid="{00000000-0005-0000-0000-0000EE0F0000}"/>
    <cellStyle name="_Column2_Global_Final_18122006 (2)" xfId="4088" xr:uid="{00000000-0005-0000-0000-0000EF0F0000}"/>
    <cellStyle name="_Column2_Hass Dashboard" xfId="4089" xr:uid="{00000000-0005-0000-0000-0000F00F0000}"/>
    <cellStyle name="_Column2_Hass Dashboard v1" xfId="4090" xr:uid="{00000000-0005-0000-0000-0000F10F0000}"/>
    <cellStyle name="_Column2_Hasseröder Export Detailplanung nach Wochen Version Radler + Diesel 10.4.2007" xfId="4091" xr:uid="{00000000-0005-0000-0000-0000F20F0000}"/>
    <cellStyle name="_Column2_Hl Feb Alea 22.2.07" xfId="4092" xr:uid="{00000000-0005-0000-0000-0000F30F0000}"/>
    <cellStyle name="_Column2_Hl Gen" xfId="4093" xr:uid="{00000000-0005-0000-0000-0000F40F0000}"/>
    <cellStyle name="_Column2_Hoja1" xfId="4094" xr:uid="{00000000-0005-0000-0000-0000F50F0000}"/>
    <cellStyle name="_Column2_Hoja2" xfId="4095" xr:uid="{00000000-0005-0000-0000-0000F60F0000}"/>
    <cellStyle name="_Column2_Hopfen" xfId="4096" xr:uid="{00000000-0005-0000-0000-0000F70F0000}"/>
    <cellStyle name="_Column2_IDVG Maco" xfId="4097" xr:uid="{00000000-0005-0000-0000-0000F80F0000}"/>
    <cellStyle name="_Column2_IDVG Maco 2" xfId="4098" xr:uid="{00000000-0005-0000-0000-0000F90F0000}"/>
    <cellStyle name="_Column2_IDVG Maco 2 2" xfId="4099" xr:uid="{00000000-0005-0000-0000-0000FA0F0000}"/>
    <cellStyle name="_Column2_IDVG Maco_Basis" xfId="4100" xr:uid="{00000000-0005-0000-0000-0000FB0F0000}"/>
    <cellStyle name="_Column2_IDVG Maco_Basis 2" xfId="4101" xr:uid="{00000000-0005-0000-0000-0000FC0F0000}"/>
    <cellStyle name="_Column2_IDVG Maco_Basis 2 2" xfId="4102" xr:uid="{00000000-0005-0000-0000-0000FD0F0000}"/>
    <cellStyle name="_Column2_IDVG Maco_Basis_Sheet1" xfId="4103" xr:uid="{00000000-0005-0000-0000-0000FE0F0000}"/>
    <cellStyle name="_Column2_IDVG Maco_Basis_Sheet5" xfId="4104" xr:uid="{00000000-0005-0000-0000-0000FF0F0000}"/>
    <cellStyle name="_Column2_IDVG Maco_Basis_Sm Proj Cash Flow" xfId="4105" xr:uid="{00000000-0005-0000-0000-000000100000}"/>
    <cellStyle name="_Column2_IDVG Maco_Basis_Spend Detail" xfId="4106" xr:uid="{00000000-0005-0000-0000-000001100000}"/>
    <cellStyle name="_Column2_IDVG Maco_Basis_SustainingProjectList" xfId="4107" xr:uid="{00000000-0005-0000-0000-000002100000}"/>
    <cellStyle name="_Column2_IDVG Maco_Sheet1" xfId="4108" xr:uid="{00000000-0005-0000-0000-000003100000}"/>
    <cellStyle name="_Column2_IDVG Maco_Sheet5" xfId="4109" xr:uid="{00000000-0005-0000-0000-000004100000}"/>
    <cellStyle name="_Column2_IDVG Maco_SKU Volumen" xfId="4110" xr:uid="{00000000-0005-0000-0000-000005100000}"/>
    <cellStyle name="_Column2_IDVG Maco_SKU Volumen 2" xfId="4111" xr:uid="{00000000-0005-0000-0000-000006100000}"/>
    <cellStyle name="_Column2_IDVG Maco_SKU Volumen_Sheet1" xfId="4112" xr:uid="{00000000-0005-0000-0000-000007100000}"/>
    <cellStyle name="_Column2_IDVG Maco_SKU Volumen_Sm Proj Cash Flow" xfId="4113" xr:uid="{00000000-0005-0000-0000-000008100000}"/>
    <cellStyle name="_Column2_IDVG Maco_SKU Volumen_Spend Detail" xfId="4114" xr:uid="{00000000-0005-0000-0000-000009100000}"/>
    <cellStyle name="_Column2_IDVG Maco_SKU Volumen_SustainingProjectList" xfId="4115" xr:uid="{00000000-0005-0000-0000-00000A100000}"/>
    <cellStyle name="_Column2_IDVG Maco_Sm Proj Cash Flow" xfId="4116" xr:uid="{00000000-0005-0000-0000-00000B100000}"/>
    <cellStyle name="_Column2_IDVG Maco_Spend Detail" xfId="4117" xr:uid="{00000000-0005-0000-0000-00000C100000}"/>
    <cellStyle name="_Column2_IDVG Maco_SustainingProjectList" xfId="4118" xr:uid="{00000000-0005-0000-0000-00000D100000}"/>
    <cellStyle name="_Column2_IDVG Maco_Tabelle1" xfId="4119" xr:uid="{00000000-0005-0000-0000-00000E100000}"/>
    <cellStyle name="_Column2_IDVG Maco_Tabelle1 2" xfId="4120" xr:uid="{00000000-0005-0000-0000-00000F100000}"/>
    <cellStyle name="_Column2_IDVG Maco_Tabelle1_Sheet1" xfId="4121" xr:uid="{00000000-0005-0000-0000-000010100000}"/>
    <cellStyle name="_Column2_IDVG Maco_Tabelle1_Sm Proj Cash Flow" xfId="4122" xr:uid="{00000000-0005-0000-0000-000011100000}"/>
    <cellStyle name="_Column2_IDVG Maco_Tabelle1_Spend Detail" xfId="4123" xr:uid="{00000000-0005-0000-0000-000012100000}"/>
    <cellStyle name="_Column2_IDVG Maco_Tabelle1_SustainingProjectList" xfId="4124" xr:uid="{00000000-0005-0000-0000-000013100000}"/>
    <cellStyle name="_Column2_In maco" xfId="4125" xr:uid="{00000000-0005-0000-0000-000014100000}"/>
    <cellStyle name="_Column2_Incollare volumi estr da Alea" xfId="4126" xr:uid="{00000000-0005-0000-0000-000015100000}"/>
    <cellStyle name="_Column2_Industry Volumes" xfId="4127" xr:uid="{00000000-0005-0000-0000-000016100000}"/>
    <cellStyle name="_Column2_Industry Volumes 2" xfId="4128" xr:uid="{00000000-0005-0000-0000-000017100000}"/>
    <cellStyle name="_Column2_Industry Volumes 2 2" xfId="4129" xr:uid="{00000000-0005-0000-0000-000018100000}"/>
    <cellStyle name="_Column2_Industry Volumes 2 2 2" xfId="4130" xr:uid="{00000000-0005-0000-0000-000019100000}"/>
    <cellStyle name="_Column2_Industry Volumes 2 3" xfId="4131" xr:uid="{00000000-0005-0000-0000-00001A100000}"/>
    <cellStyle name="_Column2_Industry Volumes 2 3 2" xfId="4132" xr:uid="{00000000-0005-0000-0000-00001B100000}"/>
    <cellStyle name="_Column2_Industry Volumes 2 3 3" xfId="4133" xr:uid="{00000000-0005-0000-0000-00001C100000}"/>
    <cellStyle name="_Column2_Industry Volumes 2 4" xfId="4134" xr:uid="{00000000-0005-0000-0000-00001D100000}"/>
    <cellStyle name="_Column2_Industry Volumes 2 5" xfId="4135" xr:uid="{00000000-0005-0000-0000-00001E100000}"/>
    <cellStyle name="_Column2_Industry Volumes 3" xfId="4136" xr:uid="{00000000-0005-0000-0000-00001F100000}"/>
    <cellStyle name="_Column2_Industry Volumes 3 2" xfId="4137" xr:uid="{00000000-0005-0000-0000-000020100000}"/>
    <cellStyle name="_Column2_Industry Volumes 3 3" xfId="4138" xr:uid="{00000000-0005-0000-0000-000021100000}"/>
    <cellStyle name="_Column2_Industry Volumes 3 3 2" xfId="4139" xr:uid="{00000000-0005-0000-0000-000022100000}"/>
    <cellStyle name="_Column2_Industry Volumes 4" xfId="4140" xr:uid="{00000000-0005-0000-0000-000023100000}"/>
    <cellStyle name="_Column2_Industry Volumes 4 2" xfId="4141" xr:uid="{00000000-0005-0000-0000-000024100000}"/>
    <cellStyle name="_Column2_Industry Volumes 4 3" xfId="4142" xr:uid="{00000000-0005-0000-0000-000025100000}"/>
    <cellStyle name="_Column2_Industry Volumes 5" xfId="4143" xr:uid="{00000000-0005-0000-0000-000026100000}"/>
    <cellStyle name="_Column2_Industry Volumes 6" xfId="4144" xr:uid="{00000000-0005-0000-0000-000027100000}"/>
    <cellStyle name="_Column2_Industry Volumes_Sheet1" xfId="4145" xr:uid="{00000000-0005-0000-0000-000028100000}"/>
    <cellStyle name="_Column2_Industry Volumes_Sm Proj Cash Flow" xfId="4146" xr:uid="{00000000-0005-0000-0000-000029100000}"/>
    <cellStyle name="_Column2_Industry Volumes_Spend Detail" xfId="4147" xr:uid="{00000000-0005-0000-0000-00002A100000}"/>
    <cellStyle name="_Column2_Industry Volumes_SustainingProjectList" xfId="4148" xr:uid="{00000000-0005-0000-0000-00002B100000}"/>
    <cellStyle name="_Column2_innovation volumi" xfId="4149" xr:uid="{00000000-0005-0000-0000-00002C100000}"/>
    <cellStyle name="_Column2_INPUT" xfId="4150" xr:uid="{00000000-0005-0000-0000-00002D100000}"/>
    <cellStyle name="_Column2_IS LE1 ricevuto da On Trade" xfId="4151" xr:uid="{00000000-0005-0000-0000-00002E100000}"/>
    <cellStyle name="_Column2_IT_TR2 (Maco YTD Giu)" xfId="4152" xr:uid="{00000000-0005-0000-0000-00002F100000}"/>
    <cellStyle name="_Column2_June draft ON + DD" xfId="4153" xr:uid="{00000000-0005-0000-0000-000030100000}"/>
    <cellStyle name="_Column2_JW_Absätze aus diversen MACO-Würfeln" xfId="4154" xr:uid="{00000000-0005-0000-0000-000031100000}"/>
    <cellStyle name="_Column2_JW_Transferpreise 2006" xfId="4155" xr:uid="{00000000-0005-0000-0000-000032100000}"/>
    <cellStyle name="_Column2_JW_Transferpreise IDVG 2005" xfId="4156" xr:uid="{00000000-0005-0000-0000-000033100000}"/>
    <cellStyle name="_Column2_K01 Budget'07 mens" xfId="4157" xr:uid="{00000000-0005-0000-0000-000034100000}"/>
    <cellStyle name="_Column2_K01 January 07" xfId="4158" xr:uid="{00000000-0005-0000-0000-000035100000}"/>
    <cellStyle name="_Column2_K01 March 07" xfId="4159" xr:uid="{00000000-0005-0000-0000-000036100000}"/>
    <cellStyle name="_Column2_KK_3YP Model S&amp;D Stand 3.7.07" xfId="4160" xr:uid="{00000000-0005-0000-0000-000037100000}"/>
    <cellStyle name="_Column2_KK_3YP Model S&amp;D Stand 3.7.07 2" xfId="4161" xr:uid="{00000000-0005-0000-0000-000038100000}"/>
    <cellStyle name="_Column2_KK_3YP Model S&amp;D Stand 3.7.07 2 2" xfId="4162" xr:uid="{00000000-0005-0000-0000-000039100000}"/>
    <cellStyle name="_Column2_KK_3YP Model S&amp;D Stand 3.7.07 2 2 2" xfId="4163" xr:uid="{00000000-0005-0000-0000-00003A100000}"/>
    <cellStyle name="_Column2_KK_3YP Model S&amp;D Stand 3.7.07 2 3" xfId="4164" xr:uid="{00000000-0005-0000-0000-00003B100000}"/>
    <cellStyle name="_Column2_KK_3YP Model S&amp;D Stand 3.7.07 2 3 2" xfId="4165" xr:uid="{00000000-0005-0000-0000-00003C100000}"/>
    <cellStyle name="_Column2_KK_3YP Model S&amp;D Stand 3.7.07 2 3 3" xfId="4166" xr:uid="{00000000-0005-0000-0000-00003D100000}"/>
    <cellStyle name="_Column2_KK_3YP Model S&amp;D Stand 3.7.07 2 4" xfId="4167" xr:uid="{00000000-0005-0000-0000-00003E100000}"/>
    <cellStyle name="_Column2_KK_3YP Model S&amp;D Stand 3.7.07 2 5" xfId="4168" xr:uid="{00000000-0005-0000-0000-00003F100000}"/>
    <cellStyle name="_Column2_KK_3YP Model S&amp;D Stand 3.7.07 3" xfId="4169" xr:uid="{00000000-0005-0000-0000-000040100000}"/>
    <cellStyle name="_Column2_KK_3YP Model S&amp;D Stand 3.7.07 3 2" xfId="4170" xr:uid="{00000000-0005-0000-0000-000041100000}"/>
    <cellStyle name="_Column2_KK_3YP Model S&amp;D Stand 3.7.07 3 3" xfId="4171" xr:uid="{00000000-0005-0000-0000-000042100000}"/>
    <cellStyle name="_Column2_KK_3YP Model S&amp;D Stand 3.7.07 3 3 2" xfId="4172" xr:uid="{00000000-0005-0000-0000-000043100000}"/>
    <cellStyle name="_Column2_KK_3YP Model S&amp;D Stand 3.7.07 4" xfId="4173" xr:uid="{00000000-0005-0000-0000-000044100000}"/>
    <cellStyle name="_Column2_KK_3YP Model S&amp;D Stand 3.7.07 4 2" xfId="4174" xr:uid="{00000000-0005-0000-0000-000045100000}"/>
    <cellStyle name="_Column2_KK_3YP Model S&amp;D Stand 3.7.07 4 3" xfId="4175" xr:uid="{00000000-0005-0000-0000-000046100000}"/>
    <cellStyle name="_Column2_KK_3YP Model S&amp;D Stand 3.7.07 5" xfId="4176" xr:uid="{00000000-0005-0000-0000-000047100000}"/>
    <cellStyle name="_Column2_KK_3YP Model S&amp;D Stand 3.7.07 6" xfId="4177" xr:uid="{00000000-0005-0000-0000-000048100000}"/>
    <cellStyle name="_Column2_KK_3YP Model S&amp;D Stand 3.7.07_Sheet1" xfId="4178" xr:uid="{00000000-0005-0000-0000-000049100000}"/>
    <cellStyle name="_Column2_KK_3YP Model S&amp;D Stand 3.7.07_Sm Proj Cash Flow" xfId="4179" xr:uid="{00000000-0005-0000-0000-00004A100000}"/>
    <cellStyle name="_Column2_KK_3YP Model S&amp;D Stand 3.7.07_Spend Detail" xfId="4180" xr:uid="{00000000-0005-0000-0000-00004B100000}"/>
    <cellStyle name="_Column2_KK_3YP Model S&amp;D Stand 3.7.07_SustainingProjectList" xfId="4181" xr:uid="{00000000-0005-0000-0000-00004C100000}"/>
    <cellStyle name="_Column2_LE 1 On Trade" xfId="4182" xr:uid="{00000000-0005-0000-0000-00004D100000}"/>
    <cellStyle name="_Column2_LE1" xfId="4183" xr:uid="{00000000-0005-0000-0000-00004E100000}"/>
    <cellStyle name="_Column2_LE1 2007" xfId="4184" xr:uid="{00000000-0005-0000-0000-00004F100000}"/>
    <cellStyle name="_Column2_LE1 controllo ZBB vers 27.4.07 bis" xfId="4185" xr:uid="{00000000-0005-0000-0000-000050100000}"/>
    <cellStyle name="_Column2_LEI templates - per Francesca by PPM" xfId="4186" xr:uid="{00000000-0005-0000-0000-000051100000}"/>
    <cellStyle name="_Column2_loop ist energie" xfId="4187" xr:uid="{00000000-0005-0000-0000-000052100000}"/>
    <cellStyle name="_Column2_Maco budget 2007 On Trade" xfId="4188" xr:uid="{00000000-0005-0000-0000-000053100000}"/>
    <cellStyle name="_Column2_Maco IN MACO e ITW" xfId="4189" xr:uid="{00000000-0005-0000-0000-000054100000}"/>
    <cellStyle name="_Column2_Maco IN MACO e ITW Feb" xfId="4190" xr:uid="{00000000-0005-0000-0000-000055100000}"/>
    <cellStyle name="_Column2_Maco L2" xfId="4191" xr:uid="{00000000-0005-0000-0000-000056100000}"/>
    <cellStyle name="_Column2_Maco LE1 vers 30.4.07" xfId="4192" xr:uid="{00000000-0005-0000-0000-000057100000}"/>
    <cellStyle name="_Column2_Maco LE1 vers 30.4.07 PER PRESENTAZ" xfId="4193" xr:uid="{00000000-0005-0000-0000-000058100000}"/>
    <cellStyle name="_Column2_MACO waterfall feb'07" xfId="4194" xr:uid="{00000000-0005-0000-0000-000059100000}"/>
    <cellStyle name="_Column2_Mappe2" xfId="4195" xr:uid="{00000000-0005-0000-0000-00005A100000}"/>
    <cellStyle name="_Column2_Mark up Ist" xfId="4196" xr:uid="{00000000-0005-0000-0000-00005B100000}"/>
    <cellStyle name="_Column2_Marzo 2007 Deck vers 16.4.07" xfId="4197" xr:uid="{00000000-0005-0000-0000-00005C100000}"/>
    <cellStyle name="_Column2_Mens volumi LE1 x BBP" xfId="4198" xr:uid="{00000000-0005-0000-0000-00005D100000}"/>
    <cellStyle name="_Column2_MIS1" xfId="4199" xr:uid="{00000000-0005-0000-0000-00005E100000}"/>
    <cellStyle name="_Column2_MIS10" xfId="4200" xr:uid="{00000000-0005-0000-0000-00005F100000}"/>
    <cellStyle name="_Column2_MIS17" xfId="4201" xr:uid="{00000000-0005-0000-0000-000060100000}"/>
    <cellStyle name="_Column2_MIS2" xfId="4202" xr:uid="{00000000-0005-0000-0000-000061100000}"/>
    <cellStyle name="_Column2_MIS2 2" xfId="4203" xr:uid="{00000000-0005-0000-0000-000062100000}"/>
    <cellStyle name="_Column2_MIS2 2 2" xfId="4204" xr:uid="{00000000-0005-0000-0000-000063100000}"/>
    <cellStyle name="_Column2_MIS2 2 2 2" xfId="4205" xr:uid="{00000000-0005-0000-0000-000064100000}"/>
    <cellStyle name="_Column2_MIS2 2 3" xfId="4206" xr:uid="{00000000-0005-0000-0000-000065100000}"/>
    <cellStyle name="_Column2_MIS2 2 3 2" xfId="4207" xr:uid="{00000000-0005-0000-0000-000066100000}"/>
    <cellStyle name="_Column2_MIS2 2 3 3" xfId="4208" xr:uid="{00000000-0005-0000-0000-000067100000}"/>
    <cellStyle name="_Column2_MIS2 2 4" xfId="4209" xr:uid="{00000000-0005-0000-0000-000068100000}"/>
    <cellStyle name="_Column2_MIS2 2 5" xfId="4210" xr:uid="{00000000-0005-0000-0000-000069100000}"/>
    <cellStyle name="_Column2_MIS2 3" xfId="4211" xr:uid="{00000000-0005-0000-0000-00006A100000}"/>
    <cellStyle name="_Column2_MIS2 3 2" xfId="4212" xr:uid="{00000000-0005-0000-0000-00006B100000}"/>
    <cellStyle name="_Column2_MIS2 3 3" xfId="4213" xr:uid="{00000000-0005-0000-0000-00006C100000}"/>
    <cellStyle name="_Column2_MIS2 3 3 2" xfId="4214" xr:uid="{00000000-0005-0000-0000-00006D100000}"/>
    <cellStyle name="_Column2_MIS2 4" xfId="4215" xr:uid="{00000000-0005-0000-0000-00006E100000}"/>
    <cellStyle name="_Column2_MIS2 4 2" xfId="4216" xr:uid="{00000000-0005-0000-0000-00006F100000}"/>
    <cellStyle name="_Column2_MIS2 4 3" xfId="4217" xr:uid="{00000000-0005-0000-0000-000070100000}"/>
    <cellStyle name="_Column2_MIS2 5" xfId="4218" xr:uid="{00000000-0005-0000-0000-000071100000}"/>
    <cellStyle name="_Column2_MIS2 6" xfId="4219" xr:uid="{00000000-0005-0000-0000-000072100000}"/>
    <cellStyle name="_Column2_MIS2_1" xfId="4220" xr:uid="{00000000-0005-0000-0000-000073100000}"/>
    <cellStyle name="_Column2_MIS2_Anlagenbelegung Auswertung SKU pro Linie 2006-07-25 -ÜB." xfId="4221" xr:uid="{00000000-0005-0000-0000-000074100000}"/>
    <cellStyle name="_Column2_MIS2_Basis" xfId="4222" xr:uid="{00000000-0005-0000-0000-000075100000}"/>
    <cellStyle name="_Column2_MIS2_Basis 2" xfId="4223" xr:uid="{00000000-0005-0000-0000-000076100000}"/>
    <cellStyle name="_Column2_MIS2_Basis 2 2" xfId="4224" xr:uid="{00000000-0005-0000-0000-000077100000}"/>
    <cellStyle name="_Column2_MIS2_Basis_Sheet1" xfId="4225" xr:uid="{00000000-0005-0000-0000-000078100000}"/>
    <cellStyle name="_Column2_MIS2_Basis_Sheet5" xfId="4226" xr:uid="{00000000-0005-0000-0000-000079100000}"/>
    <cellStyle name="_Column2_MIS2_Basis_Sm Proj Cash Flow" xfId="4227" xr:uid="{00000000-0005-0000-0000-00007A100000}"/>
    <cellStyle name="_Column2_MIS2_Basis_Spend Detail" xfId="4228" xr:uid="{00000000-0005-0000-0000-00007B100000}"/>
    <cellStyle name="_Column2_MIS2_Basis_SustainingProjectList" xfId="4229" xr:uid="{00000000-0005-0000-0000-00007C100000}"/>
    <cellStyle name="_Column2_MIS2_Changeover t, theor. u. per h. " xfId="4230" xr:uid="{00000000-0005-0000-0000-00007D100000}"/>
    <cellStyle name="_Column2_MIS2_d12" xfId="4231" xr:uid="{00000000-0005-0000-0000-00007E100000}"/>
    <cellStyle name="_Column2_MIS2_d12 2" xfId="4232" xr:uid="{00000000-0005-0000-0000-00007F100000}"/>
    <cellStyle name="_Column2_MIS2_d12 3" xfId="4233" xr:uid="{00000000-0005-0000-0000-000080100000}"/>
    <cellStyle name="_Column2_MIS2_d12 3 2" xfId="4234" xr:uid="{00000000-0005-0000-0000-000081100000}"/>
    <cellStyle name="_Column2_MIS2_d12 3 3" xfId="4235" xr:uid="{00000000-0005-0000-0000-000082100000}"/>
    <cellStyle name="_Column2_MIS2_d12 3 3 2" xfId="4236" xr:uid="{00000000-0005-0000-0000-000083100000}"/>
    <cellStyle name="_Column2_MIS2_d12 4" xfId="4237" xr:uid="{00000000-0005-0000-0000-000084100000}"/>
    <cellStyle name="_Column2_MIS2_d12 4 2" xfId="4238" xr:uid="{00000000-0005-0000-0000-000085100000}"/>
    <cellStyle name="_Column2_MIS2_d12_Sheet5" xfId="4239" xr:uid="{00000000-0005-0000-0000-000086100000}"/>
    <cellStyle name="_Column2_MIS2_für Arbeitsliste" xfId="4240" xr:uid="{00000000-0005-0000-0000-000087100000}"/>
    <cellStyle name="_Column2_MIS2_für Arbeitsliste 2" xfId="4241" xr:uid="{00000000-0005-0000-0000-000088100000}"/>
    <cellStyle name="_Column2_MIS2_für Arbeitsliste 3" xfId="4242" xr:uid="{00000000-0005-0000-0000-000089100000}"/>
    <cellStyle name="_Column2_MIS2_für Arbeitsliste 3 2" xfId="4243" xr:uid="{00000000-0005-0000-0000-00008A100000}"/>
    <cellStyle name="_Column2_MIS2_für Arbeitsliste 3 3" xfId="4244" xr:uid="{00000000-0005-0000-0000-00008B100000}"/>
    <cellStyle name="_Column2_MIS2_für Arbeitsliste 3 3 2" xfId="4245" xr:uid="{00000000-0005-0000-0000-00008C100000}"/>
    <cellStyle name="_Column2_MIS2_für Arbeitsliste 4" xfId="4246" xr:uid="{00000000-0005-0000-0000-00008D100000}"/>
    <cellStyle name="_Column2_MIS2_für Arbeitsliste 4 2" xfId="4247" xr:uid="{00000000-0005-0000-0000-00008E100000}"/>
    <cellStyle name="_Column2_MIS2_für Arbeitsliste_Sheet5" xfId="4248" xr:uid="{00000000-0005-0000-0000-00008F100000}"/>
    <cellStyle name="_Column2_MIS2_Hopfen" xfId="4249" xr:uid="{00000000-0005-0000-0000-000090100000}"/>
    <cellStyle name="_Column2_MIS2_Hopfen 2" xfId="4250" xr:uid="{00000000-0005-0000-0000-000091100000}"/>
    <cellStyle name="_Column2_MIS2_Hopfen 3" xfId="4251" xr:uid="{00000000-0005-0000-0000-000092100000}"/>
    <cellStyle name="_Column2_MIS2_Hopfen 3 2" xfId="4252" xr:uid="{00000000-0005-0000-0000-000093100000}"/>
    <cellStyle name="_Column2_MIS2_Hopfen 3 3" xfId="4253" xr:uid="{00000000-0005-0000-0000-000094100000}"/>
    <cellStyle name="_Column2_MIS2_Hopfen 3 3 2" xfId="4254" xr:uid="{00000000-0005-0000-0000-000095100000}"/>
    <cellStyle name="_Column2_MIS2_Hopfen 4" xfId="4255" xr:uid="{00000000-0005-0000-0000-000096100000}"/>
    <cellStyle name="_Column2_MIS2_Hopfen 4 2" xfId="4256" xr:uid="{00000000-0005-0000-0000-000097100000}"/>
    <cellStyle name="_Column2_MIS2_Hopfen_Sheet5" xfId="4257" xr:uid="{00000000-0005-0000-0000-000098100000}"/>
    <cellStyle name="_Column2_MIS2_JW_VPLC Bremen" xfId="4258" xr:uid="{00000000-0005-0000-0000-000099100000}"/>
    <cellStyle name="_Column2_MIS2_Maint." xfId="4259" xr:uid="{00000000-0005-0000-0000-00009A100000}"/>
    <cellStyle name="_Column2_MIS2_Maint. 2" xfId="4260" xr:uid="{00000000-0005-0000-0000-00009B100000}"/>
    <cellStyle name="_Column2_MIS2_Maint. 3" xfId="4261" xr:uid="{00000000-0005-0000-0000-00009C100000}"/>
    <cellStyle name="_Column2_MIS2_Maint. 3 2" xfId="4262" xr:uid="{00000000-0005-0000-0000-00009D100000}"/>
    <cellStyle name="_Column2_MIS2_Maint. 3 3" xfId="4263" xr:uid="{00000000-0005-0000-0000-00009E100000}"/>
    <cellStyle name="_Column2_MIS2_Maint. 3 3 2" xfId="4264" xr:uid="{00000000-0005-0000-0000-00009F100000}"/>
    <cellStyle name="_Column2_MIS2_Maint. 4" xfId="4265" xr:uid="{00000000-0005-0000-0000-0000A0100000}"/>
    <cellStyle name="_Column2_MIS2_Maint. 4 2" xfId="4266" xr:uid="{00000000-0005-0000-0000-0000A1100000}"/>
    <cellStyle name="_Column2_MIS2_Maint._Sheet5" xfId="4267" xr:uid="{00000000-0005-0000-0000-0000A2100000}"/>
    <cellStyle name="_Column2_MIS2_Malz" xfId="4268" xr:uid="{00000000-0005-0000-0000-0000A3100000}"/>
    <cellStyle name="_Column2_MIS2_Malz 2" xfId="4269" xr:uid="{00000000-0005-0000-0000-0000A4100000}"/>
    <cellStyle name="_Column2_MIS2_Malz 3" xfId="4270" xr:uid="{00000000-0005-0000-0000-0000A5100000}"/>
    <cellStyle name="_Column2_MIS2_Malz 3 2" xfId="4271" xr:uid="{00000000-0005-0000-0000-0000A6100000}"/>
    <cellStyle name="_Column2_MIS2_Malz 3 3" xfId="4272" xr:uid="{00000000-0005-0000-0000-0000A7100000}"/>
    <cellStyle name="_Column2_MIS2_Malz 3 3 2" xfId="4273" xr:uid="{00000000-0005-0000-0000-0000A8100000}"/>
    <cellStyle name="_Column2_MIS2_Malz 4" xfId="4274" xr:uid="{00000000-0005-0000-0000-0000A9100000}"/>
    <cellStyle name="_Column2_MIS2_Malz 4 2" xfId="4275" xr:uid="{00000000-0005-0000-0000-0000AA100000}"/>
    <cellStyle name="_Column2_MIS2_Malz_Sheet5" xfId="4276" xr:uid="{00000000-0005-0000-0000-0000AB100000}"/>
    <cellStyle name="_Column2_MIS2_Mother line Bremen" xfId="4277" xr:uid="{00000000-0005-0000-0000-0000AC100000}"/>
    <cellStyle name="_Column2_MIS2_P-LE-YTD-abs" xfId="4278" xr:uid="{00000000-0005-0000-0000-0000AD100000}"/>
    <cellStyle name="_Column2_MIS2_P-LE-YTD-abs 2" xfId="4279" xr:uid="{00000000-0005-0000-0000-0000AE100000}"/>
    <cellStyle name="_Column2_MIS2_P-LE-YTD-abs 3" xfId="4280" xr:uid="{00000000-0005-0000-0000-0000AF100000}"/>
    <cellStyle name="_Column2_MIS2_P-LE-YTD-abs 3 2" xfId="4281" xr:uid="{00000000-0005-0000-0000-0000B0100000}"/>
    <cellStyle name="_Column2_MIS2_P-LE-YTD-abs 3 3" xfId="4282" xr:uid="{00000000-0005-0000-0000-0000B1100000}"/>
    <cellStyle name="_Column2_MIS2_P-LE-YTD-abs 3 3 2" xfId="4283" xr:uid="{00000000-0005-0000-0000-0000B2100000}"/>
    <cellStyle name="_Column2_MIS2_P-LE-YTD-abs 4" xfId="4284" xr:uid="{00000000-0005-0000-0000-0000B3100000}"/>
    <cellStyle name="_Column2_MIS2_P-LE-YTD-abs 4 2" xfId="4285" xr:uid="{00000000-0005-0000-0000-0000B4100000}"/>
    <cellStyle name="_Column2_MIS2_P-LE-YTD-abs_Sheet5" xfId="4286" xr:uid="{00000000-0005-0000-0000-0000B5100000}"/>
    <cellStyle name="_Column2_MIS2_RB&amp;JW_Produktionsplanung_LE1_2006 sortiert" xfId="4287" xr:uid="{00000000-0005-0000-0000-0000B6100000}"/>
    <cellStyle name="_Column2_MIS2_RB&amp;JW_Produktionsplanung_LE1_2006 sortiert 2" xfId="4288" xr:uid="{00000000-0005-0000-0000-0000B7100000}"/>
    <cellStyle name="_Column2_MIS2_RB&amp;JW_Produktionsplanung_LE1_2006 sortiert 2 2" xfId="4289" xr:uid="{00000000-0005-0000-0000-0000B8100000}"/>
    <cellStyle name="_Column2_MIS2_RB&amp;JW_Produktionsplanung_LE1_2006 sortiert_Sheet1" xfId="4290" xr:uid="{00000000-0005-0000-0000-0000B9100000}"/>
    <cellStyle name="_Column2_MIS2_RB&amp;JW_Produktionsplanung_LE1_2006 sortiert_Sheet5" xfId="4291" xr:uid="{00000000-0005-0000-0000-0000BA100000}"/>
    <cellStyle name="_Column2_MIS2_RB&amp;JW_Produktionsplanung_LE1_2006 sortiert_Sm Proj Cash Flow" xfId="4292" xr:uid="{00000000-0005-0000-0000-0000BB100000}"/>
    <cellStyle name="_Column2_MIS2_RB&amp;JW_Produktionsplanung_LE1_2006 sortiert_Spend Detail" xfId="4293" xr:uid="{00000000-0005-0000-0000-0000BC100000}"/>
    <cellStyle name="_Column2_MIS2_RB&amp;JW_Produktionsplanung_LE1_2006 sortiert_SustainingProjectList" xfId="4294" xr:uid="{00000000-0005-0000-0000-0000BD100000}"/>
    <cellStyle name="_Column2_MIS2_Rüstzeit" xfId="4295" xr:uid="{00000000-0005-0000-0000-0000BE100000}"/>
    <cellStyle name="_Column2_MIS2_SCFD AD HAN" xfId="4296" xr:uid="{00000000-0005-0000-0000-0000BF100000}"/>
    <cellStyle name="_Column2_MIS2_SCFD AD HAN 2" xfId="4297" xr:uid="{00000000-0005-0000-0000-0000C0100000}"/>
    <cellStyle name="_Column2_MIS2_SCFD AD HAN 3" xfId="4298" xr:uid="{00000000-0005-0000-0000-0000C1100000}"/>
    <cellStyle name="_Column2_MIS2_SCFD AD HAN 3 2" xfId="4299" xr:uid="{00000000-0005-0000-0000-0000C2100000}"/>
    <cellStyle name="_Column2_MIS2_SCFD AD HAN 3 3" xfId="4300" xr:uid="{00000000-0005-0000-0000-0000C3100000}"/>
    <cellStyle name="_Column2_MIS2_SCFD AD HAN 3 3 2" xfId="4301" xr:uid="{00000000-0005-0000-0000-0000C4100000}"/>
    <cellStyle name="_Column2_MIS2_SCFD AD HAN 4" xfId="4302" xr:uid="{00000000-0005-0000-0000-0000C5100000}"/>
    <cellStyle name="_Column2_MIS2_SCFD AD HAN 4 2" xfId="4303" xr:uid="{00000000-0005-0000-0000-0000C6100000}"/>
    <cellStyle name="_Column2_MIS2_SCFD AD HAN BU07" xfId="4304" xr:uid="{00000000-0005-0000-0000-0000C7100000}"/>
    <cellStyle name="_Column2_MIS2_SCFD AD HAN BU07 2" xfId="4305" xr:uid="{00000000-0005-0000-0000-0000C8100000}"/>
    <cellStyle name="_Column2_MIS2_SCFD AD HAN BU07 3" xfId="4306" xr:uid="{00000000-0005-0000-0000-0000C9100000}"/>
    <cellStyle name="_Column2_MIS2_SCFD AD HAN BU07 3 2" xfId="4307" xr:uid="{00000000-0005-0000-0000-0000CA100000}"/>
    <cellStyle name="_Column2_MIS2_SCFD AD HAN BU07 3 3" xfId="4308" xr:uid="{00000000-0005-0000-0000-0000CB100000}"/>
    <cellStyle name="_Column2_MIS2_SCFD AD HAN BU07 3 3 2" xfId="4309" xr:uid="{00000000-0005-0000-0000-0000CC100000}"/>
    <cellStyle name="_Column2_MIS2_SCFD AD HAN BU07 4" xfId="4310" xr:uid="{00000000-0005-0000-0000-0000CD100000}"/>
    <cellStyle name="_Column2_MIS2_SCFD AD HAN BU07 4 2" xfId="4311" xr:uid="{00000000-0005-0000-0000-0000CE100000}"/>
    <cellStyle name="_Column2_MIS2_SCFD AD HAN BU07_Sheet5" xfId="4312" xr:uid="{00000000-0005-0000-0000-0000CF100000}"/>
    <cellStyle name="_Column2_MIS2_SCFD AD HAN BU07_V3_still_vs_LE2_18.01.2007" xfId="4313" xr:uid="{00000000-0005-0000-0000-0000D0100000}"/>
    <cellStyle name="_Column2_MIS2_SCFD AD HAN BU07_V3_still_vs_LE2_18.01.2007 2" xfId="4314" xr:uid="{00000000-0005-0000-0000-0000D1100000}"/>
    <cellStyle name="_Column2_MIS2_SCFD AD HAN BU07_V3_still_vs_LE2_18.01.2007 3" xfId="4315" xr:uid="{00000000-0005-0000-0000-0000D2100000}"/>
    <cellStyle name="_Column2_MIS2_SCFD AD HAN BU07_V3_still_vs_LE2_18.01.2007 3 2" xfId="4316" xr:uid="{00000000-0005-0000-0000-0000D3100000}"/>
    <cellStyle name="_Column2_MIS2_SCFD AD HAN BU07_V3_still_vs_LE2_18.01.2007 3 3" xfId="4317" xr:uid="{00000000-0005-0000-0000-0000D4100000}"/>
    <cellStyle name="_Column2_MIS2_SCFD AD HAN BU07_V3_still_vs_LE2_18.01.2007 3 3 2" xfId="4318" xr:uid="{00000000-0005-0000-0000-0000D5100000}"/>
    <cellStyle name="_Column2_MIS2_SCFD AD HAN BU07_V3_still_vs_LE2_18.01.2007 4" xfId="4319" xr:uid="{00000000-0005-0000-0000-0000D6100000}"/>
    <cellStyle name="_Column2_MIS2_SCFD AD HAN BU07_V3_still_vs_LE2_18.01.2007 4 2" xfId="4320" xr:uid="{00000000-0005-0000-0000-0000D7100000}"/>
    <cellStyle name="_Column2_MIS2_SCFD AD HAN BU07_V3_still_vs_LE2_18.01.2007_Sheet5" xfId="4321" xr:uid="{00000000-0005-0000-0000-0000D8100000}"/>
    <cellStyle name="_Column2_MIS2_SCFD AD HAN BU07_V3_task_vs_LE2_18.01.2007" xfId="4322" xr:uid="{00000000-0005-0000-0000-0000D9100000}"/>
    <cellStyle name="_Column2_MIS2_SCFD AD HAN BU07_V3_task_vs_LE2_18.01.2007 2" xfId="4323" xr:uid="{00000000-0005-0000-0000-0000DA100000}"/>
    <cellStyle name="_Column2_MIS2_SCFD AD HAN BU07_V3_task_vs_LE2_18.01.2007 3" xfId="4324" xr:uid="{00000000-0005-0000-0000-0000DB100000}"/>
    <cellStyle name="_Column2_MIS2_SCFD AD HAN BU07_V3_task_vs_LE2_18.01.2007 3 2" xfId="4325" xr:uid="{00000000-0005-0000-0000-0000DC100000}"/>
    <cellStyle name="_Column2_MIS2_SCFD AD HAN BU07_V3_task_vs_LE2_18.01.2007 3 3" xfId="4326" xr:uid="{00000000-0005-0000-0000-0000DD100000}"/>
    <cellStyle name="_Column2_MIS2_SCFD AD HAN BU07_V3_task_vs_LE2_18.01.2007 3 3 2" xfId="4327" xr:uid="{00000000-0005-0000-0000-0000DE100000}"/>
    <cellStyle name="_Column2_MIS2_SCFD AD HAN BU07_V3_task_vs_LE2_18.01.2007 4" xfId="4328" xr:uid="{00000000-0005-0000-0000-0000DF100000}"/>
    <cellStyle name="_Column2_MIS2_SCFD AD HAN BU07_V3_task_vs_LE2_18.01.2007 4 2" xfId="4329" xr:uid="{00000000-0005-0000-0000-0000E0100000}"/>
    <cellStyle name="_Column2_MIS2_SCFD AD HAN BU07_V3_task_vs_LE2_18.01.2007_Sheet5" xfId="4330" xr:uid="{00000000-0005-0000-0000-0000E1100000}"/>
    <cellStyle name="_Column2_MIS2_SCFD AD HAN_Sheet5" xfId="4331" xr:uid="{00000000-0005-0000-0000-0000E2100000}"/>
    <cellStyle name="_Column2_MIS2_Sheet5" xfId="4332" xr:uid="{00000000-0005-0000-0000-0000E3100000}"/>
    <cellStyle name="_Column2_MIS2_SKU Volumen" xfId="4333" xr:uid="{00000000-0005-0000-0000-0000E4100000}"/>
    <cellStyle name="_Column2_MIS2_SKU Volumen 2" xfId="4334" xr:uid="{00000000-0005-0000-0000-0000E5100000}"/>
    <cellStyle name="_Column2_MIS2_SKU Volumen_Sheet1" xfId="4335" xr:uid="{00000000-0005-0000-0000-0000E6100000}"/>
    <cellStyle name="_Column2_MIS2_SKU Volumen_Sm Proj Cash Flow" xfId="4336" xr:uid="{00000000-0005-0000-0000-0000E7100000}"/>
    <cellStyle name="_Column2_MIS2_SKU Volumen_Spend Detail" xfId="4337" xr:uid="{00000000-0005-0000-0000-0000E8100000}"/>
    <cellStyle name="_Column2_MIS2_SKU Volumen_SustainingProjectList" xfId="4338" xr:uid="{00000000-0005-0000-0000-0000E9100000}"/>
    <cellStyle name="_Column2_MIS2_Tabelle1" xfId="4339" xr:uid="{00000000-0005-0000-0000-0000EA100000}"/>
    <cellStyle name="_Column2_MIS2_Tabelle1 2" xfId="4340" xr:uid="{00000000-0005-0000-0000-0000EB100000}"/>
    <cellStyle name="_Column2_MIS2_Tabelle1 2 2" xfId="4341" xr:uid="{00000000-0005-0000-0000-0000EC100000}"/>
    <cellStyle name="_Column2_MIS2_Tabelle1 3" xfId="4342" xr:uid="{00000000-0005-0000-0000-0000ED100000}"/>
    <cellStyle name="_Column2_MIS2_Tabelle1_Sheet1" xfId="4343" xr:uid="{00000000-0005-0000-0000-0000EE100000}"/>
    <cellStyle name="_Column2_MIS2_Tabelle1_Sm Proj Cash Flow" xfId="4344" xr:uid="{00000000-0005-0000-0000-0000EF100000}"/>
    <cellStyle name="_Column2_MIS2_Tabelle1_Spend Detail" xfId="4345" xr:uid="{00000000-0005-0000-0000-0000F0100000}"/>
    <cellStyle name="_Column2_MIS2_Tabelle1_SustainingProjectList" xfId="4346" xr:uid="{00000000-0005-0000-0000-0000F1100000}"/>
    <cellStyle name="_Column2_MIS2_volumes (2)" xfId="4347" xr:uid="{00000000-0005-0000-0000-0000F2100000}"/>
    <cellStyle name="_Column2_MIS2_volumes (2) 2" xfId="4348" xr:uid="{00000000-0005-0000-0000-0000F3100000}"/>
    <cellStyle name="_Column2_MIS2_volumes (2) 3" xfId="4349" xr:uid="{00000000-0005-0000-0000-0000F4100000}"/>
    <cellStyle name="_Column2_MIS2_volumes (2) 3 2" xfId="4350" xr:uid="{00000000-0005-0000-0000-0000F5100000}"/>
    <cellStyle name="_Column2_MIS2_volumes (2) 3 3" xfId="4351" xr:uid="{00000000-0005-0000-0000-0000F6100000}"/>
    <cellStyle name="_Column2_MIS2_volumes (2) 3 3 2" xfId="4352" xr:uid="{00000000-0005-0000-0000-0000F7100000}"/>
    <cellStyle name="_Column2_MIS2_volumes (2) 4" xfId="4353" xr:uid="{00000000-0005-0000-0000-0000F8100000}"/>
    <cellStyle name="_Column2_MIS2_volumes (2) 4 2" xfId="4354" xr:uid="{00000000-0005-0000-0000-0000F9100000}"/>
    <cellStyle name="_Column2_MIS2_volumes (2)_Sheet5" xfId="4355" xr:uid="{00000000-0005-0000-0000-0000FA100000}"/>
    <cellStyle name="_Column2_Mis23" xfId="4356" xr:uid="{00000000-0005-0000-0000-0000FB100000}"/>
    <cellStyle name="_Column2_Mis24" xfId="4357" xr:uid="{00000000-0005-0000-0000-0000FC100000}"/>
    <cellStyle name="_Column2_Mis24 2" xfId="4358" xr:uid="{00000000-0005-0000-0000-0000FD100000}"/>
    <cellStyle name="_Column2_Mis24 2 2" xfId="4359" xr:uid="{00000000-0005-0000-0000-0000FE100000}"/>
    <cellStyle name="_Column2_Mis24 3" xfId="4360" xr:uid="{00000000-0005-0000-0000-0000FF100000}"/>
    <cellStyle name="_Column2_Mis25" xfId="4361" xr:uid="{00000000-0005-0000-0000-000000110000}"/>
    <cellStyle name="_Column2_MIS3" xfId="4362" xr:uid="{00000000-0005-0000-0000-000001110000}"/>
    <cellStyle name="_Column2_MIS3 2" xfId="4363" xr:uid="{00000000-0005-0000-0000-000002110000}"/>
    <cellStyle name="_Column2_MIS3 2 2" xfId="4364" xr:uid="{00000000-0005-0000-0000-000003110000}"/>
    <cellStyle name="_Column2_MIS3 2 2 2" xfId="4365" xr:uid="{00000000-0005-0000-0000-000004110000}"/>
    <cellStyle name="_Column2_MIS3 2 3" xfId="4366" xr:uid="{00000000-0005-0000-0000-000005110000}"/>
    <cellStyle name="_Column2_MIS3 2 3 2" xfId="4367" xr:uid="{00000000-0005-0000-0000-000006110000}"/>
    <cellStyle name="_Column2_MIS3 2 3 3" xfId="4368" xr:uid="{00000000-0005-0000-0000-000007110000}"/>
    <cellStyle name="_Column2_MIS3 2 4" xfId="4369" xr:uid="{00000000-0005-0000-0000-000008110000}"/>
    <cellStyle name="_Column2_MIS3 2 5" xfId="4370" xr:uid="{00000000-0005-0000-0000-000009110000}"/>
    <cellStyle name="_Column2_MIS3 3" xfId="4371" xr:uid="{00000000-0005-0000-0000-00000A110000}"/>
    <cellStyle name="_Column2_MIS3 3 2" xfId="4372" xr:uid="{00000000-0005-0000-0000-00000B110000}"/>
    <cellStyle name="_Column2_MIS3 3 3" xfId="4373" xr:uid="{00000000-0005-0000-0000-00000C110000}"/>
    <cellStyle name="_Column2_MIS3 3 3 2" xfId="4374" xr:uid="{00000000-0005-0000-0000-00000D110000}"/>
    <cellStyle name="_Column2_MIS3 4" xfId="4375" xr:uid="{00000000-0005-0000-0000-00000E110000}"/>
    <cellStyle name="_Column2_MIS3 4 2" xfId="4376" xr:uid="{00000000-0005-0000-0000-00000F110000}"/>
    <cellStyle name="_Column2_MIS3 4 3" xfId="4377" xr:uid="{00000000-0005-0000-0000-000010110000}"/>
    <cellStyle name="_Column2_MIS3 5" xfId="4378" xr:uid="{00000000-0005-0000-0000-000011110000}"/>
    <cellStyle name="_Column2_MIS3 6" xfId="4379" xr:uid="{00000000-0005-0000-0000-000012110000}"/>
    <cellStyle name="_Column2_MIS3_Sheet1" xfId="4380" xr:uid="{00000000-0005-0000-0000-000013110000}"/>
    <cellStyle name="_Column2_MIS3_Sm Proj Cash Flow" xfId="4381" xr:uid="{00000000-0005-0000-0000-000014110000}"/>
    <cellStyle name="_Column2_MIS3_Spend Detail" xfId="4382" xr:uid="{00000000-0005-0000-0000-000015110000}"/>
    <cellStyle name="_Column2_MIS3_SustainingProjectList" xfId="4383" xr:uid="{00000000-0005-0000-0000-000016110000}"/>
    <cellStyle name="_Column2_MIS4" xfId="4384" xr:uid="{00000000-0005-0000-0000-000017110000}"/>
    <cellStyle name="_Column2_MIS4_1" xfId="4385" xr:uid="{00000000-0005-0000-0000-000018110000}"/>
    <cellStyle name="_Column2_MIS4_1_packaging" xfId="4386" xr:uid="{00000000-0005-0000-0000-000019110000}"/>
    <cellStyle name="_Column2_MIS5" xfId="4387" xr:uid="{00000000-0005-0000-0000-00001A110000}"/>
    <cellStyle name="_Column2_MIS5 2" xfId="4388" xr:uid="{00000000-0005-0000-0000-00001B110000}"/>
    <cellStyle name="_Column2_MIS5 3" xfId="4389" xr:uid="{00000000-0005-0000-0000-00001C110000}"/>
    <cellStyle name="_Column2_MIS5 3 2" xfId="4390" xr:uid="{00000000-0005-0000-0000-00001D110000}"/>
    <cellStyle name="_Column2_MIS5 3 3" xfId="4391" xr:uid="{00000000-0005-0000-0000-00001E110000}"/>
    <cellStyle name="_Column2_MIS5 3 3 2" xfId="4392" xr:uid="{00000000-0005-0000-0000-00001F110000}"/>
    <cellStyle name="_Column2_MIS5 4" xfId="4393" xr:uid="{00000000-0005-0000-0000-000020110000}"/>
    <cellStyle name="_Column2_MIS5 4 2" xfId="4394" xr:uid="{00000000-0005-0000-0000-000021110000}"/>
    <cellStyle name="_Column2_MIS5 5" xfId="4395" xr:uid="{00000000-0005-0000-0000-000022110000}"/>
    <cellStyle name="_Column2_MIS5_1" xfId="4396" xr:uid="{00000000-0005-0000-0000-000023110000}"/>
    <cellStyle name="_Column2_MIS5_1_packaging" xfId="4397" xr:uid="{00000000-0005-0000-0000-000024110000}"/>
    <cellStyle name="_Column2_MIS5_d12" xfId="4398" xr:uid="{00000000-0005-0000-0000-000025110000}"/>
    <cellStyle name="_Column2_MIS5_d12 2" xfId="4399" xr:uid="{00000000-0005-0000-0000-000026110000}"/>
    <cellStyle name="_Column2_MIS5_d12 3" xfId="4400" xr:uid="{00000000-0005-0000-0000-000027110000}"/>
    <cellStyle name="_Column2_MIS5_d12 3 2" xfId="4401" xr:uid="{00000000-0005-0000-0000-000028110000}"/>
    <cellStyle name="_Column2_MIS5_d12 3 3" xfId="4402" xr:uid="{00000000-0005-0000-0000-000029110000}"/>
    <cellStyle name="_Column2_MIS5_d12 3 3 2" xfId="4403" xr:uid="{00000000-0005-0000-0000-00002A110000}"/>
    <cellStyle name="_Column2_MIS5_d12 4" xfId="4404" xr:uid="{00000000-0005-0000-0000-00002B110000}"/>
    <cellStyle name="_Column2_MIS5_d12 4 2" xfId="4405" xr:uid="{00000000-0005-0000-0000-00002C110000}"/>
    <cellStyle name="_Column2_MIS5_d12_Sheet5" xfId="4406" xr:uid="{00000000-0005-0000-0000-00002D110000}"/>
    <cellStyle name="_Column2_MIS5_für Arbeitsliste" xfId="4407" xr:uid="{00000000-0005-0000-0000-00002E110000}"/>
    <cellStyle name="_Column2_MIS5_für Arbeitsliste 2" xfId="4408" xr:uid="{00000000-0005-0000-0000-00002F110000}"/>
    <cellStyle name="_Column2_MIS5_für Arbeitsliste 3" xfId="4409" xr:uid="{00000000-0005-0000-0000-000030110000}"/>
    <cellStyle name="_Column2_MIS5_für Arbeitsliste 3 2" xfId="4410" xr:uid="{00000000-0005-0000-0000-000031110000}"/>
    <cellStyle name="_Column2_MIS5_für Arbeitsliste 3 3" xfId="4411" xr:uid="{00000000-0005-0000-0000-000032110000}"/>
    <cellStyle name="_Column2_MIS5_für Arbeitsliste 3 3 2" xfId="4412" xr:uid="{00000000-0005-0000-0000-000033110000}"/>
    <cellStyle name="_Column2_MIS5_für Arbeitsliste 4" xfId="4413" xr:uid="{00000000-0005-0000-0000-000034110000}"/>
    <cellStyle name="_Column2_MIS5_für Arbeitsliste 4 2" xfId="4414" xr:uid="{00000000-0005-0000-0000-000035110000}"/>
    <cellStyle name="_Column2_MIS5_für Arbeitsliste_Sheet5" xfId="4415" xr:uid="{00000000-0005-0000-0000-000036110000}"/>
    <cellStyle name="_Column2_MIS5_Hopfen" xfId="4416" xr:uid="{00000000-0005-0000-0000-000037110000}"/>
    <cellStyle name="_Column2_MIS5_Hopfen 2" xfId="4417" xr:uid="{00000000-0005-0000-0000-000038110000}"/>
    <cellStyle name="_Column2_MIS5_Hopfen 3" xfId="4418" xr:uid="{00000000-0005-0000-0000-000039110000}"/>
    <cellStyle name="_Column2_MIS5_Hopfen 3 2" xfId="4419" xr:uid="{00000000-0005-0000-0000-00003A110000}"/>
    <cellStyle name="_Column2_MIS5_Hopfen 3 3" xfId="4420" xr:uid="{00000000-0005-0000-0000-00003B110000}"/>
    <cellStyle name="_Column2_MIS5_Hopfen 3 3 2" xfId="4421" xr:uid="{00000000-0005-0000-0000-00003C110000}"/>
    <cellStyle name="_Column2_MIS5_Hopfen 4" xfId="4422" xr:uid="{00000000-0005-0000-0000-00003D110000}"/>
    <cellStyle name="_Column2_MIS5_Hopfen 4 2" xfId="4423" xr:uid="{00000000-0005-0000-0000-00003E110000}"/>
    <cellStyle name="_Column2_MIS5_Hopfen_Sheet5" xfId="4424" xr:uid="{00000000-0005-0000-0000-00003F110000}"/>
    <cellStyle name="_Column2_MIS5_Maint." xfId="4425" xr:uid="{00000000-0005-0000-0000-000040110000}"/>
    <cellStyle name="_Column2_MIS5_Maint. 2" xfId="4426" xr:uid="{00000000-0005-0000-0000-000041110000}"/>
    <cellStyle name="_Column2_MIS5_Maint. 3" xfId="4427" xr:uid="{00000000-0005-0000-0000-000042110000}"/>
    <cellStyle name="_Column2_MIS5_Maint. 3 2" xfId="4428" xr:uid="{00000000-0005-0000-0000-000043110000}"/>
    <cellStyle name="_Column2_MIS5_Maint. 3 3" xfId="4429" xr:uid="{00000000-0005-0000-0000-000044110000}"/>
    <cellStyle name="_Column2_MIS5_Maint. 3 3 2" xfId="4430" xr:uid="{00000000-0005-0000-0000-000045110000}"/>
    <cellStyle name="_Column2_MIS5_Maint. 4" xfId="4431" xr:uid="{00000000-0005-0000-0000-000046110000}"/>
    <cellStyle name="_Column2_MIS5_Maint. 4 2" xfId="4432" xr:uid="{00000000-0005-0000-0000-000047110000}"/>
    <cellStyle name="_Column2_MIS5_Maint._Sheet5" xfId="4433" xr:uid="{00000000-0005-0000-0000-000048110000}"/>
    <cellStyle name="_Column2_MIS5_Malz" xfId="4434" xr:uid="{00000000-0005-0000-0000-000049110000}"/>
    <cellStyle name="_Column2_MIS5_Malz 2" xfId="4435" xr:uid="{00000000-0005-0000-0000-00004A110000}"/>
    <cellStyle name="_Column2_MIS5_Malz 3" xfId="4436" xr:uid="{00000000-0005-0000-0000-00004B110000}"/>
    <cellStyle name="_Column2_MIS5_Malz 3 2" xfId="4437" xr:uid="{00000000-0005-0000-0000-00004C110000}"/>
    <cellStyle name="_Column2_MIS5_Malz 3 3" xfId="4438" xr:uid="{00000000-0005-0000-0000-00004D110000}"/>
    <cellStyle name="_Column2_MIS5_Malz 3 3 2" xfId="4439" xr:uid="{00000000-0005-0000-0000-00004E110000}"/>
    <cellStyle name="_Column2_MIS5_Malz 4" xfId="4440" xr:uid="{00000000-0005-0000-0000-00004F110000}"/>
    <cellStyle name="_Column2_MIS5_Malz 4 2" xfId="4441" xr:uid="{00000000-0005-0000-0000-000050110000}"/>
    <cellStyle name="_Column2_MIS5_Malz_Sheet5" xfId="4442" xr:uid="{00000000-0005-0000-0000-000051110000}"/>
    <cellStyle name="_Column2_MIS5_P-LE-YTD-abs" xfId="4443" xr:uid="{00000000-0005-0000-0000-000052110000}"/>
    <cellStyle name="_Column2_MIS5_P-LE-YTD-abs 2" xfId="4444" xr:uid="{00000000-0005-0000-0000-000053110000}"/>
    <cellStyle name="_Column2_MIS5_P-LE-YTD-abs 3" xfId="4445" xr:uid="{00000000-0005-0000-0000-000054110000}"/>
    <cellStyle name="_Column2_MIS5_P-LE-YTD-abs 3 2" xfId="4446" xr:uid="{00000000-0005-0000-0000-000055110000}"/>
    <cellStyle name="_Column2_MIS5_P-LE-YTD-abs 3 3" xfId="4447" xr:uid="{00000000-0005-0000-0000-000056110000}"/>
    <cellStyle name="_Column2_MIS5_P-LE-YTD-abs 3 3 2" xfId="4448" xr:uid="{00000000-0005-0000-0000-000057110000}"/>
    <cellStyle name="_Column2_MIS5_P-LE-YTD-abs 4" xfId="4449" xr:uid="{00000000-0005-0000-0000-000058110000}"/>
    <cellStyle name="_Column2_MIS5_P-LE-YTD-abs 4 2" xfId="4450" xr:uid="{00000000-0005-0000-0000-000059110000}"/>
    <cellStyle name="_Column2_MIS5_P-LE-YTD-abs_Sheet5" xfId="4451" xr:uid="{00000000-0005-0000-0000-00005A110000}"/>
    <cellStyle name="_Column2_MIS5_Rüstzeit" xfId="4452" xr:uid="{00000000-0005-0000-0000-00005B110000}"/>
    <cellStyle name="_Column2_MIS5_SCFD AD HAN" xfId="4453" xr:uid="{00000000-0005-0000-0000-00005C110000}"/>
    <cellStyle name="_Column2_MIS5_SCFD AD HAN 2" xfId="4454" xr:uid="{00000000-0005-0000-0000-00005D110000}"/>
    <cellStyle name="_Column2_MIS5_SCFD AD HAN 3" xfId="4455" xr:uid="{00000000-0005-0000-0000-00005E110000}"/>
    <cellStyle name="_Column2_MIS5_SCFD AD HAN 3 2" xfId="4456" xr:uid="{00000000-0005-0000-0000-00005F110000}"/>
    <cellStyle name="_Column2_MIS5_SCFD AD HAN 3 3" xfId="4457" xr:uid="{00000000-0005-0000-0000-000060110000}"/>
    <cellStyle name="_Column2_MIS5_SCFD AD HAN 3 3 2" xfId="4458" xr:uid="{00000000-0005-0000-0000-000061110000}"/>
    <cellStyle name="_Column2_MIS5_SCFD AD HAN 4" xfId="4459" xr:uid="{00000000-0005-0000-0000-000062110000}"/>
    <cellStyle name="_Column2_MIS5_SCFD AD HAN 4 2" xfId="4460" xr:uid="{00000000-0005-0000-0000-000063110000}"/>
    <cellStyle name="_Column2_MIS5_SCFD AD HAN BU07" xfId="4461" xr:uid="{00000000-0005-0000-0000-000064110000}"/>
    <cellStyle name="_Column2_MIS5_SCFD AD HAN BU07 2" xfId="4462" xr:uid="{00000000-0005-0000-0000-000065110000}"/>
    <cellStyle name="_Column2_MIS5_SCFD AD HAN BU07 3" xfId="4463" xr:uid="{00000000-0005-0000-0000-000066110000}"/>
    <cellStyle name="_Column2_MIS5_SCFD AD HAN BU07 3 2" xfId="4464" xr:uid="{00000000-0005-0000-0000-000067110000}"/>
    <cellStyle name="_Column2_MIS5_SCFD AD HAN BU07 3 3" xfId="4465" xr:uid="{00000000-0005-0000-0000-000068110000}"/>
    <cellStyle name="_Column2_MIS5_SCFD AD HAN BU07 3 3 2" xfId="4466" xr:uid="{00000000-0005-0000-0000-000069110000}"/>
    <cellStyle name="_Column2_MIS5_SCFD AD HAN BU07 4" xfId="4467" xr:uid="{00000000-0005-0000-0000-00006A110000}"/>
    <cellStyle name="_Column2_MIS5_SCFD AD HAN BU07 4 2" xfId="4468" xr:uid="{00000000-0005-0000-0000-00006B110000}"/>
    <cellStyle name="_Column2_MIS5_SCFD AD HAN BU07_Sheet5" xfId="4469" xr:uid="{00000000-0005-0000-0000-00006C110000}"/>
    <cellStyle name="_Column2_MIS5_SCFD AD HAN BU07_V3_still_vs_LE2_18.01.2007" xfId="4470" xr:uid="{00000000-0005-0000-0000-00006D110000}"/>
    <cellStyle name="_Column2_MIS5_SCFD AD HAN BU07_V3_still_vs_LE2_18.01.2007 2" xfId="4471" xr:uid="{00000000-0005-0000-0000-00006E110000}"/>
    <cellStyle name="_Column2_MIS5_SCFD AD HAN BU07_V3_still_vs_LE2_18.01.2007 3" xfId="4472" xr:uid="{00000000-0005-0000-0000-00006F110000}"/>
    <cellStyle name="_Column2_MIS5_SCFD AD HAN BU07_V3_still_vs_LE2_18.01.2007 3 2" xfId="4473" xr:uid="{00000000-0005-0000-0000-000070110000}"/>
    <cellStyle name="_Column2_MIS5_SCFD AD HAN BU07_V3_still_vs_LE2_18.01.2007 3 3" xfId="4474" xr:uid="{00000000-0005-0000-0000-000071110000}"/>
    <cellStyle name="_Column2_MIS5_SCFD AD HAN BU07_V3_still_vs_LE2_18.01.2007 3 3 2" xfId="4475" xr:uid="{00000000-0005-0000-0000-000072110000}"/>
    <cellStyle name="_Column2_MIS5_SCFD AD HAN BU07_V3_still_vs_LE2_18.01.2007 4" xfId="4476" xr:uid="{00000000-0005-0000-0000-000073110000}"/>
    <cellStyle name="_Column2_MIS5_SCFD AD HAN BU07_V3_still_vs_LE2_18.01.2007 4 2" xfId="4477" xr:uid="{00000000-0005-0000-0000-000074110000}"/>
    <cellStyle name="_Column2_MIS5_SCFD AD HAN BU07_V3_still_vs_LE2_18.01.2007_Sheet5" xfId="4478" xr:uid="{00000000-0005-0000-0000-000075110000}"/>
    <cellStyle name="_Column2_MIS5_SCFD AD HAN BU07_V3_task_vs_LE2_18.01.2007" xfId="4479" xr:uid="{00000000-0005-0000-0000-000076110000}"/>
    <cellStyle name="_Column2_MIS5_SCFD AD HAN BU07_V3_task_vs_LE2_18.01.2007 2" xfId="4480" xr:uid="{00000000-0005-0000-0000-000077110000}"/>
    <cellStyle name="_Column2_MIS5_SCFD AD HAN BU07_V3_task_vs_LE2_18.01.2007 3" xfId="4481" xr:uid="{00000000-0005-0000-0000-000078110000}"/>
    <cellStyle name="_Column2_MIS5_SCFD AD HAN BU07_V3_task_vs_LE2_18.01.2007 3 2" xfId="4482" xr:uid="{00000000-0005-0000-0000-000079110000}"/>
    <cellStyle name="_Column2_MIS5_SCFD AD HAN BU07_V3_task_vs_LE2_18.01.2007 3 3" xfId="4483" xr:uid="{00000000-0005-0000-0000-00007A110000}"/>
    <cellStyle name="_Column2_MIS5_SCFD AD HAN BU07_V3_task_vs_LE2_18.01.2007 3 3 2" xfId="4484" xr:uid="{00000000-0005-0000-0000-00007B110000}"/>
    <cellStyle name="_Column2_MIS5_SCFD AD HAN BU07_V3_task_vs_LE2_18.01.2007 4" xfId="4485" xr:uid="{00000000-0005-0000-0000-00007C110000}"/>
    <cellStyle name="_Column2_MIS5_SCFD AD HAN BU07_V3_task_vs_LE2_18.01.2007 4 2" xfId="4486" xr:uid="{00000000-0005-0000-0000-00007D110000}"/>
    <cellStyle name="_Column2_MIS5_SCFD AD HAN BU07_V3_task_vs_LE2_18.01.2007_Sheet5" xfId="4487" xr:uid="{00000000-0005-0000-0000-00007E110000}"/>
    <cellStyle name="_Column2_MIS5_SCFD AD HAN_Sheet5" xfId="4488" xr:uid="{00000000-0005-0000-0000-00007F110000}"/>
    <cellStyle name="_Column2_MIS5_Sheet5" xfId="4489" xr:uid="{00000000-0005-0000-0000-000080110000}"/>
    <cellStyle name="_Column2_MIS5_Tabelle1" xfId="4490" xr:uid="{00000000-0005-0000-0000-000081110000}"/>
    <cellStyle name="_Column2_MIS5_volumes (2)" xfId="4491" xr:uid="{00000000-0005-0000-0000-000082110000}"/>
    <cellStyle name="_Column2_MIS5_volumes (2) 2" xfId="4492" xr:uid="{00000000-0005-0000-0000-000083110000}"/>
    <cellStyle name="_Column2_MIS5_volumes (2) 3" xfId="4493" xr:uid="{00000000-0005-0000-0000-000084110000}"/>
    <cellStyle name="_Column2_MIS5_volumes (2) 3 2" xfId="4494" xr:uid="{00000000-0005-0000-0000-000085110000}"/>
    <cellStyle name="_Column2_MIS5_volumes (2) 3 3" xfId="4495" xr:uid="{00000000-0005-0000-0000-000086110000}"/>
    <cellStyle name="_Column2_MIS5_volumes (2) 3 3 2" xfId="4496" xr:uid="{00000000-0005-0000-0000-000087110000}"/>
    <cellStyle name="_Column2_MIS5_volumes (2) 4" xfId="4497" xr:uid="{00000000-0005-0000-0000-000088110000}"/>
    <cellStyle name="_Column2_MIS5_volumes (2) 4 2" xfId="4498" xr:uid="{00000000-0005-0000-0000-000089110000}"/>
    <cellStyle name="_Column2_MIS5_volumes (2)_Sheet5" xfId="4499" xr:uid="{00000000-0005-0000-0000-00008A110000}"/>
    <cellStyle name="_Column2_MIS7" xfId="4500" xr:uid="{00000000-0005-0000-0000-00008B110000}"/>
    <cellStyle name="_Column2_MIS9" xfId="4501" xr:uid="{00000000-0005-0000-0000-00008C110000}"/>
    <cellStyle name="_Column2_MIS9 2" xfId="4502" xr:uid="{00000000-0005-0000-0000-00008D110000}"/>
    <cellStyle name="_Column2_MIS9_Anlagenbelegung Auswertung SKU pro Linie 2006-07-25 -ÜB." xfId="4503" xr:uid="{00000000-0005-0000-0000-00008E110000}"/>
    <cellStyle name="_Column2_Mkt marzo" xfId="4504" xr:uid="{00000000-0005-0000-0000-00008F110000}"/>
    <cellStyle name="_Column2_Netherlands" xfId="4505" xr:uid="{00000000-0005-0000-0000-000090110000}"/>
    <cellStyle name="_Column2_Non bev sales income" xfId="4506" xr:uid="{00000000-0005-0000-0000-000091110000}"/>
    <cellStyle name="_Column2_Non bev. sales income" xfId="4507" xr:uid="{00000000-0005-0000-0000-000092110000}"/>
    <cellStyle name="_Column2_Nuove sku" xfId="4508" xr:uid="{00000000-0005-0000-0000-000093110000}"/>
    <cellStyle name="_Column2_Off T. marzo" xfId="4509" xr:uid="{00000000-0005-0000-0000-000094110000}"/>
    <cellStyle name="_Column2_OFF TRADE Volumi e maco Bdg 2007 by LUCA" xfId="4510" xr:uid="{00000000-0005-0000-0000-000095110000}"/>
    <cellStyle name="_Column2_OFF TRADE_MACO 2006" xfId="4511" xr:uid="{00000000-0005-0000-0000-000096110000}"/>
    <cellStyle name="_Column2_On Trade estratto al 30.06.06" xfId="4512" xr:uid="{00000000-0005-0000-0000-000097110000}"/>
    <cellStyle name="_Column2_On Trade Gen'07" xfId="4513" xr:uid="{00000000-0005-0000-0000-000098110000}"/>
    <cellStyle name="_Column2_Out of scope" xfId="4514" xr:uid="{00000000-0005-0000-0000-000099110000}"/>
    <cellStyle name="_Column2_Packages + Subpack" xfId="4515" xr:uid="{00000000-0005-0000-0000-00009A110000}"/>
    <cellStyle name="_Column2_Packages ON + DD" xfId="4516" xr:uid="{00000000-0005-0000-0000-00009B110000}"/>
    <cellStyle name="_Column2_packaging" xfId="4517" xr:uid="{00000000-0005-0000-0000-00009C110000}"/>
    <cellStyle name="_Column2_packaging_1" xfId="4518" xr:uid="{00000000-0005-0000-0000-00009D110000}"/>
    <cellStyle name="_Column2_Partner - bilancio novembre" xfId="4519" xr:uid="{00000000-0005-0000-0000-00009E110000}"/>
    <cellStyle name="_Column2_P-LE-YTD-abs(loc)" xfId="4520" xr:uid="{00000000-0005-0000-0000-00009F110000}"/>
    <cellStyle name="_Column2_P-LE-YTD-abs(loc)_packaging" xfId="4521" xr:uid="{00000000-0005-0000-0000-0000A0110000}"/>
    <cellStyle name="_Column2_RB&amp;JW_Produktionsplanung_LE1_2006 sortiert" xfId="4522" xr:uid="{00000000-0005-0000-0000-0000A1110000}"/>
    <cellStyle name="_Column2_RB&amp;JW_Produktionsplanung_LE1_2006 sortiert 2" xfId="4523" xr:uid="{00000000-0005-0000-0000-0000A2110000}"/>
    <cellStyle name="_Column2_RB&amp;JW_Produktionsplanung_LE1_2006 sortiert 2 2" xfId="4524" xr:uid="{00000000-0005-0000-0000-0000A3110000}"/>
    <cellStyle name="_Column2_RB&amp;JW_Produktionsplanung_LE1_2006 sortiert_Sheet1" xfId="4525" xr:uid="{00000000-0005-0000-0000-0000A4110000}"/>
    <cellStyle name="_Column2_RB&amp;JW_Produktionsplanung_LE1_2006 sortiert_Sheet5" xfId="4526" xr:uid="{00000000-0005-0000-0000-0000A5110000}"/>
    <cellStyle name="_Column2_RB&amp;JW_Produktionsplanung_LE1_2006 sortiert_Sm Proj Cash Flow" xfId="4527" xr:uid="{00000000-0005-0000-0000-0000A6110000}"/>
    <cellStyle name="_Column2_RB&amp;JW_Produktionsplanung_LE1_2006 sortiert_Spend Detail" xfId="4528" xr:uid="{00000000-0005-0000-0000-0000A7110000}"/>
    <cellStyle name="_Column2_RB&amp;JW_Produktionsplanung_LE1_2006 sortiert_SustainingProjectList" xfId="4529" xr:uid="{00000000-0005-0000-0000-0000A8110000}"/>
    <cellStyle name="_Column2_Report Inbev FINANCE November 06" xfId="4530" xr:uid="{00000000-0005-0000-0000-0000A9110000}"/>
    <cellStyle name="_Column2_Return rates" xfId="4531" xr:uid="{00000000-0005-0000-0000-0000AA110000}"/>
    <cellStyle name="_Column2_Returnable Packaging" xfId="4532" xr:uid="{00000000-0005-0000-0000-0000AB110000}"/>
    <cellStyle name="_Column2_Returnable Packaging Prices 2008 (2)" xfId="4533" xr:uid="{00000000-0005-0000-0000-0000AC110000}"/>
    <cellStyle name="_Column2_Rüstzeit" xfId="4534" xr:uid="{00000000-0005-0000-0000-0000AD110000}"/>
    <cellStyle name="_Column2_RW_Mutteranlge" xfId="4535" xr:uid="{00000000-0005-0000-0000-0000AE110000}"/>
    <cellStyle name="_Column2_RW4" xfId="4536" xr:uid="{00000000-0005-0000-0000-0000AF110000}"/>
    <cellStyle name="_Column2_S&amp;D Italy" xfId="4537" xr:uid="{00000000-0005-0000-0000-0000B0110000}"/>
    <cellStyle name="_Column2_Sales" xfId="4538" xr:uid="{00000000-0005-0000-0000-0000B1110000}"/>
    <cellStyle name="_Column2_Sales Daten" xfId="4539" xr:uid="{00000000-0005-0000-0000-0000B2110000}"/>
    <cellStyle name="_Column2_Sales On-Trade" xfId="4540" xr:uid="{00000000-0005-0000-0000-0000B3110000}"/>
    <cellStyle name="_Column2_Sales Volume in 000HL - YTD February" xfId="4541" xr:uid="{00000000-0005-0000-0000-0000B4110000}"/>
    <cellStyle name="_Column2_SCFD_FLACON" xfId="4542" xr:uid="{00000000-0005-0000-0000-0000B5110000}"/>
    <cellStyle name="_Column2_Scope_Dinkelacker_2006" xfId="4543" xr:uid="{00000000-0005-0000-0000-0000B6110000}"/>
    <cellStyle name="_Column2_Scope_Wolters Budget 2007" xfId="4544" xr:uid="{00000000-0005-0000-0000-0000B7110000}"/>
    <cellStyle name="_Column2_SF_Volumes &amp; Maco pro hl Haake-Beck Budget 2009" xfId="4545" xr:uid="{00000000-0005-0000-0000-0000B8110000}"/>
    <cellStyle name="_Column2_SF_Volumes &amp; Maco pro hl Haake-Beck Budget 2009_RFFS SUBMISSION TO VPs" xfId="4546" xr:uid="{00000000-0005-0000-0000-0000B9110000}"/>
    <cellStyle name="_Column2_SF_Volumes &amp; Maco pro hl Haake-Beck Budget 2009_RFFS_SUBMISSION_TO_VPs _v2" xfId="4547" xr:uid="{00000000-0005-0000-0000-0000BA110000}"/>
    <cellStyle name="_Column2_Sheet1" xfId="4548" xr:uid="{00000000-0005-0000-0000-0000BB110000}"/>
    <cellStyle name="_Column2_Sheet1 (2)" xfId="4549" xr:uid="{00000000-0005-0000-0000-0000BC110000}"/>
    <cellStyle name="_Column2_Sheet1 10" xfId="4550" xr:uid="{00000000-0005-0000-0000-0000BD110000}"/>
    <cellStyle name="_Column2_Sheet1 11" xfId="4551" xr:uid="{00000000-0005-0000-0000-0000BE110000}"/>
    <cellStyle name="_Column2_Sheet1 12" xfId="4552" xr:uid="{00000000-0005-0000-0000-0000BF110000}"/>
    <cellStyle name="_Column2_Sheet1 13" xfId="4553" xr:uid="{00000000-0005-0000-0000-0000C0110000}"/>
    <cellStyle name="_Column2_Sheet1 14" xfId="4554" xr:uid="{00000000-0005-0000-0000-0000C1110000}"/>
    <cellStyle name="_Column2_Sheet1 15" xfId="4555" xr:uid="{00000000-0005-0000-0000-0000C2110000}"/>
    <cellStyle name="_Column2_Sheet1 16" xfId="4556" xr:uid="{00000000-0005-0000-0000-0000C3110000}"/>
    <cellStyle name="_Column2_Sheet1 17" xfId="4557" xr:uid="{00000000-0005-0000-0000-0000C4110000}"/>
    <cellStyle name="_Column2_Sheet1 18" xfId="4558" xr:uid="{00000000-0005-0000-0000-0000C5110000}"/>
    <cellStyle name="_Column2_Sheet1 19" xfId="4559" xr:uid="{00000000-0005-0000-0000-0000C6110000}"/>
    <cellStyle name="_Column2_Sheet1 2" xfId="4560" xr:uid="{00000000-0005-0000-0000-0000C7110000}"/>
    <cellStyle name="_Column2_Sheet1 20" xfId="4561" xr:uid="{00000000-0005-0000-0000-0000C8110000}"/>
    <cellStyle name="_Column2_Sheet1 21" xfId="4562" xr:uid="{00000000-0005-0000-0000-0000C9110000}"/>
    <cellStyle name="_Column2_Sheet1 22" xfId="4563" xr:uid="{00000000-0005-0000-0000-0000CA110000}"/>
    <cellStyle name="_Column2_Sheet1 23" xfId="4564" xr:uid="{00000000-0005-0000-0000-0000CB110000}"/>
    <cellStyle name="_Column2_Sheet1 24" xfId="4565" xr:uid="{00000000-0005-0000-0000-0000CC110000}"/>
    <cellStyle name="_Column2_Sheet1 25" xfId="4566" xr:uid="{00000000-0005-0000-0000-0000CD110000}"/>
    <cellStyle name="_Column2_Sheet1 3" xfId="4567" xr:uid="{00000000-0005-0000-0000-0000CE110000}"/>
    <cellStyle name="_Column2_Sheet1 4" xfId="4568" xr:uid="{00000000-0005-0000-0000-0000CF110000}"/>
    <cellStyle name="_Column2_Sheet1 5" xfId="4569" xr:uid="{00000000-0005-0000-0000-0000D0110000}"/>
    <cellStyle name="_Column2_Sheet1 6" xfId="4570" xr:uid="{00000000-0005-0000-0000-0000D1110000}"/>
    <cellStyle name="_Column2_Sheet1 7" xfId="4571" xr:uid="{00000000-0005-0000-0000-0000D2110000}"/>
    <cellStyle name="_Column2_Sheet1 8" xfId="4572" xr:uid="{00000000-0005-0000-0000-0000D3110000}"/>
    <cellStyle name="_Column2_Sheet1 9" xfId="4573" xr:uid="{00000000-0005-0000-0000-0000D4110000}"/>
    <cellStyle name="_Column2_Sheet1_1" xfId="4574" xr:uid="{00000000-0005-0000-0000-0000D5110000}"/>
    <cellStyle name="_Column2_Sheet1_1_Analisi vol ott" xfId="4575" xr:uid="{00000000-0005-0000-0000-0000D6110000}"/>
    <cellStyle name="_Column2_Sheet1_1_BACK UP FIGURES for PRESENTATION LE1" xfId="4576" xr:uid="{00000000-0005-0000-0000-0000D7110000}"/>
    <cellStyle name="_Column2_Sheet1_1_Maco LE1 vers 30.4.07" xfId="4577" xr:uid="{00000000-0005-0000-0000-0000D8110000}"/>
    <cellStyle name="_Column2_Sheet1_1_Maco LE1 vers 30.4.07 PER PRESENTAZ" xfId="4578" xr:uid="{00000000-0005-0000-0000-0000D9110000}"/>
    <cellStyle name="_Column2_Sheet1_1_Marzo 2007 Deck vers 16.4.07" xfId="4579" xr:uid="{00000000-0005-0000-0000-0000DA110000}"/>
    <cellStyle name="_Column2_Sheet1_Belgium" xfId="4580" xr:uid="{00000000-0005-0000-0000-0000DB110000}"/>
    <cellStyle name="_Column2_Sheet1_Belgium_brew" xfId="4581" xr:uid="{00000000-0005-0000-0000-0000DC110000}"/>
    <cellStyle name="_Column2_Sheet1_cans" xfId="4582" xr:uid="{00000000-0005-0000-0000-0000DD110000}"/>
    <cellStyle name="_Column2_Sheet1_Luxembourg_brew" xfId="4583" xr:uid="{00000000-0005-0000-0000-0000DE110000}"/>
    <cellStyle name="_Column2_Sheet1_welp" xfId="4584" xr:uid="{00000000-0005-0000-0000-0000DF110000}"/>
    <cellStyle name="_Column2_Sheet1_welp_RFFS SUBMISSION TO VPs" xfId="4585" xr:uid="{00000000-0005-0000-0000-0000E0110000}"/>
    <cellStyle name="_Column2_Sheet1_welp_RFFS_SUBMISSION_TO_VPs _v2" xfId="4586" xr:uid="{00000000-0005-0000-0000-0000E1110000}"/>
    <cellStyle name="_Column2_Sheet2" xfId="4587" xr:uid="{00000000-0005-0000-0000-0000E2110000}"/>
    <cellStyle name="_Column2_Sheet2_1" xfId="4588" xr:uid="{00000000-0005-0000-0000-0000E3110000}"/>
    <cellStyle name="_Column2_Sheet5" xfId="4589" xr:uid="{00000000-0005-0000-0000-0000E4110000}"/>
    <cellStyle name="_Column2_Sku listini Off Trade" xfId="4590" xr:uid="{00000000-0005-0000-0000-0000E5110000}"/>
    <cellStyle name="_Column2_SKU Volumen" xfId="4591" xr:uid="{00000000-0005-0000-0000-0000E6110000}"/>
    <cellStyle name="_Column2_SKU Volumen 2" xfId="4592" xr:uid="{00000000-0005-0000-0000-0000E7110000}"/>
    <cellStyle name="_Column2_SKU Volumen_Sheet1" xfId="4593" xr:uid="{00000000-0005-0000-0000-0000E8110000}"/>
    <cellStyle name="_Column2_SKU Volumen_Sm Proj Cash Flow" xfId="4594" xr:uid="{00000000-0005-0000-0000-0000E9110000}"/>
    <cellStyle name="_Column2_SKU Volumen_Spend Detail" xfId="4595" xr:uid="{00000000-0005-0000-0000-0000EA110000}"/>
    <cellStyle name="_Column2_SKU Volumen_SustainingProjectList" xfId="4596" xr:uid="{00000000-0005-0000-0000-0000EB110000}"/>
    <cellStyle name="_Column2_slide Innovation" xfId="4597" xr:uid="{00000000-0005-0000-0000-0000EC110000}"/>
    <cellStyle name="_Column2_Sortierkosten LE2 Hasseröder" xfId="4598" xr:uid="{00000000-0005-0000-0000-0000ED110000}"/>
    <cellStyle name="_Column2_SP DEMAND" xfId="4599" xr:uid="{00000000-0005-0000-0000-0000EE110000}"/>
    <cellStyle name="_Column2_SPR_Deck_2008_RFM_20080723" xfId="4600" xr:uid="{00000000-0005-0000-0000-0000EF110000}"/>
    <cellStyle name="_Column2_Stock 9.4" xfId="4601" xr:uid="{00000000-0005-0000-0000-0000F0110000}"/>
    <cellStyle name="_Column2_Strategic Diagnostic Templates Technik" xfId="4602" xr:uid="{00000000-0005-0000-0000-0000F1110000}"/>
    <cellStyle name="_Column2_Strategic Diagnostic Templates Technik 2" xfId="4603" xr:uid="{00000000-0005-0000-0000-0000F2110000}"/>
    <cellStyle name="_Column2_Strategic Diagnostic Templates Technik 2 2" xfId="4604" xr:uid="{00000000-0005-0000-0000-0000F3110000}"/>
    <cellStyle name="_Column2_Strategic Diagnostic Templates Technik 2 2 2" xfId="4605" xr:uid="{00000000-0005-0000-0000-0000F4110000}"/>
    <cellStyle name="_Column2_Strategic Diagnostic Templates Technik 2 3" xfId="4606" xr:uid="{00000000-0005-0000-0000-0000F5110000}"/>
    <cellStyle name="_Column2_Strategic Diagnostic Templates Technik 3" xfId="4607" xr:uid="{00000000-0005-0000-0000-0000F6110000}"/>
    <cellStyle name="_Column2_Strategic Diagnostic Templates Technik 3 2" xfId="4608" xr:uid="{00000000-0005-0000-0000-0000F7110000}"/>
    <cellStyle name="_Column2_Strategic Diagnostic Templates Technik 4" xfId="4609" xr:uid="{00000000-0005-0000-0000-0000F8110000}"/>
    <cellStyle name="_Column2_Strategic Diagnostic Templates Technik_010808 Market Programs  for Budget Deck" xfId="4610" xr:uid="{00000000-0005-0000-0000-0000F9110000}"/>
    <cellStyle name="_Column2_Strategic Diagnostic Templates Technik_010808 Market Programs  for Budget Deck 2" xfId="4611" xr:uid="{00000000-0005-0000-0000-0000FA110000}"/>
    <cellStyle name="_Column2_Strategic Diagnostic Templates Technik_010808 Market Programs  for Budget Deck 2 2" xfId="4612" xr:uid="{00000000-0005-0000-0000-0000FB110000}"/>
    <cellStyle name="_Column2_Strategic Diagnostic Templates Technik_010808 Market Programs  for Budget Deck 3" xfId="4613" xr:uid="{00000000-0005-0000-0000-0000FC110000}"/>
    <cellStyle name="_Column2_Strategic Diagnostic Templates Technik_0908 Gabarito exchange rate" xfId="4614" xr:uid="{00000000-0005-0000-0000-0000FD110000}"/>
    <cellStyle name="_Column2_Strategic Diagnostic Templates Technik_0908 Gabarito exchange rate 2" xfId="4615" xr:uid="{00000000-0005-0000-0000-0000FE110000}"/>
    <cellStyle name="_Column2_Strategic Diagnostic Templates Technik_0908 Gabarito exchange rate 2 2" xfId="4616" xr:uid="{00000000-0005-0000-0000-0000FF110000}"/>
    <cellStyle name="_Column2_Strategic Diagnostic Templates Technik_0908 Gabarito exchange rate 3" xfId="4617" xr:uid="{00000000-0005-0000-0000-000000120000}"/>
    <cellStyle name="_Column2_Strategic Diagnostic Templates Technik_33cl rev. Budget Value Vers (3)" xfId="4618" xr:uid="{00000000-0005-0000-0000-000001120000}"/>
    <cellStyle name="_Column2_Strategic Diagnostic Templates Technik_Accident frequency" xfId="4619" xr:uid="{00000000-0005-0000-0000-000002120000}"/>
    <cellStyle name="_Column2_Strategic Diagnostic Templates Technik_Additional Templates" xfId="4620" xr:uid="{00000000-0005-0000-0000-000003120000}"/>
    <cellStyle name="_Column2_Strategic Diagnostic Templates Technik_Additional Templates (2)" xfId="4621" xr:uid="{00000000-0005-0000-0000-000004120000}"/>
    <cellStyle name="_Column2_Strategic Diagnostic Templates Technik_Additional Templates (3)" xfId="4622" xr:uid="{00000000-0005-0000-0000-000005120000}"/>
    <cellStyle name="_Column2_Strategic Diagnostic Templates Technik_Additional Templates (4)" xfId="4623" xr:uid="{00000000-0005-0000-0000-000006120000}"/>
    <cellStyle name="_Column2_Strategic Diagnostic Templates Technik_Additional Templates (5)" xfId="4624" xr:uid="{00000000-0005-0000-0000-000007120000}"/>
    <cellStyle name="_Column2_Strategic Diagnostic Templates Technik_Basis" xfId="4625" xr:uid="{00000000-0005-0000-0000-000008120000}"/>
    <cellStyle name="_Column2_Strategic Diagnostic Templates Technik_Basis 2" xfId="4626" xr:uid="{00000000-0005-0000-0000-000009120000}"/>
    <cellStyle name="_Column2_Strategic Diagnostic Templates Technik_Basis 2 2" xfId="4627" xr:uid="{00000000-0005-0000-0000-00000A120000}"/>
    <cellStyle name="_Column2_Strategic Diagnostic Templates Technik_Basis_Sheet1" xfId="4628" xr:uid="{00000000-0005-0000-0000-00000B120000}"/>
    <cellStyle name="_Column2_Strategic Diagnostic Templates Technik_Basis_Sheet5" xfId="4629" xr:uid="{00000000-0005-0000-0000-00000C120000}"/>
    <cellStyle name="_Column2_Strategic Diagnostic Templates Technik_Basis_Sm Proj Cash Flow" xfId="4630" xr:uid="{00000000-0005-0000-0000-00000D120000}"/>
    <cellStyle name="_Column2_Strategic Diagnostic Templates Technik_Basis_Spend Detail" xfId="4631" xr:uid="{00000000-0005-0000-0000-00000E120000}"/>
    <cellStyle name="_Column2_Strategic Diagnostic Templates Technik_Basis_SustainingProjectList" xfId="4632" xr:uid="{00000000-0005-0000-0000-00000F120000}"/>
    <cellStyle name="_Column2_Strategic Diagnostic Templates Technik_BGT 08 Templates Sales  Marketing - final (revised)" xfId="4633" xr:uid="{00000000-0005-0000-0000-000010120000}"/>
    <cellStyle name="_Column2_Strategic Diagnostic Templates Technik_BGT 08 Templates Sales  Marketing - final (revised) 2" xfId="4634" xr:uid="{00000000-0005-0000-0000-000011120000}"/>
    <cellStyle name="_Column2_Strategic Diagnostic Templates Technik_BGT 08 Templates Sales  Marketing - final (revised) 2 2" xfId="4635" xr:uid="{00000000-0005-0000-0000-000012120000}"/>
    <cellStyle name="_Column2_Strategic Diagnostic Templates Technik_BGT 08 Templates Sales  Marketing - final (revised) 3" xfId="4636" xr:uid="{00000000-0005-0000-0000-000013120000}"/>
    <cellStyle name="_Column2_Strategic Diagnostic Templates Technik_BGT 08 Templates Sales  Marketing - final (revised) 3 2" xfId="4637" xr:uid="{00000000-0005-0000-0000-000014120000}"/>
    <cellStyle name="_Column2_Strategic Diagnostic Templates Technik_BGT 08 Templates Sales  Marketing - final (revised) 3 3" xfId="4638" xr:uid="{00000000-0005-0000-0000-000015120000}"/>
    <cellStyle name="_Column2_Strategic Diagnostic Templates Technik_BGT 08 Templates Sales  Marketing - final (revised) 3 3 2" xfId="4639" xr:uid="{00000000-0005-0000-0000-000016120000}"/>
    <cellStyle name="_Column2_Strategic Diagnostic Templates Technik_BGT 08 Templates Sales  Marketing - final (revised) 4" xfId="4640" xr:uid="{00000000-0005-0000-0000-000017120000}"/>
    <cellStyle name="_Column2_Strategic Diagnostic Templates Technik_BGT 08 Templates Sales  Marketing - final (revised) 4 2" xfId="4641" xr:uid="{00000000-0005-0000-0000-000018120000}"/>
    <cellStyle name="_Column2_Strategic Diagnostic Templates Technik_BGT 08 Templates Sales  Marketing - final (revised)_Sheet1" xfId="4642" xr:uid="{00000000-0005-0000-0000-000019120000}"/>
    <cellStyle name="_Column2_Strategic Diagnostic Templates Technik_BGT 08 Templates Sales  Marketing - final (revised)_Sm Proj Cash Flow" xfId="4643" xr:uid="{00000000-0005-0000-0000-00001A120000}"/>
    <cellStyle name="_Column2_Strategic Diagnostic Templates Technik_BGT 08 Templates Sales  Marketing - final (revised)_Spend Detail" xfId="4644" xr:uid="{00000000-0005-0000-0000-00001B120000}"/>
    <cellStyle name="_Column2_Strategic Diagnostic Templates Technik_BGT 08 Templates Sales  Marketing - final (revised)_SustainingProjectList" xfId="4645" xr:uid="{00000000-0005-0000-0000-00001C120000}"/>
    <cellStyle name="_Column2_Strategic Diagnostic Templates Technik_Book5" xfId="4646" xr:uid="{00000000-0005-0000-0000-00001D120000}"/>
    <cellStyle name="_Column2_Strategic Diagnostic Templates Technik_Book5 2" xfId="4647" xr:uid="{00000000-0005-0000-0000-00001E120000}"/>
    <cellStyle name="_Column2_Strategic Diagnostic Templates Technik_Book5 2 2" xfId="4648" xr:uid="{00000000-0005-0000-0000-00001F120000}"/>
    <cellStyle name="_Column2_Strategic Diagnostic Templates Technik_Book5 3" xfId="4649" xr:uid="{00000000-0005-0000-0000-000020120000}"/>
    <cellStyle name="_Column2_Strategic Diagnostic Templates Technik_Bplan RD 1001" xfId="4650" xr:uid="{00000000-0005-0000-0000-000021120000}"/>
    <cellStyle name="_Column2_Strategic Diagnostic Templates Technik_Bplan RD 1001 2" xfId="4651" xr:uid="{00000000-0005-0000-0000-000022120000}"/>
    <cellStyle name="_Column2_Strategic Diagnostic Templates Technik_Bplan RD 1001 2 2" xfId="4652" xr:uid="{00000000-0005-0000-0000-000023120000}"/>
    <cellStyle name="_Column2_Strategic Diagnostic Templates Technik_Bplan RD 1001 3" xfId="4653" xr:uid="{00000000-0005-0000-0000-000024120000}"/>
    <cellStyle name="_Column2_Strategic Diagnostic Templates Technik_Budget 07" xfId="4654" xr:uid="{00000000-0005-0000-0000-000025120000}"/>
    <cellStyle name="_Column2_Strategic Diagnostic Templates Technik_Budget 07 2" xfId="4655" xr:uid="{00000000-0005-0000-0000-000026120000}"/>
    <cellStyle name="_Column2_Strategic Diagnostic Templates Technik_Budget 07 Org" xfId="4656" xr:uid="{00000000-0005-0000-0000-000027120000}"/>
    <cellStyle name="_Column2_Strategic Diagnostic Templates Technik_Budget 07 Org 2" xfId="4657" xr:uid="{00000000-0005-0000-0000-000028120000}"/>
    <cellStyle name="_Column2_Strategic Diagnostic Templates Technik_Budget 07 Org_Sheet1" xfId="4658" xr:uid="{00000000-0005-0000-0000-000029120000}"/>
    <cellStyle name="_Column2_Strategic Diagnostic Templates Technik_Budget 07 Org_Sm Proj Cash Flow" xfId="4659" xr:uid="{00000000-0005-0000-0000-00002A120000}"/>
    <cellStyle name="_Column2_Strategic Diagnostic Templates Technik_Budget 07 Org_Spend Detail" xfId="4660" xr:uid="{00000000-0005-0000-0000-00002B120000}"/>
    <cellStyle name="_Column2_Strategic Diagnostic Templates Technik_Budget 07 Org_SustainingProjectList" xfId="4661" xr:uid="{00000000-0005-0000-0000-00002C120000}"/>
    <cellStyle name="_Column2_Strategic Diagnostic Templates Technik_Budget 07_Sheet1" xfId="4662" xr:uid="{00000000-0005-0000-0000-00002D120000}"/>
    <cellStyle name="_Column2_Strategic Diagnostic Templates Technik_Budget 07_Sm Proj Cash Flow" xfId="4663" xr:uid="{00000000-0005-0000-0000-00002E120000}"/>
    <cellStyle name="_Column2_Strategic Diagnostic Templates Technik_Budget 07_Spend Detail" xfId="4664" xr:uid="{00000000-0005-0000-0000-00002F120000}"/>
    <cellStyle name="_Column2_Strategic Diagnostic Templates Technik_Budget 07_SustainingProjectList" xfId="4665" xr:uid="{00000000-0005-0000-0000-000030120000}"/>
    <cellStyle name="_Column2_Strategic Diagnostic Templates Technik_CAPEX Analysis WE v3 Thomas" xfId="4666" xr:uid="{00000000-0005-0000-0000-000031120000}"/>
    <cellStyle name="_Column2_Strategic Diagnostic Templates Technik_Capex ZBB Style - 1st Tier" xfId="4667" xr:uid="{00000000-0005-0000-0000-000032120000}"/>
    <cellStyle name="_Column2_Strategic Diagnostic Templates Technik_Capex ZBB Style - 1st Tier 2" xfId="4668" xr:uid="{00000000-0005-0000-0000-000033120000}"/>
    <cellStyle name="_Column2_Strategic Diagnostic Templates Technik_Capex ZBB Style - 2nd Tier" xfId="4669" xr:uid="{00000000-0005-0000-0000-000034120000}"/>
    <cellStyle name="_Column2_Strategic Diagnostic Templates Technik_Capex ZBB Style - 2nd Tier 2" xfId="4670" xr:uid="{00000000-0005-0000-0000-000035120000}"/>
    <cellStyle name="_Column2_Strategic Diagnostic Templates Technik_Capex ZBB Style - 2nd Tier_Sheet1" xfId="4671" xr:uid="{00000000-0005-0000-0000-000036120000}"/>
    <cellStyle name="_Column2_Strategic Diagnostic Templates Technik_Capex ZBB Style - 2nd Tier_Sm Proj Cash Flow" xfId="4672" xr:uid="{00000000-0005-0000-0000-000037120000}"/>
    <cellStyle name="_Column2_Strategic Diagnostic Templates Technik_Capex ZBB Style - 2nd Tier_Spend Detail" xfId="4673" xr:uid="{00000000-0005-0000-0000-000038120000}"/>
    <cellStyle name="_Column2_Strategic Diagnostic Templates Technik_Capex ZBB Style - 2nd Tier_SustainingProjectList" xfId="4674" xr:uid="{00000000-0005-0000-0000-000039120000}"/>
    <cellStyle name="_Column2_Strategic Diagnostic Templates Technik_Capex ZBB Style - Cemex" xfId="4675" xr:uid="{00000000-0005-0000-0000-00003A120000}"/>
    <cellStyle name="_Column2_Strategic Diagnostic Templates Technik_Capex ZBB Style - Cemex 2" xfId="4676" xr:uid="{00000000-0005-0000-0000-00003B120000}"/>
    <cellStyle name="_Column2_Strategic Diagnostic Templates Technik_Capex ZBB Style - Consumer" xfId="4677" xr:uid="{00000000-0005-0000-0000-00003C120000}"/>
    <cellStyle name="_Column2_Strategic Diagnostic Templates Technik_Capex ZBB Style - Consumer 2" xfId="4678" xr:uid="{00000000-0005-0000-0000-00003D120000}"/>
    <cellStyle name="_Column2_Strategic Diagnostic Templates Technik_Capex ZBB Style - Consumer_Croatia_Sep4" xfId="4679" xr:uid="{00000000-0005-0000-0000-00003E120000}"/>
    <cellStyle name="_Column2_Strategic Diagnostic Templates Technik_Capex ZBB Style - Consumer_Croatia_Sep4 2" xfId="4680" xr:uid="{00000000-0005-0000-0000-00003F120000}"/>
    <cellStyle name="_Column2_Strategic Diagnostic Templates Technik_Capex ZBB Style - Consumer_Croatia_Sep4_Sheet1" xfId="4681" xr:uid="{00000000-0005-0000-0000-000040120000}"/>
    <cellStyle name="_Column2_Strategic Diagnostic Templates Technik_Capex ZBB Style - Consumer_Croatia_Sep4_Sm Proj Cash Flow" xfId="4682" xr:uid="{00000000-0005-0000-0000-000041120000}"/>
    <cellStyle name="_Column2_Strategic Diagnostic Templates Technik_Capex ZBB Style - Consumer_Croatia_Sep4_Spend Detail" xfId="4683" xr:uid="{00000000-0005-0000-0000-000042120000}"/>
    <cellStyle name="_Column2_Strategic Diagnostic Templates Technik_Capex ZBB Style - Consumer_Croatia_Sep4_SustainingProjectList" xfId="4684" xr:uid="{00000000-0005-0000-0000-000043120000}"/>
    <cellStyle name="_Column2_Strategic Diagnostic Templates Technik_Capex ZBB Style - Returnable Packaging" xfId="4685" xr:uid="{00000000-0005-0000-0000-000044120000}"/>
    <cellStyle name="_Column2_Strategic Diagnostic Templates Technik_Capex ZBB Style - Returnable Packaging 2" xfId="4686" xr:uid="{00000000-0005-0000-0000-000045120000}"/>
    <cellStyle name="_Column2_Strategic Diagnostic Templates Technik_Challenge" xfId="4687" xr:uid="{00000000-0005-0000-0000-000046120000}"/>
    <cellStyle name="_Column2_Strategic Diagnostic Templates Technik_Challenge 2" xfId="4688" xr:uid="{00000000-0005-0000-0000-000047120000}"/>
    <cellStyle name="_Column2_Strategic Diagnostic Templates Technik_Challenge_Sheet1" xfId="4689" xr:uid="{00000000-0005-0000-0000-000048120000}"/>
    <cellStyle name="_Column2_Strategic Diagnostic Templates Technik_Challenge_Sm Proj Cash Flow" xfId="4690" xr:uid="{00000000-0005-0000-0000-000049120000}"/>
    <cellStyle name="_Column2_Strategic Diagnostic Templates Technik_Challenge_Spend Detail" xfId="4691" xr:uid="{00000000-0005-0000-0000-00004A120000}"/>
    <cellStyle name="_Column2_Strategic Diagnostic Templates Technik_Challenge_SustainingProjectList" xfId="4692" xr:uid="{00000000-0005-0000-0000-00004B120000}"/>
    <cellStyle name="_Column2_Strategic Diagnostic Templates Technik_Copy of BGT 08 Templates Sales  Marketing - final (revised)" xfId="4693" xr:uid="{00000000-0005-0000-0000-00004C120000}"/>
    <cellStyle name="_Column2_Strategic Diagnostic Templates Technik_Copy of BGT 08 Templates Sales  Marketing - final (revised) 2" xfId="4694" xr:uid="{00000000-0005-0000-0000-00004D120000}"/>
    <cellStyle name="_Column2_Strategic Diagnostic Templates Technik_Copy of BGT 08 Templates Sales  Marketing - final (revised) 2 2" xfId="4695" xr:uid="{00000000-0005-0000-0000-00004E120000}"/>
    <cellStyle name="_Column2_Strategic Diagnostic Templates Technik_Copy of BGT 08 Templates Sales  Marketing - final (revised) 3" xfId="4696" xr:uid="{00000000-0005-0000-0000-00004F120000}"/>
    <cellStyle name="_Column2_Strategic Diagnostic Templates Technik_Copy of BGT 08 Templates Sales  Marketing - final (revised) 3 2" xfId="4697" xr:uid="{00000000-0005-0000-0000-000050120000}"/>
    <cellStyle name="_Column2_Strategic Diagnostic Templates Technik_Copy of BGT 08 Templates Sales  Marketing - final (revised) 3 3" xfId="4698" xr:uid="{00000000-0005-0000-0000-000051120000}"/>
    <cellStyle name="_Column2_Strategic Diagnostic Templates Technik_Copy of BGT 08 Templates Sales  Marketing - final (revised) 3 3 2" xfId="4699" xr:uid="{00000000-0005-0000-0000-000052120000}"/>
    <cellStyle name="_Column2_Strategic Diagnostic Templates Technik_Copy of BGT 08 Templates Sales  Marketing - final (revised) 4" xfId="4700" xr:uid="{00000000-0005-0000-0000-000053120000}"/>
    <cellStyle name="_Column2_Strategic Diagnostic Templates Technik_Copy of BGT 08 Templates Sales  Marketing - final (revised) 4 2" xfId="4701" xr:uid="{00000000-0005-0000-0000-000054120000}"/>
    <cellStyle name="_Column2_Strategic Diagnostic Templates Technik_Copy of BGT 08 Templates Sales  Marketing - final (revised)_Sheet1" xfId="4702" xr:uid="{00000000-0005-0000-0000-000055120000}"/>
    <cellStyle name="_Column2_Strategic Diagnostic Templates Technik_Copy of BGT 08 Templates Sales  Marketing - final (revised)_Sm Proj Cash Flow" xfId="4703" xr:uid="{00000000-0005-0000-0000-000056120000}"/>
    <cellStyle name="_Column2_Strategic Diagnostic Templates Technik_Copy of BGT 08 Templates Sales  Marketing - final (revised)_Spend Detail" xfId="4704" xr:uid="{00000000-0005-0000-0000-000057120000}"/>
    <cellStyle name="_Column2_Strategic Diagnostic Templates Technik_Copy of BGT 08 Templates Sales  Marketing - final (revised)_SustainingProjectList" xfId="4705" xr:uid="{00000000-0005-0000-0000-000058120000}"/>
    <cellStyle name="_Column2_Strategic Diagnostic Templates Technik_Daten" xfId="4706" xr:uid="{00000000-0005-0000-0000-000059120000}"/>
    <cellStyle name="_Column2_Strategic Diagnostic Templates Technik_Daten 2" xfId="4707" xr:uid="{00000000-0005-0000-0000-00005A120000}"/>
    <cellStyle name="_Column2_Strategic Diagnostic Templates Technik_Daten 3" xfId="4708" xr:uid="{00000000-0005-0000-0000-00005B120000}"/>
    <cellStyle name="_Column2_Strategic Diagnostic Templates Technik_Daten 3 2" xfId="4709" xr:uid="{00000000-0005-0000-0000-00005C120000}"/>
    <cellStyle name="_Column2_Strategic Diagnostic Templates Technik_Daten 3 3" xfId="4710" xr:uid="{00000000-0005-0000-0000-00005D120000}"/>
    <cellStyle name="_Column2_Strategic Diagnostic Templates Technik_Daten 3 3 2" xfId="4711" xr:uid="{00000000-0005-0000-0000-00005E120000}"/>
    <cellStyle name="_Column2_Strategic Diagnostic Templates Technik_Daten 4" xfId="4712" xr:uid="{00000000-0005-0000-0000-00005F120000}"/>
    <cellStyle name="_Column2_Strategic Diagnostic Templates Technik_Daten 4 2" xfId="4713" xr:uid="{00000000-0005-0000-0000-000060120000}"/>
    <cellStyle name="_Column2_Strategic Diagnostic Templates Technik_Daten_Sheet5" xfId="4714" xr:uid="{00000000-0005-0000-0000-000061120000}"/>
    <cellStyle name="_Column2_Strategic Diagnostic Templates Technik_Demand" xfId="4715" xr:uid="{00000000-0005-0000-0000-000062120000}"/>
    <cellStyle name="_Column2_Strategic Diagnostic Templates Technik_Demand 2" xfId="4716" xr:uid="{00000000-0005-0000-0000-000063120000}"/>
    <cellStyle name="_Column2_Strategic Diagnostic Templates Technik_Demand_Sheet1" xfId="4717" xr:uid="{00000000-0005-0000-0000-000064120000}"/>
    <cellStyle name="_Column2_Strategic Diagnostic Templates Technik_Demand_Sm Proj Cash Flow" xfId="4718" xr:uid="{00000000-0005-0000-0000-000065120000}"/>
    <cellStyle name="_Column2_Strategic Diagnostic Templates Technik_Demand_Spend Detail" xfId="4719" xr:uid="{00000000-0005-0000-0000-000066120000}"/>
    <cellStyle name="_Column2_Strategic Diagnostic Templates Technik_Demand_SustainingProjectList" xfId="4720" xr:uid="{00000000-0005-0000-0000-000067120000}"/>
    <cellStyle name="_Column2_Strategic Diagnostic Templates Technik_details" xfId="4721" xr:uid="{00000000-0005-0000-0000-000068120000}"/>
    <cellStyle name="_Column2_Strategic Diagnostic Templates Technik_Excel sheets to support Market Program Template for Budget 09" xfId="4722" xr:uid="{00000000-0005-0000-0000-000069120000}"/>
    <cellStyle name="_Column2_Strategic Diagnostic Templates Technik_Excel sheets to support Market Program Template for Budget 09 (5) (2)" xfId="4723" xr:uid="{00000000-0005-0000-0000-00006A120000}"/>
    <cellStyle name="_Column2_Strategic Diagnostic Templates Technik_Excel sheets to support Market Program Template for Budget 09 (5) (2) 2" xfId="4724" xr:uid="{00000000-0005-0000-0000-00006B120000}"/>
    <cellStyle name="_Column2_Strategic Diagnostic Templates Technik_Excel sheets to support Market Program Template for Budget 09 (5) (2) 2 2" xfId="4725" xr:uid="{00000000-0005-0000-0000-00006C120000}"/>
    <cellStyle name="_Column2_Strategic Diagnostic Templates Technik_Excel sheets to support Market Program Template for Budget 09 (5) (2) 3" xfId="4726" xr:uid="{00000000-0005-0000-0000-00006D120000}"/>
    <cellStyle name="_Column2_Strategic Diagnostic Templates Technik_Excel sheets to support Market Program Template for Budget 09 (5) (3)" xfId="4727" xr:uid="{00000000-0005-0000-0000-00006E120000}"/>
    <cellStyle name="_Column2_Strategic Diagnostic Templates Technik_Excel sheets to support Market Program Template for Budget 09 (5) (3) 2" xfId="4728" xr:uid="{00000000-0005-0000-0000-00006F120000}"/>
    <cellStyle name="_Column2_Strategic Diagnostic Templates Technik_Excel sheets to support Market Program Template for Budget 09 (5) (3) 2 2" xfId="4729" xr:uid="{00000000-0005-0000-0000-000070120000}"/>
    <cellStyle name="_Column2_Strategic Diagnostic Templates Technik_Excel sheets to support Market Program Template for Budget 09 (5) (3) 3" xfId="4730" xr:uid="{00000000-0005-0000-0000-000071120000}"/>
    <cellStyle name="_Column2_Strategic Diagnostic Templates Technik_Excel sheets to support Market Program Template for Budget 09 10" xfId="4731" xr:uid="{00000000-0005-0000-0000-000072120000}"/>
    <cellStyle name="_Column2_Strategic Diagnostic Templates Technik_Excel sheets to support Market Program Template for Budget 09 11" xfId="4732" xr:uid="{00000000-0005-0000-0000-000073120000}"/>
    <cellStyle name="_Column2_Strategic Diagnostic Templates Technik_Excel sheets to support Market Program Template for Budget 09 11 2" xfId="4733" xr:uid="{00000000-0005-0000-0000-000074120000}"/>
    <cellStyle name="_Column2_Strategic Diagnostic Templates Technik_Excel sheets to support Market Program Template for Budget 09 12" xfId="4734" xr:uid="{00000000-0005-0000-0000-000075120000}"/>
    <cellStyle name="_Column2_Strategic Diagnostic Templates Technik_Excel sheets to support Market Program Template for Budget 09 12 2" xfId="4735" xr:uid="{00000000-0005-0000-0000-000076120000}"/>
    <cellStyle name="_Column2_Strategic Diagnostic Templates Technik_Excel sheets to support Market Program Template for Budget 09 13" xfId="4736" xr:uid="{00000000-0005-0000-0000-000077120000}"/>
    <cellStyle name="_Column2_Strategic Diagnostic Templates Technik_Excel sheets to support Market Program Template for Budget 09 13 2" xfId="4737" xr:uid="{00000000-0005-0000-0000-000078120000}"/>
    <cellStyle name="_Column2_Strategic Diagnostic Templates Technik_Excel sheets to support Market Program Template for Budget 09 14" xfId="4738" xr:uid="{00000000-0005-0000-0000-000079120000}"/>
    <cellStyle name="_Column2_Strategic Diagnostic Templates Technik_Excel sheets to support Market Program Template for Budget 09 14 2" xfId="4739" xr:uid="{00000000-0005-0000-0000-00007A120000}"/>
    <cellStyle name="_Column2_Strategic Diagnostic Templates Technik_Excel sheets to support Market Program Template for Budget 09 2" xfId="4740" xr:uid="{00000000-0005-0000-0000-00007B120000}"/>
    <cellStyle name="_Column2_Strategic Diagnostic Templates Technik_Excel sheets to support Market Program Template for Budget 09 2 2" xfId="4741" xr:uid="{00000000-0005-0000-0000-00007C120000}"/>
    <cellStyle name="_Column2_Strategic Diagnostic Templates Technik_Excel sheets to support Market Program Template for Budget 09 3" xfId="4742" xr:uid="{00000000-0005-0000-0000-00007D120000}"/>
    <cellStyle name="_Column2_Strategic Diagnostic Templates Technik_Excel sheets to support Market Program Template for Budget 09 3 2" xfId="4743" xr:uid="{00000000-0005-0000-0000-00007E120000}"/>
    <cellStyle name="_Column2_Strategic Diagnostic Templates Technik_Excel sheets to support Market Program Template for Budget 09 4" xfId="4744" xr:uid="{00000000-0005-0000-0000-00007F120000}"/>
    <cellStyle name="_Column2_Strategic Diagnostic Templates Technik_Excel sheets to support Market Program Template for Budget 09 5" xfId="4745" xr:uid="{00000000-0005-0000-0000-000080120000}"/>
    <cellStyle name="_Column2_Strategic Diagnostic Templates Technik_Excel sheets to support Market Program Template for Budget 09 5 2" xfId="4746" xr:uid="{00000000-0005-0000-0000-000081120000}"/>
    <cellStyle name="_Column2_Strategic Diagnostic Templates Technik_Excel sheets to support Market Program Template for Budget 09 5 3" xfId="4747" xr:uid="{00000000-0005-0000-0000-000082120000}"/>
    <cellStyle name="_Column2_Strategic Diagnostic Templates Technik_Excel sheets to support Market Program Template for Budget 09 5 3 2" xfId="4748" xr:uid="{00000000-0005-0000-0000-000083120000}"/>
    <cellStyle name="_Column2_Strategic Diagnostic Templates Technik_Excel sheets to support Market Program Template for Budget 09 6" xfId="4749" xr:uid="{00000000-0005-0000-0000-000084120000}"/>
    <cellStyle name="_Column2_Strategic Diagnostic Templates Technik_Excel sheets to support Market Program Template for Budget 09 6 2" xfId="4750" xr:uid="{00000000-0005-0000-0000-000085120000}"/>
    <cellStyle name="_Column2_Strategic Diagnostic Templates Technik_Excel sheets to support Market Program Template for Budget 09 6 3" xfId="4751" xr:uid="{00000000-0005-0000-0000-000086120000}"/>
    <cellStyle name="_Column2_Strategic Diagnostic Templates Technik_Excel sheets to support Market Program Template for Budget 09 6 3 2" xfId="4752" xr:uid="{00000000-0005-0000-0000-000087120000}"/>
    <cellStyle name="_Column2_Strategic Diagnostic Templates Technik_Excel sheets to support Market Program Template for Budget 09 7" xfId="4753" xr:uid="{00000000-0005-0000-0000-000088120000}"/>
    <cellStyle name="_Column2_Strategic Diagnostic Templates Technik_Excel sheets to support Market Program Template for Budget 09 8" xfId="4754" xr:uid="{00000000-0005-0000-0000-000089120000}"/>
    <cellStyle name="_Column2_Strategic Diagnostic Templates Technik_Excel sheets to support Market Program Template for Budget 09 9" xfId="4755" xr:uid="{00000000-0005-0000-0000-00008A120000}"/>
    <cellStyle name="_Column2_Strategic Diagnostic Templates Technik_Excel sheets to support Market Program Template for Budget 09_Sheet1" xfId="4756" xr:uid="{00000000-0005-0000-0000-00008B120000}"/>
    <cellStyle name="_Column2_Strategic Diagnostic Templates Technik_Excel sheets to support Market Program Template for Budget 09_Sm Proj Cash Flow" xfId="4757" xr:uid="{00000000-0005-0000-0000-00008C120000}"/>
    <cellStyle name="_Column2_Strategic Diagnostic Templates Technik_Excel sheets to support Market Program Template for Budget 09_Spend Detail" xfId="4758" xr:uid="{00000000-0005-0000-0000-00008D120000}"/>
    <cellStyle name="_Column2_Strategic Diagnostic Templates Technik_Excel sheets to support Market Program Template for Budget 09_SustainingProjectList" xfId="4759" xr:uid="{00000000-0005-0000-0000-00008E120000}"/>
    <cellStyle name="_Column2_Strategic Diagnostic Templates Technik_Franz Ist" xfId="4760" xr:uid="{00000000-0005-0000-0000-00008F120000}"/>
    <cellStyle name="_Column2_Strategic Diagnostic Templates Technik_Franz Ist 2" xfId="4761" xr:uid="{00000000-0005-0000-0000-000090120000}"/>
    <cellStyle name="_Column2_Strategic Diagnostic Templates Technik_Franz Ist_Sheet1" xfId="4762" xr:uid="{00000000-0005-0000-0000-000091120000}"/>
    <cellStyle name="_Column2_Strategic Diagnostic Templates Technik_Franz Ist_Sm Proj Cash Flow" xfId="4763" xr:uid="{00000000-0005-0000-0000-000092120000}"/>
    <cellStyle name="_Column2_Strategic Diagnostic Templates Technik_Franz Ist_Spend Detail" xfId="4764" xr:uid="{00000000-0005-0000-0000-000093120000}"/>
    <cellStyle name="_Column2_Strategic Diagnostic Templates Technik_Franz Ist_SustainingProjectList" xfId="4765" xr:uid="{00000000-0005-0000-0000-000094120000}"/>
    <cellStyle name="_Column2_Strategic Diagnostic Templates Technik_Free Worksheet" xfId="4766" xr:uid="{00000000-0005-0000-0000-000095120000}"/>
    <cellStyle name="_Column2_Strategic Diagnostic Templates Technik_GH Budget 2007 volumes per month-SKU-Cost Center" xfId="4767" xr:uid="{00000000-0005-0000-0000-000096120000}"/>
    <cellStyle name="_Column2_Strategic Diagnostic Templates Technik_HC_Ev.Total Bgt'05 vs.Bgt'04" xfId="4768" xr:uid="{00000000-0005-0000-0000-000097120000}"/>
    <cellStyle name="_Column2_Strategic Diagnostic Templates Technik_Ist 05" xfId="4769" xr:uid="{00000000-0005-0000-0000-000098120000}"/>
    <cellStyle name="_Column2_Strategic Diagnostic Templates Technik_Ist 05 2" xfId="4770" xr:uid="{00000000-0005-0000-0000-000099120000}"/>
    <cellStyle name="_Column2_Strategic Diagnostic Templates Technik_Ist 05_Sheet1" xfId="4771" xr:uid="{00000000-0005-0000-0000-00009A120000}"/>
    <cellStyle name="_Column2_Strategic Diagnostic Templates Technik_Ist 05_Sm Proj Cash Flow" xfId="4772" xr:uid="{00000000-0005-0000-0000-00009B120000}"/>
    <cellStyle name="_Column2_Strategic Diagnostic Templates Technik_Ist 05_Spend Detail" xfId="4773" xr:uid="{00000000-0005-0000-0000-00009C120000}"/>
    <cellStyle name="_Column2_Strategic Diagnostic Templates Technik_Ist 05_SustainingProjectList" xfId="4774" xr:uid="{00000000-0005-0000-0000-00009D120000}"/>
    <cellStyle name="_Column2_Strategic Diagnostic Templates Technik_Ist 06" xfId="4775" xr:uid="{00000000-0005-0000-0000-00009E120000}"/>
    <cellStyle name="_Column2_Strategic Diagnostic Templates Technik_Ist 06 2" xfId="4776" xr:uid="{00000000-0005-0000-0000-00009F120000}"/>
    <cellStyle name="_Column2_Strategic Diagnostic Templates Technik_Ist 06_Sheet1" xfId="4777" xr:uid="{00000000-0005-0000-0000-0000A0120000}"/>
    <cellStyle name="_Column2_Strategic Diagnostic Templates Technik_Ist 06_Sm Proj Cash Flow" xfId="4778" xr:uid="{00000000-0005-0000-0000-0000A1120000}"/>
    <cellStyle name="_Column2_Strategic Diagnostic Templates Technik_Ist 06_Spend Detail" xfId="4779" xr:uid="{00000000-0005-0000-0000-0000A2120000}"/>
    <cellStyle name="_Column2_Strategic Diagnostic Templates Technik_Ist 06_SustainingProjectList" xfId="4780" xr:uid="{00000000-0005-0000-0000-0000A3120000}"/>
    <cellStyle name="_Column2_Strategic Diagnostic Templates Technik_Keg Dynamische Bedarfsplanung Budget 2008 2.8.2007" xfId="4781" xr:uid="{00000000-0005-0000-0000-0000A4120000}"/>
    <cellStyle name="_Column2_Strategic Diagnostic Templates Technik_LE Ebitda RD Feb-10 v2" xfId="4782" xr:uid="{00000000-0005-0000-0000-0000A5120000}"/>
    <cellStyle name="_Column2_Strategic Diagnostic Templates Technik_LE Ebitda RD Feb-10 v2 2" xfId="4783" xr:uid="{00000000-0005-0000-0000-0000A6120000}"/>
    <cellStyle name="_Column2_Strategic Diagnostic Templates Technik_LE Ebitda RD Feb-10 v2 2 2" xfId="4784" xr:uid="{00000000-0005-0000-0000-0000A7120000}"/>
    <cellStyle name="_Column2_Strategic Diagnostic Templates Technik_LE Ebitda RD Feb-10 v2 3" xfId="4785" xr:uid="{00000000-0005-0000-0000-0000A8120000}"/>
    <cellStyle name="_Column2_Strategic Diagnostic Templates Technik_LE1 2007" xfId="4786" xr:uid="{00000000-0005-0000-0000-0000A9120000}"/>
    <cellStyle name="_Column2_Strategic Diagnostic Templates Technik_MF Personal 2004 bis 2007" xfId="4787" xr:uid="{00000000-0005-0000-0000-0000AA120000}"/>
    <cellStyle name="_Column2_Strategic Diagnostic Templates Technik_NNT_LE'08_1605vsBGT'09_1713" xfId="4788" xr:uid="{00000000-0005-0000-0000-0000AB120000}"/>
    <cellStyle name="_Column2_Strategic Diagnostic Templates Technik_NNT_LE'08_1605vsBGT'09_1713 2" xfId="4789" xr:uid="{00000000-0005-0000-0000-0000AC120000}"/>
    <cellStyle name="_Column2_Strategic Diagnostic Templates Technik_NNT_LE'08_1605vsBGT'09_1713 3" xfId="4790" xr:uid="{00000000-0005-0000-0000-0000AD120000}"/>
    <cellStyle name="_Column2_Strategic Diagnostic Templates Technik_NNT_LE'08_1605vsBGT'09_1713 3 2" xfId="4791" xr:uid="{00000000-0005-0000-0000-0000AE120000}"/>
    <cellStyle name="_Column2_Strategic Diagnostic Templates Technik_NNT_LE'08_1605vsBGT'09_1713 3 3" xfId="4792" xr:uid="{00000000-0005-0000-0000-0000AF120000}"/>
    <cellStyle name="_Column2_Strategic Diagnostic Templates Technik_NNT_LE'08_1605vsBGT'09_1713 3 3 2" xfId="4793" xr:uid="{00000000-0005-0000-0000-0000B0120000}"/>
    <cellStyle name="_Column2_Strategic Diagnostic Templates Technik_NNT_LE'08_1605vsBGT'09_1713 4" xfId="4794" xr:uid="{00000000-0005-0000-0000-0000B1120000}"/>
    <cellStyle name="_Column2_Strategic Diagnostic Templates Technik_NNT_LE'08_1605vsBGT'09_1713 4 2" xfId="4795" xr:uid="{00000000-0005-0000-0000-0000B2120000}"/>
    <cellStyle name="_Column2_Strategic Diagnostic Templates Technik_People Package" xfId="4796" xr:uid="{00000000-0005-0000-0000-0000B3120000}"/>
    <cellStyle name="_Column2_Strategic Diagnostic Templates Technik_People Package (2)" xfId="4797" xr:uid="{00000000-0005-0000-0000-0000B4120000}"/>
    <cellStyle name="_Column2_Strategic Diagnostic Templates Technik_People Package (2) 2" xfId="4798" xr:uid="{00000000-0005-0000-0000-0000B5120000}"/>
    <cellStyle name="_Column2_Strategic Diagnostic Templates Technik_People Package (2) 2 2" xfId="4799" xr:uid="{00000000-0005-0000-0000-0000B6120000}"/>
    <cellStyle name="_Column2_Strategic Diagnostic Templates Technik_People Package (2) 3" xfId="4800" xr:uid="{00000000-0005-0000-0000-0000B7120000}"/>
    <cellStyle name="_Column2_Strategic Diagnostic Templates Technik_People Package 2" xfId="4801" xr:uid="{00000000-0005-0000-0000-0000B8120000}"/>
    <cellStyle name="_Column2_Strategic Diagnostic Templates Technik_People Package 2 2" xfId="4802" xr:uid="{00000000-0005-0000-0000-0000B9120000}"/>
    <cellStyle name="_Column2_Strategic Diagnostic Templates Technik_People Package 3" xfId="4803" xr:uid="{00000000-0005-0000-0000-0000BA120000}"/>
    <cellStyle name="_Column2_Strategic Diagnostic Templates Technik_People Package 3 2" xfId="4804" xr:uid="{00000000-0005-0000-0000-0000BB120000}"/>
    <cellStyle name="_Column2_Strategic Diagnostic Templates Technik_People Package 4" xfId="4805" xr:uid="{00000000-0005-0000-0000-0000BC120000}"/>
    <cellStyle name="_Column2_Strategic Diagnostic Templates Technik_People Package 5" xfId="4806" xr:uid="{00000000-0005-0000-0000-0000BD120000}"/>
    <cellStyle name="_Column2_Strategic Diagnostic Templates Technik_Prodhier Deutschland" xfId="4807" xr:uid="{00000000-0005-0000-0000-0000BE120000}"/>
    <cellStyle name="_Column2_Strategic Diagnostic Templates Technik_RB&amp;JW_Produktionsplanung_LE1_2006 sortiert" xfId="4808" xr:uid="{00000000-0005-0000-0000-0000BF120000}"/>
    <cellStyle name="_Column2_Strategic Diagnostic Templates Technik_RB&amp;JW_Produktionsplanung_LE1_2006 sortiert 2" xfId="4809" xr:uid="{00000000-0005-0000-0000-0000C0120000}"/>
    <cellStyle name="_Column2_Strategic Diagnostic Templates Technik_RB&amp;JW_Produktionsplanung_LE1_2006 sortiert 2 2" xfId="4810" xr:uid="{00000000-0005-0000-0000-0000C1120000}"/>
    <cellStyle name="_Column2_Strategic Diagnostic Templates Technik_RB&amp;JW_Produktionsplanung_LE1_2006 sortiert_Sheet1" xfId="4811" xr:uid="{00000000-0005-0000-0000-0000C2120000}"/>
    <cellStyle name="_Column2_Strategic Diagnostic Templates Technik_RB&amp;JW_Produktionsplanung_LE1_2006 sortiert_Sheet5" xfId="4812" xr:uid="{00000000-0005-0000-0000-0000C3120000}"/>
    <cellStyle name="_Column2_Strategic Diagnostic Templates Technik_RB&amp;JW_Produktionsplanung_LE1_2006 sortiert_Sm Proj Cash Flow" xfId="4813" xr:uid="{00000000-0005-0000-0000-0000C4120000}"/>
    <cellStyle name="_Column2_Strategic Diagnostic Templates Technik_RB&amp;JW_Produktionsplanung_LE1_2006 sortiert_Spend Detail" xfId="4814" xr:uid="{00000000-0005-0000-0000-0000C5120000}"/>
    <cellStyle name="_Column2_Strategic Diagnostic Templates Technik_RB&amp;JW_Produktionsplanung_LE1_2006 sortiert_SustainingProjectList" xfId="4815" xr:uid="{00000000-0005-0000-0000-0000C6120000}"/>
    <cellStyle name="_Column2_Strategic Diagnostic Templates Technik_Sales and Marketing - revised" xfId="4816" xr:uid="{00000000-0005-0000-0000-0000C7120000}"/>
    <cellStyle name="_Column2_Strategic Diagnostic Templates Technik_Sales and Marketing - revised 2" xfId="4817" xr:uid="{00000000-0005-0000-0000-0000C8120000}"/>
    <cellStyle name="_Column2_Strategic Diagnostic Templates Technik_Sales and Marketing - revised 2 2" xfId="4818" xr:uid="{00000000-0005-0000-0000-0000C9120000}"/>
    <cellStyle name="_Column2_Strategic Diagnostic Templates Technik_Sales and Marketing - revised 3" xfId="4819" xr:uid="{00000000-0005-0000-0000-0000CA120000}"/>
    <cellStyle name="_Column2_Strategic Diagnostic Templates Technik_Sim Ebitda LE 0909 v4" xfId="4820" xr:uid="{00000000-0005-0000-0000-0000CB120000}"/>
    <cellStyle name="_Column2_Strategic Diagnostic Templates Technik_Sim Ebitda LE 0909 v4 2" xfId="4821" xr:uid="{00000000-0005-0000-0000-0000CC120000}"/>
    <cellStyle name="_Column2_Strategic Diagnostic Templates Technik_Sim Ebitda LE 0909 v4 2 2" xfId="4822" xr:uid="{00000000-0005-0000-0000-0000CD120000}"/>
    <cellStyle name="_Column2_Strategic Diagnostic Templates Technik_Sim Ebitda LE 0909 v4 3" xfId="4823" xr:uid="{00000000-0005-0000-0000-0000CE120000}"/>
    <cellStyle name="_Column2_Strategic Diagnostic Templates Technik_SKU Volumen" xfId="4824" xr:uid="{00000000-0005-0000-0000-0000CF120000}"/>
    <cellStyle name="_Column2_Strategic Diagnostic Templates Technik_SKU Volumen 2" xfId="4825" xr:uid="{00000000-0005-0000-0000-0000D0120000}"/>
    <cellStyle name="_Column2_Strategic Diagnostic Templates Technik_SKU Volumen_Sheet1" xfId="4826" xr:uid="{00000000-0005-0000-0000-0000D1120000}"/>
    <cellStyle name="_Column2_Strategic Diagnostic Templates Technik_SKU Volumen_Sm Proj Cash Flow" xfId="4827" xr:uid="{00000000-0005-0000-0000-0000D2120000}"/>
    <cellStyle name="_Column2_Strategic Diagnostic Templates Technik_SKU Volumen_Spend Detail" xfId="4828" xr:uid="{00000000-0005-0000-0000-0000D3120000}"/>
    <cellStyle name="_Column2_Strategic Diagnostic Templates Technik_SKU Volumen_SustainingProjectList" xfId="4829" xr:uid="{00000000-0005-0000-0000-0000D4120000}"/>
    <cellStyle name="_Column2_Strategic Diagnostic Templates Technik_Slide for initiatives (2)" xfId="4830" xr:uid="{00000000-0005-0000-0000-0000D5120000}"/>
    <cellStyle name="_Column2_Strategic Diagnostic Templates Technik_Slide for initiatives (2) 2" xfId="4831" xr:uid="{00000000-0005-0000-0000-0000D6120000}"/>
    <cellStyle name="_Column2_Strategic Diagnostic Templates Technik_Slide for initiatives (2) 3" xfId="4832" xr:uid="{00000000-0005-0000-0000-0000D7120000}"/>
    <cellStyle name="_Column2_Strategic Diagnostic Templates Technik_Slide for initiatives (2) 3 2" xfId="4833" xr:uid="{00000000-0005-0000-0000-0000D8120000}"/>
    <cellStyle name="_Column2_Strategic Diagnostic Templates Technik_Slide for initiatives (2) 3 3" xfId="4834" xr:uid="{00000000-0005-0000-0000-0000D9120000}"/>
    <cellStyle name="_Column2_Strategic Diagnostic Templates Technik_Slide for initiatives (2) 3 3 2" xfId="4835" xr:uid="{00000000-0005-0000-0000-0000DA120000}"/>
    <cellStyle name="_Column2_Strategic Diagnostic Templates Technik_Slide for initiatives (2) 4" xfId="4836" xr:uid="{00000000-0005-0000-0000-0000DB120000}"/>
    <cellStyle name="_Column2_Strategic Diagnostic Templates Technik_Slide for initiatives (2) 4 2" xfId="4837" xr:uid="{00000000-0005-0000-0000-0000DC120000}"/>
    <cellStyle name="_Column2_Strategic Diagnostic Templates Technik_Tabelle1" xfId="4838" xr:uid="{00000000-0005-0000-0000-0000DD120000}"/>
    <cellStyle name="_Column2_Strategic Diagnostic Templates Technik_Tabelle1 2" xfId="4839" xr:uid="{00000000-0005-0000-0000-0000DE120000}"/>
    <cellStyle name="_Column2_Strategic Diagnostic Templates Technik_Tabelle1_Sheet1" xfId="4840" xr:uid="{00000000-0005-0000-0000-0000DF120000}"/>
    <cellStyle name="_Column2_Strategic Diagnostic Templates Technik_Tabelle1_Sm Proj Cash Flow" xfId="4841" xr:uid="{00000000-0005-0000-0000-0000E0120000}"/>
    <cellStyle name="_Column2_Strategic Diagnostic Templates Technik_Tabelle1_Spend Detail" xfId="4842" xr:uid="{00000000-0005-0000-0000-0000E1120000}"/>
    <cellStyle name="_Column2_Strategic Diagnostic Templates Technik_Tabelle1_SustainingProjectList" xfId="4843" xr:uid="{00000000-0005-0000-0000-0000E2120000}"/>
    <cellStyle name="_Column2_Strategic Diagnostic Templates Technik_Tabelle2" xfId="4844" xr:uid="{00000000-0005-0000-0000-0000E3120000}"/>
    <cellStyle name="_Column2_Strategic Diagnostic Templates Technik_Tabelle2 2" xfId="4845" xr:uid="{00000000-0005-0000-0000-0000E4120000}"/>
    <cellStyle name="_Column2_Strategic Diagnostic Templates Technik_Tabelle2_Sheet1" xfId="4846" xr:uid="{00000000-0005-0000-0000-0000E5120000}"/>
    <cellStyle name="_Column2_Strategic Diagnostic Templates Technik_Tabelle2_Sm Proj Cash Flow" xfId="4847" xr:uid="{00000000-0005-0000-0000-0000E6120000}"/>
    <cellStyle name="_Column2_Strategic Diagnostic Templates Technik_Tabelle2_Spend Detail" xfId="4848" xr:uid="{00000000-0005-0000-0000-0000E7120000}"/>
    <cellStyle name="_Column2_Strategic Diagnostic Templates Technik_Tabelle2_SustainingProjectList" xfId="4849" xr:uid="{00000000-0005-0000-0000-0000E8120000}"/>
    <cellStyle name="_Column2_Strategic Diagnostic Templates Technik_Tabelle3" xfId="4850" xr:uid="{00000000-0005-0000-0000-0000E9120000}"/>
    <cellStyle name="_Column2_Strategic Diagnostic Templates Technik_Tabelle3_1" xfId="4851" xr:uid="{00000000-0005-0000-0000-0000EA120000}"/>
    <cellStyle name="_Column2_Strategic Diagnostic Templates Technik_Tabelle3_1 2" xfId="4852" xr:uid="{00000000-0005-0000-0000-0000EB120000}"/>
    <cellStyle name="_Column2_Strategic Diagnostic Templates Technik_Tabelle3_1_Sheet1" xfId="4853" xr:uid="{00000000-0005-0000-0000-0000EC120000}"/>
    <cellStyle name="_Column2_Strategic Diagnostic Templates Technik_Tabelle3_1_Sm Proj Cash Flow" xfId="4854" xr:uid="{00000000-0005-0000-0000-0000ED120000}"/>
    <cellStyle name="_Column2_Strategic Diagnostic Templates Technik_Tabelle3_1_Spend Detail" xfId="4855" xr:uid="{00000000-0005-0000-0000-0000EE120000}"/>
    <cellStyle name="_Column2_Strategic Diagnostic Templates Technik_Tabelle3_1_SustainingProjectList" xfId="4856" xr:uid="{00000000-0005-0000-0000-0000EF120000}"/>
    <cellStyle name="_Column2_Strategic Diagnostic Templates Technik_Template Capex budget 2010 Supply WE" xfId="4857" xr:uid="{00000000-0005-0000-0000-0000F0120000}"/>
    <cellStyle name="_Column2_Strategic Diagnostic Templates Technik_Template Capex budget 2010 Supply WE 2" xfId="4858" xr:uid="{00000000-0005-0000-0000-0000F1120000}"/>
    <cellStyle name="_Column2_Strategic Diagnostic Templates Technik_Werte 33cl" xfId="4859" xr:uid="{00000000-0005-0000-0000-0000F2120000}"/>
    <cellStyle name="_Column2_Strategic Diagnostic Templates Technik_WF Ebitda RD Abr-10" xfId="4860" xr:uid="{00000000-0005-0000-0000-0000F3120000}"/>
    <cellStyle name="_Column2_Strategic Diagnostic Templates Technik_WF Ebitda RD Abr-10 2" xfId="4861" xr:uid="{00000000-0005-0000-0000-0000F4120000}"/>
    <cellStyle name="_Column2_Strategic Diagnostic Templates Technik_WF Ebitda RD Abr-10 2 2" xfId="4862" xr:uid="{00000000-0005-0000-0000-0000F5120000}"/>
    <cellStyle name="_Column2_Strategic Diagnostic Templates Technik_WF Ebitda RD Abr-10 3" xfId="4863" xr:uid="{00000000-0005-0000-0000-0000F6120000}"/>
    <cellStyle name="_Column2_Strategic Diagnostic Templates Technik_WF Ebitda Sep09" xfId="4864" xr:uid="{00000000-0005-0000-0000-0000F7120000}"/>
    <cellStyle name="_Column2_Strategic Diagnostic Templates Technik_WF Ebitda Sep09 2" xfId="4865" xr:uid="{00000000-0005-0000-0000-0000F8120000}"/>
    <cellStyle name="_Column2_Strategic Diagnostic Templates Technik_WF Ebitda Sep09 2 2" xfId="4866" xr:uid="{00000000-0005-0000-0000-0000F9120000}"/>
    <cellStyle name="_Column2_Strategic Diagnostic Templates Technik_WF Ebitda Sep09 3" xfId="4867" xr:uid="{00000000-0005-0000-0000-0000FA120000}"/>
    <cellStyle name="_Column2_Strategic Diagnostic Templates Technik_ZBB" xfId="4868" xr:uid="{00000000-0005-0000-0000-0000FB120000}"/>
    <cellStyle name="_Column2_Strategic Diagnostic Templates Technik_ZBB 2" xfId="4869" xr:uid="{00000000-0005-0000-0000-0000FC120000}"/>
    <cellStyle name="_Column2_Strategic Diagnostic Templates Technik_ZBB 2 2" xfId="4870" xr:uid="{00000000-0005-0000-0000-0000FD120000}"/>
    <cellStyle name="_Column2_Strategic Diagnostic Templates Technik_ZBB 3" xfId="4871" xr:uid="{00000000-0005-0000-0000-0000FE120000}"/>
    <cellStyle name="_Column2_Tabelle1" xfId="4872" xr:uid="{00000000-0005-0000-0000-0000FF120000}"/>
    <cellStyle name="_Column2_Tabelle1 2" xfId="4873" xr:uid="{00000000-0005-0000-0000-000000130000}"/>
    <cellStyle name="_Column2_Tabelle1 2 2" xfId="4874" xr:uid="{00000000-0005-0000-0000-000001130000}"/>
    <cellStyle name="_Column2_Tabelle1 3" xfId="4875" xr:uid="{00000000-0005-0000-0000-000002130000}"/>
    <cellStyle name="_Column2_Tabelle1_1" xfId="4876" xr:uid="{00000000-0005-0000-0000-000003130000}"/>
    <cellStyle name="_Column2_Tabelle1_1_Absatz Ist je Artikel &amp; Woche V1" xfId="4877" xr:uid="{00000000-0005-0000-0000-000004130000}"/>
    <cellStyle name="_Column2_Tabelle1_1_Absatz Ist je Artikel &amp; Woche V1 2" xfId="4878" xr:uid="{00000000-0005-0000-0000-000005130000}"/>
    <cellStyle name="_Column2_Tabelle1_1_Absatz Ist je Artikel &amp; Woche V1_Sheet1" xfId="4879" xr:uid="{00000000-0005-0000-0000-000006130000}"/>
    <cellStyle name="_Column2_Tabelle1_1_Absatz Ist je Artikel &amp; Woche V1_Sm Proj Cash Flow" xfId="4880" xr:uid="{00000000-0005-0000-0000-000007130000}"/>
    <cellStyle name="_Column2_Tabelle1_1_Absatz Ist je Artikel &amp; Woche V1_Spend Detail" xfId="4881" xr:uid="{00000000-0005-0000-0000-000008130000}"/>
    <cellStyle name="_Column2_Tabelle1_1_Absatz Ist je Artikel &amp; Woche V1_SustainingProjectList" xfId="4882" xr:uid="{00000000-0005-0000-0000-000009130000}"/>
    <cellStyle name="_Column2_Tabelle1_1_details" xfId="4883" xr:uid="{00000000-0005-0000-0000-00000A130000}"/>
    <cellStyle name="_Column2_Tabelle1_1_Keg Dynamische Bedarfsplanung Budget 2008 2.8.2007" xfId="4884" xr:uid="{00000000-0005-0000-0000-00000B130000}"/>
    <cellStyle name="_Column2_Tabelle1_1_Tabelle2" xfId="4885" xr:uid="{00000000-0005-0000-0000-00000C130000}"/>
    <cellStyle name="_Column2_Tabelle1_1_Tabelle2 2" xfId="4886" xr:uid="{00000000-0005-0000-0000-00000D130000}"/>
    <cellStyle name="_Column2_Tabelle1_1_Tabelle2_Sheet1" xfId="4887" xr:uid="{00000000-0005-0000-0000-00000E130000}"/>
    <cellStyle name="_Column2_Tabelle1_1_Tabelle2_Sm Proj Cash Flow" xfId="4888" xr:uid="{00000000-0005-0000-0000-00000F130000}"/>
    <cellStyle name="_Column2_Tabelle1_1_Tabelle2_Spend Detail" xfId="4889" xr:uid="{00000000-0005-0000-0000-000010130000}"/>
    <cellStyle name="_Column2_Tabelle1_1_Tabelle2_SustainingProjectList" xfId="4890" xr:uid="{00000000-0005-0000-0000-000011130000}"/>
    <cellStyle name="_Column2_Tabelle1_1_Tabelle3" xfId="4891" xr:uid="{00000000-0005-0000-0000-000012130000}"/>
    <cellStyle name="_Column2_Tabelle1_1_Tabelle3 2" xfId="4892" xr:uid="{00000000-0005-0000-0000-000013130000}"/>
    <cellStyle name="_Column2_Tabelle1_1_Tabelle3_Sheet1" xfId="4893" xr:uid="{00000000-0005-0000-0000-000014130000}"/>
    <cellStyle name="_Column2_Tabelle1_1_Tabelle3_Sm Proj Cash Flow" xfId="4894" xr:uid="{00000000-0005-0000-0000-000015130000}"/>
    <cellStyle name="_Column2_Tabelle1_1_Tabelle3_Spend Detail" xfId="4895" xr:uid="{00000000-0005-0000-0000-000016130000}"/>
    <cellStyle name="_Column2_Tabelle1_1_Tabelle3_SustainingProjectList" xfId="4896" xr:uid="{00000000-0005-0000-0000-000017130000}"/>
    <cellStyle name="_Column2_Tabelle1_1_Template Capex budget 2010 Supply WE" xfId="4897" xr:uid="{00000000-0005-0000-0000-000018130000}"/>
    <cellStyle name="_Column2_Tabelle1_1_Template Capex budget 2010 Supply WE 2" xfId="4898" xr:uid="{00000000-0005-0000-0000-000019130000}"/>
    <cellStyle name="_Column2_Tabelle1_Absatz Ist je Artikel &amp; Woche V1" xfId="4899" xr:uid="{00000000-0005-0000-0000-00001A130000}"/>
    <cellStyle name="_Column2_Tabelle1_Rüstzeit" xfId="4900" xr:uid="{00000000-0005-0000-0000-00001B130000}"/>
    <cellStyle name="_Column2_Tabelle1_Sheet1" xfId="4901" xr:uid="{00000000-0005-0000-0000-00001C130000}"/>
    <cellStyle name="_Column2_Tabelle1_Sm Proj Cash Flow" xfId="4902" xr:uid="{00000000-0005-0000-0000-00001D130000}"/>
    <cellStyle name="_Column2_Tabelle1_Spend Detail" xfId="4903" xr:uid="{00000000-0005-0000-0000-00001E130000}"/>
    <cellStyle name="_Column2_Tabelle1_SustainingProjectList" xfId="4904" xr:uid="{00000000-0005-0000-0000-00001F130000}"/>
    <cellStyle name="_Column2_Tabelle1_Volumen 05&amp;06&amp;07" xfId="4905" xr:uid="{00000000-0005-0000-0000-000020130000}"/>
    <cellStyle name="_Column2_Tabelle11" xfId="4906" xr:uid="{00000000-0005-0000-0000-000021130000}"/>
    <cellStyle name="_Column2_Tabelle2" xfId="4907" xr:uid="{00000000-0005-0000-0000-000022130000}"/>
    <cellStyle name="_Column2_Tabelle3" xfId="4908" xr:uid="{00000000-0005-0000-0000-000023130000}"/>
    <cellStyle name="_Column2_Tax IT0192 0609" xfId="4909" xr:uid="{00000000-0005-0000-0000-000024130000}"/>
    <cellStyle name="_Column2_Template Capex budget 2010 Supply WE" xfId="4910" xr:uid="{00000000-0005-0000-0000-000025130000}"/>
    <cellStyle name="_Column2_Template for processing cognos corrections  (2)" xfId="4911" xr:uid="{00000000-0005-0000-0000-000026130000}"/>
    <cellStyle name="_Column2_TP BE_Ad-hoc" xfId="4912" xr:uid="{00000000-0005-0000-0000-000027130000}"/>
    <cellStyle name="_Column2_TP database" xfId="4913" xr:uid="{00000000-0005-0000-0000-000028130000}"/>
    <cellStyle name="_Column2_TP database vers 26.3.07" xfId="4914" xr:uid="{00000000-0005-0000-0000-000029130000}"/>
    <cellStyle name="_Column2_TP_IC_2013" xfId="4915" xr:uid="{00000000-0005-0000-0000-00002A130000}"/>
    <cellStyle name="_Column2_TP_Stella" xfId="4916" xr:uid="{00000000-0005-0000-0000-00002B130000}"/>
    <cellStyle name="_Column2_TPneu" xfId="4917" xr:uid="{00000000-0005-0000-0000-00002C130000}"/>
    <cellStyle name="_Column2_TS_dimension split Italy 1206" xfId="4918" xr:uid="{00000000-0005-0000-0000-00002D130000}"/>
    <cellStyle name="_Column2_VIC Personalkosten Filling Bremen" xfId="4919" xr:uid="{00000000-0005-0000-0000-00002E130000}"/>
    <cellStyle name="_Column2_VIC+VPLC On" xfId="4920" xr:uid="{00000000-0005-0000-0000-00002F130000}"/>
    <cellStyle name="_Column2_Vol Innovations 1st sub" xfId="4921" xr:uid="{00000000-0005-0000-0000-000030130000}"/>
    <cellStyle name="_Column2_Vol mkt" xfId="4922" xr:uid="{00000000-0005-0000-0000-000031130000}"/>
    <cellStyle name="_Column2_Vol x SKU e x package" xfId="4923" xr:uid="{00000000-0005-0000-0000-000032130000}"/>
    <cellStyle name="_Column2_Vol_Innovations 1st Sub." xfId="4924" xr:uid="{00000000-0005-0000-0000-000033130000}"/>
    <cellStyle name="_Column2_Volumen 05&amp;06&amp;07" xfId="4925" xr:uid="{00000000-0005-0000-0000-000034130000}"/>
    <cellStyle name="_Column2_Volumes" xfId="4926" xr:uid="{00000000-0005-0000-0000-000035130000}"/>
    <cellStyle name="_Column2_Volumes Bremen" xfId="4927" xr:uid="{00000000-0005-0000-0000-000036130000}"/>
    <cellStyle name="_Column2_Volumes Bremen_packaging" xfId="4928" xr:uid="{00000000-0005-0000-0000-000037130000}"/>
    <cellStyle name="_Column2_Volumes March'06" xfId="4929" xr:uid="{00000000-0005-0000-0000-000038130000}"/>
    <cellStyle name="_Column2_Volumes_packaging" xfId="4930" xr:uid="{00000000-0005-0000-0000-000039130000}"/>
    <cellStyle name="_Column2_Volumi" xfId="4931" xr:uid="{00000000-0005-0000-0000-00003A130000}"/>
    <cellStyle name="_Column2_Volumi aprile" xfId="4932" xr:uid="{00000000-0005-0000-0000-00003B130000}"/>
    <cellStyle name="_Column2_Volumi Aug estr da Alea" xfId="4933" xr:uid="{00000000-0005-0000-0000-00003C130000}"/>
    <cellStyle name="_Column2_Volumi August estr da Alea" xfId="4934" xr:uid="{00000000-0005-0000-0000-00003D130000}"/>
    <cellStyle name="_Column2_Volumi BU'07" xfId="4935" xr:uid="{00000000-0005-0000-0000-00003E130000}"/>
    <cellStyle name="_Column2_Volumi BU'07 2" xfId="4936" xr:uid="{00000000-0005-0000-0000-00003F130000}"/>
    <cellStyle name="_Column2_Volumi BU'07 2 2" xfId="4937" xr:uid="{00000000-0005-0000-0000-000040130000}"/>
    <cellStyle name="_Column2_Volumi BU'07 3" xfId="4938" xr:uid="{00000000-0005-0000-0000-000041130000}"/>
    <cellStyle name="_Column2_Volumi Budget'07 Alea" xfId="4939" xr:uid="{00000000-0005-0000-0000-000042130000}"/>
    <cellStyle name="_Column2_Volumi estr 30.6.06" xfId="4940" xr:uid="{00000000-0005-0000-0000-000043130000}"/>
    <cellStyle name="_Column2_Volumi July estr da Alea" xfId="4941" xr:uid="{00000000-0005-0000-0000-000044130000}"/>
    <cellStyle name="_Column2_Volumi July estr da Alea_1" xfId="4942" xr:uid="{00000000-0005-0000-0000-000045130000}"/>
    <cellStyle name="_Column2_Volumi LE1 sku - brand - package" xfId="4943" xr:uid="{00000000-0005-0000-0000-000046130000}"/>
    <cellStyle name="_Column2_Volumi Marzo (2)" xfId="4944" xr:uid="{00000000-0005-0000-0000-000047130000}"/>
    <cellStyle name="_Column2_Volumi May estr da Alea" xfId="4945" xr:uid="{00000000-0005-0000-0000-000048130000}"/>
    <cellStyle name="_Column2_Volumi October estr da Alea" xfId="4946" xr:uid="{00000000-0005-0000-0000-000049130000}"/>
    <cellStyle name="_Column2_Volumi September estr da Alea" xfId="4947" xr:uid="{00000000-0005-0000-0000-00004A130000}"/>
    <cellStyle name="_Column2_Volumi YTD March x BU 2007 fl" xfId="4948" xr:uid="{00000000-0005-0000-0000-00004B130000}"/>
    <cellStyle name="_Column2_VP Supply Approval" xfId="4949" xr:uid="{00000000-0005-0000-0000-00004C130000}"/>
    <cellStyle name="_Column2_VP Supply Approval_RFFS SUBMISSION TO VPs" xfId="4950" xr:uid="{00000000-0005-0000-0000-00004D130000}"/>
    <cellStyle name="_Column2_VP Supply Approval_RFFS_SUBMISSION_TO_VPs _v2" xfId="4951" xr:uid="{00000000-0005-0000-0000-00004E130000}"/>
    <cellStyle name="_Column2_VPLC" xfId="4952" xr:uid="{00000000-0005-0000-0000-00004F130000}"/>
    <cellStyle name="_Column2_WE_B07_Scope_changes_070507" xfId="4953" xr:uid="{00000000-0005-0000-0000-000050130000}"/>
    <cellStyle name="_Column2_WE_B07_Scope_changes_090507" xfId="4954" xr:uid="{00000000-0005-0000-0000-000051130000}"/>
    <cellStyle name="_Column2_WE_B07_Scope_changes_100407" xfId="4955" xr:uid="{00000000-0005-0000-0000-000052130000}"/>
    <cellStyle name="_Column2_WE_B07_Scope_changes_200307" xfId="4956" xr:uid="{00000000-0005-0000-0000-000053130000}"/>
    <cellStyle name="_Column2_WE_B07_Scope_changes_300307" xfId="4957" xr:uid="{00000000-0005-0000-0000-000054130000}"/>
    <cellStyle name="_Column2_WE_BusinessUpdate Jan 2007" xfId="4958" xr:uid="{00000000-0005-0000-0000-000055130000}"/>
    <cellStyle name="_Column2_WE_BusinessUpdate2007_support" xfId="4959" xr:uid="{00000000-0005-0000-0000-000056130000}"/>
    <cellStyle name="_Column2_WE_TargetBook2006__final050307(BG)" xfId="4960" xr:uid="{00000000-0005-0000-0000-000057130000}"/>
    <cellStyle name="_Column2_YTD Off-Trade giugno" xfId="4961" xr:uid="{00000000-0005-0000-0000-000058130000}"/>
    <cellStyle name="_Column2_YTD Off-Trade maggio" xfId="4962" xr:uid="{00000000-0005-0000-0000-000059130000}"/>
    <cellStyle name="_Column2_ZBB 2007 estr Alea" xfId="4963" xr:uid="{00000000-0005-0000-0000-00005A130000}"/>
    <cellStyle name="_Column2_ZBB Budget 2009 Decks" xfId="4964" xr:uid="{00000000-0005-0000-0000-00005B130000}"/>
    <cellStyle name="_Column2_ZBB Budget 2009 Decks 2" xfId="4965" xr:uid="{00000000-0005-0000-0000-00005C130000}"/>
    <cellStyle name="_Column2_ZBB Budget 2009 Decks 2 2" xfId="4966" xr:uid="{00000000-0005-0000-0000-00005D130000}"/>
    <cellStyle name="_Column2_ZBB Budget 2009 Decks 3" xfId="4967" xr:uid="{00000000-0005-0000-0000-00005E130000}"/>
    <cellStyle name="_Column2_ZBB Budget 2009 Decks_with Korea Scope in (Only LE)" xfId="4968" xr:uid="{00000000-0005-0000-0000-00005F130000}"/>
    <cellStyle name="_Column2_ZBB Budget 2009 Decks_with Korea Scope in (Only LE) (2)" xfId="4969" xr:uid="{00000000-0005-0000-0000-000060130000}"/>
    <cellStyle name="_Column2_ZBB Budget 2009 Decks_with Korea Scope in (Only LE) (2) 2" xfId="4970" xr:uid="{00000000-0005-0000-0000-000061130000}"/>
    <cellStyle name="_Column2_ZBB Budget 2009 Decks_with Korea Scope in (Only LE) (2) 2 2" xfId="4971" xr:uid="{00000000-0005-0000-0000-000062130000}"/>
    <cellStyle name="_Column2_ZBB Budget 2009 Decks_with Korea Scope in (Only LE) (2) 3" xfId="4972" xr:uid="{00000000-0005-0000-0000-000063130000}"/>
    <cellStyle name="_Column2_ZBB Budget 2009 Decks_with Korea Scope in (Only LE) 2" xfId="4973" xr:uid="{00000000-0005-0000-0000-000064130000}"/>
    <cellStyle name="_Column2_ZBB Budget 2009 Decks_with Korea Scope in (Only LE) 2 2" xfId="4974" xr:uid="{00000000-0005-0000-0000-000065130000}"/>
    <cellStyle name="_Column2_ZBB Budget 2009 Decks_with Korea Scope in (Only LE) 3" xfId="4975" xr:uid="{00000000-0005-0000-0000-000066130000}"/>
    <cellStyle name="_Column2_ZBB Budget 2009 Decks_with Korea Scope in (Only LE) 3 2" xfId="4976" xr:uid="{00000000-0005-0000-0000-000067130000}"/>
    <cellStyle name="_Column2_ZBB Budget 2009 Decks_with Korea Scope in (Only LE) 4" xfId="4977" xr:uid="{00000000-0005-0000-0000-000068130000}"/>
    <cellStyle name="_Column2_ZBB Budget 2009 Decks_with Korea Scope in (Only LE) 5" xfId="4978" xr:uid="{00000000-0005-0000-0000-000069130000}"/>
    <cellStyle name="_Column2_ZBB cost analysis B08 fin1" xfId="4979" xr:uid="{00000000-0005-0000-0000-00006A130000}"/>
    <cellStyle name="_Column2_ZBB Germania" xfId="4980" xr:uid="{00000000-0005-0000-0000-00006B130000}"/>
    <cellStyle name="_Column2_ZBB Risk and oportunities SD Julyok" xfId="4981" xr:uid="{00000000-0005-0000-0000-00006C130000}"/>
    <cellStyle name="_Column2_ZBB x pack" xfId="4982" xr:uid="{00000000-0005-0000-0000-00006D130000}"/>
    <cellStyle name="_Column2_ZBB x pack - dett Mkting" xfId="4983" xr:uid="{00000000-0005-0000-0000-00006E130000}"/>
    <cellStyle name="_Column2_ZBB x pack - dett Sales" xfId="4984" xr:uid="{00000000-0005-0000-0000-00006F130000}"/>
    <cellStyle name="_Column2_ZBB x pack Germania" xfId="4985" xr:uid="{00000000-0005-0000-0000-000070130000}"/>
    <cellStyle name="_Column2_ZBB_LE2+B08_V1" xfId="4986" xr:uid="{00000000-0005-0000-0000-000071130000}"/>
    <cellStyle name="_Column2_Zusammenfassung Wert" xfId="4987" xr:uid="{00000000-0005-0000-0000-000072130000}"/>
    <cellStyle name="_Column3" xfId="4988" xr:uid="{00000000-0005-0000-0000-000073130000}"/>
    <cellStyle name="_Column3 2" xfId="4989" xr:uid="{00000000-0005-0000-0000-000074130000}"/>
    <cellStyle name="_Column3 2 2" xfId="4990" xr:uid="{00000000-0005-0000-0000-000075130000}"/>
    <cellStyle name="_Column3 2 2 2" xfId="4991" xr:uid="{00000000-0005-0000-0000-000076130000}"/>
    <cellStyle name="_Column3 2 3" xfId="4992" xr:uid="{00000000-0005-0000-0000-000077130000}"/>
    <cellStyle name="_Column3 3" xfId="4993" xr:uid="{00000000-0005-0000-0000-000078130000}"/>
    <cellStyle name="_Column3 3 2" xfId="4994" xr:uid="{00000000-0005-0000-0000-000079130000}"/>
    <cellStyle name="_Column3 4" xfId="4995" xr:uid="{00000000-0005-0000-0000-00007A130000}"/>
    <cellStyle name="_Column3_010808 Market Programs  for Budget Deck" xfId="4996" xr:uid="{00000000-0005-0000-0000-00007B130000}"/>
    <cellStyle name="_Column3_010808 Market Programs  for Budget Deck 2" xfId="4997" xr:uid="{00000000-0005-0000-0000-00007C130000}"/>
    <cellStyle name="_Column3_010808 Market Programs  for Budget Deck 2 2" xfId="4998" xr:uid="{00000000-0005-0000-0000-00007D130000}"/>
    <cellStyle name="_Column3_010808 Market Programs  for Budget Deck 3" xfId="4999" xr:uid="{00000000-0005-0000-0000-00007E130000}"/>
    <cellStyle name="_Column3_080813 Germany-High&amp;Low" xfId="5000" xr:uid="{00000000-0005-0000-0000-00007F130000}"/>
    <cellStyle name="_Column3_080813 Germany-Lidl" xfId="5001" xr:uid="{00000000-0005-0000-0000-000080130000}"/>
    <cellStyle name="_Column3_1_INPUT" xfId="5002" xr:uid="{00000000-0005-0000-0000-000081130000}"/>
    <cellStyle name="_Column3_1_INPUT_TP_No Tank Resales" xfId="5003" xr:uid="{00000000-0005-0000-0000-000082130000}"/>
    <cellStyle name="_Column3_2pk SP 2008" xfId="5004" xr:uid="{00000000-0005-0000-0000-000083130000}"/>
    <cellStyle name="_Column3_AB" xfId="5005" xr:uid="{00000000-0005-0000-0000-000084130000}"/>
    <cellStyle name="_Column3_Abfüllmenge &amp; Anstellwürze Bremen Budget 2006 V1.1" xfId="5006" xr:uid="{00000000-0005-0000-0000-000085130000}"/>
    <cellStyle name="_Column3_Abfüllmenge &amp; Anstellwürze Issum Budget 2006 V1.1" xfId="5007" xr:uid="{00000000-0005-0000-0000-000086130000}"/>
    <cellStyle name="_Column3_Absatz Ist je Artikel &amp; Woche V1" xfId="5008" xr:uid="{00000000-0005-0000-0000-000087130000}"/>
    <cellStyle name="_Column3_Absatz SP2007 pro SKU 30 5 2007 vs 4 6 2007 " xfId="5009" xr:uid="{00000000-0005-0000-0000-000088130000}"/>
    <cellStyle name="_Column3_Abstimmung IDVG Absätze für LE2 2004" xfId="5010" xr:uid="{00000000-0005-0000-0000-000089130000}"/>
    <cellStyle name="_Column3_Abstimmung IDVG Absätze für LE2 2004 2" xfId="5011" xr:uid="{00000000-0005-0000-0000-00008A130000}"/>
    <cellStyle name="_Column3_Abstimmung IDVG Absätze für LE2 2004 2 2" xfId="5012" xr:uid="{00000000-0005-0000-0000-00008B130000}"/>
    <cellStyle name="_Column3_Abstimmung IDVG Absätze für LE2 2004_Basis" xfId="5013" xr:uid="{00000000-0005-0000-0000-00008C130000}"/>
    <cellStyle name="_Column3_Abstimmung IDVG Absätze für LE2 2004_Basis 2" xfId="5014" xr:uid="{00000000-0005-0000-0000-00008D130000}"/>
    <cellStyle name="_Column3_Abstimmung IDVG Absätze für LE2 2004_Basis 2 2" xfId="5015" xr:uid="{00000000-0005-0000-0000-00008E130000}"/>
    <cellStyle name="_Column3_Abstimmung IDVG Absätze für LE2 2004_Basis_Sheet1" xfId="5016" xr:uid="{00000000-0005-0000-0000-00008F130000}"/>
    <cellStyle name="_Column3_Abstimmung IDVG Absätze für LE2 2004_Basis_Sheet5" xfId="5017" xr:uid="{00000000-0005-0000-0000-000090130000}"/>
    <cellStyle name="_Column3_Abstimmung IDVG Absätze für LE2 2004_Basis_Sm Proj Cash Flow" xfId="5018" xr:uid="{00000000-0005-0000-0000-000091130000}"/>
    <cellStyle name="_Column3_Abstimmung IDVG Absätze für LE2 2004_Basis_Spend Detail" xfId="5019" xr:uid="{00000000-0005-0000-0000-000092130000}"/>
    <cellStyle name="_Column3_Abstimmung IDVG Absätze für LE2 2004_Basis_SustainingProjectList" xfId="5020" xr:uid="{00000000-0005-0000-0000-000093130000}"/>
    <cellStyle name="_Column3_Abstimmung IDVG Absätze für LE2 2004_Sheet1" xfId="5021" xr:uid="{00000000-0005-0000-0000-000094130000}"/>
    <cellStyle name="_Column3_Abstimmung IDVG Absätze für LE2 2004_Sheet5" xfId="5022" xr:uid="{00000000-0005-0000-0000-000095130000}"/>
    <cellStyle name="_Column3_Abstimmung IDVG Absätze für LE2 2004_SKU Volumen" xfId="5023" xr:uid="{00000000-0005-0000-0000-000096130000}"/>
    <cellStyle name="_Column3_Abstimmung IDVG Absätze für LE2 2004_SKU Volumen 2" xfId="5024" xr:uid="{00000000-0005-0000-0000-000097130000}"/>
    <cellStyle name="_Column3_Abstimmung IDVG Absätze für LE2 2004_SKU Volumen_Sheet1" xfId="5025" xr:uid="{00000000-0005-0000-0000-000098130000}"/>
    <cellStyle name="_Column3_Abstimmung IDVG Absätze für LE2 2004_SKU Volumen_Sm Proj Cash Flow" xfId="5026" xr:uid="{00000000-0005-0000-0000-000099130000}"/>
    <cellStyle name="_Column3_Abstimmung IDVG Absätze für LE2 2004_SKU Volumen_Spend Detail" xfId="5027" xr:uid="{00000000-0005-0000-0000-00009A130000}"/>
    <cellStyle name="_Column3_Abstimmung IDVG Absätze für LE2 2004_SKU Volumen_SustainingProjectList" xfId="5028" xr:uid="{00000000-0005-0000-0000-00009B130000}"/>
    <cellStyle name="_Column3_Abstimmung IDVG Absätze für LE2 2004_Sm Proj Cash Flow" xfId="5029" xr:uid="{00000000-0005-0000-0000-00009C130000}"/>
    <cellStyle name="_Column3_Abstimmung IDVG Absätze für LE2 2004_Spend Detail" xfId="5030" xr:uid="{00000000-0005-0000-0000-00009D130000}"/>
    <cellStyle name="_Column3_Abstimmung IDVG Absätze für LE2 2004_SustainingProjectList" xfId="5031" xr:uid="{00000000-0005-0000-0000-00009E130000}"/>
    <cellStyle name="_Column3_Abstimmung IDVG Absätze für LE2 2004_Tabelle1" xfId="5032" xr:uid="{00000000-0005-0000-0000-00009F130000}"/>
    <cellStyle name="_Column3_Abstimmung IDVG Absätze für LE2 2004_Tabelle1 2" xfId="5033" xr:uid="{00000000-0005-0000-0000-0000A0130000}"/>
    <cellStyle name="_Column3_Abstimmung IDVG Absätze für LE2 2004_Tabelle1_Sheet1" xfId="5034" xr:uid="{00000000-0005-0000-0000-0000A1130000}"/>
    <cellStyle name="_Column3_Abstimmung IDVG Absätze für LE2 2004_Tabelle1_Sm Proj Cash Flow" xfId="5035" xr:uid="{00000000-0005-0000-0000-0000A2130000}"/>
    <cellStyle name="_Column3_Abstimmung IDVG Absätze für LE2 2004_Tabelle1_Spend Detail" xfId="5036" xr:uid="{00000000-0005-0000-0000-0000A3130000}"/>
    <cellStyle name="_Column3_Abstimmung IDVG Absätze für LE2 2004_Tabelle1_SustainingProjectList" xfId="5037" xr:uid="{00000000-0005-0000-0000-0000A4130000}"/>
    <cellStyle name="_Column3_Acc.to fuori fattura Off-trade Feb 2007 " xfId="5038" xr:uid="{00000000-0005-0000-0000-0000A5130000}"/>
    <cellStyle name="_Column3_Accident frequency" xfId="5039" xr:uid="{00000000-0005-0000-0000-0000A6130000}"/>
    <cellStyle name="_Column3_Ad hoc PL 3YP HRK za COGNOS unos JULY20" xfId="5040" xr:uid="{00000000-0005-0000-0000-0000A7130000}"/>
    <cellStyle name="_Column3_Additional Templates" xfId="5041" xr:uid="{00000000-0005-0000-0000-0000A8130000}"/>
    <cellStyle name="_Column3_Additional Templates (2)" xfId="5042" xr:uid="{00000000-0005-0000-0000-0000A9130000}"/>
    <cellStyle name="_Column3_Additional Templates (3)" xfId="5043" xr:uid="{00000000-0005-0000-0000-0000AA130000}"/>
    <cellStyle name="_Column3_Additional Templates (4)" xfId="5044" xr:uid="{00000000-0005-0000-0000-0000AB130000}"/>
    <cellStyle name="_Column3_Additional Templates (5)" xfId="5045" xr:uid="{00000000-0005-0000-0000-0000AC130000}"/>
    <cellStyle name="_Column3_aggiornato LE2 OFF TRADE 25_08 FL" xfId="5046" xr:uid="{00000000-0005-0000-0000-0000AD130000}"/>
    <cellStyle name="_Column3_AL 05,12,06 VS LE2" xfId="5047" xr:uid="{00000000-0005-0000-0000-0000AE130000}"/>
    <cellStyle name="_Column3_ALEA" xfId="5048" xr:uid="{00000000-0005-0000-0000-0000AF130000}"/>
    <cellStyle name="_Column3_ALEA OFF LE2" xfId="5049" xr:uid="{00000000-0005-0000-0000-0000B0130000}"/>
    <cellStyle name="_Column3_Alea x mkt pack" xfId="5050" xr:uid="{00000000-0005-0000-0000-0000B1130000}"/>
    <cellStyle name="_Column3_Alea x sales pack" xfId="5051" xr:uid="{00000000-0005-0000-0000-0000B2130000}"/>
    <cellStyle name="_Column3_All" xfId="5052" xr:uid="{00000000-0005-0000-0000-0000B3130000}"/>
    <cellStyle name="_Column3_Analisi costo venduto" xfId="5053" xr:uid="{00000000-0005-0000-0000-0000B4130000}"/>
    <cellStyle name="_Column3_Analisi LE2'06 e bdg'07" xfId="5054" xr:uid="{00000000-0005-0000-0000-0000B5130000}"/>
    <cellStyle name="_Column3_Analisi vol ott" xfId="5055" xr:uid="{00000000-0005-0000-0000-0000B6130000}"/>
    <cellStyle name="_Column3_Asset Needs" xfId="5056" xr:uid="{00000000-0005-0000-0000-0000B7130000}"/>
    <cellStyle name="_Column3_BACK UP FIGURES for PRESENTATION LE1" xfId="5057" xr:uid="{00000000-0005-0000-0000-0000B8130000}"/>
    <cellStyle name="_Column3_Basis" xfId="5058" xr:uid="{00000000-0005-0000-0000-0000B9130000}"/>
    <cellStyle name="_Column3_Basis_1" xfId="5059" xr:uid="{00000000-0005-0000-0000-0000BA130000}"/>
    <cellStyle name="_Column3_Basis_1 2" xfId="5060" xr:uid="{00000000-0005-0000-0000-0000BB130000}"/>
    <cellStyle name="_Column3_Basis_1 2 2" xfId="5061" xr:uid="{00000000-0005-0000-0000-0000BC130000}"/>
    <cellStyle name="_Column3_Basis_1_Sheet1" xfId="5062" xr:uid="{00000000-0005-0000-0000-0000BD130000}"/>
    <cellStyle name="_Column3_Basis_1_Sheet5" xfId="5063" xr:uid="{00000000-0005-0000-0000-0000BE130000}"/>
    <cellStyle name="_Column3_Basis_1_Sm Proj Cash Flow" xfId="5064" xr:uid="{00000000-0005-0000-0000-0000BF130000}"/>
    <cellStyle name="_Column3_Basis_1_Spend Detail" xfId="5065" xr:uid="{00000000-0005-0000-0000-0000C0130000}"/>
    <cellStyle name="_Column3_Basis_1_SustainingProjectList" xfId="5066" xr:uid="{00000000-0005-0000-0000-0000C1130000}"/>
    <cellStyle name="_Column3_BB" xfId="5067" xr:uid="{00000000-0005-0000-0000-0000C2130000}"/>
    <cellStyle name="_Column3_BE_FG" xfId="5068" xr:uid="{00000000-0005-0000-0000-0000C3130000}"/>
    <cellStyle name="_Column3_Beval REPORT novembre'06" xfId="5069" xr:uid="{00000000-0005-0000-0000-0000C4130000}"/>
    <cellStyle name="_Column3_BGT 08 Templates Sales  Marketing - final (revised)" xfId="5070" xr:uid="{00000000-0005-0000-0000-0000C5130000}"/>
    <cellStyle name="_Column3_BGT 08 Templates Sales  Marketing - final (revised) 2" xfId="5071" xr:uid="{00000000-0005-0000-0000-0000C6130000}"/>
    <cellStyle name="_Column3_BGT 08 Templates Sales  Marketing - final (revised) 2 2" xfId="5072" xr:uid="{00000000-0005-0000-0000-0000C7130000}"/>
    <cellStyle name="_Column3_BGT 08 Templates Sales  Marketing - final (revised) 3" xfId="5073" xr:uid="{00000000-0005-0000-0000-0000C8130000}"/>
    <cellStyle name="_Column3_BGT 08 Templates Sales  Marketing - final (revised) 3 2" xfId="5074" xr:uid="{00000000-0005-0000-0000-0000C9130000}"/>
    <cellStyle name="_Column3_BGT 08 Templates Sales  Marketing - final (revised) 3 3" xfId="5075" xr:uid="{00000000-0005-0000-0000-0000CA130000}"/>
    <cellStyle name="_Column3_BGT 08 Templates Sales  Marketing - final (revised) 3 3 2" xfId="5076" xr:uid="{00000000-0005-0000-0000-0000CB130000}"/>
    <cellStyle name="_Column3_BGT 08 Templates Sales  Marketing - final (revised) 4" xfId="5077" xr:uid="{00000000-0005-0000-0000-0000CC130000}"/>
    <cellStyle name="_Column3_BGT 08 Templates Sales  Marketing - final (revised) 4 2" xfId="5078" xr:uid="{00000000-0005-0000-0000-0000CD130000}"/>
    <cellStyle name="_Column3_BGT 08 Templates Sales  Marketing - final (revised)_Sheet1" xfId="5079" xr:uid="{00000000-0005-0000-0000-0000CE130000}"/>
    <cellStyle name="_Column3_BGT 08 Templates Sales  Marketing - final (revised)_Sm Proj Cash Flow" xfId="5080" xr:uid="{00000000-0005-0000-0000-0000CF130000}"/>
    <cellStyle name="_Column3_BGT 08 Templates Sales  Marketing - final (revised)_Spend Detail" xfId="5081" xr:uid="{00000000-0005-0000-0000-0000D0130000}"/>
    <cellStyle name="_Column3_BGT 08 Templates Sales  Marketing - final (revised)_SustainingProjectList" xfId="5082" xr:uid="{00000000-0005-0000-0000-0000D1130000}"/>
    <cellStyle name="_Column3_BR" xfId="5083" xr:uid="{00000000-0005-0000-0000-0000D2130000}"/>
    <cellStyle name="_Column3_BR 2" xfId="5084" xr:uid="{00000000-0005-0000-0000-0000D3130000}"/>
    <cellStyle name="_Column3_BR 2 2" xfId="5085" xr:uid="{00000000-0005-0000-0000-0000D4130000}"/>
    <cellStyle name="_Column3_BR 3" xfId="5086" xr:uid="{00000000-0005-0000-0000-0000D5130000}"/>
    <cellStyle name="_Column3_Brew Ops Capacity balzer Modufi" xfId="5087" xr:uid="{00000000-0005-0000-0000-0000D6130000}"/>
    <cellStyle name="_Column3_BS ABF" xfId="5088" xr:uid="{00000000-0005-0000-0000-0000D7130000}"/>
    <cellStyle name="_Column3_BS ABF 2" xfId="5089" xr:uid="{00000000-0005-0000-0000-0000D8130000}"/>
    <cellStyle name="_Column3_BS ABF 2 2" xfId="5090" xr:uid="{00000000-0005-0000-0000-0000D9130000}"/>
    <cellStyle name="_Column3_BS ABF_Basis" xfId="5091" xr:uid="{00000000-0005-0000-0000-0000DA130000}"/>
    <cellStyle name="_Column3_BS ABF_Basis 2" xfId="5092" xr:uid="{00000000-0005-0000-0000-0000DB130000}"/>
    <cellStyle name="_Column3_BS ABF_Basis 2 2" xfId="5093" xr:uid="{00000000-0005-0000-0000-0000DC130000}"/>
    <cellStyle name="_Column3_BS ABF_Basis_Sheet1" xfId="5094" xr:uid="{00000000-0005-0000-0000-0000DD130000}"/>
    <cellStyle name="_Column3_BS ABF_Basis_Sheet5" xfId="5095" xr:uid="{00000000-0005-0000-0000-0000DE130000}"/>
    <cellStyle name="_Column3_BS ABF_Basis_Sm Proj Cash Flow" xfId="5096" xr:uid="{00000000-0005-0000-0000-0000DF130000}"/>
    <cellStyle name="_Column3_BS ABF_Basis_Spend Detail" xfId="5097" xr:uid="{00000000-0005-0000-0000-0000E0130000}"/>
    <cellStyle name="_Column3_BS ABF_Basis_SustainingProjectList" xfId="5098" xr:uid="{00000000-0005-0000-0000-0000E1130000}"/>
    <cellStyle name="_Column3_BS ABF_Sheet1" xfId="5099" xr:uid="{00000000-0005-0000-0000-0000E2130000}"/>
    <cellStyle name="_Column3_BS ABF_Sheet5" xfId="5100" xr:uid="{00000000-0005-0000-0000-0000E3130000}"/>
    <cellStyle name="_Column3_BS ABF_SKU Volumen" xfId="5101" xr:uid="{00000000-0005-0000-0000-0000E4130000}"/>
    <cellStyle name="_Column3_BS ABF_SKU Volumen 2" xfId="5102" xr:uid="{00000000-0005-0000-0000-0000E5130000}"/>
    <cellStyle name="_Column3_BS ABF_SKU Volumen_Sheet1" xfId="5103" xr:uid="{00000000-0005-0000-0000-0000E6130000}"/>
    <cellStyle name="_Column3_BS ABF_SKU Volumen_Sm Proj Cash Flow" xfId="5104" xr:uid="{00000000-0005-0000-0000-0000E7130000}"/>
    <cellStyle name="_Column3_BS ABF_SKU Volumen_Spend Detail" xfId="5105" xr:uid="{00000000-0005-0000-0000-0000E8130000}"/>
    <cellStyle name="_Column3_BS ABF_SKU Volumen_SustainingProjectList" xfId="5106" xr:uid="{00000000-0005-0000-0000-0000E9130000}"/>
    <cellStyle name="_Column3_BS ABF_Sm Proj Cash Flow" xfId="5107" xr:uid="{00000000-0005-0000-0000-0000EA130000}"/>
    <cellStyle name="_Column3_BS ABF_Spend Detail" xfId="5108" xr:uid="{00000000-0005-0000-0000-0000EB130000}"/>
    <cellStyle name="_Column3_BS ABF_SustainingProjectList" xfId="5109" xr:uid="{00000000-0005-0000-0000-0000EC130000}"/>
    <cellStyle name="_Column3_BS ABF_Tabelle1" xfId="5110" xr:uid="{00000000-0005-0000-0000-0000ED130000}"/>
    <cellStyle name="_Column3_BS ABF_Tabelle1 2" xfId="5111" xr:uid="{00000000-0005-0000-0000-0000EE130000}"/>
    <cellStyle name="_Column3_BS ABF_Tabelle1_Sheet1" xfId="5112" xr:uid="{00000000-0005-0000-0000-0000EF130000}"/>
    <cellStyle name="_Column3_BS ABF_Tabelle1_Sm Proj Cash Flow" xfId="5113" xr:uid="{00000000-0005-0000-0000-0000F0130000}"/>
    <cellStyle name="_Column3_BS ABF_Tabelle1_Spend Detail" xfId="5114" xr:uid="{00000000-0005-0000-0000-0000F1130000}"/>
    <cellStyle name="_Column3_BS ABF_Tabelle1_SustainingProjectList" xfId="5115" xr:uid="{00000000-0005-0000-0000-0000F2130000}"/>
    <cellStyle name="_Column3_BU1112 TP database - REGULAR VOLUMES" xfId="5116" xr:uid="{00000000-0005-0000-0000-0000F3130000}"/>
    <cellStyle name="_Column3_BU1112 TP database - REGULAR VOLUMES NATB" xfId="5117" xr:uid="{00000000-0005-0000-0000-0000F4130000}"/>
    <cellStyle name="_Column3_Budget 2005" xfId="5118" xr:uid="{00000000-0005-0000-0000-0000F5130000}"/>
    <cellStyle name="_Column3_Budget monthly" xfId="5119" xr:uid="{00000000-0005-0000-0000-0000F6130000}"/>
    <cellStyle name="_Column3_Capacity Util. Hannover ORII-Bgt05" xfId="5120" xr:uid="{00000000-0005-0000-0000-0000F7130000}"/>
    <cellStyle name="_Column3_Capacity Util. Issum ORII-Bgt05" xfId="5121" xr:uid="{00000000-0005-0000-0000-0000F8130000}"/>
    <cellStyle name="_Column3_CAPEX Analysis WE v3 Thomas" xfId="5122" xr:uid="{00000000-0005-0000-0000-0000F9130000}"/>
    <cellStyle name="_Column3_Capex x AnnaC (2)" xfId="5123" xr:uid="{00000000-0005-0000-0000-0000FA130000}"/>
    <cellStyle name="_Column3_Capex_view" xfId="5124" xr:uid="{00000000-0005-0000-0000-0000FB130000}"/>
    <cellStyle name="_Column3_Cartel1" xfId="5125" xr:uid="{00000000-0005-0000-0000-0000FC130000}"/>
    <cellStyle name="_Column3_CC_ZBB_profiled_costsTM" xfId="5126" xr:uid="{00000000-0005-0000-0000-0000FD130000}"/>
    <cellStyle name="_Column3_CE da Alea" xfId="5127" xr:uid="{00000000-0005-0000-0000-0000FE130000}"/>
    <cellStyle name="_Column3_Challenge" xfId="5128" xr:uid="{00000000-0005-0000-0000-0000FF130000}"/>
    <cellStyle name="_Column3_Challenge 2" xfId="5129" xr:uid="{00000000-0005-0000-0000-000000140000}"/>
    <cellStyle name="_Column3_Challenge_Sheet1" xfId="5130" xr:uid="{00000000-0005-0000-0000-000001140000}"/>
    <cellStyle name="_Column3_Challenge_Sm Proj Cash Flow" xfId="5131" xr:uid="{00000000-0005-0000-0000-000002140000}"/>
    <cellStyle name="_Column3_Challenge_Spend Detail" xfId="5132" xr:uid="{00000000-0005-0000-0000-000003140000}"/>
    <cellStyle name="_Column3_Challenge_SustainingProjectList" xfId="5133" xr:uid="{00000000-0005-0000-0000-000004140000}"/>
    <cellStyle name="_Column3_check fehlende Transportkosten 082006" xfId="5134" xr:uid="{00000000-0005-0000-0000-000005140000}"/>
    <cellStyle name="_Column3_Chi2 1" xfId="5135" xr:uid="{00000000-0005-0000-0000-000006140000}"/>
    <cellStyle name="_Column3_Chi2 HEX" xfId="5136" xr:uid="{00000000-0005-0000-0000-000007140000}"/>
    <cellStyle name="_Column3_Comm Agreem Distr" xfId="5137" xr:uid="{00000000-0005-0000-0000-000008140000}"/>
    <cellStyle name="_Column3_Comm Agreem On Trade" xfId="5138" xr:uid="{00000000-0005-0000-0000-000009140000}"/>
    <cellStyle name="_Column3_Copia di MACO BU'07 Total Italy new" xfId="5139" xr:uid="{00000000-0005-0000-0000-00000A140000}"/>
    <cellStyle name="_Column3_Copy of BGT 08 Templates Sales  Marketing - final (revised)" xfId="5140" xr:uid="{00000000-0005-0000-0000-00000B140000}"/>
    <cellStyle name="_Column3_Copy of BGT 08 Templates Sales  Marketing - final (revised) 2" xfId="5141" xr:uid="{00000000-0005-0000-0000-00000C140000}"/>
    <cellStyle name="_Column3_Copy of BGT 08 Templates Sales  Marketing - final (revised) 2 2" xfId="5142" xr:uid="{00000000-0005-0000-0000-00000D140000}"/>
    <cellStyle name="_Column3_Copy of BGT 08 Templates Sales  Marketing - final (revised) 3" xfId="5143" xr:uid="{00000000-0005-0000-0000-00000E140000}"/>
    <cellStyle name="_Column3_Copy of BGT 08 Templates Sales  Marketing - final (revised) 3 2" xfId="5144" xr:uid="{00000000-0005-0000-0000-00000F140000}"/>
    <cellStyle name="_Column3_Copy of BGT 08 Templates Sales  Marketing - final (revised) 3 3" xfId="5145" xr:uid="{00000000-0005-0000-0000-000010140000}"/>
    <cellStyle name="_Column3_Copy of BGT 08 Templates Sales  Marketing - final (revised) 3 3 2" xfId="5146" xr:uid="{00000000-0005-0000-0000-000011140000}"/>
    <cellStyle name="_Column3_Copy of BGT 08 Templates Sales  Marketing - final (revised) 4" xfId="5147" xr:uid="{00000000-0005-0000-0000-000012140000}"/>
    <cellStyle name="_Column3_Copy of BGT 08 Templates Sales  Marketing - final (revised) 4 2" xfId="5148" xr:uid="{00000000-0005-0000-0000-000013140000}"/>
    <cellStyle name="_Column3_Copy of BGT 08 Templates Sales  Marketing - final (revised)_Sheet1" xfId="5149" xr:uid="{00000000-0005-0000-0000-000014140000}"/>
    <cellStyle name="_Column3_Copy of BGT 08 Templates Sales  Marketing - final (revised)_Sm Proj Cash Flow" xfId="5150" xr:uid="{00000000-0005-0000-0000-000015140000}"/>
    <cellStyle name="_Column3_Copy of BGT 08 Templates Sales  Marketing - final (revised)_Spend Detail" xfId="5151" xr:uid="{00000000-0005-0000-0000-000016140000}"/>
    <cellStyle name="_Column3_Copy of BGT 08 Templates Sales  Marketing - final (revised)_SustainingProjectList" xfId="5152" xr:uid="{00000000-0005-0000-0000-000017140000}"/>
    <cellStyle name="_Column3_Copy of ZBB cost analysis B08 _fintm04092007v2 04.09.07" xfId="5153" xr:uid="{00000000-0005-0000-0000-000018140000}"/>
    <cellStyle name="_Column3_Copy of ZBB costs P&amp;L od Slavice 04.09.2007" xfId="5154" xr:uid="{00000000-0005-0000-0000-000019140000}"/>
    <cellStyle name="_Column3_Costo vend new sku" xfId="5155" xr:uid="{00000000-0005-0000-0000-00001A140000}"/>
    <cellStyle name="_Column3_Cro_Template 3YP 08-10 - Update (2)" xfId="5156" xr:uid="{00000000-0005-0000-0000-00001B140000}"/>
    <cellStyle name="_Column3_Daten" xfId="5157" xr:uid="{00000000-0005-0000-0000-00001C140000}"/>
    <cellStyle name="_Column3_Daten_1" xfId="5158" xr:uid="{00000000-0005-0000-0000-00001D140000}"/>
    <cellStyle name="_Column3_Daten_1_RFFS SUBMISSION TO VPs" xfId="5159" xr:uid="{00000000-0005-0000-0000-00001E140000}"/>
    <cellStyle name="_Column3_Daten_1_RFFS_SUBMISSION_TO_VPs _v2" xfId="5160" xr:uid="{00000000-0005-0000-0000-00001F140000}"/>
    <cellStyle name="_Column3_DBSET" xfId="5161" xr:uid="{00000000-0005-0000-0000-000020140000}"/>
    <cellStyle name="_Column3_DEP" xfId="5162" xr:uid="{00000000-0005-0000-0000-000021140000}"/>
    <cellStyle name="_Column3_details" xfId="5163" xr:uid="{00000000-0005-0000-0000-000022140000}"/>
    <cellStyle name="_Column3_Dir Trade Mktg Mat - on trade" xfId="5164" xr:uid="{00000000-0005-0000-0000-000023140000}"/>
    <cellStyle name="_Column3_Dir.Trade Mktg Mat." xfId="5165" xr:uid="{00000000-0005-0000-0000-000024140000}"/>
    <cellStyle name="_Column3_Discounts Off" xfId="5166" xr:uid="{00000000-0005-0000-0000-000025140000}"/>
    <cellStyle name="_Column3_Distributer Support" xfId="5167" xr:uid="{00000000-0005-0000-0000-000026140000}"/>
    <cellStyle name="_Column3_EC" xfId="5168" xr:uid="{00000000-0005-0000-0000-000027140000}"/>
    <cellStyle name="_Column3_EC 2" xfId="5169" xr:uid="{00000000-0005-0000-0000-000028140000}"/>
    <cellStyle name="_Column3_EC 2 2" xfId="5170" xr:uid="{00000000-0005-0000-0000-000029140000}"/>
    <cellStyle name="_Column3_EC 3" xfId="5171" xr:uid="{00000000-0005-0000-0000-00002A140000}"/>
    <cellStyle name="_Column3_ERP" xfId="5172" xr:uid="{00000000-0005-0000-0000-00002B140000}"/>
    <cellStyle name="_Column3_ERP_RFFS SUBMISSION TO VPs" xfId="5173" xr:uid="{00000000-0005-0000-0000-00002C140000}"/>
    <cellStyle name="_Column3_ERP_RFFS_SUBMISSION_TO_VPs _v2" xfId="5174" xr:uid="{00000000-0005-0000-0000-00002D140000}"/>
    <cellStyle name="_Column3_Excel sheets to support Market Program Template for Budget 09" xfId="5175" xr:uid="{00000000-0005-0000-0000-00002E140000}"/>
    <cellStyle name="_Column3_Excel sheets to support Market Program Template for Budget 09 (5) (2)" xfId="5176" xr:uid="{00000000-0005-0000-0000-00002F140000}"/>
    <cellStyle name="_Column3_Excel sheets to support Market Program Template for Budget 09 (5) (2) 2" xfId="5177" xr:uid="{00000000-0005-0000-0000-000030140000}"/>
    <cellStyle name="_Column3_Excel sheets to support Market Program Template for Budget 09 (5) (2) 2 2" xfId="5178" xr:uid="{00000000-0005-0000-0000-000031140000}"/>
    <cellStyle name="_Column3_Excel sheets to support Market Program Template for Budget 09 (5) (2) 3" xfId="5179" xr:uid="{00000000-0005-0000-0000-000032140000}"/>
    <cellStyle name="_Column3_Excel sheets to support Market Program Template for Budget 09 (5) (3)" xfId="5180" xr:uid="{00000000-0005-0000-0000-000033140000}"/>
    <cellStyle name="_Column3_Excel sheets to support Market Program Template for Budget 09 (5) (3) 2" xfId="5181" xr:uid="{00000000-0005-0000-0000-000034140000}"/>
    <cellStyle name="_Column3_Excel sheets to support Market Program Template for Budget 09 (5) (3) 2 2" xfId="5182" xr:uid="{00000000-0005-0000-0000-000035140000}"/>
    <cellStyle name="_Column3_Excel sheets to support Market Program Template for Budget 09 (5) (3) 3" xfId="5183" xr:uid="{00000000-0005-0000-0000-000036140000}"/>
    <cellStyle name="_Column3_Excel sheets to support Market Program Template for Budget 09 10" xfId="5184" xr:uid="{00000000-0005-0000-0000-000037140000}"/>
    <cellStyle name="_Column3_Excel sheets to support Market Program Template for Budget 09 11" xfId="5185" xr:uid="{00000000-0005-0000-0000-000038140000}"/>
    <cellStyle name="_Column3_Excel sheets to support Market Program Template for Budget 09 11 2" xfId="5186" xr:uid="{00000000-0005-0000-0000-000039140000}"/>
    <cellStyle name="_Column3_Excel sheets to support Market Program Template for Budget 09 12" xfId="5187" xr:uid="{00000000-0005-0000-0000-00003A140000}"/>
    <cellStyle name="_Column3_Excel sheets to support Market Program Template for Budget 09 12 2" xfId="5188" xr:uid="{00000000-0005-0000-0000-00003B140000}"/>
    <cellStyle name="_Column3_Excel sheets to support Market Program Template for Budget 09 13" xfId="5189" xr:uid="{00000000-0005-0000-0000-00003C140000}"/>
    <cellStyle name="_Column3_Excel sheets to support Market Program Template for Budget 09 13 2" xfId="5190" xr:uid="{00000000-0005-0000-0000-00003D140000}"/>
    <cellStyle name="_Column3_Excel sheets to support Market Program Template for Budget 09 14" xfId="5191" xr:uid="{00000000-0005-0000-0000-00003E140000}"/>
    <cellStyle name="_Column3_Excel sheets to support Market Program Template for Budget 09 14 2" xfId="5192" xr:uid="{00000000-0005-0000-0000-00003F140000}"/>
    <cellStyle name="_Column3_Excel sheets to support Market Program Template for Budget 09 2" xfId="5193" xr:uid="{00000000-0005-0000-0000-000040140000}"/>
    <cellStyle name="_Column3_Excel sheets to support Market Program Template for Budget 09 2 2" xfId="5194" xr:uid="{00000000-0005-0000-0000-000041140000}"/>
    <cellStyle name="_Column3_Excel sheets to support Market Program Template for Budget 09 3" xfId="5195" xr:uid="{00000000-0005-0000-0000-000042140000}"/>
    <cellStyle name="_Column3_Excel sheets to support Market Program Template for Budget 09 3 2" xfId="5196" xr:uid="{00000000-0005-0000-0000-000043140000}"/>
    <cellStyle name="_Column3_Excel sheets to support Market Program Template for Budget 09 4" xfId="5197" xr:uid="{00000000-0005-0000-0000-000044140000}"/>
    <cellStyle name="_Column3_Excel sheets to support Market Program Template for Budget 09 5" xfId="5198" xr:uid="{00000000-0005-0000-0000-000045140000}"/>
    <cellStyle name="_Column3_Excel sheets to support Market Program Template for Budget 09 5 2" xfId="5199" xr:uid="{00000000-0005-0000-0000-000046140000}"/>
    <cellStyle name="_Column3_Excel sheets to support Market Program Template for Budget 09 5 3" xfId="5200" xr:uid="{00000000-0005-0000-0000-000047140000}"/>
    <cellStyle name="_Column3_Excel sheets to support Market Program Template for Budget 09 5 3 2" xfId="5201" xr:uid="{00000000-0005-0000-0000-000048140000}"/>
    <cellStyle name="_Column3_Excel sheets to support Market Program Template for Budget 09 6" xfId="5202" xr:uid="{00000000-0005-0000-0000-000049140000}"/>
    <cellStyle name="_Column3_Excel sheets to support Market Program Template for Budget 09 6 2" xfId="5203" xr:uid="{00000000-0005-0000-0000-00004A140000}"/>
    <cellStyle name="_Column3_Excel sheets to support Market Program Template for Budget 09 6 3" xfId="5204" xr:uid="{00000000-0005-0000-0000-00004B140000}"/>
    <cellStyle name="_Column3_Excel sheets to support Market Program Template for Budget 09 6 3 2" xfId="5205" xr:uid="{00000000-0005-0000-0000-00004C140000}"/>
    <cellStyle name="_Column3_Excel sheets to support Market Program Template for Budget 09 7" xfId="5206" xr:uid="{00000000-0005-0000-0000-00004D140000}"/>
    <cellStyle name="_Column3_Excel sheets to support Market Program Template for Budget 09 8" xfId="5207" xr:uid="{00000000-0005-0000-0000-00004E140000}"/>
    <cellStyle name="_Column3_Excel sheets to support Market Program Template for Budget 09 9" xfId="5208" xr:uid="{00000000-0005-0000-0000-00004F140000}"/>
    <cellStyle name="_Column3_Excel sheets to support Market Program Template for Budget 09_Sheet1" xfId="5209" xr:uid="{00000000-0005-0000-0000-000050140000}"/>
    <cellStyle name="_Column3_Excel sheets to support Market Program Template for Budget 09_Sm Proj Cash Flow" xfId="5210" xr:uid="{00000000-0005-0000-0000-000051140000}"/>
    <cellStyle name="_Column3_Excel sheets to support Market Program Template for Budget 09_Spend Detail" xfId="5211" xr:uid="{00000000-0005-0000-0000-000052140000}"/>
    <cellStyle name="_Column3_Excel sheets to support Market Program Template for Budget 09_SustainingProjectList" xfId="5212" xr:uid="{00000000-0005-0000-0000-000053140000}"/>
    <cellStyle name="_Column3_FAG_FTE" xfId="5213" xr:uid="{00000000-0005-0000-0000-000054140000}"/>
    <cellStyle name="_Column3_Fatture Partner" xfId="5214" xr:uid="{00000000-0005-0000-0000-000055140000}"/>
    <cellStyle name="_Column3_FCAccuracy_week_0907" xfId="5215" xr:uid="{00000000-0005-0000-0000-000056140000}"/>
    <cellStyle name="_Column3_Feasibility Request_Diebels" xfId="5216" xr:uid="{00000000-0005-0000-0000-000057140000}"/>
    <cellStyle name="_Column3_Feasibility Request_Diebels_RFFS SUBMISSION TO VPs" xfId="5217" xr:uid="{00000000-0005-0000-0000-000058140000}"/>
    <cellStyle name="_Column3_Feasibility Request_Diebels_RFFS_SUBMISSION_TO_VPs _v2" xfId="5218" xr:uid="{00000000-0005-0000-0000-000059140000}"/>
    <cellStyle name="_Column3_Feasibility Request_Dimix" xfId="5219" xr:uid="{00000000-0005-0000-0000-00005A140000}"/>
    <cellStyle name="_Column3_Feasibility Request_Dimix_RFFS SUBMISSION TO VPs" xfId="5220" xr:uid="{00000000-0005-0000-0000-00005B140000}"/>
    <cellStyle name="_Column3_Feasibility Request_Dimix_RFFS_SUBMISSION_TO_VPs _v2" xfId="5221" xr:uid="{00000000-0005-0000-0000-00005C140000}"/>
    <cellStyle name="_Column3_Finance Templates - Final" xfId="5222" xr:uid="{00000000-0005-0000-0000-00005D140000}"/>
    <cellStyle name="_Column3_Finance Templates - Final 2" xfId="5223" xr:uid="{00000000-0005-0000-0000-00005E140000}"/>
    <cellStyle name="_Column3_Finance Templates - Final 2 2" xfId="5224" xr:uid="{00000000-0005-0000-0000-00005F140000}"/>
    <cellStyle name="_Column3_Finance Templates - Final 3" xfId="5225" xr:uid="{00000000-0005-0000-0000-000060140000}"/>
    <cellStyle name="_Column3_Float" xfId="5226" xr:uid="{00000000-0005-0000-0000-000061140000}"/>
    <cellStyle name="_Column3_foglio prova" xfId="5227" xr:uid="{00000000-0005-0000-0000-000062140000}"/>
    <cellStyle name="_Column3_Foglio1" xfId="5228" xr:uid="{00000000-0005-0000-0000-000063140000}"/>
    <cellStyle name="_Column3_Foglio1_1" xfId="5229" xr:uid="{00000000-0005-0000-0000-000064140000}"/>
    <cellStyle name="_Column3_Foglio1_Analisi costo venduto" xfId="5230" xr:uid="{00000000-0005-0000-0000-000065140000}"/>
    <cellStyle name="_Column3_Foglio1_Analisi vol ott" xfId="5231" xr:uid="{00000000-0005-0000-0000-000066140000}"/>
    <cellStyle name="_Column3_Foglio1_Capex x AnnaC (2)" xfId="5232" xr:uid="{00000000-0005-0000-0000-000067140000}"/>
    <cellStyle name="_Column3_Foglio1_CC targets july" xfId="5233" xr:uid="{00000000-0005-0000-0000-000068140000}"/>
    <cellStyle name="_Column3_Foglio1_DBSET" xfId="5234" xr:uid="{00000000-0005-0000-0000-000069140000}"/>
    <cellStyle name="_Column3_Foglio1_Foglio1" xfId="5235" xr:uid="{00000000-0005-0000-0000-00006A140000}"/>
    <cellStyle name="_Column3_Foglio1_Maco budget" xfId="5236" xr:uid="{00000000-0005-0000-0000-00006B140000}"/>
    <cellStyle name="_Column3_Foglio1_Mens volumi LE1 x BBP" xfId="5237" xr:uid="{00000000-0005-0000-0000-00006C140000}"/>
    <cellStyle name="_Column3_Foglio2" xfId="5238" xr:uid="{00000000-0005-0000-0000-00006D140000}"/>
    <cellStyle name="_Column3_Foglio2_1" xfId="5239" xr:uid="{00000000-0005-0000-0000-00006E140000}"/>
    <cellStyle name="_Column3_Foglio2_Analisi costo venduto" xfId="5240" xr:uid="{00000000-0005-0000-0000-00006F140000}"/>
    <cellStyle name="_Column3_Foglio2_BACK UP FIGURES for PRESENTATION LE1" xfId="5241" xr:uid="{00000000-0005-0000-0000-000070140000}"/>
    <cellStyle name="_Column3_Foglio2_LE1 addendum" xfId="5242" xr:uid="{00000000-0005-0000-0000-000071140000}"/>
    <cellStyle name="_Column3_Foglio2_LEI templates - per Francesca by PPM" xfId="5243" xr:uid="{00000000-0005-0000-0000-000072140000}"/>
    <cellStyle name="_Column3_Foglio3" xfId="5244" xr:uid="{00000000-0005-0000-0000-000073140000}"/>
    <cellStyle name="_Column3_Foglio3_1" xfId="5245" xr:uid="{00000000-0005-0000-0000-000074140000}"/>
    <cellStyle name="_Column3_Foglio3_Analisi vol ott" xfId="5246" xr:uid="{00000000-0005-0000-0000-000075140000}"/>
    <cellStyle name="_Column3_Foglio3_BACK UP FIGURES for PRESENTATION LE1" xfId="5247" xr:uid="{00000000-0005-0000-0000-000076140000}"/>
    <cellStyle name="_Column3_Foglio3_Maco budget" xfId="5248" xr:uid="{00000000-0005-0000-0000-000077140000}"/>
    <cellStyle name="_Column3_Foglio3_Maco LE1 vers 30.4.07" xfId="5249" xr:uid="{00000000-0005-0000-0000-000078140000}"/>
    <cellStyle name="_Column3_Foglio3_Maco LE1 vers 30.4.07 PER PRESENTAZ" xfId="5250" xr:uid="{00000000-0005-0000-0000-000079140000}"/>
    <cellStyle name="_Column3_Foglio3_Marzo 2007 Deck vers 16.4.07" xfId="5251" xr:uid="{00000000-0005-0000-0000-00007A140000}"/>
    <cellStyle name="_Column3_Foglio3_Volumi LE1 sku - brand - package" xfId="5252" xr:uid="{00000000-0005-0000-0000-00007B140000}"/>
    <cellStyle name="_Column3_Foglio4" xfId="5253" xr:uid="{00000000-0005-0000-0000-00007C140000}"/>
    <cellStyle name="_Column3_Foglio4_BACK UP FIGURES for PRESENTATION LE1" xfId="5254" xr:uid="{00000000-0005-0000-0000-00007D140000}"/>
    <cellStyle name="_Column3_Foglio4_Maco LE1 vers 30.4.07" xfId="5255" xr:uid="{00000000-0005-0000-0000-00007E140000}"/>
    <cellStyle name="_Column3_Foglio4_Maco LE1 vers 30.4.07 PER PRESENTAZ" xfId="5256" xr:uid="{00000000-0005-0000-0000-00007F140000}"/>
    <cellStyle name="_Column3_Foglio4_Marzo 2007 Deck vers 16.4.07" xfId="5257" xr:uid="{00000000-0005-0000-0000-000080140000}"/>
    <cellStyle name="_Column3_Foglio5" xfId="5258" xr:uid="{00000000-0005-0000-0000-000081140000}"/>
    <cellStyle name="_Column3_Foglio5_BACK UP FIGURES for PRESENTATION LE1" xfId="5259" xr:uid="{00000000-0005-0000-0000-000082140000}"/>
    <cellStyle name="_Column3_Foglio5_Maco budget" xfId="5260" xr:uid="{00000000-0005-0000-0000-000083140000}"/>
    <cellStyle name="_Column3_Foglio5_Maco LE1 vers 30.4.07" xfId="5261" xr:uid="{00000000-0005-0000-0000-000084140000}"/>
    <cellStyle name="_Column3_Foglio5_Maco LE1 vers 30.4.07 PER PRESENTAZ" xfId="5262" xr:uid="{00000000-0005-0000-0000-000085140000}"/>
    <cellStyle name="_Column3_Foglio5_Marzo 2007 Deck vers 16.4.07" xfId="5263" xr:uid="{00000000-0005-0000-0000-000086140000}"/>
    <cellStyle name="_Column3_Foglio6" xfId="5264" xr:uid="{00000000-0005-0000-0000-000087140000}"/>
    <cellStyle name="_Column3_Forecast Summary July v1" xfId="5265" xr:uid="{00000000-0005-0000-0000-000088140000}"/>
    <cellStyle name="_Column3_Forecast Summary July v1 2" xfId="5266" xr:uid="{00000000-0005-0000-0000-000089140000}"/>
    <cellStyle name="_Column3_Forecast Summary July v1 2 2" xfId="5267" xr:uid="{00000000-0005-0000-0000-00008A140000}"/>
    <cellStyle name="_Column3_Forecast Summary July v1 3" xfId="5268" xr:uid="{00000000-0005-0000-0000-00008B140000}"/>
    <cellStyle name="_Column3_FRANGO_Monatsbericht Italy_0611" xfId="5269" xr:uid="{00000000-0005-0000-0000-00008C140000}"/>
    <cellStyle name="_Column3_Franz demand" xfId="5270" xr:uid="{00000000-0005-0000-0000-00008D140000}"/>
    <cellStyle name="_Column3_Franz Development" xfId="5271" xr:uid="{00000000-0005-0000-0000-00008E140000}"/>
    <cellStyle name="_Column3_Franz Ist" xfId="5272" xr:uid="{00000000-0005-0000-0000-00008F140000}"/>
    <cellStyle name="_Column3_Free Worksheet" xfId="5273" xr:uid="{00000000-0005-0000-0000-000090140000}"/>
    <cellStyle name="_Column3_Gennaio draft ON + DD" xfId="5274" xr:uid="{00000000-0005-0000-0000-000091140000}"/>
    <cellStyle name="_Column3_Germany" xfId="5275" xr:uid="{00000000-0005-0000-0000-000092140000}"/>
    <cellStyle name="_Column3_Germany_brew" xfId="5276" xr:uid="{00000000-0005-0000-0000-000093140000}"/>
    <cellStyle name="_Column3_Gilde Maco" xfId="5277" xr:uid="{00000000-0005-0000-0000-000094140000}"/>
    <cellStyle name="_Column3_Gilde Maco 2" xfId="5278" xr:uid="{00000000-0005-0000-0000-000095140000}"/>
    <cellStyle name="_Column3_Gilde Maco 2 2" xfId="5279" xr:uid="{00000000-0005-0000-0000-000096140000}"/>
    <cellStyle name="_Column3_Gilde Maco_Basis" xfId="5280" xr:uid="{00000000-0005-0000-0000-000097140000}"/>
    <cellStyle name="_Column3_Gilde Maco_Basis 2" xfId="5281" xr:uid="{00000000-0005-0000-0000-000098140000}"/>
    <cellStyle name="_Column3_Gilde Maco_Basis 2 2" xfId="5282" xr:uid="{00000000-0005-0000-0000-000099140000}"/>
    <cellStyle name="_Column3_Gilde Maco_Basis_Sheet1" xfId="5283" xr:uid="{00000000-0005-0000-0000-00009A140000}"/>
    <cellStyle name="_Column3_Gilde Maco_Basis_Sheet5" xfId="5284" xr:uid="{00000000-0005-0000-0000-00009B140000}"/>
    <cellStyle name="_Column3_Gilde Maco_Basis_Sm Proj Cash Flow" xfId="5285" xr:uid="{00000000-0005-0000-0000-00009C140000}"/>
    <cellStyle name="_Column3_Gilde Maco_Basis_Spend Detail" xfId="5286" xr:uid="{00000000-0005-0000-0000-00009D140000}"/>
    <cellStyle name="_Column3_Gilde Maco_Basis_SustainingProjectList" xfId="5287" xr:uid="{00000000-0005-0000-0000-00009E140000}"/>
    <cellStyle name="_Column3_Gilde Maco_Sheet1" xfId="5288" xr:uid="{00000000-0005-0000-0000-00009F140000}"/>
    <cellStyle name="_Column3_Gilde Maco_Sheet5" xfId="5289" xr:uid="{00000000-0005-0000-0000-0000A0140000}"/>
    <cellStyle name="_Column3_Gilde Maco_SKU Volumen" xfId="5290" xr:uid="{00000000-0005-0000-0000-0000A1140000}"/>
    <cellStyle name="_Column3_Gilde Maco_SKU Volumen 2" xfId="5291" xr:uid="{00000000-0005-0000-0000-0000A2140000}"/>
    <cellStyle name="_Column3_Gilde Maco_SKU Volumen_Sheet1" xfId="5292" xr:uid="{00000000-0005-0000-0000-0000A3140000}"/>
    <cellStyle name="_Column3_Gilde Maco_SKU Volumen_Sm Proj Cash Flow" xfId="5293" xr:uid="{00000000-0005-0000-0000-0000A4140000}"/>
    <cellStyle name="_Column3_Gilde Maco_SKU Volumen_Spend Detail" xfId="5294" xr:uid="{00000000-0005-0000-0000-0000A5140000}"/>
    <cellStyle name="_Column3_Gilde Maco_SKU Volumen_SustainingProjectList" xfId="5295" xr:uid="{00000000-0005-0000-0000-0000A6140000}"/>
    <cellStyle name="_Column3_Gilde Maco_Sm Proj Cash Flow" xfId="5296" xr:uid="{00000000-0005-0000-0000-0000A7140000}"/>
    <cellStyle name="_Column3_Gilde Maco_Spend Detail" xfId="5297" xr:uid="{00000000-0005-0000-0000-0000A8140000}"/>
    <cellStyle name="_Column3_Gilde Maco_SustainingProjectList" xfId="5298" xr:uid="{00000000-0005-0000-0000-0000A9140000}"/>
    <cellStyle name="_Column3_Gilde Maco_Tabelle1" xfId="5299" xr:uid="{00000000-0005-0000-0000-0000AA140000}"/>
    <cellStyle name="_Column3_Gilde Maco_Tabelle1 2" xfId="5300" xr:uid="{00000000-0005-0000-0000-0000AB140000}"/>
    <cellStyle name="_Column3_Gilde Maco_Tabelle1_Sheet1" xfId="5301" xr:uid="{00000000-0005-0000-0000-0000AC140000}"/>
    <cellStyle name="_Column3_Gilde Maco_Tabelle1_Sm Proj Cash Flow" xfId="5302" xr:uid="{00000000-0005-0000-0000-0000AD140000}"/>
    <cellStyle name="_Column3_Gilde Maco_Tabelle1_Spend Detail" xfId="5303" xr:uid="{00000000-0005-0000-0000-0000AE140000}"/>
    <cellStyle name="_Column3_Gilde Maco_Tabelle1_SustainingProjectList" xfId="5304" xr:uid="{00000000-0005-0000-0000-0000AF140000}"/>
    <cellStyle name="_Column3_Global_Final_18122006 (2)" xfId="5305" xr:uid="{00000000-0005-0000-0000-0000B0140000}"/>
    <cellStyle name="_Column3_GT" xfId="5306" xr:uid="{00000000-0005-0000-0000-0000B1140000}"/>
    <cellStyle name="_Column3_GT 2" xfId="5307" xr:uid="{00000000-0005-0000-0000-0000B2140000}"/>
    <cellStyle name="_Column3_GT 2 2" xfId="5308" xr:uid="{00000000-0005-0000-0000-0000B3140000}"/>
    <cellStyle name="_Column3_GT 3" xfId="5309" xr:uid="{00000000-0005-0000-0000-0000B4140000}"/>
    <cellStyle name="_Column3_Hass Dashboard" xfId="5310" xr:uid="{00000000-0005-0000-0000-0000B5140000}"/>
    <cellStyle name="_Column3_Hass Dashboard v1" xfId="5311" xr:uid="{00000000-0005-0000-0000-0000B6140000}"/>
    <cellStyle name="_Column3_Hasseröder Export Detailplanung nach Wochen Version Radler + Diesel 10.4.2007" xfId="5312" xr:uid="{00000000-0005-0000-0000-0000B7140000}"/>
    <cellStyle name="_Column3_Hl Feb Alea 22.2.07" xfId="5313" xr:uid="{00000000-0005-0000-0000-0000B8140000}"/>
    <cellStyle name="_Column3_Hl Gen" xfId="5314" xr:uid="{00000000-0005-0000-0000-0000B9140000}"/>
    <cellStyle name="_Column3_Hopfen" xfId="5315" xr:uid="{00000000-0005-0000-0000-0000BA140000}"/>
    <cellStyle name="_Column3_IDVG Maco" xfId="5316" xr:uid="{00000000-0005-0000-0000-0000BB140000}"/>
    <cellStyle name="_Column3_IDVG Maco 2" xfId="5317" xr:uid="{00000000-0005-0000-0000-0000BC140000}"/>
    <cellStyle name="_Column3_IDVG Maco 2 2" xfId="5318" xr:uid="{00000000-0005-0000-0000-0000BD140000}"/>
    <cellStyle name="_Column3_IDVG Maco_Basis" xfId="5319" xr:uid="{00000000-0005-0000-0000-0000BE140000}"/>
    <cellStyle name="_Column3_IDVG Maco_Basis 2" xfId="5320" xr:uid="{00000000-0005-0000-0000-0000BF140000}"/>
    <cellStyle name="_Column3_IDVG Maco_Basis 2 2" xfId="5321" xr:uid="{00000000-0005-0000-0000-0000C0140000}"/>
    <cellStyle name="_Column3_IDVG Maco_Basis_Sheet1" xfId="5322" xr:uid="{00000000-0005-0000-0000-0000C1140000}"/>
    <cellStyle name="_Column3_IDVG Maco_Basis_Sheet5" xfId="5323" xr:uid="{00000000-0005-0000-0000-0000C2140000}"/>
    <cellStyle name="_Column3_IDVG Maco_Basis_Sm Proj Cash Flow" xfId="5324" xr:uid="{00000000-0005-0000-0000-0000C3140000}"/>
    <cellStyle name="_Column3_IDVG Maco_Basis_Spend Detail" xfId="5325" xr:uid="{00000000-0005-0000-0000-0000C4140000}"/>
    <cellStyle name="_Column3_IDVG Maco_Basis_SustainingProjectList" xfId="5326" xr:uid="{00000000-0005-0000-0000-0000C5140000}"/>
    <cellStyle name="_Column3_IDVG Maco_Sheet1" xfId="5327" xr:uid="{00000000-0005-0000-0000-0000C6140000}"/>
    <cellStyle name="_Column3_IDVG Maco_Sheet5" xfId="5328" xr:uid="{00000000-0005-0000-0000-0000C7140000}"/>
    <cellStyle name="_Column3_IDVG Maco_SKU Volumen" xfId="5329" xr:uid="{00000000-0005-0000-0000-0000C8140000}"/>
    <cellStyle name="_Column3_IDVG Maco_SKU Volumen 2" xfId="5330" xr:uid="{00000000-0005-0000-0000-0000C9140000}"/>
    <cellStyle name="_Column3_IDVG Maco_SKU Volumen_Sheet1" xfId="5331" xr:uid="{00000000-0005-0000-0000-0000CA140000}"/>
    <cellStyle name="_Column3_IDVG Maco_SKU Volumen_Sm Proj Cash Flow" xfId="5332" xr:uid="{00000000-0005-0000-0000-0000CB140000}"/>
    <cellStyle name="_Column3_IDVG Maco_SKU Volumen_Spend Detail" xfId="5333" xr:uid="{00000000-0005-0000-0000-0000CC140000}"/>
    <cellStyle name="_Column3_IDVG Maco_SKU Volumen_SustainingProjectList" xfId="5334" xr:uid="{00000000-0005-0000-0000-0000CD140000}"/>
    <cellStyle name="_Column3_IDVG Maco_Sm Proj Cash Flow" xfId="5335" xr:uid="{00000000-0005-0000-0000-0000CE140000}"/>
    <cellStyle name="_Column3_IDVG Maco_Spend Detail" xfId="5336" xr:uid="{00000000-0005-0000-0000-0000CF140000}"/>
    <cellStyle name="_Column3_IDVG Maco_SustainingProjectList" xfId="5337" xr:uid="{00000000-0005-0000-0000-0000D0140000}"/>
    <cellStyle name="_Column3_IDVG Maco_Tabelle1" xfId="5338" xr:uid="{00000000-0005-0000-0000-0000D1140000}"/>
    <cellStyle name="_Column3_IDVG Maco_Tabelle1 2" xfId="5339" xr:uid="{00000000-0005-0000-0000-0000D2140000}"/>
    <cellStyle name="_Column3_IDVG Maco_Tabelle1_Sheet1" xfId="5340" xr:uid="{00000000-0005-0000-0000-0000D3140000}"/>
    <cellStyle name="_Column3_IDVG Maco_Tabelle1_Sm Proj Cash Flow" xfId="5341" xr:uid="{00000000-0005-0000-0000-0000D4140000}"/>
    <cellStyle name="_Column3_IDVG Maco_Tabelle1_Spend Detail" xfId="5342" xr:uid="{00000000-0005-0000-0000-0000D5140000}"/>
    <cellStyle name="_Column3_IDVG Maco_Tabelle1_SustainingProjectList" xfId="5343" xr:uid="{00000000-0005-0000-0000-0000D6140000}"/>
    <cellStyle name="_Column3_In maco" xfId="5344" xr:uid="{00000000-0005-0000-0000-0000D7140000}"/>
    <cellStyle name="_Column3_Inbev Italia stima actual gen" xfId="5345" xr:uid="{00000000-0005-0000-0000-0000D8140000}"/>
    <cellStyle name="_Column3_Incollare volumi estr da Alea" xfId="5346" xr:uid="{00000000-0005-0000-0000-0000D9140000}"/>
    <cellStyle name="_Column3_Industry Volumes" xfId="5347" xr:uid="{00000000-0005-0000-0000-0000DA140000}"/>
    <cellStyle name="_Column3_Industry Volumes 2" xfId="5348" xr:uid="{00000000-0005-0000-0000-0000DB140000}"/>
    <cellStyle name="_Column3_Industry Volumes 2 2" xfId="5349" xr:uid="{00000000-0005-0000-0000-0000DC140000}"/>
    <cellStyle name="_Column3_Industry Volumes 2 2 2" xfId="5350" xr:uid="{00000000-0005-0000-0000-0000DD140000}"/>
    <cellStyle name="_Column3_Industry Volumes 2 3" xfId="5351" xr:uid="{00000000-0005-0000-0000-0000DE140000}"/>
    <cellStyle name="_Column3_Industry Volumes 2 3 2" xfId="5352" xr:uid="{00000000-0005-0000-0000-0000DF140000}"/>
    <cellStyle name="_Column3_Industry Volumes 2 3 3" xfId="5353" xr:uid="{00000000-0005-0000-0000-0000E0140000}"/>
    <cellStyle name="_Column3_Industry Volumes 2 4" xfId="5354" xr:uid="{00000000-0005-0000-0000-0000E1140000}"/>
    <cellStyle name="_Column3_Industry Volumes 2 5" xfId="5355" xr:uid="{00000000-0005-0000-0000-0000E2140000}"/>
    <cellStyle name="_Column3_Industry Volumes 3" xfId="5356" xr:uid="{00000000-0005-0000-0000-0000E3140000}"/>
    <cellStyle name="_Column3_Industry Volumes 3 2" xfId="5357" xr:uid="{00000000-0005-0000-0000-0000E4140000}"/>
    <cellStyle name="_Column3_Industry Volumes 3 3" xfId="5358" xr:uid="{00000000-0005-0000-0000-0000E5140000}"/>
    <cellStyle name="_Column3_Industry Volumes 3 3 2" xfId="5359" xr:uid="{00000000-0005-0000-0000-0000E6140000}"/>
    <cellStyle name="_Column3_Industry Volumes 4" xfId="5360" xr:uid="{00000000-0005-0000-0000-0000E7140000}"/>
    <cellStyle name="_Column3_Industry Volumes 4 2" xfId="5361" xr:uid="{00000000-0005-0000-0000-0000E8140000}"/>
    <cellStyle name="_Column3_Industry Volumes 4 3" xfId="5362" xr:uid="{00000000-0005-0000-0000-0000E9140000}"/>
    <cellStyle name="_Column3_Industry Volumes 5" xfId="5363" xr:uid="{00000000-0005-0000-0000-0000EA140000}"/>
    <cellStyle name="_Column3_Industry Volumes 6" xfId="5364" xr:uid="{00000000-0005-0000-0000-0000EB140000}"/>
    <cellStyle name="_Column3_Industry Volumes_Sheet1" xfId="5365" xr:uid="{00000000-0005-0000-0000-0000EC140000}"/>
    <cellStyle name="_Column3_Industry Volumes_Sm Proj Cash Flow" xfId="5366" xr:uid="{00000000-0005-0000-0000-0000ED140000}"/>
    <cellStyle name="_Column3_Industry Volumes_Spend Detail" xfId="5367" xr:uid="{00000000-0005-0000-0000-0000EE140000}"/>
    <cellStyle name="_Column3_Industry Volumes_SustainingProjectList" xfId="5368" xr:uid="{00000000-0005-0000-0000-0000EF140000}"/>
    <cellStyle name="_Column3_Iniciativas P3A GPV &amp; CSD HILA '10" xfId="5369" xr:uid="{00000000-0005-0000-0000-0000F0140000}"/>
    <cellStyle name="_Column3_Iniciativas P3A GPV &amp; CSD HILA '10 2" xfId="5370" xr:uid="{00000000-0005-0000-0000-0000F1140000}"/>
    <cellStyle name="_Column3_Iniciativas P3A GPV &amp; CSD HILA '10 2 2" xfId="5371" xr:uid="{00000000-0005-0000-0000-0000F2140000}"/>
    <cellStyle name="_Column3_Iniciativas P3A GPV &amp; CSD HILA '10 3" xfId="5372" xr:uid="{00000000-0005-0000-0000-0000F3140000}"/>
    <cellStyle name="_Column3_innovation volumi" xfId="5373" xr:uid="{00000000-0005-0000-0000-0000F4140000}"/>
    <cellStyle name="_Column3_INPUT" xfId="5374" xr:uid="{00000000-0005-0000-0000-0000F5140000}"/>
    <cellStyle name="_Column3_IS LE1 ricevuto da On Trade" xfId="5375" xr:uid="{00000000-0005-0000-0000-0000F6140000}"/>
    <cellStyle name="_Column3_IT_TR2 (Maco YTD Giu)" xfId="5376" xr:uid="{00000000-0005-0000-0000-0000F7140000}"/>
    <cellStyle name="_Column3_June draft ON + DD" xfId="5377" xr:uid="{00000000-0005-0000-0000-0000F8140000}"/>
    <cellStyle name="_Column3_JW_Absätze aus diversen MACO-Würfeln" xfId="5378" xr:uid="{00000000-0005-0000-0000-0000F9140000}"/>
    <cellStyle name="_Column3_JW_Transferpreise 2006" xfId="5379" xr:uid="{00000000-0005-0000-0000-0000FA140000}"/>
    <cellStyle name="_Column3_JW_Transferpreise IDVG 2005" xfId="5380" xr:uid="{00000000-0005-0000-0000-0000FB140000}"/>
    <cellStyle name="_Column3_K01 Budget'07 mens" xfId="5381" xr:uid="{00000000-0005-0000-0000-0000FC140000}"/>
    <cellStyle name="_Column3_K01 January 07" xfId="5382" xr:uid="{00000000-0005-0000-0000-0000FD140000}"/>
    <cellStyle name="_Column3_KK_3YP Model S&amp;D Stand 3.7.07" xfId="5383" xr:uid="{00000000-0005-0000-0000-0000FE140000}"/>
    <cellStyle name="_Column3_KK_3YP Model S&amp;D Stand 3.7.07 2" xfId="5384" xr:uid="{00000000-0005-0000-0000-0000FF140000}"/>
    <cellStyle name="_Column3_KK_3YP Model S&amp;D Stand 3.7.07 2 2" xfId="5385" xr:uid="{00000000-0005-0000-0000-000000150000}"/>
    <cellStyle name="_Column3_KK_3YP Model S&amp;D Stand 3.7.07 2 2 2" xfId="5386" xr:uid="{00000000-0005-0000-0000-000001150000}"/>
    <cellStyle name="_Column3_KK_3YP Model S&amp;D Stand 3.7.07 2 3" xfId="5387" xr:uid="{00000000-0005-0000-0000-000002150000}"/>
    <cellStyle name="_Column3_KK_3YP Model S&amp;D Stand 3.7.07 2 3 2" xfId="5388" xr:uid="{00000000-0005-0000-0000-000003150000}"/>
    <cellStyle name="_Column3_KK_3YP Model S&amp;D Stand 3.7.07 2 3 3" xfId="5389" xr:uid="{00000000-0005-0000-0000-000004150000}"/>
    <cellStyle name="_Column3_KK_3YP Model S&amp;D Stand 3.7.07 2 4" xfId="5390" xr:uid="{00000000-0005-0000-0000-000005150000}"/>
    <cellStyle name="_Column3_KK_3YP Model S&amp;D Stand 3.7.07 2 5" xfId="5391" xr:uid="{00000000-0005-0000-0000-000006150000}"/>
    <cellStyle name="_Column3_KK_3YP Model S&amp;D Stand 3.7.07 3" xfId="5392" xr:uid="{00000000-0005-0000-0000-000007150000}"/>
    <cellStyle name="_Column3_KK_3YP Model S&amp;D Stand 3.7.07 3 2" xfId="5393" xr:uid="{00000000-0005-0000-0000-000008150000}"/>
    <cellStyle name="_Column3_KK_3YP Model S&amp;D Stand 3.7.07 3 3" xfId="5394" xr:uid="{00000000-0005-0000-0000-000009150000}"/>
    <cellStyle name="_Column3_KK_3YP Model S&amp;D Stand 3.7.07 3 3 2" xfId="5395" xr:uid="{00000000-0005-0000-0000-00000A150000}"/>
    <cellStyle name="_Column3_KK_3YP Model S&amp;D Stand 3.7.07 4" xfId="5396" xr:uid="{00000000-0005-0000-0000-00000B150000}"/>
    <cellStyle name="_Column3_KK_3YP Model S&amp;D Stand 3.7.07 4 2" xfId="5397" xr:uid="{00000000-0005-0000-0000-00000C150000}"/>
    <cellStyle name="_Column3_KK_3YP Model S&amp;D Stand 3.7.07 4 3" xfId="5398" xr:uid="{00000000-0005-0000-0000-00000D150000}"/>
    <cellStyle name="_Column3_KK_3YP Model S&amp;D Stand 3.7.07 5" xfId="5399" xr:uid="{00000000-0005-0000-0000-00000E150000}"/>
    <cellStyle name="_Column3_KK_3YP Model S&amp;D Stand 3.7.07 6" xfId="5400" xr:uid="{00000000-0005-0000-0000-00000F150000}"/>
    <cellStyle name="_Column3_KK_3YP Model S&amp;D Stand 3.7.07_Sheet1" xfId="5401" xr:uid="{00000000-0005-0000-0000-000010150000}"/>
    <cellStyle name="_Column3_KK_3YP Model S&amp;D Stand 3.7.07_Sm Proj Cash Flow" xfId="5402" xr:uid="{00000000-0005-0000-0000-000011150000}"/>
    <cellStyle name="_Column3_KK_3YP Model S&amp;D Stand 3.7.07_Spend Detail" xfId="5403" xr:uid="{00000000-0005-0000-0000-000012150000}"/>
    <cellStyle name="_Column3_KK_3YP Model S&amp;D Stand 3.7.07_SustainingProjectList" xfId="5404" xr:uid="{00000000-0005-0000-0000-000013150000}"/>
    <cellStyle name="_Column3_LE 1 On Trade" xfId="5405" xr:uid="{00000000-0005-0000-0000-000014150000}"/>
    <cellStyle name="_Column3_LE1" xfId="5406" xr:uid="{00000000-0005-0000-0000-000015150000}"/>
    <cellStyle name="_Column3_LE1 2007" xfId="5407" xr:uid="{00000000-0005-0000-0000-000016150000}"/>
    <cellStyle name="_Column3_LE1 controllo ZBB vers 27.4.07 bis" xfId="5408" xr:uid="{00000000-0005-0000-0000-000017150000}"/>
    <cellStyle name="_Column3_LEI templates - per Francesca by PPM" xfId="5409" xr:uid="{00000000-0005-0000-0000-000018150000}"/>
    <cellStyle name="_Column3_loop ist energie" xfId="5410" xr:uid="{00000000-0005-0000-0000-000019150000}"/>
    <cellStyle name="_Column3_Maco budget 2007 On Trade" xfId="5411" xr:uid="{00000000-0005-0000-0000-00001A150000}"/>
    <cellStyle name="_Column3_Maco IN MACO e ITW" xfId="5412" xr:uid="{00000000-0005-0000-0000-00001B150000}"/>
    <cellStyle name="_Column3_Maco IN MACO e ITW Feb" xfId="5413" xr:uid="{00000000-0005-0000-0000-00001C150000}"/>
    <cellStyle name="_Column3_Maco L2" xfId="5414" xr:uid="{00000000-0005-0000-0000-00001D150000}"/>
    <cellStyle name="_Column3_Maco LE1 vers 30.4.07" xfId="5415" xr:uid="{00000000-0005-0000-0000-00001E150000}"/>
    <cellStyle name="_Column3_Maco LE1 vers 30.4.07 PER PRESENTAZ" xfId="5416" xr:uid="{00000000-0005-0000-0000-00001F150000}"/>
    <cellStyle name="_Column3_MACO waterfall feb'07" xfId="5417" xr:uid="{00000000-0005-0000-0000-000020150000}"/>
    <cellStyle name="_Column3_Mappe2" xfId="5418" xr:uid="{00000000-0005-0000-0000-000021150000}"/>
    <cellStyle name="_Column3_Mark up Ist" xfId="5419" xr:uid="{00000000-0005-0000-0000-000022150000}"/>
    <cellStyle name="_Column3_Marzo 2007 Deck vers 16.4.07" xfId="5420" xr:uid="{00000000-0005-0000-0000-000023150000}"/>
    <cellStyle name="_Column3_Mens volumi LE1 x BBP" xfId="5421" xr:uid="{00000000-0005-0000-0000-000024150000}"/>
    <cellStyle name="_Column3_MIS1" xfId="5422" xr:uid="{00000000-0005-0000-0000-000025150000}"/>
    <cellStyle name="_Column3_MIS10" xfId="5423" xr:uid="{00000000-0005-0000-0000-000026150000}"/>
    <cellStyle name="_Column3_MIS17" xfId="5424" xr:uid="{00000000-0005-0000-0000-000027150000}"/>
    <cellStyle name="_Column3_MIS2" xfId="5425" xr:uid="{00000000-0005-0000-0000-000028150000}"/>
    <cellStyle name="_Column3_MIS2 2" xfId="5426" xr:uid="{00000000-0005-0000-0000-000029150000}"/>
    <cellStyle name="_Column3_MIS2 2 2" xfId="5427" xr:uid="{00000000-0005-0000-0000-00002A150000}"/>
    <cellStyle name="_Column3_MIS2 2 2 2" xfId="5428" xr:uid="{00000000-0005-0000-0000-00002B150000}"/>
    <cellStyle name="_Column3_MIS2 2 3" xfId="5429" xr:uid="{00000000-0005-0000-0000-00002C150000}"/>
    <cellStyle name="_Column3_MIS2 2 3 2" xfId="5430" xr:uid="{00000000-0005-0000-0000-00002D150000}"/>
    <cellStyle name="_Column3_MIS2 2 3 3" xfId="5431" xr:uid="{00000000-0005-0000-0000-00002E150000}"/>
    <cellStyle name="_Column3_MIS2 2 4" xfId="5432" xr:uid="{00000000-0005-0000-0000-00002F150000}"/>
    <cellStyle name="_Column3_MIS2 2 5" xfId="5433" xr:uid="{00000000-0005-0000-0000-000030150000}"/>
    <cellStyle name="_Column3_MIS2 3" xfId="5434" xr:uid="{00000000-0005-0000-0000-000031150000}"/>
    <cellStyle name="_Column3_MIS2 3 2" xfId="5435" xr:uid="{00000000-0005-0000-0000-000032150000}"/>
    <cellStyle name="_Column3_MIS2 3 3" xfId="5436" xr:uid="{00000000-0005-0000-0000-000033150000}"/>
    <cellStyle name="_Column3_MIS2 3 3 2" xfId="5437" xr:uid="{00000000-0005-0000-0000-000034150000}"/>
    <cellStyle name="_Column3_MIS2 4" xfId="5438" xr:uid="{00000000-0005-0000-0000-000035150000}"/>
    <cellStyle name="_Column3_MIS2 4 2" xfId="5439" xr:uid="{00000000-0005-0000-0000-000036150000}"/>
    <cellStyle name="_Column3_MIS2 4 3" xfId="5440" xr:uid="{00000000-0005-0000-0000-000037150000}"/>
    <cellStyle name="_Column3_MIS2 5" xfId="5441" xr:uid="{00000000-0005-0000-0000-000038150000}"/>
    <cellStyle name="_Column3_MIS2 6" xfId="5442" xr:uid="{00000000-0005-0000-0000-000039150000}"/>
    <cellStyle name="_Column3_MIS2_1" xfId="5443" xr:uid="{00000000-0005-0000-0000-00003A150000}"/>
    <cellStyle name="_Column3_MIS2_Anlagenbelegung Auswertung SKU pro Linie 2006-07-25 -ÜB." xfId="5444" xr:uid="{00000000-0005-0000-0000-00003B150000}"/>
    <cellStyle name="_Column3_MIS2_Basis" xfId="5445" xr:uid="{00000000-0005-0000-0000-00003C150000}"/>
    <cellStyle name="_Column3_MIS2_Basis 2" xfId="5446" xr:uid="{00000000-0005-0000-0000-00003D150000}"/>
    <cellStyle name="_Column3_MIS2_Basis 2 2" xfId="5447" xr:uid="{00000000-0005-0000-0000-00003E150000}"/>
    <cellStyle name="_Column3_MIS2_Basis_Sheet1" xfId="5448" xr:uid="{00000000-0005-0000-0000-00003F150000}"/>
    <cellStyle name="_Column3_MIS2_Basis_Sheet5" xfId="5449" xr:uid="{00000000-0005-0000-0000-000040150000}"/>
    <cellStyle name="_Column3_MIS2_Basis_Sm Proj Cash Flow" xfId="5450" xr:uid="{00000000-0005-0000-0000-000041150000}"/>
    <cellStyle name="_Column3_MIS2_Basis_Spend Detail" xfId="5451" xr:uid="{00000000-0005-0000-0000-000042150000}"/>
    <cellStyle name="_Column3_MIS2_Basis_SustainingProjectList" xfId="5452" xr:uid="{00000000-0005-0000-0000-000043150000}"/>
    <cellStyle name="_Column3_MIS2_Changeover t, theor. u. per h. " xfId="5453" xr:uid="{00000000-0005-0000-0000-000044150000}"/>
    <cellStyle name="_Column3_MIS2_d12" xfId="5454" xr:uid="{00000000-0005-0000-0000-000045150000}"/>
    <cellStyle name="_Column3_MIS2_d12 2" xfId="5455" xr:uid="{00000000-0005-0000-0000-000046150000}"/>
    <cellStyle name="_Column3_MIS2_d12 3" xfId="5456" xr:uid="{00000000-0005-0000-0000-000047150000}"/>
    <cellStyle name="_Column3_MIS2_d12 3 2" xfId="5457" xr:uid="{00000000-0005-0000-0000-000048150000}"/>
    <cellStyle name="_Column3_MIS2_d12 3 3" xfId="5458" xr:uid="{00000000-0005-0000-0000-000049150000}"/>
    <cellStyle name="_Column3_MIS2_d12 3 3 2" xfId="5459" xr:uid="{00000000-0005-0000-0000-00004A150000}"/>
    <cellStyle name="_Column3_MIS2_d12 4" xfId="5460" xr:uid="{00000000-0005-0000-0000-00004B150000}"/>
    <cellStyle name="_Column3_MIS2_d12 4 2" xfId="5461" xr:uid="{00000000-0005-0000-0000-00004C150000}"/>
    <cellStyle name="_Column3_MIS2_d12_Sheet5" xfId="5462" xr:uid="{00000000-0005-0000-0000-00004D150000}"/>
    <cellStyle name="_Column3_MIS2_für Arbeitsliste" xfId="5463" xr:uid="{00000000-0005-0000-0000-00004E150000}"/>
    <cellStyle name="_Column3_MIS2_für Arbeitsliste 2" xfId="5464" xr:uid="{00000000-0005-0000-0000-00004F150000}"/>
    <cellStyle name="_Column3_MIS2_für Arbeitsliste 3" xfId="5465" xr:uid="{00000000-0005-0000-0000-000050150000}"/>
    <cellStyle name="_Column3_MIS2_für Arbeitsliste 3 2" xfId="5466" xr:uid="{00000000-0005-0000-0000-000051150000}"/>
    <cellStyle name="_Column3_MIS2_für Arbeitsliste 3 3" xfId="5467" xr:uid="{00000000-0005-0000-0000-000052150000}"/>
    <cellStyle name="_Column3_MIS2_für Arbeitsliste 3 3 2" xfId="5468" xr:uid="{00000000-0005-0000-0000-000053150000}"/>
    <cellStyle name="_Column3_MIS2_für Arbeitsliste 4" xfId="5469" xr:uid="{00000000-0005-0000-0000-000054150000}"/>
    <cellStyle name="_Column3_MIS2_für Arbeitsliste 4 2" xfId="5470" xr:uid="{00000000-0005-0000-0000-000055150000}"/>
    <cellStyle name="_Column3_MIS2_für Arbeitsliste_Sheet5" xfId="5471" xr:uid="{00000000-0005-0000-0000-000056150000}"/>
    <cellStyle name="_Column3_MIS2_Hopfen" xfId="5472" xr:uid="{00000000-0005-0000-0000-000057150000}"/>
    <cellStyle name="_Column3_MIS2_Hopfen 2" xfId="5473" xr:uid="{00000000-0005-0000-0000-000058150000}"/>
    <cellStyle name="_Column3_MIS2_Hopfen 3" xfId="5474" xr:uid="{00000000-0005-0000-0000-000059150000}"/>
    <cellStyle name="_Column3_MIS2_Hopfen 3 2" xfId="5475" xr:uid="{00000000-0005-0000-0000-00005A150000}"/>
    <cellStyle name="_Column3_MIS2_Hopfen 3 3" xfId="5476" xr:uid="{00000000-0005-0000-0000-00005B150000}"/>
    <cellStyle name="_Column3_MIS2_Hopfen 3 3 2" xfId="5477" xr:uid="{00000000-0005-0000-0000-00005C150000}"/>
    <cellStyle name="_Column3_MIS2_Hopfen 4" xfId="5478" xr:uid="{00000000-0005-0000-0000-00005D150000}"/>
    <cellStyle name="_Column3_MIS2_Hopfen 4 2" xfId="5479" xr:uid="{00000000-0005-0000-0000-00005E150000}"/>
    <cellStyle name="_Column3_MIS2_Hopfen_Sheet5" xfId="5480" xr:uid="{00000000-0005-0000-0000-00005F150000}"/>
    <cellStyle name="_Column3_MIS2_JW_VPLC Bremen" xfId="5481" xr:uid="{00000000-0005-0000-0000-000060150000}"/>
    <cellStyle name="_Column3_MIS2_Maint." xfId="5482" xr:uid="{00000000-0005-0000-0000-000061150000}"/>
    <cellStyle name="_Column3_MIS2_Maint. 2" xfId="5483" xr:uid="{00000000-0005-0000-0000-000062150000}"/>
    <cellStyle name="_Column3_MIS2_Maint. 3" xfId="5484" xr:uid="{00000000-0005-0000-0000-000063150000}"/>
    <cellStyle name="_Column3_MIS2_Maint. 3 2" xfId="5485" xr:uid="{00000000-0005-0000-0000-000064150000}"/>
    <cellStyle name="_Column3_MIS2_Maint. 3 3" xfId="5486" xr:uid="{00000000-0005-0000-0000-000065150000}"/>
    <cellStyle name="_Column3_MIS2_Maint. 3 3 2" xfId="5487" xr:uid="{00000000-0005-0000-0000-000066150000}"/>
    <cellStyle name="_Column3_MIS2_Maint. 4" xfId="5488" xr:uid="{00000000-0005-0000-0000-000067150000}"/>
    <cellStyle name="_Column3_MIS2_Maint. 4 2" xfId="5489" xr:uid="{00000000-0005-0000-0000-000068150000}"/>
    <cellStyle name="_Column3_MIS2_Maint._Sheet5" xfId="5490" xr:uid="{00000000-0005-0000-0000-000069150000}"/>
    <cellStyle name="_Column3_MIS2_Malz" xfId="5491" xr:uid="{00000000-0005-0000-0000-00006A150000}"/>
    <cellStyle name="_Column3_MIS2_Malz 2" xfId="5492" xr:uid="{00000000-0005-0000-0000-00006B150000}"/>
    <cellStyle name="_Column3_MIS2_Malz 3" xfId="5493" xr:uid="{00000000-0005-0000-0000-00006C150000}"/>
    <cellStyle name="_Column3_MIS2_Malz 3 2" xfId="5494" xr:uid="{00000000-0005-0000-0000-00006D150000}"/>
    <cellStyle name="_Column3_MIS2_Malz 3 3" xfId="5495" xr:uid="{00000000-0005-0000-0000-00006E150000}"/>
    <cellStyle name="_Column3_MIS2_Malz 3 3 2" xfId="5496" xr:uid="{00000000-0005-0000-0000-00006F150000}"/>
    <cellStyle name="_Column3_MIS2_Malz 4" xfId="5497" xr:uid="{00000000-0005-0000-0000-000070150000}"/>
    <cellStyle name="_Column3_MIS2_Malz 4 2" xfId="5498" xr:uid="{00000000-0005-0000-0000-000071150000}"/>
    <cellStyle name="_Column3_MIS2_Malz_Sheet5" xfId="5499" xr:uid="{00000000-0005-0000-0000-000072150000}"/>
    <cellStyle name="_Column3_MIS2_Mother line Bremen" xfId="5500" xr:uid="{00000000-0005-0000-0000-000073150000}"/>
    <cellStyle name="_Column3_MIS2_P-LE-YTD-abs" xfId="5501" xr:uid="{00000000-0005-0000-0000-000074150000}"/>
    <cellStyle name="_Column3_MIS2_P-LE-YTD-abs 2" xfId="5502" xr:uid="{00000000-0005-0000-0000-000075150000}"/>
    <cellStyle name="_Column3_MIS2_P-LE-YTD-abs 3" xfId="5503" xr:uid="{00000000-0005-0000-0000-000076150000}"/>
    <cellStyle name="_Column3_MIS2_P-LE-YTD-abs 3 2" xfId="5504" xr:uid="{00000000-0005-0000-0000-000077150000}"/>
    <cellStyle name="_Column3_MIS2_P-LE-YTD-abs 3 3" xfId="5505" xr:uid="{00000000-0005-0000-0000-000078150000}"/>
    <cellStyle name="_Column3_MIS2_P-LE-YTD-abs 3 3 2" xfId="5506" xr:uid="{00000000-0005-0000-0000-000079150000}"/>
    <cellStyle name="_Column3_MIS2_P-LE-YTD-abs 4" xfId="5507" xr:uid="{00000000-0005-0000-0000-00007A150000}"/>
    <cellStyle name="_Column3_MIS2_P-LE-YTD-abs 4 2" xfId="5508" xr:uid="{00000000-0005-0000-0000-00007B150000}"/>
    <cellStyle name="_Column3_MIS2_P-LE-YTD-abs_Sheet5" xfId="5509" xr:uid="{00000000-0005-0000-0000-00007C150000}"/>
    <cellStyle name="_Column3_MIS2_RB&amp;JW_Produktionsplanung_LE1_2006 sortiert" xfId="5510" xr:uid="{00000000-0005-0000-0000-00007D150000}"/>
    <cellStyle name="_Column3_MIS2_RB&amp;JW_Produktionsplanung_LE1_2006 sortiert 2" xfId="5511" xr:uid="{00000000-0005-0000-0000-00007E150000}"/>
    <cellStyle name="_Column3_MIS2_RB&amp;JW_Produktionsplanung_LE1_2006 sortiert 2 2" xfId="5512" xr:uid="{00000000-0005-0000-0000-00007F150000}"/>
    <cellStyle name="_Column3_MIS2_RB&amp;JW_Produktionsplanung_LE1_2006 sortiert_Sheet1" xfId="5513" xr:uid="{00000000-0005-0000-0000-000080150000}"/>
    <cellStyle name="_Column3_MIS2_RB&amp;JW_Produktionsplanung_LE1_2006 sortiert_Sheet5" xfId="5514" xr:uid="{00000000-0005-0000-0000-000081150000}"/>
    <cellStyle name="_Column3_MIS2_RB&amp;JW_Produktionsplanung_LE1_2006 sortiert_Sm Proj Cash Flow" xfId="5515" xr:uid="{00000000-0005-0000-0000-000082150000}"/>
    <cellStyle name="_Column3_MIS2_RB&amp;JW_Produktionsplanung_LE1_2006 sortiert_Spend Detail" xfId="5516" xr:uid="{00000000-0005-0000-0000-000083150000}"/>
    <cellStyle name="_Column3_MIS2_RB&amp;JW_Produktionsplanung_LE1_2006 sortiert_SustainingProjectList" xfId="5517" xr:uid="{00000000-0005-0000-0000-000084150000}"/>
    <cellStyle name="_Column3_MIS2_Rüstzeit" xfId="5518" xr:uid="{00000000-0005-0000-0000-000085150000}"/>
    <cellStyle name="_Column3_MIS2_SCFD AD HAN" xfId="5519" xr:uid="{00000000-0005-0000-0000-000086150000}"/>
    <cellStyle name="_Column3_MIS2_SCFD AD HAN 2" xfId="5520" xr:uid="{00000000-0005-0000-0000-000087150000}"/>
    <cellStyle name="_Column3_MIS2_SCFD AD HAN 3" xfId="5521" xr:uid="{00000000-0005-0000-0000-000088150000}"/>
    <cellStyle name="_Column3_MIS2_SCFD AD HAN 3 2" xfId="5522" xr:uid="{00000000-0005-0000-0000-000089150000}"/>
    <cellStyle name="_Column3_MIS2_SCFD AD HAN 3 3" xfId="5523" xr:uid="{00000000-0005-0000-0000-00008A150000}"/>
    <cellStyle name="_Column3_MIS2_SCFD AD HAN 3 3 2" xfId="5524" xr:uid="{00000000-0005-0000-0000-00008B150000}"/>
    <cellStyle name="_Column3_MIS2_SCFD AD HAN 4" xfId="5525" xr:uid="{00000000-0005-0000-0000-00008C150000}"/>
    <cellStyle name="_Column3_MIS2_SCFD AD HAN 4 2" xfId="5526" xr:uid="{00000000-0005-0000-0000-00008D150000}"/>
    <cellStyle name="_Column3_MIS2_SCFD AD HAN BU07" xfId="5527" xr:uid="{00000000-0005-0000-0000-00008E150000}"/>
    <cellStyle name="_Column3_MIS2_SCFD AD HAN BU07 2" xfId="5528" xr:uid="{00000000-0005-0000-0000-00008F150000}"/>
    <cellStyle name="_Column3_MIS2_SCFD AD HAN BU07 3" xfId="5529" xr:uid="{00000000-0005-0000-0000-000090150000}"/>
    <cellStyle name="_Column3_MIS2_SCFD AD HAN BU07 3 2" xfId="5530" xr:uid="{00000000-0005-0000-0000-000091150000}"/>
    <cellStyle name="_Column3_MIS2_SCFD AD HAN BU07 3 3" xfId="5531" xr:uid="{00000000-0005-0000-0000-000092150000}"/>
    <cellStyle name="_Column3_MIS2_SCFD AD HAN BU07 3 3 2" xfId="5532" xr:uid="{00000000-0005-0000-0000-000093150000}"/>
    <cellStyle name="_Column3_MIS2_SCFD AD HAN BU07 4" xfId="5533" xr:uid="{00000000-0005-0000-0000-000094150000}"/>
    <cellStyle name="_Column3_MIS2_SCFD AD HAN BU07 4 2" xfId="5534" xr:uid="{00000000-0005-0000-0000-000095150000}"/>
    <cellStyle name="_Column3_MIS2_SCFD AD HAN BU07_Sheet5" xfId="5535" xr:uid="{00000000-0005-0000-0000-000096150000}"/>
    <cellStyle name="_Column3_MIS2_SCFD AD HAN BU07_V3_still_vs_LE2_18.01.2007" xfId="5536" xr:uid="{00000000-0005-0000-0000-000097150000}"/>
    <cellStyle name="_Column3_MIS2_SCFD AD HAN BU07_V3_still_vs_LE2_18.01.2007 2" xfId="5537" xr:uid="{00000000-0005-0000-0000-000098150000}"/>
    <cellStyle name="_Column3_MIS2_SCFD AD HAN BU07_V3_still_vs_LE2_18.01.2007 3" xfId="5538" xr:uid="{00000000-0005-0000-0000-000099150000}"/>
    <cellStyle name="_Column3_MIS2_SCFD AD HAN BU07_V3_still_vs_LE2_18.01.2007 3 2" xfId="5539" xr:uid="{00000000-0005-0000-0000-00009A150000}"/>
    <cellStyle name="_Column3_MIS2_SCFD AD HAN BU07_V3_still_vs_LE2_18.01.2007 3 3" xfId="5540" xr:uid="{00000000-0005-0000-0000-00009B150000}"/>
    <cellStyle name="_Column3_MIS2_SCFD AD HAN BU07_V3_still_vs_LE2_18.01.2007 3 3 2" xfId="5541" xr:uid="{00000000-0005-0000-0000-00009C150000}"/>
    <cellStyle name="_Column3_MIS2_SCFD AD HAN BU07_V3_still_vs_LE2_18.01.2007 4" xfId="5542" xr:uid="{00000000-0005-0000-0000-00009D150000}"/>
    <cellStyle name="_Column3_MIS2_SCFD AD HAN BU07_V3_still_vs_LE2_18.01.2007 4 2" xfId="5543" xr:uid="{00000000-0005-0000-0000-00009E150000}"/>
    <cellStyle name="_Column3_MIS2_SCFD AD HAN BU07_V3_still_vs_LE2_18.01.2007_Sheet5" xfId="5544" xr:uid="{00000000-0005-0000-0000-00009F150000}"/>
    <cellStyle name="_Column3_MIS2_SCFD AD HAN BU07_V3_task_vs_LE2_18.01.2007" xfId="5545" xr:uid="{00000000-0005-0000-0000-0000A0150000}"/>
    <cellStyle name="_Column3_MIS2_SCFD AD HAN BU07_V3_task_vs_LE2_18.01.2007 2" xfId="5546" xr:uid="{00000000-0005-0000-0000-0000A1150000}"/>
    <cellStyle name="_Column3_MIS2_SCFD AD HAN BU07_V3_task_vs_LE2_18.01.2007 3" xfId="5547" xr:uid="{00000000-0005-0000-0000-0000A2150000}"/>
    <cellStyle name="_Column3_MIS2_SCFD AD HAN BU07_V3_task_vs_LE2_18.01.2007 3 2" xfId="5548" xr:uid="{00000000-0005-0000-0000-0000A3150000}"/>
    <cellStyle name="_Column3_MIS2_SCFD AD HAN BU07_V3_task_vs_LE2_18.01.2007 3 3" xfId="5549" xr:uid="{00000000-0005-0000-0000-0000A4150000}"/>
    <cellStyle name="_Column3_MIS2_SCFD AD HAN BU07_V3_task_vs_LE2_18.01.2007 3 3 2" xfId="5550" xr:uid="{00000000-0005-0000-0000-0000A5150000}"/>
    <cellStyle name="_Column3_MIS2_SCFD AD HAN BU07_V3_task_vs_LE2_18.01.2007 4" xfId="5551" xr:uid="{00000000-0005-0000-0000-0000A6150000}"/>
    <cellStyle name="_Column3_MIS2_SCFD AD HAN BU07_V3_task_vs_LE2_18.01.2007 4 2" xfId="5552" xr:uid="{00000000-0005-0000-0000-0000A7150000}"/>
    <cellStyle name="_Column3_MIS2_SCFD AD HAN BU07_V3_task_vs_LE2_18.01.2007_Sheet5" xfId="5553" xr:uid="{00000000-0005-0000-0000-0000A8150000}"/>
    <cellStyle name="_Column3_MIS2_SCFD AD HAN_Sheet5" xfId="5554" xr:uid="{00000000-0005-0000-0000-0000A9150000}"/>
    <cellStyle name="_Column3_MIS2_Sheet5" xfId="5555" xr:uid="{00000000-0005-0000-0000-0000AA150000}"/>
    <cellStyle name="_Column3_MIS2_SKU Volumen" xfId="5556" xr:uid="{00000000-0005-0000-0000-0000AB150000}"/>
    <cellStyle name="_Column3_MIS2_SKU Volumen 2" xfId="5557" xr:uid="{00000000-0005-0000-0000-0000AC150000}"/>
    <cellStyle name="_Column3_MIS2_SKU Volumen_Sheet1" xfId="5558" xr:uid="{00000000-0005-0000-0000-0000AD150000}"/>
    <cellStyle name="_Column3_MIS2_SKU Volumen_Sm Proj Cash Flow" xfId="5559" xr:uid="{00000000-0005-0000-0000-0000AE150000}"/>
    <cellStyle name="_Column3_MIS2_SKU Volumen_Spend Detail" xfId="5560" xr:uid="{00000000-0005-0000-0000-0000AF150000}"/>
    <cellStyle name="_Column3_MIS2_SKU Volumen_SustainingProjectList" xfId="5561" xr:uid="{00000000-0005-0000-0000-0000B0150000}"/>
    <cellStyle name="_Column3_MIS2_Tabelle1" xfId="5562" xr:uid="{00000000-0005-0000-0000-0000B1150000}"/>
    <cellStyle name="_Column3_MIS2_Tabelle1 2" xfId="5563" xr:uid="{00000000-0005-0000-0000-0000B2150000}"/>
    <cellStyle name="_Column3_MIS2_Tabelle1 2 2" xfId="5564" xr:uid="{00000000-0005-0000-0000-0000B3150000}"/>
    <cellStyle name="_Column3_MIS2_Tabelle1 3" xfId="5565" xr:uid="{00000000-0005-0000-0000-0000B4150000}"/>
    <cellStyle name="_Column3_MIS2_Tabelle1_Sheet1" xfId="5566" xr:uid="{00000000-0005-0000-0000-0000B5150000}"/>
    <cellStyle name="_Column3_MIS2_Tabelle1_Sm Proj Cash Flow" xfId="5567" xr:uid="{00000000-0005-0000-0000-0000B6150000}"/>
    <cellStyle name="_Column3_MIS2_Tabelle1_Spend Detail" xfId="5568" xr:uid="{00000000-0005-0000-0000-0000B7150000}"/>
    <cellStyle name="_Column3_MIS2_Tabelle1_SustainingProjectList" xfId="5569" xr:uid="{00000000-0005-0000-0000-0000B8150000}"/>
    <cellStyle name="_Column3_MIS2_volumes (2)" xfId="5570" xr:uid="{00000000-0005-0000-0000-0000B9150000}"/>
    <cellStyle name="_Column3_MIS2_volumes (2) 2" xfId="5571" xr:uid="{00000000-0005-0000-0000-0000BA150000}"/>
    <cellStyle name="_Column3_MIS2_volumes (2) 3" xfId="5572" xr:uid="{00000000-0005-0000-0000-0000BB150000}"/>
    <cellStyle name="_Column3_MIS2_volumes (2) 3 2" xfId="5573" xr:uid="{00000000-0005-0000-0000-0000BC150000}"/>
    <cellStyle name="_Column3_MIS2_volumes (2) 3 3" xfId="5574" xr:uid="{00000000-0005-0000-0000-0000BD150000}"/>
    <cellStyle name="_Column3_MIS2_volumes (2) 3 3 2" xfId="5575" xr:uid="{00000000-0005-0000-0000-0000BE150000}"/>
    <cellStyle name="_Column3_MIS2_volumes (2) 4" xfId="5576" xr:uid="{00000000-0005-0000-0000-0000BF150000}"/>
    <cellStyle name="_Column3_MIS2_volumes (2) 4 2" xfId="5577" xr:uid="{00000000-0005-0000-0000-0000C0150000}"/>
    <cellStyle name="_Column3_MIS2_volumes (2)_Sheet5" xfId="5578" xr:uid="{00000000-0005-0000-0000-0000C1150000}"/>
    <cellStyle name="_Column3_Mis23" xfId="5579" xr:uid="{00000000-0005-0000-0000-0000C2150000}"/>
    <cellStyle name="_Column3_Mis24" xfId="5580" xr:uid="{00000000-0005-0000-0000-0000C3150000}"/>
    <cellStyle name="_Column3_Mis24 2" xfId="5581" xr:uid="{00000000-0005-0000-0000-0000C4150000}"/>
    <cellStyle name="_Column3_Mis24 2 2" xfId="5582" xr:uid="{00000000-0005-0000-0000-0000C5150000}"/>
    <cellStyle name="_Column3_Mis24 3" xfId="5583" xr:uid="{00000000-0005-0000-0000-0000C6150000}"/>
    <cellStyle name="_Column3_Mis24_Simulador Precio VE 2009" xfId="5584" xr:uid="{00000000-0005-0000-0000-0000C7150000}"/>
    <cellStyle name="_Column3_Mis24_Simulador Precio VE 2009 2" xfId="5585" xr:uid="{00000000-0005-0000-0000-0000C8150000}"/>
    <cellStyle name="_Column3_Mis24_Simulador Precio VE 2009 2 2" xfId="5586" xr:uid="{00000000-0005-0000-0000-0000C9150000}"/>
    <cellStyle name="_Column3_Mis24_Simulador Precio VE 2009 3" xfId="5587" xr:uid="{00000000-0005-0000-0000-0000CA150000}"/>
    <cellStyle name="_Column3_Mis25" xfId="5588" xr:uid="{00000000-0005-0000-0000-0000CB150000}"/>
    <cellStyle name="_Column3_MIS3" xfId="5589" xr:uid="{00000000-0005-0000-0000-0000CC150000}"/>
    <cellStyle name="_Column3_MIS3 2" xfId="5590" xr:uid="{00000000-0005-0000-0000-0000CD150000}"/>
    <cellStyle name="_Column3_MIS3 2 2" xfId="5591" xr:uid="{00000000-0005-0000-0000-0000CE150000}"/>
    <cellStyle name="_Column3_MIS3 2 2 2" xfId="5592" xr:uid="{00000000-0005-0000-0000-0000CF150000}"/>
    <cellStyle name="_Column3_MIS3 2 3" xfId="5593" xr:uid="{00000000-0005-0000-0000-0000D0150000}"/>
    <cellStyle name="_Column3_MIS3 2 3 2" xfId="5594" xr:uid="{00000000-0005-0000-0000-0000D1150000}"/>
    <cellStyle name="_Column3_MIS3 2 3 3" xfId="5595" xr:uid="{00000000-0005-0000-0000-0000D2150000}"/>
    <cellStyle name="_Column3_MIS3 2 4" xfId="5596" xr:uid="{00000000-0005-0000-0000-0000D3150000}"/>
    <cellStyle name="_Column3_MIS3 2 5" xfId="5597" xr:uid="{00000000-0005-0000-0000-0000D4150000}"/>
    <cellStyle name="_Column3_MIS3 3" xfId="5598" xr:uid="{00000000-0005-0000-0000-0000D5150000}"/>
    <cellStyle name="_Column3_MIS3 3 2" xfId="5599" xr:uid="{00000000-0005-0000-0000-0000D6150000}"/>
    <cellStyle name="_Column3_MIS3 3 3" xfId="5600" xr:uid="{00000000-0005-0000-0000-0000D7150000}"/>
    <cellStyle name="_Column3_MIS3 3 3 2" xfId="5601" xr:uid="{00000000-0005-0000-0000-0000D8150000}"/>
    <cellStyle name="_Column3_MIS3 4" xfId="5602" xr:uid="{00000000-0005-0000-0000-0000D9150000}"/>
    <cellStyle name="_Column3_MIS3 4 2" xfId="5603" xr:uid="{00000000-0005-0000-0000-0000DA150000}"/>
    <cellStyle name="_Column3_MIS3 4 3" xfId="5604" xr:uid="{00000000-0005-0000-0000-0000DB150000}"/>
    <cellStyle name="_Column3_MIS3 5" xfId="5605" xr:uid="{00000000-0005-0000-0000-0000DC150000}"/>
    <cellStyle name="_Column3_MIS3 6" xfId="5606" xr:uid="{00000000-0005-0000-0000-0000DD150000}"/>
    <cellStyle name="_Column3_MIS3_Sheet1" xfId="5607" xr:uid="{00000000-0005-0000-0000-0000DE150000}"/>
    <cellStyle name="_Column3_MIS3_Sm Proj Cash Flow" xfId="5608" xr:uid="{00000000-0005-0000-0000-0000DF150000}"/>
    <cellStyle name="_Column3_MIS3_Spend Detail" xfId="5609" xr:uid="{00000000-0005-0000-0000-0000E0150000}"/>
    <cellStyle name="_Column3_MIS3_SustainingProjectList" xfId="5610" xr:uid="{00000000-0005-0000-0000-0000E1150000}"/>
    <cellStyle name="_Column3_MIS4" xfId="5611" xr:uid="{00000000-0005-0000-0000-0000E2150000}"/>
    <cellStyle name="_Column3_MIS4_1" xfId="5612" xr:uid="{00000000-0005-0000-0000-0000E3150000}"/>
    <cellStyle name="_Column3_MIS4_1_packaging" xfId="5613" xr:uid="{00000000-0005-0000-0000-0000E4150000}"/>
    <cellStyle name="_Column3_MIS5" xfId="5614" xr:uid="{00000000-0005-0000-0000-0000E5150000}"/>
    <cellStyle name="_Column3_MIS5 2" xfId="5615" xr:uid="{00000000-0005-0000-0000-0000E6150000}"/>
    <cellStyle name="_Column3_MIS5 3" xfId="5616" xr:uid="{00000000-0005-0000-0000-0000E7150000}"/>
    <cellStyle name="_Column3_MIS5 3 2" xfId="5617" xr:uid="{00000000-0005-0000-0000-0000E8150000}"/>
    <cellStyle name="_Column3_MIS5 3 3" xfId="5618" xr:uid="{00000000-0005-0000-0000-0000E9150000}"/>
    <cellStyle name="_Column3_MIS5 3 3 2" xfId="5619" xr:uid="{00000000-0005-0000-0000-0000EA150000}"/>
    <cellStyle name="_Column3_MIS5 4" xfId="5620" xr:uid="{00000000-0005-0000-0000-0000EB150000}"/>
    <cellStyle name="_Column3_MIS5 4 2" xfId="5621" xr:uid="{00000000-0005-0000-0000-0000EC150000}"/>
    <cellStyle name="_Column3_MIS5 5" xfId="5622" xr:uid="{00000000-0005-0000-0000-0000ED150000}"/>
    <cellStyle name="_Column3_MIS5_1" xfId="5623" xr:uid="{00000000-0005-0000-0000-0000EE150000}"/>
    <cellStyle name="_Column3_MIS5_1_packaging" xfId="5624" xr:uid="{00000000-0005-0000-0000-0000EF150000}"/>
    <cellStyle name="_Column3_MIS5_d12" xfId="5625" xr:uid="{00000000-0005-0000-0000-0000F0150000}"/>
    <cellStyle name="_Column3_MIS5_d12 2" xfId="5626" xr:uid="{00000000-0005-0000-0000-0000F1150000}"/>
    <cellStyle name="_Column3_MIS5_d12 3" xfId="5627" xr:uid="{00000000-0005-0000-0000-0000F2150000}"/>
    <cellStyle name="_Column3_MIS5_d12 3 2" xfId="5628" xr:uid="{00000000-0005-0000-0000-0000F3150000}"/>
    <cellStyle name="_Column3_MIS5_d12 3 3" xfId="5629" xr:uid="{00000000-0005-0000-0000-0000F4150000}"/>
    <cellStyle name="_Column3_MIS5_d12 3 3 2" xfId="5630" xr:uid="{00000000-0005-0000-0000-0000F5150000}"/>
    <cellStyle name="_Column3_MIS5_d12 4" xfId="5631" xr:uid="{00000000-0005-0000-0000-0000F6150000}"/>
    <cellStyle name="_Column3_MIS5_d12 4 2" xfId="5632" xr:uid="{00000000-0005-0000-0000-0000F7150000}"/>
    <cellStyle name="_Column3_MIS5_d12_Sheet5" xfId="5633" xr:uid="{00000000-0005-0000-0000-0000F8150000}"/>
    <cellStyle name="_Column3_MIS5_für Arbeitsliste" xfId="5634" xr:uid="{00000000-0005-0000-0000-0000F9150000}"/>
    <cellStyle name="_Column3_MIS5_für Arbeitsliste 2" xfId="5635" xr:uid="{00000000-0005-0000-0000-0000FA150000}"/>
    <cellStyle name="_Column3_MIS5_für Arbeitsliste 3" xfId="5636" xr:uid="{00000000-0005-0000-0000-0000FB150000}"/>
    <cellStyle name="_Column3_MIS5_für Arbeitsliste 3 2" xfId="5637" xr:uid="{00000000-0005-0000-0000-0000FC150000}"/>
    <cellStyle name="_Column3_MIS5_für Arbeitsliste 3 3" xfId="5638" xr:uid="{00000000-0005-0000-0000-0000FD150000}"/>
    <cellStyle name="_Column3_MIS5_für Arbeitsliste 3 3 2" xfId="5639" xr:uid="{00000000-0005-0000-0000-0000FE150000}"/>
    <cellStyle name="_Column3_MIS5_für Arbeitsliste 4" xfId="5640" xr:uid="{00000000-0005-0000-0000-0000FF150000}"/>
    <cellStyle name="_Column3_MIS5_für Arbeitsliste 4 2" xfId="5641" xr:uid="{00000000-0005-0000-0000-000000160000}"/>
    <cellStyle name="_Column3_MIS5_für Arbeitsliste_Sheet5" xfId="5642" xr:uid="{00000000-0005-0000-0000-000001160000}"/>
    <cellStyle name="_Column3_MIS5_Hopfen" xfId="5643" xr:uid="{00000000-0005-0000-0000-000002160000}"/>
    <cellStyle name="_Column3_MIS5_Hopfen 2" xfId="5644" xr:uid="{00000000-0005-0000-0000-000003160000}"/>
    <cellStyle name="_Column3_MIS5_Hopfen 3" xfId="5645" xr:uid="{00000000-0005-0000-0000-000004160000}"/>
    <cellStyle name="_Column3_MIS5_Hopfen 3 2" xfId="5646" xr:uid="{00000000-0005-0000-0000-000005160000}"/>
    <cellStyle name="_Column3_MIS5_Hopfen 3 3" xfId="5647" xr:uid="{00000000-0005-0000-0000-000006160000}"/>
    <cellStyle name="_Column3_MIS5_Hopfen 3 3 2" xfId="5648" xr:uid="{00000000-0005-0000-0000-000007160000}"/>
    <cellStyle name="_Column3_MIS5_Hopfen 4" xfId="5649" xr:uid="{00000000-0005-0000-0000-000008160000}"/>
    <cellStyle name="_Column3_MIS5_Hopfen 4 2" xfId="5650" xr:uid="{00000000-0005-0000-0000-000009160000}"/>
    <cellStyle name="_Column3_MIS5_Hopfen_Sheet5" xfId="5651" xr:uid="{00000000-0005-0000-0000-00000A160000}"/>
    <cellStyle name="_Column3_MIS5_Maint." xfId="5652" xr:uid="{00000000-0005-0000-0000-00000B160000}"/>
    <cellStyle name="_Column3_MIS5_Maint. 2" xfId="5653" xr:uid="{00000000-0005-0000-0000-00000C160000}"/>
    <cellStyle name="_Column3_MIS5_Maint. 3" xfId="5654" xr:uid="{00000000-0005-0000-0000-00000D160000}"/>
    <cellStyle name="_Column3_MIS5_Maint. 3 2" xfId="5655" xr:uid="{00000000-0005-0000-0000-00000E160000}"/>
    <cellStyle name="_Column3_MIS5_Maint. 3 3" xfId="5656" xr:uid="{00000000-0005-0000-0000-00000F160000}"/>
    <cellStyle name="_Column3_MIS5_Maint. 3 3 2" xfId="5657" xr:uid="{00000000-0005-0000-0000-000010160000}"/>
    <cellStyle name="_Column3_MIS5_Maint. 4" xfId="5658" xr:uid="{00000000-0005-0000-0000-000011160000}"/>
    <cellStyle name="_Column3_MIS5_Maint. 4 2" xfId="5659" xr:uid="{00000000-0005-0000-0000-000012160000}"/>
    <cellStyle name="_Column3_MIS5_Maint._Sheet5" xfId="5660" xr:uid="{00000000-0005-0000-0000-000013160000}"/>
    <cellStyle name="_Column3_MIS5_Malz" xfId="5661" xr:uid="{00000000-0005-0000-0000-000014160000}"/>
    <cellStyle name="_Column3_MIS5_Malz 2" xfId="5662" xr:uid="{00000000-0005-0000-0000-000015160000}"/>
    <cellStyle name="_Column3_MIS5_Malz 3" xfId="5663" xr:uid="{00000000-0005-0000-0000-000016160000}"/>
    <cellStyle name="_Column3_MIS5_Malz 3 2" xfId="5664" xr:uid="{00000000-0005-0000-0000-000017160000}"/>
    <cellStyle name="_Column3_MIS5_Malz 3 3" xfId="5665" xr:uid="{00000000-0005-0000-0000-000018160000}"/>
    <cellStyle name="_Column3_MIS5_Malz 3 3 2" xfId="5666" xr:uid="{00000000-0005-0000-0000-000019160000}"/>
    <cellStyle name="_Column3_MIS5_Malz 4" xfId="5667" xr:uid="{00000000-0005-0000-0000-00001A160000}"/>
    <cellStyle name="_Column3_MIS5_Malz 4 2" xfId="5668" xr:uid="{00000000-0005-0000-0000-00001B160000}"/>
    <cellStyle name="_Column3_MIS5_Malz_Sheet5" xfId="5669" xr:uid="{00000000-0005-0000-0000-00001C160000}"/>
    <cellStyle name="_Column3_MIS5_P-LE-YTD-abs" xfId="5670" xr:uid="{00000000-0005-0000-0000-00001D160000}"/>
    <cellStyle name="_Column3_MIS5_P-LE-YTD-abs 2" xfId="5671" xr:uid="{00000000-0005-0000-0000-00001E160000}"/>
    <cellStyle name="_Column3_MIS5_P-LE-YTD-abs 3" xfId="5672" xr:uid="{00000000-0005-0000-0000-00001F160000}"/>
    <cellStyle name="_Column3_MIS5_P-LE-YTD-abs 3 2" xfId="5673" xr:uid="{00000000-0005-0000-0000-000020160000}"/>
    <cellStyle name="_Column3_MIS5_P-LE-YTD-abs 3 3" xfId="5674" xr:uid="{00000000-0005-0000-0000-000021160000}"/>
    <cellStyle name="_Column3_MIS5_P-LE-YTD-abs 3 3 2" xfId="5675" xr:uid="{00000000-0005-0000-0000-000022160000}"/>
    <cellStyle name="_Column3_MIS5_P-LE-YTD-abs 4" xfId="5676" xr:uid="{00000000-0005-0000-0000-000023160000}"/>
    <cellStyle name="_Column3_MIS5_P-LE-YTD-abs 4 2" xfId="5677" xr:uid="{00000000-0005-0000-0000-000024160000}"/>
    <cellStyle name="_Column3_MIS5_P-LE-YTD-abs_Sheet5" xfId="5678" xr:uid="{00000000-0005-0000-0000-000025160000}"/>
    <cellStyle name="_Column3_MIS5_Rüstzeit" xfId="5679" xr:uid="{00000000-0005-0000-0000-000026160000}"/>
    <cellStyle name="_Column3_MIS5_SCFD AD HAN" xfId="5680" xr:uid="{00000000-0005-0000-0000-000027160000}"/>
    <cellStyle name="_Column3_MIS5_SCFD AD HAN 2" xfId="5681" xr:uid="{00000000-0005-0000-0000-000028160000}"/>
    <cellStyle name="_Column3_MIS5_SCFD AD HAN 3" xfId="5682" xr:uid="{00000000-0005-0000-0000-000029160000}"/>
    <cellStyle name="_Column3_MIS5_SCFD AD HAN 3 2" xfId="5683" xr:uid="{00000000-0005-0000-0000-00002A160000}"/>
    <cellStyle name="_Column3_MIS5_SCFD AD HAN 3 3" xfId="5684" xr:uid="{00000000-0005-0000-0000-00002B160000}"/>
    <cellStyle name="_Column3_MIS5_SCFD AD HAN 3 3 2" xfId="5685" xr:uid="{00000000-0005-0000-0000-00002C160000}"/>
    <cellStyle name="_Column3_MIS5_SCFD AD HAN 4" xfId="5686" xr:uid="{00000000-0005-0000-0000-00002D160000}"/>
    <cellStyle name="_Column3_MIS5_SCFD AD HAN 4 2" xfId="5687" xr:uid="{00000000-0005-0000-0000-00002E160000}"/>
    <cellStyle name="_Column3_MIS5_SCFD AD HAN BU07" xfId="5688" xr:uid="{00000000-0005-0000-0000-00002F160000}"/>
    <cellStyle name="_Column3_MIS5_SCFD AD HAN BU07 2" xfId="5689" xr:uid="{00000000-0005-0000-0000-000030160000}"/>
    <cellStyle name="_Column3_MIS5_SCFD AD HAN BU07 3" xfId="5690" xr:uid="{00000000-0005-0000-0000-000031160000}"/>
    <cellStyle name="_Column3_MIS5_SCFD AD HAN BU07 3 2" xfId="5691" xr:uid="{00000000-0005-0000-0000-000032160000}"/>
    <cellStyle name="_Column3_MIS5_SCFD AD HAN BU07 3 3" xfId="5692" xr:uid="{00000000-0005-0000-0000-000033160000}"/>
    <cellStyle name="_Column3_MIS5_SCFD AD HAN BU07 3 3 2" xfId="5693" xr:uid="{00000000-0005-0000-0000-000034160000}"/>
    <cellStyle name="_Column3_MIS5_SCFD AD HAN BU07 4" xfId="5694" xr:uid="{00000000-0005-0000-0000-000035160000}"/>
    <cellStyle name="_Column3_MIS5_SCFD AD HAN BU07 4 2" xfId="5695" xr:uid="{00000000-0005-0000-0000-000036160000}"/>
    <cellStyle name="_Column3_MIS5_SCFD AD HAN BU07_Sheet5" xfId="5696" xr:uid="{00000000-0005-0000-0000-000037160000}"/>
    <cellStyle name="_Column3_MIS5_SCFD AD HAN BU07_V3_still_vs_LE2_18.01.2007" xfId="5697" xr:uid="{00000000-0005-0000-0000-000038160000}"/>
    <cellStyle name="_Column3_MIS5_SCFD AD HAN BU07_V3_still_vs_LE2_18.01.2007 2" xfId="5698" xr:uid="{00000000-0005-0000-0000-000039160000}"/>
    <cellStyle name="_Column3_MIS5_SCFD AD HAN BU07_V3_still_vs_LE2_18.01.2007 3" xfId="5699" xr:uid="{00000000-0005-0000-0000-00003A160000}"/>
    <cellStyle name="_Column3_MIS5_SCFD AD HAN BU07_V3_still_vs_LE2_18.01.2007 3 2" xfId="5700" xr:uid="{00000000-0005-0000-0000-00003B160000}"/>
    <cellStyle name="_Column3_MIS5_SCFD AD HAN BU07_V3_still_vs_LE2_18.01.2007 3 3" xfId="5701" xr:uid="{00000000-0005-0000-0000-00003C160000}"/>
    <cellStyle name="_Column3_MIS5_SCFD AD HAN BU07_V3_still_vs_LE2_18.01.2007 3 3 2" xfId="5702" xr:uid="{00000000-0005-0000-0000-00003D160000}"/>
    <cellStyle name="_Column3_MIS5_SCFD AD HAN BU07_V3_still_vs_LE2_18.01.2007 4" xfId="5703" xr:uid="{00000000-0005-0000-0000-00003E160000}"/>
    <cellStyle name="_Column3_MIS5_SCFD AD HAN BU07_V3_still_vs_LE2_18.01.2007 4 2" xfId="5704" xr:uid="{00000000-0005-0000-0000-00003F160000}"/>
    <cellStyle name="_Column3_MIS5_SCFD AD HAN BU07_V3_still_vs_LE2_18.01.2007_Sheet5" xfId="5705" xr:uid="{00000000-0005-0000-0000-000040160000}"/>
    <cellStyle name="_Column3_MIS5_SCFD AD HAN BU07_V3_task_vs_LE2_18.01.2007" xfId="5706" xr:uid="{00000000-0005-0000-0000-000041160000}"/>
    <cellStyle name="_Column3_MIS5_SCFD AD HAN BU07_V3_task_vs_LE2_18.01.2007 2" xfId="5707" xr:uid="{00000000-0005-0000-0000-000042160000}"/>
    <cellStyle name="_Column3_MIS5_SCFD AD HAN BU07_V3_task_vs_LE2_18.01.2007 3" xfId="5708" xr:uid="{00000000-0005-0000-0000-000043160000}"/>
    <cellStyle name="_Column3_MIS5_SCFD AD HAN BU07_V3_task_vs_LE2_18.01.2007 3 2" xfId="5709" xr:uid="{00000000-0005-0000-0000-000044160000}"/>
    <cellStyle name="_Column3_MIS5_SCFD AD HAN BU07_V3_task_vs_LE2_18.01.2007 3 3" xfId="5710" xr:uid="{00000000-0005-0000-0000-000045160000}"/>
    <cellStyle name="_Column3_MIS5_SCFD AD HAN BU07_V3_task_vs_LE2_18.01.2007 3 3 2" xfId="5711" xr:uid="{00000000-0005-0000-0000-000046160000}"/>
    <cellStyle name="_Column3_MIS5_SCFD AD HAN BU07_V3_task_vs_LE2_18.01.2007 4" xfId="5712" xr:uid="{00000000-0005-0000-0000-000047160000}"/>
    <cellStyle name="_Column3_MIS5_SCFD AD HAN BU07_V3_task_vs_LE2_18.01.2007 4 2" xfId="5713" xr:uid="{00000000-0005-0000-0000-000048160000}"/>
    <cellStyle name="_Column3_MIS5_SCFD AD HAN BU07_V3_task_vs_LE2_18.01.2007_Sheet5" xfId="5714" xr:uid="{00000000-0005-0000-0000-000049160000}"/>
    <cellStyle name="_Column3_MIS5_SCFD AD HAN_Sheet5" xfId="5715" xr:uid="{00000000-0005-0000-0000-00004A160000}"/>
    <cellStyle name="_Column3_MIS5_Sheet5" xfId="5716" xr:uid="{00000000-0005-0000-0000-00004B160000}"/>
    <cellStyle name="_Column3_MIS5_Tabelle1" xfId="5717" xr:uid="{00000000-0005-0000-0000-00004C160000}"/>
    <cellStyle name="_Column3_MIS5_volumes (2)" xfId="5718" xr:uid="{00000000-0005-0000-0000-00004D160000}"/>
    <cellStyle name="_Column3_MIS5_volumes (2) 2" xfId="5719" xr:uid="{00000000-0005-0000-0000-00004E160000}"/>
    <cellStyle name="_Column3_MIS5_volumes (2) 3" xfId="5720" xr:uid="{00000000-0005-0000-0000-00004F160000}"/>
    <cellStyle name="_Column3_MIS5_volumes (2) 3 2" xfId="5721" xr:uid="{00000000-0005-0000-0000-000050160000}"/>
    <cellStyle name="_Column3_MIS5_volumes (2) 3 3" xfId="5722" xr:uid="{00000000-0005-0000-0000-000051160000}"/>
    <cellStyle name="_Column3_MIS5_volumes (2) 3 3 2" xfId="5723" xr:uid="{00000000-0005-0000-0000-000052160000}"/>
    <cellStyle name="_Column3_MIS5_volumes (2) 4" xfId="5724" xr:uid="{00000000-0005-0000-0000-000053160000}"/>
    <cellStyle name="_Column3_MIS5_volumes (2) 4 2" xfId="5725" xr:uid="{00000000-0005-0000-0000-000054160000}"/>
    <cellStyle name="_Column3_MIS5_volumes (2)_Sheet5" xfId="5726" xr:uid="{00000000-0005-0000-0000-000055160000}"/>
    <cellStyle name="_Column3_MIS7" xfId="5727" xr:uid="{00000000-0005-0000-0000-000056160000}"/>
    <cellStyle name="_Column3_MIS9" xfId="5728" xr:uid="{00000000-0005-0000-0000-000057160000}"/>
    <cellStyle name="_Column3_MIS9 2" xfId="5729" xr:uid="{00000000-0005-0000-0000-000058160000}"/>
    <cellStyle name="_Column3_MIS9_Anlagenbelegung Auswertung SKU pro Linie 2006-07-25 -ÜB." xfId="5730" xr:uid="{00000000-0005-0000-0000-000059160000}"/>
    <cellStyle name="_Column3_Mkt marzo" xfId="5731" xr:uid="{00000000-0005-0000-0000-00005A160000}"/>
    <cellStyle name="_Column3_Netherlands" xfId="5732" xr:uid="{00000000-0005-0000-0000-00005B160000}"/>
    <cellStyle name="_Column3_NNT_LE'08_1605vsBGT'09_1713" xfId="5733" xr:uid="{00000000-0005-0000-0000-00005C160000}"/>
    <cellStyle name="_Column3_NNT_LE'08_1605vsBGT'09_1713 2" xfId="5734" xr:uid="{00000000-0005-0000-0000-00005D160000}"/>
    <cellStyle name="_Column3_NNT_LE'08_1605vsBGT'09_1713 3" xfId="5735" xr:uid="{00000000-0005-0000-0000-00005E160000}"/>
    <cellStyle name="_Column3_NNT_LE'08_1605vsBGT'09_1713 3 2" xfId="5736" xr:uid="{00000000-0005-0000-0000-00005F160000}"/>
    <cellStyle name="_Column3_NNT_LE'08_1605vsBGT'09_1713 3 3" xfId="5737" xr:uid="{00000000-0005-0000-0000-000060160000}"/>
    <cellStyle name="_Column3_NNT_LE'08_1605vsBGT'09_1713 3 3 2" xfId="5738" xr:uid="{00000000-0005-0000-0000-000061160000}"/>
    <cellStyle name="_Column3_NNT_LE'08_1605vsBGT'09_1713 4" xfId="5739" xr:uid="{00000000-0005-0000-0000-000062160000}"/>
    <cellStyle name="_Column3_NNT_LE'08_1605vsBGT'09_1713 4 2" xfId="5740" xr:uid="{00000000-0005-0000-0000-000063160000}"/>
    <cellStyle name="_Column3_Non bev sales income" xfId="5741" xr:uid="{00000000-0005-0000-0000-000064160000}"/>
    <cellStyle name="_Column3_Non bev. sales income" xfId="5742" xr:uid="{00000000-0005-0000-0000-000065160000}"/>
    <cellStyle name="_Column3_Nuove sku" xfId="5743" xr:uid="{00000000-0005-0000-0000-000066160000}"/>
    <cellStyle name="_Column3_Off T. marzo" xfId="5744" xr:uid="{00000000-0005-0000-0000-000067160000}"/>
    <cellStyle name="_Column3_OFF TRADE Volumi e maco Bdg 2007 by LUCA" xfId="5745" xr:uid="{00000000-0005-0000-0000-000068160000}"/>
    <cellStyle name="_Column3_OFF TRADE_MACO 2006" xfId="5746" xr:uid="{00000000-0005-0000-0000-000069160000}"/>
    <cellStyle name="_Column3_On Trade estratto al 30.06.06" xfId="5747" xr:uid="{00000000-0005-0000-0000-00006A160000}"/>
    <cellStyle name="_Column3_On Trade Gen'07" xfId="5748" xr:uid="{00000000-0005-0000-0000-00006B160000}"/>
    <cellStyle name="_Column3_Out of scope" xfId="5749" xr:uid="{00000000-0005-0000-0000-00006C160000}"/>
    <cellStyle name="_Column3_Packages + Subpack" xfId="5750" xr:uid="{00000000-0005-0000-0000-00006D160000}"/>
    <cellStyle name="_Column3_Packages ON + DD" xfId="5751" xr:uid="{00000000-0005-0000-0000-00006E160000}"/>
    <cellStyle name="_Column3_packaging" xfId="5752" xr:uid="{00000000-0005-0000-0000-00006F160000}"/>
    <cellStyle name="_Column3_packaging_1" xfId="5753" xr:uid="{00000000-0005-0000-0000-000070160000}"/>
    <cellStyle name="_Column3_Partner - bilancio novembre" xfId="5754" xr:uid="{00000000-0005-0000-0000-000071160000}"/>
    <cellStyle name="_Column3_PE" xfId="5755" xr:uid="{00000000-0005-0000-0000-000072160000}"/>
    <cellStyle name="_Column3_PE 2" xfId="5756" xr:uid="{00000000-0005-0000-0000-000073160000}"/>
    <cellStyle name="_Column3_PE 2 2" xfId="5757" xr:uid="{00000000-0005-0000-0000-000074160000}"/>
    <cellStyle name="_Column3_PE 3" xfId="5758" xr:uid="{00000000-0005-0000-0000-000075160000}"/>
    <cellStyle name="_Column3_People Package" xfId="5759" xr:uid="{00000000-0005-0000-0000-000076160000}"/>
    <cellStyle name="_Column3_People Package (2)" xfId="5760" xr:uid="{00000000-0005-0000-0000-000077160000}"/>
    <cellStyle name="_Column3_People Package (2) 2" xfId="5761" xr:uid="{00000000-0005-0000-0000-000078160000}"/>
    <cellStyle name="_Column3_People Package (2) 2 2" xfId="5762" xr:uid="{00000000-0005-0000-0000-000079160000}"/>
    <cellStyle name="_Column3_People Package (2) 3" xfId="5763" xr:uid="{00000000-0005-0000-0000-00007A160000}"/>
    <cellStyle name="_Column3_People Package 2" xfId="5764" xr:uid="{00000000-0005-0000-0000-00007B160000}"/>
    <cellStyle name="_Column3_People Package 2 2" xfId="5765" xr:uid="{00000000-0005-0000-0000-00007C160000}"/>
    <cellStyle name="_Column3_People Package 3" xfId="5766" xr:uid="{00000000-0005-0000-0000-00007D160000}"/>
    <cellStyle name="_Column3_People Package 3 2" xfId="5767" xr:uid="{00000000-0005-0000-0000-00007E160000}"/>
    <cellStyle name="_Column3_People Package 4" xfId="5768" xr:uid="{00000000-0005-0000-0000-00007F160000}"/>
    <cellStyle name="_Column3_People Package 5" xfId="5769" xr:uid="{00000000-0005-0000-0000-000080160000}"/>
    <cellStyle name="_Column3_P-LE-YTD-abs(loc)" xfId="5770" xr:uid="{00000000-0005-0000-0000-000081160000}"/>
    <cellStyle name="_Column3_P-LE-YTD-abs(loc)_packaging" xfId="5771" xr:uid="{00000000-0005-0000-0000-000082160000}"/>
    <cellStyle name="_Column3_RB&amp;JW_Produktionsplanung_LE1_2006 sortiert" xfId="5772" xr:uid="{00000000-0005-0000-0000-000083160000}"/>
    <cellStyle name="_Column3_RB&amp;JW_Produktionsplanung_LE1_2006 sortiert 2" xfId="5773" xr:uid="{00000000-0005-0000-0000-000084160000}"/>
    <cellStyle name="_Column3_RB&amp;JW_Produktionsplanung_LE1_2006 sortiert 2 2" xfId="5774" xr:uid="{00000000-0005-0000-0000-000085160000}"/>
    <cellStyle name="_Column3_RB&amp;JW_Produktionsplanung_LE1_2006 sortiert_Sheet1" xfId="5775" xr:uid="{00000000-0005-0000-0000-000086160000}"/>
    <cellStyle name="_Column3_RB&amp;JW_Produktionsplanung_LE1_2006 sortiert_Sheet5" xfId="5776" xr:uid="{00000000-0005-0000-0000-000087160000}"/>
    <cellStyle name="_Column3_RB&amp;JW_Produktionsplanung_LE1_2006 sortiert_Sm Proj Cash Flow" xfId="5777" xr:uid="{00000000-0005-0000-0000-000088160000}"/>
    <cellStyle name="_Column3_RB&amp;JW_Produktionsplanung_LE1_2006 sortiert_Spend Detail" xfId="5778" xr:uid="{00000000-0005-0000-0000-000089160000}"/>
    <cellStyle name="_Column3_RB&amp;JW_Produktionsplanung_LE1_2006 sortiert_SustainingProjectList" xfId="5779" xr:uid="{00000000-0005-0000-0000-00008A160000}"/>
    <cellStyle name="_Column3_RD" xfId="5780" xr:uid="{00000000-0005-0000-0000-00008B160000}"/>
    <cellStyle name="_Column3_RD 2" xfId="5781" xr:uid="{00000000-0005-0000-0000-00008C160000}"/>
    <cellStyle name="_Column3_RD 2 2" xfId="5782" xr:uid="{00000000-0005-0000-0000-00008D160000}"/>
    <cellStyle name="_Column3_RD 3" xfId="5783" xr:uid="{00000000-0005-0000-0000-00008E160000}"/>
    <cellStyle name="_Column3_Report Inbev FINANCE November 06" xfId="5784" xr:uid="{00000000-0005-0000-0000-00008F160000}"/>
    <cellStyle name="_Column3_Return rates" xfId="5785" xr:uid="{00000000-0005-0000-0000-000090160000}"/>
    <cellStyle name="_Column3_Returnable Packaging" xfId="5786" xr:uid="{00000000-0005-0000-0000-000091160000}"/>
    <cellStyle name="_Column3_Returnable Packaging Prices 2008 (2)" xfId="5787" xr:uid="{00000000-0005-0000-0000-000092160000}"/>
    <cellStyle name="_Column3_Rüstzeit" xfId="5788" xr:uid="{00000000-0005-0000-0000-000093160000}"/>
    <cellStyle name="_Column3_RW_Mutteranlge" xfId="5789" xr:uid="{00000000-0005-0000-0000-000094160000}"/>
    <cellStyle name="_Column3_RW4" xfId="5790" xr:uid="{00000000-0005-0000-0000-000095160000}"/>
    <cellStyle name="_Column3_S&amp;D Italy" xfId="5791" xr:uid="{00000000-0005-0000-0000-000096160000}"/>
    <cellStyle name="_Column3_Sales" xfId="5792" xr:uid="{00000000-0005-0000-0000-000097160000}"/>
    <cellStyle name="_Column3_Sales and Marketing - revised" xfId="5793" xr:uid="{00000000-0005-0000-0000-000098160000}"/>
    <cellStyle name="_Column3_Sales and Marketing - revised 2" xfId="5794" xr:uid="{00000000-0005-0000-0000-000099160000}"/>
    <cellStyle name="_Column3_Sales and Marketing - revised 2 2" xfId="5795" xr:uid="{00000000-0005-0000-0000-00009A160000}"/>
    <cellStyle name="_Column3_Sales and Marketing - revised 3" xfId="5796" xr:uid="{00000000-0005-0000-0000-00009B160000}"/>
    <cellStyle name="_Column3_Sales Daten" xfId="5797" xr:uid="{00000000-0005-0000-0000-00009C160000}"/>
    <cellStyle name="_Column3_Sales On-Trade" xfId="5798" xr:uid="{00000000-0005-0000-0000-00009D160000}"/>
    <cellStyle name="_Column3_SCFD_FLACON" xfId="5799" xr:uid="{00000000-0005-0000-0000-00009E160000}"/>
    <cellStyle name="_Column3_Scope_Dinkelacker_2006" xfId="5800" xr:uid="{00000000-0005-0000-0000-00009F160000}"/>
    <cellStyle name="_Column3_Scope_Wolters Budget 2007" xfId="5801" xr:uid="{00000000-0005-0000-0000-0000A0160000}"/>
    <cellStyle name="_Column3_SF_Volumes &amp; Maco pro hl Haake-Beck Budget 2009" xfId="5802" xr:uid="{00000000-0005-0000-0000-0000A1160000}"/>
    <cellStyle name="_Column3_SF_Volumes &amp; Maco pro hl Haake-Beck Budget 2009_RFFS SUBMISSION TO VPs" xfId="5803" xr:uid="{00000000-0005-0000-0000-0000A2160000}"/>
    <cellStyle name="_Column3_SF_Volumes &amp; Maco pro hl Haake-Beck Budget 2009_RFFS_SUBMISSION_TO_VPs _v2" xfId="5804" xr:uid="{00000000-0005-0000-0000-0000A3160000}"/>
    <cellStyle name="_Column3_Sheet1" xfId="5805" xr:uid="{00000000-0005-0000-0000-0000A4160000}"/>
    <cellStyle name="_Column3_Sheet1 (2)" xfId="5806" xr:uid="{00000000-0005-0000-0000-0000A5160000}"/>
    <cellStyle name="_Column3_Sheet1 10" xfId="5807" xr:uid="{00000000-0005-0000-0000-0000A6160000}"/>
    <cellStyle name="_Column3_Sheet1 11" xfId="5808" xr:uid="{00000000-0005-0000-0000-0000A7160000}"/>
    <cellStyle name="_Column3_Sheet1 12" xfId="5809" xr:uid="{00000000-0005-0000-0000-0000A8160000}"/>
    <cellStyle name="_Column3_Sheet1 13" xfId="5810" xr:uid="{00000000-0005-0000-0000-0000A9160000}"/>
    <cellStyle name="_Column3_Sheet1 14" xfId="5811" xr:uid="{00000000-0005-0000-0000-0000AA160000}"/>
    <cellStyle name="_Column3_Sheet1 15" xfId="5812" xr:uid="{00000000-0005-0000-0000-0000AB160000}"/>
    <cellStyle name="_Column3_Sheet1 16" xfId="5813" xr:uid="{00000000-0005-0000-0000-0000AC160000}"/>
    <cellStyle name="_Column3_Sheet1 17" xfId="5814" xr:uid="{00000000-0005-0000-0000-0000AD160000}"/>
    <cellStyle name="_Column3_Sheet1 18" xfId="5815" xr:uid="{00000000-0005-0000-0000-0000AE160000}"/>
    <cellStyle name="_Column3_Sheet1 19" xfId="5816" xr:uid="{00000000-0005-0000-0000-0000AF160000}"/>
    <cellStyle name="_Column3_Sheet1 2" xfId="5817" xr:uid="{00000000-0005-0000-0000-0000B0160000}"/>
    <cellStyle name="_Column3_Sheet1 20" xfId="5818" xr:uid="{00000000-0005-0000-0000-0000B1160000}"/>
    <cellStyle name="_Column3_Sheet1 21" xfId="5819" xr:uid="{00000000-0005-0000-0000-0000B2160000}"/>
    <cellStyle name="_Column3_Sheet1 22" xfId="5820" xr:uid="{00000000-0005-0000-0000-0000B3160000}"/>
    <cellStyle name="_Column3_Sheet1 23" xfId="5821" xr:uid="{00000000-0005-0000-0000-0000B4160000}"/>
    <cellStyle name="_Column3_Sheet1 24" xfId="5822" xr:uid="{00000000-0005-0000-0000-0000B5160000}"/>
    <cellStyle name="_Column3_Sheet1 25" xfId="5823" xr:uid="{00000000-0005-0000-0000-0000B6160000}"/>
    <cellStyle name="_Column3_Sheet1 3" xfId="5824" xr:uid="{00000000-0005-0000-0000-0000B7160000}"/>
    <cellStyle name="_Column3_Sheet1 4" xfId="5825" xr:uid="{00000000-0005-0000-0000-0000B8160000}"/>
    <cellStyle name="_Column3_Sheet1 5" xfId="5826" xr:uid="{00000000-0005-0000-0000-0000B9160000}"/>
    <cellStyle name="_Column3_Sheet1 6" xfId="5827" xr:uid="{00000000-0005-0000-0000-0000BA160000}"/>
    <cellStyle name="_Column3_Sheet1 7" xfId="5828" xr:uid="{00000000-0005-0000-0000-0000BB160000}"/>
    <cellStyle name="_Column3_Sheet1 8" xfId="5829" xr:uid="{00000000-0005-0000-0000-0000BC160000}"/>
    <cellStyle name="_Column3_Sheet1 9" xfId="5830" xr:uid="{00000000-0005-0000-0000-0000BD160000}"/>
    <cellStyle name="_Column3_Sheet1_Analisi vol ott" xfId="5831" xr:uid="{00000000-0005-0000-0000-0000BE160000}"/>
    <cellStyle name="_Column3_Sheet1_BACK UP FIGURES for PRESENTATION LE1" xfId="5832" xr:uid="{00000000-0005-0000-0000-0000BF160000}"/>
    <cellStyle name="_Column3_Sheet1_Belgium" xfId="5833" xr:uid="{00000000-0005-0000-0000-0000C0160000}"/>
    <cellStyle name="_Column3_Sheet1_Belgium_brew" xfId="5834" xr:uid="{00000000-0005-0000-0000-0000C1160000}"/>
    <cellStyle name="_Column3_Sheet1_cans" xfId="5835" xr:uid="{00000000-0005-0000-0000-0000C2160000}"/>
    <cellStyle name="_Column3_Sheet1_Luxembourg_brew" xfId="5836" xr:uid="{00000000-0005-0000-0000-0000C3160000}"/>
    <cellStyle name="_Column3_Sheet1_Maco LE1 vers 30.4.07" xfId="5837" xr:uid="{00000000-0005-0000-0000-0000C4160000}"/>
    <cellStyle name="_Column3_Sheet1_Maco LE1 vers 30.4.07 PER PRESENTAZ" xfId="5838" xr:uid="{00000000-0005-0000-0000-0000C5160000}"/>
    <cellStyle name="_Column3_Sheet1_Marzo 2007 Deck vers 16.4.07" xfId="5839" xr:uid="{00000000-0005-0000-0000-0000C6160000}"/>
    <cellStyle name="_Column3_Sheet1_welp" xfId="5840" xr:uid="{00000000-0005-0000-0000-0000C7160000}"/>
    <cellStyle name="_Column3_Sheet1_welp_RFFS SUBMISSION TO VPs" xfId="5841" xr:uid="{00000000-0005-0000-0000-0000C8160000}"/>
    <cellStyle name="_Column3_Sheet1_welp_RFFS_SUBMISSION_TO_VPs _v2" xfId="5842" xr:uid="{00000000-0005-0000-0000-0000C9160000}"/>
    <cellStyle name="_Column3_Sheet2" xfId="5843" xr:uid="{00000000-0005-0000-0000-0000CA160000}"/>
    <cellStyle name="_Column3_Sheet5" xfId="5844" xr:uid="{00000000-0005-0000-0000-0000CB160000}"/>
    <cellStyle name="_Column3_Simulador Precio VE 2009" xfId="5845" xr:uid="{00000000-0005-0000-0000-0000CC160000}"/>
    <cellStyle name="_Column3_Simulador Precio VE 2009 2" xfId="5846" xr:uid="{00000000-0005-0000-0000-0000CD160000}"/>
    <cellStyle name="_Column3_Simulador Precio VE 2009 2 2" xfId="5847" xr:uid="{00000000-0005-0000-0000-0000CE160000}"/>
    <cellStyle name="_Column3_Simulador Precio VE 2009 3" xfId="5848" xr:uid="{00000000-0005-0000-0000-0000CF160000}"/>
    <cellStyle name="_Column3_Sku listini Off Trade" xfId="5849" xr:uid="{00000000-0005-0000-0000-0000D0160000}"/>
    <cellStyle name="_Column3_SKU Volumen" xfId="5850" xr:uid="{00000000-0005-0000-0000-0000D1160000}"/>
    <cellStyle name="_Column3_SKU Volumen 2" xfId="5851" xr:uid="{00000000-0005-0000-0000-0000D2160000}"/>
    <cellStyle name="_Column3_SKU Volumen_Sheet1" xfId="5852" xr:uid="{00000000-0005-0000-0000-0000D3160000}"/>
    <cellStyle name="_Column3_SKU Volumen_Sm Proj Cash Flow" xfId="5853" xr:uid="{00000000-0005-0000-0000-0000D4160000}"/>
    <cellStyle name="_Column3_SKU Volumen_Spend Detail" xfId="5854" xr:uid="{00000000-0005-0000-0000-0000D5160000}"/>
    <cellStyle name="_Column3_SKU Volumen_SustainingProjectList" xfId="5855" xr:uid="{00000000-0005-0000-0000-0000D6160000}"/>
    <cellStyle name="_Column3_Slide for initiatives (2)" xfId="5856" xr:uid="{00000000-0005-0000-0000-0000D7160000}"/>
    <cellStyle name="_Column3_Slide for initiatives (2) 2" xfId="5857" xr:uid="{00000000-0005-0000-0000-0000D8160000}"/>
    <cellStyle name="_Column3_Slide for initiatives (2) 3" xfId="5858" xr:uid="{00000000-0005-0000-0000-0000D9160000}"/>
    <cellStyle name="_Column3_Slide for initiatives (2) 3 2" xfId="5859" xr:uid="{00000000-0005-0000-0000-0000DA160000}"/>
    <cellStyle name="_Column3_Slide for initiatives (2) 3 3" xfId="5860" xr:uid="{00000000-0005-0000-0000-0000DB160000}"/>
    <cellStyle name="_Column3_Slide for initiatives (2) 3 3 2" xfId="5861" xr:uid="{00000000-0005-0000-0000-0000DC160000}"/>
    <cellStyle name="_Column3_Slide for initiatives (2) 4" xfId="5862" xr:uid="{00000000-0005-0000-0000-0000DD160000}"/>
    <cellStyle name="_Column3_Slide for initiatives (2) 4 2" xfId="5863" xr:uid="{00000000-0005-0000-0000-0000DE160000}"/>
    <cellStyle name="_Column3_slide Innovation" xfId="5864" xr:uid="{00000000-0005-0000-0000-0000DF160000}"/>
    <cellStyle name="_Column3_Sortierkosten LE2 Hasseröder" xfId="5865" xr:uid="{00000000-0005-0000-0000-0000E0160000}"/>
    <cellStyle name="_Column3_SP DEMAND" xfId="5866" xr:uid="{00000000-0005-0000-0000-0000E1160000}"/>
    <cellStyle name="_Column3_SPR_Deck_2008_RFM_20080723" xfId="5867" xr:uid="{00000000-0005-0000-0000-0000E2160000}"/>
    <cellStyle name="_Column3_Stock 9.4" xfId="5868" xr:uid="{00000000-0005-0000-0000-0000E3160000}"/>
    <cellStyle name="_Column3_Strategic Diagnostic Templates Technik" xfId="5869" xr:uid="{00000000-0005-0000-0000-0000E4160000}"/>
    <cellStyle name="_Column3_Strategic Diagnostic Templates Technik 2" xfId="5870" xr:uid="{00000000-0005-0000-0000-0000E5160000}"/>
    <cellStyle name="_Column3_Strategic Diagnostic Templates Technik 2 2" xfId="5871" xr:uid="{00000000-0005-0000-0000-0000E6160000}"/>
    <cellStyle name="_Column3_Strategic Diagnostic Templates Technik 2 2 2" xfId="5872" xr:uid="{00000000-0005-0000-0000-0000E7160000}"/>
    <cellStyle name="_Column3_Strategic Diagnostic Templates Technik 2 3" xfId="5873" xr:uid="{00000000-0005-0000-0000-0000E8160000}"/>
    <cellStyle name="_Column3_Strategic Diagnostic Templates Technik 3" xfId="5874" xr:uid="{00000000-0005-0000-0000-0000E9160000}"/>
    <cellStyle name="_Column3_Strategic Diagnostic Templates Technik 3 2" xfId="5875" xr:uid="{00000000-0005-0000-0000-0000EA160000}"/>
    <cellStyle name="_Column3_Strategic Diagnostic Templates Technik 4" xfId="5876" xr:uid="{00000000-0005-0000-0000-0000EB160000}"/>
    <cellStyle name="_Column3_Strategic Diagnostic Templates Technik_010808 Market Programs  for Budget Deck" xfId="5877" xr:uid="{00000000-0005-0000-0000-0000EC160000}"/>
    <cellStyle name="_Column3_Strategic Diagnostic Templates Technik_010808 Market Programs  for Budget Deck 2" xfId="5878" xr:uid="{00000000-0005-0000-0000-0000ED160000}"/>
    <cellStyle name="_Column3_Strategic Diagnostic Templates Technik_010808 Market Programs  for Budget Deck 2 2" xfId="5879" xr:uid="{00000000-0005-0000-0000-0000EE160000}"/>
    <cellStyle name="_Column3_Strategic Diagnostic Templates Technik_010808 Market Programs  for Budget Deck 3" xfId="5880" xr:uid="{00000000-0005-0000-0000-0000EF160000}"/>
    <cellStyle name="_Column3_Strategic Diagnostic Templates Technik_0908 Gabarito exchange rate" xfId="5881" xr:uid="{00000000-0005-0000-0000-0000F0160000}"/>
    <cellStyle name="_Column3_Strategic Diagnostic Templates Technik_0908 Gabarito exchange rate 2" xfId="5882" xr:uid="{00000000-0005-0000-0000-0000F1160000}"/>
    <cellStyle name="_Column3_Strategic Diagnostic Templates Technik_0908 Gabarito exchange rate 2 2" xfId="5883" xr:uid="{00000000-0005-0000-0000-0000F2160000}"/>
    <cellStyle name="_Column3_Strategic Diagnostic Templates Technik_0908 Gabarito exchange rate 3" xfId="5884" xr:uid="{00000000-0005-0000-0000-0000F3160000}"/>
    <cellStyle name="_Column3_Strategic Diagnostic Templates Technik_33cl rev. Budget Value Vers (3)" xfId="5885" xr:uid="{00000000-0005-0000-0000-0000F4160000}"/>
    <cellStyle name="_Column3_Strategic Diagnostic Templates Technik_Accident frequency" xfId="5886" xr:uid="{00000000-0005-0000-0000-0000F5160000}"/>
    <cellStyle name="_Column3_Strategic Diagnostic Templates Technik_Additional Templates" xfId="5887" xr:uid="{00000000-0005-0000-0000-0000F6160000}"/>
    <cellStyle name="_Column3_Strategic Diagnostic Templates Technik_Additional Templates (2)" xfId="5888" xr:uid="{00000000-0005-0000-0000-0000F7160000}"/>
    <cellStyle name="_Column3_Strategic Diagnostic Templates Technik_Additional Templates (3)" xfId="5889" xr:uid="{00000000-0005-0000-0000-0000F8160000}"/>
    <cellStyle name="_Column3_Strategic Diagnostic Templates Technik_Additional Templates (4)" xfId="5890" xr:uid="{00000000-0005-0000-0000-0000F9160000}"/>
    <cellStyle name="_Column3_Strategic Diagnostic Templates Technik_Additional Templates (5)" xfId="5891" xr:uid="{00000000-0005-0000-0000-0000FA160000}"/>
    <cellStyle name="_Column3_Strategic Diagnostic Templates Technik_Basis" xfId="5892" xr:uid="{00000000-0005-0000-0000-0000FB160000}"/>
    <cellStyle name="_Column3_Strategic Diagnostic Templates Technik_Basis 2" xfId="5893" xr:uid="{00000000-0005-0000-0000-0000FC160000}"/>
    <cellStyle name="_Column3_Strategic Diagnostic Templates Technik_Basis 2 2" xfId="5894" xr:uid="{00000000-0005-0000-0000-0000FD160000}"/>
    <cellStyle name="_Column3_Strategic Diagnostic Templates Technik_Basis_Sheet1" xfId="5895" xr:uid="{00000000-0005-0000-0000-0000FE160000}"/>
    <cellStyle name="_Column3_Strategic Diagnostic Templates Technik_Basis_Sheet5" xfId="5896" xr:uid="{00000000-0005-0000-0000-0000FF160000}"/>
    <cellStyle name="_Column3_Strategic Diagnostic Templates Technik_Basis_Sm Proj Cash Flow" xfId="5897" xr:uid="{00000000-0005-0000-0000-000000170000}"/>
    <cellStyle name="_Column3_Strategic Diagnostic Templates Technik_Basis_Spend Detail" xfId="5898" xr:uid="{00000000-0005-0000-0000-000001170000}"/>
    <cellStyle name="_Column3_Strategic Diagnostic Templates Technik_Basis_SustainingProjectList" xfId="5899" xr:uid="{00000000-0005-0000-0000-000002170000}"/>
    <cellStyle name="_Column3_Strategic Diagnostic Templates Technik_BGT 08 Templates Sales  Marketing - final (revised)" xfId="5900" xr:uid="{00000000-0005-0000-0000-000003170000}"/>
    <cellStyle name="_Column3_Strategic Diagnostic Templates Technik_BGT 08 Templates Sales  Marketing - final (revised) 2" xfId="5901" xr:uid="{00000000-0005-0000-0000-000004170000}"/>
    <cellStyle name="_Column3_Strategic Diagnostic Templates Technik_BGT 08 Templates Sales  Marketing - final (revised) 2 2" xfId="5902" xr:uid="{00000000-0005-0000-0000-000005170000}"/>
    <cellStyle name="_Column3_Strategic Diagnostic Templates Technik_BGT 08 Templates Sales  Marketing - final (revised) 3" xfId="5903" xr:uid="{00000000-0005-0000-0000-000006170000}"/>
    <cellStyle name="_Column3_Strategic Diagnostic Templates Technik_BGT 08 Templates Sales  Marketing - final (revised) 3 2" xfId="5904" xr:uid="{00000000-0005-0000-0000-000007170000}"/>
    <cellStyle name="_Column3_Strategic Diagnostic Templates Technik_BGT 08 Templates Sales  Marketing - final (revised) 3 3" xfId="5905" xr:uid="{00000000-0005-0000-0000-000008170000}"/>
    <cellStyle name="_Column3_Strategic Diagnostic Templates Technik_BGT 08 Templates Sales  Marketing - final (revised) 3 3 2" xfId="5906" xr:uid="{00000000-0005-0000-0000-000009170000}"/>
    <cellStyle name="_Column3_Strategic Diagnostic Templates Technik_BGT 08 Templates Sales  Marketing - final (revised) 4" xfId="5907" xr:uid="{00000000-0005-0000-0000-00000A170000}"/>
    <cellStyle name="_Column3_Strategic Diagnostic Templates Technik_BGT 08 Templates Sales  Marketing - final (revised) 4 2" xfId="5908" xr:uid="{00000000-0005-0000-0000-00000B170000}"/>
    <cellStyle name="_Column3_Strategic Diagnostic Templates Technik_BGT 08 Templates Sales  Marketing - final (revised)_Sheet1" xfId="5909" xr:uid="{00000000-0005-0000-0000-00000C170000}"/>
    <cellStyle name="_Column3_Strategic Diagnostic Templates Technik_BGT 08 Templates Sales  Marketing - final (revised)_Sm Proj Cash Flow" xfId="5910" xr:uid="{00000000-0005-0000-0000-00000D170000}"/>
    <cellStyle name="_Column3_Strategic Diagnostic Templates Technik_BGT 08 Templates Sales  Marketing - final (revised)_Spend Detail" xfId="5911" xr:uid="{00000000-0005-0000-0000-00000E170000}"/>
    <cellStyle name="_Column3_Strategic Diagnostic Templates Technik_BGT 08 Templates Sales  Marketing - final (revised)_SustainingProjectList" xfId="5912" xr:uid="{00000000-0005-0000-0000-00000F170000}"/>
    <cellStyle name="_Column3_Strategic Diagnostic Templates Technik_Book5" xfId="5913" xr:uid="{00000000-0005-0000-0000-000010170000}"/>
    <cellStyle name="_Column3_Strategic Diagnostic Templates Technik_Book5 2" xfId="5914" xr:uid="{00000000-0005-0000-0000-000011170000}"/>
    <cellStyle name="_Column3_Strategic Diagnostic Templates Technik_Book5 2 2" xfId="5915" xr:uid="{00000000-0005-0000-0000-000012170000}"/>
    <cellStyle name="_Column3_Strategic Diagnostic Templates Technik_Book5 3" xfId="5916" xr:uid="{00000000-0005-0000-0000-000013170000}"/>
    <cellStyle name="_Column3_Strategic Diagnostic Templates Technik_Bplan RD 1001" xfId="5917" xr:uid="{00000000-0005-0000-0000-000014170000}"/>
    <cellStyle name="_Column3_Strategic Diagnostic Templates Technik_Bplan RD 1001 2" xfId="5918" xr:uid="{00000000-0005-0000-0000-000015170000}"/>
    <cellStyle name="_Column3_Strategic Diagnostic Templates Technik_Bplan RD 1001 2 2" xfId="5919" xr:uid="{00000000-0005-0000-0000-000016170000}"/>
    <cellStyle name="_Column3_Strategic Diagnostic Templates Technik_Bplan RD 1001 3" xfId="5920" xr:uid="{00000000-0005-0000-0000-000017170000}"/>
    <cellStyle name="_Column3_Strategic Diagnostic Templates Technik_Budget 07" xfId="5921" xr:uid="{00000000-0005-0000-0000-000018170000}"/>
    <cellStyle name="_Column3_Strategic Diagnostic Templates Technik_Budget 07 2" xfId="5922" xr:uid="{00000000-0005-0000-0000-000019170000}"/>
    <cellStyle name="_Column3_Strategic Diagnostic Templates Technik_Budget 07 Org" xfId="5923" xr:uid="{00000000-0005-0000-0000-00001A170000}"/>
    <cellStyle name="_Column3_Strategic Diagnostic Templates Technik_Budget 07 Org 2" xfId="5924" xr:uid="{00000000-0005-0000-0000-00001B170000}"/>
    <cellStyle name="_Column3_Strategic Diagnostic Templates Technik_Budget 07 Org_Sheet1" xfId="5925" xr:uid="{00000000-0005-0000-0000-00001C170000}"/>
    <cellStyle name="_Column3_Strategic Diagnostic Templates Technik_Budget 07 Org_Sm Proj Cash Flow" xfId="5926" xr:uid="{00000000-0005-0000-0000-00001D170000}"/>
    <cellStyle name="_Column3_Strategic Diagnostic Templates Technik_Budget 07 Org_Spend Detail" xfId="5927" xr:uid="{00000000-0005-0000-0000-00001E170000}"/>
    <cellStyle name="_Column3_Strategic Diagnostic Templates Technik_Budget 07 Org_SustainingProjectList" xfId="5928" xr:uid="{00000000-0005-0000-0000-00001F170000}"/>
    <cellStyle name="_Column3_Strategic Diagnostic Templates Technik_Budget 07_Sheet1" xfId="5929" xr:uid="{00000000-0005-0000-0000-000020170000}"/>
    <cellStyle name="_Column3_Strategic Diagnostic Templates Technik_Budget 07_Sm Proj Cash Flow" xfId="5930" xr:uid="{00000000-0005-0000-0000-000021170000}"/>
    <cellStyle name="_Column3_Strategic Diagnostic Templates Technik_Budget 07_Spend Detail" xfId="5931" xr:uid="{00000000-0005-0000-0000-000022170000}"/>
    <cellStyle name="_Column3_Strategic Diagnostic Templates Technik_Budget 07_SustainingProjectList" xfId="5932" xr:uid="{00000000-0005-0000-0000-000023170000}"/>
    <cellStyle name="_Column3_Strategic Diagnostic Templates Technik_CAPEX Analysis WE v3 Thomas" xfId="5933" xr:uid="{00000000-0005-0000-0000-000024170000}"/>
    <cellStyle name="_Column3_Strategic Diagnostic Templates Technik_Capex ZBB Style - 1st Tier" xfId="5934" xr:uid="{00000000-0005-0000-0000-000025170000}"/>
    <cellStyle name="_Column3_Strategic Diagnostic Templates Technik_Capex ZBB Style - 1st Tier 2" xfId="5935" xr:uid="{00000000-0005-0000-0000-000026170000}"/>
    <cellStyle name="_Column3_Strategic Diagnostic Templates Technik_Capex ZBB Style - 2nd Tier" xfId="5936" xr:uid="{00000000-0005-0000-0000-000027170000}"/>
    <cellStyle name="_Column3_Strategic Diagnostic Templates Technik_Capex ZBB Style - 2nd Tier 2" xfId="5937" xr:uid="{00000000-0005-0000-0000-000028170000}"/>
    <cellStyle name="_Column3_Strategic Diagnostic Templates Technik_Capex ZBB Style - 2nd Tier_Sheet1" xfId="5938" xr:uid="{00000000-0005-0000-0000-000029170000}"/>
    <cellStyle name="_Column3_Strategic Diagnostic Templates Technik_Capex ZBB Style - 2nd Tier_Sm Proj Cash Flow" xfId="5939" xr:uid="{00000000-0005-0000-0000-00002A170000}"/>
    <cellStyle name="_Column3_Strategic Diagnostic Templates Technik_Capex ZBB Style - 2nd Tier_Spend Detail" xfId="5940" xr:uid="{00000000-0005-0000-0000-00002B170000}"/>
    <cellStyle name="_Column3_Strategic Diagnostic Templates Technik_Capex ZBB Style - 2nd Tier_SustainingProjectList" xfId="5941" xr:uid="{00000000-0005-0000-0000-00002C170000}"/>
    <cellStyle name="_Column3_Strategic Diagnostic Templates Technik_Capex ZBB Style - Cemex" xfId="5942" xr:uid="{00000000-0005-0000-0000-00002D170000}"/>
    <cellStyle name="_Column3_Strategic Diagnostic Templates Technik_Capex ZBB Style - Cemex 2" xfId="5943" xr:uid="{00000000-0005-0000-0000-00002E170000}"/>
    <cellStyle name="_Column3_Strategic Diagnostic Templates Technik_Capex ZBB Style - Consumer" xfId="5944" xr:uid="{00000000-0005-0000-0000-00002F170000}"/>
    <cellStyle name="_Column3_Strategic Diagnostic Templates Technik_Capex ZBB Style - Consumer 2" xfId="5945" xr:uid="{00000000-0005-0000-0000-000030170000}"/>
    <cellStyle name="_Column3_Strategic Diagnostic Templates Technik_Capex ZBB Style - Consumer_Croatia_Sep4" xfId="5946" xr:uid="{00000000-0005-0000-0000-000031170000}"/>
    <cellStyle name="_Column3_Strategic Diagnostic Templates Technik_Capex ZBB Style - Consumer_Croatia_Sep4 2" xfId="5947" xr:uid="{00000000-0005-0000-0000-000032170000}"/>
    <cellStyle name="_Column3_Strategic Diagnostic Templates Technik_Capex ZBB Style - Consumer_Croatia_Sep4_Sheet1" xfId="5948" xr:uid="{00000000-0005-0000-0000-000033170000}"/>
    <cellStyle name="_Column3_Strategic Diagnostic Templates Technik_Capex ZBB Style - Consumer_Croatia_Sep4_Sm Proj Cash Flow" xfId="5949" xr:uid="{00000000-0005-0000-0000-000034170000}"/>
    <cellStyle name="_Column3_Strategic Diagnostic Templates Technik_Capex ZBB Style - Consumer_Croatia_Sep4_Spend Detail" xfId="5950" xr:uid="{00000000-0005-0000-0000-000035170000}"/>
    <cellStyle name="_Column3_Strategic Diagnostic Templates Technik_Capex ZBB Style - Consumer_Croatia_Sep4_SustainingProjectList" xfId="5951" xr:uid="{00000000-0005-0000-0000-000036170000}"/>
    <cellStyle name="_Column3_Strategic Diagnostic Templates Technik_Capex ZBB Style - Returnable Packaging" xfId="5952" xr:uid="{00000000-0005-0000-0000-000037170000}"/>
    <cellStyle name="_Column3_Strategic Diagnostic Templates Technik_Capex ZBB Style - Returnable Packaging 2" xfId="5953" xr:uid="{00000000-0005-0000-0000-000038170000}"/>
    <cellStyle name="_Column3_Strategic Diagnostic Templates Technik_Challenge" xfId="5954" xr:uid="{00000000-0005-0000-0000-000039170000}"/>
    <cellStyle name="_Column3_Strategic Diagnostic Templates Technik_Challenge 2" xfId="5955" xr:uid="{00000000-0005-0000-0000-00003A170000}"/>
    <cellStyle name="_Column3_Strategic Diagnostic Templates Technik_Challenge_Sheet1" xfId="5956" xr:uid="{00000000-0005-0000-0000-00003B170000}"/>
    <cellStyle name="_Column3_Strategic Diagnostic Templates Technik_Challenge_Sm Proj Cash Flow" xfId="5957" xr:uid="{00000000-0005-0000-0000-00003C170000}"/>
    <cellStyle name="_Column3_Strategic Diagnostic Templates Technik_Challenge_Spend Detail" xfId="5958" xr:uid="{00000000-0005-0000-0000-00003D170000}"/>
    <cellStyle name="_Column3_Strategic Diagnostic Templates Technik_Challenge_SustainingProjectList" xfId="5959" xr:uid="{00000000-0005-0000-0000-00003E170000}"/>
    <cellStyle name="_Column3_Strategic Diagnostic Templates Technik_Copy of BGT 08 Templates Sales  Marketing - final (revised)" xfId="5960" xr:uid="{00000000-0005-0000-0000-00003F170000}"/>
    <cellStyle name="_Column3_Strategic Diagnostic Templates Technik_Copy of BGT 08 Templates Sales  Marketing - final (revised) 2" xfId="5961" xr:uid="{00000000-0005-0000-0000-000040170000}"/>
    <cellStyle name="_Column3_Strategic Diagnostic Templates Technik_Copy of BGT 08 Templates Sales  Marketing - final (revised) 2 2" xfId="5962" xr:uid="{00000000-0005-0000-0000-000041170000}"/>
    <cellStyle name="_Column3_Strategic Diagnostic Templates Technik_Copy of BGT 08 Templates Sales  Marketing - final (revised) 3" xfId="5963" xr:uid="{00000000-0005-0000-0000-000042170000}"/>
    <cellStyle name="_Column3_Strategic Diagnostic Templates Technik_Copy of BGT 08 Templates Sales  Marketing - final (revised) 3 2" xfId="5964" xr:uid="{00000000-0005-0000-0000-000043170000}"/>
    <cellStyle name="_Column3_Strategic Diagnostic Templates Technik_Copy of BGT 08 Templates Sales  Marketing - final (revised) 3 3" xfId="5965" xr:uid="{00000000-0005-0000-0000-000044170000}"/>
    <cellStyle name="_Column3_Strategic Diagnostic Templates Technik_Copy of BGT 08 Templates Sales  Marketing - final (revised) 3 3 2" xfId="5966" xr:uid="{00000000-0005-0000-0000-000045170000}"/>
    <cellStyle name="_Column3_Strategic Diagnostic Templates Technik_Copy of BGT 08 Templates Sales  Marketing - final (revised) 4" xfId="5967" xr:uid="{00000000-0005-0000-0000-000046170000}"/>
    <cellStyle name="_Column3_Strategic Diagnostic Templates Technik_Copy of BGT 08 Templates Sales  Marketing - final (revised) 4 2" xfId="5968" xr:uid="{00000000-0005-0000-0000-000047170000}"/>
    <cellStyle name="_Column3_Strategic Diagnostic Templates Technik_Copy of BGT 08 Templates Sales  Marketing - final (revised)_Sheet1" xfId="5969" xr:uid="{00000000-0005-0000-0000-000048170000}"/>
    <cellStyle name="_Column3_Strategic Diagnostic Templates Technik_Copy of BGT 08 Templates Sales  Marketing - final (revised)_Sm Proj Cash Flow" xfId="5970" xr:uid="{00000000-0005-0000-0000-000049170000}"/>
    <cellStyle name="_Column3_Strategic Diagnostic Templates Technik_Copy of BGT 08 Templates Sales  Marketing - final (revised)_Spend Detail" xfId="5971" xr:uid="{00000000-0005-0000-0000-00004A170000}"/>
    <cellStyle name="_Column3_Strategic Diagnostic Templates Technik_Copy of BGT 08 Templates Sales  Marketing - final (revised)_SustainingProjectList" xfId="5972" xr:uid="{00000000-0005-0000-0000-00004B170000}"/>
    <cellStyle name="_Column3_Strategic Diagnostic Templates Technik_Daten" xfId="5973" xr:uid="{00000000-0005-0000-0000-00004C170000}"/>
    <cellStyle name="_Column3_Strategic Diagnostic Templates Technik_Daten 2" xfId="5974" xr:uid="{00000000-0005-0000-0000-00004D170000}"/>
    <cellStyle name="_Column3_Strategic Diagnostic Templates Technik_Daten 3" xfId="5975" xr:uid="{00000000-0005-0000-0000-00004E170000}"/>
    <cellStyle name="_Column3_Strategic Diagnostic Templates Technik_Daten 3 2" xfId="5976" xr:uid="{00000000-0005-0000-0000-00004F170000}"/>
    <cellStyle name="_Column3_Strategic Diagnostic Templates Technik_Daten 3 3" xfId="5977" xr:uid="{00000000-0005-0000-0000-000050170000}"/>
    <cellStyle name="_Column3_Strategic Diagnostic Templates Technik_Daten 3 3 2" xfId="5978" xr:uid="{00000000-0005-0000-0000-000051170000}"/>
    <cellStyle name="_Column3_Strategic Diagnostic Templates Technik_Daten 4" xfId="5979" xr:uid="{00000000-0005-0000-0000-000052170000}"/>
    <cellStyle name="_Column3_Strategic Diagnostic Templates Technik_Daten 4 2" xfId="5980" xr:uid="{00000000-0005-0000-0000-000053170000}"/>
    <cellStyle name="_Column3_Strategic Diagnostic Templates Technik_Daten_Sheet5" xfId="5981" xr:uid="{00000000-0005-0000-0000-000054170000}"/>
    <cellStyle name="_Column3_Strategic Diagnostic Templates Technik_Demand" xfId="5982" xr:uid="{00000000-0005-0000-0000-000055170000}"/>
    <cellStyle name="_Column3_Strategic Diagnostic Templates Technik_Demand 2" xfId="5983" xr:uid="{00000000-0005-0000-0000-000056170000}"/>
    <cellStyle name="_Column3_Strategic Diagnostic Templates Technik_Demand_Sheet1" xfId="5984" xr:uid="{00000000-0005-0000-0000-000057170000}"/>
    <cellStyle name="_Column3_Strategic Diagnostic Templates Technik_Demand_Sm Proj Cash Flow" xfId="5985" xr:uid="{00000000-0005-0000-0000-000058170000}"/>
    <cellStyle name="_Column3_Strategic Diagnostic Templates Technik_Demand_Spend Detail" xfId="5986" xr:uid="{00000000-0005-0000-0000-000059170000}"/>
    <cellStyle name="_Column3_Strategic Diagnostic Templates Technik_Demand_SustainingProjectList" xfId="5987" xr:uid="{00000000-0005-0000-0000-00005A170000}"/>
    <cellStyle name="_Column3_Strategic Diagnostic Templates Technik_details" xfId="5988" xr:uid="{00000000-0005-0000-0000-00005B170000}"/>
    <cellStyle name="_Column3_Strategic Diagnostic Templates Technik_Excel sheets to support Market Program Template for Budget 09" xfId="5989" xr:uid="{00000000-0005-0000-0000-00005C170000}"/>
    <cellStyle name="_Column3_Strategic Diagnostic Templates Technik_Excel sheets to support Market Program Template for Budget 09 (5) (2)" xfId="5990" xr:uid="{00000000-0005-0000-0000-00005D170000}"/>
    <cellStyle name="_Column3_Strategic Diagnostic Templates Technik_Excel sheets to support Market Program Template for Budget 09 (5) (2) 2" xfId="5991" xr:uid="{00000000-0005-0000-0000-00005E170000}"/>
    <cellStyle name="_Column3_Strategic Diagnostic Templates Technik_Excel sheets to support Market Program Template for Budget 09 (5) (2) 2 2" xfId="5992" xr:uid="{00000000-0005-0000-0000-00005F170000}"/>
    <cellStyle name="_Column3_Strategic Diagnostic Templates Technik_Excel sheets to support Market Program Template for Budget 09 (5) (2) 3" xfId="5993" xr:uid="{00000000-0005-0000-0000-000060170000}"/>
    <cellStyle name="_Column3_Strategic Diagnostic Templates Technik_Excel sheets to support Market Program Template for Budget 09 (5) (3)" xfId="5994" xr:uid="{00000000-0005-0000-0000-000061170000}"/>
    <cellStyle name="_Column3_Strategic Diagnostic Templates Technik_Excel sheets to support Market Program Template for Budget 09 (5) (3) 2" xfId="5995" xr:uid="{00000000-0005-0000-0000-000062170000}"/>
    <cellStyle name="_Column3_Strategic Diagnostic Templates Technik_Excel sheets to support Market Program Template for Budget 09 (5) (3) 2 2" xfId="5996" xr:uid="{00000000-0005-0000-0000-000063170000}"/>
    <cellStyle name="_Column3_Strategic Diagnostic Templates Technik_Excel sheets to support Market Program Template for Budget 09 (5) (3) 3" xfId="5997" xr:uid="{00000000-0005-0000-0000-000064170000}"/>
    <cellStyle name="_Column3_Strategic Diagnostic Templates Technik_Excel sheets to support Market Program Template for Budget 09 10" xfId="5998" xr:uid="{00000000-0005-0000-0000-000065170000}"/>
    <cellStyle name="_Column3_Strategic Diagnostic Templates Technik_Excel sheets to support Market Program Template for Budget 09 11" xfId="5999" xr:uid="{00000000-0005-0000-0000-000066170000}"/>
    <cellStyle name="_Column3_Strategic Diagnostic Templates Technik_Excel sheets to support Market Program Template for Budget 09 11 2" xfId="6000" xr:uid="{00000000-0005-0000-0000-000067170000}"/>
    <cellStyle name="_Column3_Strategic Diagnostic Templates Technik_Excel sheets to support Market Program Template for Budget 09 12" xfId="6001" xr:uid="{00000000-0005-0000-0000-000068170000}"/>
    <cellStyle name="_Column3_Strategic Diagnostic Templates Technik_Excel sheets to support Market Program Template for Budget 09 12 2" xfId="6002" xr:uid="{00000000-0005-0000-0000-000069170000}"/>
    <cellStyle name="_Column3_Strategic Diagnostic Templates Technik_Excel sheets to support Market Program Template for Budget 09 13" xfId="6003" xr:uid="{00000000-0005-0000-0000-00006A170000}"/>
    <cellStyle name="_Column3_Strategic Diagnostic Templates Technik_Excel sheets to support Market Program Template for Budget 09 13 2" xfId="6004" xr:uid="{00000000-0005-0000-0000-00006B170000}"/>
    <cellStyle name="_Column3_Strategic Diagnostic Templates Technik_Excel sheets to support Market Program Template for Budget 09 14" xfId="6005" xr:uid="{00000000-0005-0000-0000-00006C170000}"/>
    <cellStyle name="_Column3_Strategic Diagnostic Templates Technik_Excel sheets to support Market Program Template for Budget 09 14 2" xfId="6006" xr:uid="{00000000-0005-0000-0000-00006D170000}"/>
    <cellStyle name="_Column3_Strategic Diagnostic Templates Technik_Excel sheets to support Market Program Template for Budget 09 2" xfId="6007" xr:uid="{00000000-0005-0000-0000-00006E170000}"/>
    <cellStyle name="_Column3_Strategic Diagnostic Templates Technik_Excel sheets to support Market Program Template for Budget 09 2 2" xfId="6008" xr:uid="{00000000-0005-0000-0000-00006F170000}"/>
    <cellStyle name="_Column3_Strategic Diagnostic Templates Technik_Excel sheets to support Market Program Template for Budget 09 3" xfId="6009" xr:uid="{00000000-0005-0000-0000-000070170000}"/>
    <cellStyle name="_Column3_Strategic Diagnostic Templates Technik_Excel sheets to support Market Program Template for Budget 09 3 2" xfId="6010" xr:uid="{00000000-0005-0000-0000-000071170000}"/>
    <cellStyle name="_Column3_Strategic Diagnostic Templates Technik_Excel sheets to support Market Program Template for Budget 09 4" xfId="6011" xr:uid="{00000000-0005-0000-0000-000072170000}"/>
    <cellStyle name="_Column3_Strategic Diagnostic Templates Technik_Excel sheets to support Market Program Template for Budget 09 5" xfId="6012" xr:uid="{00000000-0005-0000-0000-000073170000}"/>
    <cellStyle name="_Column3_Strategic Diagnostic Templates Technik_Excel sheets to support Market Program Template for Budget 09 5 2" xfId="6013" xr:uid="{00000000-0005-0000-0000-000074170000}"/>
    <cellStyle name="_Column3_Strategic Diagnostic Templates Technik_Excel sheets to support Market Program Template for Budget 09 5 3" xfId="6014" xr:uid="{00000000-0005-0000-0000-000075170000}"/>
    <cellStyle name="_Column3_Strategic Diagnostic Templates Technik_Excel sheets to support Market Program Template for Budget 09 5 3 2" xfId="6015" xr:uid="{00000000-0005-0000-0000-000076170000}"/>
    <cellStyle name="_Column3_Strategic Diagnostic Templates Technik_Excel sheets to support Market Program Template for Budget 09 6" xfId="6016" xr:uid="{00000000-0005-0000-0000-000077170000}"/>
    <cellStyle name="_Column3_Strategic Diagnostic Templates Technik_Excel sheets to support Market Program Template for Budget 09 6 2" xfId="6017" xr:uid="{00000000-0005-0000-0000-000078170000}"/>
    <cellStyle name="_Column3_Strategic Diagnostic Templates Technik_Excel sheets to support Market Program Template for Budget 09 6 3" xfId="6018" xr:uid="{00000000-0005-0000-0000-000079170000}"/>
    <cellStyle name="_Column3_Strategic Diagnostic Templates Technik_Excel sheets to support Market Program Template for Budget 09 6 3 2" xfId="6019" xr:uid="{00000000-0005-0000-0000-00007A170000}"/>
    <cellStyle name="_Column3_Strategic Diagnostic Templates Technik_Excel sheets to support Market Program Template for Budget 09 7" xfId="6020" xr:uid="{00000000-0005-0000-0000-00007B170000}"/>
    <cellStyle name="_Column3_Strategic Diagnostic Templates Technik_Excel sheets to support Market Program Template for Budget 09 8" xfId="6021" xr:uid="{00000000-0005-0000-0000-00007C170000}"/>
    <cellStyle name="_Column3_Strategic Diagnostic Templates Technik_Excel sheets to support Market Program Template for Budget 09 9" xfId="6022" xr:uid="{00000000-0005-0000-0000-00007D170000}"/>
    <cellStyle name="_Column3_Strategic Diagnostic Templates Technik_Excel sheets to support Market Program Template for Budget 09_Sheet1" xfId="6023" xr:uid="{00000000-0005-0000-0000-00007E170000}"/>
    <cellStyle name="_Column3_Strategic Diagnostic Templates Technik_Excel sheets to support Market Program Template for Budget 09_Sm Proj Cash Flow" xfId="6024" xr:uid="{00000000-0005-0000-0000-00007F170000}"/>
    <cellStyle name="_Column3_Strategic Diagnostic Templates Technik_Excel sheets to support Market Program Template for Budget 09_Spend Detail" xfId="6025" xr:uid="{00000000-0005-0000-0000-000080170000}"/>
    <cellStyle name="_Column3_Strategic Diagnostic Templates Technik_Excel sheets to support Market Program Template for Budget 09_SustainingProjectList" xfId="6026" xr:uid="{00000000-0005-0000-0000-000081170000}"/>
    <cellStyle name="_Column3_Strategic Diagnostic Templates Technik_Franz Ist" xfId="6027" xr:uid="{00000000-0005-0000-0000-000082170000}"/>
    <cellStyle name="_Column3_Strategic Diagnostic Templates Technik_Franz Ist 2" xfId="6028" xr:uid="{00000000-0005-0000-0000-000083170000}"/>
    <cellStyle name="_Column3_Strategic Diagnostic Templates Technik_Franz Ist_Sheet1" xfId="6029" xr:uid="{00000000-0005-0000-0000-000084170000}"/>
    <cellStyle name="_Column3_Strategic Diagnostic Templates Technik_Franz Ist_Sm Proj Cash Flow" xfId="6030" xr:uid="{00000000-0005-0000-0000-000085170000}"/>
    <cellStyle name="_Column3_Strategic Diagnostic Templates Technik_Franz Ist_Spend Detail" xfId="6031" xr:uid="{00000000-0005-0000-0000-000086170000}"/>
    <cellStyle name="_Column3_Strategic Diagnostic Templates Technik_Franz Ist_SustainingProjectList" xfId="6032" xr:uid="{00000000-0005-0000-0000-000087170000}"/>
    <cellStyle name="_Column3_Strategic Diagnostic Templates Technik_Free Worksheet" xfId="6033" xr:uid="{00000000-0005-0000-0000-000088170000}"/>
    <cellStyle name="_Column3_Strategic Diagnostic Templates Technik_GH Budget 2007 volumes per month-SKU-Cost Center" xfId="6034" xr:uid="{00000000-0005-0000-0000-000089170000}"/>
    <cellStyle name="_Column3_Strategic Diagnostic Templates Technik_HC_Ev.Total Bgt'05 vs.Bgt'04" xfId="6035" xr:uid="{00000000-0005-0000-0000-00008A170000}"/>
    <cellStyle name="_Column3_Strategic Diagnostic Templates Technik_Ist 05" xfId="6036" xr:uid="{00000000-0005-0000-0000-00008B170000}"/>
    <cellStyle name="_Column3_Strategic Diagnostic Templates Technik_Ist 05 2" xfId="6037" xr:uid="{00000000-0005-0000-0000-00008C170000}"/>
    <cellStyle name="_Column3_Strategic Diagnostic Templates Technik_Ist 05_Sheet1" xfId="6038" xr:uid="{00000000-0005-0000-0000-00008D170000}"/>
    <cellStyle name="_Column3_Strategic Diagnostic Templates Technik_Ist 05_Sm Proj Cash Flow" xfId="6039" xr:uid="{00000000-0005-0000-0000-00008E170000}"/>
    <cellStyle name="_Column3_Strategic Diagnostic Templates Technik_Ist 05_Spend Detail" xfId="6040" xr:uid="{00000000-0005-0000-0000-00008F170000}"/>
    <cellStyle name="_Column3_Strategic Diagnostic Templates Technik_Ist 05_SustainingProjectList" xfId="6041" xr:uid="{00000000-0005-0000-0000-000090170000}"/>
    <cellStyle name="_Column3_Strategic Diagnostic Templates Technik_Ist 06" xfId="6042" xr:uid="{00000000-0005-0000-0000-000091170000}"/>
    <cellStyle name="_Column3_Strategic Diagnostic Templates Technik_Ist 06 2" xfId="6043" xr:uid="{00000000-0005-0000-0000-000092170000}"/>
    <cellStyle name="_Column3_Strategic Diagnostic Templates Technik_Ist 06_Sheet1" xfId="6044" xr:uid="{00000000-0005-0000-0000-000093170000}"/>
    <cellStyle name="_Column3_Strategic Diagnostic Templates Technik_Ist 06_Sm Proj Cash Flow" xfId="6045" xr:uid="{00000000-0005-0000-0000-000094170000}"/>
    <cellStyle name="_Column3_Strategic Diagnostic Templates Technik_Ist 06_Spend Detail" xfId="6046" xr:uid="{00000000-0005-0000-0000-000095170000}"/>
    <cellStyle name="_Column3_Strategic Diagnostic Templates Technik_Ist 06_SustainingProjectList" xfId="6047" xr:uid="{00000000-0005-0000-0000-000096170000}"/>
    <cellStyle name="_Column3_Strategic Diagnostic Templates Technik_Keg Dynamische Bedarfsplanung Budget 2008 2.8.2007" xfId="6048" xr:uid="{00000000-0005-0000-0000-000097170000}"/>
    <cellStyle name="_Column3_Strategic Diagnostic Templates Technik_LE Ebitda RD Feb-10 v2" xfId="6049" xr:uid="{00000000-0005-0000-0000-000098170000}"/>
    <cellStyle name="_Column3_Strategic Diagnostic Templates Technik_LE Ebitda RD Feb-10 v2 2" xfId="6050" xr:uid="{00000000-0005-0000-0000-000099170000}"/>
    <cellStyle name="_Column3_Strategic Diagnostic Templates Technik_LE Ebitda RD Feb-10 v2 2 2" xfId="6051" xr:uid="{00000000-0005-0000-0000-00009A170000}"/>
    <cellStyle name="_Column3_Strategic Diagnostic Templates Technik_LE Ebitda RD Feb-10 v2 3" xfId="6052" xr:uid="{00000000-0005-0000-0000-00009B170000}"/>
    <cellStyle name="_Column3_Strategic Diagnostic Templates Technik_LE1 2007" xfId="6053" xr:uid="{00000000-0005-0000-0000-00009C170000}"/>
    <cellStyle name="_Column3_Strategic Diagnostic Templates Technik_MF Personal 2004 bis 2007" xfId="6054" xr:uid="{00000000-0005-0000-0000-00009D170000}"/>
    <cellStyle name="_Column3_Strategic Diagnostic Templates Technik_NNT_LE'08_1605vsBGT'09_1713" xfId="6055" xr:uid="{00000000-0005-0000-0000-00009E170000}"/>
    <cellStyle name="_Column3_Strategic Diagnostic Templates Technik_NNT_LE'08_1605vsBGT'09_1713 2" xfId="6056" xr:uid="{00000000-0005-0000-0000-00009F170000}"/>
    <cellStyle name="_Column3_Strategic Diagnostic Templates Technik_NNT_LE'08_1605vsBGT'09_1713 3" xfId="6057" xr:uid="{00000000-0005-0000-0000-0000A0170000}"/>
    <cellStyle name="_Column3_Strategic Diagnostic Templates Technik_NNT_LE'08_1605vsBGT'09_1713 3 2" xfId="6058" xr:uid="{00000000-0005-0000-0000-0000A1170000}"/>
    <cellStyle name="_Column3_Strategic Diagnostic Templates Technik_NNT_LE'08_1605vsBGT'09_1713 3 3" xfId="6059" xr:uid="{00000000-0005-0000-0000-0000A2170000}"/>
    <cellStyle name="_Column3_Strategic Diagnostic Templates Technik_NNT_LE'08_1605vsBGT'09_1713 3 3 2" xfId="6060" xr:uid="{00000000-0005-0000-0000-0000A3170000}"/>
    <cellStyle name="_Column3_Strategic Diagnostic Templates Technik_NNT_LE'08_1605vsBGT'09_1713 4" xfId="6061" xr:uid="{00000000-0005-0000-0000-0000A4170000}"/>
    <cellStyle name="_Column3_Strategic Diagnostic Templates Technik_NNT_LE'08_1605vsBGT'09_1713 4 2" xfId="6062" xr:uid="{00000000-0005-0000-0000-0000A5170000}"/>
    <cellStyle name="_Column3_Strategic Diagnostic Templates Technik_People Package" xfId="6063" xr:uid="{00000000-0005-0000-0000-0000A6170000}"/>
    <cellStyle name="_Column3_Strategic Diagnostic Templates Technik_People Package (2)" xfId="6064" xr:uid="{00000000-0005-0000-0000-0000A7170000}"/>
    <cellStyle name="_Column3_Strategic Diagnostic Templates Technik_People Package (2) 2" xfId="6065" xr:uid="{00000000-0005-0000-0000-0000A8170000}"/>
    <cellStyle name="_Column3_Strategic Diagnostic Templates Technik_People Package (2) 2 2" xfId="6066" xr:uid="{00000000-0005-0000-0000-0000A9170000}"/>
    <cellStyle name="_Column3_Strategic Diagnostic Templates Technik_People Package (2) 3" xfId="6067" xr:uid="{00000000-0005-0000-0000-0000AA170000}"/>
    <cellStyle name="_Column3_Strategic Diagnostic Templates Technik_People Package 2" xfId="6068" xr:uid="{00000000-0005-0000-0000-0000AB170000}"/>
    <cellStyle name="_Column3_Strategic Diagnostic Templates Technik_People Package 2 2" xfId="6069" xr:uid="{00000000-0005-0000-0000-0000AC170000}"/>
    <cellStyle name="_Column3_Strategic Diagnostic Templates Technik_People Package 3" xfId="6070" xr:uid="{00000000-0005-0000-0000-0000AD170000}"/>
    <cellStyle name="_Column3_Strategic Diagnostic Templates Technik_People Package 3 2" xfId="6071" xr:uid="{00000000-0005-0000-0000-0000AE170000}"/>
    <cellStyle name="_Column3_Strategic Diagnostic Templates Technik_People Package 4" xfId="6072" xr:uid="{00000000-0005-0000-0000-0000AF170000}"/>
    <cellStyle name="_Column3_Strategic Diagnostic Templates Technik_People Package 5" xfId="6073" xr:uid="{00000000-0005-0000-0000-0000B0170000}"/>
    <cellStyle name="_Column3_Strategic Diagnostic Templates Technik_Prodhier Deutschland" xfId="6074" xr:uid="{00000000-0005-0000-0000-0000B1170000}"/>
    <cellStyle name="_Column3_Strategic Diagnostic Templates Technik_RB&amp;JW_Produktionsplanung_LE1_2006 sortiert" xfId="6075" xr:uid="{00000000-0005-0000-0000-0000B2170000}"/>
    <cellStyle name="_Column3_Strategic Diagnostic Templates Technik_RB&amp;JW_Produktionsplanung_LE1_2006 sortiert 2" xfId="6076" xr:uid="{00000000-0005-0000-0000-0000B3170000}"/>
    <cellStyle name="_Column3_Strategic Diagnostic Templates Technik_RB&amp;JW_Produktionsplanung_LE1_2006 sortiert 2 2" xfId="6077" xr:uid="{00000000-0005-0000-0000-0000B4170000}"/>
    <cellStyle name="_Column3_Strategic Diagnostic Templates Technik_RB&amp;JW_Produktionsplanung_LE1_2006 sortiert_Sheet1" xfId="6078" xr:uid="{00000000-0005-0000-0000-0000B5170000}"/>
    <cellStyle name="_Column3_Strategic Diagnostic Templates Technik_RB&amp;JW_Produktionsplanung_LE1_2006 sortiert_Sheet5" xfId="6079" xr:uid="{00000000-0005-0000-0000-0000B6170000}"/>
    <cellStyle name="_Column3_Strategic Diagnostic Templates Technik_RB&amp;JW_Produktionsplanung_LE1_2006 sortiert_Sm Proj Cash Flow" xfId="6080" xr:uid="{00000000-0005-0000-0000-0000B7170000}"/>
    <cellStyle name="_Column3_Strategic Diagnostic Templates Technik_RB&amp;JW_Produktionsplanung_LE1_2006 sortiert_Spend Detail" xfId="6081" xr:uid="{00000000-0005-0000-0000-0000B8170000}"/>
    <cellStyle name="_Column3_Strategic Diagnostic Templates Technik_RB&amp;JW_Produktionsplanung_LE1_2006 sortiert_SustainingProjectList" xfId="6082" xr:uid="{00000000-0005-0000-0000-0000B9170000}"/>
    <cellStyle name="_Column3_Strategic Diagnostic Templates Technik_Sales and Marketing - revised" xfId="6083" xr:uid="{00000000-0005-0000-0000-0000BA170000}"/>
    <cellStyle name="_Column3_Strategic Diagnostic Templates Technik_Sales and Marketing - revised 2" xfId="6084" xr:uid="{00000000-0005-0000-0000-0000BB170000}"/>
    <cellStyle name="_Column3_Strategic Diagnostic Templates Technik_Sales and Marketing - revised 2 2" xfId="6085" xr:uid="{00000000-0005-0000-0000-0000BC170000}"/>
    <cellStyle name="_Column3_Strategic Diagnostic Templates Technik_Sales and Marketing - revised 3" xfId="6086" xr:uid="{00000000-0005-0000-0000-0000BD170000}"/>
    <cellStyle name="_Column3_Strategic Diagnostic Templates Technik_Sim Ebitda LE 0909 v4" xfId="6087" xr:uid="{00000000-0005-0000-0000-0000BE170000}"/>
    <cellStyle name="_Column3_Strategic Diagnostic Templates Technik_Sim Ebitda LE 0909 v4 2" xfId="6088" xr:uid="{00000000-0005-0000-0000-0000BF170000}"/>
    <cellStyle name="_Column3_Strategic Diagnostic Templates Technik_Sim Ebitda LE 0909 v4 2 2" xfId="6089" xr:uid="{00000000-0005-0000-0000-0000C0170000}"/>
    <cellStyle name="_Column3_Strategic Diagnostic Templates Technik_Sim Ebitda LE 0909 v4 3" xfId="6090" xr:uid="{00000000-0005-0000-0000-0000C1170000}"/>
    <cellStyle name="_Column3_Strategic Diagnostic Templates Technik_SKU Volumen" xfId="6091" xr:uid="{00000000-0005-0000-0000-0000C2170000}"/>
    <cellStyle name="_Column3_Strategic Diagnostic Templates Technik_SKU Volumen 2" xfId="6092" xr:uid="{00000000-0005-0000-0000-0000C3170000}"/>
    <cellStyle name="_Column3_Strategic Diagnostic Templates Technik_SKU Volumen_Sheet1" xfId="6093" xr:uid="{00000000-0005-0000-0000-0000C4170000}"/>
    <cellStyle name="_Column3_Strategic Diagnostic Templates Technik_SKU Volumen_Sm Proj Cash Flow" xfId="6094" xr:uid="{00000000-0005-0000-0000-0000C5170000}"/>
    <cellStyle name="_Column3_Strategic Diagnostic Templates Technik_SKU Volumen_Spend Detail" xfId="6095" xr:uid="{00000000-0005-0000-0000-0000C6170000}"/>
    <cellStyle name="_Column3_Strategic Diagnostic Templates Technik_SKU Volumen_SustainingProjectList" xfId="6096" xr:uid="{00000000-0005-0000-0000-0000C7170000}"/>
    <cellStyle name="_Column3_Strategic Diagnostic Templates Technik_Slide for initiatives (2)" xfId="6097" xr:uid="{00000000-0005-0000-0000-0000C8170000}"/>
    <cellStyle name="_Column3_Strategic Diagnostic Templates Technik_Slide for initiatives (2) 2" xfId="6098" xr:uid="{00000000-0005-0000-0000-0000C9170000}"/>
    <cellStyle name="_Column3_Strategic Diagnostic Templates Technik_Slide for initiatives (2) 3" xfId="6099" xr:uid="{00000000-0005-0000-0000-0000CA170000}"/>
    <cellStyle name="_Column3_Strategic Diagnostic Templates Technik_Slide for initiatives (2) 3 2" xfId="6100" xr:uid="{00000000-0005-0000-0000-0000CB170000}"/>
    <cellStyle name="_Column3_Strategic Diagnostic Templates Technik_Slide for initiatives (2) 3 3" xfId="6101" xr:uid="{00000000-0005-0000-0000-0000CC170000}"/>
    <cellStyle name="_Column3_Strategic Diagnostic Templates Technik_Slide for initiatives (2) 3 3 2" xfId="6102" xr:uid="{00000000-0005-0000-0000-0000CD170000}"/>
    <cellStyle name="_Column3_Strategic Diagnostic Templates Technik_Slide for initiatives (2) 4" xfId="6103" xr:uid="{00000000-0005-0000-0000-0000CE170000}"/>
    <cellStyle name="_Column3_Strategic Diagnostic Templates Technik_Slide for initiatives (2) 4 2" xfId="6104" xr:uid="{00000000-0005-0000-0000-0000CF170000}"/>
    <cellStyle name="_Column3_Strategic Diagnostic Templates Technik_Tabelle1" xfId="6105" xr:uid="{00000000-0005-0000-0000-0000D0170000}"/>
    <cellStyle name="_Column3_Strategic Diagnostic Templates Technik_Tabelle1 2" xfId="6106" xr:uid="{00000000-0005-0000-0000-0000D1170000}"/>
    <cellStyle name="_Column3_Strategic Diagnostic Templates Technik_Tabelle1_Sheet1" xfId="6107" xr:uid="{00000000-0005-0000-0000-0000D2170000}"/>
    <cellStyle name="_Column3_Strategic Diagnostic Templates Technik_Tabelle1_Sm Proj Cash Flow" xfId="6108" xr:uid="{00000000-0005-0000-0000-0000D3170000}"/>
    <cellStyle name="_Column3_Strategic Diagnostic Templates Technik_Tabelle1_Spend Detail" xfId="6109" xr:uid="{00000000-0005-0000-0000-0000D4170000}"/>
    <cellStyle name="_Column3_Strategic Diagnostic Templates Technik_Tabelle1_SustainingProjectList" xfId="6110" xr:uid="{00000000-0005-0000-0000-0000D5170000}"/>
    <cellStyle name="_Column3_Strategic Diagnostic Templates Technik_Tabelle2" xfId="6111" xr:uid="{00000000-0005-0000-0000-0000D6170000}"/>
    <cellStyle name="_Column3_Strategic Diagnostic Templates Technik_Tabelle2 2" xfId="6112" xr:uid="{00000000-0005-0000-0000-0000D7170000}"/>
    <cellStyle name="_Column3_Strategic Diagnostic Templates Technik_Tabelle2_Sheet1" xfId="6113" xr:uid="{00000000-0005-0000-0000-0000D8170000}"/>
    <cellStyle name="_Column3_Strategic Diagnostic Templates Technik_Tabelle2_Sm Proj Cash Flow" xfId="6114" xr:uid="{00000000-0005-0000-0000-0000D9170000}"/>
    <cellStyle name="_Column3_Strategic Diagnostic Templates Technik_Tabelle2_Spend Detail" xfId="6115" xr:uid="{00000000-0005-0000-0000-0000DA170000}"/>
    <cellStyle name="_Column3_Strategic Diagnostic Templates Technik_Tabelle2_SustainingProjectList" xfId="6116" xr:uid="{00000000-0005-0000-0000-0000DB170000}"/>
    <cellStyle name="_Column3_Strategic Diagnostic Templates Technik_Tabelle3" xfId="6117" xr:uid="{00000000-0005-0000-0000-0000DC170000}"/>
    <cellStyle name="_Column3_Strategic Diagnostic Templates Technik_Tabelle3_1" xfId="6118" xr:uid="{00000000-0005-0000-0000-0000DD170000}"/>
    <cellStyle name="_Column3_Strategic Diagnostic Templates Technik_Tabelle3_1 2" xfId="6119" xr:uid="{00000000-0005-0000-0000-0000DE170000}"/>
    <cellStyle name="_Column3_Strategic Diagnostic Templates Technik_Tabelle3_1_Sheet1" xfId="6120" xr:uid="{00000000-0005-0000-0000-0000DF170000}"/>
    <cellStyle name="_Column3_Strategic Diagnostic Templates Technik_Tabelle3_1_Sm Proj Cash Flow" xfId="6121" xr:uid="{00000000-0005-0000-0000-0000E0170000}"/>
    <cellStyle name="_Column3_Strategic Diagnostic Templates Technik_Tabelle3_1_Spend Detail" xfId="6122" xr:uid="{00000000-0005-0000-0000-0000E1170000}"/>
    <cellStyle name="_Column3_Strategic Diagnostic Templates Technik_Tabelle3_1_SustainingProjectList" xfId="6123" xr:uid="{00000000-0005-0000-0000-0000E2170000}"/>
    <cellStyle name="_Column3_Strategic Diagnostic Templates Technik_Template Capex budget 2010 Supply WE" xfId="6124" xr:uid="{00000000-0005-0000-0000-0000E3170000}"/>
    <cellStyle name="_Column3_Strategic Diagnostic Templates Technik_Template Capex budget 2010 Supply WE 2" xfId="6125" xr:uid="{00000000-0005-0000-0000-0000E4170000}"/>
    <cellStyle name="_Column3_Strategic Diagnostic Templates Technik_Werte 33cl" xfId="6126" xr:uid="{00000000-0005-0000-0000-0000E5170000}"/>
    <cellStyle name="_Column3_Strategic Diagnostic Templates Technik_WF Ebitda RD Abr-10" xfId="6127" xr:uid="{00000000-0005-0000-0000-0000E6170000}"/>
    <cellStyle name="_Column3_Strategic Diagnostic Templates Technik_WF Ebitda RD Abr-10 2" xfId="6128" xr:uid="{00000000-0005-0000-0000-0000E7170000}"/>
    <cellStyle name="_Column3_Strategic Diagnostic Templates Technik_WF Ebitda RD Abr-10 2 2" xfId="6129" xr:uid="{00000000-0005-0000-0000-0000E8170000}"/>
    <cellStyle name="_Column3_Strategic Diagnostic Templates Technik_WF Ebitda RD Abr-10 3" xfId="6130" xr:uid="{00000000-0005-0000-0000-0000E9170000}"/>
    <cellStyle name="_Column3_Strategic Diagnostic Templates Technik_WF Ebitda Sep09" xfId="6131" xr:uid="{00000000-0005-0000-0000-0000EA170000}"/>
    <cellStyle name="_Column3_Strategic Diagnostic Templates Technik_WF Ebitda Sep09 2" xfId="6132" xr:uid="{00000000-0005-0000-0000-0000EB170000}"/>
    <cellStyle name="_Column3_Strategic Diagnostic Templates Technik_WF Ebitda Sep09 2 2" xfId="6133" xr:uid="{00000000-0005-0000-0000-0000EC170000}"/>
    <cellStyle name="_Column3_Strategic Diagnostic Templates Technik_WF Ebitda Sep09 3" xfId="6134" xr:uid="{00000000-0005-0000-0000-0000ED170000}"/>
    <cellStyle name="_Column3_Strategic Diagnostic Templates Technik_ZBB" xfId="6135" xr:uid="{00000000-0005-0000-0000-0000EE170000}"/>
    <cellStyle name="_Column3_Strategic Diagnostic Templates Technik_ZBB 2" xfId="6136" xr:uid="{00000000-0005-0000-0000-0000EF170000}"/>
    <cellStyle name="_Column3_Strategic Diagnostic Templates Technik_ZBB 2 2" xfId="6137" xr:uid="{00000000-0005-0000-0000-0000F0170000}"/>
    <cellStyle name="_Column3_Strategic Diagnostic Templates Technik_ZBB 3" xfId="6138" xr:uid="{00000000-0005-0000-0000-0000F1170000}"/>
    <cellStyle name="_Column3_Tabelle1" xfId="6139" xr:uid="{00000000-0005-0000-0000-0000F2170000}"/>
    <cellStyle name="_Column3_Tabelle1 2" xfId="6140" xr:uid="{00000000-0005-0000-0000-0000F3170000}"/>
    <cellStyle name="_Column3_Tabelle1 2 2" xfId="6141" xr:uid="{00000000-0005-0000-0000-0000F4170000}"/>
    <cellStyle name="_Column3_Tabelle1 3" xfId="6142" xr:uid="{00000000-0005-0000-0000-0000F5170000}"/>
    <cellStyle name="_Column3_Tabelle1_1" xfId="6143" xr:uid="{00000000-0005-0000-0000-0000F6170000}"/>
    <cellStyle name="_Column3_Tabelle1_1_Absatz Ist je Artikel &amp; Woche V1" xfId="6144" xr:uid="{00000000-0005-0000-0000-0000F7170000}"/>
    <cellStyle name="_Column3_Tabelle1_1_Absatz Ist je Artikel &amp; Woche V1 2" xfId="6145" xr:uid="{00000000-0005-0000-0000-0000F8170000}"/>
    <cellStyle name="_Column3_Tabelle1_1_Absatz Ist je Artikel &amp; Woche V1_Sheet1" xfId="6146" xr:uid="{00000000-0005-0000-0000-0000F9170000}"/>
    <cellStyle name="_Column3_Tabelle1_1_Absatz Ist je Artikel &amp; Woche V1_Sm Proj Cash Flow" xfId="6147" xr:uid="{00000000-0005-0000-0000-0000FA170000}"/>
    <cellStyle name="_Column3_Tabelle1_1_Absatz Ist je Artikel &amp; Woche V1_Spend Detail" xfId="6148" xr:uid="{00000000-0005-0000-0000-0000FB170000}"/>
    <cellStyle name="_Column3_Tabelle1_1_Absatz Ist je Artikel &amp; Woche V1_SustainingProjectList" xfId="6149" xr:uid="{00000000-0005-0000-0000-0000FC170000}"/>
    <cellStyle name="_Column3_Tabelle1_1_details" xfId="6150" xr:uid="{00000000-0005-0000-0000-0000FD170000}"/>
    <cellStyle name="_Column3_Tabelle1_1_Keg Dynamische Bedarfsplanung Budget 2008 2.8.2007" xfId="6151" xr:uid="{00000000-0005-0000-0000-0000FE170000}"/>
    <cellStyle name="_Column3_Tabelle1_1_Tabelle2" xfId="6152" xr:uid="{00000000-0005-0000-0000-0000FF170000}"/>
    <cellStyle name="_Column3_Tabelle1_1_Tabelle2 2" xfId="6153" xr:uid="{00000000-0005-0000-0000-000000180000}"/>
    <cellStyle name="_Column3_Tabelle1_1_Tabelle2_Sheet1" xfId="6154" xr:uid="{00000000-0005-0000-0000-000001180000}"/>
    <cellStyle name="_Column3_Tabelle1_1_Tabelle2_Sm Proj Cash Flow" xfId="6155" xr:uid="{00000000-0005-0000-0000-000002180000}"/>
    <cellStyle name="_Column3_Tabelle1_1_Tabelle2_Spend Detail" xfId="6156" xr:uid="{00000000-0005-0000-0000-000003180000}"/>
    <cellStyle name="_Column3_Tabelle1_1_Tabelle2_SustainingProjectList" xfId="6157" xr:uid="{00000000-0005-0000-0000-000004180000}"/>
    <cellStyle name="_Column3_Tabelle1_1_Tabelle3" xfId="6158" xr:uid="{00000000-0005-0000-0000-000005180000}"/>
    <cellStyle name="_Column3_Tabelle1_1_Tabelle3 2" xfId="6159" xr:uid="{00000000-0005-0000-0000-000006180000}"/>
    <cellStyle name="_Column3_Tabelle1_1_Tabelle3_Sheet1" xfId="6160" xr:uid="{00000000-0005-0000-0000-000007180000}"/>
    <cellStyle name="_Column3_Tabelle1_1_Tabelle3_Sm Proj Cash Flow" xfId="6161" xr:uid="{00000000-0005-0000-0000-000008180000}"/>
    <cellStyle name="_Column3_Tabelle1_1_Tabelle3_Spend Detail" xfId="6162" xr:uid="{00000000-0005-0000-0000-000009180000}"/>
    <cellStyle name="_Column3_Tabelle1_1_Tabelle3_SustainingProjectList" xfId="6163" xr:uid="{00000000-0005-0000-0000-00000A180000}"/>
    <cellStyle name="_Column3_Tabelle1_1_Template Capex budget 2010 Supply WE" xfId="6164" xr:uid="{00000000-0005-0000-0000-00000B180000}"/>
    <cellStyle name="_Column3_Tabelle1_1_Template Capex budget 2010 Supply WE 2" xfId="6165" xr:uid="{00000000-0005-0000-0000-00000C180000}"/>
    <cellStyle name="_Column3_Tabelle1_Absatz Ist je Artikel &amp; Woche V1" xfId="6166" xr:uid="{00000000-0005-0000-0000-00000D180000}"/>
    <cellStyle name="_Column3_Tabelle1_Rüstzeit" xfId="6167" xr:uid="{00000000-0005-0000-0000-00000E180000}"/>
    <cellStyle name="_Column3_Tabelle1_Sheet1" xfId="6168" xr:uid="{00000000-0005-0000-0000-00000F180000}"/>
    <cellStyle name="_Column3_Tabelle1_Sm Proj Cash Flow" xfId="6169" xr:uid="{00000000-0005-0000-0000-000010180000}"/>
    <cellStyle name="_Column3_Tabelle1_Spend Detail" xfId="6170" xr:uid="{00000000-0005-0000-0000-000011180000}"/>
    <cellStyle name="_Column3_Tabelle1_SustainingProjectList" xfId="6171" xr:uid="{00000000-0005-0000-0000-000012180000}"/>
    <cellStyle name="_Column3_Tabelle1_Volumen 05&amp;06&amp;07" xfId="6172" xr:uid="{00000000-0005-0000-0000-000013180000}"/>
    <cellStyle name="_Column3_Tabelle11" xfId="6173" xr:uid="{00000000-0005-0000-0000-000014180000}"/>
    <cellStyle name="_Column3_Tabelle2" xfId="6174" xr:uid="{00000000-0005-0000-0000-000015180000}"/>
    <cellStyle name="_Column3_Tabelle3" xfId="6175" xr:uid="{00000000-0005-0000-0000-000016180000}"/>
    <cellStyle name="_Column3_Tax IT0192 0609" xfId="6176" xr:uid="{00000000-0005-0000-0000-000017180000}"/>
    <cellStyle name="_Column3_Template Capex budget 2010 Supply WE" xfId="6177" xr:uid="{00000000-0005-0000-0000-000018180000}"/>
    <cellStyle name="_Column3_Template for processing cognos corrections  (2)" xfId="6178" xr:uid="{00000000-0005-0000-0000-000019180000}"/>
    <cellStyle name="_Column3_TP BE_Ad-hoc" xfId="6179" xr:uid="{00000000-0005-0000-0000-00001A180000}"/>
    <cellStyle name="_Column3_TP database" xfId="6180" xr:uid="{00000000-0005-0000-0000-00001B180000}"/>
    <cellStyle name="_Column3_TP database vers 26.3.07" xfId="6181" xr:uid="{00000000-0005-0000-0000-00001C180000}"/>
    <cellStyle name="_Column3_TP_IC_2013" xfId="6182" xr:uid="{00000000-0005-0000-0000-00001D180000}"/>
    <cellStyle name="_Column3_TP_Stella" xfId="6183" xr:uid="{00000000-0005-0000-0000-00001E180000}"/>
    <cellStyle name="_Column3_TPneu" xfId="6184" xr:uid="{00000000-0005-0000-0000-00001F180000}"/>
    <cellStyle name="_Column3_TS_dimension split Italy 1206" xfId="6185" xr:uid="{00000000-0005-0000-0000-000020180000}"/>
    <cellStyle name="_Column3_VE" xfId="6186" xr:uid="{00000000-0005-0000-0000-000021180000}"/>
    <cellStyle name="_Column3_VE 2" xfId="6187" xr:uid="{00000000-0005-0000-0000-000022180000}"/>
    <cellStyle name="_Column3_VE 2 2" xfId="6188" xr:uid="{00000000-0005-0000-0000-000023180000}"/>
    <cellStyle name="_Column3_VE 3" xfId="6189" xr:uid="{00000000-0005-0000-0000-000024180000}"/>
    <cellStyle name="_Column3_VIC Personalkosten Filling Bremen" xfId="6190" xr:uid="{00000000-0005-0000-0000-000025180000}"/>
    <cellStyle name="_Column3_VIC+VPLC On" xfId="6191" xr:uid="{00000000-0005-0000-0000-000026180000}"/>
    <cellStyle name="_Column3_Vol Innovations 1st sub" xfId="6192" xr:uid="{00000000-0005-0000-0000-000027180000}"/>
    <cellStyle name="_Column3_Vol mkt" xfId="6193" xr:uid="{00000000-0005-0000-0000-000028180000}"/>
    <cellStyle name="_Column3_Vol x SKU e x package" xfId="6194" xr:uid="{00000000-0005-0000-0000-000029180000}"/>
    <cellStyle name="_Column3_Vol_Innovations 1st Sub." xfId="6195" xr:uid="{00000000-0005-0000-0000-00002A180000}"/>
    <cellStyle name="_Column3_Volumen 05&amp;06&amp;07" xfId="6196" xr:uid="{00000000-0005-0000-0000-00002B180000}"/>
    <cellStyle name="_Column3_Volumes" xfId="6197" xr:uid="{00000000-0005-0000-0000-00002C180000}"/>
    <cellStyle name="_Column3_Volumes Bremen" xfId="6198" xr:uid="{00000000-0005-0000-0000-00002D180000}"/>
    <cellStyle name="_Column3_Volumes Bremen_packaging" xfId="6199" xr:uid="{00000000-0005-0000-0000-00002E180000}"/>
    <cellStyle name="_Column3_Volumes March'06" xfId="6200" xr:uid="{00000000-0005-0000-0000-00002F180000}"/>
    <cellStyle name="_Column3_Volumes_packaging" xfId="6201" xr:uid="{00000000-0005-0000-0000-000030180000}"/>
    <cellStyle name="_Column3_Volumi" xfId="6202" xr:uid="{00000000-0005-0000-0000-000031180000}"/>
    <cellStyle name="_Column3_Volumi aprile" xfId="6203" xr:uid="{00000000-0005-0000-0000-000032180000}"/>
    <cellStyle name="_Column3_Volumi Aug estr da Alea" xfId="6204" xr:uid="{00000000-0005-0000-0000-000033180000}"/>
    <cellStyle name="_Column3_Volumi August estr da Alea" xfId="6205" xr:uid="{00000000-0005-0000-0000-000034180000}"/>
    <cellStyle name="_Column3_Volumi BU'07" xfId="6206" xr:uid="{00000000-0005-0000-0000-000035180000}"/>
    <cellStyle name="_Column3_Volumi Budget'07 Alea" xfId="6207" xr:uid="{00000000-0005-0000-0000-000036180000}"/>
    <cellStyle name="_Column3_Volumi estr 30.6.06" xfId="6208" xr:uid="{00000000-0005-0000-0000-000037180000}"/>
    <cellStyle name="_Column3_Volumi July estr da Alea" xfId="6209" xr:uid="{00000000-0005-0000-0000-000038180000}"/>
    <cellStyle name="_Column3_Volumi July estr da Alea_1" xfId="6210" xr:uid="{00000000-0005-0000-0000-000039180000}"/>
    <cellStyle name="_Column3_Volumi Marzo (2)" xfId="6211" xr:uid="{00000000-0005-0000-0000-00003A180000}"/>
    <cellStyle name="_Column3_Volumi May estr da Alea" xfId="6212" xr:uid="{00000000-0005-0000-0000-00003B180000}"/>
    <cellStyle name="_Column3_Volumi October estr da Alea" xfId="6213" xr:uid="{00000000-0005-0000-0000-00003C180000}"/>
    <cellStyle name="_Column3_Volumi September estr da Alea" xfId="6214" xr:uid="{00000000-0005-0000-0000-00003D180000}"/>
    <cellStyle name="_Column3_Volumi YTD March x BU 2007 fl" xfId="6215" xr:uid="{00000000-0005-0000-0000-00003E180000}"/>
    <cellStyle name="_Column3_VP Supply Approval" xfId="6216" xr:uid="{00000000-0005-0000-0000-00003F180000}"/>
    <cellStyle name="_Column3_VP Supply Approval_RFFS SUBMISSION TO VPs" xfId="6217" xr:uid="{00000000-0005-0000-0000-000040180000}"/>
    <cellStyle name="_Column3_VP Supply Approval_RFFS_SUBMISSION_TO_VPs _v2" xfId="6218" xr:uid="{00000000-0005-0000-0000-000041180000}"/>
    <cellStyle name="_Column3_VPLC" xfId="6219" xr:uid="{00000000-0005-0000-0000-000042180000}"/>
    <cellStyle name="_Column3_waterfall-rol" xfId="6220" xr:uid="{00000000-0005-0000-0000-000043180000}"/>
    <cellStyle name="_Column3_waterfall-rol 2" xfId="6221" xr:uid="{00000000-0005-0000-0000-000044180000}"/>
    <cellStyle name="_Column3_waterfall-rol 2 2" xfId="6222" xr:uid="{00000000-0005-0000-0000-000045180000}"/>
    <cellStyle name="_Column3_waterfall-rol 3" xfId="6223" xr:uid="{00000000-0005-0000-0000-000046180000}"/>
    <cellStyle name="_Column3_WE_B07_Scope_changes_070507" xfId="6224" xr:uid="{00000000-0005-0000-0000-000047180000}"/>
    <cellStyle name="_Column3_WE_B07_Scope_changes_090507" xfId="6225" xr:uid="{00000000-0005-0000-0000-000048180000}"/>
    <cellStyle name="_Column3_WE_B07_Scope_changes_100407" xfId="6226" xr:uid="{00000000-0005-0000-0000-000049180000}"/>
    <cellStyle name="_Column3_WE_B07_Scope_changes_200307" xfId="6227" xr:uid="{00000000-0005-0000-0000-00004A180000}"/>
    <cellStyle name="_Column3_WE_B07_Scope_changes_300307" xfId="6228" xr:uid="{00000000-0005-0000-0000-00004B180000}"/>
    <cellStyle name="_Column3_WE_BusinessUpdate Jan 2007" xfId="6229" xr:uid="{00000000-0005-0000-0000-00004C180000}"/>
    <cellStyle name="_Column3_WE_BusinessUpdate2007_support" xfId="6230" xr:uid="{00000000-0005-0000-0000-00004D180000}"/>
    <cellStyle name="_Column3_WE_TargetBook2006__final050307(BG)" xfId="6231" xr:uid="{00000000-0005-0000-0000-00004E180000}"/>
    <cellStyle name="_Column3_YTD Off-Trade giugno" xfId="6232" xr:uid="{00000000-0005-0000-0000-00004F180000}"/>
    <cellStyle name="_Column3_YTD Off-Trade maggio" xfId="6233" xr:uid="{00000000-0005-0000-0000-000050180000}"/>
    <cellStyle name="_Column3_ZBB" xfId="6234" xr:uid="{00000000-0005-0000-0000-000051180000}"/>
    <cellStyle name="_Column3_ZBB 2" xfId="6235" xr:uid="{00000000-0005-0000-0000-000052180000}"/>
    <cellStyle name="_Column3_ZBB 2 2" xfId="6236" xr:uid="{00000000-0005-0000-0000-000053180000}"/>
    <cellStyle name="_Column3_ZBB 2007 estr Alea" xfId="6237" xr:uid="{00000000-0005-0000-0000-000054180000}"/>
    <cellStyle name="_Column3_ZBB 3" xfId="6238" xr:uid="{00000000-0005-0000-0000-000055180000}"/>
    <cellStyle name="_Column3_ZBB cost analysis B08 fin1" xfId="6239" xr:uid="{00000000-0005-0000-0000-000056180000}"/>
    <cellStyle name="_Column3_ZBB Germania" xfId="6240" xr:uid="{00000000-0005-0000-0000-000057180000}"/>
    <cellStyle name="_Column3_ZBB Risk and oportunities SD Julyok" xfId="6241" xr:uid="{00000000-0005-0000-0000-000058180000}"/>
    <cellStyle name="_Column3_ZBB x pack" xfId="6242" xr:uid="{00000000-0005-0000-0000-000059180000}"/>
    <cellStyle name="_Column3_ZBB x pack - dett Mkting" xfId="6243" xr:uid="{00000000-0005-0000-0000-00005A180000}"/>
    <cellStyle name="_Column3_ZBB x pack - dett Sales" xfId="6244" xr:uid="{00000000-0005-0000-0000-00005B180000}"/>
    <cellStyle name="_Column3_ZBB x pack Germania" xfId="6245" xr:uid="{00000000-0005-0000-0000-00005C180000}"/>
    <cellStyle name="_Column3_ZBB_LE2+B08_V1" xfId="6246" xr:uid="{00000000-0005-0000-0000-00005D180000}"/>
    <cellStyle name="_Column3_Zusammenfassung Wert" xfId="6247" xr:uid="{00000000-0005-0000-0000-00005E180000}"/>
    <cellStyle name="_Column4" xfId="6248" xr:uid="{00000000-0005-0000-0000-00005F180000}"/>
    <cellStyle name="_Column4 2" xfId="6249" xr:uid="{00000000-0005-0000-0000-000060180000}"/>
    <cellStyle name="_Column4 2 2" xfId="6250" xr:uid="{00000000-0005-0000-0000-000061180000}"/>
    <cellStyle name="_Column4 2 2 2" xfId="6251" xr:uid="{00000000-0005-0000-0000-000062180000}"/>
    <cellStyle name="_Column4 2 3" xfId="6252" xr:uid="{00000000-0005-0000-0000-000063180000}"/>
    <cellStyle name="_Column4 3" xfId="6253" xr:uid="{00000000-0005-0000-0000-000064180000}"/>
    <cellStyle name="_Column4 3 2" xfId="6254" xr:uid="{00000000-0005-0000-0000-000065180000}"/>
    <cellStyle name="_Column4 3 3" xfId="6255" xr:uid="{00000000-0005-0000-0000-000066180000}"/>
    <cellStyle name="_Column4 3 3 2" xfId="6256" xr:uid="{00000000-0005-0000-0000-000067180000}"/>
    <cellStyle name="_Column4 4" xfId="6257" xr:uid="{00000000-0005-0000-0000-000068180000}"/>
    <cellStyle name="_Column4 4 2" xfId="6258" xr:uid="{00000000-0005-0000-0000-000069180000}"/>
    <cellStyle name="_Column4_010808 Market Programs  for Budget Deck" xfId="6259" xr:uid="{00000000-0005-0000-0000-00006A180000}"/>
    <cellStyle name="_Column4_010808 Market Programs  for Budget Deck 2" xfId="6260" xr:uid="{00000000-0005-0000-0000-00006B180000}"/>
    <cellStyle name="_Column4_010808 Market Programs  for Budget Deck 2 2" xfId="6261" xr:uid="{00000000-0005-0000-0000-00006C180000}"/>
    <cellStyle name="_Column4_010808 Market Programs  for Budget Deck 3" xfId="6262" xr:uid="{00000000-0005-0000-0000-00006D180000}"/>
    <cellStyle name="_Column4_010808 Market Programs  for Budget Deck 3 2" xfId="6263" xr:uid="{00000000-0005-0000-0000-00006E180000}"/>
    <cellStyle name="_Column4_010808 Market Programs  for Budget Deck 3 3" xfId="6264" xr:uid="{00000000-0005-0000-0000-00006F180000}"/>
    <cellStyle name="_Column4_010808 Market Programs  for Budget Deck 3 3 2" xfId="6265" xr:uid="{00000000-0005-0000-0000-000070180000}"/>
    <cellStyle name="_Column4_010808 Market Programs  for Budget Deck 4" xfId="6266" xr:uid="{00000000-0005-0000-0000-000071180000}"/>
    <cellStyle name="_Column4_010808 Market Programs  for Budget Deck 4 2" xfId="6267" xr:uid="{00000000-0005-0000-0000-000072180000}"/>
    <cellStyle name="_Column4_010808 Market Programs  for Budget Deck_Sm Proj Cash Flow" xfId="6268" xr:uid="{00000000-0005-0000-0000-000073180000}"/>
    <cellStyle name="_Column4_010808 Market Programs  for Budget Deck_Spend Detail" xfId="6269" xr:uid="{00000000-0005-0000-0000-000074180000}"/>
    <cellStyle name="_Column4_080813 Germany-High&amp;Low" xfId="6270" xr:uid="{00000000-0005-0000-0000-000075180000}"/>
    <cellStyle name="_Column4_080813 Germany-Lidl" xfId="6271" xr:uid="{00000000-0005-0000-0000-000076180000}"/>
    <cellStyle name="_Column4_1_INPUT" xfId="6272" xr:uid="{00000000-0005-0000-0000-000077180000}"/>
    <cellStyle name="_Column4_1_INPUT_TP_No Tank Resales" xfId="6273" xr:uid="{00000000-0005-0000-0000-000078180000}"/>
    <cellStyle name="_Column4_1_INPUT_TP_No Tank Resales_1" xfId="6274" xr:uid="{00000000-0005-0000-0000-000079180000}"/>
    <cellStyle name="_Column4_1_INPUT_TP_No Tank Resales_1 2" xfId="6275" xr:uid="{00000000-0005-0000-0000-00007A180000}"/>
    <cellStyle name="_Column4_2pk SP 2008" xfId="6276" xr:uid="{00000000-0005-0000-0000-00007B180000}"/>
    <cellStyle name="_Column4_2pk SP 2008_Sm Proj Cash Flow" xfId="6277" xr:uid="{00000000-0005-0000-0000-00007C180000}"/>
    <cellStyle name="_Column4_2pk SP 2008_Spend Detail" xfId="6278" xr:uid="{00000000-0005-0000-0000-00007D180000}"/>
    <cellStyle name="_Column4_AB" xfId="6279" xr:uid="{00000000-0005-0000-0000-00007E180000}"/>
    <cellStyle name="_Column4_Abfüllmenge &amp; Anstellwürze Bremen Budget 2006 V1.1" xfId="6280" xr:uid="{00000000-0005-0000-0000-00007F180000}"/>
    <cellStyle name="_Column4_Abfüllmenge &amp; Anstellwürze Bremen Budget 2006 V1.1_Sheet5" xfId="6281" xr:uid="{00000000-0005-0000-0000-000080180000}"/>
    <cellStyle name="_Column4_Abfüllmenge &amp; Anstellwürze Issum Budget 2006 V1.1" xfId="6282" xr:uid="{00000000-0005-0000-0000-000081180000}"/>
    <cellStyle name="_Column4_Abfüllmenge &amp; Anstellwürze Issum Budget 2006 V1.1_Sheet5" xfId="6283" xr:uid="{00000000-0005-0000-0000-000082180000}"/>
    <cellStyle name="_Column4_Absatz Ist je Artikel &amp; Woche V1" xfId="6284" xr:uid="{00000000-0005-0000-0000-000083180000}"/>
    <cellStyle name="_Column4_Absatz Ist je Artikel &amp; Woche V1_Sm Proj Cash Flow" xfId="6285" xr:uid="{00000000-0005-0000-0000-000084180000}"/>
    <cellStyle name="_Column4_Absatz Ist je Artikel &amp; Woche V1_Spend Detail" xfId="6286" xr:uid="{00000000-0005-0000-0000-000085180000}"/>
    <cellStyle name="_Column4_Absatz SP2007 pro SKU 30 5 2007 vs 4 6 2007 " xfId="6287" xr:uid="{00000000-0005-0000-0000-000086180000}"/>
    <cellStyle name="_Column4_Abstimmung IDVG Absätze für LE2 2004" xfId="6288" xr:uid="{00000000-0005-0000-0000-000087180000}"/>
    <cellStyle name="_Column4_Abstimmung IDVG Absätze für LE2 2004 2" xfId="6289" xr:uid="{00000000-0005-0000-0000-000088180000}"/>
    <cellStyle name="_Column4_Abstimmung IDVG Absätze für LE2 2004 2 2" xfId="6290" xr:uid="{00000000-0005-0000-0000-000089180000}"/>
    <cellStyle name="_Column4_Abstimmung IDVG Absätze für LE2 2004_Basis" xfId="6291" xr:uid="{00000000-0005-0000-0000-00008A180000}"/>
    <cellStyle name="_Column4_Abstimmung IDVG Absätze für LE2 2004_Basis 2" xfId="6292" xr:uid="{00000000-0005-0000-0000-00008B180000}"/>
    <cellStyle name="_Column4_Abstimmung IDVG Absätze für LE2 2004_Basis 2 2" xfId="6293" xr:uid="{00000000-0005-0000-0000-00008C180000}"/>
    <cellStyle name="_Column4_Abstimmung IDVG Absätze für LE2 2004_Basis_Sheet1" xfId="6294" xr:uid="{00000000-0005-0000-0000-00008D180000}"/>
    <cellStyle name="_Column4_Abstimmung IDVG Absätze für LE2 2004_Basis_Sheet5" xfId="6295" xr:uid="{00000000-0005-0000-0000-00008E180000}"/>
    <cellStyle name="_Column4_Abstimmung IDVG Absätze für LE2 2004_Basis_Sm Proj Cash Flow" xfId="6296" xr:uid="{00000000-0005-0000-0000-00008F180000}"/>
    <cellStyle name="_Column4_Abstimmung IDVG Absätze für LE2 2004_Basis_Spend Detail" xfId="6297" xr:uid="{00000000-0005-0000-0000-000090180000}"/>
    <cellStyle name="_Column4_Abstimmung IDVG Absätze für LE2 2004_Basis_SustainingProjectList" xfId="6298" xr:uid="{00000000-0005-0000-0000-000091180000}"/>
    <cellStyle name="_Column4_Abstimmung IDVG Absätze für LE2 2004_Sheet1" xfId="6299" xr:uid="{00000000-0005-0000-0000-000092180000}"/>
    <cellStyle name="_Column4_Abstimmung IDVG Absätze für LE2 2004_Sheet5" xfId="6300" xr:uid="{00000000-0005-0000-0000-000093180000}"/>
    <cellStyle name="_Column4_Abstimmung IDVG Absätze für LE2 2004_SKU Volumen" xfId="6301" xr:uid="{00000000-0005-0000-0000-000094180000}"/>
    <cellStyle name="_Column4_Abstimmung IDVG Absätze für LE2 2004_SKU Volumen 2" xfId="6302" xr:uid="{00000000-0005-0000-0000-000095180000}"/>
    <cellStyle name="_Column4_Abstimmung IDVG Absätze für LE2 2004_SKU Volumen_Sheet1" xfId="6303" xr:uid="{00000000-0005-0000-0000-000096180000}"/>
    <cellStyle name="_Column4_Abstimmung IDVG Absätze für LE2 2004_SKU Volumen_Sm Proj Cash Flow" xfId="6304" xr:uid="{00000000-0005-0000-0000-000097180000}"/>
    <cellStyle name="_Column4_Abstimmung IDVG Absätze für LE2 2004_SKU Volumen_Spend Detail" xfId="6305" xr:uid="{00000000-0005-0000-0000-000098180000}"/>
    <cellStyle name="_Column4_Abstimmung IDVG Absätze für LE2 2004_SKU Volumen_SustainingProjectList" xfId="6306" xr:uid="{00000000-0005-0000-0000-000099180000}"/>
    <cellStyle name="_Column4_Abstimmung IDVG Absätze für LE2 2004_Sm Proj Cash Flow" xfId="6307" xr:uid="{00000000-0005-0000-0000-00009A180000}"/>
    <cellStyle name="_Column4_Abstimmung IDVG Absätze für LE2 2004_Spend Detail" xfId="6308" xr:uid="{00000000-0005-0000-0000-00009B180000}"/>
    <cellStyle name="_Column4_Abstimmung IDVG Absätze für LE2 2004_SustainingProjectList" xfId="6309" xr:uid="{00000000-0005-0000-0000-00009C180000}"/>
    <cellStyle name="_Column4_Abstimmung IDVG Absätze für LE2 2004_Tabelle1" xfId="6310" xr:uid="{00000000-0005-0000-0000-00009D180000}"/>
    <cellStyle name="_Column4_Abstimmung IDVG Absätze für LE2 2004_Tabelle1 2" xfId="6311" xr:uid="{00000000-0005-0000-0000-00009E180000}"/>
    <cellStyle name="_Column4_Abstimmung IDVG Absätze für LE2 2004_Tabelle1_Sheet1" xfId="6312" xr:uid="{00000000-0005-0000-0000-00009F180000}"/>
    <cellStyle name="_Column4_Abstimmung IDVG Absätze für LE2 2004_Tabelle1_Sm Proj Cash Flow" xfId="6313" xr:uid="{00000000-0005-0000-0000-0000A0180000}"/>
    <cellStyle name="_Column4_Abstimmung IDVG Absätze für LE2 2004_Tabelle1_Spend Detail" xfId="6314" xr:uid="{00000000-0005-0000-0000-0000A1180000}"/>
    <cellStyle name="_Column4_Abstimmung IDVG Absätze für LE2 2004_Tabelle1_SustainingProjectList" xfId="6315" xr:uid="{00000000-0005-0000-0000-0000A2180000}"/>
    <cellStyle name="_Column4_Acc.to fuori fattura Off-trade Feb 2007 " xfId="6316" xr:uid="{00000000-0005-0000-0000-0000A3180000}"/>
    <cellStyle name="_Column4_Acc.to fuori fattura Off-trade Feb 2007 _BB (2)" xfId="6317" xr:uid="{00000000-0005-0000-0000-0000A4180000}"/>
    <cellStyle name="_Column4_Acc.to fuori fattura Off-trade Feb 2007 _C00200" xfId="6318" xr:uid="{00000000-0005-0000-0000-0000A5180000}"/>
    <cellStyle name="_Column4_Acc.to fuori fattura Off-trade Feb 2007 _C00210" xfId="6319" xr:uid="{00000000-0005-0000-0000-0000A6180000}"/>
    <cellStyle name="_Column4_Acc.to fuori fattura Off-trade Feb 2007 _C00300" xfId="6320" xr:uid="{00000000-0005-0000-0000-0000A7180000}"/>
    <cellStyle name="_Column4_Acc.to fuori fattura Off-trade Feb 2007 _C00400" xfId="6321" xr:uid="{00000000-0005-0000-0000-0000A8180000}"/>
    <cellStyle name="_Column4_Acc.to fuori fattura Off-trade Feb 2007 _check6" xfId="6322" xr:uid="{00000000-0005-0000-0000-0000A9180000}"/>
    <cellStyle name="_Column4_Acc.to fuori fattura Off-trade Feb 2007 _Sheet1" xfId="6323" xr:uid="{00000000-0005-0000-0000-0000AA180000}"/>
    <cellStyle name="_Column4_Acc.to fuori fattura Off-trade Feb 2007 _Sheet1 (5)" xfId="6324" xr:uid="{00000000-0005-0000-0000-0000AB180000}"/>
    <cellStyle name="_Column4_Acc.to fuori fattura Off-trade Feb 2007 _Sheet2" xfId="6325" xr:uid="{00000000-0005-0000-0000-0000AC180000}"/>
    <cellStyle name="_Column4_Acc.to fuori fattura Off-trade Feb 2007 _Sheet3" xfId="6326" xr:uid="{00000000-0005-0000-0000-0000AD180000}"/>
    <cellStyle name="_Column4_Acc.to fuori fattura Off-trade Feb 2007 _status" xfId="6327" xr:uid="{00000000-0005-0000-0000-0000AE180000}"/>
    <cellStyle name="_Column4_Accident frequency" xfId="6328" xr:uid="{00000000-0005-0000-0000-0000AF180000}"/>
    <cellStyle name="_Column4_Accident frequency 2" xfId="6329" xr:uid="{00000000-0005-0000-0000-0000B0180000}"/>
    <cellStyle name="_Column4_Accident frequency_Financial Analysis Base" xfId="6330" xr:uid="{00000000-0005-0000-0000-0000B1180000}"/>
    <cellStyle name="_Column4_Ad hoc PL 3YP HRK za COGNOS unos JULY20" xfId="6331" xr:uid="{00000000-0005-0000-0000-0000B2180000}"/>
    <cellStyle name="_Column4_Ad hoc PL 3YP HRK za COGNOS unos JULY20 2" xfId="6332" xr:uid="{00000000-0005-0000-0000-0000B3180000}"/>
    <cellStyle name="_Column4_Ad hoc PL 3YP HRK za COGNOS unos JULY20 3" xfId="6333" xr:uid="{00000000-0005-0000-0000-0000B4180000}"/>
    <cellStyle name="_Column4_Ad hoc PL 3YP HRK za COGNOS unos JULY20 3 2" xfId="6334" xr:uid="{00000000-0005-0000-0000-0000B5180000}"/>
    <cellStyle name="_Column4_Ad hoc PL 3YP HRK za COGNOS unos JULY20 3 3" xfId="6335" xr:uid="{00000000-0005-0000-0000-0000B6180000}"/>
    <cellStyle name="_Column4_Ad hoc PL 3YP HRK za COGNOS unos JULY20 3 3 2" xfId="6336" xr:uid="{00000000-0005-0000-0000-0000B7180000}"/>
    <cellStyle name="_Column4_Ad hoc PL 3YP HRK za COGNOS unos JULY20 4" xfId="6337" xr:uid="{00000000-0005-0000-0000-0000B8180000}"/>
    <cellStyle name="_Column4_Ad hoc PL 3YP HRK za COGNOS unos JULY20 4 2" xfId="6338" xr:uid="{00000000-0005-0000-0000-0000B9180000}"/>
    <cellStyle name="_Column4_Ad hoc PL 3YP HRK za COGNOS unos JULY20_Canada" xfId="6339" xr:uid="{00000000-0005-0000-0000-0000BA180000}"/>
    <cellStyle name="_Column4_Ad hoc PL 3YP HRK za COGNOS unos JULY20_Canada 2" xfId="6340" xr:uid="{00000000-0005-0000-0000-0000BB180000}"/>
    <cellStyle name="_Column4_Additional Templates" xfId="6341" xr:uid="{00000000-0005-0000-0000-0000BC180000}"/>
    <cellStyle name="_Column4_Additional Templates (2)" xfId="6342" xr:uid="{00000000-0005-0000-0000-0000BD180000}"/>
    <cellStyle name="_Column4_Additional Templates (2) 2" xfId="6343" xr:uid="{00000000-0005-0000-0000-0000BE180000}"/>
    <cellStyle name="_Column4_Additional Templates (2) 3" xfId="6344" xr:uid="{00000000-0005-0000-0000-0000BF180000}"/>
    <cellStyle name="_Column4_Additional Templates (2) 3 2" xfId="6345" xr:uid="{00000000-0005-0000-0000-0000C0180000}"/>
    <cellStyle name="_Column4_Additional Templates (2) 3 3" xfId="6346" xr:uid="{00000000-0005-0000-0000-0000C1180000}"/>
    <cellStyle name="_Column4_Additional Templates (2) 3 3 2" xfId="6347" xr:uid="{00000000-0005-0000-0000-0000C2180000}"/>
    <cellStyle name="_Column4_Additional Templates (2) 4" xfId="6348" xr:uid="{00000000-0005-0000-0000-0000C3180000}"/>
    <cellStyle name="_Column4_Additional Templates (2) 4 2" xfId="6349" xr:uid="{00000000-0005-0000-0000-0000C4180000}"/>
    <cellStyle name="_Column4_Additional Templates (3)" xfId="6350" xr:uid="{00000000-0005-0000-0000-0000C5180000}"/>
    <cellStyle name="_Column4_Additional Templates (3) 2" xfId="6351" xr:uid="{00000000-0005-0000-0000-0000C6180000}"/>
    <cellStyle name="_Column4_Additional Templates (3) 3" xfId="6352" xr:uid="{00000000-0005-0000-0000-0000C7180000}"/>
    <cellStyle name="_Column4_Additional Templates (3) 3 2" xfId="6353" xr:uid="{00000000-0005-0000-0000-0000C8180000}"/>
    <cellStyle name="_Column4_Additional Templates (3) 3 3" xfId="6354" xr:uid="{00000000-0005-0000-0000-0000C9180000}"/>
    <cellStyle name="_Column4_Additional Templates (3) 3 3 2" xfId="6355" xr:uid="{00000000-0005-0000-0000-0000CA180000}"/>
    <cellStyle name="_Column4_Additional Templates (3) 4" xfId="6356" xr:uid="{00000000-0005-0000-0000-0000CB180000}"/>
    <cellStyle name="_Column4_Additional Templates (3) 4 2" xfId="6357" xr:uid="{00000000-0005-0000-0000-0000CC180000}"/>
    <cellStyle name="_Column4_Additional Templates (4)" xfId="6358" xr:uid="{00000000-0005-0000-0000-0000CD180000}"/>
    <cellStyle name="_Column4_Additional Templates (4) 2" xfId="6359" xr:uid="{00000000-0005-0000-0000-0000CE180000}"/>
    <cellStyle name="_Column4_Additional Templates (4) 3" xfId="6360" xr:uid="{00000000-0005-0000-0000-0000CF180000}"/>
    <cellStyle name="_Column4_Additional Templates (4) 3 2" xfId="6361" xr:uid="{00000000-0005-0000-0000-0000D0180000}"/>
    <cellStyle name="_Column4_Additional Templates (4) 3 3" xfId="6362" xr:uid="{00000000-0005-0000-0000-0000D1180000}"/>
    <cellStyle name="_Column4_Additional Templates (4) 3 3 2" xfId="6363" xr:uid="{00000000-0005-0000-0000-0000D2180000}"/>
    <cellStyle name="_Column4_Additional Templates (4) 4" xfId="6364" xr:uid="{00000000-0005-0000-0000-0000D3180000}"/>
    <cellStyle name="_Column4_Additional Templates (4) 4 2" xfId="6365" xr:uid="{00000000-0005-0000-0000-0000D4180000}"/>
    <cellStyle name="_Column4_Additional Templates (5)" xfId="6366" xr:uid="{00000000-0005-0000-0000-0000D5180000}"/>
    <cellStyle name="_Column4_Additional Templates (5) 2" xfId="6367" xr:uid="{00000000-0005-0000-0000-0000D6180000}"/>
    <cellStyle name="_Column4_Additional Templates (5) 3" xfId="6368" xr:uid="{00000000-0005-0000-0000-0000D7180000}"/>
    <cellStyle name="_Column4_Additional Templates (5) 3 2" xfId="6369" xr:uid="{00000000-0005-0000-0000-0000D8180000}"/>
    <cellStyle name="_Column4_Additional Templates (5) 3 3" xfId="6370" xr:uid="{00000000-0005-0000-0000-0000D9180000}"/>
    <cellStyle name="_Column4_Additional Templates (5) 3 3 2" xfId="6371" xr:uid="{00000000-0005-0000-0000-0000DA180000}"/>
    <cellStyle name="_Column4_Additional Templates (5) 4" xfId="6372" xr:uid="{00000000-0005-0000-0000-0000DB180000}"/>
    <cellStyle name="_Column4_Additional Templates (5) 4 2" xfId="6373" xr:uid="{00000000-0005-0000-0000-0000DC180000}"/>
    <cellStyle name="_Column4_Additional Templates 10" xfId="6374" xr:uid="{00000000-0005-0000-0000-0000DD180000}"/>
    <cellStyle name="_Column4_Additional Templates 11" xfId="6375" xr:uid="{00000000-0005-0000-0000-0000DE180000}"/>
    <cellStyle name="_Column4_Additional Templates 11 2" xfId="6376" xr:uid="{00000000-0005-0000-0000-0000DF180000}"/>
    <cellStyle name="_Column4_Additional Templates 12" xfId="6377" xr:uid="{00000000-0005-0000-0000-0000E0180000}"/>
    <cellStyle name="_Column4_Additional Templates 12 2" xfId="6378" xr:uid="{00000000-0005-0000-0000-0000E1180000}"/>
    <cellStyle name="_Column4_Additional Templates 13" xfId="6379" xr:uid="{00000000-0005-0000-0000-0000E2180000}"/>
    <cellStyle name="_Column4_Additional Templates 13 2" xfId="6380" xr:uid="{00000000-0005-0000-0000-0000E3180000}"/>
    <cellStyle name="_Column4_Additional Templates 14" xfId="6381" xr:uid="{00000000-0005-0000-0000-0000E4180000}"/>
    <cellStyle name="_Column4_Additional Templates 14 2" xfId="6382" xr:uid="{00000000-0005-0000-0000-0000E5180000}"/>
    <cellStyle name="_Column4_Additional Templates 2" xfId="6383" xr:uid="{00000000-0005-0000-0000-0000E6180000}"/>
    <cellStyle name="_Column4_Additional Templates 3" xfId="6384" xr:uid="{00000000-0005-0000-0000-0000E7180000}"/>
    <cellStyle name="_Column4_Additional Templates 4" xfId="6385" xr:uid="{00000000-0005-0000-0000-0000E8180000}"/>
    <cellStyle name="_Column4_Additional Templates 5" xfId="6386" xr:uid="{00000000-0005-0000-0000-0000E9180000}"/>
    <cellStyle name="_Column4_Additional Templates 5 2" xfId="6387" xr:uid="{00000000-0005-0000-0000-0000EA180000}"/>
    <cellStyle name="_Column4_Additional Templates 5 3" xfId="6388" xr:uid="{00000000-0005-0000-0000-0000EB180000}"/>
    <cellStyle name="_Column4_Additional Templates 5 3 2" xfId="6389" xr:uid="{00000000-0005-0000-0000-0000EC180000}"/>
    <cellStyle name="_Column4_Additional Templates 6" xfId="6390" xr:uid="{00000000-0005-0000-0000-0000ED180000}"/>
    <cellStyle name="_Column4_Additional Templates 6 2" xfId="6391" xr:uid="{00000000-0005-0000-0000-0000EE180000}"/>
    <cellStyle name="_Column4_Additional Templates 6 3" xfId="6392" xr:uid="{00000000-0005-0000-0000-0000EF180000}"/>
    <cellStyle name="_Column4_Additional Templates 6 3 2" xfId="6393" xr:uid="{00000000-0005-0000-0000-0000F0180000}"/>
    <cellStyle name="_Column4_Additional Templates 7" xfId="6394" xr:uid="{00000000-0005-0000-0000-0000F1180000}"/>
    <cellStyle name="_Column4_Additional Templates 8" xfId="6395" xr:uid="{00000000-0005-0000-0000-0000F2180000}"/>
    <cellStyle name="_Column4_Additional Templates 9" xfId="6396" xr:uid="{00000000-0005-0000-0000-0000F3180000}"/>
    <cellStyle name="_Column4_aggiornato LE2 OFF TRADE 25_08 FL" xfId="6397" xr:uid="{00000000-0005-0000-0000-0000F4180000}"/>
    <cellStyle name="_Column4_AL 05,12,06 VS LE2" xfId="6398" xr:uid="{00000000-0005-0000-0000-0000F5180000}"/>
    <cellStyle name="_Column4_ALEA" xfId="6399" xr:uid="{00000000-0005-0000-0000-0000F6180000}"/>
    <cellStyle name="_Column4_ALEA 2" xfId="6400" xr:uid="{00000000-0005-0000-0000-0000F7180000}"/>
    <cellStyle name="_Column4_ALEA 3" xfId="6401" xr:uid="{00000000-0005-0000-0000-0000F8180000}"/>
    <cellStyle name="_Column4_ALEA 3 2" xfId="6402" xr:uid="{00000000-0005-0000-0000-0000F9180000}"/>
    <cellStyle name="_Column4_ALEA 3 3" xfId="6403" xr:uid="{00000000-0005-0000-0000-0000FA180000}"/>
    <cellStyle name="_Column4_ALEA 3 3 2" xfId="6404" xr:uid="{00000000-0005-0000-0000-0000FB180000}"/>
    <cellStyle name="_Column4_ALEA 4" xfId="6405" xr:uid="{00000000-0005-0000-0000-0000FC180000}"/>
    <cellStyle name="_Column4_ALEA 4 2" xfId="6406" xr:uid="{00000000-0005-0000-0000-0000FD180000}"/>
    <cellStyle name="_Column4_ALEA OFF LE2" xfId="6407" xr:uid="{00000000-0005-0000-0000-0000FE180000}"/>
    <cellStyle name="_Column4_Alea x mkt pack" xfId="6408" xr:uid="{00000000-0005-0000-0000-0000FF180000}"/>
    <cellStyle name="_Column4_Alea x sales pack" xfId="6409" xr:uid="{00000000-0005-0000-0000-000000190000}"/>
    <cellStyle name="_Column4_ALEA_Sheet5" xfId="6410" xr:uid="{00000000-0005-0000-0000-000001190000}"/>
    <cellStyle name="_Column4_All" xfId="6411" xr:uid="{00000000-0005-0000-0000-000002190000}"/>
    <cellStyle name="_Column4_Analisi costo venduto" xfId="6412" xr:uid="{00000000-0005-0000-0000-000003190000}"/>
    <cellStyle name="_Column4_Analisi LE2'06 e bdg'07" xfId="6413" xr:uid="{00000000-0005-0000-0000-000004190000}"/>
    <cellStyle name="_Column4_Analisi vol ott" xfId="6414" xr:uid="{00000000-0005-0000-0000-000005190000}"/>
    <cellStyle name="_Column4_Asset Needs" xfId="6415" xr:uid="{00000000-0005-0000-0000-000006190000}"/>
    <cellStyle name="_Column4_BACK UP FIGURES for PRESENTATION LE1" xfId="6416" xr:uid="{00000000-0005-0000-0000-000007190000}"/>
    <cellStyle name="_Column4_Basis" xfId="6417" xr:uid="{00000000-0005-0000-0000-000008190000}"/>
    <cellStyle name="_Column4_Basis 2" xfId="6418" xr:uid="{00000000-0005-0000-0000-000009190000}"/>
    <cellStyle name="_Column4_Basis 2 2" xfId="6419" xr:uid="{00000000-0005-0000-0000-00000A190000}"/>
    <cellStyle name="_Column4_Basis_1" xfId="6420" xr:uid="{00000000-0005-0000-0000-00000B190000}"/>
    <cellStyle name="_Column4_Basis_1 2" xfId="6421" xr:uid="{00000000-0005-0000-0000-00000C190000}"/>
    <cellStyle name="_Column4_Basis_1 2 2" xfId="6422" xr:uid="{00000000-0005-0000-0000-00000D190000}"/>
    <cellStyle name="_Column4_Basis_1_Sheet1" xfId="6423" xr:uid="{00000000-0005-0000-0000-00000E190000}"/>
    <cellStyle name="_Column4_Basis_1_Sheet5" xfId="6424" xr:uid="{00000000-0005-0000-0000-00000F190000}"/>
    <cellStyle name="_Column4_Basis_1_Sm Proj Cash Flow" xfId="6425" xr:uid="{00000000-0005-0000-0000-000010190000}"/>
    <cellStyle name="_Column4_Basis_1_Spend Detail" xfId="6426" xr:uid="{00000000-0005-0000-0000-000011190000}"/>
    <cellStyle name="_Column4_Basis_1_SustainingProjectList" xfId="6427" xr:uid="{00000000-0005-0000-0000-000012190000}"/>
    <cellStyle name="_Column4_Basis_Sheet5" xfId="6428" xr:uid="{00000000-0005-0000-0000-000013190000}"/>
    <cellStyle name="_Column4_Basis_Sm Proj Cash Flow" xfId="6429" xr:uid="{00000000-0005-0000-0000-000014190000}"/>
    <cellStyle name="_Column4_Basis_Spend Detail" xfId="6430" xr:uid="{00000000-0005-0000-0000-000015190000}"/>
    <cellStyle name="_Column4_BB" xfId="6431" xr:uid="{00000000-0005-0000-0000-000016190000}"/>
    <cellStyle name="_Column4_BB (2)" xfId="6432" xr:uid="{00000000-0005-0000-0000-000017190000}"/>
    <cellStyle name="_Column4_BE_FG" xfId="6433" xr:uid="{00000000-0005-0000-0000-000018190000}"/>
    <cellStyle name="_Column4_BE_FG 2" xfId="6434" xr:uid="{00000000-0005-0000-0000-000019190000}"/>
    <cellStyle name="_Column4_BE_FG 3" xfId="6435" xr:uid="{00000000-0005-0000-0000-00001A190000}"/>
    <cellStyle name="_Column4_BE_FG 3 2" xfId="6436" xr:uid="{00000000-0005-0000-0000-00001B190000}"/>
    <cellStyle name="_Column4_BE_FG 3 3" xfId="6437" xr:uid="{00000000-0005-0000-0000-00001C190000}"/>
    <cellStyle name="_Column4_BE_FG 3 3 2" xfId="6438" xr:uid="{00000000-0005-0000-0000-00001D190000}"/>
    <cellStyle name="_Column4_BE_FG 4" xfId="6439" xr:uid="{00000000-0005-0000-0000-00001E190000}"/>
    <cellStyle name="_Column4_BE_FG 4 2" xfId="6440" xr:uid="{00000000-0005-0000-0000-00001F190000}"/>
    <cellStyle name="_Column4_Beval REPORT novembre'06" xfId="6441" xr:uid="{00000000-0005-0000-0000-000020190000}"/>
    <cellStyle name="_Column4_Beval REPORT novembre'06_BB (2)" xfId="6442" xr:uid="{00000000-0005-0000-0000-000021190000}"/>
    <cellStyle name="_Column4_Beval REPORT novembre'06_C00200" xfId="6443" xr:uid="{00000000-0005-0000-0000-000022190000}"/>
    <cellStyle name="_Column4_Beval REPORT novembre'06_C00210" xfId="6444" xr:uid="{00000000-0005-0000-0000-000023190000}"/>
    <cellStyle name="_Column4_Beval REPORT novembre'06_C00300" xfId="6445" xr:uid="{00000000-0005-0000-0000-000024190000}"/>
    <cellStyle name="_Column4_Beval REPORT novembre'06_C00400" xfId="6446" xr:uid="{00000000-0005-0000-0000-000025190000}"/>
    <cellStyle name="_Column4_Beval REPORT novembre'06_check6" xfId="6447" xr:uid="{00000000-0005-0000-0000-000026190000}"/>
    <cellStyle name="_Column4_Beval REPORT novembre'06_Sheet1" xfId="6448" xr:uid="{00000000-0005-0000-0000-000027190000}"/>
    <cellStyle name="_Column4_Beval REPORT novembre'06_Sheet1 (5)" xfId="6449" xr:uid="{00000000-0005-0000-0000-000028190000}"/>
    <cellStyle name="_Column4_Beval REPORT novembre'06_Sheet2" xfId="6450" xr:uid="{00000000-0005-0000-0000-000029190000}"/>
    <cellStyle name="_Column4_Beval REPORT novembre'06_Sheet3" xfId="6451" xr:uid="{00000000-0005-0000-0000-00002A190000}"/>
    <cellStyle name="_Column4_Beval REPORT novembre'06_status" xfId="6452" xr:uid="{00000000-0005-0000-0000-00002B190000}"/>
    <cellStyle name="_Column4_BGT 08 Templates Sales  Marketing - final (revised)" xfId="6453" xr:uid="{00000000-0005-0000-0000-00002C190000}"/>
    <cellStyle name="_Column4_BGT 08 Templates Sales  Marketing - final (revised) 2" xfId="6454" xr:uid="{00000000-0005-0000-0000-00002D190000}"/>
    <cellStyle name="_Column4_BGT 08 Templates Sales  Marketing - final (revised) 2 2" xfId="6455" xr:uid="{00000000-0005-0000-0000-00002E190000}"/>
    <cellStyle name="_Column4_BGT 08 Templates Sales  Marketing - final (revised) 3" xfId="6456" xr:uid="{00000000-0005-0000-0000-00002F190000}"/>
    <cellStyle name="_Column4_BGT 08 Templates Sales  Marketing - final (revised) 3 2" xfId="6457" xr:uid="{00000000-0005-0000-0000-000030190000}"/>
    <cellStyle name="_Column4_BGT 08 Templates Sales  Marketing - final (revised) 3 3" xfId="6458" xr:uid="{00000000-0005-0000-0000-000031190000}"/>
    <cellStyle name="_Column4_BGT 08 Templates Sales  Marketing - final (revised) 3 3 2" xfId="6459" xr:uid="{00000000-0005-0000-0000-000032190000}"/>
    <cellStyle name="_Column4_BGT 08 Templates Sales  Marketing - final (revised) 4" xfId="6460" xr:uid="{00000000-0005-0000-0000-000033190000}"/>
    <cellStyle name="_Column4_BGT 08 Templates Sales  Marketing - final (revised) 4 2" xfId="6461" xr:uid="{00000000-0005-0000-0000-000034190000}"/>
    <cellStyle name="_Column4_BGT 08 Templates Sales  Marketing - final (revised)_Sheet1" xfId="6462" xr:uid="{00000000-0005-0000-0000-000035190000}"/>
    <cellStyle name="_Column4_BGT 08 Templates Sales  Marketing - final (revised)_Sm Proj Cash Flow" xfId="6463" xr:uid="{00000000-0005-0000-0000-000036190000}"/>
    <cellStyle name="_Column4_BGT 08 Templates Sales  Marketing - final (revised)_Spend Detail" xfId="6464" xr:uid="{00000000-0005-0000-0000-000037190000}"/>
    <cellStyle name="_Column4_BGT 08 Templates Sales  Marketing - final (revised)_SustainingProjectList" xfId="6465" xr:uid="{00000000-0005-0000-0000-000038190000}"/>
    <cellStyle name="_Column4_BR" xfId="6466" xr:uid="{00000000-0005-0000-0000-000039190000}"/>
    <cellStyle name="_Column4_BR 2" xfId="6467" xr:uid="{00000000-0005-0000-0000-00003A190000}"/>
    <cellStyle name="_Column4_BR 2 2" xfId="6468" xr:uid="{00000000-0005-0000-0000-00003B190000}"/>
    <cellStyle name="_Column4_BR 3" xfId="6469" xr:uid="{00000000-0005-0000-0000-00003C190000}"/>
    <cellStyle name="_Column4_Brew Ops Capacity balzer Modufi" xfId="6470" xr:uid="{00000000-0005-0000-0000-00003D190000}"/>
    <cellStyle name="_Column4_Brew Ops Capacity balzer Modufi 2" xfId="6471" xr:uid="{00000000-0005-0000-0000-00003E190000}"/>
    <cellStyle name="_Column4_Brew Ops Capacity balzer Modufi 2 2" xfId="6472" xr:uid="{00000000-0005-0000-0000-00003F190000}"/>
    <cellStyle name="_Column4_Brew Ops Capacity balzer Modufi_Sheet5" xfId="6473" xr:uid="{00000000-0005-0000-0000-000040190000}"/>
    <cellStyle name="_Column4_Brew Ops Capacity balzer Modufi_Sm Proj Cash Flow" xfId="6474" xr:uid="{00000000-0005-0000-0000-000041190000}"/>
    <cellStyle name="_Column4_Brew Ops Capacity balzer Modufi_Spend Detail" xfId="6475" xr:uid="{00000000-0005-0000-0000-000042190000}"/>
    <cellStyle name="_Column4_BS ABF" xfId="6476" xr:uid="{00000000-0005-0000-0000-000043190000}"/>
    <cellStyle name="_Column4_BS ABF 2" xfId="6477" xr:uid="{00000000-0005-0000-0000-000044190000}"/>
    <cellStyle name="_Column4_BS ABF 2 2" xfId="6478" xr:uid="{00000000-0005-0000-0000-000045190000}"/>
    <cellStyle name="_Column4_BS ABF_Basis" xfId="6479" xr:uid="{00000000-0005-0000-0000-000046190000}"/>
    <cellStyle name="_Column4_BS ABF_Basis 2" xfId="6480" xr:uid="{00000000-0005-0000-0000-000047190000}"/>
    <cellStyle name="_Column4_BS ABF_Basis 2 2" xfId="6481" xr:uid="{00000000-0005-0000-0000-000048190000}"/>
    <cellStyle name="_Column4_BS ABF_Basis_Sheet1" xfId="6482" xr:uid="{00000000-0005-0000-0000-000049190000}"/>
    <cellStyle name="_Column4_BS ABF_Basis_Sheet5" xfId="6483" xr:uid="{00000000-0005-0000-0000-00004A190000}"/>
    <cellStyle name="_Column4_BS ABF_Basis_Sm Proj Cash Flow" xfId="6484" xr:uid="{00000000-0005-0000-0000-00004B190000}"/>
    <cellStyle name="_Column4_BS ABF_Basis_Spend Detail" xfId="6485" xr:uid="{00000000-0005-0000-0000-00004C190000}"/>
    <cellStyle name="_Column4_BS ABF_Basis_SustainingProjectList" xfId="6486" xr:uid="{00000000-0005-0000-0000-00004D190000}"/>
    <cellStyle name="_Column4_BS ABF_Sheet1" xfId="6487" xr:uid="{00000000-0005-0000-0000-00004E190000}"/>
    <cellStyle name="_Column4_BS ABF_Sheet5" xfId="6488" xr:uid="{00000000-0005-0000-0000-00004F190000}"/>
    <cellStyle name="_Column4_BS ABF_SKU Volumen" xfId="6489" xr:uid="{00000000-0005-0000-0000-000050190000}"/>
    <cellStyle name="_Column4_BS ABF_SKU Volumen 2" xfId="6490" xr:uid="{00000000-0005-0000-0000-000051190000}"/>
    <cellStyle name="_Column4_BS ABF_SKU Volumen_Sheet1" xfId="6491" xr:uid="{00000000-0005-0000-0000-000052190000}"/>
    <cellStyle name="_Column4_BS ABF_SKU Volumen_Sm Proj Cash Flow" xfId="6492" xr:uid="{00000000-0005-0000-0000-000053190000}"/>
    <cellStyle name="_Column4_BS ABF_SKU Volumen_Spend Detail" xfId="6493" xr:uid="{00000000-0005-0000-0000-000054190000}"/>
    <cellStyle name="_Column4_BS ABF_SKU Volumen_SustainingProjectList" xfId="6494" xr:uid="{00000000-0005-0000-0000-000055190000}"/>
    <cellStyle name="_Column4_BS ABF_Sm Proj Cash Flow" xfId="6495" xr:uid="{00000000-0005-0000-0000-000056190000}"/>
    <cellStyle name="_Column4_BS ABF_Spend Detail" xfId="6496" xr:uid="{00000000-0005-0000-0000-000057190000}"/>
    <cellStyle name="_Column4_BS ABF_SustainingProjectList" xfId="6497" xr:uid="{00000000-0005-0000-0000-000058190000}"/>
    <cellStyle name="_Column4_BS ABF_Tabelle1" xfId="6498" xr:uid="{00000000-0005-0000-0000-000059190000}"/>
    <cellStyle name="_Column4_BS ABF_Tabelle1 2" xfId="6499" xr:uid="{00000000-0005-0000-0000-00005A190000}"/>
    <cellStyle name="_Column4_BS ABF_Tabelle1_Sheet1" xfId="6500" xr:uid="{00000000-0005-0000-0000-00005B190000}"/>
    <cellStyle name="_Column4_BS ABF_Tabelle1_Sm Proj Cash Flow" xfId="6501" xr:uid="{00000000-0005-0000-0000-00005C190000}"/>
    <cellStyle name="_Column4_BS ABF_Tabelle1_Spend Detail" xfId="6502" xr:uid="{00000000-0005-0000-0000-00005D190000}"/>
    <cellStyle name="_Column4_BS ABF_Tabelle1_SustainingProjectList" xfId="6503" xr:uid="{00000000-0005-0000-0000-00005E190000}"/>
    <cellStyle name="_Column4_BU1112 TP database - REGULAR VOLUMES" xfId="6504" xr:uid="{00000000-0005-0000-0000-00005F190000}"/>
    <cellStyle name="_Column4_BU1112 TP database - REGULAR VOLUMES 2" xfId="6505" xr:uid="{00000000-0005-0000-0000-000060190000}"/>
    <cellStyle name="_Column4_BU1112 TP database - REGULAR VOLUMES 3" xfId="6506" xr:uid="{00000000-0005-0000-0000-000061190000}"/>
    <cellStyle name="_Column4_BU1112 TP database - REGULAR VOLUMES 3 2" xfId="6507" xr:uid="{00000000-0005-0000-0000-000062190000}"/>
    <cellStyle name="_Column4_BU1112 TP database - REGULAR VOLUMES NATB" xfId="6508" xr:uid="{00000000-0005-0000-0000-000063190000}"/>
    <cellStyle name="_Column4_BU1112 TP database - REGULAR VOLUMES NATB 2" xfId="6509" xr:uid="{00000000-0005-0000-0000-000064190000}"/>
    <cellStyle name="_Column4_BU1112 TP database - REGULAR VOLUMES NATB 3" xfId="6510" xr:uid="{00000000-0005-0000-0000-000065190000}"/>
    <cellStyle name="_Column4_BU1112 TP database - REGULAR VOLUMES NATB 3 2" xfId="6511" xr:uid="{00000000-0005-0000-0000-000066190000}"/>
    <cellStyle name="_Column4_Budget 2005" xfId="6512" xr:uid="{00000000-0005-0000-0000-000067190000}"/>
    <cellStyle name="_Column4_Budget monthly" xfId="6513" xr:uid="{00000000-0005-0000-0000-000068190000}"/>
    <cellStyle name="_Column4_Budget monthly 2" xfId="6514" xr:uid="{00000000-0005-0000-0000-000069190000}"/>
    <cellStyle name="_Column4_Budget monthly 3" xfId="6515" xr:uid="{00000000-0005-0000-0000-00006A190000}"/>
    <cellStyle name="_Column4_Budget monthly 3 2" xfId="6516" xr:uid="{00000000-0005-0000-0000-00006B190000}"/>
    <cellStyle name="_Column4_Budget monthly 3 3" xfId="6517" xr:uid="{00000000-0005-0000-0000-00006C190000}"/>
    <cellStyle name="_Column4_Budget monthly 3 3 2" xfId="6518" xr:uid="{00000000-0005-0000-0000-00006D190000}"/>
    <cellStyle name="_Column4_Budget monthly 4" xfId="6519" xr:uid="{00000000-0005-0000-0000-00006E190000}"/>
    <cellStyle name="_Column4_Budget monthly 4 2" xfId="6520" xr:uid="{00000000-0005-0000-0000-00006F190000}"/>
    <cellStyle name="_Column4_Budget monthly_Sheet5" xfId="6521" xr:uid="{00000000-0005-0000-0000-000070190000}"/>
    <cellStyle name="_Column4_C00200" xfId="6522" xr:uid="{00000000-0005-0000-0000-000071190000}"/>
    <cellStyle name="_Column4_C00210" xfId="6523" xr:uid="{00000000-0005-0000-0000-000072190000}"/>
    <cellStyle name="_Column4_C00300" xfId="6524" xr:uid="{00000000-0005-0000-0000-000073190000}"/>
    <cellStyle name="_Column4_C00400" xfId="6525" xr:uid="{00000000-0005-0000-0000-000074190000}"/>
    <cellStyle name="_Column4_CA ML" xfId="6526" xr:uid="{00000000-0005-0000-0000-000075190000}"/>
    <cellStyle name="_Column4_CA ML 2" xfId="6527" xr:uid="{00000000-0005-0000-0000-000076190000}"/>
    <cellStyle name="_Column4_CA ML 2 2" xfId="6528" xr:uid="{00000000-0005-0000-0000-000077190000}"/>
    <cellStyle name="_Column4_CA ML 3" xfId="6529" xr:uid="{00000000-0005-0000-0000-000078190000}"/>
    <cellStyle name="_Column4_CA ML_1" xfId="6530" xr:uid="{00000000-0005-0000-0000-000079190000}"/>
    <cellStyle name="_Column4_CA ML_1 2" xfId="6531" xr:uid="{00000000-0005-0000-0000-00007A190000}"/>
    <cellStyle name="_Column4_CA ML_1 2 2" xfId="6532" xr:uid="{00000000-0005-0000-0000-00007B190000}"/>
    <cellStyle name="_Column4_CA ML_1 3" xfId="6533" xr:uid="{00000000-0005-0000-0000-00007C190000}"/>
    <cellStyle name="_Column4_CA ML_2" xfId="6534" xr:uid="{00000000-0005-0000-0000-00007D190000}"/>
    <cellStyle name="_Column4_CA ML_2 2" xfId="6535" xr:uid="{00000000-0005-0000-0000-00007E190000}"/>
    <cellStyle name="_Column4_CA ML_2 2 2" xfId="6536" xr:uid="{00000000-0005-0000-0000-00007F190000}"/>
    <cellStyle name="_Column4_CA ML_2 3" xfId="6537" xr:uid="{00000000-0005-0000-0000-000080190000}"/>
    <cellStyle name="_Column4_CA USD" xfId="6538" xr:uid="{00000000-0005-0000-0000-000081190000}"/>
    <cellStyle name="_Column4_CA USD 2" xfId="6539" xr:uid="{00000000-0005-0000-0000-000082190000}"/>
    <cellStyle name="_Column4_CA USD 2 2" xfId="6540" xr:uid="{00000000-0005-0000-0000-000083190000}"/>
    <cellStyle name="_Column4_CA USD 3" xfId="6541" xr:uid="{00000000-0005-0000-0000-000084190000}"/>
    <cellStyle name="_Column4_Canada" xfId="6542" xr:uid="{00000000-0005-0000-0000-000085190000}"/>
    <cellStyle name="_Column4_Canada 2" xfId="6543" xr:uid="{00000000-0005-0000-0000-000086190000}"/>
    <cellStyle name="_Column4_Capacity Util. Hannover ORII-Bgt05" xfId="6544" xr:uid="{00000000-0005-0000-0000-000087190000}"/>
    <cellStyle name="_Column4_Capacity Util. Issum ORII-Bgt05" xfId="6545" xr:uid="{00000000-0005-0000-0000-000088190000}"/>
    <cellStyle name="_Column4_CAPEX Analysis WE v3 Thomas" xfId="6546" xr:uid="{00000000-0005-0000-0000-000089190000}"/>
    <cellStyle name="_Column4_CAPEX Analysis WE v3 Thomas_Sm Proj Cash Flow" xfId="6547" xr:uid="{00000000-0005-0000-0000-00008A190000}"/>
    <cellStyle name="_Column4_CAPEX Analysis WE v3 Thomas_Spend Detail" xfId="6548" xr:uid="{00000000-0005-0000-0000-00008B190000}"/>
    <cellStyle name="_Column4_Capex Germany LE 3 Gross" xfId="6549" xr:uid="{00000000-0005-0000-0000-00008C190000}"/>
    <cellStyle name="_Column4_Capex Germany LE 3 Gross 2" xfId="6550" xr:uid="{00000000-0005-0000-0000-00008D190000}"/>
    <cellStyle name="_Column4_Capex Germany LE 3 Gross_Sheet1" xfId="6551" xr:uid="{00000000-0005-0000-0000-00008E190000}"/>
    <cellStyle name="_Column4_Capex Germany LE 3 Gross_Sm Proj Cash Flow" xfId="6552" xr:uid="{00000000-0005-0000-0000-00008F190000}"/>
    <cellStyle name="_Column4_Capex Germany LE 3 Gross_Spend Detail" xfId="6553" xr:uid="{00000000-0005-0000-0000-000090190000}"/>
    <cellStyle name="_Column4_Capex Germany LE 3 Gross_SustainingProjectList" xfId="6554" xr:uid="{00000000-0005-0000-0000-000091190000}"/>
    <cellStyle name="_Column4_CAPEX Germany Packaging SP 2005" xfId="6555" xr:uid="{00000000-0005-0000-0000-000092190000}"/>
    <cellStyle name="_Column4_CAPEX Germany Packaging SP 2005 2" xfId="6556" xr:uid="{00000000-0005-0000-0000-000093190000}"/>
    <cellStyle name="_Column4_CAPEX Germany Packaging SP 2005_Sheet1" xfId="6557" xr:uid="{00000000-0005-0000-0000-000094190000}"/>
    <cellStyle name="_Column4_CAPEX Germany Packaging SP 2005_Sm Proj Cash Flow" xfId="6558" xr:uid="{00000000-0005-0000-0000-000095190000}"/>
    <cellStyle name="_Column4_CAPEX Germany Packaging SP 2005_Spend Detail" xfId="6559" xr:uid="{00000000-0005-0000-0000-000096190000}"/>
    <cellStyle name="_Column4_CAPEX Germany Packaging SP 2005_SustainingProjectList" xfId="6560" xr:uid="{00000000-0005-0000-0000-000097190000}"/>
    <cellStyle name="_Column4_Capex x AnnaC (2)" xfId="6561" xr:uid="{00000000-0005-0000-0000-000098190000}"/>
    <cellStyle name="_Column4_Capex_view" xfId="6562" xr:uid="{00000000-0005-0000-0000-000099190000}"/>
    <cellStyle name="_Column4_Cartel1" xfId="6563" xr:uid="{00000000-0005-0000-0000-00009A190000}"/>
    <cellStyle name="_Column4_Cartel1_BB (2)" xfId="6564" xr:uid="{00000000-0005-0000-0000-00009B190000}"/>
    <cellStyle name="_Column4_Cartel1_C00200" xfId="6565" xr:uid="{00000000-0005-0000-0000-00009C190000}"/>
    <cellStyle name="_Column4_Cartel1_C00210" xfId="6566" xr:uid="{00000000-0005-0000-0000-00009D190000}"/>
    <cellStyle name="_Column4_Cartel1_C00300" xfId="6567" xr:uid="{00000000-0005-0000-0000-00009E190000}"/>
    <cellStyle name="_Column4_Cartel1_C00400" xfId="6568" xr:uid="{00000000-0005-0000-0000-00009F190000}"/>
    <cellStyle name="_Column4_Cartel1_check6" xfId="6569" xr:uid="{00000000-0005-0000-0000-0000A0190000}"/>
    <cellStyle name="_Column4_Cartel1_Sheet1" xfId="6570" xr:uid="{00000000-0005-0000-0000-0000A1190000}"/>
    <cellStyle name="_Column4_Cartel1_Sheet1 (5)" xfId="6571" xr:uid="{00000000-0005-0000-0000-0000A2190000}"/>
    <cellStyle name="_Column4_Cartel1_Sheet2" xfId="6572" xr:uid="{00000000-0005-0000-0000-0000A3190000}"/>
    <cellStyle name="_Column4_Cartel1_Sheet3" xfId="6573" xr:uid="{00000000-0005-0000-0000-0000A4190000}"/>
    <cellStyle name="_Column4_Cartel1_status" xfId="6574" xr:uid="{00000000-0005-0000-0000-0000A5190000}"/>
    <cellStyle name="_Column4_CC_ZBB_profiled_costsTM" xfId="6575" xr:uid="{00000000-0005-0000-0000-0000A6190000}"/>
    <cellStyle name="_Column4_CC_ZBB_profiled_costsTM 2" xfId="6576" xr:uid="{00000000-0005-0000-0000-0000A7190000}"/>
    <cellStyle name="_Column4_CE da Alea" xfId="6577" xr:uid="{00000000-0005-0000-0000-0000A8190000}"/>
    <cellStyle name="_Column4_Challenge" xfId="6578" xr:uid="{00000000-0005-0000-0000-0000A9190000}"/>
    <cellStyle name="_Column4_Challenge 2" xfId="6579" xr:uid="{00000000-0005-0000-0000-0000AA190000}"/>
    <cellStyle name="_Column4_Challenge_Sheet1" xfId="6580" xr:uid="{00000000-0005-0000-0000-0000AB190000}"/>
    <cellStyle name="_Column4_Challenge_Sm Proj Cash Flow" xfId="6581" xr:uid="{00000000-0005-0000-0000-0000AC190000}"/>
    <cellStyle name="_Column4_Challenge_Spend Detail" xfId="6582" xr:uid="{00000000-0005-0000-0000-0000AD190000}"/>
    <cellStyle name="_Column4_Challenge_SustainingProjectList" xfId="6583" xr:uid="{00000000-0005-0000-0000-0000AE190000}"/>
    <cellStyle name="_Column4_check fehlende Transportkosten 082006" xfId="6584" xr:uid="{00000000-0005-0000-0000-0000AF190000}"/>
    <cellStyle name="_Column4_check fehlende Transportkosten 082006 2" xfId="6585" xr:uid="{00000000-0005-0000-0000-0000B0190000}"/>
    <cellStyle name="_Column4_check fehlende Transportkosten 082006 3" xfId="6586" xr:uid="{00000000-0005-0000-0000-0000B1190000}"/>
    <cellStyle name="_Column4_check fehlende Transportkosten 082006 3 2" xfId="6587" xr:uid="{00000000-0005-0000-0000-0000B2190000}"/>
    <cellStyle name="_Column4_check fehlende Transportkosten 082006 3 3" xfId="6588" xr:uid="{00000000-0005-0000-0000-0000B3190000}"/>
    <cellStyle name="_Column4_check fehlende Transportkosten 082006 3 3 2" xfId="6589" xr:uid="{00000000-0005-0000-0000-0000B4190000}"/>
    <cellStyle name="_Column4_check fehlende Transportkosten 082006 4" xfId="6590" xr:uid="{00000000-0005-0000-0000-0000B5190000}"/>
    <cellStyle name="_Column4_check fehlende Transportkosten 082006 4 2" xfId="6591" xr:uid="{00000000-0005-0000-0000-0000B6190000}"/>
    <cellStyle name="_Column4_check fehlende Transportkosten 082006_Sheet5" xfId="6592" xr:uid="{00000000-0005-0000-0000-0000B7190000}"/>
    <cellStyle name="_Column4_check6" xfId="6593" xr:uid="{00000000-0005-0000-0000-0000B8190000}"/>
    <cellStyle name="_Column4_Chi2 1" xfId="6594" xr:uid="{00000000-0005-0000-0000-0000B9190000}"/>
    <cellStyle name="_Column4_Chi2 1_Sm Proj Cash Flow" xfId="6595" xr:uid="{00000000-0005-0000-0000-0000BA190000}"/>
    <cellStyle name="_Column4_Chi2 1_Spend Detail" xfId="6596" xr:uid="{00000000-0005-0000-0000-0000BB190000}"/>
    <cellStyle name="_Column4_Chi2 HEX" xfId="6597" xr:uid="{00000000-0005-0000-0000-0000BC190000}"/>
    <cellStyle name="_Column4_Chi2 HEX_Sm Proj Cash Flow" xfId="6598" xr:uid="{00000000-0005-0000-0000-0000BD190000}"/>
    <cellStyle name="_Column4_Chi2 HEX_Spend Detail" xfId="6599" xr:uid="{00000000-0005-0000-0000-0000BE190000}"/>
    <cellStyle name="_Column4_Comm Agreem Distr" xfId="6600" xr:uid="{00000000-0005-0000-0000-0000BF190000}"/>
    <cellStyle name="_Column4_Comm Agreem On Trade" xfId="6601" xr:uid="{00000000-0005-0000-0000-0000C0190000}"/>
    <cellStyle name="_Column4_Copia di MACO BU'07 Total Italy new" xfId="6602" xr:uid="{00000000-0005-0000-0000-0000C1190000}"/>
    <cellStyle name="_Column4_Copia di MACO BU'07 Total Italy new_BB (2)" xfId="6603" xr:uid="{00000000-0005-0000-0000-0000C2190000}"/>
    <cellStyle name="_Column4_Copia di MACO BU'07 Total Italy new_C00200" xfId="6604" xr:uid="{00000000-0005-0000-0000-0000C3190000}"/>
    <cellStyle name="_Column4_Copia di MACO BU'07 Total Italy new_C00210" xfId="6605" xr:uid="{00000000-0005-0000-0000-0000C4190000}"/>
    <cellStyle name="_Column4_Copia di MACO BU'07 Total Italy new_C00300" xfId="6606" xr:uid="{00000000-0005-0000-0000-0000C5190000}"/>
    <cellStyle name="_Column4_Copia di MACO BU'07 Total Italy new_C00400" xfId="6607" xr:uid="{00000000-0005-0000-0000-0000C6190000}"/>
    <cellStyle name="_Column4_Copia di MACO BU'07 Total Italy new_check6" xfId="6608" xr:uid="{00000000-0005-0000-0000-0000C7190000}"/>
    <cellStyle name="_Column4_Copia di MACO BU'07 Total Italy new_Sheet1" xfId="6609" xr:uid="{00000000-0005-0000-0000-0000C8190000}"/>
    <cellStyle name="_Column4_Copia di MACO BU'07 Total Italy new_Sheet1 (5)" xfId="6610" xr:uid="{00000000-0005-0000-0000-0000C9190000}"/>
    <cellStyle name="_Column4_Copia di MACO BU'07 Total Italy new_Sheet2" xfId="6611" xr:uid="{00000000-0005-0000-0000-0000CA190000}"/>
    <cellStyle name="_Column4_Copia di MACO BU'07 Total Italy new_Sheet3" xfId="6612" xr:uid="{00000000-0005-0000-0000-0000CB190000}"/>
    <cellStyle name="_Column4_Copia di MACO BU'07 Total Italy new_status" xfId="6613" xr:uid="{00000000-0005-0000-0000-0000CC190000}"/>
    <cellStyle name="_Column4_Copy of BGT 08 Templates Sales  Marketing - final (revised)" xfId="6614" xr:uid="{00000000-0005-0000-0000-0000CD190000}"/>
    <cellStyle name="_Column4_Copy of BGT 08 Templates Sales  Marketing - final (revised) 2" xfId="6615" xr:uid="{00000000-0005-0000-0000-0000CE190000}"/>
    <cellStyle name="_Column4_Copy of BGT 08 Templates Sales  Marketing - final (revised) 2 2" xfId="6616" xr:uid="{00000000-0005-0000-0000-0000CF190000}"/>
    <cellStyle name="_Column4_Copy of BGT 08 Templates Sales  Marketing - final (revised) 3" xfId="6617" xr:uid="{00000000-0005-0000-0000-0000D0190000}"/>
    <cellStyle name="_Column4_Copy of BGT 08 Templates Sales  Marketing - final (revised) 3 2" xfId="6618" xr:uid="{00000000-0005-0000-0000-0000D1190000}"/>
    <cellStyle name="_Column4_Copy of BGT 08 Templates Sales  Marketing - final (revised) 3 3" xfId="6619" xr:uid="{00000000-0005-0000-0000-0000D2190000}"/>
    <cellStyle name="_Column4_Copy of BGT 08 Templates Sales  Marketing - final (revised) 3 3 2" xfId="6620" xr:uid="{00000000-0005-0000-0000-0000D3190000}"/>
    <cellStyle name="_Column4_Copy of BGT 08 Templates Sales  Marketing - final (revised) 4" xfId="6621" xr:uid="{00000000-0005-0000-0000-0000D4190000}"/>
    <cellStyle name="_Column4_Copy of BGT 08 Templates Sales  Marketing - final (revised) 4 2" xfId="6622" xr:uid="{00000000-0005-0000-0000-0000D5190000}"/>
    <cellStyle name="_Column4_Copy of BGT 08 Templates Sales  Marketing - final (revised)_Sheet1" xfId="6623" xr:uid="{00000000-0005-0000-0000-0000D6190000}"/>
    <cellStyle name="_Column4_Copy of BGT 08 Templates Sales  Marketing - final (revised)_Sm Proj Cash Flow" xfId="6624" xr:uid="{00000000-0005-0000-0000-0000D7190000}"/>
    <cellStyle name="_Column4_Copy of BGT 08 Templates Sales  Marketing - final (revised)_Spend Detail" xfId="6625" xr:uid="{00000000-0005-0000-0000-0000D8190000}"/>
    <cellStyle name="_Column4_Copy of BGT 08 Templates Sales  Marketing - final (revised)_SustainingProjectList" xfId="6626" xr:uid="{00000000-0005-0000-0000-0000D9190000}"/>
    <cellStyle name="_Column4_Copy of ZBB cost analysis B08 _fintm04092007v2 04.09.07" xfId="6627" xr:uid="{00000000-0005-0000-0000-0000DA190000}"/>
    <cellStyle name="_Column4_Copy of ZBB cost analysis B08 _fintm04092007v2 04.09.07 2" xfId="6628" xr:uid="{00000000-0005-0000-0000-0000DB190000}"/>
    <cellStyle name="_Column4_Copy of ZBB costs P&amp;L od Slavice 04.09.2007" xfId="6629" xr:uid="{00000000-0005-0000-0000-0000DC190000}"/>
    <cellStyle name="_Column4_Copy of ZBB costs P&amp;L od Slavice 04.09.2007 2" xfId="6630" xr:uid="{00000000-0005-0000-0000-0000DD190000}"/>
    <cellStyle name="_Column4_Copy of ZBB_Budget07PRAVI_Entities per package4xls4" xfId="6631" xr:uid="{00000000-0005-0000-0000-0000DE190000}"/>
    <cellStyle name="_Column4_Copy of ZBB_Budget07PRAVI_Entities per package4xls4 2" xfId="6632" xr:uid="{00000000-0005-0000-0000-0000DF190000}"/>
    <cellStyle name="_Column4_Costo vend new sku" xfId="6633" xr:uid="{00000000-0005-0000-0000-0000E0190000}"/>
    <cellStyle name="_Column4_Cro_Template 3YP 08-10 - Update (2)" xfId="6634" xr:uid="{00000000-0005-0000-0000-0000E1190000}"/>
    <cellStyle name="_Column4_Cro_Template 3YP 08-10 - Update (2) 2" xfId="6635" xr:uid="{00000000-0005-0000-0000-0000E2190000}"/>
    <cellStyle name="_Column4_Cro_Template 3YP 08-10 - Update (2) 3" xfId="6636" xr:uid="{00000000-0005-0000-0000-0000E3190000}"/>
    <cellStyle name="_Column4_Cro_Template 3YP 08-10 - Update (2) 3 2" xfId="6637" xr:uid="{00000000-0005-0000-0000-0000E4190000}"/>
    <cellStyle name="_Column4_Cro_Template 3YP 08-10 - Update (2) 3 3" xfId="6638" xr:uid="{00000000-0005-0000-0000-0000E5190000}"/>
    <cellStyle name="_Column4_Cro_Template 3YP 08-10 - Update (2) 3 3 2" xfId="6639" xr:uid="{00000000-0005-0000-0000-0000E6190000}"/>
    <cellStyle name="_Column4_Cro_Template 3YP 08-10 - Update (2) 4" xfId="6640" xr:uid="{00000000-0005-0000-0000-0000E7190000}"/>
    <cellStyle name="_Column4_Cro_Template 3YP 08-10 - Update (2) 4 2" xfId="6641" xr:uid="{00000000-0005-0000-0000-0000E8190000}"/>
    <cellStyle name="_Column4_Cro_Template 3YP 08-10 - Update (2)_Canada" xfId="6642" xr:uid="{00000000-0005-0000-0000-0000E9190000}"/>
    <cellStyle name="_Column4_Cro_Template 3YP 08-10 - Update (2)_Canada 2" xfId="6643" xr:uid="{00000000-0005-0000-0000-0000EA190000}"/>
    <cellStyle name="_Column4_CV ENERO" xfId="6644" xr:uid="{00000000-0005-0000-0000-0000EB190000}"/>
    <cellStyle name="_Column4_CV ENERO 2" xfId="6645" xr:uid="{00000000-0005-0000-0000-0000EC190000}"/>
    <cellStyle name="_Column4_CV ENERO 2 2" xfId="6646" xr:uid="{00000000-0005-0000-0000-0000ED190000}"/>
    <cellStyle name="_Column4_CV ENERO 3" xfId="6647" xr:uid="{00000000-0005-0000-0000-0000EE190000}"/>
    <cellStyle name="_Column4_data" xfId="6648" xr:uid="{00000000-0005-0000-0000-0000EF190000}"/>
    <cellStyle name="_Column4_data 2" xfId="6649" xr:uid="{00000000-0005-0000-0000-0000F0190000}"/>
    <cellStyle name="_Column4_data 3" xfId="6650" xr:uid="{00000000-0005-0000-0000-0000F1190000}"/>
    <cellStyle name="_Column4_data 3 2" xfId="6651" xr:uid="{00000000-0005-0000-0000-0000F2190000}"/>
    <cellStyle name="_Column4_data 3 3" xfId="6652" xr:uid="{00000000-0005-0000-0000-0000F3190000}"/>
    <cellStyle name="_Column4_data 3 3 2" xfId="6653" xr:uid="{00000000-0005-0000-0000-0000F4190000}"/>
    <cellStyle name="_Column4_data 4" xfId="6654" xr:uid="{00000000-0005-0000-0000-0000F5190000}"/>
    <cellStyle name="_Column4_data 4 2" xfId="6655" xr:uid="{00000000-0005-0000-0000-0000F6190000}"/>
    <cellStyle name="_Column4_data_Canada" xfId="6656" xr:uid="{00000000-0005-0000-0000-0000F7190000}"/>
    <cellStyle name="_Column4_data_Canada 2" xfId="6657" xr:uid="{00000000-0005-0000-0000-0000F8190000}"/>
    <cellStyle name="_Column4_Daten" xfId="6658" xr:uid="{00000000-0005-0000-0000-0000F9190000}"/>
    <cellStyle name="_Column4_Daten_1" xfId="6659" xr:uid="{00000000-0005-0000-0000-0000FA190000}"/>
    <cellStyle name="_Column4_Daten_1_RFFS SUBMISSION TO VPs" xfId="6660" xr:uid="{00000000-0005-0000-0000-0000FB190000}"/>
    <cellStyle name="_Column4_Daten_1_RFFS_SUBMISSION_TO_VPs _v2" xfId="6661" xr:uid="{00000000-0005-0000-0000-0000FC190000}"/>
    <cellStyle name="_Column4_DBSET" xfId="6662" xr:uid="{00000000-0005-0000-0000-0000FD190000}"/>
    <cellStyle name="_Column4_DEP" xfId="6663" xr:uid="{00000000-0005-0000-0000-0000FE190000}"/>
    <cellStyle name="_Column4_details" xfId="6664" xr:uid="{00000000-0005-0000-0000-0000FF190000}"/>
    <cellStyle name="_Column4_Dir Trade Mktg Mat - on trade" xfId="6665" xr:uid="{00000000-0005-0000-0000-0000001A0000}"/>
    <cellStyle name="_Column4_Dir.Trade Mktg Mat." xfId="6666" xr:uid="{00000000-0005-0000-0000-0000011A0000}"/>
    <cellStyle name="_Column4_Discounts Off" xfId="6667" xr:uid="{00000000-0005-0000-0000-0000021A0000}"/>
    <cellStyle name="_Column4_Distributer Support" xfId="6668" xr:uid="{00000000-0005-0000-0000-0000031A0000}"/>
    <cellStyle name="_Column4_EC" xfId="6669" xr:uid="{00000000-0005-0000-0000-0000041A0000}"/>
    <cellStyle name="_Column4_EC 2" xfId="6670" xr:uid="{00000000-0005-0000-0000-0000051A0000}"/>
    <cellStyle name="_Column4_EC 2 2" xfId="6671" xr:uid="{00000000-0005-0000-0000-0000061A0000}"/>
    <cellStyle name="_Column4_EC 3" xfId="6672" xr:uid="{00000000-0005-0000-0000-0000071A0000}"/>
    <cellStyle name="_Column4_EC ML" xfId="6673" xr:uid="{00000000-0005-0000-0000-0000081A0000}"/>
    <cellStyle name="_Column4_EC ML 2" xfId="6674" xr:uid="{00000000-0005-0000-0000-0000091A0000}"/>
    <cellStyle name="_Column4_EC ML 2 2" xfId="6675" xr:uid="{00000000-0005-0000-0000-00000A1A0000}"/>
    <cellStyle name="_Column4_EC ML 3" xfId="6676" xr:uid="{00000000-0005-0000-0000-00000B1A0000}"/>
    <cellStyle name="_Column4_EC ML_1" xfId="6677" xr:uid="{00000000-0005-0000-0000-00000C1A0000}"/>
    <cellStyle name="_Column4_EC ML_1 2" xfId="6678" xr:uid="{00000000-0005-0000-0000-00000D1A0000}"/>
    <cellStyle name="_Column4_EC ML_1 2 2" xfId="6679" xr:uid="{00000000-0005-0000-0000-00000E1A0000}"/>
    <cellStyle name="_Column4_EC ML_1 3" xfId="6680" xr:uid="{00000000-0005-0000-0000-00000F1A0000}"/>
    <cellStyle name="_Column4_EC USD" xfId="6681" xr:uid="{00000000-0005-0000-0000-0000101A0000}"/>
    <cellStyle name="_Column4_EC USD 2" xfId="6682" xr:uid="{00000000-0005-0000-0000-0000111A0000}"/>
    <cellStyle name="_Column4_EC USD 2 2" xfId="6683" xr:uid="{00000000-0005-0000-0000-0000121A0000}"/>
    <cellStyle name="_Column4_EC USD 3" xfId="6684" xr:uid="{00000000-0005-0000-0000-0000131A0000}"/>
    <cellStyle name="_Column4_ERP" xfId="6685" xr:uid="{00000000-0005-0000-0000-0000141A0000}"/>
    <cellStyle name="_Column4_ERP_RFFS SUBMISSION TO VPs" xfId="6686" xr:uid="{00000000-0005-0000-0000-0000151A0000}"/>
    <cellStyle name="_Column4_ERP_RFFS_SUBMISSION_TO_VPs _v2" xfId="6687" xr:uid="{00000000-0005-0000-0000-0000161A0000}"/>
    <cellStyle name="_Column4_Excel sheets to support Market Program Template for Budget 09" xfId="6688" xr:uid="{00000000-0005-0000-0000-0000171A0000}"/>
    <cellStyle name="_Column4_Excel sheets to support Market Program Template for Budget 09 (5) (2)" xfId="6689" xr:uid="{00000000-0005-0000-0000-0000181A0000}"/>
    <cellStyle name="_Column4_Excel sheets to support Market Program Template for Budget 09 (5) (2) 2" xfId="6690" xr:uid="{00000000-0005-0000-0000-0000191A0000}"/>
    <cellStyle name="_Column4_Excel sheets to support Market Program Template for Budget 09 (5) (2) 2 2" xfId="6691" xr:uid="{00000000-0005-0000-0000-00001A1A0000}"/>
    <cellStyle name="_Column4_Excel sheets to support Market Program Template for Budget 09 (5) (2) 3" xfId="6692" xr:uid="{00000000-0005-0000-0000-00001B1A0000}"/>
    <cellStyle name="_Column4_Excel sheets to support Market Program Template for Budget 09 (5) (2) 3 2" xfId="6693" xr:uid="{00000000-0005-0000-0000-00001C1A0000}"/>
    <cellStyle name="_Column4_Excel sheets to support Market Program Template for Budget 09 (5) (2) 3 3" xfId="6694" xr:uid="{00000000-0005-0000-0000-00001D1A0000}"/>
    <cellStyle name="_Column4_Excel sheets to support Market Program Template for Budget 09 (5) (2) 3 3 2" xfId="6695" xr:uid="{00000000-0005-0000-0000-00001E1A0000}"/>
    <cellStyle name="_Column4_Excel sheets to support Market Program Template for Budget 09 (5) (2) 4" xfId="6696" xr:uid="{00000000-0005-0000-0000-00001F1A0000}"/>
    <cellStyle name="_Column4_Excel sheets to support Market Program Template for Budget 09 (5) (2) 4 2" xfId="6697" xr:uid="{00000000-0005-0000-0000-0000201A0000}"/>
    <cellStyle name="_Column4_Excel sheets to support Market Program Template for Budget 09 (5) (2)_Sm Proj Cash Flow" xfId="6698" xr:uid="{00000000-0005-0000-0000-0000211A0000}"/>
    <cellStyle name="_Column4_Excel sheets to support Market Program Template for Budget 09 (5) (2)_Spend Detail" xfId="6699" xr:uid="{00000000-0005-0000-0000-0000221A0000}"/>
    <cellStyle name="_Column4_Excel sheets to support Market Program Template for Budget 09 (5) (3)" xfId="6700" xr:uid="{00000000-0005-0000-0000-0000231A0000}"/>
    <cellStyle name="_Column4_Excel sheets to support Market Program Template for Budget 09 (5) (3) 2" xfId="6701" xr:uid="{00000000-0005-0000-0000-0000241A0000}"/>
    <cellStyle name="_Column4_Excel sheets to support Market Program Template for Budget 09 (5) (3) 2 2" xfId="6702" xr:uid="{00000000-0005-0000-0000-0000251A0000}"/>
    <cellStyle name="_Column4_Excel sheets to support Market Program Template for Budget 09 (5) (3) 3" xfId="6703" xr:uid="{00000000-0005-0000-0000-0000261A0000}"/>
    <cellStyle name="_Column4_Excel sheets to support Market Program Template for Budget 09 (5) (3) 3 2" xfId="6704" xr:uid="{00000000-0005-0000-0000-0000271A0000}"/>
    <cellStyle name="_Column4_Excel sheets to support Market Program Template for Budget 09 (5) (3) 3 3" xfId="6705" xr:uid="{00000000-0005-0000-0000-0000281A0000}"/>
    <cellStyle name="_Column4_Excel sheets to support Market Program Template for Budget 09 (5) (3) 3 3 2" xfId="6706" xr:uid="{00000000-0005-0000-0000-0000291A0000}"/>
    <cellStyle name="_Column4_Excel sheets to support Market Program Template for Budget 09 (5) (3) 4" xfId="6707" xr:uid="{00000000-0005-0000-0000-00002A1A0000}"/>
    <cellStyle name="_Column4_Excel sheets to support Market Program Template for Budget 09 (5) (3) 4 2" xfId="6708" xr:uid="{00000000-0005-0000-0000-00002B1A0000}"/>
    <cellStyle name="_Column4_Excel sheets to support Market Program Template for Budget 09 (5) (3)_Sm Proj Cash Flow" xfId="6709" xr:uid="{00000000-0005-0000-0000-00002C1A0000}"/>
    <cellStyle name="_Column4_Excel sheets to support Market Program Template for Budget 09 (5) (3)_Spend Detail" xfId="6710" xr:uid="{00000000-0005-0000-0000-00002D1A0000}"/>
    <cellStyle name="_Column4_Excel sheets to support Market Program Template for Budget 09 10" xfId="6711" xr:uid="{00000000-0005-0000-0000-00002E1A0000}"/>
    <cellStyle name="_Column4_Excel sheets to support Market Program Template for Budget 09 11" xfId="6712" xr:uid="{00000000-0005-0000-0000-00002F1A0000}"/>
    <cellStyle name="_Column4_Excel sheets to support Market Program Template for Budget 09 11 2" xfId="6713" xr:uid="{00000000-0005-0000-0000-0000301A0000}"/>
    <cellStyle name="_Column4_Excel sheets to support Market Program Template for Budget 09 12" xfId="6714" xr:uid="{00000000-0005-0000-0000-0000311A0000}"/>
    <cellStyle name="_Column4_Excel sheets to support Market Program Template for Budget 09 12 2" xfId="6715" xr:uid="{00000000-0005-0000-0000-0000321A0000}"/>
    <cellStyle name="_Column4_Excel sheets to support Market Program Template for Budget 09 13" xfId="6716" xr:uid="{00000000-0005-0000-0000-0000331A0000}"/>
    <cellStyle name="_Column4_Excel sheets to support Market Program Template for Budget 09 13 2" xfId="6717" xr:uid="{00000000-0005-0000-0000-0000341A0000}"/>
    <cellStyle name="_Column4_Excel sheets to support Market Program Template for Budget 09 14" xfId="6718" xr:uid="{00000000-0005-0000-0000-0000351A0000}"/>
    <cellStyle name="_Column4_Excel sheets to support Market Program Template for Budget 09 14 2" xfId="6719" xr:uid="{00000000-0005-0000-0000-0000361A0000}"/>
    <cellStyle name="_Column4_Excel sheets to support Market Program Template for Budget 09 2" xfId="6720" xr:uid="{00000000-0005-0000-0000-0000371A0000}"/>
    <cellStyle name="_Column4_Excel sheets to support Market Program Template for Budget 09 2 2" xfId="6721" xr:uid="{00000000-0005-0000-0000-0000381A0000}"/>
    <cellStyle name="_Column4_Excel sheets to support Market Program Template for Budget 09 3" xfId="6722" xr:uid="{00000000-0005-0000-0000-0000391A0000}"/>
    <cellStyle name="_Column4_Excel sheets to support Market Program Template for Budget 09 3 2" xfId="6723" xr:uid="{00000000-0005-0000-0000-00003A1A0000}"/>
    <cellStyle name="_Column4_Excel sheets to support Market Program Template for Budget 09 4" xfId="6724" xr:uid="{00000000-0005-0000-0000-00003B1A0000}"/>
    <cellStyle name="_Column4_Excel sheets to support Market Program Template for Budget 09 5" xfId="6725" xr:uid="{00000000-0005-0000-0000-00003C1A0000}"/>
    <cellStyle name="_Column4_Excel sheets to support Market Program Template for Budget 09 5 2" xfId="6726" xr:uid="{00000000-0005-0000-0000-00003D1A0000}"/>
    <cellStyle name="_Column4_Excel sheets to support Market Program Template for Budget 09 5 3" xfId="6727" xr:uid="{00000000-0005-0000-0000-00003E1A0000}"/>
    <cellStyle name="_Column4_Excel sheets to support Market Program Template for Budget 09 5 3 2" xfId="6728" xr:uid="{00000000-0005-0000-0000-00003F1A0000}"/>
    <cellStyle name="_Column4_Excel sheets to support Market Program Template for Budget 09 6" xfId="6729" xr:uid="{00000000-0005-0000-0000-0000401A0000}"/>
    <cellStyle name="_Column4_Excel sheets to support Market Program Template for Budget 09 6 2" xfId="6730" xr:uid="{00000000-0005-0000-0000-0000411A0000}"/>
    <cellStyle name="_Column4_Excel sheets to support Market Program Template for Budget 09 6 3" xfId="6731" xr:uid="{00000000-0005-0000-0000-0000421A0000}"/>
    <cellStyle name="_Column4_Excel sheets to support Market Program Template for Budget 09 6 3 2" xfId="6732" xr:uid="{00000000-0005-0000-0000-0000431A0000}"/>
    <cellStyle name="_Column4_Excel sheets to support Market Program Template for Budget 09 7" xfId="6733" xr:uid="{00000000-0005-0000-0000-0000441A0000}"/>
    <cellStyle name="_Column4_Excel sheets to support Market Program Template for Budget 09 8" xfId="6734" xr:uid="{00000000-0005-0000-0000-0000451A0000}"/>
    <cellStyle name="_Column4_Excel sheets to support Market Program Template for Budget 09 9" xfId="6735" xr:uid="{00000000-0005-0000-0000-0000461A0000}"/>
    <cellStyle name="_Column4_Excel sheets to support Market Program Template for Budget 09_Sheet1" xfId="6736" xr:uid="{00000000-0005-0000-0000-0000471A0000}"/>
    <cellStyle name="_Column4_Excel sheets to support Market Program Template for Budget 09_Sm Proj Cash Flow" xfId="6737" xr:uid="{00000000-0005-0000-0000-0000481A0000}"/>
    <cellStyle name="_Column4_Excel sheets to support Market Program Template for Budget 09_Spend Detail" xfId="6738" xr:uid="{00000000-0005-0000-0000-0000491A0000}"/>
    <cellStyle name="_Column4_Excel sheets to support Market Program Template for Budget 09_SustainingProjectList" xfId="6739" xr:uid="{00000000-0005-0000-0000-00004A1A0000}"/>
    <cellStyle name="_Column4_FAG_FTE" xfId="6740" xr:uid="{00000000-0005-0000-0000-00004B1A0000}"/>
    <cellStyle name="_Column4_Fatture Partner" xfId="6741" xr:uid="{00000000-0005-0000-0000-00004C1A0000}"/>
    <cellStyle name="_Column4_Fatture Partner_BB (2)" xfId="6742" xr:uid="{00000000-0005-0000-0000-00004D1A0000}"/>
    <cellStyle name="_Column4_Fatture Partner_C00200" xfId="6743" xr:uid="{00000000-0005-0000-0000-00004E1A0000}"/>
    <cellStyle name="_Column4_Fatture Partner_C00210" xfId="6744" xr:uid="{00000000-0005-0000-0000-00004F1A0000}"/>
    <cellStyle name="_Column4_Fatture Partner_C00300" xfId="6745" xr:uid="{00000000-0005-0000-0000-0000501A0000}"/>
    <cellStyle name="_Column4_Fatture Partner_C00400" xfId="6746" xr:uid="{00000000-0005-0000-0000-0000511A0000}"/>
    <cellStyle name="_Column4_Fatture Partner_check6" xfId="6747" xr:uid="{00000000-0005-0000-0000-0000521A0000}"/>
    <cellStyle name="_Column4_Fatture Partner_Sheet1" xfId="6748" xr:uid="{00000000-0005-0000-0000-0000531A0000}"/>
    <cellStyle name="_Column4_Fatture Partner_Sheet1 (5)" xfId="6749" xr:uid="{00000000-0005-0000-0000-0000541A0000}"/>
    <cellStyle name="_Column4_Fatture Partner_Sheet2" xfId="6750" xr:uid="{00000000-0005-0000-0000-0000551A0000}"/>
    <cellStyle name="_Column4_Fatture Partner_Sheet3" xfId="6751" xr:uid="{00000000-0005-0000-0000-0000561A0000}"/>
    <cellStyle name="_Column4_Fatture Partner_status" xfId="6752" xr:uid="{00000000-0005-0000-0000-0000571A0000}"/>
    <cellStyle name="_Column4_FCAccuracy_week_0907" xfId="6753" xr:uid="{00000000-0005-0000-0000-0000581A0000}"/>
    <cellStyle name="_Column4_FCAccuracy_week_0907 2" xfId="6754" xr:uid="{00000000-0005-0000-0000-0000591A0000}"/>
    <cellStyle name="_Column4_Feasibility Request_Diebels" xfId="6755" xr:uid="{00000000-0005-0000-0000-00005A1A0000}"/>
    <cellStyle name="_Column4_Feasibility Request_Diebels_RFFS SUBMISSION TO VPs" xfId="6756" xr:uid="{00000000-0005-0000-0000-00005B1A0000}"/>
    <cellStyle name="_Column4_Feasibility Request_Diebels_RFFS_SUBMISSION_TO_VPs _v2" xfId="6757" xr:uid="{00000000-0005-0000-0000-00005C1A0000}"/>
    <cellStyle name="_Column4_Feasibility Request_Dimix" xfId="6758" xr:uid="{00000000-0005-0000-0000-00005D1A0000}"/>
    <cellStyle name="_Column4_Feasibility Request_Dimix_RFFS SUBMISSION TO VPs" xfId="6759" xr:uid="{00000000-0005-0000-0000-00005E1A0000}"/>
    <cellStyle name="_Column4_Feasibility Request_Dimix_RFFS_SUBMISSION_TO_VPs _v2" xfId="6760" xr:uid="{00000000-0005-0000-0000-00005F1A0000}"/>
    <cellStyle name="_Column4_Finance Templates - Final" xfId="6761" xr:uid="{00000000-0005-0000-0000-0000601A0000}"/>
    <cellStyle name="_Column4_Finance Templates - Final 2" xfId="6762" xr:uid="{00000000-0005-0000-0000-0000611A0000}"/>
    <cellStyle name="_Column4_Finance Templates - Final 2 2" xfId="6763" xr:uid="{00000000-0005-0000-0000-0000621A0000}"/>
    <cellStyle name="_Column4_Finance Templates - Final 3" xfId="6764" xr:uid="{00000000-0005-0000-0000-0000631A0000}"/>
    <cellStyle name="_Column4_Float" xfId="6765" xr:uid="{00000000-0005-0000-0000-0000641A0000}"/>
    <cellStyle name="_Column4_foglio prova" xfId="6766" xr:uid="{00000000-0005-0000-0000-0000651A0000}"/>
    <cellStyle name="_Column4_Foglio1" xfId="6767" xr:uid="{00000000-0005-0000-0000-0000661A0000}"/>
    <cellStyle name="_Column4_Foglio1_1" xfId="6768" xr:uid="{00000000-0005-0000-0000-0000671A0000}"/>
    <cellStyle name="_Column4_Foglio1_Analisi costo venduto" xfId="6769" xr:uid="{00000000-0005-0000-0000-0000681A0000}"/>
    <cellStyle name="_Column4_Foglio1_Analisi vol ott" xfId="6770" xr:uid="{00000000-0005-0000-0000-0000691A0000}"/>
    <cellStyle name="_Column4_Foglio1_Capex x AnnaC (2)" xfId="6771" xr:uid="{00000000-0005-0000-0000-00006A1A0000}"/>
    <cellStyle name="_Column4_Foglio1_CC targets july" xfId="6772" xr:uid="{00000000-0005-0000-0000-00006B1A0000}"/>
    <cellStyle name="_Column4_Foglio1_DBSET" xfId="6773" xr:uid="{00000000-0005-0000-0000-00006C1A0000}"/>
    <cellStyle name="_Column4_Foglio1_Foglio1" xfId="6774" xr:uid="{00000000-0005-0000-0000-00006D1A0000}"/>
    <cellStyle name="_Column4_Foglio1_Maco budget" xfId="6775" xr:uid="{00000000-0005-0000-0000-00006E1A0000}"/>
    <cellStyle name="_Column4_Foglio1_Mens volumi LE1 x BBP" xfId="6776" xr:uid="{00000000-0005-0000-0000-00006F1A0000}"/>
    <cellStyle name="_Column4_Foglio2" xfId="6777" xr:uid="{00000000-0005-0000-0000-0000701A0000}"/>
    <cellStyle name="_Column4_Foglio2_1" xfId="6778" xr:uid="{00000000-0005-0000-0000-0000711A0000}"/>
    <cellStyle name="_Column4_Foglio2_Analisi costo venduto" xfId="6779" xr:uid="{00000000-0005-0000-0000-0000721A0000}"/>
    <cellStyle name="_Column4_Foglio2_BACK UP FIGURES for PRESENTATION LE1" xfId="6780" xr:uid="{00000000-0005-0000-0000-0000731A0000}"/>
    <cellStyle name="_Column4_Foglio2_LE1 addendum" xfId="6781" xr:uid="{00000000-0005-0000-0000-0000741A0000}"/>
    <cellStyle name="_Column4_Foglio2_LEI templates - per Francesca by PPM" xfId="6782" xr:uid="{00000000-0005-0000-0000-0000751A0000}"/>
    <cellStyle name="_Column4_Foglio3" xfId="6783" xr:uid="{00000000-0005-0000-0000-0000761A0000}"/>
    <cellStyle name="_Column4_Foglio3_1" xfId="6784" xr:uid="{00000000-0005-0000-0000-0000771A0000}"/>
    <cellStyle name="_Column4_Foglio3_Analisi vol ott" xfId="6785" xr:uid="{00000000-0005-0000-0000-0000781A0000}"/>
    <cellStyle name="_Column4_Foglio3_BACK UP FIGURES for PRESENTATION LE1" xfId="6786" xr:uid="{00000000-0005-0000-0000-0000791A0000}"/>
    <cellStyle name="_Column4_Foglio3_Maco budget" xfId="6787" xr:uid="{00000000-0005-0000-0000-00007A1A0000}"/>
    <cellStyle name="_Column4_Foglio3_Maco LE1 vers 30.4.07" xfId="6788" xr:uid="{00000000-0005-0000-0000-00007B1A0000}"/>
    <cellStyle name="_Column4_Foglio3_Maco LE1 vers 30.4.07 PER PRESENTAZ" xfId="6789" xr:uid="{00000000-0005-0000-0000-00007C1A0000}"/>
    <cellStyle name="_Column4_Foglio3_Marzo 2007 Deck vers 16.4.07" xfId="6790" xr:uid="{00000000-0005-0000-0000-00007D1A0000}"/>
    <cellStyle name="_Column4_Foglio3_Volumi LE1 sku - brand - package" xfId="6791" xr:uid="{00000000-0005-0000-0000-00007E1A0000}"/>
    <cellStyle name="_Column4_Foglio4" xfId="6792" xr:uid="{00000000-0005-0000-0000-00007F1A0000}"/>
    <cellStyle name="_Column4_Foglio4_BACK UP FIGURES for PRESENTATION LE1" xfId="6793" xr:uid="{00000000-0005-0000-0000-0000801A0000}"/>
    <cellStyle name="_Column4_Foglio4_Maco LE1 vers 30.4.07" xfId="6794" xr:uid="{00000000-0005-0000-0000-0000811A0000}"/>
    <cellStyle name="_Column4_Foglio4_Maco LE1 vers 30.4.07 PER PRESENTAZ" xfId="6795" xr:uid="{00000000-0005-0000-0000-0000821A0000}"/>
    <cellStyle name="_Column4_Foglio4_Marzo 2007 Deck vers 16.4.07" xfId="6796" xr:uid="{00000000-0005-0000-0000-0000831A0000}"/>
    <cellStyle name="_Column4_Foglio5" xfId="6797" xr:uid="{00000000-0005-0000-0000-0000841A0000}"/>
    <cellStyle name="_Column4_Foglio5_BACK UP FIGURES for PRESENTATION LE1" xfId="6798" xr:uid="{00000000-0005-0000-0000-0000851A0000}"/>
    <cellStyle name="_Column4_Foglio5_Maco budget" xfId="6799" xr:uid="{00000000-0005-0000-0000-0000861A0000}"/>
    <cellStyle name="_Column4_Foglio5_Maco LE1 vers 30.4.07" xfId="6800" xr:uid="{00000000-0005-0000-0000-0000871A0000}"/>
    <cellStyle name="_Column4_Foglio5_Maco LE1 vers 30.4.07 PER PRESENTAZ" xfId="6801" xr:uid="{00000000-0005-0000-0000-0000881A0000}"/>
    <cellStyle name="_Column4_Foglio5_Marzo 2007 Deck vers 16.4.07" xfId="6802" xr:uid="{00000000-0005-0000-0000-0000891A0000}"/>
    <cellStyle name="_Column4_Foglio6" xfId="6803" xr:uid="{00000000-0005-0000-0000-00008A1A0000}"/>
    <cellStyle name="_Column4_Forecast Summary July v1" xfId="6804" xr:uid="{00000000-0005-0000-0000-00008B1A0000}"/>
    <cellStyle name="_Column4_Forecast Summary July v1 2" xfId="6805" xr:uid="{00000000-0005-0000-0000-00008C1A0000}"/>
    <cellStyle name="_Column4_Forecast Summary July v1 2 2" xfId="6806" xr:uid="{00000000-0005-0000-0000-00008D1A0000}"/>
    <cellStyle name="_Column4_Forecast Summary July v1 3" xfId="6807" xr:uid="{00000000-0005-0000-0000-00008E1A0000}"/>
    <cellStyle name="_Column4_FRANGO_Monatsbericht Italy_0611" xfId="6808" xr:uid="{00000000-0005-0000-0000-00008F1A0000}"/>
    <cellStyle name="_Column4_FRANGO_Monatsbericht Italy_0611_BB (2)" xfId="6809" xr:uid="{00000000-0005-0000-0000-0000901A0000}"/>
    <cellStyle name="_Column4_FRANGO_Monatsbericht Italy_0611_C00200" xfId="6810" xr:uid="{00000000-0005-0000-0000-0000911A0000}"/>
    <cellStyle name="_Column4_FRANGO_Monatsbericht Italy_0611_C00210" xfId="6811" xr:uid="{00000000-0005-0000-0000-0000921A0000}"/>
    <cellStyle name="_Column4_FRANGO_Monatsbericht Italy_0611_C00300" xfId="6812" xr:uid="{00000000-0005-0000-0000-0000931A0000}"/>
    <cellStyle name="_Column4_FRANGO_Monatsbericht Italy_0611_C00400" xfId="6813" xr:uid="{00000000-0005-0000-0000-0000941A0000}"/>
    <cellStyle name="_Column4_FRANGO_Monatsbericht Italy_0611_check6" xfId="6814" xr:uid="{00000000-0005-0000-0000-0000951A0000}"/>
    <cellStyle name="_Column4_FRANGO_Monatsbericht Italy_0611_Sheet1" xfId="6815" xr:uid="{00000000-0005-0000-0000-0000961A0000}"/>
    <cellStyle name="_Column4_FRANGO_Monatsbericht Italy_0611_Sheet1 (5)" xfId="6816" xr:uid="{00000000-0005-0000-0000-0000971A0000}"/>
    <cellStyle name="_Column4_FRANGO_Monatsbericht Italy_0611_Sheet2" xfId="6817" xr:uid="{00000000-0005-0000-0000-0000981A0000}"/>
    <cellStyle name="_Column4_FRANGO_Monatsbericht Italy_0611_Sheet3" xfId="6818" xr:uid="{00000000-0005-0000-0000-0000991A0000}"/>
    <cellStyle name="_Column4_FRANGO_Monatsbericht Italy_0611_status" xfId="6819" xr:uid="{00000000-0005-0000-0000-00009A1A0000}"/>
    <cellStyle name="_Column4_Franz demand" xfId="6820" xr:uid="{00000000-0005-0000-0000-00009B1A0000}"/>
    <cellStyle name="_Column4_Franz demand_Sm Proj Cash Flow" xfId="6821" xr:uid="{00000000-0005-0000-0000-00009C1A0000}"/>
    <cellStyle name="_Column4_Franz demand_Spend Detail" xfId="6822" xr:uid="{00000000-0005-0000-0000-00009D1A0000}"/>
    <cellStyle name="_Column4_Franz Development" xfId="6823" xr:uid="{00000000-0005-0000-0000-00009E1A0000}"/>
    <cellStyle name="_Column4_Franz Development_Sm Proj Cash Flow" xfId="6824" xr:uid="{00000000-0005-0000-0000-00009F1A0000}"/>
    <cellStyle name="_Column4_Franz Development_Spend Detail" xfId="6825" xr:uid="{00000000-0005-0000-0000-0000A01A0000}"/>
    <cellStyle name="_Column4_Franz Ist" xfId="6826" xr:uid="{00000000-0005-0000-0000-0000A11A0000}"/>
    <cellStyle name="_Column4_Franz Ist_Sm Proj Cash Flow" xfId="6827" xr:uid="{00000000-0005-0000-0000-0000A21A0000}"/>
    <cellStyle name="_Column4_Franz Ist_Spend Detail" xfId="6828" xr:uid="{00000000-0005-0000-0000-0000A31A0000}"/>
    <cellStyle name="_Column4_Free Worksheet" xfId="6829" xr:uid="{00000000-0005-0000-0000-0000A41A0000}"/>
    <cellStyle name="_Column4_fx" xfId="6830" xr:uid="{00000000-0005-0000-0000-0000A51A0000}"/>
    <cellStyle name="_Column4_fx 2" xfId="6831" xr:uid="{00000000-0005-0000-0000-0000A61A0000}"/>
    <cellStyle name="_Column4_fx 2 2" xfId="6832" xr:uid="{00000000-0005-0000-0000-0000A71A0000}"/>
    <cellStyle name="_Column4_fx 3" xfId="6833" xr:uid="{00000000-0005-0000-0000-0000A81A0000}"/>
    <cellStyle name="_Column4_Gennaio draft ON + DD" xfId="6834" xr:uid="{00000000-0005-0000-0000-0000A91A0000}"/>
    <cellStyle name="_Column4_Germany" xfId="6835" xr:uid="{00000000-0005-0000-0000-0000AA1A0000}"/>
    <cellStyle name="_Column4_Germany_brew" xfId="6836" xr:uid="{00000000-0005-0000-0000-0000AB1A0000}"/>
    <cellStyle name="_Column4_Gilde Maco" xfId="6837" xr:uid="{00000000-0005-0000-0000-0000AC1A0000}"/>
    <cellStyle name="_Column4_Gilde Maco 2" xfId="6838" xr:uid="{00000000-0005-0000-0000-0000AD1A0000}"/>
    <cellStyle name="_Column4_Gilde Maco 2 2" xfId="6839" xr:uid="{00000000-0005-0000-0000-0000AE1A0000}"/>
    <cellStyle name="_Column4_Gilde Maco_Basis" xfId="6840" xr:uid="{00000000-0005-0000-0000-0000AF1A0000}"/>
    <cellStyle name="_Column4_Gilde Maco_Basis 2" xfId="6841" xr:uid="{00000000-0005-0000-0000-0000B01A0000}"/>
    <cellStyle name="_Column4_Gilde Maco_Basis 2 2" xfId="6842" xr:uid="{00000000-0005-0000-0000-0000B11A0000}"/>
    <cellStyle name="_Column4_Gilde Maco_Basis_Sheet1" xfId="6843" xr:uid="{00000000-0005-0000-0000-0000B21A0000}"/>
    <cellStyle name="_Column4_Gilde Maco_Basis_Sheet5" xfId="6844" xr:uid="{00000000-0005-0000-0000-0000B31A0000}"/>
    <cellStyle name="_Column4_Gilde Maco_Basis_Sm Proj Cash Flow" xfId="6845" xr:uid="{00000000-0005-0000-0000-0000B41A0000}"/>
    <cellStyle name="_Column4_Gilde Maco_Basis_Spend Detail" xfId="6846" xr:uid="{00000000-0005-0000-0000-0000B51A0000}"/>
    <cellStyle name="_Column4_Gilde Maco_Basis_SustainingProjectList" xfId="6847" xr:uid="{00000000-0005-0000-0000-0000B61A0000}"/>
    <cellStyle name="_Column4_Gilde Maco_Sheet1" xfId="6848" xr:uid="{00000000-0005-0000-0000-0000B71A0000}"/>
    <cellStyle name="_Column4_Gilde Maco_Sheet5" xfId="6849" xr:uid="{00000000-0005-0000-0000-0000B81A0000}"/>
    <cellStyle name="_Column4_Gilde Maco_SKU Volumen" xfId="6850" xr:uid="{00000000-0005-0000-0000-0000B91A0000}"/>
    <cellStyle name="_Column4_Gilde Maco_SKU Volumen 2" xfId="6851" xr:uid="{00000000-0005-0000-0000-0000BA1A0000}"/>
    <cellStyle name="_Column4_Gilde Maco_SKU Volumen_Sheet1" xfId="6852" xr:uid="{00000000-0005-0000-0000-0000BB1A0000}"/>
    <cellStyle name="_Column4_Gilde Maco_SKU Volumen_Sm Proj Cash Flow" xfId="6853" xr:uid="{00000000-0005-0000-0000-0000BC1A0000}"/>
    <cellStyle name="_Column4_Gilde Maco_SKU Volumen_Spend Detail" xfId="6854" xr:uid="{00000000-0005-0000-0000-0000BD1A0000}"/>
    <cellStyle name="_Column4_Gilde Maco_SKU Volumen_SustainingProjectList" xfId="6855" xr:uid="{00000000-0005-0000-0000-0000BE1A0000}"/>
    <cellStyle name="_Column4_Gilde Maco_Sm Proj Cash Flow" xfId="6856" xr:uid="{00000000-0005-0000-0000-0000BF1A0000}"/>
    <cellStyle name="_Column4_Gilde Maco_Spend Detail" xfId="6857" xr:uid="{00000000-0005-0000-0000-0000C01A0000}"/>
    <cellStyle name="_Column4_Gilde Maco_SustainingProjectList" xfId="6858" xr:uid="{00000000-0005-0000-0000-0000C11A0000}"/>
    <cellStyle name="_Column4_Gilde Maco_Tabelle1" xfId="6859" xr:uid="{00000000-0005-0000-0000-0000C21A0000}"/>
    <cellStyle name="_Column4_Gilde Maco_Tabelle1 2" xfId="6860" xr:uid="{00000000-0005-0000-0000-0000C31A0000}"/>
    <cellStyle name="_Column4_Gilde Maco_Tabelle1_Sheet1" xfId="6861" xr:uid="{00000000-0005-0000-0000-0000C41A0000}"/>
    <cellStyle name="_Column4_Gilde Maco_Tabelle1_Sm Proj Cash Flow" xfId="6862" xr:uid="{00000000-0005-0000-0000-0000C51A0000}"/>
    <cellStyle name="_Column4_Gilde Maco_Tabelle1_Spend Detail" xfId="6863" xr:uid="{00000000-0005-0000-0000-0000C61A0000}"/>
    <cellStyle name="_Column4_Gilde Maco_Tabelle1_SustainingProjectList" xfId="6864" xr:uid="{00000000-0005-0000-0000-0000C71A0000}"/>
    <cellStyle name="_Column4_Global_Final_18122006 (2)" xfId="6865" xr:uid="{00000000-0005-0000-0000-0000C81A0000}"/>
    <cellStyle name="_Column4_Global_Final_18122006 (2)_Sm Proj Cash Flow" xfId="6866" xr:uid="{00000000-0005-0000-0000-0000C91A0000}"/>
    <cellStyle name="_Column4_Global_Final_18122006 (2)_Spend Detail" xfId="6867" xr:uid="{00000000-0005-0000-0000-0000CA1A0000}"/>
    <cellStyle name="_Column4_GT" xfId="6868" xr:uid="{00000000-0005-0000-0000-0000CB1A0000}"/>
    <cellStyle name="_Column4_GT 2" xfId="6869" xr:uid="{00000000-0005-0000-0000-0000CC1A0000}"/>
    <cellStyle name="_Column4_GT 2 2" xfId="6870" xr:uid="{00000000-0005-0000-0000-0000CD1A0000}"/>
    <cellStyle name="_Column4_GT 3" xfId="6871" xr:uid="{00000000-0005-0000-0000-0000CE1A0000}"/>
    <cellStyle name="_Column4_Hass Dashboard" xfId="6872" xr:uid="{00000000-0005-0000-0000-0000CF1A0000}"/>
    <cellStyle name="_Column4_Hass Dashboard v1" xfId="6873" xr:uid="{00000000-0005-0000-0000-0000D01A0000}"/>
    <cellStyle name="_Column4_Hass Dashboard v1_Sm Proj Cash Flow" xfId="6874" xr:uid="{00000000-0005-0000-0000-0000D11A0000}"/>
    <cellStyle name="_Column4_Hass Dashboard v1_Spend Detail" xfId="6875" xr:uid="{00000000-0005-0000-0000-0000D21A0000}"/>
    <cellStyle name="_Column4_Hass Dashboard_Sm Proj Cash Flow" xfId="6876" xr:uid="{00000000-0005-0000-0000-0000D31A0000}"/>
    <cellStyle name="_Column4_Hass Dashboard_Spend Detail" xfId="6877" xr:uid="{00000000-0005-0000-0000-0000D41A0000}"/>
    <cellStyle name="_Column4_Hasseröder Export Detailplanung nach Wochen Version Radler + Diesel 10.4.2007" xfId="6878" xr:uid="{00000000-0005-0000-0000-0000D51A0000}"/>
    <cellStyle name="_Column4_Hasseröder Export Detailplanung nach Wochen Version Radler + Diesel 10.4.2007_Sm Proj Cash Flow" xfId="6879" xr:uid="{00000000-0005-0000-0000-0000D61A0000}"/>
    <cellStyle name="_Column4_Hasseröder Export Detailplanung nach Wochen Version Radler + Diesel 10.4.2007_Spend Detail" xfId="6880" xr:uid="{00000000-0005-0000-0000-0000D71A0000}"/>
    <cellStyle name="_Column4_HILA Gaps 3YP vs LE v7" xfId="6881" xr:uid="{00000000-0005-0000-0000-0000D81A0000}"/>
    <cellStyle name="_Column4_HILA Gaps 3YP vs LE v7 2" xfId="6882" xr:uid="{00000000-0005-0000-0000-0000D91A0000}"/>
    <cellStyle name="_Column4_HILA Gaps 3YP vs LE v7 2 2" xfId="6883" xr:uid="{00000000-0005-0000-0000-0000DA1A0000}"/>
    <cellStyle name="_Column4_HILA Gaps 3YP vs LE v7 3" xfId="6884" xr:uid="{00000000-0005-0000-0000-0000DB1A0000}"/>
    <cellStyle name="_Column4_HILA Gaps 3YP vs LE v7_CA ML" xfId="6885" xr:uid="{00000000-0005-0000-0000-0000DC1A0000}"/>
    <cellStyle name="_Column4_HILA Gaps 3YP vs LE v7_CA ML 2" xfId="6886" xr:uid="{00000000-0005-0000-0000-0000DD1A0000}"/>
    <cellStyle name="_Column4_HILA Gaps 3YP vs LE v7_CA ML 2 2" xfId="6887" xr:uid="{00000000-0005-0000-0000-0000DE1A0000}"/>
    <cellStyle name="_Column4_HILA Gaps 3YP vs LE v7_CA ML 3" xfId="6888" xr:uid="{00000000-0005-0000-0000-0000DF1A0000}"/>
    <cellStyle name="_Column4_HILA Gaps 3YP vs LE v7_CA USD" xfId="6889" xr:uid="{00000000-0005-0000-0000-0000E01A0000}"/>
    <cellStyle name="_Column4_HILA Gaps 3YP vs LE v7_CA USD 2" xfId="6890" xr:uid="{00000000-0005-0000-0000-0000E11A0000}"/>
    <cellStyle name="_Column4_HILA Gaps 3YP vs LE v7_CA USD 2 2" xfId="6891" xr:uid="{00000000-0005-0000-0000-0000E21A0000}"/>
    <cellStyle name="_Column4_HILA Gaps 3YP vs LE v7_CA USD 3" xfId="6892" xr:uid="{00000000-0005-0000-0000-0000E31A0000}"/>
    <cellStyle name="_Column4_HILA Gaps 3YP vs LE v7_EC ML" xfId="6893" xr:uid="{00000000-0005-0000-0000-0000E41A0000}"/>
    <cellStyle name="_Column4_HILA Gaps 3YP vs LE v7_EC ML 2" xfId="6894" xr:uid="{00000000-0005-0000-0000-0000E51A0000}"/>
    <cellStyle name="_Column4_HILA Gaps 3YP vs LE v7_EC ML 2 2" xfId="6895" xr:uid="{00000000-0005-0000-0000-0000E61A0000}"/>
    <cellStyle name="_Column4_HILA Gaps 3YP vs LE v7_EC ML 3" xfId="6896" xr:uid="{00000000-0005-0000-0000-0000E71A0000}"/>
    <cellStyle name="_Column4_HILA Gaps 3YP vs LE v7_EC USD" xfId="6897" xr:uid="{00000000-0005-0000-0000-0000E81A0000}"/>
    <cellStyle name="_Column4_HILA Gaps 3YP vs LE v7_EC USD 2" xfId="6898" xr:uid="{00000000-0005-0000-0000-0000E91A0000}"/>
    <cellStyle name="_Column4_HILA Gaps 3YP vs LE v7_EC USD 2 2" xfId="6899" xr:uid="{00000000-0005-0000-0000-0000EA1A0000}"/>
    <cellStyle name="_Column4_HILA Gaps 3YP vs LE v7_EC USD 3" xfId="6900" xr:uid="{00000000-0005-0000-0000-0000EB1A0000}"/>
    <cellStyle name="_Column4_HILA Gaps 3YP vs LE v7_fx" xfId="6901" xr:uid="{00000000-0005-0000-0000-0000EC1A0000}"/>
    <cellStyle name="_Column4_HILA Gaps 3YP vs LE v7_fx 2" xfId="6902" xr:uid="{00000000-0005-0000-0000-0000ED1A0000}"/>
    <cellStyle name="_Column4_HILA Gaps 3YP vs LE v7_fx 2 2" xfId="6903" xr:uid="{00000000-0005-0000-0000-0000EE1A0000}"/>
    <cellStyle name="_Column4_HILA Gaps 3YP vs LE v7_fx 3" xfId="6904" xr:uid="{00000000-0005-0000-0000-0000EF1A0000}"/>
    <cellStyle name="_Column4_HILA Gaps 3YP vs LE v7_PE ML" xfId="6905" xr:uid="{00000000-0005-0000-0000-0000F01A0000}"/>
    <cellStyle name="_Column4_HILA Gaps 3YP vs LE v7_PE ML 2" xfId="6906" xr:uid="{00000000-0005-0000-0000-0000F11A0000}"/>
    <cellStyle name="_Column4_HILA Gaps 3YP vs LE v7_PE ML 2 2" xfId="6907" xr:uid="{00000000-0005-0000-0000-0000F21A0000}"/>
    <cellStyle name="_Column4_HILA Gaps 3YP vs LE v7_PE ML 3" xfId="6908" xr:uid="{00000000-0005-0000-0000-0000F31A0000}"/>
    <cellStyle name="_Column4_HILA Gaps 3YP vs LE v7_PE USD" xfId="6909" xr:uid="{00000000-0005-0000-0000-0000F41A0000}"/>
    <cellStyle name="_Column4_HILA Gaps 3YP vs LE v7_PE USD 2" xfId="6910" xr:uid="{00000000-0005-0000-0000-0000F51A0000}"/>
    <cellStyle name="_Column4_HILA Gaps 3YP vs LE v7_PE USD 2 2" xfId="6911" xr:uid="{00000000-0005-0000-0000-0000F61A0000}"/>
    <cellStyle name="_Column4_HILA Gaps 3YP vs LE v7_PE USD 3" xfId="6912" xr:uid="{00000000-0005-0000-0000-0000F71A0000}"/>
    <cellStyle name="_Column4_HILA Gaps 3YP vs LE v7_RD ML" xfId="6913" xr:uid="{00000000-0005-0000-0000-0000F81A0000}"/>
    <cellStyle name="_Column4_HILA Gaps 3YP vs LE v7_RD ML 2" xfId="6914" xr:uid="{00000000-0005-0000-0000-0000F91A0000}"/>
    <cellStyle name="_Column4_HILA Gaps 3YP vs LE v7_RD ML 2 2" xfId="6915" xr:uid="{00000000-0005-0000-0000-0000FA1A0000}"/>
    <cellStyle name="_Column4_HILA Gaps 3YP vs LE v7_RD ML 3" xfId="6916" xr:uid="{00000000-0005-0000-0000-0000FB1A0000}"/>
    <cellStyle name="_Column4_HILA Gaps 3YP vs LE v7_RD USD" xfId="6917" xr:uid="{00000000-0005-0000-0000-0000FC1A0000}"/>
    <cellStyle name="_Column4_HILA Gaps 3YP vs LE v7_RD USD 2" xfId="6918" xr:uid="{00000000-0005-0000-0000-0000FD1A0000}"/>
    <cellStyle name="_Column4_HILA Gaps 3YP vs LE v7_RD USD 2 2" xfId="6919" xr:uid="{00000000-0005-0000-0000-0000FE1A0000}"/>
    <cellStyle name="_Column4_HILA Gaps 3YP vs LE v7_RD USD 3" xfId="6920" xr:uid="{00000000-0005-0000-0000-0000FF1A0000}"/>
    <cellStyle name="_Column4_Hl Feb Alea 22.2.07" xfId="6921" xr:uid="{00000000-0005-0000-0000-0000001B0000}"/>
    <cellStyle name="_Column4_Hl Gen" xfId="6922" xr:uid="{00000000-0005-0000-0000-0000011B0000}"/>
    <cellStyle name="_Column4_Hopfen" xfId="6923" xr:uid="{00000000-0005-0000-0000-0000021B0000}"/>
    <cellStyle name="_Column4_Hopfen 2" xfId="6924" xr:uid="{00000000-0005-0000-0000-0000031B0000}"/>
    <cellStyle name="_Column4_Hopfen 3" xfId="6925" xr:uid="{00000000-0005-0000-0000-0000041B0000}"/>
    <cellStyle name="_Column4_Hopfen 3 2" xfId="6926" xr:uid="{00000000-0005-0000-0000-0000051B0000}"/>
    <cellStyle name="_Column4_Hopfen 3 3" xfId="6927" xr:uid="{00000000-0005-0000-0000-0000061B0000}"/>
    <cellStyle name="_Column4_Hopfen 3 3 2" xfId="6928" xr:uid="{00000000-0005-0000-0000-0000071B0000}"/>
    <cellStyle name="_Column4_Hopfen 4" xfId="6929" xr:uid="{00000000-0005-0000-0000-0000081B0000}"/>
    <cellStyle name="_Column4_Hopfen 4 2" xfId="6930" xr:uid="{00000000-0005-0000-0000-0000091B0000}"/>
    <cellStyle name="_Column4_Hopfen_Sheet5" xfId="6931" xr:uid="{00000000-0005-0000-0000-00000A1B0000}"/>
    <cellStyle name="_Column4_IDVG Maco" xfId="6932" xr:uid="{00000000-0005-0000-0000-00000B1B0000}"/>
    <cellStyle name="_Column4_IDVG Maco 2" xfId="6933" xr:uid="{00000000-0005-0000-0000-00000C1B0000}"/>
    <cellStyle name="_Column4_IDVG Maco 2 2" xfId="6934" xr:uid="{00000000-0005-0000-0000-00000D1B0000}"/>
    <cellStyle name="_Column4_IDVG Maco_Basis" xfId="6935" xr:uid="{00000000-0005-0000-0000-00000E1B0000}"/>
    <cellStyle name="_Column4_IDVG Maco_Basis 2" xfId="6936" xr:uid="{00000000-0005-0000-0000-00000F1B0000}"/>
    <cellStyle name="_Column4_IDVG Maco_Basis 2 2" xfId="6937" xr:uid="{00000000-0005-0000-0000-0000101B0000}"/>
    <cellStyle name="_Column4_IDVG Maco_Basis_Sheet1" xfId="6938" xr:uid="{00000000-0005-0000-0000-0000111B0000}"/>
    <cellStyle name="_Column4_IDVG Maco_Basis_Sheet5" xfId="6939" xr:uid="{00000000-0005-0000-0000-0000121B0000}"/>
    <cellStyle name="_Column4_IDVG Maco_Basis_Sm Proj Cash Flow" xfId="6940" xr:uid="{00000000-0005-0000-0000-0000131B0000}"/>
    <cellStyle name="_Column4_IDVG Maco_Basis_Spend Detail" xfId="6941" xr:uid="{00000000-0005-0000-0000-0000141B0000}"/>
    <cellStyle name="_Column4_IDVG Maco_Basis_SustainingProjectList" xfId="6942" xr:uid="{00000000-0005-0000-0000-0000151B0000}"/>
    <cellStyle name="_Column4_IDVG Maco_Sheet1" xfId="6943" xr:uid="{00000000-0005-0000-0000-0000161B0000}"/>
    <cellStyle name="_Column4_IDVG Maco_Sheet5" xfId="6944" xr:uid="{00000000-0005-0000-0000-0000171B0000}"/>
    <cellStyle name="_Column4_IDVG Maco_SKU Volumen" xfId="6945" xr:uid="{00000000-0005-0000-0000-0000181B0000}"/>
    <cellStyle name="_Column4_IDVG Maco_SKU Volumen 2" xfId="6946" xr:uid="{00000000-0005-0000-0000-0000191B0000}"/>
    <cellStyle name="_Column4_IDVG Maco_SKU Volumen_Sheet1" xfId="6947" xr:uid="{00000000-0005-0000-0000-00001A1B0000}"/>
    <cellStyle name="_Column4_IDVG Maco_SKU Volumen_Sm Proj Cash Flow" xfId="6948" xr:uid="{00000000-0005-0000-0000-00001B1B0000}"/>
    <cellStyle name="_Column4_IDVG Maco_SKU Volumen_Spend Detail" xfId="6949" xr:uid="{00000000-0005-0000-0000-00001C1B0000}"/>
    <cellStyle name="_Column4_IDVG Maco_SKU Volumen_SustainingProjectList" xfId="6950" xr:uid="{00000000-0005-0000-0000-00001D1B0000}"/>
    <cellStyle name="_Column4_IDVG Maco_Sm Proj Cash Flow" xfId="6951" xr:uid="{00000000-0005-0000-0000-00001E1B0000}"/>
    <cellStyle name="_Column4_IDVG Maco_Spend Detail" xfId="6952" xr:uid="{00000000-0005-0000-0000-00001F1B0000}"/>
    <cellStyle name="_Column4_IDVG Maco_SustainingProjectList" xfId="6953" xr:uid="{00000000-0005-0000-0000-0000201B0000}"/>
    <cellStyle name="_Column4_IDVG Maco_Tabelle1" xfId="6954" xr:uid="{00000000-0005-0000-0000-0000211B0000}"/>
    <cellStyle name="_Column4_IDVG Maco_Tabelle1 2" xfId="6955" xr:uid="{00000000-0005-0000-0000-0000221B0000}"/>
    <cellStyle name="_Column4_IDVG Maco_Tabelle1_Sheet1" xfId="6956" xr:uid="{00000000-0005-0000-0000-0000231B0000}"/>
    <cellStyle name="_Column4_IDVG Maco_Tabelle1_Sm Proj Cash Flow" xfId="6957" xr:uid="{00000000-0005-0000-0000-0000241B0000}"/>
    <cellStyle name="_Column4_IDVG Maco_Tabelle1_Spend Detail" xfId="6958" xr:uid="{00000000-0005-0000-0000-0000251B0000}"/>
    <cellStyle name="_Column4_IDVG Maco_Tabelle1_SustainingProjectList" xfId="6959" xr:uid="{00000000-0005-0000-0000-0000261B0000}"/>
    <cellStyle name="_Column4_In maco" xfId="6960" xr:uid="{00000000-0005-0000-0000-0000271B0000}"/>
    <cellStyle name="_Column4_Inbev Italia stima actual gen" xfId="6961" xr:uid="{00000000-0005-0000-0000-0000281B0000}"/>
    <cellStyle name="_Column4_Incollare volumi estr da Alea" xfId="6962" xr:uid="{00000000-0005-0000-0000-0000291B0000}"/>
    <cellStyle name="_Column4_Industry Volumes" xfId="6963" xr:uid="{00000000-0005-0000-0000-00002A1B0000}"/>
    <cellStyle name="_Column4_Industry Volumes 2" xfId="6964" xr:uid="{00000000-0005-0000-0000-00002B1B0000}"/>
    <cellStyle name="_Column4_Industry Volumes 2 2" xfId="6965" xr:uid="{00000000-0005-0000-0000-00002C1B0000}"/>
    <cellStyle name="_Column4_Industry Volumes 2 2 2" xfId="6966" xr:uid="{00000000-0005-0000-0000-00002D1B0000}"/>
    <cellStyle name="_Column4_Industry Volumes 2 3" xfId="6967" xr:uid="{00000000-0005-0000-0000-00002E1B0000}"/>
    <cellStyle name="_Column4_Industry Volumes 2 3 2" xfId="6968" xr:uid="{00000000-0005-0000-0000-00002F1B0000}"/>
    <cellStyle name="_Column4_Industry Volumes 2 3 3" xfId="6969" xr:uid="{00000000-0005-0000-0000-0000301B0000}"/>
    <cellStyle name="_Column4_Industry Volumes 2 4" xfId="6970" xr:uid="{00000000-0005-0000-0000-0000311B0000}"/>
    <cellStyle name="_Column4_Industry Volumes 2 5" xfId="6971" xr:uid="{00000000-0005-0000-0000-0000321B0000}"/>
    <cellStyle name="_Column4_Industry Volumes 3" xfId="6972" xr:uid="{00000000-0005-0000-0000-0000331B0000}"/>
    <cellStyle name="_Column4_Industry Volumes 3 2" xfId="6973" xr:uid="{00000000-0005-0000-0000-0000341B0000}"/>
    <cellStyle name="_Column4_Industry Volumes 3 3" xfId="6974" xr:uid="{00000000-0005-0000-0000-0000351B0000}"/>
    <cellStyle name="_Column4_Industry Volumes 3 3 2" xfId="6975" xr:uid="{00000000-0005-0000-0000-0000361B0000}"/>
    <cellStyle name="_Column4_Industry Volumes 4" xfId="6976" xr:uid="{00000000-0005-0000-0000-0000371B0000}"/>
    <cellStyle name="_Column4_Industry Volumes 4 2" xfId="6977" xr:uid="{00000000-0005-0000-0000-0000381B0000}"/>
    <cellStyle name="_Column4_Industry Volumes 4 3" xfId="6978" xr:uid="{00000000-0005-0000-0000-0000391B0000}"/>
    <cellStyle name="_Column4_Industry Volumes 5" xfId="6979" xr:uid="{00000000-0005-0000-0000-00003A1B0000}"/>
    <cellStyle name="_Column4_Industry Volumes 6" xfId="6980" xr:uid="{00000000-0005-0000-0000-00003B1B0000}"/>
    <cellStyle name="_Column4_Industry Volumes_Sheet1" xfId="6981" xr:uid="{00000000-0005-0000-0000-00003C1B0000}"/>
    <cellStyle name="_Column4_Industry Volumes_Sm Proj Cash Flow" xfId="6982" xr:uid="{00000000-0005-0000-0000-00003D1B0000}"/>
    <cellStyle name="_Column4_Industry Volumes_Spend Detail" xfId="6983" xr:uid="{00000000-0005-0000-0000-00003E1B0000}"/>
    <cellStyle name="_Column4_Industry Volumes_SustainingProjectList" xfId="6984" xr:uid="{00000000-0005-0000-0000-00003F1B0000}"/>
    <cellStyle name="_Column4_Iniciativas P3A GPV &amp; CSD HILA '10" xfId="6985" xr:uid="{00000000-0005-0000-0000-0000401B0000}"/>
    <cellStyle name="_Column4_Iniciativas P3A GPV &amp; CSD HILA '10 2" xfId="6986" xr:uid="{00000000-0005-0000-0000-0000411B0000}"/>
    <cellStyle name="_Column4_Iniciativas P3A GPV &amp; CSD HILA '10 2 2" xfId="6987" xr:uid="{00000000-0005-0000-0000-0000421B0000}"/>
    <cellStyle name="_Column4_Iniciativas P3A GPV &amp; CSD HILA '10 3" xfId="6988" xr:uid="{00000000-0005-0000-0000-0000431B0000}"/>
    <cellStyle name="_Column4_innovation volumi" xfId="6989" xr:uid="{00000000-0005-0000-0000-0000441B0000}"/>
    <cellStyle name="_Column4_INPUT" xfId="6990" xr:uid="{00000000-0005-0000-0000-0000451B0000}"/>
    <cellStyle name="_Column4_IS LE1 ricevuto da On Trade" xfId="6991" xr:uid="{00000000-0005-0000-0000-0000461B0000}"/>
    <cellStyle name="_Column4_IS LE1 ricevuto da On Trade_BB (2)" xfId="6992" xr:uid="{00000000-0005-0000-0000-0000471B0000}"/>
    <cellStyle name="_Column4_IS LE1 ricevuto da On Trade_C00200" xfId="6993" xr:uid="{00000000-0005-0000-0000-0000481B0000}"/>
    <cellStyle name="_Column4_IS LE1 ricevuto da On Trade_C00210" xfId="6994" xr:uid="{00000000-0005-0000-0000-0000491B0000}"/>
    <cellStyle name="_Column4_IS LE1 ricevuto da On Trade_C00300" xfId="6995" xr:uid="{00000000-0005-0000-0000-00004A1B0000}"/>
    <cellStyle name="_Column4_IS LE1 ricevuto da On Trade_C00400" xfId="6996" xr:uid="{00000000-0005-0000-0000-00004B1B0000}"/>
    <cellStyle name="_Column4_IS LE1 ricevuto da On Trade_check6" xfId="6997" xr:uid="{00000000-0005-0000-0000-00004C1B0000}"/>
    <cellStyle name="_Column4_IS LE1 ricevuto da On Trade_Sheet1" xfId="6998" xr:uid="{00000000-0005-0000-0000-00004D1B0000}"/>
    <cellStyle name="_Column4_IS LE1 ricevuto da On Trade_Sheet1 (5)" xfId="6999" xr:uid="{00000000-0005-0000-0000-00004E1B0000}"/>
    <cellStyle name="_Column4_IS LE1 ricevuto da On Trade_Sheet2" xfId="7000" xr:uid="{00000000-0005-0000-0000-00004F1B0000}"/>
    <cellStyle name="_Column4_IS LE1 ricevuto da On Trade_Sheet3" xfId="7001" xr:uid="{00000000-0005-0000-0000-0000501B0000}"/>
    <cellStyle name="_Column4_IS LE1 ricevuto da On Trade_status" xfId="7002" xr:uid="{00000000-0005-0000-0000-0000511B0000}"/>
    <cellStyle name="_Column4_IT_TR2 (Maco YTD Giu)" xfId="7003" xr:uid="{00000000-0005-0000-0000-0000521B0000}"/>
    <cellStyle name="_Column4_IT_TR2 (Maco YTD Giu)_Sm Proj Cash Flow" xfId="7004" xr:uid="{00000000-0005-0000-0000-0000531B0000}"/>
    <cellStyle name="_Column4_IT_TR2 (Maco YTD Giu)_Spend Detail" xfId="7005" xr:uid="{00000000-0005-0000-0000-0000541B0000}"/>
    <cellStyle name="_Column4_June draft ON + DD" xfId="7006" xr:uid="{00000000-0005-0000-0000-0000551B0000}"/>
    <cellStyle name="_Column4_JW_Absätze aus diversen MACO-Würfeln" xfId="7007" xr:uid="{00000000-0005-0000-0000-0000561B0000}"/>
    <cellStyle name="_Column4_JW_Absätze aus diversen MACO-Würfeln 2" xfId="7008" xr:uid="{00000000-0005-0000-0000-0000571B0000}"/>
    <cellStyle name="_Column4_JW_Absätze aus diversen MACO-Würfeln 2 2" xfId="7009" xr:uid="{00000000-0005-0000-0000-0000581B0000}"/>
    <cellStyle name="_Column4_JW_Absätze aus diversen MACO-Würfeln_Sheet5" xfId="7010" xr:uid="{00000000-0005-0000-0000-0000591B0000}"/>
    <cellStyle name="_Column4_JW_Absätze aus diversen MACO-Würfeln_Sm Proj Cash Flow" xfId="7011" xr:uid="{00000000-0005-0000-0000-00005A1B0000}"/>
    <cellStyle name="_Column4_JW_Absätze aus diversen MACO-Würfeln_Spend Detail" xfId="7012" xr:uid="{00000000-0005-0000-0000-00005B1B0000}"/>
    <cellStyle name="_Column4_JW_Transferpreise 2006" xfId="7013" xr:uid="{00000000-0005-0000-0000-00005C1B0000}"/>
    <cellStyle name="_Column4_JW_Transferpreise 2006_Sheet5" xfId="7014" xr:uid="{00000000-0005-0000-0000-00005D1B0000}"/>
    <cellStyle name="_Column4_JW_Transferpreise IDVG 2005" xfId="7015" xr:uid="{00000000-0005-0000-0000-00005E1B0000}"/>
    <cellStyle name="_Column4_JW_Transferpreise IDVG 2005_Sheet5" xfId="7016" xr:uid="{00000000-0005-0000-0000-00005F1B0000}"/>
    <cellStyle name="_Column4_K01 Budget'07 mens" xfId="7017" xr:uid="{00000000-0005-0000-0000-0000601B0000}"/>
    <cellStyle name="_Column4_K01 Budget'07 mens_BB (2)" xfId="7018" xr:uid="{00000000-0005-0000-0000-0000611B0000}"/>
    <cellStyle name="_Column4_K01 Budget'07 mens_C00200" xfId="7019" xr:uid="{00000000-0005-0000-0000-0000621B0000}"/>
    <cellStyle name="_Column4_K01 Budget'07 mens_C00210" xfId="7020" xr:uid="{00000000-0005-0000-0000-0000631B0000}"/>
    <cellStyle name="_Column4_K01 Budget'07 mens_C00300" xfId="7021" xr:uid="{00000000-0005-0000-0000-0000641B0000}"/>
    <cellStyle name="_Column4_K01 Budget'07 mens_C00400" xfId="7022" xr:uid="{00000000-0005-0000-0000-0000651B0000}"/>
    <cellStyle name="_Column4_K01 Budget'07 mens_check6" xfId="7023" xr:uid="{00000000-0005-0000-0000-0000661B0000}"/>
    <cellStyle name="_Column4_K01 Budget'07 mens_Sheet1" xfId="7024" xr:uid="{00000000-0005-0000-0000-0000671B0000}"/>
    <cellStyle name="_Column4_K01 Budget'07 mens_Sheet1 (5)" xfId="7025" xr:uid="{00000000-0005-0000-0000-0000681B0000}"/>
    <cellStyle name="_Column4_K01 Budget'07 mens_Sheet2" xfId="7026" xr:uid="{00000000-0005-0000-0000-0000691B0000}"/>
    <cellStyle name="_Column4_K01 Budget'07 mens_Sheet3" xfId="7027" xr:uid="{00000000-0005-0000-0000-00006A1B0000}"/>
    <cellStyle name="_Column4_K01 Budget'07 mens_status" xfId="7028" xr:uid="{00000000-0005-0000-0000-00006B1B0000}"/>
    <cellStyle name="_Column4_K01 January 07" xfId="7029" xr:uid="{00000000-0005-0000-0000-00006C1B0000}"/>
    <cellStyle name="_Column4_K01 January 07_BB (2)" xfId="7030" xr:uid="{00000000-0005-0000-0000-00006D1B0000}"/>
    <cellStyle name="_Column4_K01 January 07_C00200" xfId="7031" xr:uid="{00000000-0005-0000-0000-00006E1B0000}"/>
    <cellStyle name="_Column4_K01 January 07_C00210" xfId="7032" xr:uid="{00000000-0005-0000-0000-00006F1B0000}"/>
    <cellStyle name="_Column4_K01 January 07_C00300" xfId="7033" xr:uid="{00000000-0005-0000-0000-0000701B0000}"/>
    <cellStyle name="_Column4_K01 January 07_C00400" xfId="7034" xr:uid="{00000000-0005-0000-0000-0000711B0000}"/>
    <cellStyle name="_Column4_K01 January 07_check6" xfId="7035" xr:uid="{00000000-0005-0000-0000-0000721B0000}"/>
    <cellStyle name="_Column4_K01 January 07_Sheet1" xfId="7036" xr:uid="{00000000-0005-0000-0000-0000731B0000}"/>
    <cellStyle name="_Column4_K01 January 07_Sheet1 (5)" xfId="7037" xr:uid="{00000000-0005-0000-0000-0000741B0000}"/>
    <cellStyle name="_Column4_K01 January 07_Sheet2" xfId="7038" xr:uid="{00000000-0005-0000-0000-0000751B0000}"/>
    <cellStyle name="_Column4_K01 January 07_Sheet3" xfId="7039" xr:uid="{00000000-0005-0000-0000-0000761B0000}"/>
    <cellStyle name="_Column4_K01 January 07_status" xfId="7040" xr:uid="{00000000-0005-0000-0000-0000771B0000}"/>
    <cellStyle name="_Column4_KK_3YP Model S&amp;D Stand 3.7.07" xfId="7041" xr:uid="{00000000-0005-0000-0000-0000781B0000}"/>
    <cellStyle name="_Column4_KK_3YP Model S&amp;D Stand 3.7.07 2" xfId="7042" xr:uid="{00000000-0005-0000-0000-0000791B0000}"/>
    <cellStyle name="_Column4_KK_3YP Model S&amp;D Stand 3.7.07 2 2" xfId="7043" xr:uid="{00000000-0005-0000-0000-00007A1B0000}"/>
    <cellStyle name="_Column4_KK_3YP Model S&amp;D Stand 3.7.07 2 2 2" xfId="7044" xr:uid="{00000000-0005-0000-0000-00007B1B0000}"/>
    <cellStyle name="_Column4_KK_3YP Model S&amp;D Stand 3.7.07 2 3" xfId="7045" xr:uid="{00000000-0005-0000-0000-00007C1B0000}"/>
    <cellStyle name="_Column4_KK_3YP Model S&amp;D Stand 3.7.07 2 3 2" xfId="7046" xr:uid="{00000000-0005-0000-0000-00007D1B0000}"/>
    <cellStyle name="_Column4_KK_3YP Model S&amp;D Stand 3.7.07 2 3 3" xfId="7047" xr:uid="{00000000-0005-0000-0000-00007E1B0000}"/>
    <cellStyle name="_Column4_KK_3YP Model S&amp;D Stand 3.7.07 2 4" xfId="7048" xr:uid="{00000000-0005-0000-0000-00007F1B0000}"/>
    <cellStyle name="_Column4_KK_3YP Model S&amp;D Stand 3.7.07 2 5" xfId="7049" xr:uid="{00000000-0005-0000-0000-0000801B0000}"/>
    <cellStyle name="_Column4_KK_3YP Model S&amp;D Stand 3.7.07 3" xfId="7050" xr:uid="{00000000-0005-0000-0000-0000811B0000}"/>
    <cellStyle name="_Column4_KK_3YP Model S&amp;D Stand 3.7.07 3 2" xfId="7051" xr:uid="{00000000-0005-0000-0000-0000821B0000}"/>
    <cellStyle name="_Column4_KK_3YP Model S&amp;D Stand 3.7.07 3 3" xfId="7052" xr:uid="{00000000-0005-0000-0000-0000831B0000}"/>
    <cellStyle name="_Column4_KK_3YP Model S&amp;D Stand 3.7.07 3 3 2" xfId="7053" xr:uid="{00000000-0005-0000-0000-0000841B0000}"/>
    <cellStyle name="_Column4_KK_3YP Model S&amp;D Stand 3.7.07 4" xfId="7054" xr:uid="{00000000-0005-0000-0000-0000851B0000}"/>
    <cellStyle name="_Column4_KK_3YP Model S&amp;D Stand 3.7.07 4 2" xfId="7055" xr:uid="{00000000-0005-0000-0000-0000861B0000}"/>
    <cellStyle name="_Column4_KK_3YP Model S&amp;D Stand 3.7.07 4 3" xfId="7056" xr:uid="{00000000-0005-0000-0000-0000871B0000}"/>
    <cellStyle name="_Column4_KK_3YP Model S&amp;D Stand 3.7.07 5" xfId="7057" xr:uid="{00000000-0005-0000-0000-0000881B0000}"/>
    <cellStyle name="_Column4_KK_3YP Model S&amp;D Stand 3.7.07 6" xfId="7058" xr:uid="{00000000-0005-0000-0000-0000891B0000}"/>
    <cellStyle name="_Column4_KK_3YP Model S&amp;D Stand 3.7.07_Sheet1" xfId="7059" xr:uid="{00000000-0005-0000-0000-00008A1B0000}"/>
    <cellStyle name="_Column4_KK_3YP Model S&amp;D Stand 3.7.07_Sm Proj Cash Flow" xfId="7060" xr:uid="{00000000-0005-0000-0000-00008B1B0000}"/>
    <cellStyle name="_Column4_KK_3YP Model S&amp;D Stand 3.7.07_Spend Detail" xfId="7061" xr:uid="{00000000-0005-0000-0000-00008C1B0000}"/>
    <cellStyle name="_Column4_KK_3YP Model S&amp;D Stand 3.7.07_SustainingProjectList" xfId="7062" xr:uid="{00000000-0005-0000-0000-00008D1B0000}"/>
    <cellStyle name="_Column4_LE 1 On Trade" xfId="7063" xr:uid="{00000000-0005-0000-0000-00008E1B0000}"/>
    <cellStyle name="_Column4_LE 1st Quater V1" xfId="7064" xr:uid="{00000000-0005-0000-0000-00008F1B0000}"/>
    <cellStyle name="_Column4_LE 1st Quater V1 2" xfId="7065" xr:uid="{00000000-0005-0000-0000-0000901B0000}"/>
    <cellStyle name="_Column4_LE 1st Quater V1 2 2" xfId="7066" xr:uid="{00000000-0005-0000-0000-0000911B0000}"/>
    <cellStyle name="_Column4_LE 1st Quater V1 3" xfId="7067" xr:uid="{00000000-0005-0000-0000-0000921B0000}"/>
    <cellStyle name="_Column4_LE1" xfId="7068" xr:uid="{00000000-0005-0000-0000-0000931B0000}"/>
    <cellStyle name="_Column4_LE1 2" xfId="7069" xr:uid="{00000000-0005-0000-0000-0000941B0000}"/>
    <cellStyle name="_Column4_LE1 2007" xfId="7070" xr:uid="{00000000-0005-0000-0000-0000951B0000}"/>
    <cellStyle name="_Column4_LE1 3" xfId="7071" xr:uid="{00000000-0005-0000-0000-0000961B0000}"/>
    <cellStyle name="_Column4_LE1 3 2" xfId="7072" xr:uid="{00000000-0005-0000-0000-0000971B0000}"/>
    <cellStyle name="_Column4_LE1 3 3" xfId="7073" xr:uid="{00000000-0005-0000-0000-0000981B0000}"/>
    <cellStyle name="_Column4_LE1 3 3 2" xfId="7074" xr:uid="{00000000-0005-0000-0000-0000991B0000}"/>
    <cellStyle name="_Column4_LE1 4" xfId="7075" xr:uid="{00000000-0005-0000-0000-00009A1B0000}"/>
    <cellStyle name="_Column4_LE1 4 2" xfId="7076" xr:uid="{00000000-0005-0000-0000-00009B1B0000}"/>
    <cellStyle name="_Column4_LE1 controllo ZBB vers 27.4.07 bis" xfId="7077" xr:uid="{00000000-0005-0000-0000-00009C1B0000}"/>
    <cellStyle name="_Column4_LE1_Sheet5" xfId="7078" xr:uid="{00000000-0005-0000-0000-00009D1B0000}"/>
    <cellStyle name="_Column4_LEI templates - per Francesca by PPM" xfId="7079" xr:uid="{00000000-0005-0000-0000-00009E1B0000}"/>
    <cellStyle name="_Column4_LEI templates - per Francesca by PPM_BB (2)" xfId="7080" xr:uid="{00000000-0005-0000-0000-00009F1B0000}"/>
    <cellStyle name="_Column4_LEI templates - per Francesca by PPM_C00200" xfId="7081" xr:uid="{00000000-0005-0000-0000-0000A01B0000}"/>
    <cellStyle name="_Column4_LEI templates - per Francesca by PPM_C00210" xfId="7082" xr:uid="{00000000-0005-0000-0000-0000A11B0000}"/>
    <cellStyle name="_Column4_LEI templates - per Francesca by PPM_C00300" xfId="7083" xr:uid="{00000000-0005-0000-0000-0000A21B0000}"/>
    <cellStyle name="_Column4_LEI templates - per Francesca by PPM_C00400" xfId="7084" xr:uid="{00000000-0005-0000-0000-0000A31B0000}"/>
    <cellStyle name="_Column4_LEI templates - per Francesca by PPM_check6" xfId="7085" xr:uid="{00000000-0005-0000-0000-0000A41B0000}"/>
    <cellStyle name="_Column4_LEI templates - per Francesca by PPM_Sheet1" xfId="7086" xr:uid="{00000000-0005-0000-0000-0000A51B0000}"/>
    <cellStyle name="_Column4_LEI templates - per Francesca by PPM_Sheet1 (5)" xfId="7087" xr:uid="{00000000-0005-0000-0000-0000A61B0000}"/>
    <cellStyle name="_Column4_LEI templates - per Francesca by PPM_Sheet2" xfId="7088" xr:uid="{00000000-0005-0000-0000-0000A71B0000}"/>
    <cellStyle name="_Column4_LEI templates - per Francesca by PPM_Sheet3" xfId="7089" xr:uid="{00000000-0005-0000-0000-0000A81B0000}"/>
    <cellStyle name="_Column4_LEI templates - per Francesca by PPM_status" xfId="7090" xr:uid="{00000000-0005-0000-0000-0000A91B0000}"/>
    <cellStyle name="_Column4_loop ist energie" xfId="7091" xr:uid="{00000000-0005-0000-0000-0000AA1B0000}"/>
    <cellStyle name="_Column4_loop ist energie 2" xfId="7092" xr:uid="{00000000-0005-0000-0000-0000AB1B0000}"/>
    <cellStyle name="_Column4_loop ist energie 3" xfId="7093" xr:uid="{00000000-0005-0000-0000-0000AC1B0000}"/>
    <cellStyle name="_Column4_loop ist energie 3 2" xfId="7094" xr:uid="{00000000-0005-0000-0000-0000AD1B0000}"/>
    <cellStyle name="_Column4_loop ist energie 3 3" xfId="7095" xr:uid="{00000000-0005-0000-0000-0000AE1B0000}"/>
    <cellStyle name="_Column4_loop ist energie 3 3 2" xfId="7096" xr:uid="{00000000-0005-0000-0000-0000AF1B0000}"/>
    <cellStyle name="_Column4_loop ist energie 4" xfId="7097" xr:uid="{00000000-0005-0000-0000-0000B01B0000}"/>
    <cellStyle name="_Column4_loop ist energie 4 2" xfId="7098" xr:uid="{00000000-0005-0000-0000-0000B11B0000}"/>
    <cellStyle name="_Column4_loop ist energie_Sheet5" xfId="7099" xr:uid="{00000000-0005-0000-0000-0000B21B0000}"/>
    <cellStyle name="_Column4_Maco budget 2007 On Trade" xfId="7100" xr:uid="{00000000-0005-0000-0000-0000B31B0000}"/>
    <cellStyle name="_Column4_Maco IN MACO e ITW" xfId="7101" xr:uid="{00000000-0005-0000-0000-0000B41B0000}"/>
    <cellStyle name="_Column4_Maco IN MACO e ITW Feb" xfId="7102" xr:uid="{00000000-0005-0000-0000-0000B51B0000}"/>
    <cellStyle name="_Column4_Maco L2" xfId="7103" xr:uid="{00000000-0005-0000-0000-0000B61B0000}"/>
    <cellStyle name="_Column4_Maco LE1 vers 30.4.07" xfId="7104" xr:uid="{00000000-0005-0000-0000-0000B71B0000}"/>
    <cellStyle name="_Column4_Maco LE1 vers 30.4.07 PER PRESENTAZ" xfId="7105" xr:uid="{00000000-0005-0000-0000-0000B81B0000}"/>
    <cellStyle name="_Column4_MACO waterfall feb'07" xfId="7106" xr:uid="{00000000-0005-0000-0000-0000B91B0000}"/>
    <cellStyle name="_Column4_MACO waterfall feb'07_BB (2)" xfId="7107" xr:uid="{00000000-0005-0000-0000-0000BA1B0000}"/>
    <cellStyle name="_Column4_MACO waterfall feb'07_C00200" xfId="7108" xr:uid="{00000000-0005-0000-0000-0000BB1B0000}"/>
    <cellStyle name="_Column4_MACO waterfall feb'07_C00210" xfId="7109" xr:uid="{00000000-0005-0000-0000-0000BC1B0000}"/>
    <cellStyle name="_Column4_MACO waterfall feb'07_C00300" xfId="7110" xr:uid="{00000000-0005-0000-0000-0000BD1B0000}"/>
    <cellStyle name="_Column4_MACO waterfall feb'07_C00400" xfId="7111" xr:uid="{00000000-0005-0000-0000-0000BE1B0000}"/>
    <cellStyle name="_Column4_MACO waterfall feb'07_check6" xfId="7112" xr:uid="{00000000-0005-0000-0000-0000BF1B0000}"/>
    <cellStyle name="_Column4_MACO waterfall feb'07_Sheet1" xfId="7113" xr:uid="{00000000-0005-0000-0000-0000C01B0000}"/>
    <cellStyle name="_Column4_MACO waterfall feb'07_Sheet1 (5)" xfId="7114" xr:uid="{00000000-0005-0000-0000-0000C11B0000}"/>
    <cellStyle name="_Column4_MACO waterfall feb'07_Sheet2" xfId="7115" xr:uid="{00000000-0005-0000-0000-0000C21B0000}"/>
    <cellStyle name="_Column4_MACO waterfall feb'07_Sheet3" xfId="7116" xr:uid="{00000000-0005-0000-0000-0000C31B0000}"/>
    <cellStyle name="_Column4_MACO waterfall feb'07_status" xfId="7117" xr:uid="{00000000-0005-0000-0000-0000C41B0000}"/>
    <cellStyle name="_Column4_Mappe2" xfId="7118" xr:uid="{00000000-0005-0000-0000-0000C51B0000}"/>
    <cellStyle name="_Column4_Mappe2 2" xfId="7119" xr:uid="{00000000-0005-0000-0000-0000C61B0000}"/>
    <cellStyle name="_Column4_Mark up Ist" xfId="7120" xr:uid="{00000000-0005-0000-0000-0000C71B0000}"/>
    <cellStyle name="_Column4_Mark up Ist_BB (2)" xfId="7121" xr:uid="{00000000-0005-0000-0000-0000C81B0000}"/>
    <cellStyle name="_Column4_Mark up Ist_C00200" xfId="7122" xr:uid="{00000000-0005-0000-0000-0000C91B0000}"/>
    <cellStyle name="_Column4_Mark up Ist_C00210" xfId="7123" xr:uid="{00000000-0005-0000-0000-0000CA1B0000}"/>
    <cellStyle name="_Column4_Mark up Ist_C00300" xfId="7124" xr:uid="{00000000-0005-0000-0000-0000CB1B0000}"/>
    <cellStyle name="_Column4_Mark up Ist_C00400" xfId="7125" xr:uid="{00000000-0005-0000-0000-0000CC1B0000}"/>
    <cellStyle name="_Column4_Mark up Ist_check6" xfId="7126" xr:uid="{00000000-0005-0000-0000-0000CD1B0000}"/>
    <cellStyle name="_Column4_Mark up Ist_Sheet1" xfId="7127" xr:uid="{00000000-0005-0000-0000-0000CE1B0000}"/>
    <cellStyle name="_Column4_Mark up Ist_Sheet1 (5)" xfId="7128" xr:uid="{00000000-0005-0000-0000-0000CF1B0000}"/>
    <cellStyle name="_Column4_Mark up Ist_Sheet2" xfId="7129" xr:uid="{00000000-0005-0000-0000-0000D01B0000}"/>
    <cellStyle name="_Column4_Mark up Ist_Sheet3" xfId="7130" xr:uid="{00000000-0005-0000-0000-0000D11B0000}"/>
    <cellStyle name="_Column4_Mark up Ist_status" xfId="7131" xr:uid="{00000000-0005-0000-0000-0000D21B0000}"/>
    <cellStyle name="_Column4_Marzo 2007 Deck vers 16.4.07" xfId="7132" xr:uid="{00000000-0005-0000-0000-0000D31B0000}"/>
    <cellStyle name="_Column4_Mens volumi LE1 x BBP" xfId="7133" xr:uid="{00000000-0005-0000-0000-0000D41B0000}"/>
    <cellStyle name="_Column4_MIS1" xfId="7134" xr:uid="{00000000-0005-0000-0000-0000D51B0000}"/>
    <cellStyle name="_Column4_MIS10" xfId="7135" xr:uid="{00000000-0005-0000-0000-0000D61B0000}"/>
    <cellStyle name="_Column4_MIS17" xfId="7136" xr:uid="{00000000-0005-0000-0000-0000D71B0000}"/>
    <cellStyle name="_Column4_MIS17_Sheet5" xfId="7137" xr:uid="{00000000-0005-0000-0000-0000D81B0000}"/>
    <cellStyle name="_Column4_MIS2" xfId="7138" xr:uid="{00000000-0005-0000-0000-0000D91B0000}"/>
    <cellStyle name="_Column4_MIS2 2" xfId="7139" xr:uid="{00000000-0005-0000-0000-0000DA1B0000}"/>
    <cellStyle name="_Column4_MIS2 2 2" xfId="7140" xr:uid="{00000000-0005-0000-0000-0000DB1B0000}"/>
    <cellStyle name="_Column4_MIS2 2 2 2" xfId="7141" xr:uid="{00000000-0005-0000-0000-0000DC1B0000}"/>
    <cellStyle name="_Column4_MIS2 2 3" xfId="7142" xr:uid="{00000000-0005-0000-0000-0000DD1B0000}"/>
    <cellStyle name="_Column4_MIS2 2 3 2" xfId="7143" xr:uid="{00000000-0005-0000-0000-0000DE1B0000}"/>
    <cellStyle name="_Column4_MIS2 2 3 3" xfId="7144" xr:uid="{00000000-0005-0000-0000-0000DF1B0000}"/>
    <cellStyle name="_Column4_MIS2 2 4" xfId="7145" xr:uid="{00000000-0005-0000-0000-0000E01B0000}"/>
    <cellStyle name="_Column4_MIS2 2 5" xfId="7146" xr:uid="{00000000-0005-0000-0000-0000E11B0000}"/>
    <cellStyle name="_Column4_MIS2 3" xfId="7147" xr:uid="{00000000-0005-0000-0000-0000E21B0000}"/>
    <cellStyle name="_Column4_MIS2 3 2" xfId="7148" xr:uid="{00000000-0005-0000-0000-0000E31B0000}"/>
    <cellStyle name="_Column4_MIS2 4" xfId="7149" xr:uid="{00000000-0005-0000-0000-0000E41B0000}"/>
    <cellStyle name="_Column4_MIS2 4 2" xfId="7150" xr:uid="{00000000-0005-0000-0000-0000E51B0000}"/>
    <cellStyle name="_Column4_MIS2 4 3" xfId="7151" xr:uid="{00000000-0005-0000-0000-0000E61B0000}"/>
    <cellStyle name="_Column4_MIS2 5" xfId="7152" xr:uid="{00000000-0005-0000-0000-0000E71B0000}"/>
    <cellStyle name="_Column4_MIS2 6" xfId="7153" xr:uid="{00000000-0005-0000-0000-0000E81B0000}"/>
    <cellStyle name="_Column4_MIS2_1" xfId="7154" xr:uid="{00000000-0005-0000-0000-0000E91B0000}"/>
    <cellStyle name="_Column4_MIS2_1 2" xfId="7155" xr:uid="{00000000-0005-0000-0000-0000EA1B0000}"/>
    <cellStyle name="_Column4_MIS2_1 2 2" xfId="7156" xr:uid="{00000000-0005-0000-0000-0000EB1B0000}"/>
    <cellStyle name="_Column4_MIS2_1_Sheet5" xfId="7157" xr:uid="{00000000-0005-0000-0000-0000EC1B0000}"/>
    <cellStyle name="_Column4_MIS2_1_Sm Proj Cash Flow" xfId="7158" xr:uid="{00000000-0005-0000-0000-0000ED1B0000}"/>
    <cellStyle name="_Column4_MIS2_1_Spend Detail" xfId="7159" xr:uid="{00000000-0005-0000-0000-0000EE1B0000}"/>
    <cellStyle name="_Column4_MIS2_Anlagenbelegung Auswertung SKU pro Linie 2006-07-25 -ÜB." xfId="7160" xr:uid="{00000000-0005-0000-0000-0000EF1B0000}"/>
    <cellStyle name="_Column4_MIS2_Basis" xfId="7161" xr:uid="{00000000-0005-0000-0000-0000F01B0000}"/>
    <cellStyle name="_Column4_MIS2_Basis 2" xfId="7162" xr:uid="{00000000-0005-0000-0000-0000F11B0000}"/>
    <cellStyle name="_Column4_MIS2_Basis 2 2" xfId="7163" xr:uid="{00000000-0005-0000-0000-0000F21B0000}"/>
    <cellStyle name="_Column4_MIS2_Basis_Sheet1" xfId="7164" xr:uid="{00000000-0005-0000-0000-0000F31B0000}"/>
    <cellStyle name="_Column4_MIS2_Basis_Sheet5" xfId="7165" xr:uid="{00000000-0005-0000-0000-0000F41B0000}"/>
    <cellStyle name="_Column4_MIS2_Basis_Sm Proj Cash Flow" xfId="7166" xr:uid="{00000000-0005-0000-0000-0000F51B0000}"/>
    <cellStyle name="_Column4_MIS2_Basis_Spend Detail" xfId="7167" xr:uid="{00000000-0005-0000-0000-0000F61B0000}"/>
    <cellStyle name="_Column4_MIS2_Basis_SustainingProjectList" xfId="7168" xr:uid="{00000000-0005-0000-0000-0000F71B0000}"/>
    <cellStyle name="_Column4_MIS2_Changeover t, theor. u. per h. " xfId="7169" xr:uid="{00000000-0005-0000-0000-0000F81B0000}"/>
    <cellStyle name="_Column4_MIS2_JW_VPLC Bremen" xfId="7170" xr:uid="{00000000-0005-0000-0000-0000F91B0000}"/>
    <cellStyle name="_Column4_MIS2_Mother line Bremen" xfId="7171" xr:uid="{00000000-0005-0000-0000-0000FA1B0000}"/>
    <cellStyle name="_Column4_MIS2_RB&amp;JW_Produktionsplanung_LE1_2006 sortiert" xfId="7172" xr:uid="{00000000-0005-0000-0000-0000FB1B0000}"/>
    <cellStyle name="_Column4_MIS2_RB&amp;JW_Produktionsplanung_LE1_2006 sortiert 2" xfId="7173" xr:uid="{00000000-0005-0000-0000-0000FC1B0000}"/>
    <cellStyle name="_Column4_MIS2_RB&amp;JW_Produktionsplanung_LE1_2006 sortiert 2 2" xfId="7174" xr:uid="{00000000-0005-0000-0000-0000FD1B0000}"/>
    <cellStyle name="_Column4_MIS2_RB&amp;JW_Produktionsplanung_LE1_2006 sortiert_Sheet1" xfId="7175" xr:uid="{00000000-0005-0000-0000-0000FE1B0000}"/>
    <cellStyle name="_Column4_MIS2_RB&amp;JW_Produktionsplanung_LE1_2006 sortiert_Sheet5" xfId="7176" xr:uid="{00000000-0005-0000-0000-0000FF1B0000}"/>
    <cellStyle name="_Column4_MIS2_RB&amp;JW_Produktionsplanung_LE1_2006 sortiert_Sm Proj Cash Flow" xfId="7177" xr:uid="{00000000-0005-0000-0000-0000001C0000}"/>
    <cellStyle name="_Column4_MIS2_RB&amp;JW_Produktionsplanung_LE1_2006 sortiert_Spend Detail" xfId="7178" xr:uid="{00000000-0005-0000-0000-0000011C0000}"/>
    <cellStyle name="_Column4_MIS2_RB&amp;JW_Produktionsplanung_LE1_2006 sortiert_SustainingProjectList" xfId="7179" xr:uid="{00000000-0005-0000-0000-0000021C0000}"/>
    <cellStyle name="_Column4_MIS2_Rüstzeit" xfId="7180" xr:uid="{00000000-0005-0000-0000-0000031C0000}"/>
    <cellStyle name="_Column4_MIS2_Rüstzeit_Sheet5" xfId="7181" xr:uid="{00000000-0005-0000-0000-0000041C0000}"/>
    <cellStyle name="_Column4_MIS2_SKU Volumen" xfId="7182" xr:uid="{00000000-0005-0000-0000-0000051C0000}"/>
    <cellStyle name="_Column4_MIS2_SKU Volumen 2" xfId="7183" xr:uid="{00000000-0005-0000-0000-0000061C0000}"/>
    <cellStyle name="_Column4_MIS2_SKU Volumen_Sheet1" xfId="7184" xr:uid="{00000000-0005-0000-0000-0000071C0000}"/>
    <cellStyle name="_Column4_MIS2_SKU Volumen_Sm Proj Cash Flow" xfId="7185" xr:uid="{00000000-0005-0000-0000-0000081C0000}"/>
    <cellStyle name="_Column4_MIS2_SKU Volumen_Spend Detail" xfId="7186" xr:uid="{00000000-0005-0000-0000-0000091C0000}"/>
    <cellStyle name="_Column4_MIS2_SKU Volumen_SustainingProjectList" xfId="7187" xr:uid="{00000000-0005-0000-0000-00000A1C0000}"/>
    <cellStyle name="_Column4_MIS2_Tabelle1" xfId="7188" xr:uid="{00000000-0005-0000-0000-00000B1C0000}"/>
    <cellStyle name="_Column4_MIS2_Tabelle1 2" xfId="7189" xr:uid="{00000000-0005-0000-0000-00000C1C0000}"/>
    <cellStyle name="_Column4_MIS2_Tabelle1 2 2" xfId="7190" xr:uid="{00000000-0005-0000-0000-00000D1C0000}"/>
    <cellStyle name="_Column4_MIS2_Tabelle1 3" xfId="7191" xr:uid="{00000000-0005-0000-0000-00000E1C0000}"/>
    <cellStyle name="_Column4_MIS2_Tabelle1_Sheet1" xfId="7192" xr:uid="{00000000-0005-0000-0000-00000F1C0000}"/>
    <cellStyle name="_Column4_MIS2_Tabelle1_Sheet5" xfId="7193" xr:uid="{00000000-0005-0000-0000-0000101C0000}"/>
    <cellStyle name="_Column4_MIS2_Tabelle1_Sm Proj Cash Flow" xfId="7194" xr:uid="{00000000-0005-0000-0000-0000111C0000}"/>
    <cellStyle name="_Column4_MIS2_Tabelle1_Spend Detail" xfId="7195" xr:uid="{00000000-0005-0000-0000-0000121C0000}"/>
    <cellStyle name="_Column4_MIS2_Tabelle1_SustainingProjectList" xfId="7196" xr:uid="{00000000-0005-0000-0000-0000131C0000}"/>
    <cellStyle name="_Column4_Mis23" xfId="7197" xr:uid="{00000000-0005-0000-0000-0000141C0000}"/>
    <cellStyle name="_Column4_Mis23 2" xfId="7198" xr:uid="{00000000-0005-0000-0000-0000151C0000}"/>
    <cellStyle name="_Column4_Mis23 3" xfId="7199" xr:uid="{00000000-0005-0000-0000-0000161C0000}"/>
    <cellStyle name="_Column4_Mis23 3 2" xfId="7200" xr:uid="{00000000-0005-0000-0000-0000171C0000}"/>
    <cellStyle name="_Column4_Mis23 3 3" xfId="7201" xr:uid="{00000000-0005-0000-0000-0000181C0000}"/>
    <cellStyle name="_Column4_Mis23 3 3 2" xfId="7202" xr:uid="{00000000-0005-0000-0000-0000191C0000}"/>
    <cellStyle name="_Column4_Mis23 4" xfId="7203" xr:uid="{00000000-0005-0000-0000-00001A1C0000}"/>
    <cellStyle name="_Column4_Mis23 4 2" xfId="7204" xr:uid="{00000000-0005-0000-0000-00001B1C0000}"/>
    <cellStyle name="_Column4_Mis23_Sheet5" xfId="7205" xr:uid="{00000000-0005-0000-0000-00001C1C0000}"/>
    <cellStyle name="_Column4_Mis24" xfId="7206" xr:uid="{00000000-0005-0000-0000-00001D1C0000}"/>
    <cellStyle name="_Column4_Mis24 2" xfId="7207" xr:uid="{00000000-0005-0000-0000-00001E1C0000}"/>
    <cellStyle name="_Column4_Mis24 2 2" xfId="7208" xr:uid="{00000000-0005-0000-0000-00001F1C0000}"/>
    <cellStyle name="_Column4_Mis24 3" xfId="7209" xr:uid="{00000000-0005-0000-0000-0000201C0000}"/>
    <cellStyle name="_Column4_Mis24_BB (2)" xfId="7210" xr:uid="{00000000-0005-0000-0000-0000211C0000}"/>
    <cellStyle name="_Column4_Mis24_C00200" xfId="7211" xr:uid="{00000000-0005-0000-0000-0000221C0000}"/>
    <cellStyle name="_Column4_Mis24_C00210" xfId="7212" xr:uid="{00000000-0005-0000-0000-0000231C0000}"/>
    <cellStyle name="_Column4_Mis24_C00300" xfId="7213" xr:uid="{00000000-0005-0000-0000-0000241C0000}"/>
    <cellStyle name="_Column4_Mis24_C00400" xfId="7214" xr:uid="{00000000-0005-0000-0000-0000251C0000}"/>
    <cellStyle name="_Column4_Mis24_CA ML" xfId="7215" xr:uid="{00000000-0005-0000-0000-0000261C0000}"/>
    <cellStyle name="_Column4_Mis24_CA ML 2" xfId="7216" xr:uid="{00000000-0005-0000-0000-0000271C0000}"/>
    <cellStyle name="_Column4_Mis24_CA ML 2 2" xfId="7217" xr:uid="{00000000-0005-0000-0000-0000281C0000}"/>
    <cellStyle name="_Column4_Mis24_CA ML 3" xfId="7218" xr:uid="{00000000-0005-0000-0000-0000291C0000}"/>
    <cellStyle name="_Column4_Mis24_CA ML_1" xfId="7219" xr:uid="{00000000-0005-0000-0000-00002A1C0000}"/>
    <cellStyle name="_Column4_Mis24_CA ML_1 2" xfId="7220" xr:uid="{00000000-0005-0000-0000-00002B1C0000}"/>
    <cellStyle name="_Column4_Mis24_CA ML_1 2 2" xfId="7221" xr:uid="{00000000-0005-0000-0000-00002C1C0000}"/>
    <cellStyle name="_Column4_Mis24_CA ML_1 3" xfId="7222" xr:uid="{00000000-0005-0000-0000-00002D1C0000}"/>
    <cellStyle name="_Column4_Mis24_CA ML_2" xfId="7223" xr:uid="{00000000-0005-0000-0000-00002E1C0000}"/>
    <cellStyle name="_Column4_Mis24_CA ML_2 2" xfId="7224" xr:uid="{00000000-0005-0000-0000-00002F1C0000}"/>
    <cellStyle name="_Column4_Mis24_CA ML_2 2 2" xfId="7225" xr:uid="{00000000-0005-0000-0000-0000301C0000}"/>
    <cellStyle name="_Column4_Mis24_CA ML_2 3" xfId="7226" xr:uid="{00000000-0005-0000-0000-0000311C0000}"/>
    <cellStyle name="_Column4_Mis24_CA USD" xfId="7227" xr:uid="{00000000-0005-0000-0000-0000321C0000}"/>
    <cellStyle name="_Column4_Mis24_CA USD 2" xfId="7228" xr:uid="{00000000-0005-0000-0000-0000331C0000}"/>
    <cellStyle name="_Column4_Mis24_CA USD 2 2" xfId="7229" xr:uid="{00000000-0005-0000-0000-0000341C0000}"/>
    <cellStyle name="_Column4_Mis24_CA USD 3" xfId="7230" xr:uid="{00000000-0005-0000-0000-0000351C0000}"/>
    <cellStyle name="_Column4_Mis24_check6" xfId="7231" xr:uid="{00000000-0005-0000-0000-0000361C0000}"/>
    <cellStyle name="_Column4_Mis24_CV ENERO" xfId="7232" xr:uid="{00000000-0005-0000-0000-0000371C0000}"/>
    <cellStyle name="_Column4_Mis24_CV ENERO 2" xfId="7233" xr:uid="{00000000-0005-0000-0000-0000381C0000}"/>
    <cellStyle name="_Column4_Mis24_CV ENERO 2 2" xfId="7234" xr:uid="{00000000-0005-0000-0000-0000391C0000}"/>
    <cellStyle name="_Column4_Mis24_CV ENERO 3" xfId="7235" xr:uid="{00000000-0005-0000-0000-00003A1C0000}"/>
    <cellStyle name="_Column4_Mis24_EC ML" xfId="7236" xr:uid="{00000000-0005-0000-0000-00003B1C0000}"/>
    <cellStyle name="_Column4_Mis24_EC ML 2" xfId="7237" xr:uid="{00000000-0005-0000-0000-00003C1C0000}"/>
    <cellStyle name="_Column4_Mis24_EC ML 2 2" xfId="7238" xr:uid="{00000000-0005-0000-0000-00003D1C0000}"/>
    <cellStyle name="_Column4_Mis24_EC ML 3" xfId="7239" xr:uid="{00000000-0005-0000-0000-00003E1C0000}"/>
    <cellStyle name="_Column4_Mis24_EC ML_1" xfId="7240" xr:uid="{00000000-0005-0000-0000-00003F1C0000}"/>
    <cellStyle name="_Column4_Mis24_EC ML_1 2" xfId="7241" xr:uid="{00000000-0005-0000-0000-0000401C0000}"/>
    <cellStyle name="_Column4_Mis24_EC ML_1 2 2" xfId="7242" xr:uid="{00000000-0005-0000-0000-0000411C0000}"/>
    <cellStyle name="_Column4_Mis24_EC ML_1 3" xfId="7243" xr:uid="{00000000-0005-0000-0000-0000421C0000}"/>
    <cellStyle name="_Column4_Mis24_EC USD" xfId="7244" xr:uid="{00000000-0005-0000-0000-0000431C0000}"/>
    <cellStyle name="_Column4_Mis24_EC USD 2" xfId="7245" xr:uid="{00000000-0005-0000-0000-0000441C0000}"/>
    <cellStyle name="_Column4_Mis24_EC USD 2 2" xfId="7246" xr:uid="{00000000-0005-0000-0000-0000451C0000}"/>
    <cellStyle name="_Column4_Mis24_EC USD 3" xfId="7247" xr:uid="{00000000-0005-0000-0000-0000461C0000}"/>
    <cellStyle name="_Column4_Mis24_fx" xfId="7248" xr:uid="{00000000-0005-0000-0000-0000471C0000}"/>
    <cellStyle name="_Column4_Mis24_fx 2" xfId="7249" xr:uid="{00000000-0005-0000-0000-0000481C0000}"/>
    <cellStyle name="_Column4_Mis24_fx 2 2" xfId="7250" xr:uid="{00000000-0005-0000-0000-0000491C0000}"/>
    <cellStyle name="_Column4_Mis24_fx 3" xfId="7251" xr:uid="{00000000-0005-0000-0000-00004A1C0000}"/>
    <cellStyle name="_Column4_Mis24_HILA Gaps 3YP vs LE v7" xfId="7252" xr:uid="{00000000-0005-0000-0000-00004B1C0000}"/>
    <cellStyle name="_Column4_Mis24_HILA Gaps 3YP vs LE v7 2" xfId="7253" xr:uid="{00000000-0005-0000-0000-00004C1C0000}"/>
    <cellStyle name="_Column4_Mis24_HILA Gaps 3YP vs LE v7 2 2" xfId="7254" xr:uid="{00000000-0005-0000-0000-00004D1C0000}"/>
    <cellStyle name="_Column4_Mis24_HILA Gaps 3YP vs LE v7 3" xfId="7255" xr:uid="{00000000-0005-0000-0000-00004E1C0000}"/>
    <cellStyle name="_Column4_Mis24_HILA Gaps 3YP vs LE v7_CA ML" xfId="7256" xr:uid="{00000000-0005-0000-0000-00004F1C0000}"/>
    <cellStyle name="_Column4_Mis24_HILA Gaps 3YP vs LE v7_CA ML 2" xfId="7257" xr:uid="{00000000-0005-0000-0000-0000501C0000}"/>
    <cellStyle name="_Column4_Mis24_HILA Gaps 3YP vs LE v7_CA ML 2 2" xfId="7258" xr:uid="{00000000-0005-0000-0000-0000511C0000}"/>
    <cellStyle name="_Column4_Mis24_HILA Gaps 3YP vs LE v7_CA ML 3" xfId="7259" xr:uid="{00000000-0005-0000-0000-0000521C0000}"/>
    <cellStyle name="_Column4_Mis24_HILA Gaps 3YP vs LE v7_CA USD" xfId="7260" xr:uid="{00000000-0005-0000-0000-0000531C0000}"/>
    <cellStyle name="_Column4_Mis24_HILA Gaps 3YP vs LE v7_CA USD 2" xfId="7261" xr:uid="{00000000-0005-0000-0000-0000541C0000}"/>
    <cellStyle name="_Column4_Mis24_HILA Gaps 3YP vs LE v7_CA USD 2 2" xfId="7262" xr:uid="{00000000-0005-0000-0000-0000551C0000}"/>
    <cellStyle name="_Column4_Mis24_HILA Gaps 3YP vs LE v7_CA USD 3" xfId="7263" xr:uid="{00000000-0005-0000-0000-0000561C0000}"/>
    <cellStyle name="_Column4_Mis24_HILA Gaps 3YP vs LE v7_EC ML" xfId="7264" xr:uid="{00000000-0005-0000-0000-0000571C0000}"/>
    <cellStyle name="_Column4_Mis24_HILA Gaps 3YP vs LE v7_EC ML 2" xfId="7265" xr:uid="{00000000-0005-0000-0000-0000581C0000}"/>
    <cellStyle name="_Column4_Mis24_HILA Gaps 3YP vs LE v7_EC ML 2 2" xfId="7266" xr:uid="{00000000-0005-0000-0000-0000591C0000}"/>
    <cellStyle name="_Column4_Mis24_HILA Gaps 3YP vs LE v7_EC ML 3" xfId="7267" xr:uid="{00000000-0005-0000-0000-00005A1C0000}"/>
    <cellStyle name="_Column4_Mis24_HILA Gaps 3YP vs LE v7_EC USD" xfId="7268" xr:uid="{00000000-0005-0000-0000-00005B1C0000}"/>
    <cellStyle name="_Column4_Mis24_HILA Gaps 3YP vs LE v7_EC USD 2" xfId="7269" xr:uid="{00000000-0005-0000-0000-00005C1C0000}"/>
    <cellStyle name="_Column4_Mis24_HILA Gaps 3YP vs LE v7_EC USD 2 2" xfId="7270" xr:uid="{00000000-0005-0000-0000-00005D1C0000}"/>
    <cellStyle name="_Column4_Mis24_HILA Gaps 3YP vs LE v7_EC USD 3" xfId="7271" xr:uid="{00000000-0005-0000-0000-00005E1C0000}"/>
    <cellStyle name="_Column4_Mis24_HILA Gaps 3YP vs LE v7_fx" xfId="7272" xr:uid="{00000000-0005-0000-0000-00005F1C0000}"/>
    <cellStyle name="_Column4_Mis24_HILA Gaps 3YP vs LE v7_fx 2" xfId="7273" xr:uid="{00000000-0005-0000-0000-0000601C0000}"/>
    <cellStyle name="_Column4_Mis24_HILA Gaps 3YP vs LE v7_fx 2 2" xfId="7274" xr:uid="{00000000-0005-0000-0000-0000611C0000}"/>
    <cellStyle name="_Column4_Mis24_HILA Gaps 3YP vs LE v7_fx 3" xfId="7275" xr:uid="{00000000-0005-0000-0000-0000621C0000}"/>
    <cellStyle name="_Column4_Mis24_HILA Gaps 3YP vs LE v7_PE ML" xfId="7276" xr:uid="{00000000-0005-0000-0000-0000631C0000}"/>
    <cellStyle name="_Column4_Mis24_HILA Gaps 3YP vs LE v7_PE ML 2" xfId="7277" xr:uid="{00000000-0005-0000-0000-0000641C0000}"/>
    <cellStyle name="_Column4_Mis24_HILA Gaps 3YP vs LE v7_PE ML 2 2" xfId="7278" xr:uid="{00000000-0005-0000-0000-0000651C0000}"/>
    <cellStyle name="_Column4_Mis24_HILA Gaps 3YP vs LE v7_PE ML 3" xfId="7279" xr:uid="{00000000-0005-0000-0000-0000661C0000}"/>
    <cellStyle name="_Column4_Mis24_HILA Gaps 3YP vs LE v7_PE USD" xfId="7280" xr:uid="{00000000-0005-0000-0000-0000671C0000}"/>
    <cellStyle name="_Column4_Mis24_HILA Gaps 3YP vs LE v7_PE USD 2" xfId="7281" xr:uid="{00000000-0005-0000-0000-0000681C0000}"/>
    <cellStyle name="_Column4_Mis24_HILA Gaps 3YP vs LE v7_PE USD 2 2" xfId="7282" xr:uid="{00000000-0005-0000-0000-0000691C0000}"/>
    <cellStyle name="_Column4_Mis24_HILA Gaps 3YP vs LE v7_PE USD 3" xfId="7283" xr:uid="{00000000-0005-0000-0000-00006A1C0000}"/>
    <cellStyle name="_Column4_Mis24_HILA Gaps 3YP vs LE v7_RD ML" xfId="7284" xr:uid="{00000000-0005-0000-0000-00006B1C0000}"/>
    <cellStyle name="_Column4_Mis24_HILA Gaps 3YP vs LE v7_RD ML 2" xfId="7285" xr:uid="{00000000-0005-0000-0000-00006C1C0000}"/>
    <cellStyle name="_Column4_Mis24_HILA Gaps 3YP vs LE v7_RD ML 2 2" xfId="7286" xr:uid="{00000000-0005-0000-0000-00006D1C0000}"/>
    <cellStyle name="_Column4_Mis24_HILA Gaps 3YP vs LE v7_RD ML 3" xfId="7287" xr:uid="{00000000-0005-0000-0000-00006E1C0000}"/>
    <cellStyle name="_Column4_Mis24_HILA Gaps 3YP vs LE v7_RD USD" xfId="7288" xr:uid="{00000000-0005-0000-0000-00006F1C0000}"/>
    <cellStyle name="_Column4_Mis24_HILA Gaps 3YP vs LE v7_RD USD 2" xfId="7289" xr:uid="{00000000-0005-0000-0000-0000701C0000}"/>
    <cellStyle name="_Column4_Mis24_HILA Gaps 3YP vs LE v7_RD USD 2 2" xfId="7290" xr:uid="{00000000-0005-0000-0000-0000711C0000}"/>
    <cellStyle name="_Column4_Mis24_HILA Gaps 3YP vs LE v7_RD USD 3" xfId="7291" xr:uid="{00000000-0005-0000-0000-0000721C0000}"/>
    <cellStyle name="_Column4_Mis24_LE 1st Quater V1" xfId="7292" xr:uid="{00000000-0005-0000-0000-0000731C0000}"/>
    <cellStyle name="_Column4_Mis24_LE 1st Quater V1 2" xfId="7293" xr:uid="{00000000-0005-0000-0000-0000741C0000}"/>
    <cellStyle name="_Column4_Mis24_LE 1st Quater V1 2 2" xfId="7294" xr:uid="{00000000-0005-0000-0000-0000751C0000}"/>
    <cellStyle name="_Column4_Mis24_LE 1st Quater V1 3" xfId="7295" xr:uid="{00000000-0005-0000-0000-0000761C0000}"/>
    <cellStyle name="_Column4_Mis24_PE ML" xfId="7296" xr:uid="{00000000-0005-0000-0000-0000771C0000}"/>
    <cellStyle name="_Column4_Mis24_PE ML 2" xfId="7297" xr:uid="{00000000-0005-0000-0000-0000781C0000}"/>
    <cellStyle name="_Column4_Mis24_PE ML 2 2" xfId="7298" xr:uid="{00000000-0005-0000-0000-0000791C0000}"/>
    <cellStyle name="_Column4_Mis24_PE ML 3" xfId="7299" xr:uid="{00000000-0005-0000-0000-00007A1C0000}"/>
    <cellStyle name="_Column4_Mis24_PE ML_1" xfId="7300" xr:uid="{00000000-0005-0000-0000-00007B1C0000}"/>
    <cellStyle name="_Column4_Mis24_PE ML_1 2" xfId="7301" xr:uid="{00000000-0005-0000-0000-00007C1C0000}"/>
    <cellStyle name="_Column4_Mis24_PE ML_1 2 2" xfId="7302" xr:uid="{00000000-0005-0000-0000-00007D1C0000}"/>
    <cellStyle name="_Column4_Mis24_PE ML_1 3" xfId="7303" xr:uid="{00000000-0005-0000-0000-00007E1C0000}"/>
    <cellStyle name="_Column4_Mis24_PE ML_2" xfId="7304" xr:uid="{00000000-0005-0000-0000-00007F1C0000}"/>
    <cellStyle name="_Column4_Mis24_PE ML_2 2" xfId="7305" xr:uid="{00000000-0005-0000-0000-0000801C0000}"/>
    <cellStyle name="_Column4_Mis24_PE ML_2 2 2" xfId="7306" xr:uid="{00000000-0005-0000-0000-0000811C0000}"/>
    <cellStyle name="_Column4_Mis24_PE ML_2 3" xfId="7307" xr:uid="{00000000-0005-0000-0000-0000821C0000}"/>
    <cellStyle name="_Column4_Mis24_PE USD" xfId="7308" xr:uid="{00000000-0005-0000-0000-0000831C0000}"/>
    <cellStyle name="_Column4_Mis24_PE USD 2" xfId="7309" xr:uid="{00000000-0005-0000-0000-0000841C0000}"/>
    <cellStyle name="_Column4_Mis24_PE USD 2 2" xfId="7310" xr:uid="{00000000-0005-0000-0000-0000851C0000}"/>
    <cellStyle name="_Column4_Mis24_PE USD 3" xfId="7311" xr:uid="{00000000-0005-0000-0000-0000861C0000}"/>
    <cellStyle name="_Column4_Mis24_RD ML" xfId="7312" xr:uid="{00000000-0005-0000-0000-0000871C0000}"/>
    <cellStyle name="_Column4_Mis24_RD ML 2" xfId="7313" xr:uid="{00000000-0005-0000-0000-0000881C0000}"/>
    <cellStyle name="_Column4_Mis24_RD ML 2 2" xfId="7314" xr:uid="{00000000-0005-0000-0000-0000891C0000}"/>
    <cellStyle name="_Column4_Mis24_RD ML 3" xfId="7315" xr:uid="{00000000-0005-0000-0000-00008A1C0000}"/>
    <cellStyle name="_Column4_Mis24_RD ML_1" xfId="7316" xr:uid="{00000000-0005-0000-0000-00008B1C0000}"/>
    <cellStyle name="_Column4_Mis24_RD ML_1 2" xfId="7317" xr:uid="{00000000-0005-0000-0000-00008C1C0000}"/>
    <cellStyle name="_Column4_Mis24_RD ML_1 2 2" xfId="7318" xr:uid="{00000000-0005-0000-0000-00008D1C0000}"/>
    <cellStyle name="_Column4_Mis24_RD ML_1 3" xfId="7319" xr:uid="{00000000-0005-0000-0000-00008E1C0000}"/>
    <cellStyle name="_Column4_Mis24_RD ML_2" xfId="7320" xr:uid="{00000000-0005-0000-0000-00008F1C0000}"/>
    <cellStyle name="_Column4_Mis24_RD ML_2 2" xfId="7321" xr:uid="{00000000-0005-0000-0000-0000901C0000}"/>
    <cellStyle name="_Column4_Mis24_RD ML_2 2 2" xfId="7322" xr:uid="{00000000-0005-0000-0000-0000911C0000}"/>
    <cellStyle name="_Column4_Mis24_RD ML_2 3" xfId="7323" xr:uid="{00000000-0005-0000-0000-0000921C0000}"/>
    <cellStyle name="_Column4_Mis24_RD USD" xfId="7324" xr:uid="{00000000-0005-0000-0000-0000931C0000}"/>
    <cellStyle name="_Column4_Mis24_RD USD 2" xfId="7325" xr:uid="{00000000-0005-0000-0000-0000941C0000}"/>
    <cellStyle name="_Column4_Mis24_RD USD 2 2" xfId="7326" xr:uid="{00000000-0005-0000-0000-0000951C0000}"/>
    <cellStyle name="_Column4_Mis24_RD USD 3" xfId="7327" xr:uid="{00000000-0005-0000-0000-0000961C0000}"/>
    <cellStyle name="_Column4_Mis24_Riesgos - Oportunidades" xfId="7328" xr:uid="{00000000-0005-0000-0000-0000971C0000}"/>
    <cellStyle name="_Column4_Mis24_Riesgos - Oportunidades 2" xfId="7329" xr:uid="{00000000-0005-0000-0000-0000981C0000}"/>
    <cellStyle name="_Column4_Mis24_Riesgos - Oportunidades 2 2" xfId="7330" xr:uid="{00000000-0005-0000-0000-0000991C0000}"/>
    <cellStyle name="_Column4_Mis24_Riesgos - Oportunidades 3" xfId="7331" xr:uid="{00000000-0005-0000-0000-00009A1C0000}"/>
    <cellStyle name="_Column4_Mis24_SDG FEV" xfId="7332" xr:uid="{00000000-0005-0000-0000-00009B1C0000}"/>
    <cellStyle name="_Column4_Mis24_SDG FEV 2" xfId="7333" xr:uid="{00000000-0005-0000-0000-00009C1C0000}"/>
    <cellStyle name="_Column4_Mis24_SDG FEV 2 2" xfId="7334" xr:uid="{00000000-0005-0000-0000-00009D1C0000}"/>
    <cellStyle name="_Column4_Mis24_SDG FEV 3" xfId="7335" xr:uid="{00000000-0005-0000-0000-00009E1C0000}"/>
    <cellStyle name="_Column4_Mis24_Sheet1" xfId="7336" xr:uid="{00000000-0005-0000-0000-00009F1C0000}"/>
    <cellStyle name="_Column4_Mis24_Sheet1 (5)" xfId="7337" xr:uid="{00000000-0005-0000-0000-0000A01C0000}"/>
    <cellStyle name="_Column4_Mis24_Sheet2" xfId="7338" xr:uid="{00000000-0005-0000-0000-0000A11C0000}"/>
    <cellStyle name="_Column4_Mis24_Sheet3" xfId="7339" xr:uid="{00000000-0005-0000-0000-0000A21C0000}"/>
    <cellStyle name="_Column4_Mis24_Sim LE Full v2 (1o. Tri com Ene real) Organic " xfId="7340" xr:uid="{00000000-0005-0000-0000-0000A31C0000}"/>
    <cellStyle name="_Column4_Mis24_Sim LE Full v2 (1o. Tri com Ene real) Organic  2" xfId="7341" xr:uid="{00000000-0005-0000-0000-0000A41C0000}"/>
    <cellStyle name="_Column4_Mis24_Sim LE Full v2 (1o. Tri com Ene real) Organic  2 2" xfId="7342" xr:uid="{00000000-0005-0000-0000-0000A51C0000}"/>
    <cellStyle name="_Column4_Mis24_Sim LE Full v2 (1o. Tri com Ene real) Organic  3" xfId="7343" xr:uid="{00000000-0005-0000-0000-0000A61C0000}"/>
    <cellStyle name="_Column4_Mis24_Simulador EBITDA P1A09  V3" xfId="7344" xr:uid="{00000000-0005-0000-0000-0000A71C0000}"/>
    <cellStyle name="_Column4_Mis24_Simulador EBITDA P1A09  V3 2" xfId="7345" xr:uid="{00000000-0005-0000-0000-0000A81C0000}"/>
    <cellStyle name="_Column4_Mis24_Simulador EBITDA P1A09  V3 2 2" xfId="7346" xr:uid="{00000000-0005-0000-0000-0000A91C0000}"/>
    <cellStyle name="_Column4_Mis24_Simulador EBITDA P1A09  V3 3" xfId="7347" xr:uid="{00000000-0005-0000-0000-0000AA1C0000}"/>
    <cellStyle name="_Column4_Mis24_Simulador EBITDA P1A09  V3_CA ML" xfId="7348" xr:uid="{00000000-0005-0000-0000-0000AB1C0000}"/>
    <cellStyle name="_Column4_Mis24_Simulador EBITDA P1A09  V3_CA ML 2" xfId="7349" xr:uid="{00000000-0005-0000-0000-0000AC1C0000}"/>
    <cellStyle name="_Column4_Mis24_Simulador EBITDA P1A09  V3_CA ML 2 2" xfId="7350" xr:uid="{00000000-0005-0000-0000-0000AD1C0000}"/>
    <cellStyle name="_Column4_Mis24_Simulador EBITDA P1A09  V3_CA ML 3" xfId="7351" xr:uid="{00000000-0005-0000-0000-0000AE1C0000}"/>
    <cellStyle name="_Column4_Mis24_Simulador EBITDA P1A09  V3_CA ML_1" xfId="7352" xr:uid="{00000000-0005-0000-0000-0000AF1C0000}"/>
    <cellStyle name="_Column4_Mis24_Simulador EBITDA P1A09  V3_CA ML_1 2" xfId="7353" xr:uid="{00000000-0005-0000-0000-0000B01C0000}"/>
    <cellStyle name="_Column4_Mis24_Simulador EBITDA P1A09  V3_CA ML_1 2 2" xfId="7354" xr:uid="{00000000-0005-0000-0000-0000B11C0000}"/>
    <cellStyle name="_Column4_Mis24_Simulador EBITDA P1A09  V3_CA ML_1 3" xfId="7355" xr:uid="{00000000-0005-0000-0000-0000B21C0000}"/>
    <cellStyle name="_Column4_Mis24_Simulador EBITDA P1A09  V3_CA ML_2" xfId="7356" xr:uid="{00000000-0005-0000-0000-0000B31C0000}"/>
    <cellStyle name="_Column4_Mis24_Simulador EBITDA P1A09  V3_CA ML_2 2" xfId="7357" xr:uid="{00000000-0005-0000-0000-0000B41C0000}"/>
    <cellStyle name="_Column4_Mis24_Simulador EBITDA P1A09  V3_CA ML_2 2 2" xfId="7358" xr:uid="{00000000-0005-0000-0000-0000B51C0000}"/>
    <cellStyle name="_Column4_Mis24_Simulador EBITDA P1A09  V3_CA ML_2 3" xfId="7359" xr:uid="{00000000-0005-0000-0000-0000B61C0000}"/>
    <cellStyle name="_Column4_Mis24_Simulador EBITDA P1A09  V3_CA USD" xfId="7360" xr:uid="{00000000-0005-0000-0000-0000B71C0000}"/>
    <cellStyle name="_Column4_Mis24_Simulador EBITDA P1A09  V3_CA USD 2" xfId="7361" xr:uid="{00000000-0005-0000-0000-0000B81C0000}"/>
    <cellStyle name="_Column4_Mis24_Simulador EBITDA P1A09  V3_CA USD 2 2" xfId="7362" xr:uid="{00000000-0005-0000-0000-0000B91C0000}"/>
    <cellStyle name="_Column4_Mis24_Simulador EBITDA P1A09  V3_CA USD 3" xfId="7363" xr:uid="{00000000-0005-0000-0000-0000BA1C0000}"/>
    <cellStyle name="_Column4_Mis24_Simulador EBITDA P1A09  V3_EC ML" xfId="7364" xr:uid="{00000000-0005-0000-0000-0000BB1C0000}"/>
    <cellStyle name="_Column4_Mis24_Simulador EBITDA P1A09  V3_EC ML 2" xfId="7365" xr:uid="{00000000-0005-0000-0000-0000BC1C0000}"/>
    <cellStyle name="_Column4_Mis24_Simulador EBITDA P1A09  V3_EC ML 2 2" xfId="7366" xr:uid="{00000000-0005-0000-0000-0000BD1C0000}"/>
    <cellStyle name="_Column4_Mis24_Simulador EBITDA P1A09  V3_EC ML 3" xfId="7367" xr:uid="{00000000-0005-0000-0000-0000BE1C0000}"/>
    <cellStyle name="_Column4_Mis24_Simulador EBITDA P1A09  V3_EC ML_1" xfId="7368" xr:uid="{00000000-0005-0000-0000-0000BF1C0000}"/>
    <cellStyle name="_Column4_Mis24_Simulador EBITDA P1A09  V3_EC ML_1 2" xfId="7369" xr:uid="{00000000-0005-0000-0000-0000C01C0000}"/>
    <cellStyle name="_Column4_Mis24_Simulador EBITDA P1A09  V3_EC ML_1 2 2" xfId="7370" xr:uid="{00000000-0005-0000-0000-0000C11C0000}"/>
    <cellStyle name="_Column4_Mis24_Simulador EBITDA P1A09  V3_EC ML_1 3" xfId="7371" xr:uid="{00000000-0005-0000-0000-0000C21C0000}"/>
    <cellStyle name="_Column4_Mis24_Simulador EBITDA P1A09  V3_EC USD" xfId="7372" xr:uid="{00000000-0005-0000-0000-0000C31C0000}"/>
    <cellStyle name="_Column4_Mis24_Simulador EBITDA P1A09  V3_EC USD 2" xfId="7373" xr:uid="{00000000-0005-0000-0000-0000C41C0000}"/>
    <cellStyle name="_Column4_Mis24_Simulador EBITDA P1A09  V3_EC USD 2 2" xfId="7374" xr:uid="{00000000-0005-0000-0000-0000C51C0000}"/>
    <cellStyle name="_Column4_Mis24_Simulador EBITDA P1A09  V3_EC USD 3" xfId="7375" xr:uid="{00000000-0005-0000-0000-0000C61C0000}"/>
    <cellStyle name="_Column4_Mis24_Simulador EBITDA P1A09  V3_fx" xfId="7376" xr:uid="{00000000-0005-0000-0000-0000C71C0000}"/>
    <cellStyle name="_Column4_Mis24_Simulador EBITDA P1A09  V3_fx 2" xfId="7377" xr:uid="{00000000-0005-0000-0000-0000C81C0000}"/>
    <cellStyle name="_Column4_Mis24_Simulador EBITDA P1A09  V3_fx 2 2" xfId="7378" xr:uid="{00000000-0005-0000-0000-0000C91C0000}"/>
    <cellStyle name="_Column4_Mis24_Simulador EBITDA P1A09  V3_fx 3" xfId="7379" xr:uid="{00000000-0005-0000-0000-0000CA1C0000}"/>
    <cellStyle name="_Column4_Mis24_Simulador EBITDA P1A09  V3_PE ML" xfId="7380" xr:uid="{00000000-0005-0000-0000-0000CB1C0000}"/>
    <cellStyle name="_Column4_Mis24_Simulador EBITDA P1A09  V3_PE ML 2" xfId="7381" xr:uid="{00000000-0005-0000-0000-0000CC1C0000}"/>
    <cellStyle name="_Column4_Mis24_Simulador EBITDA P1A09  V3_PE ML 2 2" xfId="7382" xr:uid="{00000000-0005-0000-0000-0000CD1C0000}"/>
    <cellStyle name="_Column4_Mis24_Simulador EBITDA P1A09  V3_PE ML 3" xfId="7383" xr:uid="{00000000-0005-0000-0000-0000CE1C0000}"/>
    <cellStyle name="_Column4_Mis24_Simulador EBITDA P1A09  V3_PE ML_1" xfId="7384" xr:uid="{00000000-0005-0000-0000-0000CF1C0000}"/>
    <cellStyle name="_Column4_Mis24_Simulador EBITDA P1A09  V3_PE ML_1 2" xfId="7385" xr:uid="{00000000-0005-0000-0000-0000D01C0000}"/>
    <cellStyle name="_Column4_Mis24_Simulador EBITDA P1A09  V3_PE ML_1 2 2" xfId="7386" xr:uid="{00000000-0005-0000-0000-0000D11C0000}"/>
    <cellStyle name="_Column4_Mis24_Simulador EBITDA P1A09  V3_PE ML_1 3" xfId="7387" xr:uid="{00000000-0005-0000-0000-0000D21C0000}"/>
    <cellStyle name="_Column4_Mis24_Simulador EBITDA P1A09  V3_PE ML_2" xfId="7388" xr:uid="{00000000-0005-0000-0000-0000D31C0000}"/>
    <cellStyle name="_Column4_Mis24_Simulador EBITDA P1A09  V3_PE ML_2 2" xfId="7389" xr:uid="{00000000-0005-0000-0000-0000D41C0000}"/>
    <cellStyle name="_Column4_Mis24_Simulador EBITDA P1A09  V3_PE ML_2 2 2" xfId="7390" xr:uid="{00000000-0005-0000-0000-0000D51C0000}"/>
    <cellStyle name="_Column4_Mis24_Simulador EBITDA P1A09  V3_PE ML_2 3" xfId="7391" xr:uid="{00000000-0005-0000-0000-0000D61C0000}"/>
    <cellStyle name="_Column4_Mis24_Simulador EBITDA P1A09  V3_PE USD" xfId="7392" xr:uid="{00000000-0005-0000-0000-0000D71C0000}"/>
    <cellStyle name="_Column4_Mis24_Simulador EBITDA P1A09  V3_PE USD 2" xfId="7393" xr:uid="{00000000-0005-0000-0000-0000D81C0000}"/>
    <cellStyle name="_Column4_Mis24_Simulador EBITDA P1A09  V3_PE USD 2 2" xfId="7394" xr:uid="{00000000-0005-0000-0000-0000D91C0000}"/>
    <cellStyle name="_Column4_Mis24_Simulador EBITDA P1A09  V3_PE USD 3" xfId="7395" xr:uid="{00000000-0005-0000-0000-0000DA1C0000}"/>
    <cellStyle name="_Column4_Mis24_Simulador EBITDA P1A09  V3_RD ML" xfId="7396" xr:uid="{00000000-0005-0000-0000-0000DB1C0000}"/>
    <cellStyle name="_Column4_Mis24_Simulador EBITDA P1A09  V3_RD ML 2" xfId="7397" xr:uid="{00000000-0005-0000-0000-0000DC1C0000}"/>
    <cellStyle name="_Column4_Mis24_Simulador EBITDA P1A09  V3_RD ML 2 2" xfId="7398" xr:uid="{00000000-0005-0000-0000-0000DD1C0000}"/>
    <cellStyle name="_Column4_Mis24_Simulador EBITDA P1A09  V3_RD ML 3" xfId="7399" xr:uid="{00000000-0005-0000-0000-0000DE1C0000}"/>
    <cellStyle name="_Column4_Mis24_Simulador EBITDA P1A09  V3_RD ML_1" xfId="7400" xr:uid="{00000000-0005-0000-0000-0000DF1C0000}"/>
    <cellStyle name="_Column4_Mis24_Simulador EBITDA P1A09  V3_RD ML_1 2" xfId="7401" xr:uid="{00000000-0005-0000-0000-0000E01C0000}"/>
    <cellStyle name="_Column4_Mis24_Simulador EBITDA P1A09  V3_RD ML_1 2 2" xfId="7402" xr:uid="{00000000-0005-0000-0000-0000E11C0000}"/>
    <cellStyle name="_Column4_Mis24_Simulador EBITDA P1A09  V3_RD ML_1 3" xfId="7403" xr:uid="{00000000-0005-0000-0000-0000E21C0000}"/>
    <cellStyle name="_Column4_Mis24_Simulador EBITDA P1A09  V3_RD ML_2" xfId="7404" xr:uid="{00000000-0005-0000-0000-0000E31C0000}"/>
    <cellStyle name="_Column4_Mis24_Simulador EBITDA P1A09  V3_RD ML_2 2" xfId="7405" xr:uid="{00000000-0005-0000-0000-0000E41C0000}"/>
    <cellStyle name="_Column4_Mis24_Simulador EBITDA P1A09  V3_RD ML_2 2 2" xfId="7406" xr:uid="{00000000-0005-0000-0000-0000E51C0000}"/>
    <cellStyle name="_Column4_Mis24_Simulador EBITDA P1A09  V3_RD ML_2 3" xfId="7407" xr:uid="{00000000-0005-0000-0000-0000E61C0000}"/>
    <cellStyle name="_Column4_Mis24_Simulador EBITDA P1A09  V3_RD USD" xfId="7408" xr:uid="{00000000-0005-0000-0000-0000E71C0000}"/>
    <cellStyle name="_Column4_Mis24_Simulador EBITDA P1A09  V3_RD USD 2" xfId="7409" xr:uid="{00000000-0005-0000-0000-0000E81C0000}"/>
    <cellStyle name="_Column4_Mis24_Simulador EBITDA P1A09  V3_RD USD 2 2" xfId="7410" xr:uid="{00000000-0005-0000-0000-0000E91C0000}"/>
    <cellStyle name="_Column4_Mis24_Simulador EBITDA P1A09  V3_RD USD 3" xfId="7411" xr:uid="{00000000-0005-0000-0000-0000EA1C0000}"/>
    <cellStyle name="_Column4_Mis24_Simulador Precio GT 2009 V_Fernando" xfId="7412" xr:uid="{00000000-0005-0000-0000-0000EB1C0000}"/>
    <cellStyle name="_Column4_Mis24_Simulador Precio GT 2009 V_Fernando 2" xfId="7413" xr:uid="{00000000-0005-0000-0000-0000EC1C0000}"/>
    <cellStyle name="_Column4_Mis24_Simulador Precio GT 2009 V_Fernando 2 2" xfId="7414" xr:uid="{00000000-0005-0000-0000-0000ED1C0000}"/>
    <cellStyle name="_Column4_Mis24_Simulador Precio GT 2009 V_Fernando 3" xfId="7415" xr:uid="{00000000-0005-0000-0000-0000EE1C0000}"/>
    <cellStyle name="_Column4_Mis24_Simulador Precio GT 2009 V_Fernando_CA ML" xfId="7416" xr:uid="{00000000-0005-0000-0000-0000EF1C0000}"/>
    <cellStyle name="_Column4_Mis24_Simulador Precio GT 2009 V_Fernando_CA ML 2" xfId="7417" xr:uid="{00000000-0005-0000-0000-0000F01C0000}"/>
    <cellStyle name="_Column4_Mis24_Simulador Precio GT 2009 V_Fernando_CA ML 2 2" xfId="7418" xr:uid="{00000000-0005-0000-0000-0000F11C0000}"/>
    <cellStyle name="_Column4_Mis24_Simulador Precio GT 2009 V_Fernando_CA ML 3" xfId="7419" xr:uid="{00000000-0005-0000-0000-0000F21C0000}"/>
    <cellStyle name="_Column4_Mis24_Simulador Precio GT 2009 V_Fernando_CA ML_1" xfId="7420" xr:uid="{00000000-0005-0000-0000-0000F31C0000}"/>
    <cellStyle name="_Column4_Mis24_Simulador Precio GT 2009 V_Fernando_CA ML_1 2" xfId="7421" xr:uid="{00000000-0005-0000-0000-0000F41C0000}"/>
    <cellStyle name="_Column4_Mis24_Simulador Precio GT 2009 V_Fernando_CA ML_1 2 2" xfId="7422" xr:uid="{00000000-0005-0000-0000-0000F51C0000}"/>
    <cellStyle name="_Column4_Mis24_Simulador Precio GT 2009 V_Fernando_CA ML_1 3" xfId="7423" xr:uid="{00000000-0005-0000-0000-0000F61C0000}"/>
    <cellStyle name="_Column4_Mis24_Simulador Precio GT 2009 V_Fernando_CA ML_2" xfId="7424" xr:uid="{00000000-0005-0000-0000-0000F71C0000}"/>
    <cellStyle name="_Column4_Mis24_Simulador Precio GT 2009 V_Fernando_CA ML_2 2" xfId="7425" xr:uid="{00000000-0005-0000-0000-0000F81C0000}"/>
    <cellStyle name="_Column4_Mis24_Simulador Precio GT 2009 V_Fernando_CA ML_2 2 2" xfId="7426" xr:uid="{00000000-0005-0000-0000-0000F91C0000}"/>
    <cellStyle name="_Column4_Mis24_Simulador Precio GT 2009 V_Fernando_CA ML_2 3" xfId="7427" xr:uid="{00000000-0005-0000-0000-0000FA1C0000}"/>
    <cellStyle name="_Column4_Mis24_Simulador Precio GT 2009 V_Fernando_CA USD" xfId="7428" xr:uid="{00000000-0005-0000-0000-0000FB1C0000}"/>
    <cellStyle name="_Column4_Mis24_Simulador Precio GT 2009 V_Fernando_CA USD 2" xfId="7429" xr:uid="{00000000-0005-0000-0000-0000FC1C0000}"/>
    <cellStyle name="_Column4_Mis24_Simulador Precio GT 2009 V_Fernando_CA USD 2 2" xfId="7430" xr:uid="{00000000-0005-0000-0000-0000FD1C0000}"/>
    <cellStyle name="_Column4_Mis24_Simulador Precio GT 2009 V_Fernando_CA USD 3" xfId="7431" xr:uid="{00000000-0005-0000-0000-0000FE1C0000}"/>
    <cellStyle name="_Column4_Mis24_Simulador Precio GT 2009 V_Fernando_Conciliacao 1" xfId="7432" xr:uid="{00000000-0005-0000-0000-0000FF1C0000}"/>
    <cellStyle name="_Column4_Mis24_Simulador Precio GT 2009 V_Fernando_Conciliacao 1 2" xfId="7433" xr:uid="{00000000-0005-0000-0000-0000001D0000}"/>
    <cellStyle name="_Column4_Mis24_Simulador Precio GT 2009 V_Fernando_Conciliacao 1 2 2" xfId="7434" xr:uid="{00000000-0005-0000-0000-0000011D0000}"/>
    <cellStyle name="_Column4_Mis24_Simulador Precio GT 2009 V_Fernando_Conciliacao 1 3" xfId="7435" xr:uid="{00000000-0005-0000-0000-0000021D0000}"/>
    <cellStyle name="_Column4_Mis24_Simulador Precio GT 2009 V_Fernando_EC ML" xfId="7436" xr:uid="{00000000-0005-0000-0000-0000031D0000}"/>
    <cellStyle name="_Column4_Mis24_Simulador Precio GT 2009 V_Fernando_EC ML 2" xfId="7437" xr:uid="{00000000-0005-0000-0000-0000041D0000}"/>
    <cellStyle name="_Column4_Mis24_Simulador Precio GT 2009 V_Fernando_EC ML 2 2" xfId="7438" xr:uid="{00000000-0005-0000-0000-0000051D0000}"/>
    <cellStyle name="_Column4_Mis24_Simulador Precio GT 2009 V_Fernando_EC ML 3" xfId="7439" xr:uid="{00000000-0005-0000-0000-0000061D0000}"/>
    <cellStyle name="_Column4_Mis24_Simulador Precio GT 2009 V_Fernando_EC ML_1" xfId="7440" xr:uid="{00000000-0005-0000-0000-0000071D0000}"/>
    <cellStyle name="_Column4_Mis24_Simulador Precio GT 2009 V_Fernando_EC ML_1 2" xfId="7441" xr:uid="{00000000-0005-0000-0000-0000081D0000}"/>
    <cellStyle name="_Column4_Mis24_Simulador Precio GT 2009 V_Fernando_EC ML_1 2 2" xfId="7442" xr:uid="{00000000-0005-0000-0000-0000091D0000}"/>
    <cellStyle name="_Column4_Mis24_Simulador Precio GT 2009 V_Fernando_EC ML_1 3" xfId="7443" xr:uid="{00000000-0005-0000-0000-00000A1D0000}"/>
    <cellStyle name="_Column4_Mis24_Simulador Precio GT 2009 V_Fernando_EC USD" xfId="7444" xr:uid="{00000000-0005-0000-0000-00000B1D0000}"/>
    <cellStyle name="_Column4_Mis24_Simulador Precio GT 2009 V_Fernando_EC USD 2" xfId="7445" xr:uid="{00000000-0005-0000-0000-00000C1D0000}"/>
    <cellStyle name="_Column4_Mis24_Simulador Precio GT 2009 V_Fernando_EC USD 2 2" xfId="7446" xr:uid="{00000000-0005-0000-0000-00000D1D0000}"/>
    <cellStyle name="_Column4_Mis24_Simulador Precio GT 2009 V_Fernando_EC USD 3" xfId="7447" xr:uid="{00000000-0005-0000-0000-00000E1D0000}"/>
    <cellStyle name="_Column4_Mis24_Simulador Precio GT 2009 V_Fernando_fx" xfId="7448" xr:uid="{00000000-0005-0000-0000-00000F1D0000}"/>
    <cellStyle name="_Column4_Mis24_Simulador Precio GT 2009 V_Fernando_fx 2" xfId="7449" xr:uid="{00000000-0005-0000-0000-0000101D0000}"/>
    <cellStyle name="_Column4_Mis24_Simulador Precio GT 2009 V_Fernando_fx 2 2" xfId="7450" xr:uid="{00000000-0005-0000-0000-0000111D0000}"/>
    <cellStyle name="_Column4_Mis24_Simulador Precio GT 2009 V_Fernando_fx 3" xfId="7451" xr:uid="{00000000-0005-0000-0000-0000121D0000}"/>
    <cellStyle name="_Column4_Mis24_Simulador Precio GT 2009 V_Fernando_Pasta2" xfId="7452" xr:uid="{00000000-0005-0000-0000-0000131D0000}"/>
    <cellStyle name="_Column4_Mis24_Simulador Precio GT 2009 V_Fernando_Pasta2 2" xfId="7453" xr:uid="{00000000-0005-0000-0000-0000141D0000}"/>
    <cellStyle name="_Column4_Mis24_Simulador Precio GT 2009 V_Fernando_Pasta2 2 2" xfId="7454" xr:uid="{00000000-0005-0000-0000-0000151D0000}"/>
    <cellStyle name="_Column4_Mis24_Simulador Precio GT 2009 V_Fernando_Pasta2 3" xfId="7455" xr:uid="{00000000-0005-0000-0000-0000161D0000}"/>
    <cellStyle name="_Column4_Mis24_Simulador Precio GT 2009 V_Fernando_PE ML" xfId="7456" xr:uid="{00000000-0005-0000-0000-0000171D0000}"/>
    <cellStyle name="_Column4_Mis24_Simulador Precio GT 2009 V_Fernando_PE ML 2" xfId="7457" xr:uid="{00000000-0005-0000-0000-0000181D0000}"/>
    <cellStyle name="_Column4_Mis24_Simulador Precio GT 2009 V_Fernando_PE ML 2 2" xfId="7458" xr:uid="{00000000-0005-0000-0000-0000191D0000}"/>
    <cellStyle name="_Column4_Mis24_Simulador Precio GT 2009 V_Fernando_PE ML 3" xfId="7459" xr:uid="{00000000-0005-0000-0000-00001A1D0000}"/>
    <cellStyle name="_Column4_Mis24_Simulador Precio GT 2009 V_Fernando_PE ML_1" xfId="7460" xr:uid="{00000000-0005-0000-0000-00001B1D0000}"/>
    <cellStyle name="_Column4_Mis24_Simulador Precio GT 2009 V_Fernando_PE ML_1 2" xfId="7461" xr:uid="{00000000-0005-0000-0000-00001C1D0000}"/>
    <cellStyle name="_Column4_Mis24_Simulador Precio GT 2009 V_Fernando_PE ML_1 2 2" xfId="7462" xr:uid="{00000000-0005-0000-0000-00001D1D0000}"/>
    <cellStyle name="_Column4_Mis24_Simulador Precio GT 2009 V_Fernando_PE ML_1 3" xfId="7463" xr:uid="{00000000-0005-0000-0000-00001E1D0000}"/>
    <cellStyle name="_Column4_Mis24_Simulador Precio GT 2009 V_Fernando_PE ML_2" xfId="7464" xr:uid="{00000000-0005-0000-0000-00001F1D0000}"/>
    <cellStyle name="_Column4_Mis24_Simulador Precio GT 2009 V_Fernando_PE ML_2 2" xfId="7465" xr:uid="{00000000-0005-0000-0000-0000201D0000}"/>
    <cellStyle name="_Column4_Mis24_Simulador Precio GT 2009 V_Fernando_PE ML_2 2 2" xfId="7466" xr:uid="{00000000-0005-0000-0000-0000211D0000}"/>
    <cellStyle name="_Column4_Mis24_Simulador Precio GT 2009 V_Fernando_PE ML_2 3" xfId="7467" xr:uid="{00000000-0005-0000-0000-0000221D0000}"/>
    <cellStyle name="_Column4_Mis24_Simulador Precio GT 2009 V_Fernando_PE USD" xfId="7468" xr:uid="{00000000-0005-0000-0000-0000231D0000}"/>
    <cellStyle name="_Column4_Mis24_Simulador Precio GT 2009 V_Fernando_PE USD 2" xfId="7469" xr:uid="{00000000-0005-0000-0000-0000241D0000}"/>
    <cellStyle name="_Column4_Mis24_Simulador Precio GT 2009 V_Fernando_PE USD 2 2" xfId="7470" xr:uid="{00000000-0005-0000-0000-0000251D0000}"/>
    <cellStyle name="_Column4_Mis24_Simulador Precio GT 2009 V_Fernando_PE USD 3" xfId="7471" xr:uid="{00000000-0005-0000-0000-0000261D0000}"/>
    <cellStyle name="_Column4_Mis24_Simulador Precio GT 2009 V_Fernando_RD ML" xfId="7472" xr:uid="{00000000-0005-0000-0000-0000271D0000}"/>
    <cellStyle name="_Column4_Mis24_Simulador Precio GT 2009 V_Fernando_RD ML 2" xfId="7473" xr:uid="{00000000-0005-0000-0000-0000281D0000}"/>
    <cellStyle name="_Column4_Mis24_Simulador Precio GT 2009 V_Fernando_RD ML 2 2" xfId="7474" xr:uid="{00000000-0005-0000-0000-0000291D0000}"/>
    <cellStyle name="_Column4_Mis24_Simulador Precio GT 2009 V_Fernando_RD ML 3" xfId="7475" xr:uid="{00000000-0005-0000-0000-00002A1D0000}"/>
    <cellStyle name="_Column4_Mis24_Simulador Precio GT 2009 V_Fernando_RD ML_1" xfId="7476" xr:uid="{00000000-0005-0000-0000-00002B1D0000}"/>
    <cellStyle name="_Column4_Mis24_Simulador Precio GT 2009 V_Fernando_RD ML_1 2" xfId="7477" xr:uid="{00000000-0005-0000-0000-00002C1D0000}"/>
    <cellStyle name="_Column4_Mis24_Simulador Precio GT 2009 V_Fernando_RD ML_1 2 2" xfId="7478" xr:uid="{00000000-0005-0000-0000-00002D1D0000}"/>
    <cellStyle name="_Column4_Mis24_Simulador Precio GT 2009 V_Fernando_RD ML_1 3" xfId="7479" xr:uid="{00000000-0005-0000-0000-00002E1D0000}"/>
    <cellStyle name="_Column4_Mis24_Simulador Precio GT 2009 V_Fernando_RD ML_2" xfId="7480" xr:uid="{00000000-0005-0000-0000-00002F1D0000}"/>
    <cellStyle name="_Column4_Mis24_Simulador Precio GT 2009 V_Fernando_RD ML_2 2" xfId="7481" xr:uid="{00000000-0005-0000-0000-0000301D0000}"/>
    <cellStyle name="_Column4_Mis24_Simulador Precio GT 2009 V_Fernando_RD ML_2 2 2" xfId="7482" xr:uid="{00000000-0005-0000-0000-0000311D0000}"/>
    <cellStyle name="_Column4_Mis24_Simulador Precio GT 2009 V_Fernando_RD ML_2 3" xfId="7483" xr:uid="{00000000-0005-0000-0000-0000321D0000}"/>
    <cellStyle name="_Column4_Mis24_Simulador Precio GT 2009 V_Fernando_RD USD" xfId="7484" xr:uid="{00000000-0005-0000-0000-0000331D0000}"/>
    <cellStyle name="_Column4_Mis24_Simulador Precio GT 2009 V_Fernando_RD USD 2" xfId="7485" xr:uid="{00000000-0005-0000-0000-0000341D0000}"/>
    <cellStyle name="_Column4_Mis24_Simulador Precio GT 2009 V_Fernando_RD USD 2 2" xfId="7486" xr:uid="{00000000-0005-0000-0000-0000351D0000}"/>
    <cellStyle name="_Column4_Mis24_Simulador Precio GT 2009 V_Fernando_RD USD 3" xfId="7487" xr:uid="{00000000-0005-0000-0000-0000361D0000}"/>
    <cellStyle name="_Column4_Mis24_Simulador Precio GT 2009 V_Fernando_Riesgos - Oportunidades" xfId="7488" xr:uid="{00000000-0005-0000-0000-0000371D0000}"/>
    <cellStyle name="_Column4_Mis24_Simulador Precio GT 2009 V_Fernando_Riesgos - Oportunidades 2" xfId="7489" xr:uid="{00000000-0005-0000-0000-0000381D0000}"/>
    <cellStyle name="_Column4_Mis24_Simulador Precio GT 2009 V_Fernando_Riesgos - Oportunidades 2 2" xfId="7490" xr:uid="{00000000-0005-0000-0000-0000391D0000}"/>
    <cellStyle name="_Column4_Mis24_Simulador Precio GT 2009 V_Fernando_Riesgos - Oportunidades 3" xfId="7491" xr:uid="{00000000-0005-0000-0000-00003A1D0000}"/>
    <cellStyle name="_Column4_Mis24_Simulador Precio GT 2009 V_Fernando_SDG FEV" xfId="7492" xr:uid="{00000000-0005-0000-0000-00003B1D0000}"/>
    <cellStyle name="_Column4_Mis24_Simulador Precio GT 2009 V_Fernando_SDG FEV 2" xfId="7493" xr:uid="{00000000-0005-0000-0000-00003C1D0000}"/>
    <cellStyle name="_Column4_Mis24_Simulador Precio GT 2009 V_Fernando_SDG FEV 2 2" xfId="7494" xr:uid="{00000000-0005-0000-0000-00003D1D0000}"/>
    <cellStyle name="_Column4_Mis24_Simulador Precio GT 2009 V_Fernando_SDG FEV 3" xfId="7495" xr:uid="{00000000-0005-0000-0000-00003E1D0000}"/>
    <cellStyle name="_Column4_Mis24_Simulador Precio GT 2009 V_Fernando_Sim LE Full v2 (1o. Tri com Ene real) Organic " xfId="7496" xr:uid="{00000000-0005-0000-0000-00003F1D0000}"/>
    <cellStyle name="_Column4_Mis24_Simulador Precio GT 2009 V_Fernando_Sim LE Full v2 (1o. Tri com Ene real) Organic  2" xfId="7497" xr:uid="{00000000-0005-0000-0000-0000401D0000}"/>
    <cellStyle name="_Column4_Mis24_Simulador Precio GT 2009 V_Fernando_Sim LE Full v2 (1o. Tri com Ene real) Organic  2 2" xfId="7498" xr:uid="{00000000-0005-0000-0000-0000411D0000}"/>
    <cellStyle name="_Column4_Mis24_Simulador Precio GT 2009 V_Fernando_Sim LE Full v2 (1o. Tri com Ene real) Organic  3" xfId="7499" xr:uid="{00000000-0005-0000-0000-0000421D0000}"/>
    <cellStyle name="_Column4_Mis24_Simulador Precio GT 2009 V_Fernando_SIMULADOR RDV6!" xfId="7500" xr:uid="{00000000-0005-0000-0000-0000431D0000}"/>
    <cellStyle name="_Column4_Mis24_Simulador Precio GT 2009 V_Fernando_SIMULADOR RDV6! 2" xfId="7501" xr:uid="{00000000-0005-0000-0000-0000441D0000}"/>
    <cellStyle name="_Column4_Mis24_Simulador Precio GT 2009 V_Fernando_SIMULADOR RDV6! 2 2" xfId="7502" xr:uid="{00000000-0005-0000-0000-0000451D0000}"/>
    <cellStyle name="_Column4_Mis24_Simulador Precio GT 2009 V_Fernando_SIMULADOR RDV6! 3" xfId="7503" xr:uid="{00000000-0005-0000-0000-0000461D0000}"/>
    <cellStyle name="_Column4_Mis24_Simulador Precio GT 2009 V_Fernando_TENDENCIA V0309" xfId="7504" xr:uid="{00000000-0005-0000-0000-0000471D0000}"/>
    <cellStyle name="_Column4_Mis24_Simulador Precio GT 2009 V_Fernando_TENDENCIA V0309 2" xfId="7505" xr:uid="{00000000-0005-0000-0000-0000481D0000}"/>
    <cellStyle name="_Column4_Mis24_Simulador Precio GT 2009 V_Fernando_TENDENCIA V0309 2 2" xfId="7506" xr:uid="{00000000-0005-0000-0000-0000491D0000}"/>
    <cellStyle name="_Column4_Mis24_Simulador Precio GT 2009 V_Fernando_TENDENCIA V0309 3" xfId="7507" xr:uid="{00000000-0005-0000-0000-00004A1D0000}"/>
    <cellStyle name="_Column4_Mis24_Simulador Precio GT 2009 V_Fernando_TENDENCIA V0409" xfId="7508" xr:uid="{00000000-0005-0000-0000-00004B1D0000}"/>
    <cellStyle name="_Column4_Mis24_Simulador Precio GT 2009 V_Fernando_TENDENCIA V0409 2" xfId="7509" xr:uid="{00000000-0005-0000-0000-00004C1D0000}"/>
    <cellStyle name="_Column4_Mis24_Simulador Precio GT 2009 V_Fernando_TENDENCIA V0409 2 2" xfId="7510" xr:uid="{00000000-0005-0000-0000-00004D1D0000}"/>
    <cellStyle name="_Column4_Mis24_Simulador Precio GT 2009 V_Fernando_TENDENCIA V0409 3" xfId="7511" xr:uid="{00000000-0005-0000-0000-00004E1D0000}"/>
    <cellStyle name="_Column4_Mis24_Simulador Precio GT 2009 V_Fernando_TENDENCIA V2" xfId="7512" xr:uid="{00000000-0005-0000-0000-00004F1D0000}"/>
    <cellStyle name="_Column4_Mis24_Simulador Precio GT 2009 V_Fernando_TENDENCIA V2 2" xfId="7513" xr:uid="{00000000-0005-0000-0000-0000501D0000}"/>
    <cellStyle name="_Column4_Mis24_Simulador Precio GT 2009 V_Fernando_TENDENCIA V2 2 2" xfId="7514" xr:uid="{00000000-0005-0000-0000-0000511D0000}"/>
    <cellStyle name="_Column4_Mis24_Simulador Precio GT 2009 V_Fernando_TENDENCIA V2 3" xfId="7515" xr:uid="{00000000-0005-0000-0000-0000521D0000}"/>
    <cellStyle name="_Column4_Mis24_Simulador Precio GT 2009 V_Fernando_TENDENCIA0709 " xfId="7516" xr:uid="{00000000-0005-0000-0000-0000531D0000}"/>
    <cellStyle name="_Column4_Mis24_Simulador Precio GT 2009 V_Fernando_TENDENCIA0709  2" xfId="7517" xr:uid="{00000000-0005-0000-0000-0000541D0000}"/>
    <cellStyle name="_Column4_Mis24_Simulador Precio GT 2009 V_Fernando_TENDENCIA0709  2 2" xfId="7518" xr:uid="{00000000-0005-0000-0000-0000551D0000}"/>
    <cellStyle name="_Column4_Mis24_Simulador Precio GT 2009 V_Fernando_TENDENCIA0709  3" xfId="7519" xr:uid="{00000000-0005-0000-0000-0000561D0000}"/>
    <cellStyle name="_Column4_Mis24_Simulador Precio GT 2009 V_Fernando_TENDENCIA0909 " xfId="7520" xr:uid="{00000000-0005-0000-0000-0000571D0000}"/>
    <cellStyle name="_Column4_Mis24_Simulador Precio GT 2009 V_Fernando_TENDENCIA0909  2" xfId="7521" xr:uid="{00000000-0005-0000-0000-0000581D0000}"/>
    <cellStyle name="_Column4_Mis24_Simulador Precio GT 2009 V_Fernando_TENDENCIA0909  2 2" xfId="7522" xr:uid="{00000000-0005-0000-0000-0000591D0000}"/>
    <cellStyle name="_Column4_Mis24_Simulador Precio GT 2009 V_Fernando_TENDENCIA0909  3" xfId="7523" xr:uid="{00000000-0005-0000-0000-00005A1D0000}"/>
    <cellStyle name="_Column4_Mis24_Sm Proj Cash Flow" xfId="7524" xr:uid="{00000000-0005-0000-0000-00005B1D0000}"/>
    <cellStyle name="_Column4_Mis24_Spend Detail" xfId="7525" xr:uid="{00000000-0005-0000-0000-00005C1D0000}"/>
    <cellStyle name="_Column4_Mis24_status" xfId="7526" xr:uid="{00000000-0005-0000-0000-00005D1D0000}"/>
    <cellStyle name="_Column4_Mis25" xfId="7527" xr:uid="{00000000-0005-0000-0000-00005E1D0000}"/>
    <cellStyle name="_Column4_Mis25 2" xfId="7528" xr:uid="{00000000-0005-0000-0000-00005F1D0000}"/>
    <cellStyle name="_Column4_Mis25 3" xfId="7529" xr:uid="{00000000-0005-0000-0000-0000601D0000}"/>
    <cellStyle name="_Column4_Mis25 3 2" xfId="7530" xr:uid="{00000000-0005-0000-0000-0000611D0000}"/>
    <cellStyle name="_Column4_Mis25 3 3" xfId="7531" xr:uid="{00000000-0005-0000-0000-0000621D0000}"/>
    <cellStyle name="_Column4_Mis25 3 3 2" xfId="7532" xr:uid="{00000000-0005-0000-0000-0000631D0000}"/>
    <cellStyle name="_Column4_Mis25 4" xfId="7533" xr:uid="{00000000-0005-0000-0000-0000641D0000}"/>
    <cellStyle name="_Column4_Mis25 4 2" xfId="7534" xr:uid="{00000000-0005-0000-0000-0000651D0000}"/>
    <cellStyle name="_Column4_Mis25_Sheet5" xfId="7535" xr:uid="{00000000-0005-0000-0000-0000661D0000}"/>
    <cellStyle name="_Column4_MIS3" xfId="7536" xr:uid="{00000000-0005-0000-0000-0000671D0000}"/>
    <cellStyle name="_Column4_MIS3 2" xfId="7537" xr:uid="{00000000-0005-0000-0000-0000681D0000}"/>
    <cellStyle name="_Column4_MIS3 2 2" xfId="7538" xr:uid="{00000000-0005-0000-0000-0000691D0000}"/>
    <cellStyle name="_Column4_MIS3 2 2 2" xfId="7539" xr:uid="{00000000-0005-0000-0000-00006A1D0000}"/>
    <cellStyle name="_Column4_MIS3 2 3" xfId="7540" xr:uid="{00000000-0005-0000-0000-00006B1D0000}"/>
    <cellStyle name="_Column4_MIS3 2 3 2" xfId="7541" xr:uid="{00000000-0005-0000-0000-00006C1D0000}"/>
    <cellStyle name="_Column4_MIS3 2 3 3" xfId="7542" xr:uid="{00000000-0005-0000-0000-00006D1D0000}"/>
    <cellStyle name="_Column4_MIS3 2 4" xfId="7543" xr:uid="{00000000-0005-0000-0000-00006E1D0000}"/>
    <cellStyle name="_Column4_MIS3 2 5" xfId="7544" xr:uid="{00000000-0005-0000-0000-00006F1D0000}"/>
    <cellStyle name="_Column4_MIS3 3" xfId="7545" xr:uid="{00000000-0005-0000-0000-0000701D0000}"/>
    <cellStyle name="_Column4_MIS3 3 2" xfId="7546" xr:uid="{00000000-0005-0000-0000-0000711D0000}"/>
    <cellStyle name="_Column4_MIS3 3 3" xfId="7547" xr:uid="{00000000-0005-0000-0000-0000721D0000}"/>
    <cellStyle name="_Column4_MIS3 3 3 2" xfId="7548" xr:uid="{00000000-0005-0000-0000-0000731D0000}"/>
    <cellStyle name="_Column4_MIS3 4" xfId="7549" xr:uid="{00000000-0005-0000-0000-0000741D0000}"/>
    <cellStyle name="_Column4_MIS3 4 2" xfId="7550" xr:uid="{00000000-0005-0000-0000-0000751D0000}"/>
    <cellStyle name="_Column4_MIS3 4 3" xfId="7551" xr:uid="{00000000-0005-0000-0000-0000761D0000}"/>
    <cellStyle name="_Column4_MIS3 5" xfId="7552" xr:uid="{00000000-0005-0000-0000-0000771D0000}"/>
    <cellStyle name="_Column4_MIS3 6" xfId="7553" xr:uid="{00000000-0005-0000-0000-0000781D0000}"/>
    <cellStyle name="_Column4_MIS3_Sheet1" xfId="7554" xr:uid="{00000000-0005-0000-0000-0000791D0000}"/>
    <cellStyle name="_Column4_MIS3_Sm Proj Cash Flow" xfId="7555" xr:uid="{00000000-0005-0000-0000-00007A1D0000}"/>
    <cellStyle name="_Column4_MIS3_Spend Detail" xfId="7556" xr:uid="{00000000-0005-0000-0000-00007B1D0000}"/>
    <cellStyle name="_Column4_MIS3_SustainingProjectList" xfId="7557" xr:uid="{00000000-0005-0000-0000-00007C1D0000}"/>
    <cellStyle name="_Column4_MIS4" xfId="7558" xr:uid="{00000000-0005-0000-0000-00007D1D0000}"/>
    <cellStyle name="_Column4_MIS4_1" xfId="7559" xr:uid="{00000000-0005-0000-0000-00007E1D0000}"/>
    <cellStyle name="_Column4_MIS4_1_packaging" xfId="7560" xr:uid="{00000000-0005-0000-0000-00007F1D0000}"/>
    <cellStyle name="_Column4_MIS4_Sheet5" xfId="7561" xr:uid="{00000000-0005-0000-0000-0000801D0000}"/>
    <cellStyle name="_Column4_MIS5" xfId="7562" xr:uid="{00000000-0005-0000-0000-0000811D0000}"/>
    <cellStyle name="_Column4_MIS5_1" xfId="7563" xr:uid="{00000000-0005-0000-0000-0000821D0000}"/>
    <cellStyle name="_Column4_MIS5_1_packaging" xfId="7564" xr:uid="{00000000-0005-0000-0000-0000831D0000}"/>
    <cellStyle name="_Column4_MIS7" xfId="7565" xr:uid="{00000000-0005-0000-0000-0000841D0000}"/>
    <cellStyle name="_Column4_MIS7_Sheet5" xfId="7566" xr:uid="{00000000-0005-0000-0000-0000851D0000}"/>
    <cellStyle name="_Column4_MIS9" xfId="7567" xr:uid="{00000000-0005-0000-0000-0000861D0000}"/>
    <cellStyle name="_Column4_MIS9 2" xfId="7568" xr:uid="{00000000-0005-0000-0000-0000871D0000}"/>
    <cellStyle name="_Column4_MIS9_Anlagenbelegung Auswertung SKU pro Linie 2006-07-25 -ÜB." xfId="7569" xr:uid="{00000000-0005-0000-0000-0000881D0000}"/>
    <cellStyle name="_Column4_MIS9_Sheet5" xfId="7570" xr:uid="{00000000-0005-0000-0000-0000891D0000}"/>
    <cellStyle name="_Column4_Mkt marzo" xfId="7571" xr:uid="{00000000-0005-0000-0000-00008A1D0000}"/>
    <cellStyle name="_Column4_Netherlands" xfId="7572" xr:uid="{00000000-0005-0000-0000-00008B1D0000}"/>
    <cellStyle name="_Column4_NNT_LE'08_1605vsBGT'09_1713" xfId="7573" xr:uid="{00000000-0005-0000-0000-00008C1D0000}"/>
    <cellStyle name="_Column4_NNT_LE'08_1605vsBGT'09_1713 2" xfId="7574" xr:uid="{00000000-0005-0000-0000-00008D1D0000}"/>
    <cellStyle name="_Column4_NNT_LE'08_1605vsBGT'09_1713 3" xfId="7575" xr:uid="{00000000-0005-0000-0000-00008E1D0000}"/>
    <cellStyle name="_Column4_NNT_LE'08_1605vsBGT'09_1713 3 2" xfId="7576" xr:uid="{00000000-0005-0000-0000-00008F1D0000}"/>
    <cellStyle name="_Column4_NNT_LE'08_1605vsBGT'09_1713 3 3" xfId="7577" xr:uid="{00000000-0005-0000-0000-0000901D0000}"/>
    <cellStyle name="_Column4_NNT_LE'08_1605vsBGT'09_1713 3 3 2" xfId="7578" xr:uid="{00000000-0005-0000-0000-0000911D0000}"/>
    <cellStyle name="_Column4_NNT_LE'08_1605vsBGT'09_1713 4" xfId="7579" xr:uid="{00000000-0005-0000-0000-0000921D0000}"/>
    <cellStyle name="_Column4_NNT_LE'08_1605vsBGT'09_1713 4 2" xfId="7580" xr:uid="{00000000-0005-0000-0000-0000931D0000}"/>
    <cellStyle name="_Column4_Non bev sales income" xfId="7581" xr:uid="{00000000-0005-0000-0000-0000941D0000}"/>
    <cellStyle name="_Column4_Non bev. sales income" xfId="7582" xr:uid="{00000000-0005-0000-0000-0000951D0000}"/>
    <cellStyle name="_Column4_Novi Visibility za Sales_2005" xfId="7583" xr:uid="{00000000-0005-0000-0000-0000961D0000}"/>
    <cellStyle name="_Column4_Novi Visibility za Sales_2005 2" xfId="7584" xr:uid="{00000000-0005-0000-0000-0000971D0000}"/>
    <cellStyle name="_Column4_Nuove sku" xfId="7585" xr:uid="{00000000-0005-0000-0000-0000981D0000}"/>
    <cellStyle name="_Column4_Off T. marzo" xfId="7586" xr:uid="{00000000-0005-0000-0000-0000991D0000}"/>
    <cellStyle name="_Column4_OFF TRADE Volumi e maco Bdg 2007 by LUCA" xfId="7587" xr:uid="{00000000-0005-0000-0000-00009A1D0000}"/>
    <cellStyle name="_Column4_OFF TRADE_MACO 2006" xfId="7588" xr:uid="{00000000-0005-0000-0000-00009B1D0000}"/>
    <cellStyle name="_Column4_OFF TRADE_MACO 2006_BB (2)" xfId="7589" xr:uid="{00000000-0005-0000-0000-00009C1D0000}"/>
    <cellStyle name="_Column4_OFF TRADE_MACO 2006_C00200" xfId="7590" xr:uid="{00000000-0005-0000-0000-00009D1D0000}"/>
    <cellStyle name="_Column4_OFF TRADE_MACO 2006_C00210" xfId="7591" xr:uid="{00000000-0005-0000-0000-00009E1D0000}"/>
    <cellStyle name="_Column4_OFF TRADE_MACO 2006_C00300" xfId="7592" xr:uid="{00000000-0005-0000-0000-00009F1D0000}"/>
    <cellStyle name="_Column4_OFF TRADE_MACO 2006_C00400" xfId="7593" xr:uid="{00000000-0005-0000-0000-0000A01D0000}"/>
    <cellStyle name="_Column4_OFF TRADE_MACO 2006_check6" xfId="7594" xr:uid="{00000000-0005-0000-0000-0000A11D0000}"/>
    <cellStyle name="_Column4_OFF TRADE_MACO 2006_Sheet1" xfId="7595" xr:uid="{00000000-0005-0000-0000-0000A21D0000}"/>
    <cellStyle name="_Column4_OFF TRADE_MACO 2006_Sheet1 (5)" xfId="7596" xr:uid="{00000000-0005-0000-0000-0000A31D0000}"/>
    <cellStyle name="_Column4_OFF TRADE_MACO 2006_Sheet2" xfId="7597" xr:uid="{00000000-0005-0000-0000-0000A41D0000}"/>
    <cellStyle name="_Column4_OFF TRADE_MACO 2006_Sheet3" xfId="7598" xr:uid="{00000000-0005-0000-0000-0000A51D0000}"/>
    <cellStyle name="_Column4_OFF TRADE_MACO 2006_status" xfId="7599" xr:uid="{00000000-0005-0000-0000-0000A61D0000}"/>
    <cellStyle name="_Column4_On Trade estratto al 30.06.06" xfId="7600" xr:uid="{00000000-0005-0000-0000-0000A71D0000}"/>
    <cellStyle name="_Column4_On Trade Gen'07" xfId="7601" xr:uid="{00000000-0005-0000-0000-0000A81D0000}"/>
    <cellStyle name="_Column4_Out of scope" xfId="7602" xr:uid="{00000000-0005-0000-0000-0000A91D0000}"/>
    <cellStyle name="_Column4_Overview LE 3 Budget 2005 LE1" xfId="7603" xr:uid="{00000000-0005-0000-0000-0000AA1D0000}"/>
    <cellStyle name="_Column4_Overview LE 3 Budget 2005 LE1_Sm Proj Cash Flow" xfId="7604" xr:uid="{00000000-0005-0000-0000-0000AB1D0000}"/>
    <cellStyle name="_Column4_Overview LE 3 Budget 2005 LE1_Spend Detail" xfId="7605" xr:uid="{00000000-0005-0000-0000-0000AC1D0000}"/>
    <cellStyle name="_Column4_Packages + Subpack" xfId="7606" xr:uid="{00000000-0005-0000-0000-0000AD1D0000}"/>
    <cellStyle name="_Column4_Packages ON + DD" xfId="7607" xr:uid="{00000000-0005-0000-0000-0000AE1D0000}"/>
    <cellStyle name="_Column4_packaging" xfId="7608" xr:uid="{00000000-0005-0000-0000-0000AF1D0000}"/>
    <cellStyle name="_Column4_packaging 2" xfId="7609" xr:uid="{00000000-0005-0000-0000-0000B01D0000}"/>
    <cellStyle name="_Column4_packaging 3" xfId="7610" xr:uid="{00000000-0005-0000-0000-0000B11D0000}"/>
    <cellStyle name="_Column4_packaging 3 2" xfId="7611" xr:uid="{00000000-0005-0000-0000-0000B21D0000}"/>
    <cellStyle name="_Column4_packaging 3 3" xfId="7612" xr:uid="{00000000-0005-0000-0000-0000B31D0000}"/>
    <cellStyle name="_Column4_packaging 3 3 2" xfId="7613" xr:uid="{00000000-0005-0000-0000-0000B41D0000}"/>
    <cellStyle name="_Column4_packaging 4" xfId="7614" xr:uid="{00000000-0005-0000-0000-0000B51D0000}"/>
    <cellStyle name="_Column4_packaging 4 2" xfId="7615" xr:uid="{00000000-0005-0000-0000-0000B61D0000}"/>
    <cellStyle name="_Column4_packaging_1" xfId="7616" xr:uid="{00000000-0005-0000-0000-0000B71D0000}"/>
    <cellStyle name="_Column4_packaging_Sheet5" xfId="7617" xr:uid="{00000000-0005-0000-0000-0000B81D0000}"/>
    <cellStyle name="_Column4_Partner - bilancio novembre" xfId="7618" xr:uid="{00000000-0005-0000-0000-0000B91D0000}"/>
    <cellStyle name="_Column4_Partner - bilancio novembre_BB (2)" xfId="7619" xr:uid="{00000000-0005-0000-0000-0000BA1D0000}"/>
    <cellStyle name="_Column4_Partner - bilancio novembre_C00200" xfId="7620" xr:uid="{00000000-0005-0000-0000-0000BB1D0000}"/>
    <cellStyle name="_Column4_Partner - bilancio novembre_C00210" xfId="7621" xr:uid="{00000000-0005-0000-0000-0000BC1D0000}"/>
    <cellStyle name="_Column4_Partner - bilancio novembre_C00300" xfId="7622" xr:uid="{00000000-0005-0000-0000-0000BD1D0000}"/>
    <cellStyle name="_Column4_Partner - bilancio novembre_C00400" xfId="7623" xr:uid="{00000000-0005-0000-0000-0000BE1D0000}"/>
    <cellStyle name="_Column4_Partner - bilancio novembre_check6" xfId="7624" xr:uid="{00000000-0005-0000-0000-0000BF1D0000}"/>
    <cellStyle name="_Column4_Partner - bilancio novembre_Sheet1" xfId="7625" xr:uid="{00000000-0005-0000-0000-0000C01D0000}"/>
    <cellStyle name="_Column4_Partner - bilancio novembre_Sheet1 (5)" xfId="7626" xr:uid="{00000000-0005-0000-0000-0000C11D0000}"/>
    <cellStyle name="_Column4_Partner - bilancio novembre_Sheet2" xfId="7627" xr:uid="{00000000-0005-0000-0000-0000C21D0000}"/>
    <cellStyle name="_Column4_Partner - bilancio novembre_Sheet3" xfId="7628" xr:uid="{00000000-0005-0000-0000-0000C31D0000}"/>
    <cellStyle name="_Column4_Partner - bilancio novembre_status" xfId="7629" xr:uid="{00000000-0005-0000-0000-0000C41D0000}"/>
    <cellStyle name="_Column4_PE" xfId="7630" xr:uid="{00000000-0005-0000-0000-0000C51D0000}"/>
    <cellStyle name="_Column4_PE 2" xfId="7631" xr:uid="{00000000-0005-0000-0000-0000C61D0000}"/>
    <cellStyle name="_Column4_PE 2 2" xfId="7632" xr:uid="{00000000-0005-0000-0000-0000C71D0000}"/>
    <cellStyle name="_Column4_PE 3" xfId="7633" xr:uid="{00000000-0005-0000-0000-0000C81D0000}"/>
    <cellStyle name="_Column4_PE ML" xfId="7634" xr:uid="{00000000-0005-0000-0000-0000C91D0000}"/>
    <cellStyle name="_Column4_PE ML 2" xfId="7635" xr:uid="{00000000-0005-0000-0000-0000CA1D0000}"/>
    <cellStyle name="_Column4_PE ML 2 2" xfId="7636" xr:uid="{00000000-0005-0000-0000-0000CB1D0000}"/>
    <cellStyle name="_Column4_PE ML 3" xfId="7637" xr:uid="{00000000-0005-0000-0000-0000CC1D0000}"/>
    <cellStyle name="_Column4_PE ML_1" xfId="7638" xr:uid="{00000000-0005-0000-0000-0000CD1D0000}"/>
    <cellStyle name="_Column4_PE ML_1 2" xfId="7639" xr:uid="{00000000-0005-0000-0000-0000CE1D0000}"/>
    <cellStyle name="_Column4_PE ML_1 2 2" xfId="7640" xr:uid="{00000000-0005-0000-0000-0000CF1D0000}"/>
    <cellStyle name="_Column4_PE ML_1 3" xfId="7641" xr:uid="{00000000-0005-0000-0000-0000D01D0000}"/>
    <cellStyle name="_Column4_PE ML_2" xfId="7642" xr:uid="{00000000-0005-0000-0000-0000D11D0000}"/>
    <cellStyle name="_Column4_PE ML_2 2" xfId="7643" xr:uid="{00000000-0005-0000-0000-0000D21D0000}"/>
    <cellStyle name="_Column4_PE ML_2 2 2" xfId="7644" xr:uid="{00000000-0005-0000-0000-0000D31D0000}"/>
    <cellStyle name="_Column4_PE ML_2 3" xfId="7645" xr:uid="{00000000-0005-0000-0000-0000D41D0000}"/>
    <cellStyle name="_Column4_PE USD" xfId="7646" xr:uid="{00000000-0005-0000-0000-0000D51D0000}"/>
    <cellStyle name="_Column4_PE USD 2" xfId="7647" xr:uid="{00000000-0005-0000-0000-0000D61D0000}"/>
    <cellStyle name="_Column4_PE USD 2 2" xfId="7648" xr:uid="{00000000-0005-0000-0000-0000D71D0000}"/>
    <cellStyle name="_Column4_PE USD 3" xfId="7649" xr:uid="{00000000-0005-0000-0000-0000D81D0000}"/>
    <cellStyle name="_Column4_People Package" xfId="7650" xr:uid="{00000000-0005-0000-0000-0000D91D0000}"/>
    <cellStyle name="_Column4_People Package (2)" xfId="7651" xr:uid="{00000000-0005-0000-0000-0000DA1D0000}"/>
    <cellStyle name="_Column4_People Package (2) 2" xfId="7652" xr:uid="{00000000-0005-0000-0000-0000DB1D0000}"/>
    <cellStyle name="_Column4_People Package (2) 2 2" xfId="7653" xr:uid="{00000000-0005-0000-0000-0000DC1D0000}"/>
    <cellStyle name="_Column4_People Package (2) 3" xfId="7654" xr:uid="{00000000-0005-0000-0000-0000DD1D0000}"/>
    <cellStyle name="_Column4_People Package 2" xfId="7655" xr:uid="{00000000-0005-0000-0000-0000DE1D0000}"/>
    <cellStyle name="_Column4_People Package 2 2" xfId="7656" xr:uid="{00000000-0005-0000-0000-0000DF1D0000}"/>
    <cellStyle name="_Column4_People Package 3" xfId="7657" xr:uid="{00000000-0005-0000-0000-0000E01D0000}"/>
    <cellStyle name="_Column4_People Package 3 2" xfId="7658" xr:uid="{00000000-0005-0000-0000-0000E11D0000}"/>
    <cellStyle name="_Column4_People Package 4" xfId="7659" xr:uid="{00000000-0005-0000-0000-0000E21D0000}"/>
    <cellStyle name="_Column4_People Package 5" xfId="7660" xr:uid="{00000000-0005-0000-0000-0000E31D0000}"/>
    <cellStyle name="_Column4_P-LE-YTD-abs(loc)" xfId="7661" xr:uid="{00000000-0005-0000-0000-0000E41D0000}"/>
    <cellStyle name="_Column4_P-LE-YTD-abs(loc)_packaging" xfId="7662" xr:uid="{00000000-0005-0000-0000-0000E51D0000}"/>
    <cellStyle name="_Column4_RB&amp;JW_Produktionsplanung_LE1_2006 sortiert" xfId="7663" xr:uid="{00000000-0005-0000-0000-0000E61D0000}"/>
    <cellStyle name="_Column4_RB&amp;JW_Produktionsplanung_LE1_2006 sortiert 2" xfId="7664" xr:uid="{00000000-0005-0000-0000-0000E71D0000}"/>
    <cellStyle name="_Column4_RB&amp;JW_Produktionsplanung_LE1_2006 sortiert 2 2" xfId="7665" xr:uid="{00000000-0005-0000-0000-0000E81D0000}"/>
    <cellStyle name="_Column4_RB&amp;JW_Produktionsplanung_LE1_2006 sortiert_Sheet1" xfId="7666" xr:uid="{00000000-0005-0000-0000-0000E91D0000}"/>
    <cellStyle name="_Column4_RB&amp;JW_Produktionsplanung_LE1_2006 sortiert_Sheet5" xfId="7667" xr:uid="{00000000-0005-0000-0000-0000EA1D0000}"/>
    <cellStyle name="_Column4_RB&amp;JW_Produktionsplanung_LE1_2006 sortiert_Sm Proj Cash Flow" xfId="7668" xr:uid="{00000000-0005-0000-0000-0000EB1D0000}"/>
    <cellStyle name="_Column4_RB&amp;JW_Produktionsplanung_LE1_2006 sortiert_Spend Detail" xfId="7669" xr:uid="{00000000-0005-0000-0000-0000EC1D0000}"/>
    <cellStyle name="_Column4_RB&amp;JW_Produktionsplanung_LE1_2006 sortiert_SustainingProjectList" xfId="7670" xr:uid="{00000000-0005-0000-0000-0000ED1D0000}"/>
    <cellStyle name="_Column4_RD" xfId="7671" xr:uid="{00000000-0005-0000-0000-0000EE1D0000}"/>
    <cellStyle name="_Column4_RD 2" xfId="7672" xr:uid="{00000000-0005-0000-0000-0000EF1D0000}"/>
    <cellStyle name="_Column4_RD 2 2" xfId="7673" xr:uid="{00000000-0005-0000-0000-0000F01D0000}"/>
    <cellStyle name="_Column4_RD 3" xfId="7674" xr:uid="{00000000-0005-0000-0000-0000F11D0000}"/>
    <cellStyle name="_Column4_RD ML" xfId="7675" xr:uid="{00000000-0005-0000-0000-0000F21D0000}"/>
    <cellStyle name="_Column4_RD ML 2" xfId="7676" xr:uid="{00000000-0005-0000-0000-0000F31D0000}"/>
    <cellStyle name="_Column4_RD ML 2 2" xfId="7677" xr:uid="{00000000-0005-0000-0000-0000F41D0000}"/>
    <cellStyle name="_Column4_RD ML 3" xfId="7678" xr:uid="{00000000-0005-0000-0000-0000F51D0000}"/>
    <cellStyle name="_Column4_RD ML_1" xfId="7679" xr:uid="{00000000-0005-0000-0000-0000F61D0000}"/>
    <cellStyle name="_Column4_RD ML_1 2" xfId="7680" xr:uid="{00000000-0005-0000-0000-0000F71D0000}"/>
    <cellStyle name="_Column4_RD ML_1 2 2" xfId="7681" xr:uid="{00000000-0005-0000-0000-0000F81D0000}"/>
    <cellStyle name="_Column4_RD ML_1 3" xfId="7682" xr:uid="{00000000-0005-0000-0000-0000F91D0000}"/>
    <cellStyle name="_Column4_RD ML_2" xfId="7683" xr:uid="{00000000-0005-0000-0000-0000FA1D0000}"/>
    <cellStyle name="_Column4_RD ML_2 2" xfId="7684" xr:uid="{00000000-0005-0000-0000-0000FB1D0000}"/>
    <cellStyle name="_Column4_RD ML_2 2 2" xfId="7685" xr:uid="{00000000-0005-0000-0000-0000FC1D0000}"/>
    <cellStyle name="_Column4_RD ML_2 3" xfId="7686" xr:uid="{00000000-0005-0000-0000-0000FD1D0000}"/>
    <cellStyle name="_Column4_RD USD" xfId="7687" xr:uid="{00000000-0005-0000-0000-0000FE1D0000}"/>
    <cellStyle name="_Column4_RD USD 2" xfId="7688" xr:uid="{00000000-0005-0000-0000-0000FF1D0000}"/>
    <cellStyle name="_Column4_RD USD 2 2" xfId="7689" xr:uid="{00000000-0005-0000-0000-0000001E0000}"/>
    <cellStyle name="_Column4_RD USD 3" xfId="7690" xr:uid="{00000000-0005-0000-0000-0000011E0000}"/>
    <cellStyle name="_Column4_Reference salaries CEE 2007" xfId="7691" xr:uid="{00000000-0005-0000-0000-0000021E0000}"/>
    <cellStyle name="_Column4_Reference salaries CEE 2007 2" xfId="7692" xr:uid="{00000000-0005-0000-0000-0000031E0000}"/>
    <cellStyle name="_Column4_Reference salaries CEE 2007 2 2" xfId="7693" xr:uid="{00000000-0005-0000-0000-0000041E0000}"/>
    <cellStyle name="_Column4_Reference salaries CEE 2007 3" xfId="7694" xr:uid="{00000000-0005-0000-0000-0000051E0000}"/>
    <cellStyle name="_Column4_Reference salaries CEE 2007_Copy of 081027 ZBB Budget 2009 Decks - People_Cherry_V4" xfId="7695" xr:uid="{00000000-0005-0000-0000-0000061E0000}"/>
    <cellStyle name="_Column4_Reference salaries CEE 2007_Copy of 081027 ZBB Budget 2009 Decks - People_Cherry_V4 2" xfId="7696" xr:uid="{00000000-0005-0000-0000-0000071E0000}"/>
    <cellStyle name="_Column4_Reference salaries CEE 2007_Copy of 081027 ZBB Budget 2009 Decks - People_Cherry_V4 2 2" xfId="7697" xr:uid="{00000000-0005-0000-0000-0000081E0000}"/>
    <cellStyle name="_Column4_Reference salaries CEE 2007_Copy of 081027 ZBB Budget 2009 Decks - People_Cherry_V4 3" xfId="7698" xr:uid="{00000000-0005-0000-0000-0000091E0000}"/>
    <cellStyle name="_Column4_Reference salaries CEE 2007_Copy of 081027 ZBB Budget 2009 Decks - People_Cherry_V4_Copy of US ZBB Budget Tracker v3" xfId="7699" xr:uid="{00000000-0005-0000-0000-00000A1E0000}"/>
    <cellStyle name="_Column4_Reference salaries CEE 2007_Copy of 081027 ZBB Budget 2009 Decks - People_Cherry_V4_US ZBB Budget Tracker updated 3-8-2010" xfId="7700" xr:uid="{00000000-0005-0000-0000-00000B1E0000}"/>
    <cellStyle name="_Column4_Reference salaries CEE 2007_Copy of US ZBB Budget Tracker v3" xfId="7701" xr:uid="{00000000-0005-0000-0000-00000C1E0000}"/>
    <cellStyle name="_Column4_Reference salaries CEE 2007_US ZBB Budget Tracker updated 3-8-2010" xfId="7702" xr:uid="{00000000-0005-0000-0000-00000D1E0000}"/>
    <cellStyle name="_Column4_Reference salaries CEE 2007_ZBB Budget 2009 Decks" xfId="7703" xr:uid="{00000000-0005-0000-0000-00000E1E0000}"/>
    <cellStyle name="_Column4_Reference salaries CEE 2007_ZBB Budget 2009 Decks 2" xfId="7704" xr:uid="{00000000-0005-0000-0000-00000F1E0000}"/>
    <cellStyle name="_Column4_Reference salaries CEE 2007_ZBB Budget 2009 Decks 2 2" xfId="7705" xr:uid="{00000000-0005-0000-0000-0000101E0000}"/>
    <cellStyle name="_Column4_Reference salaries CEE 2007_ZBB Budget 2009 Decks 3" xfId="7706" xr:uid="{00000000-0005-0000-0000-0000111E0000}"/>
    <cellStyle name="_Column4_Reference salaries CEE 2007_ZBB Budget 2009 Decks_Copy of US ZBB Budget Tracker v3" xfId="7707" xr:uid="{00000000-0005-0000-0000-0000121E0000}"/>
    <cellStyle name="_Column4_Reference salaries CEE 2007_ZBB Budget 2009 Decks_US ZBB Budget Tracker updated 3-8-2010" xfId="7708" xr:uid="{00000000-0005-0000-0000-0000131E0000}"/>
    <cellStyle name="_Column4_Reference salaries CEE 2007_ZBB Budget 2009 Decks_with Korea Scope in (Only LE)" xfId="7709" xr:uid="{00000000-0005-0000-0000-0000141E0000}"/>
    <cellStyle name="_Column4_Reference salaries CEE 2007_ZBB Budget 2009 Decks_with Korea Scope in (Only LE) (2)" xfId="7710" xr:uid="{00000000-0005-0000-0000-0000151E0000}"/>
    <cellStyle name="_Column4_Reference salaries CEE 2007_ZBB Budget 2009 Decks_with Korea Scope in (Only LE) (2) 2" xfId="7711" xr:uid="{00000000-0005-0000-0000-0000161E0000}"/>
    <cellStyle name="_Column4_Reference salaries CEE 2007_ZBB Budget 2009 Decks_with Korea Scope in (Only LE) (2) 2 2" xfId="7712" xr:uid="{00000000-0005-0000-0000-0000171E0000}"/>
    <cellStyle name="_Column4_Reference salaries CEE 2007_ZBB Budget 2009 Decks_with Korea Scope in (Only LE) (2) 3" xfId="7713" xr:uid="{00000000-0005-0000-0000-0000181E0000}"/>
    <cellStyle name="_Column4_Reference salaries CEE 2007_ZBB Budget 2009 Decks_with Korea Scope in (Only LE) (2)_Copy of US ZBB Budget Tracker v3" xfId="7714" xr:uid="{00000000-0005-0000-0000-0000191E0000}"/>
    <cellStyle name="_Column4_Reference salaries CEE 2007_ZBB Budget 2009 Decks_with Korea Scope in (Only LE) (2)_US ZBB Budget Tracker updated 3-8-2010" xfId="7715" xr:uid="{00000000-0005-0000-0000-00001A1E0000}"/>
    <cellStyle name="_Column4_Reference salaries CEE 2007_ZBB Budget 2009 Decks_with Korea Scope in (Only LE) 2" xfId="7716" xr:uid="{00000000-0005-0000-0000-00001B1E0000}"/>
    <cellStyle name="_Column4_Reference salaries CEE 2007_ZBB Budget 2009 Decks_with Korea Scope in (Only LE) 2 2" xfId="7717" xr:uid="{00000000-0005-0000-0000-00001C1E0000}"/>
    <cellStyle name="_Column4_Reference salaries CEE 2007_ZBB Budget 2009 Decks_with Korea Scope in (Only LE) 3" xfId="7718" xr:uid="{00000000-0005-0000-0000-00001D1E0000}"/>
    <cellStyle name="_Column4_Reference salaries CEE 2007_ZBB Budget 2009 Decks_with Korea Scope in (Only LE) 3 2" xfId="7719" xr:uid="{00000000-0005-0000-0000-00001E1E0000}"/>
    <cellStyle name="_Column4_Reference salaries CEE 2007_ZBB Budget 2009 Decks_with Korea Scope in (Only LE) 4" xfId="7720" xr:uid="{00000000-0005-0000-0000-00001F1E0000}"/>
    <cellStyle name="_Column4_Reference salaries CEE 2007_ZBB Budget 2009 Decks_with Korea Scope in (Only LE) 5" xfId="7721" xr:uid="{00000000-0005-0000-0000-0000201E0000}"/>
    <cellStyle name="_Column4_Reference salaries CEE 2007_ZBB Budget 2009 Decks_with Korea Scope in (Only LE)_Copy of US ZBB Budget Tracker v3" xfId="7722" xr:uid="{00000000-0005-0000-0000-0000211E0000}"/>
    <cellStyle name="_Column4_Reference salaries CEE 2007_ZBB Budget 2009 Decks_with Korea Scope in (Only LE)_US ZBB Budget Tracker updated 3-8-2010" xfId="7723" xr:uid="{00000000-0005-0000-0000-0000221E0000}"/>
    <cellStyle name="_Column4_Report Inbev FINANCE November 06" xfId="7724" xr:uid="{00000000-0005-0000-0000-0000231E0000}"/>
    <cellStyle name="_Column4_Report Inbev FINANCE November 06_BB (2)" xfId="7725" xr:uid="{00000000-0005-0000-0000-0000241E0000}"/>
    <cellStyle name="_Column4_Report Inbev FINANCE November 06_C00200" xfId="7726" xr:uid="{00000000-0005-0000-0000-0000251E0000}"/>
    <cellStyle name="_Column4_Report Inbev FINANCE November 06_C00210" xfId="7727" xr:uid="{00000000-0005-0000-0000-0000261E0000}"/>
    <cellStyle name="_Column4_Report Inbev FINANCE November 06_C00300" xfId="7728" xr:uid="{00000000-0005-0000-0000-0000271E0000}"/>
    <cellStyle name="_Column4_Report Inbev FINANCE November 06_C00400" xfId="7729" xr:uid="{00000000-0005-0000-0000-0000281E0000}"/>
    <cellStyle name="_Column4_Report Inbev FINANCE November 06_check6" xfId="7730" xr:uid="{00000000-0005-0000-0000-0000291E0000}"/>
    <cellStyle name="_Column4_Report Inbev FINANCE November 06_Sheet1" xfId="7731" xr:uid="{00000000-0005-0000-0000-00002A1E0000}"/>
    <cellStyle name="_Column4_Report Inbev FINANCE November 06_Sheet1 (5)" xfId="7732" xr:uid="{00000000-0005-0000-0000-00002B1E0000}"/>
    <cellStyle name="_Column4_Report Inbev FINANCE November 06_Sheet2" xfId="7733" xr:uid="{00000000-0005-0000-0000-00002C1E0000}"/>
    <cellStyle name="_Column4_Report Inbev FINANCE November 06_Sheet3" xfId="7734" xr:uid="{00000000-0005-0000-0000-00002D1E0000}"/>
    <cellStyle name="_Column4_Report Inbev FINANCE November 06_status" xfId="7735" xr:uid="{00000000-0005-0000-0000-00002E1E0000}"/>
    <cellStyle name="_Column4_Return rates" xfId="7736" xr:uid="{00000000-0005-0000-0000-00002F1E0000}"/>
    <cellStyle name="_Column4_Return rates_Sm Proj Cash Flow" xfId="7737" xr:uid="{00000000-0005-0000-0000-0000301E0000}"/>
    <cellStyle name="_Column4_Return rates_Spend Detail" xfId="7738" xr:uid="{00000000-0005-0000-0000-0000311E0000}"/>
    <cellStyle name="_Column4_Returnable Packaging" xfId="7739" xr:uid="{00000000-0005-0000-0000-0000321E0000}"/>
    <cellStyle name="_Column4_Returnable Packaging Prices 2008 (2)" xfId="7740" xr:uid="{00000000-0005-0000-0000-0000331E0000}"/>
    <cellStyle name="_Column4_Returnable Packaging Prices 2008 (2)_Sm Proj Cash Flow" xfId="7741" xr:uid="{00000000-0005-0000-0000-0000341E0000}"/>
    <cellStyle name="_Column4_Returnable Packaging Prices 2008 (2)_Spend Detail" xfId="7742" xr:uid="{00000000-0005-0000-0000-0000351E0000}"/>
    <cellStyle name="_Column4_Riesgos - Oportunidades" xfId="7743" xr:uid="{00000000-0005-0000-0000-0000361E0000}"/>
    <cellStyle name="_Column4_Riesgos - Oportunidades 2" xfId="7744" xr:uid="{00000000-0005-0000-0000-0000371E0000}"/>
    <cellStyle name="_Column4_Riesgos - Oportunidades 2 2" xfId="7745" xr:uid="{00000000-0005-0000-0000-0000381E0000}"/>
    <cellStyle name="_Column4_Riesgos - Oportunidades 3" xfId="7746" xr:uid="{00000000-0005-0000-0000-0000391E0000}"/>
    <cellStyle name="_Column4_Rüstzeit" xfId="7747" xr:uid="{00000000-0005-0000-0000-00003A1E0000}"/>
    <cellStyle name="_Column4_Rüstzeit_Sheet5" xfId="7748" xr:uid="{00000000-0005-0000-0000-00003B1E0000}"/>
    <cellStyle name="_Column4_RW_Mutteranlge" xfId="7749" xr:uid="{00000000-0005-0000-0000-00003C1E0000}"/>
    <cellStyle name="_Column4_RW_Mutteranlge_Sheet5" xfId="7750" xr:uid="{00000000-0005-0000-0000-00003D1E0000}"/>
    <cellStyle name="_Column4_RW4" xfId="7751" xr:uid="{00000000-0005-0000-0000-00003E1E0000}"/>
    <cellStyle name="_Column4_RW4 2" xfId="7752" xr:uid="{00000000-0005-0000-0000-00003F1E0000}"/>
    <cellStyle name="_Column4_RW4 3" xfId="7753" xr:uid="{00000000-0005-0000-0000-0000401E0000}"/>
    <cellStyle name="_Column4_RW4 3 2" xfId="7754" xr:uid="{00000000-0005-0000-0000-0000411E0000}"/>
    <cellStyle name="_Column4_RW4 3 3" xfId="7755" xr:uid="{00000000-0005-0000-0000-0000421E0000}"/>
    <cellStyle name="_Column4_RW4 3 3 2" xfId="7756" xr:uid="{00000000-0005-0000-0000-0000431E0000}"/>
    <cellStyle name="_Column4_RW4 4" xfId="7757" xr:uid="{00000000-0005-0000-0000-0000441E0000}"/>
    <cellStyle name="_Column4_RW4 4 2" xfId="7758" xr:uid="{00000000-0005-0000-0000-0000451E0000}"/>
    <cellStyle name="_Column4_RW4_Sheet5" xfId="7759" xr:uid="{00000000-0005-0000-0000-0000461E0000}"/>
    <cellStyle name="_Column4_S&amp;D Italy" xfId="7760" xr:uid="{00000000-0005-0000-0000-0000471E0000}"/>
    <cellStyle name="_Column4_Sales" xfId="7761" xr:uid="{00000000-0005-0000-0000-0000481E0000}"/>
    <cellStyle name="_Column4_Sales and Marketing - revised" xfId="7762" xr:uid="{00000000-0005-0000-0000-0000491E0000}"/>
    <cellStyle name="_Column4_Sales and Marketing - revised 2" xfId="7763" xr:uid="{00000000-0005-0000-0000-00004A1E0000}"/>
    <cellStyle name="_Column4_Sales and Marketing - revised 2 2" xfId="7764" xr:uid="{00000000-0005-0000-0000-00004B1E0000}"/>
    <cellStyle name="_Column4_Sales and Marketing - revised 3" xfId="7765" xr:uid="{00000000-0005-0000-0000-00004C1E0000}"/>
    <cellStyle name="_Column4_Sales Daten" xfId="7766" xr:uid="{00000000-0005-0000-0000-00004D1E0000}"/>
    <cellStyle name="_Column4_Sales On-Trade" xfId="7767" xr:uid="{00000000-0005-0000-0000-00004E1E0000}"/>
    <cellStyle name="_Column4_SCFD_FLACON" xfId="7768" xr:uid="{00000000-0005-0000-0000-00004F1E0000}"/>
    <cellStyle name="_Column4_SCFD_FLACON 2" xfId="7769" xr:uid="{00000000-0005-0000-0000-0000501E0000}"/>
    <cellStyle name="_Column4_SCFD_FLACON 3" xfId="7770" xr:uid="{00000000-0005-0000-0000-0000511E0000}"/>
    <cellStyle name="_Column4_SCFD_FLACON 3 2" xfId="7771" xr:uid="{00000000-0005-0000-0000-0000521E0000}"/>
    <cellStyle name="_Column4_SCFD_FLACON 3 3" xfId="7772" xr:uid="{00000000-0005-0000-0000-0000531E0000}"/>
    <cellStyle name="_Column4_SCFD_FLACON 3 3 2" xfId="7773" xr:uid="{00000000-0005-0000-0000-0000541E0000}"/>
    <cellStyle name="_Column4_SCFD_FLACON 4" xfId="7774" xr:uid="{00000000-0005-0000-0000-0000551E0000}"/>
    <cellStyle name="_Column4_SCFD_FLACON 4 2" xfId="7775" xr:uid="{00000000-0005-0000-0000-0000561E0000}"/>
    <cellStyle name="_Column4_SCFD_FLACON_Sheet5" xfId="7776" xr:uid="{00000000-0005-0000-0000-0000571E0000}"/>
    <cellStyle name="_Column4_Scope_Dinkelacker_2006" xfId="7777" xr:uid="{00000000-0005-0000-0000-0000581E0000}"/>
    <cellStyle name="_Column4_Scope_Wolters Budget 2007" xfId="7778" xr:uid="{00000000-0005-0000-0000-0000591E0000}"/>
    <cellStyle name="_Column4_SDG FEV" xfId="7779" xr:uid="{00000000-0005-0000-0000-00005A1E0000}"/>
    <cellStyle name="_Column4_SDG FEV 2" xfId="7780" xr:uid="{00000000-0005-0000-0000-00005B1E0000}"/>
    <cellStyle name="_Column4_SDG FEV 2 2" xfId="7781" xr:uid="{00000000-0005-0000-0000-00005C1E0000}"/>
    <cellStyle name="_Column4_SDG FEV 3" xfId="7782" xr:uid="{00000000-0005-0000-0000-00005D1E0000}"/>
    <cellStyle name="_Column4_SF_Volumes &amp; Maco pro hl Haake-Beck Budget 2009" xfId="7783" xr:uid="{00000000-0005-0000-0000-00005E1E0000}"/>
    <cellStyle name="_Column4_SF_Volumes &amp; Maco pro hl Haake-Beck Budget 2009_RFFS SUBMISSION TO VPs" xfId="7784" xr:uid="{00000000-0005-0000-0000-00005F1E0000}"/>
    <cellStyle name="_Column4_SF_Volumes &amp; Maco pro hl Haake-Beck Budget 2009_RFFS_SUBMISSION_TO_VPs _v2" xfId="7785" xr:uid="{00000000-0005-0000-0000-0000601E0000}"/>
    <cellStyle name="_Column4_Sheet1" xfId="7786" xr:uid="{00000000-0005-0000-0000-0000611E0000}"/>
    <cellStyle name="_Column4_Sheet1 (2)" xfId="7787" xr:uid="{00000000-0005-0000-0000-0000621E0000}"/>
    <cellStyle name="_Column4_Sheet1 (2) 2" xfId="7788" xr:uid="{00000000-0005-0000-0000-0000631E0000}"/>
    <cellStyle name="_Column4_Sheet1 (2) 3" xfId="7789" xr:uid="{00000000-0005-0000-0000-0000641E0000}"/>
    <cellStyle name="_Column4_Sheet1 (2) 3 2" xfId="7790" xr:uid="{00000000-0005-0000-0000-0000651E0000}"/>
    <cellStyle name="_Column4_Sheet1 (5)" xfId="7791" xr:uid="{00000000-0005-0000-0000-0000661E0000}"/>
    <cellStyle name="_Column4_Sheet1 10" xfId="7792" xr:uid="{00000000-0005-0000-0000-0000671E0000}"/>
    <cellStyle name="_Column4_Sheet1 11" xfId="7793" xr:uid="{00000000-0005-0000-0000-0000681E0000}"/>
    <cellStyle name="_Column4_Sheet1 11 2" xfId="7794" xr:uid="{00000000-0005-0000-0000-0000691E0000}"/>
    <cellStyle name="_Column4_Sheet1 12" xfId="7795" xr:uid="{00000000-0005-0000-0000-00006A1E0000}"/>
    <cellStyle name="_Column4_Sheet1 12 2" xfId="7796" xr:uid="{00000000-0005-0000-0000-00006B1E0000}"/>
    <cellStyle name="_Column4_Sheet1 13" xfId="7797" xr:uid="{00000000-0005-0000-0000-00006C1E0000}"/>
    <cellStyle name="_Column4_Sheet1 13 2" xfId="7798" xr:uid="{00000000-0005-0000-0000-00006D1E0000}"/>
    <cellStyle name="_Column4_Sheet1 14" xfId="7799" xr:uid="{00000000-0005-0000-0000-00006E1E0000}"/>
    <cellStyle name="_Column4_Sheet1 14 2" xfId="7800" xr:uid="{00000000-0005-0000-0000-00006F1E0000}"/>
    <cellStyle name="_Column4_Sheet1 15" xfId="7801" xr:uid="{00000000-0005-0000-0000-0000701E0000}"/>
    <cellStyle name="_Column4_Sheet1 15 2" xfId="7802" xr:uid="{00000000-0005-0000-0000-0000711E0000}"/>
    <cellStyle name="_Column4_Sheet1 16" xfId="7803" xr:uid="{00000000-0005-0000-0000-0000721E0000}"/>
    <cellStyle name="_Column4_Sheet1 17" xfId="7804" xr:uid="{00000000-0005-0000-0000-0000731E0000}"/>
    <cellStyle name="_Column4_Sheet1 18" xfId="7805" xr:uid="{00000000-0005-0000-0000-0000741E0000}"/>
    <cellStyle name="_Column4_Sheet1 19" xfId="7806" xr:uid="{00000000-0005-0000-0000-0000751E0000}"/>
    <cellStyle name="_Column4_Sheet1 2" xfId="7807" xr:uid="{00000000-0005-0000-0000-0000761E0000}"/>
    <cellStyle name="_Column4_Sheet1 2 2" xfId="7808" xr:uid="{00000000-0005-0000-0000-0000771E0000}"/>
    <cellStyle name="_Column4_Sheet1 20" xfId="7809" xr:uid="{00000000-0005-0000-0000-0000781E0000}"/>
    <cellStyle name="_Column4_Sheet1 21" xfId="7810" xr:uid="{00000000-0005-0000-0000-0000791E0000}"/>
    <cellStyle name="_Column4_Sheet1 22" xfId="7811" xr:uid="{00000000-0005-0000-0000-00007A1E0000}"/>
    <cellStyle name="_Column4_Sheet1 23" xfId="7812" xr:uid="{00000000-0005-0000-0000-00007B1E0000}"/>
    <cellStyle name="_Column4_Sheet1 24" xfId="7813" xr:uid="{00000000-0005-0000-0000-00007C1E0000}"/>
    <cellStyle name="_Column4_Sheet1 25" xfId="7814" xr:uid="{00000000-0005-0000-0000-00007D1E0000}"/>
    <cellStyle name="_Column4_Sheet1 3" xfId="7815" xr:uid="{00000000-0005-0000-0000-00007E1E0000}"/>
    <cellStyle name="_Column4_Sheet1 4" xfId="7816" xr:uid="{00000000-0005-0000-0000-00007F1E0000}"/>
    <cellStyle name="_Column4_Sheet1 5" xfId="7817" xr:uid="{00000000-0005-0000-0000-0000801E0000}"/>
    <cellStyle name="_Column4_Sheet1 5 2" xfId="7818" xr:uid="{00000000-0005-0000-0000-0000811E0000}"/>
    <cellStyle name="_Column4_Sheet1 5 3" xfId="7819" xr:uid="{00000000-0005-0000-0000-0000821E0000}"/>
    <cellStyle name="_Column4_Sheet1 5 3 2" xfId="7820" xr:uid="{00000000-0005-0000-0000-0000831E0000}"/>
    <cellStyle name="_Column4_Sheet1 6" xfId="7821" xr:uid="{00000000-0005-0000-0000-0000841E0000}"/>
    <cellStyle name="_Column4_Sheet1 6 2" xfId="7822" xr:uid="{00000000-0005-0000-0000-0000851E0000}"/>
    <cellStyle name="_Column4_Sheet1 6 3" xfId="7823" xr:uid="{00000000-0005-0000-0000-0000861E0000}"/>
    <cellStyle name="_Column4_Sheet1 6 3 2" xfId="7824" xr:uid="{00000000-0005-0000-0000-0000871E0000}"/>
    <cellStyle name="_Column4_Sheet1 7" xfId="7825" xr:uid="{00000000-0005-0000-0000-0000881E0000}"/>
    <cellStyle name="_Column4_Sheet1 8" xfId="7826" xr:uid="{00000000-0005-0000-0000-0000891E0000}"/>
    <cellStyle name="_Column4_Sheet1 9" xfId="7827" xr:uid="{00000000-0005-0000-0000-00008A1E0000}"/>
    <cellStyle name="_Column4_Sheet1_1" xfId="7828" xr:uid="{00000000-0005-0000-0000-00008B1E0000}"/>
    <cellStyle name="_Column4_Sheet1_Analisi vol ott" xfId="7829" xr:uid="{00000000-0005-0000-0000-00008C1E0000}"/>
    <cellStyle name="_Column4_Sheet1_Analisi vol ott_BB (2)" xfId="7830" xr:uid="{00000000-0005-0000-0000-00008D1E0000}"/>
    <cellStyle name="_Column4_Sheet1_Analisi vol ott_C00200" xfId="7831" xr:uid="{00000000-0005-0000-0000-00008E1E0000}"/>
    <cellStyle name="_Column4_Sheet1_Analisi vol ott_C00210" xfId="7832" xr:uid="{00000000-0005-0000-0000-00008F1E0000}"/>
    <cellStyle name="_Column4_Sheet1_Analisi vol ott_C00300" xfId="7833" xr:uid="{00000000-0005-0000-0000-0000901E0000}"/>
    <cellStyle name="_Column4_Sheet1_Analisi vol ott_C00400" xfId="7834" xr:uid="{00000000-0005-0000-0000-0000911E0000}"/>
    <cellStyle name="_Column4_Sheet1_Analisi vol ott_check6" xfId="7835" xr:uid="{00000000-0005-0000-0000-0000921E0000}"/>
    <cellStyle name="_Column4_Sheet1_Analisi vol ott_Sheet1" xfId="7836" xr:uid="{00000000-0005-0000-0000-0000931E0000}"/>
    <cellStyle name="_Column4_Sheet1_Analisi vol ott_Sheet1 (5)" xfId="7837" xr:uid="{00000000-0005-0000-0000-0000941E0000}"/>
    <cellStyle name="_Column4_Sheet1_Analisi vol ott_Sheet2" xfId="7838" xr:uid="{00000000-0005-0000-0000-0000951E0000}"/>
    <cellStyle name="_Column4_Sheet1_Analisi vol ott_Sheet3" xfId="7839" xr:uid="{00000000-0005-0000-0000-0000961E0000}"/>
    <cellStyle name="_Column4_Sheet1_Analisi vol ott_status" xfId="7840" xr:uid="{00000000-0005-0000-0000-0000971E0000}"/>
    <cellStyle name="_Column4_Sheet1_BACK UP FIGURES for PRESENTATION LE1" xfId="7841" xr:uid="{00000000-0005-0000-0000-0000981E0000}"/>
    <cellStyle name="_Column4_Sheet1_Belgium" xfId="7842" xr:uid="{00000000-0005-0000-0000-0000991E0000}"/>
    <cellStyle name="_Column4_Sheet1_Belgium_brew" xfId="7843" xr:uid="{00000000-0005-0000-0000-00009A1E0000}"/>
    <cellStyle name="_Column4_Sheet1_cans" xfId="7844" xr:uid="{00000000-0005-0000-0000-00009B1E0000}"/>
    <cellStyle name="_Column4_Sheet1_cans 2" xfId="7845" xr:uid="{00000000-0005-0000-0000-00009C1E0000}"/>
    <cellStyle name="_Column4_Sheet1_Luxembourg_brew" xfId="7846" xr:uid="{00000000-0005-0000-0000-00009D1E0000}"/>
    <cellStyle name="_Column4_Sheet1_Maco LE1 vers 30.4.07" xfId="7847" xr:uid="{00000000-0005-0000-0000-00009E1E0000}"/>
    <cellStyle name="_Column4_Sheet1_Maco LE1 vers 30.4.07 PER PRESENTAZ" xfId="7848" xr:uid="{00000000-0005-0000-0000-00009F1E0000}"/>
    <cellStyle name="_Column4_Sheet1_Maco LE1 vers 30.4.07 PER PRESENTAZ_BB (2)" xfId="7849" xr:uid="{00000000-0005-0000-0000-0000A01E0000}"/>
    <cellStyle name="_Column4_Sheet1_Maco LE1 vers 30.4.07 PER PRESENTAZ_C00200" xfId="7850" xr:uid="{00000000-0005-0000-0000-0000A11E0000}"/>
    <cellStyle name="_Column4_Sheet1_Maco LE1 vers 30.4.07 PER PRESENTAZ_C00210" xfId="7851" xr:uid="{00000000-0005-0000-0000-0000A21E0000}"/>
    <cellStyle name="_Column4_Sheet1_Maco LE1 vers 30.4.07 PER PRESENTAZ_C00300" xfId="7852" xr:uid="{00000000-0005-0000-0000-0000A31E0000}"/>
    <cellStyle name="_Column4_Sheet1_Maco LE1 vers 30.4.07 PER PRESENTAZ_C00400" xfId="7853" xr:uid="{00000000-0005-0000-0000-0000A41E0000}"/>
    <cellStyle name="_Column4_Sheet1_Maco LE1 vers 30.4.07 PER PRESENTAZ_check6" xfId="7854" xr:uid="{00000000-0005-0000-0000-0000A51E0000}"/>
    <cellStyle name="_Column4_Sheet1_Maco LE1 vers 30.4.07 PER PRESENTAZ_Sheet1" xfId="7855" xr:uid="{00000000-0005-0000-0000-0000A61E0000}"/>
    <cellStyle name="_Column4_Sheet1_Maco LE1 vers 30.4.07 PER PRESENTAZ_Sheet1 (5)" xfId="7856" xr:uid="{00000000-0005-0000-0000-0000A71E0000}"/>
    <cellStyle name="_Column4_Sheet1_Maco LE1 vers 30.4.07 PER PRESENTAZ_Sheet2" xfId="7857" xr:uid="{00000000-0005-0000-0000-0000A81E0000}"/>
    <cellStyle name="_Column4_Sheet1_Maco LE1 vers 30.4.07 PER PRESENTAZ_Sheet3" xfId="7858" xr:uid="{00000000-0005-0000-0000-0000A91E0000}"/>
    <cellStyle name="_Column4_Sheet1_Maco LE1 vers 30.4.07 PER PRESENTAZ_status" xfId="7859" xr:uid="{00000000-0005-0000-0000-0000AA1E0000}"/>
    <cellStyle name="_Column4_Sheet1_Maco LE1 vers 30.4.07_BB (2)" xfId="7860" xr:uid="{00000000-0005-0000-0000-0000AB1E0000}"/>
    <cellStyle name="_Column4_Sheet1_Maco LE1 vers 30.4.07_C00200" xfId="7861" xr:uid="{00000000-0005-0000-0000-0000AC1E0000}"/>
    <cellStyle name="_Column4_Sheet1_Maco LE1 vers 30.4.07_C00210" xfId="7862" xr:uid="{00000000-0005-0000-0000-0000AD1E0000}"/>
    <cellStyle name="_Column4_Sheet1_Maco LE1 vers 30.4.07_C00300" xfId="7863" xr:uid="{00000000-0005-0000-0000-0000AE1E0000}"/>
    <cellStyle name="_Column4_Sheet1_Maco LE1 vers 30.4.07_C00400" xfId="7864" xr:uid="{00000000-0005-0000-0000-0000AF1E0000}"/>
    <cellStyle name="_Column4_Sheet1_Maco LE1 vers 30.4.07_check6" xfId="7865" xr:uid="{00000000-0005-0000-0000-0000B01E0000}"/>
    <cellStyle name="_Column4_Sheet1_Maco LE1 vers 30.4.07_Sheet1" xfId="7866" xr:uid="{00000000-0005-0000-0000-0000B11E0000}"/>
    <cellStyle name="_Column4_Sheet1_Maco LE1 vers 30.4.07_Sheet1 (5)" xfId="7867" xr:uid="{00000000-0005-0000-0000-0000B21E0000}"/>
    <cellStyle name="_Column4_Sheet1_Maco LE1 vers 30.4.07_Sheet2" xfId="7868" xr:uid="{00000000-0005-0000-0000-0000B31E0000}"/>
    <cellStyle name="_Column4_Sheet1_Maco LE1 vers 30.4.07_Sheet3" xfId="7869" xr:uid="{00000000-0005-0000-0000-0000B41E0000}"/>
    <cellStyle name="_Column4_Sheet1_Maco LE1 vers 30.4.07_status" xfId="7870" xr:uid="{00000000-0005-0000-0000-0000B51E0000}"/>
    <cellStyle name="_Column4_Sheet1_Marzo 2007 Deck vers 16.4.07" xfId="7871" xr:uid="{00000000-0005-0000-0000-0000B61E0000}"/>
    <cellStyle name="_Column4_Sheet1_welp" xfId="7872" xr:uid="{00000000-0005-0000-0000-0000B71E0000}"/>
    <cellStyle name="_Column4_Sheet1_welp_RFFS SUBMISSION TO VPs" xfId="7873" xr:uid="{00000000-0005-0000-0000-0000B81E0000}"/>
    <cellStyle name="_Column4_Sheet1_welp_RFFS_SUBMISSION_TO_VPs _v2" xfId="7874" xr:uid="{00000000-0005-0000-0000-0000B91E0000}"/>
    <cellStyle name="_Column4_Sheet2" xfId="7875" xr:uid="{00000000-0005-0000-0000-0000BA1E0000}"/>
    <cellStyle name="_Column4_Sheet2 2" xfId="7876" xr:uid="{00000000-0005-0000-0000-0000BB1E0000}"/>
    <cellStyle name="_Column4_Sheet2 3" xfId="7877" xr:uid="{00000000-0005-0000-0000-0000BC1E0000}"/>
    <cellStyle name="_Column4_Sheet2 3 2" xfId="7878" xr:uid="{00000000-0005-0000-0000-0000BD1E0000}"/>
    <cellStyle name="_Column4_Sheet2 3 3" xfId="7879" xr:uid="{00000000-0005-0000-0000-0000BE1E0000}"/>
    <cellStyle name="_Column4_Sheet2 3 3 2" xfId="7880" xr:uid="{00000000-0005-0000-0000-0000BF1E0000}"/>
    <cellStyle name="_Column4_Sheet2 4" xfId="7881" xr:uid="{00000000-0005-0000-0000-0000C01E0000}"/>
    <cellStyle name="_Column4_Sheet2 4 2" xfId="7882" xr:uid="{00000000-0005-0000-0000-0000C11E0000}"/>
    <cellStyle name="_Column4_Sheet2_1" xfId="7883" xr:uid="{00000000-0005-0000-0000-0000C21E0000}"/>
    <cellStyle name="_Column4_Sheet2_BB (2)" xfId="7884" xr:uid="{00000000-0005-0000-0000-0000C31E0000}"/>
    <cellStyle name="_Column4_Sheet2_C00200" xfId="7885" xr:uid="{00000000-0005-0000-0000-0000C41E0000}"/>
    <cellStyle name="_Column4_Sheet2_C00210" xfId="7886" xr:uid="{00000000-0005-0000-0000-0000C51E0000}"/>
    <cellStyle name="_Column4_Sheet2_C00300" xfId="7887" xr:uid="{00000000-0005-0000-0000-0000C61E0000}"/>
    <cellStyle name="_Column4_Sheet2_C00400" xfId="7888" xr:uid="{00000000-0005-0000-0000-0000C71E0000}"/>
    <cellStyle name="_Column4_Sheet2_check6" xfId="7889" xr:uid="{00000000-0005-0000-0000-0000C81E0000}"/>
    <cellStyle name="_Column4_Sheet2_Sheet1" xfId="7890" xr:uid="{00000000-0005-0000-0000-0000C91E0000}"/>
    <cellStyle name="_Column4_Sheet2_Sheet1 (5)" xfId="7891" xr:uid="{00000000-0005-0000-0000-0000CA1E0000}"/>
    <cellStyle name="_Column4_Sheet2_Sheet2" xfId="7892" xr:uid="{00000000-0005-0000-0000-0000CB1E0000}"/>
    <cellStyle name="_Column4_Sheet2_Sheet3" xfId="7893" xr:uid="{00000000-0005-0000-0000-0000CC1E0000}"/>
    <cellStyle name="_Column4_Sheet2_status" xfId="7894" xr:uid="{00000000-0005-0000-0000-0000CD1E0000}"/>
    <cellStyle name="_Column4_Sheet3" xfId="7895" xr:uid="{00000000-0005-0000-0000-0000CE1E0000}"/>
    <cellStyle name="_Column4_Sheet5" xfId="7896" xr:uid="{00000000-0005-0000-0000-0000CF1E0000}"/>
    <cellStyle name="_Column4_Sim LE Full v2 (1o. Tri com Ene real) Organic " xfId="7897" xr:uid="{00000000-0005-0000-0000-0000D01E0000}"/>
    <cellStyle name="_Column4_Sim LE Full v2 (1o. Tri com Ene real) Organic  2" xfId="7898" xr:uid="{00000000-0005-0000-0000-0000D11E0000}"/>
    <cellStyle name="_Column4_Sim LE Full v2 (1o. Tri com Ene real) Organic  2 2" xfId="7899" xr:uid="{00000000-0005-0000-0000-0000D21E0000}"/>
    <cellStyle name="_Column4_Sim LE Full v2 (1o. Tri com Ene real) Organic  3" xfId="7900" xr:uid="{00000000-0005-0000-0000-0000D31E0000}"/>
    <cellStyle name="_Column4_Simulador EBITDA P1A09  V3" xfId="7901" xr:uid="{00000000-0005-0000-0000-0000D41E0000}"/>
    <cellStyle name="_Column4_Simulador EBITDA P1A09  V3 2" xfId="7902" xr:uid="{00000000-0005-0000-0000-0000D51E0000}"/>
    <cellStyle name="_Column4_Simulador EBITDA P1A09  V3 2 2" xfId="7903" xr:uid="{00000000-0005-0000-0000-0000D61E0000}"/>
    <cellStyle name="_Column4_Simulador EBITDA P1A09  V3 3" xfId="7904" xr:uid="{00000000-0005-0000-0000-0000D71E0000}"/>
    <cellStyle name="_Column4_Simulador EBITDA P1A09  V3_CA ML" xfId="7905" xr:uid="{00000000-0005-0000-0000-0000D81E0000}"/>
    <cellStyle name="_Column4_Simulador EBITDA P1A09  V3_CA ML 2" xfId="7906" xr:uid="{00000000-0005-0000-0000-0000D91E0000}"/>
    <cellStyle name="_Column4_Simulador EBITDA P1A09  V3_CA ML 2 2" xfId="7907" xr:uid="{00000000-0005-0000-0000-0000DA1E0000}"/>
    <cellStyle name="_Column4_Simulador EBITDA P1A09  V3_CA ML 3" xfId="7908" xr:uid="{00000000-0005-0000-0000-0000DB1E0000}"/>
    <cellStyle name="_Column4_Simulador EBITDA P1A09  V3_CA ML_1" xfId="7909" xr:uid="{00000000-0005-0000-0000-0000DC1E0000}"/>
    <cellStyle name="_Column4_Simulador EBITDA P1A09  V3_CA ML_1 2" xfId="7910" xr:uid="{00000000-0005-0000-0000-0000DD1E0000}"/>
    <cellStyle name="_Column4_Simulador EBITDA P1A09  V3_CA ML_1 2 2" xfId="7911" xr:uid="{00000000-0005-0000-0000-0000DE1E0000}"/>
    <cellStyle name="_Column4_Simulador EBITDA P1A09  V3_CA ML_1 3" xfId="7912" xr:uid="{00000000-0005-0000-0000-0000DF1E0000}"/>
    <cellStyle name="_Column4_Simulador EBITDA P1A09  V3_CA ML_2" xfId="7913" xr:uid="{00000000-0005-0000-0000-0000E01E0000}"/>
    <cellStyle name="_Column4_Simulador EBITDA P1A09  V3_CA ML_2 2" xfId="7914" xr:uid="{00000000-0005-0000-0000-0000E11E0000}"/>
    <cellStyle name="_Column4_Simulador EBITDA P1A09  V3_CA ML_2 2 2" xfId="7915" xr:uid="{00000000-0005-0000-0000-0000E21E0000}"/>
    <cellStyle name="_Column4_Simulador EBITDA P1A09  V3_CA ML_2 3" xfId="7916" xr:uid="{00000000-0005-0000-0000-0000E31E0000}"/>
    <cellStyle name="_Column4_Simulador EBITDA P1A09  V3_CA USD" xfId="7917" xr:uid="{00000000-0005-0000-0000-0000E41E0000}"/>
    <cellStyle name="_Column4_Simulador EBITDA P1A09  V3_CA USD 2" xfId="7918" xr:uid="{00000000-0005-0000-0000-0000E51E0000}"/>
    <cellStyle name="_Column4_Simulador EBITDA P1A09  V3_CA USD 2 2" xfId="7919" xr:uid="{00000000-0005-0000-0000-0000E61E0000}"/>
    <cellStyle name="_Column4_Simulador EBITDA P1A09  V3_CA USD 3" xfId="7920" xr:uid="{00000000-0005-0000-0000-0000E71E0000}"/>
    <cellStyle name="_Column4_Simulador EBITDA P1A09  V3_EC ML" xfId="7921" xr:uid="{00000000-0005-0000-0000-0000E81E0000}"/>
    <cellStyle name="_Column4_Simulador EBITDA P1A09  V3_EC ML 2" xfId="7922" xr:uid="{00000000-0005-0000-0000-0000E91E0000}"/>
    <cellStyle name="_Column4_Simulador EBITDA P1A09  V3_EC ML 2 2" xfId="7923" xr:uid="{00000000-0005-0000-0000-0000EA1E0000}"/>
    <cellStyle name="_Column4_Simulador EBITDA P1A09  V3_EC ML 3" xfId="7924" xr:uid="{00000000-0005-0000-0000-0000EB1E0000}"/>
    <cellStyle name="_Column4_Simulador EBITDA P1A09  V3_EC ML_1" xfId="7925" xr:uid="{00000000-0005-0000-0000-0000EC1E0000}"/>
    <cellStyle name="_Column4_Simulador EBITDA P1A09  V3_EC ML_1 2" xfId="7926" xr:uid="{00000000-0005-0000-0000-0000ED1E0000}"/>
    <cellStyle name="_Column4_Simulador EBITDA P1A09  V3_EC ML_1 2 2" xfId="7927" xr:uid="{00000000-0005-0000-0000-0000EE1E0000}"/>
    <cellStyle name="_Column4_Simulador EBITDA P1A09  V3_EC ML_1 3" xfId="7928" xr:uid="{00000000-0005-0000-0000-0000EF1E0000}"/>
    <cellStyle name="_Column4_Simulador EBITDA P1A09  V3_EC USD" xfId="7929" xr:uid="{00000000-0005-0000-0000-0000F01E0000}"/>
    <cellStyle name="_Column4_Simulador EBITDA P1A09  V3_EC USD 2" xfId="7930" xr:uid="{00000000-0005-0000-0000-0000F11E0000}"/>
    <cellStyle name="_Column4_Simulador EBITDA P1A09  V3_EC USD 2 2" xfId="7931" xr:uid="{00000000-0005-0000-0000-0000F21E0000}"/>
    <cellStyle name="_Column4_Simulador EBITDA P1A09  V3_EC USD 3" xfId="7932" xr:uid="{00000000-0005-0000-0000-0000F31E0000}"/>
    <cellStyle name="_Column4_Simulador EBITDA P1A09  V3_fx" xfId="7933" xr:uid="{00000000-0005-0000-0000-0000F41E0000}"/>
    <cellStyle name="_Column4_Simulador EBITDA P1A09  V3_fx 2" xfId="7934" xr:uid="{00000000-0005-0000-0000-0000F51E0000}"/>
    <cellStyle name="_Column4_Simulador EBITDA P1A09  V3_fx 2 2" xfId="7935" xr:uid="{00000000-0005-0000-0000-0000F61E0000}"/>
    <cellStyle name="_Column4_Simulador EBITDA P1A09  V3_fx 3" xfId="7936" xr:uid="{00000000-0005-0000-0000-0000F71E0000}"/>
    <cellStyle name="_Column4_Simulador EBITDA P1A09  V3_PE ML" xfId="7937" xr:uid="{00000000-0005-0000-0000-0000F81E0000}"/>
    <cellStyle name="_Column4_Simulador EBITDA P1A09  V3_PE ML 2" xfId="7938" xr:uid="{00000000-0005-0000-0000-0000F91E0000}"/>
    <cellStyle name="_Column4_Simulador EBITDA P1A09  V3_PE ML 2 2" xfId="7939" xr:uid="{00000000-0005-0000-0000-0000FA1E0000}"/>
    <cellStyle name="_Column4_Simulador EBITDA P1A09  V3_PE ML 3" xfId="7940" xr:uid="{00000000-0005-0000-0000-0000FB1E0000}"/>
    <cellStyle name="_Column4_Simulador EBITDA P1A09  V3_PE ML_1" xfId="7941" xr:uid="{00000000-0005-0000-0000-0000FC1E0000}"/>
    <cellStyle name="_Column4_Simulador EBITDA P1A09  V3_PE ML_1 2" xfId="7942" xr:uid="{00000000-0005-0000-0000-0000FD1E0000}"/>
    <cellStyle name="_Column4_Simulador EBITDA P1A09  V3_PE ML_1 2 2" xfId="7943" xr:uid="{00000000-0005-0000-0000-0000FE1E0000}"/>
    <cellStyle name="_Column4_Simulador EBITDA P1A09  V3_PE ML_1 3" xfId="7944" xr:uid="{00000000-0005-0000-0000-0000FF1E0000}"/>
    <cellStyle name="_Column4_Simulador EBITDA P1A09  V3_PE ML_2" xfId="7945" xr:uid="{00000000-0005-0000-0000-0000001F0000}"/>
    <cellStyle name="_Column4_Simulador EBITDA P1A09  V3_PE ML_2 2" xfId="7946" xr:uid="{00000000-0005-0000-0000-0000011F0000}"/>
    <cellStyle name="_Column4_Simulador EBITDA P1A09  V3_PE ML_2 2 2" xfId="7947" xr:uid="{00000000-0005-0000-0000-0000021F0000}"/>
    <cellStyle name="_Column4_Simulador EBITDA P1A09  V3_PE ML_2 3" xfId="7948" xr:uid="{00000000-0005-0000-0000-0000031F0000}"/>
    <cellStyle name="_Column4_Simulador EBITDA P1A09  V3_PE USD" xfId="7949" xr:uid="{00000000-0005-0000-0000-0000041F0000}"/>
    <cellStyle name="_Column4_Simulador EBITDA P1A09  V3_PE USD 2" xfId="7950" xr:uid="{00000000-0005-0000-0000-0000051F0000}"/>
    <cellStyle name="_Column4_Simulador EBITDA P1A09  V3_PE USD 2 2" xfId="7951" xr:uid="{00000000-0005-0000-0000-0000061F0000}"/>
    <cellStyle name="_Column4_Simulador EBITDA P1A09  V3_PE USD 3" xfId="7952" xr:uid="{00000000-0005-0000-0000-0000071F0000}"/>
    <cellStyle name="_Column4_Simulador EBITDA P1A09  V3_RD ML" xfId="7953" xr:uid="{00000000-0005-0000-0000-0000081F0000}"/>
    <cellStyle name="_Column4_Simulador EBITDA P1A09  V3_RD ML 2" xfId="7954" xr:uid="{00000000-0005-0000-0000-0000091F0000}"/>
    <cellStyle name="_Column4_Simulador EBITDA P1A09  V3_RD ML 2 2" xfId="7955" xr:uid="{00000000-0005-0000-0000-00000A1F0000}"/>
    <cellStyle name="_Column4_Simulador EBITDA P1A09  V3_RD ML 3" xfId="7956" xr:uid="{00000000-0005-0000-0000-00000B1F0000}"/>
    <cellStyle name="_Column4_Simulador EBITDA P1A09  V3_RD ML_1" xfId="7957" xr:uid="{00000000-0005-0000-0000-00000C1F0000}"/>
    <cellStyle name="_Column4_Simulador EBITDA P1A09  V3_RD ML_1 2" xfId="7958" xr:uid="{00000000-0005-0000-0000-00000D1F0000}"/>
    <cellStyle name="_Column4_Simulador EBITDA P1A09  V3_RD ML_1 2 2" xfId="7959" xr:uid="{00000000-0005-0000-0000-00000E1F0000}"/>
    <cellStyle name="_Column4_Simulador EBITDA P1A09  V3_RD ML_1 3" xfId="7960" xr:uid="{00000000-0005-0000-0000-00000F1F0000}"/>
    <cellStyle name="_Column4_Simulador EBITDA P1A09  V3_RD ML_2" xfId="7961" xr:uid="{00000000-0005-0000-0000-0000101F0000}"/>
    <cellStyle name="_Column4_Simulador EBITDA P1A09  V3_RD ML_2 2" xfId="7962" xr:uid="{00000000-0005-0000-0000-0000111F0000}"/>
    <cellStyle name="_Column4_Simulador EBITDA P1A09  V3_RD ML_2 2 2" xfId="7963" xr:uid="{00000000-0005-0000-0000-0000121F0000}"/>
    <cellStyle name="_Column4_Simulador EBITDA P1A09  V3_RD ML_2 3" xfId="7964" xr:uid="{00000000-0005-0000-0000-0000131F0000}"/>
    <cellStyle name="_Column4_Simulador EBITDA P1A09  V3_RD USD" xfId="7965" xr:uid="{00000000-0005-0000-0000-0000141F0000}"/>
    <cellStyle name="_Column4_Simulador EBITDA P1A09  V3_RD USD 2" xfId="7966" xr:uid="{00000000-0005-0000-0000-0000151F0000}"/>
    <cellStyle name="_Column4_Simulador EBITDA P1A09  V3_RD USD 2 2" xfId="7967" xr:uid="{00000000-0005-0000-0000-0000161F0000}"/>
    <cellStyle name="_Column4_Simulador EBITDA P1A09  V3_RD USD 3" xfId="7968" xr:uid="{00000000-0005-0000-0000-0000171F0000}"/>
    <cellStyle name="_Column4_Simulador Precio GT 2009 V_Fernando" xfId="7969" xr:uid="{00000000-0005-0000-0000-0000181F0000}"/>
    <cellStyle name="_Column4_Simulador Precio GT 2009 V_Fernando 2" xfId="7970" xr:uid="{00000000-0005-0000-0000-0000191F0000}"/>
    <cellStyle name="_Column4_Simulador Precio GT 2009 V_Fernando 2 2" xfId="7971" xr:uid="{00000000-0005-0000-0000-00001A1F0000}"/>
    <cellStyle name="_Column4_Simulador Precio GT 2009 V_Fernando 3" xfId="7972" xr:uid="{00000000-0005-0000-0000-00001B1F0000}"/>
    <cellStyle name="_Column4_Simulador Precio GT 2009 V_Fernando_CA ML" xfId="7973" xr:uid="{00000000-0005-0000-0000-00001C1F0000}"/>
    <cellStyle name="_Column4_Simulador Precio GT 2009 V_Fernando_CA ML 2" xfId="7974" xr:uid="{00000000-0005-0000-0000-00001D1F0000}"/>
    <cellStyle name="_Column4_Simulador Precio GT 2009 V_Fernando_CA ML 2 2" xfId="7975" xr:uid="{00000000-0005-0000-0000-00001E1F0000}"/>
    <cellStyle name="_Column4_Simulador Precio GT 2009 V_Fernando_CA ML 3" xfId="7976" xr:uid="{00000000-0005-0000-0000-00001F1F0000}"/>
    <cellStyle name="_Column4_Simulador Precio GT 2009 V_Fernando_CA ML_1" xfId="7977" xr:uid="{00000000-0005-0000-0000-0000201F0000}"/>
    <cellStyle name="_Column4_Simulador Precio GT 2009 V_Fernando_CA ML_1 2" xfId="7978" xr:uid="{00000000-0005-0000-0000-0000211F0000}"/>
    <cellStyle name="_Column4_Simulador Precio GT 2009 V_Fernando_CA ML_1 2 2" xfId="7979" xr:uid="{00000000-0005-0000-0000-0000221F0000}"/>
    <cellStyle name="_Column4_Simulador Precio GT 2009 V_Fernando_CA ML_1 3" xfId="7980" xr:uid="{00000000-0005-0000-0000-0000231F0000}"/>
    <cellStyle name="_Column4_Simulador Precio GT 2009 V_Fernando_CA ML_2" xfId="7981" xr:uid="{00000000-0005-0000-0000-0000241F0000}"/>
    <cellStyle name="_Column4_Simulador Precio GT 2009 V_Fernando_CA ML_2 2" xfId="7982" xr:uid="{00000000-0005-0000-0000-0000251F0000}"/>
    <cellStyle name="_Column4_Simulador Precio GT 2009 V_Fernando_CA ML_2 2 2" xfId="7983" xr:uid="{00000000-0005-0000-0000-0000261F0000}"/>
    <cellStyle name="_Column4_Simulador Precio GT 2009 V_Fernando_CA ML_2 3" xfId="7984" xr:uid="{00000000-0005-0000-0000-0000271F0000}"/>
    <cellStyle name="_Column4_Simulador Precio GT 2009 V_Fernando_CA USD" xfId="7985" xr:uid="{00000000-0005-0000-0000-0000281F0000}"/>
    <cellStyle name="_Column4_Simulador Precio GT 2009 V_Fernando_CA USD 2" xfId="7986" xr:uid="{00000000-0005-0000-0000-0000291F0000}"/>
    <cellStyle name="_Column4_Simulador Precio GT 2009 V_Fernando_CA USD 2 2" xfId="7987" xr:uid="{00000000-0005-0000-0000-00002A1F0000}"/>
    <cellStyle name="_Column4_Simulador Precio GT 2009 V_Fernando_CA USD 3" xfId="7988" xr:uid="{00000000-0005-0000-0000-00002B1F0000}"/>
    <cellStyle name="_Column4_Simulador Precio GT 2009 V_Fernando_Conciliacao 1" xfId="7989" xr:uid="{00000000-0005-0000-0000-00002C1F0000}"/>
    <cellStyle name="_Column4_Simulador Precio GT 2009 V_Fernando_Conciliacao 1 2" xfId="7990" xr:uid="{00000000-0005-0000-0000-00002D1F0000}"/>
    <cellStyle name="_Column4_Simulador Precio GT 2009 V_Fernando_Conciliacao 1 2 2" xfId="7991" xr:uid="{00000000-0005-0000-0000-00002E1F0000}"/>
    <cellStyle name="_Column4_Simulador Precio GT 2009 V_Fernando_Conciliacao 1 3" xfId="7992" xr:uid="{00000000-0005-0000-0000-00002F1F0000}"/>
    <cellStyle name="_Column4_Simulador Precio GT 2009 V_Fernando_EC ML" xfId="7993" xr:uid="{00000000-0005-0000-0000-0000301F0000}"/>
    <cellStyle name="_Column4_Simulador Precio GT 2009 V_Fernando_EC ML 2" xfId="7994" xr:uid="{00000000-0005-0000-0000-0000311F0000}"/>
    <cellStyle name="_Column4_Simulador Precio GT 2009 V_Fernando_EC ML 2 2" xfId="7995" xr:uid="{00000000-0005-0000-0000-0000321F0000}"/>
    <cellStyle name="_Column4_Simulador Precio GT 2009 V_Fernando_EC ML 3" xfId="7996" xr:uid="{00000000-0005-0000-0000-0000331F0000}"/>
    <cellStyle name="_Column4_Simulador Precio GT 2009 V_Fernando_EC ML_1" xfId="7997" xr:uid="{00000000-0005-0000-0000-0000341F0000}"/>
    <cellStyle name="_Column4_Simulador Precio GT 2009 V_Fernando_EC ML_1 2" xfId="7998" xr:uid="{00000000-0005-0000-0000-0000351F0000}"/>
    <cellStyle name="_Column4_Simulador Precio GT 2009 V_Fernando_EC ML_1 2 2" xfId="7999" xr:uid="{00000000-0005-0000-0000-0000361F0000}"/>
    <cellStyle name="_Column4_Simulador Precio GT 2009 V_Fernando_EC ML_1 3" xfId="8000" xr:uid="{00000000-0005-0000-0000-0000371F0000}"/>
    <cellStyle name="_Column4_Simulador Precio GT 2009 V_Fernando_EC USD" xfId="8001" xr:uid="{00000000-0005-0000-0000-0000381F0000}"/>
    <cellStyle name="_Column4_Simulador Precio GT 2009 V_Fernando_EC USD 2" xfId="8002" xr:uid="{00000000-0005-0000-0000-0000391F0000}"/>
    <cellStyle name="_Column4_Simulador Precio GT 2009 V_Fernando_EC USD 2 2" xfId="8003" xr:uid="{00000000-0005-0000-0000-00003A1F0000}"/>
    <cellStyle name="_Column4_Simulador Precio GT 2009 V_Fernando_EC USD 3" xfId="8004" xr:uid="{00000000-0005-0000-0000-00003B1F0000}"/>
    <cellStyle name="_Column4_Simulador Precio GT 2009 V_Fernando_fx" xfId="8005" xr:uid="{00000000-0005-0000-0000-00003C1F0000}"/>
    <cellStyle name="_Column4_Simulador Precio GT 2009 V_Fernando_fx 2" xfId="8006" xr:uid="{00000000-0005-0000-0000-00003D1F0000}"/>
    <cellStyle name="_Column4_Simulador Precio GT 2009 V_Fernando_fx 2 2" xfId="8007" xr:uid="{00000000-0005-0000-0000-00003E1F0000}"/>
    <cellStyle name="_Column4_Simulador Precio GT 2009 V_Fernando_fx 3" xfId="8008" xr:uid="{00000000-0005-0000-0000-00003F1F0000}"/>
    <cellStyle name="_Column4_Simulador Precio GT 2009 V_Fernando_Pasta2" xfId="8009" xr:uid="{00000000-0005-0000-0000-0000401F0000}"/>
    <cellStyle name="_Column4_Simulador Precio GT 2009 V_Fernando_Pasta2 2" xfId="8010" xr:uid="{00000000-0005-0000-0000-0000411F0000}"/>
    <cellStyle name="_Column4_Simulador Precio GT 2009 V_Fernando_Pasta2 2 2" xfId="8011" xr:uid="{00000000-0005-0000-0000-0000421F0000}"/>
    <cellStyle name="_Column4_Simulador Precio GT 2009 V_Fernando_Pasta2 3" xfId="8012" xr:uid="{00000000-0005-0000-0000-0000431F0000}"/>
    <cellStyle name="_Column4_Simulador Precio GT 2009 V_Fernando_PE ML" xfId="8013" xr:uid="{00000000-0005-0000-0000-0000441F0000}"/>
    <cellStyle name="_Column4_Simulador Precio GT 2009 V_Fernando_PE ML 2" xfId="8014" xr:uid="{00000000-0005-0000-0000-0000451F0000}"/>
    <cellStyle name="_Column4_Simulador Precio GT 2009 V_Fernando_PE ML 2 2" xfId="8015" xr:uid="{00000000-0005-0000-0000-0000461F0000}"/>
    <cellStyle name="_Column4_Simulador Precio GT 2009 V_Fernando_PE ML 3" xfId="8016" xr:uid="{00000000-0005-0000-0000-0000471F0000}"/>
    <cellStyle name="_Column4_Simulador Precio GT 2009 V_Fernando_PE ML_1" xfId="8017" xr:uid="{00000000-0005-0000-0000-0000481F0000}"/>
    <cellStyle name="_Column4_Simulador Precio GT 2009 V_Fernando_PE ML_1 2" xfId="8018" xr:uid="{00000000-0005-0000-0000-0000491F0000}"/>
    <cellStyle name="_Column4_Simulador Precio GT 2009 V_Fernando_PE ML_1 2 2" xfId="8019" xr:uid="{00000000-0005-0000-0000-00004A1F0000}"/>
    <cellStyle name="_Column4_Simulador Precio GT 2009 V_Fernando_PE ML_1 3" xfId="8020" xr:uid="{00000000-0005-0000-0000-00004B1F0000}"/>
    <cellStyle name="_Column4_Simulador Precio GT 2009 V_Fernando_PE ML_2" xfId="8021" xr:uid="{00000000-0005-0000-0000-00004C1F0000}"/>
    <cellStyle name="_Column4_Simulador Precio GT 2009 V_Fernando_PE ML_2 2" xfId="8022" xr:uid="{00000000-0005-0000-0000-00004D1F0000}"/>
    <cellStyle name="_Column4_Simulador Precio GT 2009 V_Fernando_PE ML_2 2 2" xfId="8023" xr:uid="{00000000-0005-0000-0000-00004E1F0000}"/>
    <cellStyle name="_Column4_Simulador Precio GT 2009 V_Fernando_PE ML_2 3" xfId="8024" xr:uid="{00000000-0005-0000-0000-00004F1F0000}"/>
    <cellStyle name="_Column4_Simulador Precio GT 2009 V_Fernando_PE USD" xfId="8025" xr:uid="{00000000-0005-0000-0000-0000501F0000}"/>
    <cellStyle name="_Column4_Simulador Precio GT 2009 V_Fernando_PE USD 2" xfId="8026" xr:uid="{00000000-0005-0000-0000-0000511F0000}"/>
    <cellStyle name="_Column4_Simulador Precio GT 2009 V_Fernando_PE USD 2 2" xfId="8027" xr:uid="{00000000-0005-0000-0000-0000521F0000}"/>
    <cellStyle name="_Column4_Simulador Precio GT 2009 V_Fernando_PE USD 3" xfId="8028" xr:uid="{00000000-0005-0000-0000-0000531F0000}"/>
    <cellStyle name="_Column4_Simulador Precio GT 2009 V_Fernando_RD ML" xfId="8029" xr:uid="{00000000-0005-0000-0000-0000541F0000}"/>
    <cellStyle name="_Column4_Simulador Precio GT 2009 V_Fernando_RD ML 2" xfId="8030" xr:uid="{00000000-0005-0000-0000-0000551F0000}"/>
    <cellStyle name="_Column4_Simulador Precio GT 2009 V_Fernando_RD ML 2 2" xfId="8031" xr:uid="{00000000-0005-0000-0000-0000561F0000}"/>
    <cellStyle name="_Column4_Simulador Precio GT 2009 V_Fernando_RD ML 3" xfId="8032" xr:uid="{00000000-0005-0000-0000-0000571F0000}"/>
    <cellStyle name="_Column4_Simulador Precio GT 2009 V_Fernando_RD ML_1" xfId="8033" xr:uid="{00000000-0005-0000-0000-0000581F0000}"/>
    <cellStyle name="_Column4_Simulador Precio GT 2009 V_Fernando_RD ML_1 2" xfId="8034" xr:uid="{00000000-0005-0000-0000-0000591F0000}"/>
    <cellStyle name="_Column4_Simulador Precio GT 2009 V_Fernando_RD ML_1 2 2" xfId="8035" xr:uid="{00000000-0005-0000-0000-00005A1F0000}"/>
    <cellStyle name="_Column4_Simulador Precio GT 2009 V_Fernando_RD ML_1 3" xfId="8036" xr:uid="{00000000-0005-0000-0000-00005B1F0000}"/>
    <cellStyle name="_Column4_Simulador Precio GT 2009 V_Fernando_RD ML_2" xfId="8037" xr:uid="{00000000-0005-0000-0000-00005C1F0000}"/>
    <cellStyle name="_Column4_Simulador Precio GT 2009 V_Fernando_RD ML_2 2" xfId="8038" xr:uid="{00000000-0005-0000-0000-00005D1F0000}"/>
    <cellStyle name="_Column4_Simulador Precio GT 2009 V_Fernando_RD ML_2 2 2" xfId="8039" xr:uid="{00000000-0005-0000-0000-00005E1F0000}"/>
    <cellStyle name="_Column4_Simulador Precio GT 2009 V_Fernando_RD ML_2 3" xfId="8040" xr:uid="{00000000-0005-0000-0000-00005F1F0000}"/>
    <cellStyle name="_Column4_Simulador Precio GT 2009 V_Fernando_RD USD" xfId="8041" xr:uid="{00000000-0005-0000-0000-0000601F0000}"/>
    <cellStyle name="_Column4_Simulador Precio GT 2009 V_Fernando_RD USD 2" xfId="8042" xr:uid="{00000000-0005-0000-0000-0000611F0000}"/>
    <cellStyle name="_Column4_Simulador Precio GT 2009 V_Fernando_RD USD 2 2" xfId="8043" xr:uid="{00000000-0005-0000-0000-0000621F0000}"/>
    <cellStyle name="_Column4_Simulador Precio GT 2009 V_Fernando_RD USD 3" xfId="8044" xr:uid="{00000000-0005-0000-0000-0000631F0000}"/>
    <cellStyle name="_Column4_Simulador Precio GT 2009 V_Fernando_Riesgos - Oportunidades" xfId="8045" xr:uid="{00000000-0005-0000-0000-0000641F0000}"/>
    <cellStyle name="_Column4_Simulador Precio GT 2009 V_Fernando_Riesgos - Oportunidades 2" xfId="8046" xr:uid="{00000000-0005-0000-0000-0000651F0000}"/>
    <cellStyle name="_Column4_Simulador Precio GT 2009 V_Fernando_Riesgos - Oportunidades 2 2" xfId="8047" xr:uid="{00000000-0005-0000-0000-0000661F0000}"/>
    <cellStyle name="_Column4_Simulador Precio GT 2009 V_Fernando_Riesgos - Oportunidades 3" xfId="8048" xr:uid="{00000000-0005-0000-0000-0000671F0000}"/>
    <cellStyle name="_Column4_Simulador Precio GT 2009 V_Fernando_SDG FEV" xfId="8049" xr:uid="{00000000-0005-0000-0000-0000681F0000}"/>
    <cellStyle name="_Column4_Simulador Precio GT 2009 V_Fernando_SDG FEV 2" xfId="8050" xr:uid="{00000000-0005-0000-0000-0000691F0000}"/>
    <cellStyle name="_Column4_Simulador Precio GT 2009 V_Fernando_SDG FEV 2 2" xfId="8051" xr:uid="{00000000-0005-0000-0000-00006A1F0000}"/>
    <cellStyle name="_Column4_Simulador Precio GT 2009 V_Fernando_SDG FEV 3" xfId="8052" xr:uid="{00000000-0005-0000-0000-00006B1F0000}"/>
    <cellStyle name="_Column4_Simulador Precio GT 2009 V_Fernando_Sim LE Full v2 (1o. Tri com Ene real) Organic " xfId="8053" xr:uid="{00000000-0005-0000-0000-00006C1F0000}"/>
    <cellStyle name="_Column4_Simulador Precio GT 2009 V_Fernando_Sim LE Full v2 (1o. Tri com Ene real) Organic  2" xfId="8054" xr:uid="{00000000-0005-0000-0000-00006D1F0000}"/>
    <cellStyle name="_Column4_Simulador Precio GT 2009 V_Fernando_Sim LE Full v2 (1o. Tri com Ene real) Organic  2 2" xfId="8055" xr:uid="{00000000-0005-0000-0000-00006E1F0000}"/>
    <cellStyle name="_Column4_Simulador Precio GT 2009 V_Fernando_Sim LE Full v2 (1o. Tri com Ene real) Organic  3" xfId="8056" xr:uid="{00000000-0005-0000-0000-00006F1F0000}"/>
    <cellStyle name="_Column4_Simulador Precio GT 2009 V_Fernando_SIMULADOR RDV6!" xfId="8057" xr:uid="{00000000-0005-0000-0000-0000701F0000}"/>
    <cellStyle name="_Column4_Simulador Precio GT 2009 V_Fernando_SIMULADOR RDV6! 2" xfId="8058" xr:uid="{00000000-0005-0000-0000-0000711F0000}"/>
    <cellStyle name="_Column4_Simulador Precio GT 2009 V_Fernando_SIMULADOR RDV6! 2 2" xfId="8059" xr:uid="{00000000-0005-0000-0000-0000721F0000}"/>
    <cellStyle name="_Column4_Simulador Precio GT 2009 V_Fernando_SIMULADOR RDV6! 3" xfId="8060" xr:uid="{00000000-0005-0000-0000-0000731F0000}"/>
    <cellStyle name="_Column4_Simulador Precio GT 2009 V_Fernando_TENDENCIA V0309" xfId="8061" xr:uid="{00000000-0005-0000-0000-0000741F0000}"/>
    <cellStyle name="_Column4_Simulador Precio GT 2009 V_Fernando_TENDENCIA V0309 2" xfId="8062" xr:uid="{00000000-0005-0000-0000-0000751F0000}"/>
    <cellStyle name="_Column4_Simulador Precio GT 2009 V_Fernando_TENDENCIA V0309 2 2" xfId="8063" xr:uid="{00000000-0005-0000-0000-0000761F0000}"/>
    <cellStyle name="_Column4_Simulador Precio GT 2009 V_Fernando_TENDENCIA V0309 3" xfId="8064" xr:uid="{00000000-0005-0000-0000-0000771F0000}"/>
    <cellStyle name="_Column4_Simulador Precio GT 2009 V_Fernando_TENDENCIA V0409" xfId="8065" xr:uid="{00000000-0005-0000-0000-0000781F0000}"/>
    <cellStyle name="_Column4_Simulador Precio GT 2009 V_Fernando_TENDENCIA V0409 2" xfId="8066" xr:uid="{00000000-0005-0000-0000-0000791F0000}"/>
    <cellStyle name="_Column4_Simulador Precio GT 2009 V_Fernando_TENDENCIA V0409 2 2" xfId="8067" xr:uid="{00000000-0005-0000-0000-00007A1F0000}"/>
    <cellStyle name="_Column4_Simulador Precio GT 2009 V_Fernando_TENDENCIA V0409 3" xfId="8068" xr:uid="{00000000-0005-0000-0000-00007B1F0000}"/>
    <cellStyle name="_Column4_Simulador Precio GT 2009 V_Fernando_TENDENCIA V2" xfId="8069" xr:uid="{00000000-0005-0000-0000-00007C1F0000}"/>
    <cellStyle name="_Column4_Simulador Precio GT 2009 V_Fernando_TENDENCIA V2 2" xfId="8070" xr:uid="{00000000-0005-0000-0000-00007D1F0000}"/>
    <cellStyle name="_Column4_Simulador Precio GT 2009 V_Fernando_TENDENCIA V2 2 2" xfId="8071" xr:uid="{00000000-0005-0000-0000-00007E1F0000}"/>
    <cellStyle name="_Column4_Simulador Precio GT 2009 V_Fernando_TENDENCIA V2 3" xfId="8072" xr:uid="{00000000-0005-0000-0000-00007F1F0000}"/>
    <cellStyle name="_Column4_Simulador Precio GT 2009 V_Fernando_TENDENCIA0709 " xfId="8073" xr:uid="{00000000-0005-0000-0000-0000801F0000}"/>
    <cellStyle name="_Column4_Simulador Precio GT 2009 V_Fernando_TENDENCIA0709  2" xfId="8074" xr:uid="{00000000-0005-0000-0000-0000811F0000}"/>
    <cellStyle name="_Column4_Simulador Precio GT 2009 V_Fernando_TENDENCIA0709  2 2" xfId="8075" xr:uid="{00000000-0005-0000-0000-0000821F0000}"/>
    <cellStyle name="_Column4_Simulador Precio GT 2009 V_Fernando_TENDENCIA0709  3" xfId="8076" xr:uid="{00000000-0005-0000-0000-0000831F0000}"/>
    <cellStyle name="_Column4_Simulador Precio GT 2009 V_Fernando_TENDENCIA0909 " xfId="8077" xr:uid="{00000000-0005-0000-0000-0000841F0000}"/>
    <cellStyle name="_Column4_Simulador Precio GT 2009 V_Fernando_TENDENCIA0909  2" xfId="8078" xr:uid="{00000000-0005-0000-0000-0000851F0000}"/>
    <cellStyle name="_Column4_Simulador Precio GT 2009 V_Fernando_TENDENCIA0909  2 2" xfId="8079" xr:uid="{00000000-0005-0000-0000-0000861F0000}"/>
    <cellStyle name="_Column4_Simulador Precio GT 2009 V_Fernando_TENDENCIA0909  3" xfId="8080" xr:uid="{00000000-0005-0000-0000-0000871F0000}"/>
    <cellStyle name="_Column4_Sku listini Off Trade" xfId="8081" xr:uid="{00000000-0005-0000-0000-0000881F0000}"/>
    <cellStyle name="_Column4_SKU Volumen" xfId="8082" xr:uid="{00000000-0005-0000-0000-0000891F0000}"/>
    <cellStyle name="_Column4_SKU Volumen 2" xfId="8083" xr:uid="{00000000-0005-0000-0000-00008A1F0000}"/>
    <cellStyle name="_Column4_SKU Volumen_Sheet1" xfId="8084" xr:uid="{00000000-0005-0000-0000-00008B1F0000}"/>
    <cellStyle name="_Column4_SKU Volumen_Sm Proj Cash Flow" xfId="8085" xr:uid="{00000000-0005-0000-0000-00008C1F0000}"/>
    <cellStyle name="_Column4_SKU Volumen_Spend Detail" xfId="8086" xr:uid="{00000000-0005-0000-0000-00008D1F0000}"/>
    <cellStyle name="_Column4_SKU Volumen_SustainingProjectList" xfId="8087" xr:uid="{00000000-0005-0000-0000-00008E1F0000}"/>
    <cellStyle name="_Column4_Slide for initiatives (2)" xfId="8088" xr:uid="{00000000-0005-0000-0000-00008F1F0000}"/>
    <cellStyle name="_Column4_Slide for initiatives (2) 2" xfId="8089" xr:uid="{00000000-0005-0000-0000-0000901F0000}"/>
    <cellStyle name="_Column4_Slide for initiatives (2) 3" xfId="8090" xr:uid="{00000000-0005-0000-0000-0000911F0000}"/>
    <cellStyle name="_Column4_Slide for initiatives (2) 3 2" xfId="8091" xr:uid="{00000000-0005-0000-0000-0000921F0000}"/>
    <cellStyle name="_Column4_Slide for initiatives (2) 3 3" xfId="8092" xr:uid="{00000000-0005-0000-0000-0000931F0000}"/>
    <cellStyle name="_Column4_Slide for initiatives (2) 3 3 2" xfId="8093" xr:uid="{00000000-0005-0000-0000-0000941F0000}"/>
    <cellStyle name="_Column4_Slide for initiatives (2) 4" xfId="8094" xr:uid="{00000000-0005-0000-0000-0000951F0000}"/>
    <cellStyle name="_Column4_Slide for initiatives (2) 4 2" xfId="8095" xr:uid="{00000000-0005-0000-0000-0000961F0000}"/>
    <cellStyle name="_Column4_slide Innovation" xfId="8096" xr:uid="{00000000-0005-0000-0000-0000971F0000}"/>
    <cellStyle name="_Column4_Sm Proj Cash Flow" xfId="8097" xr:uid="{00000000-0005-0000-0000-0000981F0000}"/>
    <cellStyle name="_Column4_Sortierkosten LE2 Hasseröder" xfId="8098" xr:uid="{00000000-0005-0000-0000-0000991F0000}"/>
    <cellStyle name="_Column4_SP DEMAND" xfId="8099" xr:uid="{00000000-0005-0000-0000-00009A1F0000}"/>
    <cellStyle name="_Column4_Spend Detail" xfId="8100" xr:uid="{00000000-0005-0000-0000-00009B1F0000}"/>
    <cellStyle name="_Column4_SPR_Deck_2008_RFM_20080723" xfId="8101" xr:uid="{00000000-0005-0000-0000-00009C1F0000}"/>
    <cellStyle name="_Column4_SPR_Deck_2008_RFM_20080723_Sm Proj Cash Flow" xfId="8102" xr:uid="{00000000-0005-0000-0000-00009D1F0000}"/>
    <cellStyle name="_Column4_SPR_Deck_2008_RFM_20080723_Spend Detail" xfId="8103" xr:uid="{00000000-0005-0000-0000-00009E1F0000}"/>
    <cellStyle name="_Column4_status" xfId="8104" xr:uid="{00000000-0005-0000-0000-00009F1F0000}"/>
    <cellStyle name="_Column4_Stock 9.4" xfId="8105" xr:uid="{00000000-0005-0000-0000-0000A01F0000}"/>
    <cellStyle name="_Column4_Strategic Diagnostic Templates Technik" xfId="8106" xr:uid="{00000000-0005-0000-0000-0000A11F0000}"/>
    <cellStyle name="_Column4_Strategic Diagnostic Templates Technik 2" xfId="8107" xr:uid="{00000000-0005-0000-0000-0000A21F0000}"/>
    <cellStyle name="_Column4_Strategic Diagnostic Templates Technik 2 2" xfId="8108" xr:uid="{00000000-0005-0000-0000-0000A31F0000}"/>
    <cellStyle name="_Column4_Strategic Diagnostic Templates Technik 2 2 2" xfId="8109" xr:uid="{00000000-0005-0000-0000-0000A41F0000}"/>
    <cellStyle name="_Column4_Strategic Diagnostic Templates Technik 2 3" xfId="8110" xr:uid="{00000000-0005-0000-0000-0000A51F0000}"/>
    <cellStyle name="_Column4_Strategic Diagnostic Templates Technik 3" xfId="8111" xr:uid="{00000000-0005-0000-0000-0000A61F0000}"/>
    <cellStyle name="_Column4_Strategic Diagnostic Templates Technik 3 2" xfId="8112" xr:uid="{00000000-0005-0000-0000-0000A71F0000}"/>
    <cellStyle name="_Column4_Strategic Diagnostic Templates Technik 4" xfId="8113" xr:uid="{00000000-0005-0000-0000-0000A81F0000}"/>
    <cellStyle name="_Column4_Strategic Diagnostic Templates Technik_010808 Market Programs  for Budget Deck" xfId="8114" xr:uid="{00000000-0005-0000-0000-0000A91F0000}"/>
    <cellStyle name="_Column4_Strategic Diagnostic Templates Technik_010808 Market Programs  for Budget Deck 2" xfId="8115" xr:uid="{00000000-0005-0000-0000-0000AA1F0000}"/>
    <cellStyle name="_Column4_Strategic Diagnostic Templates Technik_010808 Market Programs  for Budget Deck 2 2" xfId="8116" xr:uid="{00000000-0005-0000-0000-0000AB1F0000}"/>
    <cellStyle name="_Column4_Strategic Diagnostic Templates Technik_010808 Market Programs  for Budget Deck 3" xfId="8117" xr:uid="{00000000-0005-0000-0000-0000AC1F0000}"/>
    <cellStyle name="_Column4_Strategic Diagnostic Templates Technik_0908 Gabarito exchange rate" xfId="8118" xr:uid="{00000000-0005-0000-0000-0000AD1F0000}"/>
    <cellStyle name="_Column4_Strategic Diagnostic Templates Technik_0908 Gabarito exchange rate 2" xfId="8119" xr:uid="{00000000-0005-0000-0000-0000AE1F0000}"/>
    <cellStyle name="_Column4_Strategic Diagnostic Templates Technik_0908 Gabarito exchange rate 2 2" xfId="8120" xr:uid="{00000000-0005-0000-0000-0000AF1F0000}"/>
    <cellStyle name="_Column4_Strategic Diagnostic Templates Technik_0908 Gabarito exchange rate 3" xfId="8121" xr:uid="{00000000-0005-0000-0000-0000B01F0000}"/>
    <cellStyle name="_Column4_Strategic Diagnostic Templates Technik_33cl rev. Budget Value Vers (3)" xfId="8122" xr:uid="{00000000-0005-0000-0000-0000B11F0000}"/>
    <cellStyle name="_Column4_Strategic Diagnostic Templates Technik_Accident frequency" xfId="8123" xr:uid="{00000000-0005-0000-0000-0000B21F0000}"/>
    <cellStyle name="_Column4_Strategic Diagnostic Templates Technik_Additional Templates" xfId="8124" xr:uid="{00000000-0005-0000-0000-0000B31F0000}"/>
    <cellStyle name="_Column4_Strategic Diagnostic Templates Technik_Additional Templates (2)" xfId="8125" xr:uid="{00000000-0005-0000-0000-0000B41F0000}"/>
    <cellStyle name="_Column4_Strategic Diagnostic Templates Technik_Additional Templates (3)" xfId="8126" xr:uid="{00000000-0005-0000-0000-0000B51F0000}"/>
    <cellStyle name="_Column4_Strategic Diagnostic Templates Technik_Additional Templates (4)" xfId="8127" xr:uid="{00000000-0005-0000-0000-0000B61F0000}"/>
    <cellStyle name="_Column4_Strategic Diagnostic Templates Technik_Additional Templates (5)" xfId="8128" xr:uid="{00000000-0005-0000-0000-0000B71F0000}"/>
    <cellStyle name="_Column4_Strategic Diagnostic Templates Technik_Basis" xfId="8129" xr:uid="{00000000-0005-0000-0000-0000B81F0000}"/>
    <cellStyle name="_Column4_Strategic Diagnostic Templates Technik_Basis 2" xfId="8130" xr:uid="{00000000-0005-0000-0000-0000B91F0000}"/>
    <cellStyle name="_Column4_Strategic Diagnostic Templates Technik_Basis 2 2" xfId="8131" xr:uid="{00000000-0005-0000-0000-0000BA1F0000}"/>
    <cellStyle name="_Column4_Strategic Diagnostic Templates Technik_Basis_Sheet1" xfId="8132" xr:uid="{00000000-0005-0000-0000-0000BB1F0000}"/>
    <cellStyle name="_Column4_Strategic Diagnostic Templates Technik_Basis_Sheet5" xfId="8133" xr:uid="{00000000-0005-0000-0000-0000BC1F0000}"/>
    <cellStyle name="_Column4_Strategic Diagnostic Templates Technik_Basis_Sm Proj Cash Flow" xfId="8134" xr:uid="{00000000-0005-0000-0000-0000BD1F0000}"/>
    <cellStyle name="_Column4_Strategic Diagnostic Templates Technik_Basis_Spend Detail" xfId="8135" xr:uid="{00000000-0005-0000-0000-0000BE1F0000}"/>
    <cellStyle name="_Column4_Strategic Diagnostic Templates Technik_Basis_SustainingProjectList" xfId="8136" xr:uid="{00000000-0005-0000-0000-0000BF1F0000}"/>
    <cellStyle name="_Column4_Strategic Diagnostic Templates Technik_BGT 08 Templates Sales  Marketing - final (revised)" xfId="8137" xr:uid="{00000000-0005-0000-0000-0000C01F0000}"/>
    <cellStyle name="_Column4_Strategic Diagnostic Templates Technik_BGT 08 Templates Sales  Marketing - final (revised) 2" xfId="8138" xr:uid="{00000000-0005-0000-0000-0000C11F0000}"/>
    <cellStyle name="_Column4_Strategic Diagnostic Templates Technik_BGT 08 Templates Sales  Marketing - final (revised) 2 2" xfId="8139" xr:uid="{00000000-0005-0000-0000-0000C21F0000}"/>
    <cellStyle name="_Column4_Strategic Diagnostic Templates Technik_BGT 08 Templates Sales  Marketing - final (revised) 3" xfId="8140" xr:uid="{00000000-0005-0000-0000-0000C31F0000}"/>
    <cellStyle name="_Column4_Strategic Diagnostic Templates Technik_BGT 08 Templates Sales  Marketing - final (revised) 3 2" xfId="8141" xr:uid="{00000000-0005-0000-0000-0000C41F0000}"/>
    <cellStyle name="_Column4_Strategic Diagnostic Templates Technik_BGT 08 Templates Sales  Marketing - final (revised) 3 3" xfId="8142" xr:uid="{00000000-0005-0000-0000-0000C51F0000}"/>
    <cellStyle name="_Column4_Strategic Diagnostic Templates Technik_BGT 08 Templates Sales  Marketing - final (revised) 3 3 2" xfId="8143" xr:uid="{00000000-0005-0000-0000-0000C61F0000}"/>
    <cellStyle name="_Column4_Strategic Diagnostic Templates Technik_BGT 08 Templates Sales  Marketing - final (revised) 4" xfId="8144" xr:uid="{00000000-0005-0000-0000-0000C71F0000}"/>
    <cellStyle name="_Column4_Strategic Diagnostic Templates Technik_BGT 08 Templates Sales  Marketing - final (revised) 4 2" xfId="8145" xr:uid="{00000000-0005-0000-0000-0000C81F0000}"/>
    <cellStyle name="_Column4_Strategic Diagnostic Templates Technik_BGT 08 Templates Sales  Marketing - final (revised)_Sheet1" xfId="8146" xr:uid="{00000000-0005-0000-0000-0000C91F0000}"/>
    <cellStyle name="_Column4_Strategic Diagnostic Templates Technik_BGT 08 Templates Sales  Marketing - final (revised)_Sm Proj Cash Flow" xfId="8147" xr:uid="{00000000-0005-0000-0000-0000CA1F0000}"/>
    <cellStyle name="_Column4_Strategic Diagnostic Templates Technik_BGT 08 Templates Sales  Marketing - final (revised)_Spend Detail" xfId="8148" xr:uid="{00000000-0005-0000-0000-0000CB1F0000}"/>
    <cellStyle name="_Column4_Strategic Diagnostic Templates Technik_BGT 08 Templates Sales  Marketing - final (revised)_SustainingProjectList" xfId="8149" xr:uid="{00000000-0005-0000-0000-0000CC1F0000}"/>
    <cellStyle name="_Column4_Strategic Diagnostic Templates Technik_Book5" xfId="8150" xr:uid="{00000000-0005-0000-0000-0000CD1F0000}"/>
    <cellStyle name="_Column4_Strategic Diagnostic Templates Technik_Book5 2" xfId="8151" xr:uid="{00000000-0005-0000-0000-0000CE1F0000}"/>
    <cellStyle name="_Column4_Strategic Diagnostic Templates Technik_Book5 2 2" xfId="8152" xr:uid="{00000000-0005-0000-0000-0000CF1F0000}"/>
    <cellStyle name="_Column4_Strategic Diagnostic Templates Technik_Book5 3" xfId="8153" xr:uid="{00000000-0005-0000-0000-0000D01F0000}"/>
    <cellStyle name="_Column4_Strategic Diagnostic Templates Technik_Bplan RD 1001" xfId="8154" xr:uid="{00000000-0005-0000-0000-0000D11F0000}"/>
    <cellStyle name="_Column4_Strategic Diagnostic Templates Technik_Bplan RD 1001 2" xfId="8155" xr:uid="{00000000-0005-0000-0000-0000D21F0000}"/>
    <cellStyle name="_Column4_Strategic Diagnostic Templates Technik_Bplan RD 1001 2 2" xfId="8156" xr:uid="{00000000-0005-0000-0000-0000D31F0000}"/>
    <cellStyle name="_Column4_Strategic Diagnostic Templates Technik_Bplan RD 1001 3" xfId="8157" xr:uid="{00000000-0005-0000-0000-0000D41F0000}"/>
    <cellStyle name="_Column4_Strategic Diagnostic Templates Technik_Budget 07" xfId="8158" xr:uid="{00000000-0005-0000-0000-0000D51F0000}"/>
    <cellStyle name="_Column4_Strategic Diagnostic Templates Technik_Budget 07 2" xfId="8159" xr:uid="{00000000-0005-0000-0000-0000D61F0000}"/>
    <cellStyle name="_Column4_Strategic Diagnostic Templates Technik_Budget 07 Org" xfId="8160" xr:uid="{00000000-0005-0000-0000-0000D71F0000}"/>
    <cellStyle name="_Column4_Strategic Diagnostic Templates Technik_Budget 07 Org 2" xfId="8161" xr:uid="{00000000-0005-0000-0000-0000D81F0000}"/>
    <cellStyle name="_Column4_Strategic Diagnostic Templates Technik_Budget 07 Org_Sheet1" xfId="8162" xr:uid="{00000000-0005-0000-0000-0000D91F0000}"/>
    <cellStyle name="_Column4_Strategic Diagnostic Templates Technik_Budget 07 Org_Sm Proj Cash Flow" xfId="8163" xr:uid="{00000000-0005-0000-0000-0000DA1F0000}"/>
    <cellStyle name="_Column4_Strategic Diagnostic Templates Technik_Budget 07 Org_Spend Detail" xfId="8164" xr:uid="{00000000-0005-0000-0000-0000DB1F0000}"/>
    <cellStyle name="_Column4_Strategic Diagnostic Templates Technik_Budget 07 Org_SustainingProjectList" xfId="8165" xr:uid="{00000000-0005-0000-0000-0000DC1F0000}"/>
    <cellStyle name="_Column4_Strategic Diagnostic Templates Technik_Budget 07_Sheet1" xfId="8166" xr:uid="{00000000-0005-0000-0000-0000DD1F0000}"/>
    <cellStyle name="_Column4_Strategic Diagnostic Templates Technik_Budget 07_Sm Proj Cash Flow" xfId="8167" xr:uid="{00000000-0005-0000-0000-0000DE1F0000}"/>
    <cellStyle name="_Column4_Strategic Diagnostic Templates Technik_Budget 07_Spend Detail" xfId="8168" xr:uid="{00000000-0005-0000-0000-0000DF1F0000}"/>
    <cellStyle name="_Column4_Strategic Diagnostic Templates Technik_Budget 07_SustainingProjectList" xfId="8169" xr:uid="{00000000-0005-0000-0000-0000E01F0000}"/>
    <cellStyle name="_Column4_Strategic Diagnostic Templates Technik_CAPEX Analysis WE v3 Thomas" xfId="8170" xr:uid="{00000000-0005-0000-0000-0000E11F0000}"/>
    <cellStyle name="_Column4_Strategic Diagnostic Templates Technik_Capex ZBB Style - 1st Tier" xfId="8171" xr:uid="{00000000-0005-0000-0000-0000E21F0000}"/>
    <cellStyle name="_Column4_Strategic Diagnostic Templates Technik_Capex ZBB Style - 1st Tier 2" xfId="8172" xr:uid="{00000000-0005-0000-0000-0000E31F0000}"/>
    <cellStyle name="_Column4_Strategic Diagnostic Templates Technik_Capex ZBB Style - 2nd Tier" xfId="8173" xr:uid="{00000000-0005-0000-0000-0000E41F0000}"/>
    <cellStyle name="_Column4_Strategic Diagnostic Templates Technik_Capex ZBB Style - 2nd Tier 2" xfId="8174" xr:uid="{00000000-0005-0000-0000-0000E51F0000}"/>
    <cellStyle name="_Column4_Strategic Diagnostic Templates Technik_Capex ZBB Style - 2nd Tier_Sheet1" xfId="8175" xr:uid="{00000000-0005-0000-0000-0000E61F0000}"/>
    <cellStyle name="_Column4_Strategic Diagnostic Templates Technik_Capex ZBB Style - 2nd Tier_Sm Proj Cash Flow" xfId="8176" xr:uid="{00000000-0005-0000-0000-0000E71F0000}"/>
    <cellStyle name="_Column4_Strategic Diagnostic Templates Technik_Capex ZBB Style - 2nd Tier_Spend Detail" xfId="8177" xr:uid="{00000000-0005-0000-0000-0000E81F0000}"/>
    <cellStyle name="_Column4_Strategic Diagnostic Templates Technik_Capex ZBB Style - 2nd Tier_SustainingProjectList" xfId="8178" xr:uid="{00000000-0005-0000-0000-0000E91F0000}"/>
    <cellStyle name="_Column4_Strategic Diagnostic Templates Technik_Capex ZBB Style - Cemex" xfId="8179" xr:uid="{00000000-0005-0000-0000-0000EA1F0000}"/>
    <cellStyle name="_Column4_Strategic Diagnostic Templates Technik_Capex ZBB Style - Cemex 2" xfId="8180" xr:uid="{00000000-0005-0000-0000-0000EB1F0000}"/>
    <cellStyle name="_Column4_Strategic Diagnostic Templates Technik_Capex ZBB Style - Consumer" xfId="8181" xr:uid="{00000000-0005-0000-0000-0000EC1F0000}"/>
    <cellStyle name="_Column4_Strategic Diagnostic Templates Technik_Capex ZBB Style - Consumer 2" xfId="8182" xr:uid="{00000000-0005-0000-0000-0000ED1F0000}"/>
    <cellStyle name="_Column4_Strategic Diagnostic Templates Technik_Capex ZBB Style - Consumer_Croatia_Sep4" xfId="8183" xr:uid="{00000000-0005-0000-0000-0000EE1F0000}"/>
    <cellStyle name="_Column4_Strategic Diagnostic Templates Technik_Capex ZBB Style - Consumer_Croatia_Sep4 2" xfId="8184" xr:uid="{00000000-0005-0000-0000-0000EF1F0000}"/>
    <cellStyle name="_Column4_Strategic Diagnostic Templates Technik_Capex ZBB Style - Consumer_Croatia_Sep4_Sheet1" xfId="8185" xr:uid="{00000000-0005-0000-0000-0000F01F0000}"/>
    <cellStyle name="_Column4_Strategic Diagnostic Templates Technik_Capex ZBB Style - Consumer_Croatia_Sep4_Sm Proj Cash Flow" xfId="8186" xr:uid="{00000000-0005-0000-0000-0000F11F0000}"/>
    <cellStyle name="_Column4_Strategic Diagnostic Templates Technik_Capex ZBB Style - Consumer_Croatia_Sep4_Spend Detail" xfId="8187" xr:uid="{00000000-0005-0000-0000-0000F21F0000}"/>
    <cellStyle name="_Column4_Strategic Diagnostic Templates Technik_Capex ZBB Style - Consumer_Croatia_Sep4_SustainingProjectList" xfId="8188" xr:uid="{00000000-0005-0000-0000-0000F31F0000}"/>
    <cellStyle name="_Column4_Strategic Diagnostic Templates Technik_Capex ZBB Style - Returnable Packaging" xfId="8189" xr:uid="{00000000-0005-0000-0000-0000F41F0000}"/>
    <cellStyle name="_Column4_Strategic Diagnostic Templates Technik_Capex ZBB Style - Returnable Packaging 2" xfId="8190" xr:uid="{00000000-0005-0000-0000-0000F51F0000}"/>
    <cellStyle name="_Column4_Strategic Diagnostic Templates Technik_Challenge" xfId="8191" xr:uid="{00000000-0005-0000-0000-0000F61F0000}"/>
    <cellStyle name="_Column4_Strategic Diagnostic Templates Technik_Challenge 2" xfId="8192" xr:uid="{00000000-0005-0000-0000-0000F71F0000}"/>
    <cellStyle name="_Column4_Strategic Diagnostic Templates Technik_Challenge_Sheet1" xfId="8193" xr:uid="{00000000-0005-0000-0000-0000F81F0000}"/>
    <cellStyle name="_Column4_Strategic Diagnostic Templates Technik_Challenge_Sm Proj Cash Flow" xfId="8194" xr:uid="{00000000-0005-0000-0000-0000F91F0000}"/>
    <cellStyle name="_Column4_Strategic Diagnostic Templates Technik_Challenge_Spend Detail" xfId="8195" xr:uid="{00000000-0005-0000-0000-0000FA1F0000}"/>
    <cellStyle name="_Column4_Strategic Diagnostic Templates Technik_Challenge_SustainingProjectList" xfId="8196" xr:uid="{00000000-0005-0000-0000-0000FB1F0000}"/>
    <cellStyle name="_Column4_Strategic Diagnostic Templates Technik_Copy of BGT 08 Templates Sales  Marketing - final (revised)" xfId="8197" xr:uid="{00000000-0005-0000-0000-0000FC1F0000}"/>
    <cellStyle name="_Column4_Strategic Diagnostic Templates Technik_Copy of BGT 08 Templates Sales  Marketing - final (revised) 2" xfId="8198" xr:uid="{00000000-0005-0000-0000-0000FD1F0000}"/>
    <cellStyle name="_Column4_Strategic Diagnostic Templates Technik_Copy of BGT 08 Templates Sales  Marketing - final (revised) 2 2" xfId="8199" xr:uid="{00000000-0005-0000-0000-0000FE1F0000}"/>
    <cellStyle name="_Column4_Strategic Diagnostic Templates Technik_Copy of BGT 08 Templates Sales  Marketing - final (revised) 3" xfId="8200" xr:uid="{00000000-0005-0000-0000-0000FF1F0000}"/>
    <cellStyle name="_Column4_Strategic Diagnostic Templates Technik_Copy of BGT 08 Templates Sales  Marketing - final (revised) 3 2" xfId="8201" xr:uid="{00000000-0005-0000-0000-000000200000}"/>
    <cellStyle name="_Column4_Strategic Diagnostic Templates Technik_Copy of BGT 08 Templates Sales  Marketing - final (revised) 3 3" xfId="8202" xr:uid="{00000000-0005-0000-0000-000001200000}"/>
    <cellStyle name="_Column4_Strategic Diagnostic Templates Technik_Copy of BGT 08 Templates Sales  Marketing - final (revised) 3 3 2" xfId="8203" xr:uid="{00000000-0005-0000-0000-000002200000}"/>
    <cellStyle name="_Column4_Strategic Diagnostic Templates Technik_Copy of BGT 08 Templates Sales  Marketing - final (revised) 4" xfId="8204" xr:uid="{00000000-0005-0000-0000-000003200000}"/>
    <cellStyle name="_Column4_Strategic Diagnostic Templates Technik_Copy of BGT 08 Templates Sales  Marketing - final (revised) 4 2" xfId="8205" xr:uid="{00000000-0005-0000-0000-000004200000}"/>
    <cellStyle name="_Column4_Strategic Diagnostic Templates Technik_Copy of BGT 08 Templates Sales  Marketing - final (revised)_Sheet1" xfId="8206" xr:uid="{00000000-0005-0000-0000-000005200000}"/>
    <cellStyle name="_Column4_Strategic Diagnostic Templates Technik_Copy of BGT 08 Templates Sales  Marketing - final (revised)_Sm Proj Cash Flow" xfId="8207" xr:uid="{00000000-0005-0000-0000-000006200000}"/>
    <cellStyle name="_Column4_Strategic Diagnostic Templates Technik_Copy of BGT 08 Templates Sales  Marketing - final (revised)_Spend Detail" xfId="8208" xr:uid="{00000000-0005-0000-0000-000007200000}"/>
    <cellStyle name="_Column4_Strategic Diagnostic Templates Technik_Copy of BGT 08 Templates Sales  Marketing - final (revised)_SustainingProjectList" xfId="8209" xr:uid="{00000000-0005-0000-0000-000008200000}"/>
    <cellStyle name="_Column4_Strategic Diagnostic Templates Technik_Daten" xfId="8210" xr:uid="{00000000-0005-0000-0000-000009200000}"/>
    <cellStyle name="_Column4_Strategic Diagnostic Templates Technik_Daten 2" xfId="8211" xr:uid="{00000000-0005-0000-0000-00000A200000}"/>
    <cellStyle name="_Column4_Strategic Diagnostic Templates Technik_Daten 3" xfId="8212" xr:uid="{00000000-0005-0000-0000-00000B200000}"/>
    <cellStyle name="_Column4_Strategic Diagnostic Templates Technik_Daten 3 2" xfId="8213" xr:uid="{00000000-0005-0000-0000-00000C200000}"/>
    <cellStyle name="_Column4_Strategic Diagnostic Templates Technik_Daten 3 3" xfId="8214" xr:uid="{00000000-0005-0000-0000-00000D200000}"/>
    <cellStyle name="_Column4_Strategic Diagnostic Templates Technik_Daten 3 3 2" xfId="8215" xr:uid="{00000000-0005-0000-0000-00000E200000}"/>
    <cellStyle name="_Column4_Strategic Diagnostic Templates Technik_Daten 4" xfId="8216" xr:uid="{00000000-0005-0000-0000-00000F200000}"/>
    <cellStyle name="_Column4_Strategic Diagnostic Templates Technik_Daten 4 2" xfId="8217" xr:uid="{00000000-0005-0000-0000-000010200000}"/>
    <cellStyle name="_Column4_Strategic Diagnostic Templates Technik_Daten_Sheet5" xfId="8218" xr:uid="{00000000-0005-0000-0000-000011200000}"/>
    <cellStyle name="_Column4_Strategic Diagnostic Templates Technik_Demand" xfId="8219" xr:uid="{00000000-0005-0000-0000-000012200000}"/>
    <cellStyle name="_Column4_Strategic Diagnostic Templates Technik_Demand 2" xfId="8220" xr:uid="{00000000-0005-0000-0000-000013200000}"/>
    <cellStyle name="_Column4_Strategic Diagnostic Templates Technik_Demand_Sheet1" xfId="8221" xr:uid="{00000000-0005-0000-0000-000014200000}"/>
    <cellStyle name="_Column4_Strategic Diagnostic Templates Technik_Demand_Sm Proj Cash Flow" xfId="8222" xr:uid="{00000000-0005-0000-0000-000015200000}"/>
    <cellStyle name="_Column4_Strategic Diagnostic Templates Technik_Demand_Spend Detail" xfId="8223" xr:uid="{00000000-0005-0000-0000-000016200000}"/>
    <cellStyle name="_Column4_Strategic Diagnostic Templates Technik_Demand_SustainingProjectList" xfId="8224" xr:uid="{00000000-0005-0000-0000-000017200000}"/>
    <cellStyle name="_Column4_Strategic Diagnostic Templates Technik_details" xfId="8225" xr:uid="{00000000-0005-0000-0000-000018200000}"/>
    <cellStyle name="_Column4_Strategic Diagnostic Templates Technik_Excel sheets to support Market Program Template for Budget 09" xfId="8226" xr:uid="{00000000-0005-0000-0000-000019200000}"/>
    <cellStyle name="_Column4_Strategic Diagnostic Templates Technik_Excel sheets to support Market Program Template for Budget 09 (5) (2)" xfId="8227" xr:uid="{00000000-0005-0000-0000-00001A200000}"/>
    <cellStyle name="_Column4_Strategic Diagnostic Templates Technik_Excel sheets to support Market Program Template for Budget 09 (5) (2) 2" xfId="8228" xr:uid="{00000000-0005-0000-0000-00001B200000}"/>
    <cellStyle name="_Column4_Strategic Diagnostic Templates Technik_Excel sheets to support Market Program Template for Budget 09 (5) (2) 2 2" xfId="8229" xr:uid="{00000000-0005-0000-0000-00001C200000}"/>
    <cellStyle name="_Column4_Strategic Diagnostic Templates Technik_Excel sheets to support Market Program Template for Budget 09 (5) (2) 3" xfId="8230" xr:uid="{00000000-0005-0000-0000-00001D200000}"/>
    <cellStyle name="_Column4_Strategic Diagnostic Templates Technik_Excel sheets to support Market Program Template for Budget 09 (5) (3)" xfId="8231" xr:uid="{00000000-0005-0000-0000-00001E200000}"/>
    <cellStyle name="_Column4_Strategic Diagnostic Templates Technik_Excel sheets to support Market Program Template for Budget 09 (5) (3) 2" xfId="8232" xr:uid="{00000000-0005-0000-0000-00001F200000}"/>
    <cellStyle name="_Column4_Strategic Diagnostic Templates Technik_Excel sheets to support Market Program Template for Budget 09 (5) (3) 2 2" xfId="8233" xr:uid="{00000000-0005-0000-0000-000020200000}"/>
    <cellStyle name="_Column4_Strategic Diagnostic Templates Technik_Excel sheets to support Market Program Template for Budget 09 (5) (3) 3" xfId="8234" xr:uid="{00000000-0005-0000-0000-000021200000}"/>
    <cellStyle name="_Column4_Strategic Diagnostic Templates Technik_Excel sheets to support Market Program Template for Budget 09 10" xfId="8235" xr:uid="{00000000-0005-0000-0000-000022200000}"/>
    <cellStyle name="_Column4_Strategic Diagnostic Templates Technik_Excel sheets to support Market Program Template for Budget 09 11" xfId="8236" xr:uid="{00000000-0005-0000-0000-000023200000}"/>
    <cellStyle name="_Column4_Strategic Diagnostic Templates Technik_Excel sheets to support Market Program Template for Budget 09 11 2" xfId="8237" xr:uid="{00000000-0005-0000-0000-000024200000}"/>
    <cellStyle name="_Column4_Strategic Diagnostic Templates Technik_Excel sheets to support Market Program Template for Budget 09 12" xfId="8238" xr:uid="{00000000-0005-0000-0000-000025200000}"/>
    <cellStyle name="_Column4_Strategic Diagnostic Templates Technik_Excel sheets to support Market Program Template for Budget 09 12 2" xfId="8239" xr:uid="{00000000-0005-0000-0000-000026200000}"/>
    <cellStyle name="_Column4_Strategic Diagnostic Templates Technik_Excel sheets to support Market Program Template for Budget 09 13" xfId="8240" xr:uid="{00000000-0005-0000-0000-000027200000}"/>
    <cellStyle name="_Column4_Strategic Diagnostic Templates Technik_Excel sheets to support Market Program Template for Budget 09 13 2" xfId="8241" xr:uid="{00000000-0005-0000-0000-000028200000}"/>
    <cellStyle name="_Column4_Strategic Diagnostic Templates Technik_Excel sheets to support Market Program Template for Budget 09 14" xfId="8242" xr:uid="{00000000-0005-0000-0000-000029200000}"/>
    <cellStyle name="_Column4_Strategic Diagnostic Templates Technik_Excel sheets to support Market Program Template for Budget 09 14 2" xfId="8243" xr:uid="{00000000-0005-0000-0000-00002A200000}"/>
    <cellStyle name="_Column4_Strategic Diagnostic Templates Technik_Excel sheets to support Market Program Template for Budget 09 2" xfId="8244" xr:uid="{00000000-0005-0000-0000-00002B200000}"/>
    <cellStyle name="_Column4_Strategic Diagnostic Templates Technik_Excel sheets to support Market Program Template for Budget 09 2 2" xfId="8245" xr:uid="{00000000-0005-0000-0000-00002C200000}"/>
    <cellStyle name="_Column4_Strategic Diagnostic Templates Technik_Excel sheets to support Market Program Template for Budget 09 3" xfId="8246" xr:uid="{00000000-0005-0000-0000-00002D200000}"/>
    <cellStyle name="_Column4_Strategic Diagnostic Templates Technik_Excel sheets to support Market Program Template for Budget 09 3 2" xfId="8247" xr:uid="{00000000-0005-0000-0000-00002E200000}"/>
    <cellStyle name="_Column4_Strategic Diagnostic Templates Technik_Excel sheets to support Market Program Template for Budget 09 4" xfId="8248" xr:uid="{00000000-0005-0000-0000-00002F200000}"/>
    <cellStyle name="_Column4_Strategic Diagnostic Templates Technik_Excel sheets to support Market Program Template for Budget 09 5" xfId="8249" xr:uid="{00000000-0005-0000-0000-000030200000}"/>
    <cellStyle name="_Column4_Strategic Diagnostic Templates Technik_Excel sheets to support Market Program Template for Budget 09 5 2" xfId="8250" xr:uid="{00000000-0005-0000-0000-000031200000}"/>
    <cellStyle name="_Column4_Strategic Diagnostic Templates Technik_Excel sheets to support Market Program Template for Budget 09 5 3" xfId="8251" xr:uid="{00000000-0005-0000-0000-000032200000}"/>
    <cellStyle name="_Column4_Strategic Diagnostic Templates Technik_Excel sheets to support Market Program Template for Budget 09 5 3 2" xfId="8252" xr:uid="{00000000-0005-0000-0000-000033200000}"/>
    <cellStyle name="_Column4_Strategic Diagnostic Templates Technik_Excel sheets to support Market Program Template for Budget 09 6" xfId="8253" xr:uid="{00000000-0005-0000-0000-000034200000}"/>
    <cellStyle name="_Column4_Strategic Diagnostic Templates Technik_Excel sheets to support Market Program Template for Budget 09 6 2" xfId="8254" xr:uid="{00000000-0005-0000-0000-000035200000}"/>
    <cellStyle name="_Column4_Strategic Diagnostic Templates Technik_Excel sheets to support Market Program Template for Budget 09 6 3" xfId="8255" xr:uid="{00000000-0005-0000-0000-000036200000}"/>
    <cellStyle name="_Column4_Strategic Diagnostic Templates Technik_Excel sheets to support Market Program Template for Budget 09 6 3 2" xfId="8256" xr:uid="{00000000-0005-0000-0000-000037200000}"/>
    <cellStyle name="_Column4_Strategic Diagnostic Templates Technik_Excel sheets to support Market Program Template for Budget 09 7" xfId="8257" xr:uid="{00000000-0005-0000-0000-000038200000}"/>
    <cellStyle name="_Column4_Strategic Diagnostic Templates Technik_Excel sheets to support Market Program Template for Budget 09 8" xfId="8258" xr:uid="{00000000-0005-0000-0000-000039200000}"/>
    <cellStyle name="_Column4_Strategic Diagnostic Templates Technik_Excel sheets to support Market Program Template for Budget 09 9" xfId="8259" xr:uid="{00000000-0005-0000-0000-00003A200000}"/>
    <cellStyle name="_Column4_Strategic Diagnostic Templates Technik_Excel sheets to support Market Program Template for Budget 09_Sheet1" xfId="8260" xr:uid="{00000000-0005-0000-0000-00003B200000}"/>
    <cellStyle name="_Column4_Strategic Diagnostic Templates Technik_Excel sheets to support Market Program Template for Budget 09_Sm Proj Cash Flow" xfId="8261" xr:uid="{00000000-0005-0000-0000-00003C200000}"/>
    <cellStyle name="_Column4_Strategic Diagnostic Templates Technik_Excel sheets to support Market Program Template for Budget 09_Spend Detail" xfId="8262" xr:uid="{00000000-0005-0000-0000-00003D200000}"/>
    <cellStyle name="_Column4_Strategic Diagnostic Templates Technik_Excel sheets to support Market Program Template for Budget 09_SustainingProjectList" xfId="8263" xr:uid="{00000000-0005-0000-0000-00003E200000}"/>
    <cellStyle name="_Column4_Strategic Diagnostic Templates Technik_Franz Ist" xfId="8264" xr:uid="{00000000-0005-0000-0000-00003F200000}"/>
    <cellStyle name="_Column4_Strategic Diagnostic Templates Technik_Franz Ist 2" xfId="8265" xr:uid="{00000000-0005-0000-0000-000040200000}"/>
    <cellStyle name="_Column4_Strategic Diagnostic Templates Technik_Franz Ist_Sheet1" xfId="8266" xr:uid="{00000000-0005-0000-0000-000041200000}"/>
    <cellStyle name="_Column4_Strategic Diagnostic Templates Technik_Franz Ist_Sm Proj Cash Flow" xfId="8267" xr:uid="{00000000-0005-0000-0000-000042200000}"/>
    <cellStyle name="_Column4_Strategic Diagnostic Templates Technik_Franz Ist_Spend Detail" xfId="8268" xr:uid="{00000000-0005-0000-0000-000043200000}"/>
    <cellStyle name="_Column4_Strategic Diagnostic Templates Technik_Franz Ist_SustainingProjectList" xfId="8269" xr:uid="{00000000-0005-0000-0000-000044200000}"/>
    <cellStyle name="_Column4_Strategic Diagnostic Templates Technik_Free Worksheet" xfId="8270" xr:uid="{00000000-0005-0000-0000-000045200000}"/>
    <cellStyle name="_Column4_Strategic Diagnostic Templates Technik_GH Budget 2007 volumes per month-SKU-Cost Center" xfId="8271" xr:uid="{00000000-0005-0000-0000-000046200000}"/>
    <cellStyle name="_Column4_Strategic Diagnostic Templates Technik_HC_Ev.Total Bgt'05 vs.Bgt'04" xfId="8272" xr:uid="{00000000-0005-0000-0000-000047200000}"/>
    <cellStyle name="_Column4_Strategic Diagnostic Templates Technik_Ist 05" xfId="8273" xr:uid="{00000000-0005-0000-0000-000048200000}"/>
    <cellStyle name="_Column4_Strategic Diagnostic Templates Technik_Ist 05 2" xfId="8274" xr:uid="{00000000-0005-0000-0000-000049200000}"/>
    <cellStyle name="_Column4_Strategic Diagnostic Templates Technik_Ist 05_Sheet1" xfId="8275" xr:uid="{00000000-0005-0000-0000-00004A200000}"/>
    <cellStyle name="_Column4_Strategic Diagnostic Templates Technik_Ist 05_Sm Proj Cash Flow" xfId="8276" xr:uid="{00000000-0005-0000-0000-00004B200000}"/>
    <cellStyle name="_Column4_Strategic Diagnostic Templates Technik_Ist 05_Spend Detail" xfId="8277" xr:uid="{00000000-0005-0000-0000-00004C200000}"/>
    <cellStyle name="_Column4_Strategic Diagnostic Templates Technik_Ist 05_SustainingProjectList" xfId="8278" xr:uid="{00000000-0005-0000-0000-00004D200000}"/>
    <cellStyle name="_Column4_Strategic Diagnostic Templates Technik_Ist 06" xfId="8279" xr:uid="{00000000-0005-0000-0000-00004E200000}"/>
    <cellStyle name="_Column4_Strategic Diagnostic Templates Technik_Ist 06 2" xfId="8280" xr:uid="{00000000-0005-0000-0000-00004F200000}"/>
    <cellStyle name="_Column4_Strategic Diagnostic Templates Technik_Ist 06_Sheet1" xfId="8281" xr:uid="{00000000-0005-0000-0000-000050200000}"/>
    <cellStyle name="_Column4_Strategic Diagnostic Templates Technik_Ist 06_Sm Proj Cash Flow" xfId="8282" xr:uid="{00000000-0005-0000-0000-000051200000}"/>
    <cellStyle name="_Column4_Strategic Diagnostic Templates Technik_Ist 06_Spend Detail" xfId="8283" xr:uid="{00000000-0005-0000-0000-000052200000}"/>
    <cellStyle name="_Column4_Strategic Diagnostic Templates Technik_Ist 06_SustainingProjectList" xfId="8284" xr:uid="{00000000-0005-0000-0000-000053200000}"/>
    <cellStyle name="_Column4_Strategic Diagnostic Templates Technik_Keg Dynamische Bedarfsplanung Budget 2008 2.8.2007" xfId="8285" xr:uid="{00000000-0005-0000-0000-000054200000}"/>
    <cellStyle name="_Column4_Strategic Diagnostic Templates Technik_LE Ebitda RD Feb-10 v2" xfId="8286" xr:uid="{00000000-0005-0000-0000-000055200000}"/>
    <cellStyle name="_Column4_Strategic Diagnostic Templates Technik_LE Ebitda RD Feb-10 v2 2" xfId="8287" xr:uid="{00000000-0005-0000-0000-000056200000}"/>
    <cellStyle name="_Column4_Strategic Diagnostic Templates Technik_LE Ebitda RD Feb-10 v2 2 2" xfId="8288" xr:uid="{00000000-0005-0000-0000-000057200000}"/>
    <cellStyle name="_Column4_Strategic Diagnostic Templates Technik_LE Ebitda RD Feb-10 v2 3" xfId="8289" xr:uid="{00000000-0005-0000-0000-000058200000}"/>
    <cellStyle name="_Column4_Strategic Diagnostic Templates Technik_LE1 2007" xfId="8290" xr:uid="{00000000-0005-0000-0000-000059200000}"/>
    <cellStyle name="_Column4_Strategic Diagnostic Templates Technik_MF Personal 2004 bis 2007" xfId="8291" xr:uid="{00000000-0005-0000-0000-00005A200000}"/>
    <cellStyle name="_Column4_Strategic Diagnostic Templates Technik_NNT_LE'08_1605vsBGT'09_1713" xfId="8292" xr:uid="{00000000-0005-0000-0000-00005B200000}"/>
    <cellStyle name="_Column4_Strategic Diagnostic Templates Technik_NNT_LE'08_1605vsBGT'09_1713 2" xfId="8293" xr:uid="{00000000-0005-0000-0000-00005C200000}"/>
    <cellStyle name="_Column4_Strategic Diagnostic Templates Technik_NNT_LE'08_1605vsBGT'09_1713 3" xfId="8294" xr:uid="{00000000-0005-0000-0000-00005D200000}"/>
    <cellStyle name="_Column4_Strategic Diagnostic Templates Technik_NNT_LE'08_1605vsBGT'09_1713 3 2" xfId="8295" xr:uid="{00000000-0005-0000-0000-00005E200000}"/>
    <cellStyle name="_Column4_Strategic Diagnostic Templates Technik_NNT_LE'08_1605vsBGT'09_1713 3 3" xfId="8296" xr:uid="{00000000-0005-0000-0000-00005F200000}"/>
    <cellStyle name="_Column4_Strategic Diagnostic Templates Technik_NNT_LE'08_1605vsBGT'09_1713 3 3 2" xfId="8297" xr:uid="{00000000-0005-0000-0000-000060200000}"/>
    <cellStyle name="_Column4_Strategic Diagnostic Templates Technik_NNT_LE'08_1605vsBGT'09_1713 4" xfId="8298" xr:uid="{00000000-0005-0000-0000-000061200000}"/>
    <cellStyle name="_Column4_Strategic Diagnostic Templates Technik_NNT_LE'08_1605vsBGT'09_1713 4 2" xfId="8299" xr:uid="{00000000-0005-0000-0000-000062200000}"/>
    <cellStyle name="_Column4_Strategic Diagnostic Templates Technik_People Package" xfId="8300" xr:uid="{00000000-0005-0000-0000-000063200000}"/>
    <cellStyle name="_Column4_Strategic Diagnostic Templates Technik_People Package (2)" xfId="8301" xr:uid="{00000000-0005-0000-0000-000064200000}"/>
    <cellStyle name="_Column4_Strategic Diagnostic Templates Technik_People Package (2) 2" xfId="8302" xr:uid="{00000000-0005-0000-0000-000065200000}"/>
    <cellStyle name="_Column4_Strategic Diagnostic Templates Technik_People Package (2) 2 2" xfId="8303" xr:uid="{00000000-0005-0000-0000-000066200000}"/>
    <cellStyle name="_Column4_Strategic Diagnostic Templates Technik_People Package (2) 3" xfId="8304" xr:uid="{00000000-0005-0000-0000-000067200000}"/>
    <cellStyle name="_Column4_Strategic Diagnostic Templates Technik_People Package 2" xfId="8305" xr:uid="{00000000-0005-0000-0000-000068200000}"/>
    <cellStyle name="_Column4_Strategic Diagnostic Templates Technik_People Package 2 2" xfId="8306" xr:uid="{00000000-0005-0000-0000-000069200000}"/>
    <cellStyle name="_Column4_Strategic Diagnostic Templates Technik_People Package 3" xfId="8307" xr:uid="{00000000-0005-0000-0000-00006A200000}"/>
    <cellStyle name="_Column4_Strategic Diagnostic Templates Technik_People Package 3 2" xfId="8308" xr:uid="{00000000-0005-0000-0000-00006B200000}"/>
    <cellStyle name="_Column4_Strategic Diagnostic Templates Technik_People Package 4" xfId="8309" xr:uid="{00000000-0005-0000-0000-00006C200000}"/>
    <cellStyle name="_Column4_Strategic Diagnostic Templates Technik_People Package 5" xfId="8310" xr:uid="{00000000-0005-0000-0000-00006D200000}"/>
    <cellStyle name="_Column4_Strategic Diagnostic Templates Technik_Prodhier Deutschland" xfId="8311" xr:uid="{00000000-0005-0000-0000-00006E200000}"/>
    <cellStyle name="_Column4_Strategic Diagnostic Templates Technik_RB&amp;JW_Produktionsplanung_LE1_2006 sortiert" xfId="8312" xr:uid="{00000000-0005-0000-0000-00006F200000}"/>
    <cellStyle name="_Column4_Strategic Diagnostic Templates Technik_RB&amp;JW_Produktionsplanung_LE1_2006 sortiert 2" xfId="8313" xr:uid="{00000000-0005-0000-0000-000070200000}"/>
    <cellStyle name="_Column4_Strategic Diagnostic Templates Technik_RB&amp;JW_Produktionsplanung_LE1_2006 sortiert 2 2" xfId="8314" xr:uid="{00000000-0005-0000-0000-000071200000}"/>
    <cellStyle name="_Column4_Strategic Diagnostic Templates Technik_RB&amp;JW_Produktionsplanung_LE1_2006 sortiert_Sheet1" xfId="8315" xr:uid="{00000000-0005-0000-0000-000072200000}"/>
    <cellStyle name="_Column4_Strategic Diagnostic Templates Technik_RB&amp;JW_Produktionsplanung_LE1_2006 sortiert_Sheet5" xfId="8316" xr:uid="{00000000-0005-0000-0000-000073200000}"/>
    <cellStyle name="_Column4_Strategic Diagnostic Templates Technik_RB&amp;JW_Produktionsplanung_LE1_2006 sortiert_Sm Proj Cash Flow" xfId="8317" xr:uid="{00000000-0005-0000-0000-000074200000}"/>
    <cellStyle name="_Column4_Strategic Diagnostic Templates Technik_RB&amp;JW_Produktionsplanung_LE1_2006 sortiert_Spend Detail" xfId="8318" xr:uid="{00000000-0005-0000-0000-000075200000}"/>
    <cellStyle name="_Column4_Strategic Diagnostic Templates Technik_RB&amp;JW_Produktionsplanung_LE1_2006 sortiert_SustainingProjectList" xfId="8319" xr:uid="{00000000-0005-0000-0000-000076200000}"/>
    <cellStyle name="_Column4_Strategic Diagnostic Templates Technik_Sales and Marketing - revised" xfId="8320" xr:uid="{00000000-0005-0000-0000-000077200000}"/>
    <cellStyle name="_Column4_Strategic Diagnostic Templates Technik_Sales and Marketing - revised 2" xfId="8321" xr:uid="{00000000-0005-0000-0000-000078200000}"/>
    <cellStyle name="_Column4_Strategic Diagnostic Templates Technik_Sales and Marketing - revised 2 2" xfId="8322" xr:uid="{00000000-0005-0000-0000-000079200000}"/>
    <cellStyle name="_Column4_Strategic Diagnostic Templates Technik_Sales and Marketing - revised 3" xfId="8323" xr:uid="{00000000-0005-0000-0000-00007A200000}"/>
    <cellStyle name="_Column4_Strategic Diagnostic Templates Technik_Sim Ebitda LE 0909 v4" xfId="8324" xr:uid="{00000000-0005-0000-0000-00007B200000}"/>
    <cellStyle name="_Column4_Strategic Diagnostic Templates Technik_Sim Ebitda LE 0909 v4 2" xfId="8325" xr:uid="{00000000-0005-0000-0000-00007C200000}"/>
    <cellStyle name="_Column4_Strategic Diagnostic Templates Technik_Sim Ebitda LE 0909 v4 2 2" xfId="8326" xr:uid="{00000000-0005-0000-0000-00007D200000}"/>
    <cellStyle name="_Column4_Strategic Diagnostic Templates Technik_Sim Ebitda LE 0909 v4 3" xfId="8327" xr:uid="{00000000-0005-0000-0000-00007E200000}"/>
    <cellStyle name="_Column4_Strategic Diagnostic Templates Technik_SKU Volumen" xfId="8328" xr:uid="{00000000-0005-0000-0000-00007F200000}"/>
    <cellStyle name="_Column4_Strategic Diagnostic Templates Technik_SKU Volumen 2" xfId="8329" xr:uid="{00000000-0005-0000-0000-000080200000}"/>
    <cellStyle name="_Column4_Strategic Diagnostic Templates Technik_SKU Volumen_Sheet1" xfId="8330" xr:uid="{00000000-0005-0000-0000-000081200000}"/>
    <cellStyle name="_Column4_Strategic Diagnostic Templates Technik_SKU Volumen_Sm Proj Cash Flow" xfId="8331" xr:uid="{00000000-0005-0000-0000-000082200000}"/>
    <cellStyle name="_Column4_Strategic Diagnostic Templates Technik_SKU Volumen_Spend Detail" xfId="8332" xr:uid="{00000000-0005-0000-0000-000083200000}"/>
    <cellStyle name="_Column4_Strategic Diagnostic Templates Technik_SKU Volumen_SustainingProjectList" xfId="8333" xr:uid="{00000000-0005-0000-0000-000084200000}"/>
    <cellStyle name="_Column4_Strategic Diagnostic Templates Technik_Slide for initiatives (2)" xfId="8334" xr:uid="{00000000-0005-0000-0000-000085200000}"/>
    <cellStyle name="_Column4_Strategic Diagnostic Templates Technik_Slide for initiatives (2) 2" xfId="8335" xr:uid="{00000000-0005-0000-0000-000086200000}"/>
    <cellStyle name="_Column4_Strategic Diagnostic Templates Technik_Slide for initiatives (2) 3" xfId="8336" xr:uid="{00000000-0005-0000-0000-000087200000}"/>
    <cellStyle name="_Column4_Strategic Diagnostic Templates Technik_Slide for initiatives (2) 3 2" xfId="8337" xr:uid="{00000000-0005-0000-0000-000088200000}"/>
    <cellStyle name="_Column4_Strategic Diagnostic Templates Technik_Slide for initiatives (2) 3 3" xfId="8338" xr:uid="{00000000-0005-0000-0000-000089200000}"/>
    <cellStyle name="_Column4_Strategic Diagnostic Templates Technik_Slide for initiatives (2) 3 3 2" xfId="8339" xr:uid="{00000000-0005-0000-0000-00008A200000}"/>
    <cellStyle name="_Column4_Strategic Diagnostic Templates Technik_Slide for initiatives (2) 4" xfId="8340" xr:uid="{00000000-0005-0000-0000-00008B200000}"/>
    <cellStyle name="_Column4_Strategic Diagnostic Templates Technik_Slide for initiatives (2) 4 2" xfId="8341" xr:uid="{00000000-0005-0000-0000-00008C200000}"/>
    <cellStyle name="_Column4_Strategic Diagnostic Templates Technik_Tabelle1" xfId="8342" xr:uid="{00000000-0005-0000-0000-00008D200000}"/>
    <cellStyle name="_Column4_Strategic Diagnostic Templates Technik_Tabelle1 2" xfId="8343" xr:uid="{00000000-0005-0000-0000-00008E200000}"/>
    <cellStyle name="_Column4_Strategic Diagnostic Templates Technik_Tabelle1_Sheet1" xfId="8344" xr:uid="{00000000-0005-0000-0000-00008F200000}"/>
    <cellStyle name="_Column4_Strategic Diagnostic Templates Technik_Tabelle1_Sm Proj Cash Flow" xfId="8345" xr:uid="{00000000-0005-0000-0000-000090200000}"/>
    <cellStyle name="_Column4_Strategic Diagnostic Templates Technik_Tabelle1_Spend Detail" xfId="8346" xr:uid="{00000000-0005-0000-0000-000091200000}"/>
    <cellStyle name="_Column4_Strategic Diagnostic Templates Technik_Tabelle1_SustainingProjectList" xfId="8347" xr:uid="{00000000-0005-0000-0000-000092200000}"/>
    <cellStyle name="_Column4_Strategic Diagnostic Templates Technik_Tabelle2" xfId="8348" xr:uid="{00000000-0005-0000-0000-000093200000}"/>
    <cellStyle name="_Column4_Strategic Diagnostic Templates Technik_Tabelle2 2" xfId="8349" xr:uid="{00000000-0005-0000-0000-000094200000}"/>
    <cellStyle name="_Column4_Strategic Diagnostic Templates Technik_Tabelle2_Sheet1" xfId="8350" xr:uid="{00000000-0005-0000-0000-000095200000}"/>
    <cellStyle name="_Column4_Strategic Diagnostic Templates Technik_Tabelle2_Sm Proj Cash Flow" xfId="8351" xr:uid="{00000000-0005-0000-0000-000096200000}"/>
    <cellStyle name="_Column4_Strategic Diagnostic Templates Technik_Tabelle2_Spend Detail" xfId="8352" xr:uid="{00000000-0005-0000-0000-000097200000}"/>
    <cellStyle name="_Column4_Strategic Diagnostic Templates Technik_Tabelle2_SustainingProjectList" xfId="8353" xr:uid="{00000000-0005-0000-0000-000098200000}"/>
    <cellStyle name="_Column4_Strategic Diagnostic Templates Technik_Tabelle3" xfId="8354" xr:uid="{00000000-0005-0000-0000-000099200000}"/>
    <cellStyle name="_Column4_Strategic Diagnostic Templates Technik_Tabelle3_1" xfId="8355" xr:uid="{00000000-0005-0000-0000-00009A200000}"/>
    <cellStyle name="_Column4_Strategic Diagnostic Templates Technik_Tabelle3_1 2" xfId="8356" xr:uid="{00000000-0005-0000-0000-00009B200000}"/>
    <cellStyle name="_Column4_Strategic Diagnostic Templates Technik_Tabelle3_1_Sheet1" xfId="8357" xr:uid="{00000000-0005-0000-0000-00009C200000}"/>
    <cellStyle name="_Column4_Strategic Diagnostic Templates Technik_Tabelle3_1_Sm Proj Cash Flow" xfId="8358" xr:uid="{00000000-0005-0000-0000-00009D200000}"/>
    <cellStyle name="_Column4_Strategic Diagnostic Templates Technik_Tabelle3_1_Spend Detail" xfId="8359" xr:uid="{00000000-0005-0000-0000-00009E200000}"/>
    <cellStyle name="_Column4_Strategic Diagnostic Templates Technik_Tabelle3_1_SustainingProjectList" xfId="8360" xr:uid="{00000000-0005-0000-0000-00009F200000}"/>
    <cellStyle name="_Column4_Strategic Diagnostic Templates Technik_Template Capex budget 2010 Supply WE" xfId="8361" xr:uid="{00000000-0005-0000-0000-0000A0200000}"/>
    <cellStyle name="_Column4_Strategic Diagnostic Templates Technik_Template Capex budget 2010 Supply WE 2" xfId="8362" xr:uid="{00000000-0005-0000-0000-0000A1200000}"/>
    <cellStyle name="_Column4_Strategic Diagnostic Templates Technik_Werte 33cl" xfId="8363" xr:uid="{00000000-0005-0000-0000-0000A2200000}"/>
    <cellStyle name="_Column4_Strategic Diagnostic Templates Technik_WF Ebitda RD Abr-10" xfId="8364" xr:uid="{00000000-0005-0000-0000-0000A3200000}"/>
    <cellStyle name="_Column4_Strategic Diagnostic Templates Technik_WF Ebitda RD Abr-10 2" xfId="8365" xr:uid="{00000000-0005-0000-0000-0000A4200000}"/>
    <cellStyle name="_Column4_Strategic Diagnostic Templates Technik_WF Ebitda RD Abr-10 2 2" xfId="8366" xr:uid="{00000000-0005-0000-0000-0000A5200000}"/>
    <cellStyle name="_Column4_Strategic Diagnostic Templates Technik_WF Ebitda RD Abr-10 3" xfId="8367" xr:uid="{00000000-0005-0000-0000-0000A6200000}"/>
    <cellStyle name="_Column4_Strategic Diagnostic Templates Technik_WF Ebitda Sep09" xfId="8368" xr:uid="{00000000-0005-0000-0000-0000A7200000}"/>
    <cellStyle name="_Column4_Strategic Diagnostic Templates Technik_WF Ebitda Sep09 2" xfId="8369" xr:uid="{00000000-0005-0000-0000-0000A8200000}"/>
    <cellStyle name="_Column4_Strategic Diagnostic Templates Technik_WF Ebitda Sep09 2 2" xfId="8370" xr:uid="{00000000-0005-0000-0000-0000A9200000}"/>
    <cellStyle name="_Column4_Strategic Diagnostic Templates Technik_WF Ebitda Sep09 3" xfId="8371" xr:uid="{00000000-0005-0000-0000-0000AA200000}"/>
    <cellStyle name="_Column4_Strategic Diagnostic Templates Technik_ZBB" xfId="8372" xr:uid="{00000000-0005-0000-0000-0000AB200000}"/>
    <cellStyle name="_Column4_Strategic Diagnostic Templates Technik_ZBB 2" xfId="8373" xr:uid="{00000000-0005-0000-0000-0000AC200000}"/>
    <cellStyle name="_Column4_Strategic Diagnostic Templates Technik_ZBB 2 2" xfId="8374" xr:uid="{00000000-0005-0000-0000-0000AD200000}"/>
    <cellStyle name="_Column4_Strategic Diagnostic Templates Technik_ZBB 3" xfId="8375" xr:uid="{00000000-0005-0000-0000-0000AE200000}"/>
    <cellStyle name="_Column4_Tabelle1" xfId="8376" xr:uid="{00000000-0005-0000-0000-0000AF200000}"/>
    <cellStyle name="_Column4_Tabelle1 2" xfId="8377" xr:uid="{00000000-0005-0000-0000-0000B0200000}"/>
    <cellStyle name="_Column4_Tabelle1 2 2" xfId="8378" xr:uid="{00000000-0005-0000-0000-0000B1200000}"/>
    <cellStyle name="_Column4_Tabelle1 3" xfId="8379" xr:uid="{00000000-0005-0000-0000-0000B2200000}"/>
    <cellStyle name="_Column4_Tabelle1_1" xfId="8380" xr:uid="{00000000-0005-0000-0000-0000B3200000}"/>
    <cellStyle name="_Column4_Tabelle1_1_Absatz Ist je Artikel &amp; Woche V1" xfId="8381" xr:uid="{00000000-0005-0000-0000-0000B4200000}"/>
    <cellStyle name="_Column4_Tabelle1_1_Absatz Ist je Artikel &amp; Woche V1 2" xfId="8382" xr:uid="{00000000-0005-0000-0000-0000B5200000}"/>
    <cellStyle name="_Column4_Tabelle1_1_Absatz Ist je Artikel &amp; Woche V1_Sheet1" xfId="8383" xr:uid="{00000000-0005-0000-0000-0000B6200000}"/>
    <cellStyle name="_Column4_Tabelle1_1_Absatz Ist je Artikel &amp; Woche V1_Sm Proj Cash Flow" xfId="8384" xr:uid="{00000000-0005-0000-0000-0000B7200000}"/>
    <cellStyle name="_Column4_Tabelle1_1_Absatz Ist je Artikel &amp; Woche V1_Spend Detail" xfId="8385" xr:uid="{00000000-0005-0000-0000-0000B8200000}"/>
    <cellStyle name="_Column4_Tabelle1_1_Absatz Ist je Artikel &amp; Woche V1_SustainingProjectList" xfId="8386" xr:uid="{00000000-0005-0000-0000-0000B9200000}"/>
    <cellStyle name="_Column4_Tabelle1_1_details" xfId="8387" xr:uid="{00000000-0005-0000-0000-0000BA200000}"/>
    <cellStyle name="_Column4_Tabelle1_1_Keg Dynamische Bedarfsplanung Budget 2008 2.8.2007" xfId="8388" xr:uid="{00000000-0005-0000-0000-0000BB200000}"/>
    <cellStyle name="_Column4_Tabelle1_1_Sm Proj Cash Flow" xfId="8389" xr:uid="{00000000-0005-0000-0000-0000BC200000}"/>
    <cellStyle name="_Column4_Tabelle1_1_Spend Detail" xfId="8390" xr:uid="{00000000-0005-0000-0000-0000BD200000}"/>
    <cellStyle name="_Column4_Tabelle1_1_Tabelle2" xfId="8391" xr:uid="{00000000-0005-0000-0000-0000BE200000}"/>
    <cellStyle name="_Column4_Tabelle1_1_Tabelle2 2" xfId="8392" xr:uid="{00000000-0005-0000-0000-0000BF200000}"/>
    <cellStyle name="_Column4_Tabelle1_1_Tabelle2_Sheet1" xfId="8393" xr:uid="{00000000-0005-0000-0000-0000C0200000}"/>
    <cellStyle name="_Column4_Tabelle1_1_Tabelle2_Sm Proj Cash Flow" xfId="8394" xr:uid="{00000000-0005-0000-0000-0000C1200000}"/>
    <cellStyle name="_Column4_Tabelle1_1_Tabelle2_Spend Detail" xfId="8395" xr:uid="{00000000-0005-0000-0000-0000C2200000}"/>
    <cellStyle name="_Column4_Tabelle1_1_Tabelle2_SustainingProjectList" xfId="8396" xr:uid="{00000000-0005-0000-0000-0000C3200000}"/>
    <cellStyle name="_Column4_Tabelle1_1_Tabelle3" xfId="8397" xr:uid="{00000000-0005-0000-0000-0000C4200000}"/>
    <cellStyle name="_Column4_Tabelle1_1_Tabelle3 2" xfId="8398" xr:uid="{00000000-0005-0000-0000-0000C5200000}"/>
    <cellStyle name="_Column4_Tabelle1_1_Tabelle3_Sheet1" xfId="8399" xr:uid="{00000000-0005-0000-0000-0000C6200000}"/>
    <cellStyle name="_Column4_Tabelle1_1_Tabelle3_Sm Proj Cash Flow" xfId="8400" xr:uid="{00000000-0005-0000-0000-0000C7200000}"/>
    <cellStyle name="_Column4_Tabelle1_1_Tabelle3_Spend Detail" xfId="8401" xr:uid="{00000000-0005-0000-0000-0000C8200000}"/>
    <cellStyle name="_Column4_Tabelle1_1_Tabelle3_SustainingProjectList" xfId="8402" xr:uid="{00000000-0005-0000-0000-0000C9200000}"/>
    <cellStyle name="_Column4_Tabelle1_1_Template Capex budget 2010 Supply WE" xfId="8403" xr:uid="{00000000-0005-0000-0000-0000CA200000}"/>
    <cellStyle name="_Column4_Tabelle1_1_Template Capex budget 2010 Supply WE 2" xfId="8404" xr:uid="{00000000-0005-0000-0000-0000CB200000}"/>
    <cellStyle name="_Column4_Tabelle1_Absatz Ist je Artikel &amp; Woche V1" xfId="8405" xr:uid="{00000000-0005-0000-0000-0000CC200000}"/>
    <cellStyle name="_Column4_Tabelle1_Rüstzeit" xfId="8406" xr:uid="{00000000-0005-0000-0000-0000CD200000}"/>
    <cellStyle name="_Column4_Tabelle1_Sheet1" xfId="8407" xr:uid="{00000000-0005-0000-0000-0000CE200000}"/>
    <cellStyle name="_Column4_Tabelle1_Sheet5" xfId="8408" xr:uid="{00000000-0005-0000-0000-0000CF200000}"/>
    <cellStyle name="_Column4_Tabelle1_Sm Proj Cash Flow" xfId="8409" xr:uid="{00000000-0005-0000-0000-0000D0200000}"/>
    <cellStyle name="_Column4_Tabelle1_Spend Detail" xfId="8410" xr:uid="{00000000-0005-0000-0000-0000D1200000}"/>
    <cellStyle name="_Column4_Tabelle1_SustainingProjectList" xfId="8411" xr:uid="{00000000-0005-0000-0000-0000D2200000}"/>
    <cellStyle name="_Column4_Tabelle1_Volumen 05&amp;06&amp;07" xfId="8412" xr:uid="{00000000-0005-0000-0000-0000D3200000}"/>
    <cellStyle name="_Column4_Tabelle1_Volumen 05&amp;06&amp;07_Sm Proj Cash Flow" xfId="8413" xr:uid="{00000000-0005-0000-0000-0000D4200000}"/>
    <cellStyle name="_Column4_Tabelle1_Volumen 05&amp;06&amp;07_Spend Detail" xfId="8414" xr:uid="{00000000-0005-0000-0000-0000D5200000}"/>
    <cellStyle name="_Column4_Tabelle11" xfId="8415" xr:uid="{00000000-0005-0000-0000-0000D6200000}"/>
    <cellStyle name="_Column4_Tabelle2" xfId="8416" xr:uid="{00000000-0005-0000-0000-0000D7200000}"/>
    <cellStyle name="_Column4_Tabelle2_Sm Proj Cash Flow" xfId="8417" xr:uid="{00000000-0005-0000-0000-0000D8200000}"/>
    <cellStyle name="_Column4_Tabelle2_Spend Detail" xfId="8418" xr:uid="{00000000-0005-0000-0000-0000D9200000}"/>
    <cellStyle name="_Column4_Tabelle3" xfId="8419" xr:uid="{00000000-0005-0000-0000-0000DA200000}"/>
    <cellStyle name="_Column4_Tabelle3_Sm Proj Cash Flow" xfId="8420" xr:uid="{00000000-0005-0000-0000-0000DB200000}"/>
    <cellStyle name="_Column4_Tabelle3_Spend Detail" xfId="8421" xr:uid="{00000000-0005-0000-0000-0000DC200000}"/>
    <cellStyle name="_Column4_targets by functions 2007_07.07" xfId="8422" xr:uid="{00000000-0005-0000-0000-0000DD200000}"/>
    <cellStyle name="_Column4_targets by functions 2007_07.07 2" xfId="8423" xr:uid="{00000000-0005-0000-0000-0000DE200000}"/>
    <cellStyle name="_Column4_targets by functions 2007_07.07 3" xfId="8424" xr:uid="{00000000-0005-0000-0000-0000DF200000}"/>
    <cellStyle name="_Column4_targets by functions 2007_07.07 3 2" xfId="8425" xr:uid="{00000000-0005-0000-0000-0000E0200000}"/>
    <cellStyle name="_Column4_targets by functions 2007_07.07 3 3" xfId="8426" xr:uid="{00000000-0005-0000-0000-0000E1200000}"/>
    <cellStyle name="_Column4_targets by functions 2007_07.07 3 3 2" xfId="8427" xr:uid="{00000000-0005-0000-0000-0000E2200000}"/>
    <cellStyle name="_Column4_targets by functions 2007_07.07 4" xfId="8428" xr:uid="{00000000-0005-0000-0000-0000E3200000}"/>
    <cellStyle name="_Column4_targets by functions 2007_07.07 4 2" xfId="8429" xr:uid="{00000000-0005-0000-0000-0000E4200000}"/>
    <cellStyle name="_Column4_targets by functions 2007_07.07_Canada" xfId="8430" xr:uid="{00000000-0005-0000-0000-0000E5200000}"/>
    <cellStyle name="_Column4_targets by functions 2007_07.07_Canada 2" xfId="8431" xr:uid="{00000000-0005-0000-0000-0000E6200000}"/>
    <cellStyle name="_Column4_Tax IT0192 0609" xfId="8432" xr:uid="{00000000-0005-0000-0000-0000E7200000}"/>
    <cellStyle name="_Column4_Tax IT0192 0609_BB (2)" xfId="8433" xr:uid="{00000000-0005-0000-0000-0000E8200000}"/>
    <cellStyle name="_Column4_Tax IT0192 0609_C00200" xfId="8434" xr:uid="{00000000-0005-0000-0000-0000E9200000}"/>
    <cellStyle name="_Column4_Tax IT0192 0609_C00210" xfId="8435" xr:uid="{00000000-0005-0000-0000-0000EA200000}"/>
    <cellStyle name="_Column4_Tax IT0192 0609_C00300" xfId="8436" xr:uid="{00000000-0005-0000-0000-0000EB200000}"/>
    <cellStyle name="_Column4_Tax IT0192 0609_C00400" xfId="8437" xr:uid="{00000000-0005-0000-0000-0000EC200000}"/>
    <cellStyle name="_Column4_Tax IT0192 0609_check6" xfId="8438" xr:uid="{00000000-0005-0000-0000-0000ED200000}"/>
    <cellStyle name="_Column4_Tax IT0192 0609_Sheet1" xfId="8439" xr:uid="{00000000-0005-0000-0000-0000EE200000}"/>
    <cellStyle name="_Column4_Tax IT0192 0609_Sheet1 (5)" xfId="8440" xr:uid="{00000000-0005-0000-0000-0000EF200000}"/>
    <cellStyle name="_Column4_Tax IT0192 0609_Sheet2" xfId="8441" xr:uid="{00000000-0005-0000-0000-0000F0200000}"/>
    <cellStyle name="_Column4_Tax IT0192 0609_Sheet3" xfId="8442" xr:uid="{00000000-0005-0000-0000-0000F1200000}"/>
    <cellStyle name="_Column4_Tax IT0192 0609_status" xfId="8443" xr:uid="{00000000-0005-0000-0000-0000F2200000}"/>
    <cellStyle name="_Column4_Template Capex budget 2010 Supply WE" xfId="8444" xr:uid="{00000000-0005-0000-0000-0000F3200000}"/>
    <cellStyle name="_Column4_Template for processing cognos corrections  (2)" xfId="8445" xr:uid="{00000000-0005-0000-0000-0000F4200000}"/>
    <cellStyle name="_Column4_TP BE_Ad-hoc" xfId="8446" xr:uid="{00000000-0005-0000-0000-0000F5200000}"/>
    <cellStyle name="_Column4_TP database" xfId="8447" xr:uid="{00000000-0005-0000-0000-0000F6200000}"/>
    <cellStyle name="_Column4_TP database vers 26.3.07" xfId="8448" xr:uid="{00000000-0005-0000-0000-0000F7200000}"/>
    <cellStyle name="_Column4_TP database vers 26.3.07_BB (2)" xfId="8449" xr:uid="{00000000-0005-0000-0000-0000F8200000}"/>
    <cellStyle name="_Column4_TP database vers 26.3.07_C00200" xfId="8450" xr:uid="{00000000-0005-0000-0000-0000F9200000}"/>
    <cellStyle name="_Column4_TP database vers 26.3.07_C00210" xfId="8451" xr:uid="{00000000-0005-0000-0000-0000FA200000}"/>
    <cellStyle name="_Column4_TP database vers 26.3.07_C00300" xfId="8452" xr:uid="{00000000-0005-0000-0000-0000FB200000}"/>
    <cellStyle name="_Column4_TP database vers 26.3.07_C00400" xfId="8453" xr:uid="{00000000-0005-0000-0000-0000FC200000}"/>
    <cellStyle name="_Column4_TP database vers 26.3.07_check6" xfId="8454" xr:uid="{00000000-0005-0000-0000-0000FD200000}"/>
    <cellStyle name="_Column4_TP database vers 26.3.07_Sheet1" xfId="8455" xr:uid="{00000000-0005-0000-0000-0000FE200000}"/>
    <cellStyle name="_Column4_TP database vers 26.3.07_Sheet1 (5)" xfId="8456" xr:uid="{00000000-0005-0000-0000-0000FF200000}"/>
    <cellStyle name="_Column4_TP database vers 26.3.07_Sheet2" xfId="8457" xr:uid="{00000000-0005-0000-0000-000000210000}"/>
    <cellStyle name="_Column4_TP database vers 26.3.07_Sheet3" xfId="8458" xr:uid="{00000000-0005-0000-0000-000001210000}"/>
    <cellStyle name="_Column4_TP database vers 26.3.07_status" xfId="8459" xr:uid="{00000000-0005-0000-0000-000002210000}"/>
    <cellStyle name="_Column4_TP database_BB (2)" xfId="8460" xr:uid="{00000000-0005-0000-0000-000003210000}"/>
    <cellStyle name="_Column4_TP database_C00200" xfId="8461" xr:uid="{00000000-0005-0000-0000-000004210000}"/>
    <cellStyle name="_Column4_TP database_C00210" xfId="8462" xr:uid="{00000000-0005-0000-0000-000005210000}"/>
    <cellStyle name="_Column4_TP database_C00300" xfId="8463" xr:uid="{00000000-0005-0000-0000-000006210000}"/>
    <cellStyle name="_Column4_TP database_C00400" xfId="8464" xr:uid="{00000000-0005-0000-0000-000007210000}"/>
    <cellStyle name="_Column4_TP database_check6" xfId="8465" xr:uid="{00000000-0005-0000-0000-000008210000}"/>
    <cellStyle name="_Column4_TP database_Sheet1" xfId="8466" xr:uid="{00000000-0005-0000-0000-000009210000}"/>
    <cellStyle name="_Column4_TP database_Sheet1 (5)" xfId="8467" xr:uid="{00000000-0005-0000-0000-00000A210000}"/>
    <cellStyle name="_Column4_TP database_Sheet2" xfId="8468" xr:uid="{00000000-0005-0000-0000-00000B210000}"/>
    <cellStyle name="_Column4_TP database_Sheet3" xfId="8469" xr:uid="{00000000-0005-0000-0000-00000C210000}"/>
    <cellStyle name="_Column4_TP database_status" xfId="8470" xr:uid="{00000000-0005-0000-0000-00000D210000}"/>
    <cellStyle name="_Column4_TP_IC_2013" xfId="8471" xr:uid="{00000000-0005-0000-0000-00000E210000}"/>
    <cellStyle name="_Column4_TP_Stella" xfId="8472" xr:uid="{00000000-0005-0000-0000-00000F210000}"/>
    <cellStyle name="_Column4_TP_Stella 2" xfId="8473" xr:uid="{00000000-0005-0000-0000-000010210000}"/>
    <cellStyle name="_Column4_TP_Stella 3" xfId="8474" xr:uid="{00000000-0005-0000-0000-000011210000}"/>
    <cellStyle name="_Column4_TP_Stella 3 2" xfId="8475" xr:uid="{00000000-0005-0000-0000-000012210000}"/>
    <cellStyle name="_Column4_TP_Stella 3 3" xfId="8476" xr:uid="{00000000-0005-0000-0000-000013210000}"/>
    <cellStyle name="_Column4_TP_Stella 3 3 2" xfId="8477" xr:uid="{00000000-0005-0000-0000-000014210000}"/>
    <cellStyle name="_Column4_TP_Stella 4" xfId="8478" xr:uid="{00000000-0005-0000-0000-000015210000}"/>
    <cellStyle name="_Column4_TP_Stella 4 2" xfId="8479" xr:uid="{00000000-0005-0000-0000-000016210000}"/>
    <cellStyle name="_Column4_TP_Stella_Sheet5" xfId="8480" xr:uid="{00000000-0005-0000-0000-000017210000}"/>
    <cellStyle name="_Column4_TPneu" xfId="8481" xr:uid="{00000000-0005-0000-0000-000018210000}"/>
    <cellStyle name="_Column4_TPneu 2" xfId="8482" xr:uid="{00000000-0005-0000-0000-000019210000}"/>
    <cellStyle name="_Column4_TPneu 3" xfId="8483" xr:uid="{00000000-0005-0000-0000-00001A210000}"/>
    <cellStyle name="_Column4_TPneu 3 2" xfId="8484" xr:uid="{00000000-0005-0000-0000-00001B210000}"/>
    <cellStyle name="_Column4_TPneu 3 3" xfId="8485" xr:uid="{00000000-0005-0000-0000-00001C210000}"/>
    <cellStyle name="_Column4_TPneu 3 3 2" xfId="8486" xr:uid="{00000000-0005-0000-0000-00001D210000}"/>
    <cellStyle name="_Column4_TPneu 4" xfId="8487" xr:uid="{00000000-0005-0000-0000-00001E210000}"/>
    <cellStyle name="_Column4_TPneu 4 2" xfId="8488" xr:uid="{00000000-0005-0000-0000-00001F210000}"/>
    <cellStyle name="_Column4_TPneu_Canada" xfId="8489" xr:uid="{00000000-0005-0000-0000-000020210000}"/>
    <cellStyle name="_Column4_TPneu_Canada 2" xfId="8490" xr:uid="{00000000-0005-0000-0000-000021210000}"/>
    <cellStyle name="_Column4_TS_dimension split Italy 1206" xfId="8491" xr:uid="{00000000-0005-0000-0000-000022210000}"/>
    <cellStyle name="_Column4_TS_dimension split Italy 1206_BB (2)" xfId="8492" xr:uid="{00000000-0005-0000-0000-000023210000}"/>
    <cellStyle name="_Column4_TS_dimension split Italy 1206_C00200" xfId="8493" xr:uid="{00000000-0005-0000-0000-000024210000}"/>
    <cellStyle name="_Column4_TS_dimension split Italy 1206_C00210" xfId="8494" xr:uid="{00000000-0005-0000-0000-000025210000}"/>
    <cellStyle name="_Column4_TS_dimension split Italy 1206_C00300" xfId="8495" xr:uid="{00000000-0005-0000-0000-000026210000}"/>
    <cellStyle name="_Column4_TS_dimension split Italy 1206_C00400" xfId="8496" xr:uid="{00000000-0005-0000-0000-000027210000}"/>
    <cellStyle name="_Column4_TS_dimension split Italy 1206_check6" xfId="8497" xr:uid="{00000000-0005-0000-0000-000028210000}"/>
    <cellStyle name="_Column4_TS_dimension split Italy 1206_Sheet1" xfId="8498" xr:uid="{00000000-0005-0000-0000-000029210000}"/>
    <cellStyle name="_Column4_TS_dimension split Italy 1206_Sheet1 (5)" xfId="8499" xr:uid="{00000000-0005-0000-0000-00002A210000}"/>
    <cellStyle name="_Column4_TS_dimension split Italy 1206_Sheet2" xfId="8500" xr:uid="{00000000-0005-0000-0000-00002B210000}"/>
    <cellStyle name="_Column4_TS_dimension split Italy 1206_Sheet3" xfId="8501" xr:uid="{00000000-0005-0000-0000-00002C210000}"/>
    <cellStyle name="_Column4_TS_dimension split Italy 1206_status" xfId="8502" xr:uid="{00000000-0005-0000-0000-00002D210000}"/>
    <cellStyle name="_Column4_Utilities package details B07" xfId="8503" xr:uid="{00000000-0005-0000-0000-00002E210000}"/>
    <cellStyle name="_Column4_Utilities package details B07 2" xfId="8504" xr:uid="{00000000-0005-0000-0000-00002F210000}"/>
    <cellStyle name="_Column4_VE" xfId="8505" xr:uid="{00000000-0005-0000-0000-000030210000}"/>
    <cellStyle name="_Column4_VE 2" xfId="8506" xr:uid="{00000000-0005-0000-0000-000031210000}"/>
    <cellStyle name="_Column4_VE 2 2" xfId="8507" xr:uid="{00000000-0005-0000-0000-000032210000}"/>
    <cellStyle name="_Column4_VE 3" xfId="8508" xr:uid="{00000000-0005-0000-0000-000033210000}"/>
    <cellStyle name="_Column4_VIC Personalkosten Filling Bremen" xfId="8509" xr:uid="{00000000-0005-0000-0000-000034210000}"/>
    <cellStyle name="_Column4_VIC+VPLC On" xfId="8510" xr:uid="{00000000-0005-0000-0000-000035210000}"/>
    <cellStyle name="_Column4_Vol Innovations 1st sub" xfId="8511" xr:uid="{00000000-0005-0000-0000-000036210000}"/>
    <cellStyle name="_Column4_Vol mkt" xfId="8512" xr:uid="{00000000-0005-0000-0000-000037210000}"/>
    <cellStyle name="_Column4_Vol mkt_BB (2)" xfId="8513" xr:uid="{00000000-0005-0000-0000-000038210000}"/>
    <cellStyle name="_Column4_Vol mkt_C00200" xfId="8514" xr:uid="{00000000-0005-0000-0000-000039210000}"/>
    <cellStyle name="_Column4_Vol mkt_C00210" xfId="8515" xr:uid="{00000000-0005-0000-0000-00003A210000}"/>
    <cellStyle name="_Column4_Vol mkt_C00300" xfId="8516" xr:uid="{00000000-0005-0000-0000-00003B210000}"/>
    <cellStyle name="_Column4_Vol mkt_C00400" xfId="8517" xr:uid="{00000000-0005-0000-0000-00003C210000}"/>
    <cellStyle name="_Column4_Vol mkt_check6" xfId="8518" xr:uid="{00000000-0005-0000-0000-00003D210000}"/>
    <cellStyle name="_Column4_Vol mkt_Sheet1" xfId="8519" xr:uid="{00000000-0005-0000-0000-00003E210000}"/>
    <cellStyle name="_Column4_Vol mkt_Sheet1 (5)" xfId="8520" xr:uid="{00000000-0005-0000-0000-00003F210000}"/>
    <cellStyle name="_Column4_Vol mkt_Sheet2" xfId="8521" xr:uid="{00000000-0005-0000-0000-000040210000}"/>
    <cellStyle name="_Column4_Vol mkt_Sheet3" xfId="8522" xr:uid="{00000000-0005-0000-0000-000041210000}"/>
    <cellStyle name="_Column4_Vol mkt_status" xfId="8523" xr:uid="{00000000-0005-0000-0000-000042210000}"/>
    <cellStyle name="_Column4_Vol x SKU e x package" xfId="8524" xr:uid="{00000000-0005-0000-0000-000043210000}"/>
    <cellStyle name="_Column4_Vol_Innovations 1st Sub." xfId="8525" xr:uid="{00000000-0005-0000-0000-000044210000}"/>
    <cellStyle name="_Column4_Volumen 05&amp;06&amp;07" xfId="8526" xr:uid="{00000000-0005-0000-0000-000045210000}"/>
    <cellStyle name="_Column4_Volumes" xfId="8527" xr:uid="{00000000-0005-0000-0000-000046210000}"/>
    <cellStyle name="_Column4_Volumes Bremen" xfId="8528" xr:uid="{00000000-0005-0000-0000-000047210000}"/>
    <cellStyle name="_Column4_Volumes Bremen_packaging" xfId="8529" xr:uid="{00000000-0005-0000-0000-000048210000}"/>
    <cellStyle name="_Column4_Volumes March'06" xfId="8530" xr:uid="{00000000-0005-0000-0000-000049210000}"/>
    <cellStyle name="_Column4_Volumes_BB (2)" xfId="8531" xr:uid="{00000000-0005-0000-0000-00004A210000}"/>
    <cellStyle name="_Column4_Volumes_C00200" xfId="8532" xr:uid="{00000000-0005-0000-0000-00004B210000}"/>
    <cellStyle name="_Column4_Volumes_C00210" xfId="8533" xr:uid="{00000000-0005-0000-0000-00004C210000}"/>
    <cellStyle name="_Column4_Volumes_C00300" xfId="8534" xr:uid="{00000000-0005-0000-0000-00004D210000}"/>
    <cellStyle name="_Column4_Volumes_C00400" xfId="8535" xr:uid="{00000000-0005-0000-0000-00004E210000}"/>
    <cellStyle name="_Column4_Volumes_check6" xfId="8536" xr:uid="{00000000-0005-0000-0000-00004F210000}"/>
    <cellStyle name="_Column4_Volumes_packaging" xfId="8537" xr:uid="{00000000-0005-0000-0000-000050210000}"/>
    <cellStyle name="_Column4_Volumes_Sheet1" xfId="8538" xr:uid="{00000000-0005-0000-0000-000051210000}"/>
    <cellStyle name="_Column4_Volumes_Sheet1 (5)" xfId="8539" xr:uid="{00000000-0005-0000-0000-000052210000}"/>
    <cellStyle name="_Column4_Volumes_Sheet2" xfId="8540" xr:uid="{00000000-0005-0000-0000-000053210000}"/>
    <cellStyle name="_Column4_Volumes_Sheet3" xfId="8541" xr:uid="{00000000-0005-0000-0000-000054210000}"/>
    <cellStyle name="_Column4_Volumes_status" xfId="8542" xr:uid="{00000000-0005-0000-0000-000055210000}"/>
    <cellStyle name="_Column4_Volumi" xfId="8543" xr:uid="{00000000-0005-0000-0000-000056210000}"/>
    <cellStyle name="_Column4_Volumi aprile" xfId="8544" xr:uid="{00000000-0005-0000-0000-000057210000}"/>
    <cellStyle name="_Column4_Volumi Aug estr da Alea" xfId="8545" xr:uid="{00000000-0005-0000-0000-000058210000}"/>
    <cellStyle name="_Column4_Volumi August estr da Alea" xfId="8546" xr:uid="{00000000-0005-0000-0000-000059210000}"/>
    <cellStyle name="_Column4_Volumi BU'07" xfId="8547" xr:uid="{00000000-0005-0000-0000-00005A210000}"/>
    <cellStyle name="_Column4_Volumi Budget'07 Alea" xfId="8548" xr:uid="{00000000-0005-0000-0000-00005B210000}"/>
    <cellStyle name="_Column4_Volumi estr 30.6.06" xfId="8549" xr:uid="{00000000-0005-0000-0000-00005C210000}"/>
    <cellStyle name="_Column4_Volumi July estr da Alea" xfId="8550" xr:uid="{00000000-0005-0000-0000-00005D210000}"/>
    <cellStyle name="_Column4_Volumi July estr da Alea_1" xfId="8551" xr:uid="{00000000-0005-0000-0000-00005E210000}"/>
    <cellStyle name="_Column4_Volumi Marzo (2)" xfId="8552" xr:uid="{00000000-0005-0000-0000-00005F210000}"/>
    <cellStyle name="_Column4_Volumi May estr da Alea" xfId="8553" xr:uid="{00000000-0005-0000-0000-000060210000}"/>
    <cellStyle name="_Column4_Volumi October estr da Alea" xfId="8554" xr:uid="{00000000-0005-0000-0000-000061210000}"/>
    <cellStyle name="_Column4_Volumi September estr da Alea" xfId="8555" xr:uid="{00000000-0005-0000-0000-000062210000}"/>
    <cellStyle name="_Column4_VP Supply Approval" xfId="8556" xr:uid="{00000000-0005-0000-0000-000063210000}"/>
    <cellStyle name="_Column4_VP Supply Approval_RFFS SUBMISSION TO VPs" xfId="8557" xr:uid="{00000000-0005-0000-0000-000064210000}"/>
    <cellStyle name="_Column4_VP Supply Approval_RFFS_SUBMISSION_TO_VPs _v2" xfId="8558" xr:uid="{00000000-0005-0000-0000-000065210000}"/>
    <cellStyle name="_Column4_VPLC" xfId="8559" xr:uid="{00000000-0005-0000-0000-000066210000}"/>
    <cellStyle name="_Column4_VPLC 2" xfId="8560" xr:uid="{00000000-0005-0000-0000-000067210000}"/>
    <cellStyle name="_Column4_VPLC 3" xfId="8561" xr:uid="{00000000-0005-0000-0000-000068210000}"/>
    <cellStyle name="_Column4_VPLC 3 2" xfId="8562" xr:uid="{00000000-0005-0000-0000-000069210000}"/>
    <cellStyle name="_Column4_VPLC 3 3" xfId="8563" xr:uid="{00000000-0005-0000-0000-00006A210000}"/>
    <cellStyle name="_Column4_VPLC 3 3 2" xfId="8564" xr:uid="{00000000-0005-0000-0000-00006B210000}"/>
    <cellStyle name="_Column4_VPLC 4" xfId="8565" xr:uid="{00000000-0005-0000-0000-00006C210000}"/>
    <cellStyle name="_Column4_VPLC 4 2" xfId="8566" xr:uid="{00000000-0005-0000-0000-00006D210000}"/>
    <cellStyle name="_Column4_VPLC_Sheet5" xfId="8567" xr:uid="{00000000-0005-0000-0000-00006E210000}"/>
    <cellStyle name="_Column4_waterfall-rol" xfId="8568" xr:uid="{00000000-0005-0000-0000-00006F210000}"/>
    <cellStyle name="_Column4_waterfall-rol 2" xfId="8569" xr:uid="{00000000-0005-0000-0000-000070210000}"/>
    <cellStyle name="_Column4_waterfall-rol 2 2" xfId="8570" xr:uid="{00000000-0005-0000-0000-000071210000}"/>
    <cellStyle name="_Column4_waterfall-rol 3" xfId="8571" xr:uid="{00000000-0005-0000-0000-000072210000}"/>
    <cellStyle name="_Column4_WE_B07_Scope_changes_070507" xfId="8572" xr:uid="{00000000-0005-0000-0000-000073210000}"/>
    <cellStyle name="_Column4_WE_B07_Scope_changes_090507" xfId="8573" xr:uid="{00000000-0005-0000-0000-000074210000}"/>
    <cellStyle name="_Column4_WE_B07_Scope_changes_100407" xfId="8574" xr:uid="{00000000-0005-0000-0000-000075210000}"/>
    <cellStyle name="_Column4_WE_B07_Scope_changes_200307" xfId="8575" xr:uid="{00000000-0005-0000-0000-000076210000}"/>
    <cellStyle name="_Column4_WE_B07_Scope_changes_300307" xfId="8576" xr:uid="{00000000-0005-0000-0000-000077210000}"/>
    <cellStyle name="_Column4_WE_BusinessUpdate Jan 2007" xfId="8577" xr:uid="{00000000-0005-0000-0000-000078210000}"/>
    <cellStyle name="_Column4_WE_BusinessUpdate Jan 2007_BB (2)" xfId="8578" xr:uid="{00000000-0005-0000-0000-000079210000}"/>
    <cellStyle name="_Column4_WE_BusinessUpdate Jan 2007_C00200" xfId="8579" xr:uid="{00000000-0005-0000-0000-00007A210000}"/>
    <cellStyle name="_Column4_WE_BusinessUpdate Jan 2007_C00210" xfId="8580" xr:uid="{00000000-0005-0000-0000-00007B210000}"/>
    <cellStyle name="_Column4_WE_BusinessUpdate Jan 2007_C00300" xfId="8581" xr:uid="{00000000-0005-0000-0000-00007C210000}"/>
    <cellStyle name="_Column4_WE_BusinessUpdate Jan 2007_C00400" xfId="8582" xr:uid="{00000000-0005-0000-0000-00007D210000}"/>
    <cellStyle name="_Column4_WE_BusinessUpdate Jan 2007_check6" xfId="8583" xr:uid="{00000000-0005-0000-0000-00007E210000}"/>
    <cellStyle name="_Column4_WE_BusinessUpdate Jan 2007_Sheet1" xfId="8584" xr:uid="{00000000-0005-0000-0000-00007F210000}"/>
    <cellStyle name="_Column4_WE_BusinessUpdate Jan 2007_Sheet1 (5)" xfId="8585" xr:uid="{00000000-0005-0000-0000-000080210000}"/>
    <cellStyle name="_Column4_WE_BusinessUpdate Jan 2007_Sheet2" xfId="8586" xr:uid="{00000000-0005-0000-0000-000081210000}"/>
    <cellStyle name="_Column4_WE_BusinessUpdate Jan 2007_Sheet3" xfId="8587" xr:uid="{00000000-0005-0000-0000-000082210000}"/>
    <cellStyle name="_Column4_WE_BusinessUpdate Jan 2007_status" xfId="8588" xr:uid="{00000000-0005-0000-0000-000083210000}"/>
    <cellStyle name="_Column4_WE_BusinessUpdate2007_support" xfId="8589" xr:uid="{00000000-0005-0000-0000-000084210000}"/>
    <cellStyle name="_Column4_WE_BusinessUpdate2007_support_BB (2)" xfId="8590" xr:uid="{00000000-0005-0000-0000-000085210000}"/>
    <cellStyle name="_Column4_WE_BusinessUpdate2007_support_C00200" xfId="8591" xr:uid="{00000000-0005-0000-0000-000086210000}"/>
    <cellStyle name="_Column4_WE_BusinessUpdate2007_support_C00210" xfId="8592" xr:uid="{00000000-0005-0000-0000-000087210000}"/>
    <cellStyle name="_Column4_WE_BusinessUpdate2007_support_C00300" xfId="8593" xr:uid="{00000000-0005-0000-0000-000088210000}"/>
    <cellStyle name="_Column4_WE_BusinessUpdate2007_support_C00400" xfId="8594" xr:uid="{00000000-0005-0000-0000-000089210000}"/>
    <cellStyle name="_Column4_WE_BusinessUpdate2007_support_check6" xfId="8595" xr:uid="{00000000-0005-0000-0000-00008A210000}"/>
    <cellStyle name="_Column4_WE_BusinessUpdate2007_support_Sheet1" xfId="8596" xr:uid="{00000000-0005-0000-0000-00008B210000}"/>
    <cellStyle name="_Column4_WE_BusinessUpdate2007_support_Sheet1 (5)" xfId="8597" xr:uid="{00000000-0005-0000-0000-00008C210000}"/>
    <cellStyle name="_Column4_WE_BusinessUpdate2007_support_Sheet2" xfId="8598" xr:uid="{00000000-0005-0000-0000-00008D210000}"/>
    <cellStyle name="_Column4_WE_BusinessUpdate2007_support_Sheet3" xfId="8599" xr:uid="{00000000-0005-0000-0000-00008E210000}"/>
    <cellStyle name="_Column4_WE_BusinessUpdate2007_support_status" xfId="8600" xr:uid="{00000000-0005-0000-0000-00008F210000}"/>
    <cellStyle name="_Column4_WE_TargetBook2006__final050307(BG)" xfId="8601" xr:uid="{00000000-0005-0000-0000-000090210000}"/>
    <cellStyle name="_Column4_YTD Off-Trade giugno" xfId="8602" xr:uid="{00000000-0005-0000-0000-000091210000}"/>
    <cellStyle name="_Column4_YTD Off-Trade maggio" xfId="8603" xr:uid="{00000000-0005-0000-0000-000092210000}"/>
    <cellStyle name="_Column4_ZBB" xfId="8604" xr:uid="{00000000-0005-0000-0000-000093210000}"/>
    <cellStyle name="_Column4_ZBB 2" xfId="8605" xr:uid="{00000000-0005-0000-0000-000094210000}"/>
    <cellStyle name="_Column4_ZBB 2 2" xfId="8606" xr:uid="{00000000-0005-0000-0000-000095210000}"/>
    <cellStyle name="_Column4_ZBB 2007 estr Alea" xfId="8607" xr:uid="{00000000-0005-0000-0000-000096210000}"/>
    <cellStyle name="_Column4_ZBB 3" xfId="8608" xr:uid="{00000000-0005-0000-0000-000097210000}"/>
    <cellStyle name="_Column4_ZBB Budget 2009 Decks v2 china" xfId="8609" xr:uid="{00000000-0005-0000-0000-000098210000}"/>
    <cellStyle name="_Column4_ZBB Budget 2009 Decks v2 china 2" xfId="8610" xr:uid="{00000000-0005-0000-0000-000099210000}"/>
    <cellStyle name="_Column4_ZBB Budget 2009 Decks v2 china 2 2" xfId="8611" xr:uid="{00000000-0005-0000-0000-00009A210000}"/>
    <cellStyle name="_Column4_ZBB Budget 2009 Decks v2 china 3" xfId="8612" xr:uid="{00000000-0005-0000-0000-00009B210000}"/>
    <cellStyle name="_Column4_ZBB Budget 2009 Decks v2 china_Copy of US ZBB Budget Tracker v3" xfId="8613" xr:uid="{00000000-0005-0000-0000-00009C210000}"/>
    <cellStyle name="_Column4_ZBB Budget 2009 Decks v2 china_US ZBB Budget Tracker updated 3-8-2010" xfId="8614" xr:uid="{00000000-0005-0000-0000-00009D210000}"/>
    <cellStyle name="_Column4_ZBB cost analysis B08 fin1" xfId="8615" xr:uid="{00000000-0005-0000-0000-00009E210000}"/>
    <cellStyle name="_Column4_ZBB cost analysis B08 fin1 2" xfId="8616" xr:uid="{00000000-0005-0000-0000-00009F210000}"/>
    <cellStyle name="_Column4_ZBB Deck Summary_Korea" xfId="8617" xr:uid="{00000000-0005-0000-0000-0000A0210000}"/>
    <cellStyle name="_Column4_ZBB Deck Summary_Korea 2" xfId="8618" xr:uid="{00000000-0005-0000-0000-0000A1210000}"/>
    <cellStyle name="_Column4_ZBB Germania" xfId="8619" xr:uid="{00000000-0005-0000-0000-0000A2210000}"/>
    <cellStyle name="_Column4_ZBB Risk and oportunities SD Julyok" xfId="8620" xr:uid="{00000000-0005-0000-0000-0000A3210000}"/>
    <cellStyle name="_Column4_ZBB Risk and oportunities SD Julyok 2" xfId="8621" xr:uid="{00000000-0005-0000-0000-0000A4210000}"/>
    <cellStyle name="_Column4_ZBB Risk and oportunities SD Julyok 3" xfId="8622" xr:uid="{00000000-0005-0000-0000-0000A5210000}"/>
    <cellStyle name="_Column4_ZBB Risk and oportunities SD Julyok 3 2" xfId="8623" xr:uid="{00000000-0005-0000-0000-0000A6210000}"/>
    <cellStyle name="_Column4_ZBB Risk and oportunities SD Julyok 3 3" xfId="8624" xr:uid="{00000000-0005-0000-0000-0000A7210000}"/>
    <cellStyle name="_Column4_ZBB Risk and oportunities SD Julyok 3 3 2" xfId="8625" xr:uid="{00000000-0005-0000-0000-0000A8210000}"/>
    <cellStyle name="_Column4_ZBB Risk and oportunities SD Julyok 4" xfId="8626" xr:uid="{00000000-0005-0000-0000-0000A9210000}"/>
    <cellStyle name="_Column4_ZBB Risk and oportunities SD Julyok 4 2" xfId="8627" xr:uid="{00000000-0005-0000-0000-0000AA210000}"/>
    <cellStyle name="_Column4_ZBB Risk and oportunities SD Julyok_Canada" xfId="8628" xr:uid="{00000000-0005-0000-0000-0000AB210000}"/>
    <cellStyle name="_Column4_ZBB Risk and oportunities SD Julyok_Canada 2" xfId="8629" xr:uid="{00000000-0005-0000-0000-0000AC210000}"/>
    <cellStyle name="_Column4_ZBB standard Template Korea_081105" xfId="8630" xr:uid="{00000000-0005-0000-0000-0000AD210000}"/>
    <cellStyle name="_Column4_ZBB standard Template Korea_081105 2" xfId="8631" xr:uid="{00000000-0005-0000-0000-0000AE210000}"/>
    <cellStyle name="_Column4_ZBB standard Template Korea_081105 2 2" xfId="8632" xr:uid="{00000000-0005-0000-0000-0000AF210000}"/>
    <cellStyle name="_Column4_ZBB standard Template Korea_081105 3" xfId="8633" xr:uid="{00000000-0005-0000-0000-0000B0210000}"/>
    <cellStyle name="_Column4_ZBB standard Template Korea_081105_Copy of US ZBB Budget Tracker v3" xfId="8634" xr:uid="{00000000-0005-0000-0000-0000B1210000}"/>
    <cellStyle name="_Column4_ZBB standard Template Korea_081105_US ZBB Budget Tracker updated 3-8-2010" xfId="8635" xr:uid="{00000000-0005-0000-0000-0000B2210000}"/>
    <cellStyle name="_Column4_ZBB x pack" xfId="8636" xr:uid="{00000000-0005-0000-0000-0000B3210000}"/>
    <cellStyle name="_Column4_ZBB x pack - dett Mkting" xfId="8637" xr:uid="{00000000-0005-0000-0000-0000B4210000}"/>
    <cellStyle name="_Column4_ZBB x pack - dett Sales" xfId="8638" xr:uid="{00000000-0005-0000-0000-0000B5210000}"/>
    <cellStyle name="_Column4_ZBB x pack Germania" xfId="8639" xr:uid="{00000000-0005-0000-0000-0000B6210000}"/>
    <cellStyle name="_Column4_ZBB_Budget07_Entities per package4Sep5" xfId="8640" xr:uid="{00000000-0005-0000-0000-0000B7210000}"/>
    <cellStyle name="_Column4_ZBB_Budget07_Entities per package4Sep5 2" xfId="8641" xr:uid="{00000000-0005-0000-0000-0000B8210000}"/>
    <cellStyle name="_Column4_ZBB_LE2+B08_V1" xfId="8642" xr:uid="{00000000-0005-0000-0000-0000B9210000}"/>
    <cellStyle name="_Column4_ZBB_LE2+B08_V1 2" xfId="8643" xr:uid="{00000000-0005-0000-0000-0000BA210000}"/>
    <cellStyle name="_Column4_ZBB_LE2+B08_V1 3" xfId="8644" xr:uid="{00000000-0005-0000-0000-0000BB210000}"/>
    <cellStyle name="_Column4_ZBB_LE2+B08_V1 3 2" xfId="8645" xr:uid="{00000000-0005-0000-0000-0000BC210000}"/>
    <cellStyle name="_Column4_ZBB_LE2+B08_V1 3 3" xfId="8646" xr:uid="{00000000-0005-0000-0000-0000BD210000}"/>
    <cellStyle name="_Column4_ZBB_LE2+B08_V1 3 3 2" xfId="8647" xr:uid="{00000000-0005-0000-0000-0000BE210000}"/>
    <cellStyle name="_Column4_ZBB_LE2+B08_V1 4" xfId="8648" xr:uid="{00000000-0005-0000-0000-0000BF210000}"/>
    <cellStyle name="_Column4_ZBB_LE2+B08_V1 4 2" xfId="8649" xr:uid="{00000000-0005-0000-0000-0000C0210000}"/>
    <cellStyle name="_Column4_ZBB_LE2+B08_V1_Canada" xfId="8650" xr:uid="{00000000-0005-0000-0000-0000C1210000}"/>
    <cellStyle name="_Column4_ZBB_LE2+B08_V1_Canada 2" xfId="8651" xr:uid="{00000000-0005-0000-0000-0000C2210000}"/>
    <cellStyle name="_Column4_ZBB_SLAVICA" xfId="8652" xr:uid="{00000000-0005-0000-0000-0000C3210000}"/>
    <cellStyle name="_Column4_ZBB_SLAVICA 2" xfId="8653" xr:uid="{00000000-0005-0000-0000-0000C4210000}"/>
    <cellStyle name="_Column4_ZBB_SLAVICA 3" xfId="8654" xr:uid="{00000000-0005-0000-0000-0000C5210000}"/>
    <cellStyle name="_Column4_ZBB_SLAVICA 3 2" xfId="8655" xr:uid="{00000000-0005-0000-0000-0000C6210000}"/>
    <cellStyle name="_Column4_ZBB_SLAVICA 3 3" xfId="8656" xr:uid="{00000000-0005-0000-0000-0000C7210000}"/>
    <cellStyle name="_Column4_ZBB_SLAVICA 3 3 2" xfId="8657" xr:uid="{00000000-0005-0000-0000-0000C8210000}"/>
    <cellStyle name="_Column4_ZBB_SLAVICA 4" xfId="8658" xr:uid="{00000000-0005-0000-0000-0000C9210000}"/>
    <cellStyle name="_Column4_ZBB_SLAVICA 4 2" xfId="8659" xr:uid="{00000000-0005-0000-0000-0000CA210000}"/>
    <cellStyle name="_Column4_ZBB_SLAVICA_Canada" xfId="8660" xr:uid="{00000000-0005-0000-0000-0000CB210000}"/>
    <cellStyle name="_Column4_ZBB_SLAVICA_Canada 2" xfId="8661" xr:uid="{00000000-0005-0000-0000-0000CC210000}"/>
    <cellStyle name="_Column4_Zusammenfassung Wert" xfId="8662" xr:uid="{00000000-0005-0000-0000-0000CD210000}"/>
    <cellStyle name="_Column4_Zusammenfassung Wert_Sheet5" xfId="8663" xr:uid="{00000000-0005-0000-0000-0000CE210000}"/>
    <cellStyle name="_Column5" xfId="8664" xr:uid="{00000000-0005-0000-0000-0000CF210000}"/>
    <cellStyle name="_Column5 2" xfId="8665" xr:uid="{00000000-0005-0000-0000-0000D0210000}"/>
    <cellStyle name="_Column5 2 2" xfId="8666" xr:uid="{00000000-0005-0000-0000-0000D1210000}"/>
    <cellStyle name="_Column5 2 2 2" xfId="8667" xr:uid="{00000000-0005-0000-0000-0000D2210000}"/>
    <cellStyle name="_Column5 2 3" xfId="8668" xr:uid="{00000000-0005-0000-0000-0000D3210000}"/>
    <cellStyle name="_Column5 3" xfId="8669" xr:uid="{00000000-0005-0000-0000-0000D4210000}"/>
    <cellStyle name="_Column5 3 2" xfId="8670" xr:uid="{00000000-0005-0000-0000-0000D5210000}"/>
    <cellStyle name="_Column5 4" xfId="8671" xr:uid="{00000000-0005-0000-0000-0000D6210000}"/>
    <cellStyle name="_Column5_010808 Market Programs  for Budget Deck" xfId="8672" xr:uid="{00000000-0005-0000-0000-0000D7210000}"/>
    <cellStyle name="_Column5_010808 Market Programs  for Budget Deck 2" xfId="8673" xr:uid="{00000000-0005-0000-0000-0000D8210000}"/>
    <cellStyle name="_Column5_010808 Market Programs  for Budget Deck 2 2" xfId="8674" xr:uid="{00000000-0005-0000-0000-0000D9210000}"/>
    <cellStyle name="_Column5_010808 Market Programs  for Budget Deck 3" xfId="8675" xr:uid="{00000000-0005-0000-0000-0000DA210000}"/>
    <cellStyle name="_Column5_080813 Germany-High&amp;Low" xfId="8676" xr:uid="{00000000-0005-0000-0000-0000DB210000}"/>
    <cellStyle name="_Column5_080813 Germany-Lidl" xfId="8677" xr:uid="{00000000-0005-0000-0000-0000DC210000}"/>
    <cellStyle name="_Column5_1_INPUT" xfId="8678" xr:uid="{00000000-0005-0000-0000-0000DD210000}"/>
    <cellStyle name="_Column5_1_INPUT_TP_No Tank Resales" xfId="8679" xr:uid="{00000000-0005-0000-0000-0000DE210000}"/>
    <cellStyle name="_Column5_2pk SP 2008" xfId="8680" xr:uid="{00000000-0005-0000-0000-0000DF210000}"/>
    <cellStyle name="_Column5_AB" xfId="8681" xr:uid="{00000000-0005-0000-0000-0000E0210000}"/>
    <cellStyle name="_Column5_Abfüllmenge &amp; Anstellwürze Bremen Budget 2006 V1.1" xfId="8682" xr:uid="{00000000-0005-0000-0000-0000E1210000}"/>
    <cellStyle name="_Column5_Abfüllmenge &amp; Anstellwürze Issum Budget 2006 V1.1" xfId="8683" xr:uid="{00000000-0005-0000-0000-0000E2210000}"/>
    <cellStyle name="_Column5_Absatz Ist je Artikel &amp; Woche V1" xfId="8684" xr:uid="{00000000-0005-0000-0000-0000E3210000}"/>
    <cellStyle name="_Column5_Absatz SP2007 pro SKU 30 5 2007 vs 4 6 2007 " xfId="8685" xr:uid="{00000000-0005-0000-0000-0000E4210000}"/>
    <cellStyle name="_Column5_Abstimmung IDVG Absätze für LE2 2004" xfId="8686" xr:uid="{00000000-0005-0000-0000-0000E5210000}"/>
    <cellStyle name="_Column5_Abstimmung IDVG Absätze für LE2 2004 2" xfId="8687" xr:uid="{00000000-0005-0000-0000-0000E6210000}"/>
    <cellStyle name="_Column5_Abstimmung IDVG Absätze für LE2 2004 2 2" xfId="8688" xr:uid="{00000000-0005-0000-0000-0000E7210000}"/>
    <cellStyle name="_Column5_Abstimmung IDVG Absätze für LE2 2004_Basis" xfId="8689" xr:uid="{00000000-0005-0000-0000-0000E8210000}"/>
    <cellStyle name="_Column5_Abstimmung IDVG Absätze für LE2 2004_Basis 2" xfId="8690" xr:uid="{00000000-0005-0000-0000-0000E9210000}"/>
    <cellStyle name="_Column5_Abstimmung IDVG Absätze für LE2 2004_Basis 2 2" xfId="8691" xr:uid="{00000000-0005-0000-0000-0000EA210000}"/>
    <cellStyle name="_Column5_Abstimmung IDVG Absätze für LE2 2004_Basis_Sheet1" xfId="8692" xr:uid="{00000000-0005-0000-0000-0000EB210000}"/>
    <cellStyle name="_Column5_Abstimmung IDVG Absätze für LE2 2004_Basis_Sheet5" xfId="8693" xr:uid="{00000000-0005-0000-0000-0000EC210000}"/>
    <cellStyle name="_Column5_Abstimmung IDVG Absätze für LE2 2004_Basis_Sm Proj Cash Flow" xfId="8694" xr:uid="{00000000-0005-0000-0000-0000ED210000}"/>
    <cellStyle name="_Column5_Abstimmung IDVG Absätze für LE2 2004_Basis_Spend Detail" xfId="8695" xr:uid="{00000000-0005-0000-0000-0000EE210000}"/>
    <cellStyle name="_Column5_Abstimmung IDVG Absätze für LE2 2004_Basis_SustainingProjectList" xfId="8696" xr:uid="{00000000-0005-0000-0000-0000EF210000}"/>
    <cellStyle name="_Column5_Abstimmung IDVG Absätze für LE2 2004_Sheet1" xfId="8697" xr:uid="{00000000-0005-0000-0000-0000F0210000}"/>
    <cellStyle name="_Column5_Abstimmung IDVG Absätze für LE2 2004_Sheet5" xfId="8698" xr:uid="{00000000-0005-0000-0000-0000F1210000}"/>
    <cellStyle name="_Column5_Abstimmung IDVG Absätze für LE2 2004_SKU Volumen" xfId="8699" xr:uid="{00000000-0005-0000-0000-0000F2210000}"/>
    <cellStyle name="_Column5_Abstimmung IDVG Absätze für LE2 2004_SKU Volumen 2" xfId="8700" xr:uid="{00000000-0005-0000-0000-0000F3210000}"/>
    <cellStyle name="_Column5_Abstimmung IDVG Absätze für LE2 2004_SKU Volumen_Sheet1" xfId="8701" xr:uid="{00000000-0005-0000-0000-0000F4210000}"/>
    <cellStyle name="_Column5_Abstimmung IDVG Absätze für LE2 2004_SKU Volumen_Sm Proj Cash Flow" xfId="8702" xr:uid="{00000000-0005-0000-0000-0000F5210000}"/>
    <cellStyle name="_Column5_Abstimmung IDVG Absätze für LE2 2004_SKU Volumen_Spend Detail" xfId="8703" xr:uid="{00000000-0005-0000-0000-0000F6210000}"/>
    <cellStyle name="_Column5_Abstimmung IDVG Absätze für LE2 2004_SKU Volumen_SustainingProjectList" xfId="8704" xr:uid="{00000000-0005-0000-0000-0000F7210000}"/>
    <cellStyle name="_Column5_Abstimmung IDVG Absätze für LE2 2004_Sm Proj Cash Flow" xfId="8705" xr:uid="{00000000-0005-0000-0000-0000F8210000}"/>
    <cellStyle name="_Column5_Abstimmung IDVG Absätze für LE2 2004_Spend Detail" xfId="8706" xr:uid="{00000000-0005-0000-0000-0000F9210000}"/>
    <cellStyle name="_Column5_Abstimmung IDVG Absätze für LE2 2004_SustainingProjectList" xfId="8707" xr:uid="{00000000-0005-0000-0000-0000FA210000}"/>
    <cellStyle name="_Column5_Abstimmung IDVG Absätze für LE2 2004_Tabelle1" xfId="8708" xr:uid="{00000000-0005-0000-0000-0000FB210000}"/>
    <cellStyle name="_Column5_Abstimmung IDVG Absätze für LE2 2004_Tabelle1 2" xfId="8709" xr:uid="{00000000-0005-0000-0000-0000FC210000}"/>
    <cellStyle name="_Column5_Abstimmung IDVG Absätze für LE2 2004_Tabelle1_Sheet1" xfId="8710" xr:uid="{00000000-0005-0000-0000-0000FD210000}"/>
    <cellStyle name="_Column5_Abstimmung IDVG Absätze für LE2 2004_Tabelle1_Sm Proj Cash Flow" xfId="8711" xr:uid="{00000000-0005-0000-0000-0000FE210000}"/>
    <cellStyle name="_Column5_Abstimmung IDVG Absätze für LE2 2004_Tabelle1_Spend Detail" xfId="8712" xr:uid="{00000000-0005-0000-0000-0000FF210000}"/>
    <cellStyle name="_Column5_Abstimmung IDVG Absätze für LE2 2004_Tabelle1_SustainingProjectList" xfId="8713" xr:uid="{00000000-0005-0000-0000-000000220000}"/>
    <cellStyle name="_Column5_Acc.to fuori fattura Off-trade Feb 2007 " xfId="8714" xr:uid="{00000000-0005-0000-0000-000001220000}"/>
    <cellStyle name="_Column5_Accident frequency" xfId="8715" xr:uid="{00000000-0005-0000-0000-000002220000}"/>
    <cellStyle name="_Column5_Ad hoc PL 3YP HRK za COGNOS unos JULY20" xfId="8716" xr:uid="{00000000-0005-0000-0000-000003220000}"/>
    <cellStyle name="_Column5_Additional Templates" xfId="8717" xr:uid="{00000000-0005-0000-0000-000004220000}"/>
    <cellStyle name="_Column5_Additional Templates (2)" xfId="8718" xr:uid="{00000000-0005-0000-0000-000005220000}"/>
    <cellStyle name="_Column5_Additional Templates (3)" xfId="8719" xr:uid="{00000000-0005-0000-0000-000006220000}"/>
    <cellStyle name="_Column5_Additional Templates (4)" xfId="8720" xr:uid="{00000000-0005-0000-0000-000007220000}"/>
    <cellStyle name="_Column5_Additional Templates (5)" xfId="8721" xr:uid="{00000000-0005-0000-0000-000008220000}"/>
    <cellStyle name="_Column5_aggiornato LE2 OFF TRADE 25_08 FL" xfId="8722" xr:uid="{00000000-0005-0000-0000-000009220000}"/>
    <cellStyle name="_Column5_AL 05,12,06 VS LE2" xfId="8723" xr:uid="{00000000-0005-0000-0000-00000A220000}"/>
    <cellStyle name="_Column5_ALEA" xfId="8724" xr:uid="{00000000-0005-0000-0000-00000B220000}"/>
    <cellStyle name="_Column5_ALEA OFF LE2" xfId="8725" xr:uid="{00000000-0005-0000-0000-00000C220000}"/>
    <cellStyle name="_Column5_Alea x mkt pack" xfId="8726" xr:uid="{00000000-0005-0000-0000-00000D220000}"/>
    <cellStyle name="_Column5_Alea x sales pack" xfId="8727" xr:uid="{00000000-0005-0000-0000-00000E220000}"/>
    <cellStyle name="_Column5_All" xfId="8728" xr:uid="{00000000-0005-0000-0000-00000F220000}"/>
    <cellStyle name="_Column5_Analisi costo venduto" xfId="8729" xr:uid="{00000000-0005-0000-0000-000010220000}"/>
    <cellStyle name="_Column5_Analisi LE2'06 e bdg'07" xfId="8730" xr:uid="{00000000-0005-0000-0000-000011220000}"/>
    <cellStyle name="_Column5_Analisi vol ott" xfId="8731" xr:uid="{00000000-0005-0000-0000-000012220000}"/>
    <cellStyle name="_Column5_Asset Needs" xfId="8732" xr:uid="{00000000-0005-0000-0000-000013220000}"/>
    <cellStyle name="_Column5_BACK UP FIGURES for PRESENTATION LE1" xfId="8733" xr:uid="{00000000-0005-0000-0000-000014220000}"/>
    <cellStyle name="_Column5_Basis" xfId="8734" xr:uid="{00000000-0005-0000-0000-000015220000}"/>
    <cellStyle name="_Column5_Basis_1" xfId="8735" xr:uid="{00000000-0005-0000-0000-000016220000}"/>
    <cellStyle name="_Column5_Basis_1 2" xfId="8736" xr:uid="{00000000-0005-0000-0000-000017220000}"/>
    <cellStyle name="_Column5_Basis_1 2 2" xfId="8737" xr:uid="{00000000-0005-0000-0000-000018220000}"/>
    <cellStyle name="_Column5_Basis_1_Sheet1" xfId="8738" xr:uid="{00000000-0005-0000-0000-000019220000}"/>
    <cellStyle name="_Column5_Basis_1_Sheet5" xfId="8739" xr:uid="{00000000-0005-0000-0000-00001A220000}"/>
    <cellStyle name="_Column5_Basis_1_Sm Proj Cash Flow" xfId="8740" xr:uid="{00000000-0005-0000-0000-00001B220000}"/>
    <cellStyle name="_Column5_Basis_1_Spend Detail" xfId="8741" xr:uid="{00000000-0005-0000-0000-00001C220000}"/>
    <cellStyle name="_Column5_Basis_1_SustainingProjectList" xfId="8742" xr:uid="{00000000-0005-0000-0000-00001D220000}"/>
    <cellStyle name="_Column5_BB" xfId="8743" xr:uid="{00000000-0005-0000-0000-00001E220000}"/>
    <cellStyle name="_Column5_BE_FG" xfId="8744" xr:uid="{00000000-0005-0000-0000-00001F220000}"/>
    <cellStyle name="_Column5_Beval REPORT novembre'06" xfId="8745" xr:uid="{00000000-0005-0000-0000-000020220000}"/>
    <cellStyle name="_Column5_BGT 08 Templates Sales  Marketing - final (revised)" xfId="8746" xr:uid="{00000000-0005-0000-0000-000021220000}"/>
    <cellStyle name="_Column5_BGT 08 Templates Sales  Marketing - final (revised) 2" xfId="8747" xr:uid="{00000000-0005-0000-0000-000022220000}"/>
    <cellStyle name="_Column5_BGT 08 Templates Sales  Marketing - final (revised) 2 2" xfId="8748" xr:uid="{00000000-0005-0000-0000-000023220000}"/>
    <cellStyle name="_Column5_BGT 08 Templates Sales  Marketing - final (revised) 3" xfId="8749" xr:uid="{00000000-0005-0000-0000-000024220000}"/>
    <cellStyle name="_Column5_BGT 08 Templates Sales  Marketing - final (revised) 3 2" xfId="8750" xr:uid="{00000000-0005-0000-0000-000025220000}"/>
    <cellStyle name="_Column5_BGT 08 Templates Sales  Marketing - final (revised) 3 3" xfId="8751" xr:uid="{00000000-0005-0000-0000-000026220000}"/>
    <cellStyle name="_Column5_BGT 08 Templates Sales  Marketing - final (revised) 3 3 2" xfId="8752" xr:uid="{00000000-0005-0000-0000-000027220000}"/>
    <cellStyle name="_Column5_BGT 08 Templates Sales  Marketing - final (revised) 4" xfId="8753" xr:uid="{00000000-0005-0000-0000-000028220000}"/>
    <cellStyle name="_Column5_BGT 08 Templates Sales  Marketing - final (revised) 4 2" xfId="8754" xr:uid="{00000000-0005-0000-0000-000029220000}"/>
    <cellStyle name="_Column5_BGT 08 Templates Sales  Marketing - final (revised)_Sheet1" xfId="8755" xr:uid="{00000000-0005-0000-0000-00002A220000}"/>
    <cellStyle name="_Column5_BGT 08 Templates Sales  Marketing - final (revised)_Sm Proj Cash Flow" xfId="8756" xr:uid="{00000000-0005-0000-0000-00002B220000}"/>
    <cellStyle name="_Column5_BGT 08 Templates Sales  Marketing - final (revised)_Spend Detail" xfId="8757" xr:uid="{00000000-0005-0000-0000-00002C220000}"/>
    <cellStyle name="_Column5_BGT 08 Templates Sales  Marketing - final (revised)_SustainingProjectList" xfId="8758" xr:uid="{00000000-0005-0000-0000-00002D220000}"/>
    <cellStyle name="_Column5_BR" xfId="8759" xr:uid="{00000000-0005-0000-0000-00002E220000}"/>
    <cellStyle name="_Column5_BR 2" xfId="8760" xr:uid="{00000000-0005-0000-0000-00002F220000}"/>
    <cellStyle name="_Column5_BR 2 2" xfId="8761" xr:uid="{00000000-0005-0000-0000-000030220000}"/>
    <cellStyle name="_Column5_BR 3" xfId="8762" xr:uid="{00000000-0005-0000-0000-000031220000}"/>
    <cellStyle name="_Column5_Brew Ops Capacity balzer Modufi" xfId="8763" xr:uid="{00000000-0005-0000-0000-000032220000}"/>
    <cellStyle name="_Column5_BS ABF" xfId="8764" xr:uid="{00000000-0005-0000-0000-000033220000}"/>
    <cellStyle name="_Column5_BS ABF 2" xfId="8765" xr:uid="{00000000-0005-0000-0000-000034220000}"/>
    <cellStyle name="_Column5_BS ABF 2 2" xfId="8766" xr:uid="{00000000-0005-0000-0000-000035220000}"/>
    <cellStyle name="_Column5_BS ABF_Basis" xfId="8767" xr:uid="{00000000-0005-0000-0000-000036220000}"/>
    <cellStyle name="_Column5_BS ABF_Basis 2" xfId="8768" xr:uid="{00000000-0005-0000-0000-000037220000}"/>
    <cellStyle name="_Column5_BS ABF_Basis 2 2" xfId="8769" xr:uid="{00000000-0005-0000-0000-000038220000}"/>
    <cellStyle name="_Column5_BS ABF_Basis_Sheet1" xfId="8770" xr:uid="{00000000-0005-0000-0000-000039220000}"/>
    <cellStyle name="_Column5_BS ABF_Basis_Sheet5" xfId="8771" xr:uid="{00000000-0005-0000-0000-00003A220000}"/>
    <cellStyle name="_Column5_BS ABF_Basis_Sm Proj Cash Flow" xfId="8772" xr:uid="{00000000-0005-0000-0000-00003B220000}"/>
    <cellStyle name="_Column5_BS ABF_Basis_Spend Detail" xfId="8773" xr:uid="{00000000-0005-0000-0000-00003C220000}"/>
    <cellStyle name="_Column5_BS ABF_Basis_SustainingProjectList" xfId="8774" xr:uid="{00000000-0005-0000-0000-00003D220000}"/>
    <cellStyle name="_Column5_BS ABF_Sheet1" xfId="8775" xr:uid="{00000000-0005-0000-0000-00003E220000}"/>
    <cellStyle name="_Column5_BS ABF_Sheet5" xfId="8776" xr:uid="{00000000-0005-0000-0000-00003F220000}"/>
    <cellStyle name="_Column5_BS ABF_SKU Volumen" xfId="8777" xr:uid="{00000000-0005-0000-0000-000040220000}"/>
    <cellStyle name="_Column5_BS ABF_SKU Volumen 2" xfId="8778" xr:uid="{00000000-0005-0000-0000-000041220000}"/>
    <cellStyle name="_Column5_BS ABF_SKU Volumen_Sheet1" xfId="8779" xr:uid="{00000000-0005-0000-0000-000042220000}"/>
    <cellStyle name="_Column5_BS ABF_SKU Volumen_Sm Proj Cash Flow" xfId="8780" xr:uid="{00000000-0005-0000-0000-000043220000}"/>
    <cellStyle name="_Column5_BS ABF_SKU Volumen_Spend Detail" xfId="8781" xr:uid="{00000000-0005-0000-0000-000044220000}"/>
    <cellStyle name="_Column5_BS ABF_SKU Volumen_SustainingProjectList" xfId="8782" xr:uid="{00000000-0005-0000-0000-000045220000}"/>
    <cellStyle name="_Column5_BS ABF_Sm Proj Cash Flow" xfId="8783" xr:uid="{00000000-0005-0000-0000-000046220000}"/>
    <cellStyle name="_Column5_BS ABF_Spend Detail" xfId="8784" xr:uid="{00000000-0005-0000-0000-000047220000}"/>
    <cellStyle name="_Column5_BS ABF_SustainingProjectList" xfId="8785" xr:uid="{00000000-0005-0000-0000-000048220000}"/>
    <cellStyle name="_Column5_BS ABF_Tabelle1" xfId="8786" xr:uid="{00000000-0005-0000-0000-000049220000}"/>
    <cellStyle name="_Column5_BS ABF_Tabelle1 2" xfId="8787" xr:uid="{00000000-0005-0000-0000-00004A220000}"/>
    <cellStyle name="_Column5_BS ABF_Tabelle1_Sheet1" xfId="8788" xr:uid="{00000000-0005-0000-0000-00004B220000}"/>
    <cellStyle name="_Column5_BS ABF_Tabelle1_Sm Proj Cash Flow" xfId="8789" xr:uid="{00000000-0005-0000-0000-00004C220000}"/>
    <cellStyle name="_Column5_BS ABF_Tabelle1_Spend Detail" xfId="8790" xr:uid="{00000000-0005-0000-0000-00004D220000}"/>
    <cellStyle name="_Column5_BS ABF_Tabelle1_SustainingProjectList" xfId="8791" xr:uid="{00000000-0005-0000-0000-00004E220000}"/>
    <cellStyle name="_Column5_BU1112 TP database - REGULAR VOLUMES" xfId="8792" xr:uid="{00000000-0005-0000-0000-00004F220000}"/>
    <cellStyle name="_Column5_BU1112 TP database - REGULAR VOLUMES NATB" xfId="8793" xr:uid="{00000000-0005-0000-0000-000050220000}"/>
    <cellStyle name="_Column5_Budget 2005" xfId="8794" xr:uid="{00000000-0005-0000-0000-000051220000}"/>
    <cellStyle name="_Column5_Budget monthly" xfId="8795" xr:uid="{00000000-0005-0000-0000-000052220000}"/>
    <cellStyle name="_Column5_Capacity Util. Hannover ORII-Bgt05" xfId="8796" xr:uid="{00000000-0005-0000-0000-000053220000}"/>
    <cellStyle name="_Column5_Capacity Util. Issum ORII-Bgt05" xfId="8797" xr:uid="{00000000-0005-0000-0000-000054220000}"/>
    <cellStyle name="_Column5_CAPEX Analysis WE v3 Thomas" xfId="8798" xr:uid="{00000000-0005-0000-0000-000055220000}"/>
    <cellStyle name="_Column5_Capex x AnnaC (2)" xfId="8799" xr:uid="{00000000-0005-0000-0000-000056220000}"/>
    <cellStyle name="_Column5_Capex_view" xfId="8800" xr:uid="{00000000-0005-0000-0000-000057220000}"/>
    <cellStyle name="_Column5_Cartel1" xfId="8801" xr:uid="{00000000-0005-0000-0000-000058220000}"/>
    <cellStyle name="_Column5_CC_ZBB_profiled_costsTM" xfId="8802" xr:uid="{00000000-0005-0000-0000-000059220000}"/>
    <cellStyle name="_Column5_CE da Alea" xfId="8803" xr:uid="{00000000-0005-0000-0000-00005A220000}"/>
    <cellStyle name="_Column5_Challenge" xfId="8804" xr:uid="{00000000-0005-0000-0000-00005B220000}"/>
    <cellStyle name="_Column5_Challenge 2" xfId="8805" xr:uid="{00000000-0005-0000-0000-00005C220000}"/>
    <cellStyle name="_Column5_Challenge_Sheet1" xfId="8806" xr:uid="{00000000-0005-0000-0000-00005D220000}"/>
    <cellStyle name="_Column5_Challenge_Sm Proj Cash Flow" xfId="8807" xr:uid="{00000000-0005-0000-0000-00005E220000}"/>
    <cellStyle name="_Column5_Challenge_Spend Detail" xfId="8808" xr:uid="{00000000-0005-0000-0000-00005F220000}"/>
    <cellStyle name="_Column5_Challenge_SustainingProjectList" xfId="8809" xr:uid="{00000000-0005-0000-0000-000060220000}"/>
    <cellStyle name="_Column5_check fehlende Transportkosten 082006" xfId="8810" xr:uid="{00000000-0005-0000-0000-000061220000}"/>
    <cellStyle name="_Column5_Chi2 1" xfId="8811" xr:uid="{00000000-0005-0000-0000-000062220000}"/>
    <cellStyle name="_Column5_Chi2 HEX" xfId="8812" xr:uid="{00000000-0005-0000-0000-000063220000}"/>
    <cellStyle name="_Column5_Comm Agreem Distr" xfId="8813" xr:uid="{00000000-0005-0000-0000-000064220000}"/>
    <cellStyle name="_Column5_Comm Agreem On Trade" xfId="8814" xr:uid="{00000000-0005-0000-0000-000065220000}"/>
    <cellStyle name="_Column5_Copia di MACO BU'07 Total Italy new" xfId="8815" xr:uid="{00000000-0005-0000-0000-000066220000}"/>
    <cellStyle name="_Column5_Copy of BGT 08 Templates Sales  Marketing - final (revised)" xfId="8816" xr:uid="{00000000-0005-0000-0000-000067220000}"/>
    <cellStyle name="_Column5_Copy of BGT 08 Templates Sales  Marketing - final (revised) 2" xfId="8817" xr:uid="{00000000-0005-0000-0000-000068220000}"/>
    <cellStyle name="_Column5_Copy of BGT 08 Templates Sales  Marketing - final (revised) 2 2" xfId="8818" xr:uid="{00000000-0005-0000-0000-000069220000}"/>
    <cellStyle name="_Column5_Copy of BGT 08 Templates Sales  Marketing - final (revised) 3" xfId="8819" xr:uid="{00000000-0005-0000-0000-00006A220000}"/>
    <cellStyle name="_Column5_Copy of BGT 08 Templates Sales  Marketing - final (revised) 3 2" xfId="8820" xr:uid="{00000000-0005-0000-0000-00006B220000}"/>
    <cellStyle name="_Column5_Copy of BGT 08 Templates Sales  Marketing - final (revised) 3 3" xfId="8821" xr:uid="{00000000-0005-0000-0000-00006C220000}"/>
    <cellStyle name="_Column5_Copy of BGT 08 Templates Sales  Marketing - final (revised) 3 3 2" xfId="8822" xr:uid="{00000000-0005-0000-0000-00006D220000}"/>
    <cellStyle name="_Column5_Copy of BGT 08 Templates Sales  Marketing - final (revised) 4" xfId="8823" xr:uid="{00000000-0005-0000-0000-00006E220000}"/>
    <cellStyle name="_Column5_Copy of BGT 08 Templates Sales  Marketing - final (revised) 4 2" xfId="8824" xr:uid="{00000000-0005-0000-0000-00006F220000}"/>
    <cellStyle name="_Column5_Copy of BGT 08 Templates Sales  Marketing - final (revised)_Sheet1" xfId="8825" xr:uid="{00000000-0005-0000-0000-000070220000}"/>
    <cellStyle name="_Column5_Copy of BGT 08 Templates Sales  Marketing - final (revised)_Sm Proj Cash Flow" xfId="8826" xr:uid="{00000000-0005-0000-0000-000071220000}"/>
    <cellStyle name="_Column5_Copy of BGT 08 Templates Sales  Marketing - final (revised)_Spend Detail" xfId="8827" xr:uid="{00000000-0005-0000-0000-000072220000}"/>
    <cellStyle name="_Column5_Copy of BGT 08 Templates Sales  Marketing - final (revised)_SustainingProjectList" xfId="8828" xr:uid="{00000000-0005-0000-0000-000073220000}"/>
    <cellStyle name="_Column5_Copy of ZBB cost analysis B08 _fintm04092007v2 04.09.07" xfId="8829" xr:uid="{00000000-0005-0000-0000-000074220000}"/>
    <cellStyle name="_Column5_Copy of ZBB costs P&amp;L od Slavice 04.09.2007" xfId="8830" xr:uid="{00000000-0005-0000-0000-000075220000}"/>
    <cellStyle name="_Column5_Costo vend new sku" xfId="8831" xr:uid="{00000000-0005-0000-0000-000076220000}"/>
    <cellStyle name="_Column5_Cro_Template 3YP 08-10 - Update (2)" xfId="8832" xr:uid="{00000000-0005-0000-0000-000077220000}"/>
    <cellStyle name="_Column5_Daten" xfId="8833" xr:uid="{00000000-0005-0000-0000-000078220000}"/>
    <cellStyle name="_Column5_Daten_1" xfId="8834" xr:uid="{00000000-0005-0000-0000-000079220000}"/>
    <cellStyle name="_Column5_Daten_1_RFFS SUBMISSION TO VPs" xfId="8835" xr:uid="{00000000-0005-0000-0000-00007A220000}"/>
    <cellStyle name="_Column5_Daten_1_RFFS_SUBMISSION_TO_VPs _v2" xfId="8836" xr:uid="{00000000-0005-0000-0000-00007B220000}"/>
    <cellStyle name="_Column5_DBSET" xfId="8837" xr:uid="{00000000-0005-0000-0000-00007C220000}"/>
    <cellStyle name="_Column5_DEP" xfId="8838" xr:uid="{00000000-0005-0000-0000-00007D220000}"/>
    <cellStyle name="_Column5_details" xfId="8839" xr:uid="{00000000-0005-0000-0000-00007E220000}"/>
    <cellStyle name="_Column5_Dir Trade Mktg Mat - on trade" xfId="8840" xr:uid="{00000000-0005-0000-0000-00007F220000}"/>
    <cellStyle name="_Column5_Dir.Trade Mktg Mat." xfId="8841" xr:uid="{00000000-0005-0000-0000-000080220000}"/>
    <cellStyle name="_Column5_Discounts Off" xfId="8842" xr:uid="{00000000-0005-0000-0000-000081220000}"/>
    <cellStyle name="_Column5_Distributer Support" xfId="8843" xr:uid="{00000000-0005-0000-0000-000082220000}"/>
    <cellStyle name="_Column5_EC" xfId="8844" xr:uid="{00000000-0005-0000-0000-000083220000}"/>
    <cellStyle name="_Column5_EC 2" xfId="8845" xr:uid="{00000000-0005-0000-0000-000084220000}"/>
    <cellStyle name="_Column5_EC 2 2" xfId="8846" xr:uid="{00000000-0005-0000-0000-000085220000}"/>
    <cellStyle name="_Column5_EC 3" xfId="8847" xr:uid="{00000000-0005-0000-0000-000086220000}"/>
    <cellStyle name="_Column5_ERP" xfId="8848" xr:uid="{00000000-0005-0000-0000-000087220000}"/>
    <cellStyle name="_Column5_ERP_RFFS SUBMISSION TO VPs" xfId="8849" xr:uid="{00000000-0005-0000-0000-000088220000}"/>
    <cellStyle name="_Column5_ERP_RFFS_SUBMISSION_TO_VPs _v2" xfId="8850" xr:uid="{00000000-0005-0000-0000-000089220000}"/>
    <cellStyle name="_Column5_Excel sheets to support Market Program Template for Budget 09" xfId="8851" xr:uid="{00000000-0005-0000-0000-00008A220000}"/>
    <cellStyle name="_Column5_Excel sheets to support Market Program Template for Budget 09 (5) (2)" xfId="8852" xr:uid="{00000000-0005-0000-0000-00008B220000}"/>
    <cellStyle name="_Column5_Excel sheets to support Market Program Template for Budget 09 (5) (2) 2" xfId="8853" xr:uid="{00000000-0005-0000-0000-00008C220000}"/>
    <cellStyle name="_Column5_Excel sheets to support Market Program Template for Budget 09 (5) (2) 2 2" xfId="8854" xr:uid="{00000000-0005-0000-0000-00008D220000}"/>
    <cellStyle name="_Column5_Excel sheets to support Market Program Template for Budget 09 (5) (2) 3" xfId="8855" xr:uid="{00000000-0005-0000-0000-00008E220000}"/>
    <cellStyle name="_Column5_Excel sheets to support Market Program Template for Budget 09 (5) (3)" xfId="8856" xr:uid="{00000000-0005-0000-0000-00008F220000}"/>
    <cellStyle name="_Column5_Excel sheets to support Market Program Template for Budget 09 (5) (3) 2" xfId="8857" xr:uid="{00000000-0005-0000-0000-000090220000}"/>
    <cellStyle name="_Column5_Excel sheets to support Market Program Template for Budget 09 (5) (3) 2 2" xfId="8858" xr:uid="{00000000-0005-0000-0000-000091220000}"/>
    <cellStyle name="_Column5_Excel sheets to support Market Program Template for Budget 09 (5) (3) 3" xfId="8859" xr:uid="{00000000-0005-0000-0000-000092220000}"/>
    <cellStyle name="_Column5_Excel sheets to support Market Program Template for Budget 09 10" xfId="8860" xr:uid="{00000000-0005-0000-0000-000093220000}"/>
    <cellStyle name="_Column5_Excel sheets to support Market Program Template for Budget 09 11" xfId="8861" xr:uid="{00000000-0005-0000-0000-000094220000}"/>
    <cellStyle name="_Column5_Excel sheets to support Market Program Template for Budget 09 11 2" xfId="8862" xr:uid="{00000000-0005-0000-0000-000095220000}"/>
    <cellStyle name="_Column5_Excel sheets to support Market Program Template for Budget 09 12" xfId="8863" xr:uid="{00000000-0005-0000-0000-000096220000}"/>
    <cellStyle name="_Column5_Excel sheets to support Market Program Template for Budget 09 12 2" xfId="8864" xr:uid="{00000000-0005-0000-0000-000097220000}"/>
    <cellStyle name="_Column5_Excel sheets to support Market Program Template for Budget 09 13" xfId="8865" xr:uid="{00000000-0005-0000-0000-000098220000}"/>
    <cellStyle name="_Column5_Excel sheets to support Market Program Template for Budget 09 13 2" xfId="8866" xr:uid="{00000000-0005-0000-0000-000099220000}"/>
    <cellStyle name="_Column5_Excel sheets to support Market Program Template for Budget 09 14" xfId="8867" xr:uid="{00000000-0005-0000-0000-00009A220000}"/>
    <cellStyle name="_Column5_Excel sheets to support Market Program Template for Budget 09 14 2" xfId="8868" xr:uid="{00000000-0005-0000-0000-00009B220000}"/>
    <cellStyle name="_Column5_Excel sheets to support Market Program Template for Budget 09 2" xfId="8869" xr:uid="{00000000-0005-0000-0000-00009C220000}"/>
    <cellStyle name="_Column5_Excel sheets to support Market Program Template for Budget 09 2 2" xfId="8870" xr:uid="{00000000-0005-0000-0000-00009D220000}"/>
    <cellStyle name="_Column5_Excel sheets to support Market Program Template for Budget 09 3" xfId="8871" xr:uid="{00000000-0005-0000-0000-00009E220000}"/>
    <cellStyle name="_Column5_Excel sheets to support Market Program Template for Budget 09 3 2" xfId="8872" xr:uid="{00000000-0005-0000-0000-00009F220000}"/>
    <cellStyle name="_Column5_Excel sheets to support Market Program Template for Budget 09 4" xfId="8873" xr:uid="{00000000-0005-0000-0000-0000A0220000}"/>
    <cellStyle name="_Column5_Excel sheets to support Market Program Template for Budget 09 5" xfId="8874" xr:uid="{00000000-0005-0000-0000-0000A1220000}"/>
    <cellStyle name="_Column5_Excel sheets to support Market Program Template for Budget 09 5 2" xfId="8875" xr:uid="{00000000-0005-0000-0000-0000A2220000}"/>
    <cellStyle name="_Column5_Excel sheets to support Market Program Template for Budget 09 5 3" xfId="8876" xr:uid="{00000000-0005-0000-0000-0000A3220000}"/>
    <cellStyle name="_Column5_Excel sheets to support Market Program Template for Budget 09 5 3 2" xfId="8877" xr:uid="{00000000-0005-0000-0000-0000A4220000}"/>
    <cellStyle name="_Column5_Excel sheets to support Market Program Template for Budget 09 6" xfId="8878" xr:uid="{00000000-0005-0000-0000-0000A5220000}"/>
    <cellStyle name="_Column5_Excel sheets to support Market Program Template for Budget 09 6 2" xfId="8879" xr:uid="{00000000-0005-0000-0000-0000A6220000}"/>
    <cellStyle name="_Column5_Excel sheets to support Market Program Template for Budget 09 6 3" xfId="8880" xr:uid="{00000000-0005-0000-0000-0000A7220000}"/>
    <cellStyle name="_Column5_Excel sheets to support Market Program Template for Budget 09 6 3 2" xfId="8881" xr:uid="{00000000-0005-0000-0000-0000A8220000}"/>
    <cellStyle name="_Column5_Excel sheets to support Market Program Template for Budget 09 7" xfId="8882" xr:uid="{00000000-0005-0000-0000-0000A9220000}"/>
    <cellStyle name="_Column5_Excel sheets to support Market Program Template for Budget 09 8" xfId="8883" xr:uid="{00000000-0005-0000-0000-0000AA220000}"/>
    <cellStyle name="_Column5_Excel sheets to support Market Program Template for Budget 09 9" xfId="8884" xr:uid="{00000000-0005-0000-0000-0000AB220000}"/>
    <cellStyle name="_Column5_Excel sheets to support Market Program Template for Budget 09_Sheet1" xfId="8885" xr:uid="{00000000-0005-0000-0000-0000AC220000}"/>
    <cellStyle name="_Column5_Excel sheets to support Market Program Template for Budget 09_Sm Proj Cash Flow" xfId="8886" xr:uid="{00000000-0005-0000-0000-0000AD220000}"/>
    <cellStyle name="_Column5_Excel sheets to support Market Program Template for Budget 09_Spend Detail" xfId="8887" xr:uid="{00000000-0005-0000-0000-0000AE220000}"/>
    <cellStyle name="_Column5_Excel sheets to support Market Program Template for Budget 09_SustainingProjectList" xfId="8888" xr:uid="{00000000-0005-0000-0000-0000AF220000}"/>
    <cellStyle name="_Column5_FAG_FTE" xfId="8889" xr:uid="{00000000-0005-0000-0000-0000B0220000}"/>
    <cellStyle name="_Column5_Fatture Partner" xfId="8890" xr:uid="{00000000-0005-0000-0000-0000B1220000}"/>
    <cellStyle name="_Column5_FCAccuracy_week_0907" xfId="8891" xr:uid="{00000000-0005-0000-0000-0000B2220000}"/>
    <cellStyle name="_Column5_Feasibility Request_Diebels" xfId="8892" xr:uid="{00000000-0005-0000-0000-0000B3220000}"/>
    <cellStyle name="_Column5_Feasibility Request_Diebels_RFFS SUBMISSION TO VPs" xfId="8893" xr:uid="{00000000-0005-0000-0000-0000B4220000}"/>
    <cellStyle name="_Column5_Feasibility Request_Diebels_RFFS_SUBMISSION_TO_VPs _v2" xfId="8894" xr:uid="{00000000-0005-0000-0000-0000B5220000}"/>
    <cellStyle name="_Column5_Feasibility Request_Dimix" xfId="8895" xr:uid="{00000000-0005-0000-0000-0000B6220000}"/>
    <cellStyle name="_Column5_Feasibility Request_Dimix_RFFS SUBMISSION TO VPs" xfId="8896" xr:uid="{00000000-0005-0000-0000-0000B7220000}"/>
    <cellStyle name="_Column5_Feasibility Request_Dimix_RFFS_SUBMISSION_TO_VPs _v2" xfId="8897" xr:uid="{00000000-0005-0000-0000-0000B8220000}"/>
    <cellStyle name="_Column5_Finance Templates - Final" xfId="8898" xr:uid="{00000000-0005-0000-0000-0000B9220000}"/>
    <cellStyle name="_Column5_Finance Templates - Final 2" xfId="8899" xr:uid="{00000000-0005-0000-0000-0000BA220000}"/>
    <cellStyle name="_Column5_Finance Templates - Final 2 2" xfId="8900" xr:uid="{00000000-0005-0000-0000-0000BB220000}"/>
    <cellStyle name="_Column5_Finance Templates - Final 3" xfId="8901" xr:uid="{00000000-0005-0000-0000-0000BC220000}"/>
    <cellStyle name="_Column5_Float" xfId="8902" xr:uid="{00000000-0005-0000-0000-0000BD220000}"/>
    <cellStyle name="_Column5_foglio prova" xfId="8903" xr:uid="{00000000-0005-0000-0000-0000BE220000}"/>
    <cellStyle name="_Column5_Foglio1" xfId="8904" xr:uid="{00000000-0005-0000-0000-0000BF220000}"/>
    <cellStyle name="_Column5_Foglio1_1" xfId="8905" xr:uid="{00000000-0005-0000-0000-0000C0220000}"/>
    <cellStyle name="_Column5_Foglio1_Analisi costo venduto" xfId="8906" xr:uid="{00000000-0005-0000-0000-0000C1220000}"/>
    <cellStyle name="_Column5_Foglio1_Analisi vol ott" xfId="8907" xr:uid="{00000000-0005-0000-0000-0000C2220000}"/>
    <cellStyle name="_Column5_Foglio1_Capex x AnnaC (2)" xfId="8908" xr:uid="{00000000-0005-0000-0000-0000C3220000}"/>
    <cellStyle name="_Column5_Foglio1_CC targets july" xfId="8909" xr:uid="{00000000-0005-0000-0000-0000C4220000}"/>
    <cellStyle name="_Column5_Foglio1_DBSET" xfId="8910" xr:uid="{00000000-0005-0000-0000-0000C5220000}"/>
    <cellStyle name="_Column5_Foglio1_Foglio1" xfId="8911" xr:uid="{00000000-0005-0000-0000-0000C6220000}"/>
    <cellStyle name="_Column5_Foglio1_Maco budget" xfId="8912" xr:uid="{00000000-0005-0000-0000-0000C7220000}"/>
    <cellStyle name="_Column5_Foglio1_Mens volumi LE1 x BBP" xfId="8913" xr:uid="{00000000-0005-0000-0000-0000C8220000}"/>
    <cellStyle name="_Column5_Foglio2" xfId="8914" xr:uid="{00000000-0005-0000-0000-0000C9220000}"/>
    <cellStyle name="_Column5_Foglio2_1" xfId="8915" xr:uid="{00000000-0005-0000-0000-0000CA220000}"/>
    <cellStyle name="_Column5_Foglio2_Analisi costo venduto" xfId="8916" xr:uid="{00000000-0005-0000-0000-0000CB220000}"/>
    <cellStyle name="_Column5_Foglio2_BACK UP FIGURES for PRESENTATION LE1" xfId="8917" xr:uid="{00000000-0005-0000-0000-0000CC220000}"/>
    <cellStyle name="_Column5_Foglio2_LE1 addendum" xfId="8918" xr:uid="{00000000-0005-0000-0000-0000CD220000}"/>
    <cellStyle name="_Column5_Foglio2_LEI templates - per Francesca by PPM" xfId="8919" xr:uid="{00000000-0005-0000-0000-0000CE220000}"/>
    <cellStyle name="_Column5_Foglio3" xfId="8920" xr:uid="{00000000-0005-0000-0000-0000CF220000}"/>
    <cellStyle name="_Column5_Foglio3_1" xfId="8921" xr:uid="{00000000-0005-0000-0000-0000D0220000}"/>
    <cellStyle name="_Column5_Foglio3_Analisi vol ott" xfId="8922" xr:uid="{00000000-0005-0000-0000-0000D1220000}"/>
    <cellStyle name="_Column5_Foglio3_BACK UP FIGURES for PRESENTATION LE1" xfId="8923" xr:uid="{00000000-0005-0000-0000-0000D2220000}"/>
    <cellStyle name="_Column5_Foglio3_Maco budget" xfId="8924" xr:uid="{00000000-0005-0000-0000-0000D3220000}"/>
    <cellStyle name="_Column5_Foglio3_Maco LE1 vers 30.4.07" xfId="8925" xr:uid="{00000000-0005-0000-0000-0000D4220000}"/>
    <cellStyle name="_Column5_Foglio3_Maco LE1 vers 30.4.07 PER PRESENTAZ" xfId="8926" xr:uid="{00000000-0005-0000-0000-0000D5220000}"/>
    <cellStyle name="_Column5_Foglio3_Marzo 2007 Deck vers 16.4.07" xfId="8927" xr:uid="{00000000-0005-0000-0000-0000D6220000}"/>
    <cellStyle name="_Column5_Foglio3_Volumi LE1 sku - brand - package" xfId="8928" xr:uid="{00000000-0005-0000-0000-0000D7220000}"/>
    <cellStyle name="_Column5_Foglio4" xfId="8929" xr:uid="{00000000-0005-0000-0000-0000D8220000}"/>
    <cellStyle name="_Column5_Foglio4_BACK UP FIGURES for PRESENTATION LE1" xfId="8930" xr:uid="{00000000-0005-0000-0000-0000D9220000}"/>
    <cellStyle name="_Column5_Foglio4_Maco LE1 vers 30.4.07" xfId="8931" xr:uid="{00000000-0005-0000-0000-0000DA220000}"/>
    <cellStyle name="_Column5_Foglio4_Maco LE1 vers 30.4.07 PER PRESENTAZ" xfId="8932" xr:uid="{00000000-0005-0000-0000-0000DB220000}"/>
    <cellStyle name="_Column5_Foglio4_Marzo 2007 Deck vers 16.4.07" xfId="8933" xr:uid="{00000000-0005-0000-0000-0000DC220000}"/>
    <cellStyle name="_Column5_Foglio5" xfId="8934" xr:uid="{00000000-0005-0000-0000-0000DD220000}"/>
    <cellStyle name="_Column5_Foglio5_BACK UP FIGURES for PRESENTATION LE1" xfId="8935" xr:uid="{00000000-0005-0000-0000-0000DE220000}"/>
    <cellStyle name="_Column5_Foglio5_Maco budget" xfId="8936" xr:uid="{00000000-0005-0000-0000-0000DF220000}"/>
    <cellStyle name="_Column5_Foglio5_Maco LE1 vers 30.4.07" xfId="8937" xr:uid="{00000000-0005-0000-0000-0000E0220000}"/>
    <cellStyle name="_Column5_Foglio5_Maco LE1 vers 30.4.07 PER PRESENTAZ" xfId="8938" xr:uid="{00000000-0005-0000-0000-0000E1220000}"/>
    <cellStyle name="_Column5_Foglio5_Marzo 2007 Deck vers 16.4.07" xfId="8939" xr:uid="{00000000-0005-0000-0000-0000E2220000}"/>
    <cellStyle name="_Column5_Foglio6" xfId="8940" xr:uid="{00000000-0005-0000-0000-0000E3220000}"/>
    <cellStyle name="_Column5_Forecast Summary July v1" xfId="8941" xr:uid="{00000000-0005-0000-0000-0000E4220000}"/>
    <cellStyle name="_Column5_Forecast Summary July v1 2" xfId="8942" xr:uid="{00000000-0005-0000-0000-0000E5220000}"/>
    <cellStyle name="_Column5_Forecast Summary July v1 2 2" xfId="8943" xr:uid="{00000000-0005-0000-0000-0000E6220000}"/>
    <cellStyle name="_Column5_Forecast Summary July v1 3" xfId="8944" xr:uid="{00000000-0005-0000-0000-0000E7220000}"/>
    <cellStyle name="_Column5_FRANGO_Monatsbericht Italy_0611" xfId="8945" xr:uid="{00000000-0005-0000-0000-0000E8220000}"/>
    <cellStyle name="_Column5_Franz demand" xfId="8946" xr:uid="{00000000-0005-0000-0000-0000E9220000}"/>
    <cellStyle name="_Column5_Franz Development" xfId="8947" xr:uid="{00000000-0005-0000-0000-0000EA220000}"/>
    <cellStyle name="_Column5_Franz Ist" xfId="8948" xr:uid="{00000000-0005-0000-0000-0000EB220000}"/>
    <cellStyle name="_Column5_Free Worksheet" xfId="8949" xr:uid="{00000000-0005-0000-0000-0000EC220000}"/>
    <cellStyle name="_Column5_Gennaio draft ON + DD" xfId="8950" xr:uid="{00000000-0005-0000-0000-0000ED220000}"/>
    <cellStyle name="_Column5_Germany" xfId="8951" xr:uid="{00000000-0005-0000-0000-0000EE220000}"/>
    <cellStyle name="_Column5_Germany_brew" xfId="8952" xr:uid="{00000000-0005-0000-0000-0000EF220000}"/>
    <cellStyle name="_Column5_Gilde Maco" xfId="8953" xr:uid="{00000000-0005-0000-0000-0000F0220000}"/>
    <cellStyle name="_Column5_Gilde Maco 2" xfId="8954" xr:uid="{00000000-0005-0000-0000-0000F1220000}"/>
    <cellStyle name="_Column5_Gilde Maco 2 2" xfId="8955" xr:uid="{00000000-0005-0000-0000-0000F2220000}"/>
    <cellStyle name="_Column5_Gilde Maco_Basis" xfId="8956" xr:uid="{00000000-0005-0000-0000-0000F3220000}"/>
    <cellStyle name="_Column5_Gilde Maco_Basis 2" xfId="8957" xr:uid="{00000000-0005-0000-0000-0000F4220000}"/>
    <cellStyle name="_Column5_Gilde Maco_Basis 2 2" xfId="8958" xr:uid="{00000000-0005-0000-0000-0000F5220000}"/>
    <cellStyle name="_Column5_Gilde Maco_Basis_Sheet1" xfId="8959" xr:uid="{00000000-0005-0000-0000-0000F6220000}"/>
    <cellStyle name="_Column5_Gilde Maco_Basis_Sheet5" xfId="8960" xr:uid="{00000000-0005-0000-0000-0000F7220000}"/>
    <cellStyle name="_Column5_Gilde Maco_Basis_Sm Proj Cash Flow" xfId="8961" xr:uid="{00000000-0005-0000-0000-0000F8220000}"/>
    <cellStyle name="_Column5_Gilde Maco_Basis_Spend Detail" xfId="8962" xr:uid="{00000000-0005-0000-0000-0000F9220000}"/>
    <cellStyle name="_Column5_Gilde Maco_Basis_SustainingProjectList" xfId="8963" xr:uid="{00000000-0005-0000-0000-0000FA220000}"/>
    <cellStyle name="_Column5_Gilde Maco_Sheet1" xfId="8964" xr:uid="{00000000-0005-0000-0000-0000FB220000}"/>
    <cellStyle name="_Column5_Gilde Maco_Sheet5" xfId="8965" xr:uid="{00000000-0005-0000-0000-0000FC220000}"/>
    <cellStyle name="_Column5_Gilde Maco_SKU Volumen" xfId="8966" xr:uid="{00000000-0005-0000-0000-0000FD220000}"/>
    <cellStyle name="_Column5_Gilde Maco_SKU Volumen 2" xfId="8967" xr:uid="{00000000-0005-0000-0000-0000FE220000}"/>
    <cellStyle name="_Column5_Gilde Maco_SKU Volumen_Sheet1" xfId="8968" xr:uid="{00000000-0005-0000-0000-0000FF220000}"/>
    <cellStyle name="_Column5_Gilde Maco_SKU Volumen_Sm Proj Cash Flow" xfId="8969" xr:uid="{00000000-0005-0000-0000-000000230000}"/>
    <cellStyle name="_Column5_Gilde Maco_SKU Volumen_Spend Detail" xfId="8970" xr:uid="{00000000-0005-0000-0000-000001230000}"/>
    <cellStyle name="_Column5_Gilde Maco_SKU Volumen_SustainingProjectList" xfId="8971" xr:uid="{00000000-0005-0000-0000-000002230000}"/>
    <cellStyle name="_Column5_Gilde Maco_Sm Proj Cash Flow" xfId="8972" xr:uid="{00000000-0005-0000-0000-000003230000}"/>
    <cellStyle name="_Column5_Gilde Maco_Spend Detail" xfId="8973" xr:uid="{00000000-0005-0000-0000-000004230000}"/>
    <cellStyle name="_Column5_Gilde Maco_SustainingProjectList" xfId="8974" xr:uid="{00000000-0005-0000-0000-000005230000}"/>
    <cellStyle name="_Column5_Gilde Maco_Tabelle1" xfId="8975" xr:uid="{00000000-0005-0000-0000-000006230000}"/>
    <cellStyle name="_Column5_Gilde Maco_Tabelle1 2" xfId="8976" xr:uid="{00000000-0005-0000-0000-000007230000}"/>
    <cellStyle name="_Column5_Gilde Maco_Tabelle1_Sheet1" xfId="8977" xr:uid="{00000000-0005-0000-0000-000008230000}"/>
    <cellStyle name="_Column5_Gilde Maco_Tabelle1_Sm Proj Cash Flow" xfId="8978" xr:uid="{00000000-0005-0000-0000-000009230000}"/>
    <cellStyle name="_Column5_Gilde Maco_Tabelle1_Spend Detail" xfId="8979" xr:uid="{00000000-0005-0000-0000-00000A230000}"/>
    <cellStyle name="_Column5_Gilde Maco_Tabelle1_SustainingProjectList" xfId="8980" xr:uid="{00000000-0005-0000-0000-00000B230000}"/>
    <cellStyle name="_Column5_Global_Final_18122006 (2)" xfId="8981" xr:uid="{00000000-0005-0000-0000-00000C230000}"/>
    <cellStyle name="_Column5_GT" xfId="8982" xr:uid="{00000000-0005-0000-0000-00000D230000}"/>
    <cellStyle name="_Column5_GT 2" xfId="8983" xr:uid="{00000000-0005-0000-0000-00000E230000}"/>
    <cellStyle name="_Column5_GT 2 2" xfId="8984" xr:uid="{00000000-0005-0000-0000-00000F230000}"/>
    <cellStyle name="_Column5_GT 3" xfId="8985" xr:uid="{00000000-0005-0000-0000-000010230000}"/>
    <cellStyle name="_Column5_Hass Dashboard" xfId="8986" xr:uid="{00000000-0005-0000-0000-000011230000}"/>
    <cellStyle name="_Column5_Hass Dashboard v1" xfId="8987" xr:uid="{00000000-0005-0000-0000-000012230000}"/>
    <cellStyle name="_Column5_Hasseröder Export Detailplanung nach Wochen Version Radler + Diesel 10.4.2007" xfId="8988" xr:uid="{00000000-0005-0000-0000-000013230000}"/>
    <cellStyle name="_Column5_Hl Feb Alea 22.2.07" xfId="8989" xr:uid="{00000000-0005-0000-0000-000014230000}"/>
    <cellStyle name="_Column5_Hl Gen" xfId="8990" xr:uid="{00000000-0005-0000-0000-000015230000}"/>
    <cellStyle name="_Column5_Hopfen" xfId="8991" xr:uid="{00000000-0005-0000-0000-000016230000}"/>
    <cellStyle name="_Column5_IDVG Maco" xfId="8992" xr:uid="{00000000-0005-0000-0000-000017230000}"/>
    <cellStyle name="_Column5_IDVG Maco 2" xfId="8993" xr:uid="{00000000-0005-0000-0000-000018230000}"/>
    <cellStyle name="_Column5_IDVG Maco 2 2" xfId="8994" xr:uid="{00000000-0005-0000-0000-000019230000}"/>
    <cellStyle name="_Column5_IDVG Maco_Basis" xfId="8995" xr:uid="{00000000-0005-0000-0000-00001A230000}"/>
    <cellStyle name="_Column5_IDVG Maco_Basis 2" xfId="8996" xr:uid="{00000000-0005-0000-0000-00001B230000}"/>
    <cellStyle name="_Column5_IDVG Maco_Basis 2 2" xfId="8997" xr:uid="{00000000-0005-0000-0000-00001C230000}"/>
    <cellStyle name="_Column5_IDVG Maco_Basis_Sheet1" xfId="8998" xr:uid="{00000000-0005-0000-0000-00001D230000}"/>
    <cellStyle name="_Column5_IDVG Maco_Basis_Sheet5" xfId="8999" xr:uid="{00000000-0005-0000-0000-00001E230000}"/>
    <cellStyle name="_Column5_IDVG Maco_Basis_Sm Proj Cash Flow" xfId="9000" xr:uid="{00000000-0005-0000-0000-00001F230000}"/>
    <cellStyle name="_Column5_IDVG Maco_Basis_Spend Detail" xfId="9001" xr:uid="{00000000-0005-0000-0000-000020230000}"/>
    <cellStyle name="_Column5_IDVG Maco_Basis_SustainingProjectList" xfId="9002" xr:uid="{00000000-0005-0000-0000-000021230000}"/>
    <cellStyle name="_Column5_IDVG Maco_Sheet1" xfId="9003" xr:uid="{00000000-0005-0000-0000-000022230000}"/>
    <cellStyle name="_Column5_IDVG Maco_Sheet5" xfId="9004" xr:uid="{00000000-0005-0000-0000-000023230000}"/>
    <cellStyle name="_Column5_IDVG Maco_SKU Volumen" xfId="9005" xr:uid="{00000000-0005-0000-0000-000024230000}"/>
    <cellStyle name="_Column5_IDVG Maco_SKU Volumen 2" xfId="9006" xr:uid="{00000000-0005-0000-0000-000025230000}"/>
    <cellStyle name="_Column5_IDVG Maco_SKU Volumen_Sheet1" xfId="9007" xr:uid="{00000000-0005-0000-0000-000026230000}"/>
    <cellStyle name="_Column5_IDVG Maco_SKU Volumen_Sm Proj Cash Flow" xfId="9008" xr:uid="{00000000-0005-0000-0000-000027230000}"/>
    <cellStyle name="_Column5_IDVG Maco_SKU Volumen_Spend Detail" xfId="9009" xr:uid="{00000000-0005-0000-0000-000028230000}"/>
    <cellStyle name="_Column5_IDVG Maco_SKU Volumen_SustainingProjectList" xfId="9010" xr:uid="{00000000-0005-0000-0000-000029230000}"/>
    <cellStyle name="_Column5_IDVG Maco_Sm Proj Cash Flow" xfId="9011" xr:uid="{00000000-0005-0000-0000-00002A230000}"/>
    <cellStyle name="_Column5_IDVG Maco_Spend Detail" xfId="9012" xr:uid="{00000000-0005-0000-0000-00002B230000}"/>
    <cellStyle name="_Column5_IDVG Maco_SustainingProjectList" xfId="9013" xr:uid="{00000000-0005-0000-0000-00002C230000}"/>
    <cellStyle name="_Column5_IDVG Maco_Tabelle1" xfId="9014" xr:uid="{00000000-0005-0000-0000-00002D230000}"/>
    <cellStyle name="_Column5_IDVG Maco_Tabelle1 2" xfId="9015" xr:uid="{00000000-0005-0000-0000-00002E230000}"/>
    <cellStyle name="_Column5_IDVG Maco_Tabelle1_Sheet1" xfId="9016" xr:uid="{00000000-0005-0000-0000-00002F230000}"/>
    <cellStyle name="_Column5_IDVG Maco_Tabelle1_Sm Proj Cash Flow" xfId="9017" xr:uid="{00000000-0005-0000-0000-000030230000}"/>
    <cellStyle name="_Column5_IDVG Maco_Tabelle1_Spend Detail" xfId="9018" xr:uid="{00000000-0005-0000-0000-000031230000}"/>
    <cellStyle name="_Column5_IDVG Maco_Tabelle1_SustainingProjectList" xfId="9019" xr:uid="{00000000-0005-0000-0000-000032230000}"/>
    <cellStyle name="_Column5_In maco" xfId="9020" xr:uid="{00000000-0005-0000-0000-000033230000}"/>
    <cellStyle name="_Column5_Inbev Italia stima actual gen" xfId="9021" xr:uid="{00000000-0005-0000-0000-000034230000}"/>
    <cellStyle name="_Column5_Incollare volumi estr da Alea" xfId="9022" xr:uid="{00000000-0005-0000-0000-000035230000}"/>
    <cellStyle name="_Column5_Industry Volumes" xfId="9023" xr:uid="{00000000-0005-0000-0000-000036230000}"/>
    <cellStyle name="_Column5_Industry Volumes 2" xfId="9024" xr:uid="{00000000-0005-0000-0000-000037230000}"/>
    <cellStyle name="_Column5_Industry Volumes 2 2" xfId="9025" xr:uid="{00000000-0005-0000-0000-000038230000}"/>
    <cellStyle name="_Column5_Industry Volumes 2 2 2" xfId="9026" xr:uid="{00000000-0005-0000-0000-000039230000}"/>
    <cellStyle name="_Column5_Industry Volumes 2 3" xfId="9027" xr:uid="{00000000-0005-0000-0000-00003A230000}"/>
    <cellStyle name="_Column5_Industry Volumes 2 3 2" xfId="9028" xr:uid="{00000000-0005-0000-0000-00003B230000}"/>
    <cellStyle name="_Column5_Industry Volumes 2 3 3" xfId="9029" xr:uid="{00000000-0005-0000-0000-00003C230000}"/>
    <cellStyle name="_Column5_Industry Volumes 2 4" xfId="9030" xr:uid="{00000000-0005-0000-0000-00003D230000}"/>
    <cellStyle name="_Column5_Industry Volumes 2 5" xfId="9031" xr:uid="{00000000-0005-0000-0000-00003E230000}"/>
    <cellStyle name="_Column5_Industry Volumes 3" xfId="9032" xr:uid="{00000000-0005-0000-0000-00003F230000}"/>
    <cellStyle name="_Column5_Industry Volumes 3 2" xfId="9033" xr:uid="{00000000-0005-0000-0000-000040230000}"/>
    <cellStyle name="_Column5_Industry Volumes 3 3" xfId="9034" xr:uid="{00000000-0005-0000-0000-000041230000}"/>
    <cellStyle name="_Column5_Industry Volumes 3 3 2" xfId="9035" xr:uid="{00000000-0005-0000-0000-000042230000}"/>
    <cellStyle name="_Column5_Industry Volumes 4" xfId="9036" xr:uid="{00000000-0005-0000-0000-000043230000}"/>
    <cellStyle name="_Column5_Industry Volumes 4 2" xfId="9037" xr:uid="{00000000-0005-0000-0000-000044230000}"/>
    <cellStyle name="_Column5_Industry Volumes 4 3" xfId="9038" xr:uid="{00000000-0005-0000-0000-000045230000}"/>
    <cellStyle name="_Column5_Industry Volumes 5" xfId="9039" xr:uid="{00000000-0005-0000-0000-000046230000}"/>
    <cellStyle name="_Column5_Industry Volumes 6" xfId="9040" xr:uid="{00000000-0005-0000-0000-000047230000}"/>
    <cellStyle name="_Column5_Industry Volumes_Sheet1" xfId="9041" xr:uid="{00000000-0005-0000-0000-000048230000}"/>
    <cellStyle name="_Column5_Industry Volumes_Sm Proj Cash Flow" xfId="9042" xr:uid="{00000000-0005-0000-0000-000049230000}"/>
    <cellStyle name="_Column5_Industry Volumes_Spend Detail" xfId="9043" xr:uid="{00000000-0005-0000-0000-00004A230000}"/>
    <cellStyle name="_Column5_Industry Volumes_SustainingProjectList" xfId="9044" xr:uid="{00000000-0005-0000-0000-00004B230000}"/>
    <cellStyle name="_Column5_Iniciativas P3A GPV &amp; CSD HILA '10" xfId="9045" xr:uid="{00000000-0005-0000-0000-00004C230000}"/>
    <cellStyle name="_Column5_Iniciativas P3A GPV &amp; CSD HILA '10 2" xfId="9046" xr:uid="{00000000-0005-0000-0000-00004D230000}"/>
    <cellStyle name="_Column5_Iniciativas P3A GPV &amp; CSD HILA '10 2 2" xfId="9047" xr:uid="{00000000-0005-0000-0000-00004E230000}"/>
    <cellStyle name="_Column5_Iniciativas P3A GPV &amp; CSD HILA '10 3" xfId="9048" xr:uid="{00000000-0005-0000-0000-00004F230000}"/>
    <cellStyle name="_Column5_innovation volumi" xfId="9049" xr:uid="{00000000-0005-0000-0000-000050230000}"/>
    <cellStyle name="_Column5_INPUT" xfId="9050" xr:uid="{00000000-0005-0000-0000-000051230000}"/>
    <cellStyle name="_Column5_IS LE1 ricevuto da On Trade" xfId="9051" xr:uid="{00000000-0005-0000-0000-000052230000}"/>
    <cellStyle name="_Column5_IT_TR2 (Maco YTD Giu)" xfId="9052" xr:uid="{00000000-0005-0000-0000-000053230000}"/>
    <cellStyle name="_Column5_June draft ON + DD" xfId="9053" xr:uid="{00000000-0005-0000-0000-000054230000}"/>
    <cellStyle name="_Column5_JW_Absätze aus diversen MACO-Würfeln" xfId="9054" xr:uid="{00000000-0005-0000-0000-000055230000}"/>
    <cellStyle name="_Column5_JW_Transferpreise 2006" xfId="9055" xr:uid="{00000000-0005-0000-0000-000056230000}"/>
    <cellStyle name="_Column5_JW_Transferpreise IDVG 2005" xfId="9056" xr:uid="{00000000-0005-0000-0000-000057230000}"/>
    <cellStyle name="_Column5_K01 Budget'07 mens" xfId="9057" xr:uid="{00000000-0005-0000-0000-000058230000}"/>
    <cellStyle name="_Column5_K01 January 07" xfId="9058" xr:uid="{00000000-0005-0000-0000-000059230000}"/>
    <cellStyle name="_Column5_KK_3YP Model S&amp;D Stand 3.7.07" xfId="9059" xr:uid="{00000000-0005-0000-0000-00005A230000}"/>
    <cellStyle name="_Column5_KK_3YP Model S&amp;D Stand 3.7.07 2" xfId="9060" xr:uid="{00000000-0005-0000-0000-00005B230000}"/>
    <cellStyle name="_Column5_KK_3YP Model S&amp;D Stand 3.7.07 2 2" xfId="9061" xr:uid="{00000000-0005-0000-0000-00005C230000}"/>
    <cellStyle name="_Column5_KK_3YP Model S&amp;D Stand 3.7.07 2 2 2" xfId="9062" xr:uid="{00000000-0005-0000-0000-00005D230000}"/>
    <cellStyle name="_Column5_KK_3YP Model S&amp;D Stand 3.7.07 2 3" xfId="9063" xr:uid="{00000000-0005-0000-0000-00005E230000}"/>
    <cellStyle name="_Column5_KK_3YP Model S&amp;D Stand 3.7.07 2 3 2" xfId="9064" xr:uid="{00000000-0005-0000-0000-00005F230000}"/>
    <cellStyle name="_Column5_KK_3YP Model S&amp;D Stand 3.7.07 2 3 3" xfId="9065" xr:uid="{00000000-0005-0000-0000-000060230000}"/>
    <cellStyle name="_Column5_KK_3YP Model S&amp;D Stand 3.7.07 2 4" xfId="9066" xr:uid="{00000000-0005-0000-0000-000061230000}"/>
    <cellStyle name="_Column5_KK_3YP Model S&amp;D Stand 3.7.07 2 5" xfId="9067" xr:uid="{00000000-0005-0000-0000-000062230000}"/>
    <cellStyle name="_Column5_KK_3YP Model S&amp;D Stand 3.7.07 3" xfId="9068" xr:uid="{00000000-0005-0000-0000-000063230000}"/>
    <cellStyle name="_Column5_KK_3YP Model S&amp;D Stand 3.7.07 3 2" xfId="9069" xr:uid="{00000000-0005-0000-0000-000064230000}"/>
    <cellStyle name="_Column5_KK_3YP Model S&amp;D Stand 3.7.07 3 3" xfId="9070" xr:uid="{00000000-0005-0000-0000-000065230000}"/>
    <cellStyle name="_Column5_KK_3YP Model S&amp;D Stand 3.7.07 3 3 2" xfId="9071" xr:uid="{00000000-0005-0000-0000-000066230000}"/>
    <cellStyle name="_Column5_KK_3YP Model S&amp;D Stand 3.7.07 4" xfId="9072" xr:uid="{00000000-0005-0000-0000-000067230000}"/>
    <cellStyle name="_Column5_KK_3YP Model S&amp;D Stand 3.7.07 4 2" xfId="9073" xr:uid="{00000000-0005-0000-0000-000068230000}"/>
    <cellStyle name="_Column5_KK_3YP Model S&amp;D Stand 3.7.07 4 3" xfId="9074" xr:uid="{00000000-0005-0000-0000-000069230000}"/>
    <cellStyle name="_Column5_KK_3YP Model S&amp;D Stand 3.7.07 5" xfId="9075" xr:uid="{00000000-0005-0000-0000-00006A230000}"/>
    <cellStyle name="_Column5_KK_3YP Model S&amp;D Stand 3.7.07 6" xfId="9076" xr:uid="{00000000-0005-0000-0000-00006B230000}"/>
    <cellStyle name="_Column5_KK_3YP Model S&amp;D Stand 3.7.07_Sheet1" xfId="9077" xr:uid="{00000000-0005-0000-0000-00006C230000}"/>
    <cellStyle name="_Column5_KK_3YP Model S&amp;D Stand 3.7.07_Sm Proj Cash Flow" xfId="9078" xr:uid="{00000000-0005-0000-0000-00006D230000}"/>
    <cellStyle name="_Column5_KK_3YP Model S&amp;D Stand 3.7.07_Spend Detail" xfId="9079" xr:uid="{00000000-0005-0000-0000-00006E230000}"/>
    <cellStyle name="_Column5_KK_3YP Model S&amp;D Stand 3.7.07_SustainingProjectList" xfId="9080" xr:uid="{00000000-0005-0000-0000-00006F230000}"/>
    <cellStyle name="_Column5_LE 1 On Trade" xfId="9081" xr:uid="{00000000-0005-0000-0000-000070230000}"/>
    <cellStyle name="_Column5_LE1" xfId="9082" xr:uid="{00000000-0005-0000-0000-000071230000}"/>
    <cellStyle name="_Column5_LE1 2007" xfId="9083" xr:uid="{00000000-0005-0000-0000-000072230000}"/>
    <cellStyle name="_Column5_LE1 controllo ZBB vers 27.4.07 bis" xfId="9084" xr:uid="{00000000-0005-0000-0000-000073230000}"/>
    <cellStyle name="_Column5_LEI templates - per Francesca by PPM" xfId="9085" xr:uid="{00000000-0005-0000-0000-000074230000}"/>
    <cellStyle name="_Column5_loop ist energie" xfId="9086" xr:uid="{00000000-0005-0000-0000-000075230000}"/>
    <cellStyle name="_Column5_Maco budget 2007 On Trade" xfId="9087" xr:uid="{00000000-0005-0000-0000-000076230000}"/>
    <cellStyle name="_Column5_Maco IN MACO e ITW" xfId="9088" xr:uid="{00000000-0005-0000-0000-000077230000}"/>
    <cellStyle name="_Column5_Maco IN MACO e ITW Feb" xfId="9089" xr:uid="{00000000-0005-0000-0000-000078230000}"/>
    <cellStyle name="_Column5_Maco L2" xfId="9090" xr:uid="{00000000-0005-0000-0000-000079230000}"/>
    <cellStyle name="_Column5_Maco LE1 vers 30.4.07" xfId="9091" xr:uid="{00000000-0005-0000-0000-00007A230000}"/>
    <cellStyle name="_Column5_Maco LE1 vers 30.4.07 PER PRESENTAZ" xfId="9092" xr:uid="{00000000-0005-0000-0000-00007B230000}"/>
    <cellStyle name="_Column5_MACO waterfall feb'07" xfId="9093" xr:uid="{00000000-0005-0000-0000-00007C230000}"/>
    <cellStyle name="_Column5_Mappe2" xfId="9094" xr:uid="{00000000-0005-0000-0000-00007D230000}"/>
    <cellStyle name="_Column5_Mark up Ist" xfId="9095" xr:uid="{00000000-0005-0000-0000-00007E230000}"/>
    <cellStyle name="_Column5_Marzo 2007 Deck vers 16.4.07" xfId="9096" xr:uid="{00000000-0005-0000-0000-00007F230000}"/>
    <cellStyle name="_Column5_Mens volumi LE1 x BBP" xfId="9097" xr:uid="{00000000-0005-0000-0000-000080230000}"/>
    <cellStyle name="_Column5_MIS1" xfId="9098" xr:uid="{00000000-0005-0000-0000-000081230000}"/>
    <cellStyle name="_Column5_MIS10" xfId="9099" xr:uid="{00000000-0005-0000-0000-000082230000}"/>
    <cellStyle name="_Column5_MIS17" xfId="9100" xr:uid="{00000000-0005-0000-0000-000083230000}"/>
    <cellStyle name="_Column5_MIS2" xfId="9101" xr:uid="{00000000-0005-0000-0000-000084230000}"/>
    <cellStyle name="_Column5_MIS2 2" xfId="9102" xr:uid="{00000000-0005-0000-0000-000085230000}"/>
    <cellStyle name="_Column5_MIS2 2 2" xfId="9103" xr:uid="{00000000-0005-0000-0000-000086230000}"/>
    <cellStyle name="_Column5_MIS2 2 2 2" xfId="9104" xr:uid="{00000000-0005-0000-0000-000087230000}"/>
    <cellStyle name="_Column5_MIS2 2 3" xfId="9105" xr:uid="{00000000-0005-0000-0000-000088230000}"/>
    <cellStyle name="_Column5_MIS2 2 3 2" xfId="9106" xr:uid="{00000000-0005-0000-0000-000089230000}"/>
    <cellStyle name="_Column5_MIS2 2 3 3" xfId="9107" xr:uid="{00000000-0005-0000-0000-00008A230000}"/>
    <cellStyle name="_Column5_MIS2 2 4" xfId="9108" xr:uid="{00000000-0005-0000-0000-00008B230000}"/>
    <cellStyle name="_Column5_MIS2 2 5" xfId="9109" xr:uid="{00000000-0005-0000-0000-00008C230000}"/>
    <cellStyle name="_Column5_MIS2 3" xfId="9110" xr:uid="{00000000-0005-0000-0000-00008D230000}"/>
    <cellStyle name="_Column5_MIS2 3 2" xfId="9111" xr:uid="{00000000-0005-0000-0000-00008E230000}"/>
    <cellStyle name="_Column5_MIS2 4" xfId="9112" xr:uid="{00000000-0005-0000-0000-00008F230000}"/>
    <cellStyle name="_Column5_MIS2 4 2" xfId="9113" xr:uid="{00000000-0005-0000-0000-000090230000}"/>
    <cellStyle name="_Column5_MIS2 4 3" xfId="9114" xr:uid="{00000000-0005-0000-0000-000091230000}"/>
    <cellStyle name="_Column5_MIS2 5" xfId="9115" xr:uid="{00000000-0005-0000-0000-000092230000}"/>
    <cellStyle name="_Column5_MIS2 6" xfId="9116" xr:uid="{00000000-0005-0000-0000-000093230000}"/>
    <cellStyle name="_Column5_MIS2_1" xfId="9117" xr:uid="{00000000-0005-0000-0000-000094230000}"/>
    <cellStyle name="_Column5_MIS2_Anlagenbelegung Auswertung SKU pro Linie 2006-07-25 -ÜB." xfId="9118" xr:uid="{00000000-0005-0000-0000-000095230000}"/>
    <cellStyle name="_Column5_MIS2_Basis" xfId="9119" xr:uid="{00000000-0005-0000-0000-000096230000}"/>
    <cellStyle name="_Column5_MIS2_Basis 2" xfId="9120" xr:uid="{00000000-0005-0000-0000-000097230000}"/>
    <cellStyle name="_Column5_MIS2_Basis 2 2" xfId="9121" xr:uid="{00000000-0005-0000-0000-000098230000}"/>
    <cellStyle name="_Column5_MIS2_Basis_Sheet1" xfId="9122" xr:uid="{00000000-0005-0000-0000-000099230000}"/>
    <cellStyle name="_Column5_MIS2_Basis_Sheet5" xfId="9123" xr:uid="{00000000-0005-0000-0000-00009A230000}"/>
    <cellStyle name="_Column5_MIS2_Basis_Sm Proj Cash Flow" xfId="9124" xr:uid="{00000000-0005-0000-0000-00009B230000}"/>
    <cellStyle name="_Column5_MIS2_Basis_Spend Detail" xfId="9125" xr:uid="{00000000-0005-0000-0000-00009C230000}"/>
    <cellStyle name="_Column5_MIS2_Basis_SustainingProjectList" xfId="9126" xr:uid="{00000000-0005-0000-0000-00009D230000}"/>
    <cellStyle name="_Column5_MIS2_Changeover t, theor. u. per h. " xfId="9127" xr:uid="{00000000-0005-0000-0000-00009E230000}"/>
    <cellStyle name="_Column5_MIS2_JW_VPLC Bremen" xfId="9128" xr:uid="{00000000-0005-0000-0000-00009F230000}"/>
    <cellStyle name="_Column5_MIS2_Mother line Bremen" xfId="9129" xr:uid="{00000000-0005-0000-0000-0000A0230000}"/>
    <cellStyle name="_Column5_MIS2_RB&amp;JW_Produktionsplanung_LE1_2006 sortiert" xfId="9130" xr:uid="{00000000-0005-0000-0000-0000A1230000}"/>
    <cellStyle name="_Column5_MIS2_RB&amp;JW_Produktionsplanung_LE1_2006 sortiert 2" xfId="9131" xr:uid="{00000000-0005-0000-0000-0000A2230000}"/>
    <cellStyle name="_Column5_MIS2_RB&amp;JW_Produktionsplanung_LE1_2006 sortiert 2 2" xfId="9132" xr:uid="{00000000-0005-0000-0000-0000A3230000}"/>
    <cellStyle name="_Column5_MIS2_RB&amp;JW_Produktionsplanung_LE1_2006 sortiert_Sheet1" xfId="9133" xr:uid="{00000000-0005-0000-0000-0000A4230000}"/>
    <cellStyle name="_Column5_MIS2_RB&amp;JW_Produktionsplanung_LE1_2006 sortiert_Sheet5" xfId="9134" xr:uid="{00000000-0005-0000-0000-0000A5230000}"/>
    <cellStyle name="_Column5_MIS2_RB&amp;JW_Produktionsplanung_LE1_2006 sortiert_Sm Proj Cash Flow" xfId="9135" xr:uid="{00000000-0005-0000-0000-0000A6230000}"/>
    <cellStyle name="_Column5_MIS2_RB&amp;JW_Produktionsplanung_LE1_2006 sortiert_Spend Detail" xfId="9136" xr:uid="{00000000-0005-0000-0000-0000A7230000}"/>
    <cellStyle name="_Column5_MIS2_RB&amp;JW_Produktionsplanung_LE1_2006 sortiert_SustainingProjectList" xfId="9137" xr:uid="{00000000-0005-0000-0000-0000A8230000}"/>
    <cellStyle name="_Column5_MIS2_Rüstzeit" xfId="9138" xr:uid="{00000000-0005-0000-0000-0000A9230000}"/>
    <cellStyle name="_Column5_MIS2_SKU Volumen" xfId="9139" xr:uid="{00000000-0005-0000-0000-0000AA230000}"/>
    <cellStyle name="_Column5_MIS2_SKU Volumen 2" xfId="9140" xr:uid="{00000000-0005-0000-0000-0000AB230000}"/>
    <cellStyle name="_Column5_MIS2_SKU Volumen_Sheet1" xfId="9141" xr:uid="{00000000-0005-0000-0000-0000AC230000}"/>
    <cellStyle name="_Column5_MIS2_SKU Volumen_Sm Proj Cash Flow" xfId="9142" xr:uid="{00000000-0005-0000-0000-0000AD230000}"/>
    <cellStyle name="_Column5_MIS2_SKU Volumen_Spend Detail" xfId="9143" xr:uid="{00000000-0005-0000-0000-0000AE230000}"/>
    <cellStyle name="_Column5_MIS2_SKU Volumen_SustainingProjectList" xfId="9144" xr:uid="{00000000-0005-0000-0000-0000AF230000}"/>
    <cellStyle name="_Column5_MIS2_Tabelle1" xfId="9145" xr:uid="{00000000-0005-0000-0000-0000B0230000}"/>
    <cellStyle name="_Column5_MIS2_Tabelle1 2" xfId="9146" xr:uid="{00000000-0005-0000-0000-0000B1230000}"/>
    <cellStyle name="_Column5_MIS2_Tabelle1 2 2" xfId="9147" xr:uid="{00000000-0005-0000-0000-0000B2230000}"/>
    <cellStyle name="_Column5_MIS2_Tabelle1 3" xfId="9148" xr:uid="{00000000-0005-0000-0000-0000B3230000}"/>
    <cellStyle name="_Column5_MIS2_Tabelle1_Sheet1" xfId="9149" xr:uid="{00000000-0005-0000-0000-0000B4230000}"/>
    <cellStyle name="_Column5_MIS2_Tabelle1_Sm Proj Cash Flow" xfId="9150" xr:uid="{00000000-0005-0000-0000-0000B5230000}"/>
    <cellStyle name="_Column5_MIS2_Tabelle1_Spend Detail" xfId="9151" xr:uid="{00000000-0005-0000-0000-0000B6230000}"/>
    <cellStyle name="_Column5_MIS2_Tabelle1_SustainingProjectList" xfId="9152" xr:uid="{00000000-0005-0000-0000-0000B7230000}"/>
    <cellStyle name="_Column5_Mis23" xfId="9153" xr:uid="{00000000-0005-0000-0000-0000B8230000}"/>
    <cellStyle name="_Column5_Mis24" xfId="9154" xr:uid="{00000000-0005-0000-0000-0000B9230000}"/>
    <cellStyle name="_Column5_Mis24 2" xfId="9155" xr:uid="{00000000-0005-0000-0000-0000BA230000}"/>
    <cellStyle name="_Column5_Mis24 2 2" xfId="9156" xr:uid="{00000000-0005-0000-0000-0000BB230000}"/>
    <cellStyle name="_Column5_Mis24 3" xfId="9157" xr:uid="{00000000-0005-0000-0000-0000BC230000}"/>
    <cellStyle name="_Column5_Mis25" xfId="9158" xr:uid="{00000000-0005-0000-0000-0000BD230000}"/>
    <cellStyle name="_Column5_MIS3" xfId="9159" xr:uid="{00000000-0005-0000-0000-0000BE230000}"/>
    <cellStyle name="_Column5_MIS3 2" xfId="9160" xr:uid="{00000000-0005-0000-0000-0000BF230000}"/>
    <cellStyle name="_Column5_MIS3 2 2" xfId="9161" xr:uid="{00000000-0005-0000-0000-0000C0230000}"/>
    <cellStyle name="_Column5_MIS3 2 2 2" xfId="9162" xr:uid="{00000000-0005-0000-0000-0000C1230000}"/>
    <cellStyle name="_Column5_MIS3 2 3" xfId="9163" xr:uid="{00000000-0005-0000-0000-0000C2230000}"/>
    <cellStyle name="_Column5_MIS3 2 3 2" xfId="9164" xr:uid="{00000000-0005-0000-0000-0000C3230000}"/>
    <cellStyle name="_Column5_MIS3 2 3 3" xfId="9165" xr:uid="{00000000-0005-0000-0000-0000C4230000}"/>
    <cellStyle name="_Column5_MIS3 2 4" xfId="9166" xr:uid="{00000000-0005-0000-0000-0000C5230000}"/>
    <cellStyle name="_Column5_MIS3 2 5" xfId="9167" xr:uid="{00000000-0005-0000-0000-0000C6230000}"/>
    <cellStyle name="_Column5_MIS3 3" xfId="9168" xr:uid="{00000000-0005-0000-0000-0000C7230000}"/>
    <cellStyle name="_Column5_MIS3 3 2" xfId="9169" xr:uid="{00000000-0005-0000-0000-0000C8230000}"/>
    <cellStyle name="_Column5_MIS3 3 3" xfId="9170" xr:uid="{00000000-0005-0000-0000-0000C9230000}"/>
    <cellStyle name="_Column5_MIS3 3 3 2" xfId="9171" xr:uid="{00000000-0005-0000-0000-0000CA230000}"/>
    <cellStyle name="_Column5_MIS3 4" xfId="9172" xr:uid="{00000000-0005-0000-0000-0000CB230000}"/>
    <cellStyle name="_Column5_MIS3 4 2" xfId="9173" xr:uid="{00000000-0005-0000-0000-0000CC230000}"/>
    <cellStyle name="_Column5_MIS3 4 3" xfId="9174" xr:uid="{00000000-0005-0000-0000-0000CD230000}"/>
    <cellStyle name="_Column5_MIS3 5" xfId="9175" xr:uid="{00000000-0005-0000-0000-0000CE230000}"/>
    <cellStyle name="_Column5_MIS3 6" xfId="9176" xr:uid="{00000000-0005-0000-0000-0000CF230000}"/>
    <cellStyle name="_Column5_MIS3_Sheet1" xfId="9177" xr:uid="{00000000-0005-0000-0000-0000D0230000}"/>
    <cellStyle name="_Column5_MIS3_Sm Proj Cash Flow" xfId="9178" xr:uid="{00000000-0005-0000-0000-0000D1230000}"/>
    <cellStyle name="_Column5_MIS3_Spend Detail" xfId="9179" xr:uid="{00000000-0005-0000-0000-0000D2230000}"/>
    <cellStyle name="_Column5_MIS3_SustainingProjectList" xfId="9180" xr:uid="{00000000-0005-0000-0000-0000D3230000}"/>
    <cellStyle name="_Column5_MIS4" xfId="9181" xr:uid="{00000000-0005-0000-0000-0000D4230000}"/>
    <cellStyle name="_Column5_MIS4_1" xfId="9182" xr:uid="{00000000-0005-0000-0000-0000D5230000}"/>
    <cellStyle name="_Column5_MIS4_1_packaging" xfId="9183" xr:uid="{00000000-0005-0000-0000-0000D6230000}"/>
    <cellStyle name="_Column5_MIS5" xfId="9184" xr:uid="{00000000-0005-0000-0000-0000D7230000}"/>
    <cellStyle name="_Column5_MIS5_1" xfId="9185" xr:uid="{00000000-0005-0000-0000-0000D8230000}"/>
    <cellStyle name="_Column5_MIS5_1_packaging" xfId="9186" xr:uid="{00000000-0005-0000-0000-0000D9230000}"/>
    <cellStyle name="_Column5_MIS7" xfId="9187" xr:uid="{00000000-0005-0000-0000-0000DA230000}"/>
    <cellStyle name="_Column5_MIS9" xfId="9188" xr:uid="{00000000-0005-0000-0000-0000DB230000}"/>
    <cellStyle name="_Column5_MIS9 2" xfId="9189" xr:uid="{00000000-0005-0000-0000-0000DC230000}"/>
    <cellStyle name="_Column5_MIS9_Anlagenbelegung Auswertung SKU pro Linie 2006-07-25 -ÜB." xfId="9190" xr:uid="{00000000-0005-0000-0000-0000DD230000}"/>
    <cellStyle name="_Column5_Mkt marzo" xfId="9191" xr:uid="{00000000-0005-0000-0000-0000DE230000}"/>
    <cellStyle name="_Column5_Netherlands" xfId="9192" xr:uid="{00000000-0005-0000-0000-0000DF230000}"/>
    <cellStyle name="_Column5_NNT_LE'08_1605vsBGT'09_1713" xfId="9193" xr:uid="{00000000-0005-0000-0000-0000E0230000}"/>
    <cellStyle name="_Column5_NNT_LE'08_1605vsBGT'09_1713 2" xfId="9194" xr:uid="{00000000-0005-0000-0000-0000E1230000}"/>
    <cellStyle name="_Column5_NNT_LE'08_1605vsBGT'09_1713 3" xfId="9195" xr:uid="{00000000-0005-0000-0000-0000E2230000}"/>
    <cellStyle name="_Column5_NNT_LE'08_1605vsBGT'09_1713 3 2" xfId="9196" xr:uid="{00000000-0005-0000-0000-0000E3230000}"/>
    <cellStyle name="_Column5_NNT_LE'08_1605vsBGT'09_1713 3 3" xfId="9197" xr:uid="{00000000-0005-0000-0000-0000E4230000}"/>
    <cellStyle name="_Column5_NNT_LE'08_1605vsBGT'09_1713 3 3 2" xfId="9198" xr:uid="{00000000-0005-0000-0000-0000E5230000}"/>
    <cellStyle name="_Column5_NNT_LE'08_1605vsBGT'09_1713 4" xfId="9199" xr:uid="{00000000-0005-0000-0000-0000E6230000}"/>
    <cellStyle name="_Column5_NNT_LE'08_1605vsBGT'09_1713 4 2" xfId="9200" xr:uid="{00000000-0005-0000-0000-0000E7230000}"/>
    <cellStyle name="_Column5_Non bev sales income" xfId="9201" xr:uid="{00000000-0005-0000-0000-0000E8230000}"/>
    <cellStyle name="_Column5_Non bev. sales income" xfId="9202" xr:uid="{00000000-0005-0000-0000-0000E9230000}"/>
    <cellStyle name="_Column5_Nuove sku" xfId="9203" xr:uid="{00000000-0005-0000-0000-0000EA230000}"/>
    <cellStyle name="_Column5_Off T. marzo" xfId="9204" xr:uid="{00000000-0005-0000-0000-0000EB230000}"/>
    <cellStyle name="_Column5_OFF TRADE Volumi e maco Bdg 2007 by LUCA" xfId="9205" xr:uid="{00000000-0005-0000-0000-0000EC230000}"/>
    <cellStyle name="_Column5_OFF TRADE_MACO 2006" xfId="9206" xr:uid="{00000000-0005-0000-0000-0000ED230000}"/>
    <cellStyle name="_Column5_On Trade estratto al 30.06.06" xfId="9207" xr:uid="{00000000-0005-0000-0000-0000EE230000}"/>
    <cellStyle name="_Column5_On Trade Gen'07" xfId="9208" xr:uid="{00000000-0005-0000-0000-0000EF230000}"/>
    <cellStyle name="_Column5_Out of scope" xfId="9209" xr:uid="{00000000-0005-0000-0000-0000F0230000}"/>
    <cellStyle name="_Column5_Packages + Subpack" xfId="9210" xr:uid="{00000000-0005-0000-0000-0000F1230000}"/>
    <cellStyle name="_Column5_Packages ON + DD" xfId="9211" xr:uid="{00000000-0005-0000-0000-0000F2230000}"/>
    <cellStyle name="_Column5_packaging" xfId="9212" xr:uid="{00000000-0005-0000-0000-0000F3230000}"/>
    <cellStyle name="_Column5_packaging_1" xfId="9213" xr:uid="{00000000-0005-0000-0000-0000F4230000}"/>
    <cellStyle name="_Column5_Partner - bilancio novembre" xfId="9214" xr:uid="{00000000-0005-0000-0000-0000F5230000}"/>
    <cellStyle name="_Column5_PE" xfId="9215" xr:uid="{00000000-0005-0000-0000-0000F6230000}"/>
    <cellStyle name="_Column5_PE 2" xfId="9216" xr:uid="{00000000-0005-0000-0000-0000F7230000}"/>
    <cellStyle name="_Column5_PE 2 2" xfId="9217" xr:uid="{00000000-0005-0000-0000-0000F8230000}"/>
    <cellStyle name="_Column5_PE 3" xfId="9218" xr:uid="{00000000-0005-0000-0000-0000F9230000}"/>
    <cellStyle name="_Column5_People Package" xfId="9219" xr:uid="{00000000-0005-0000-0000-0000FA230000}"/>
    <cellStyle name="_Column5_People Package (2)" xfId="9220" xr:uid="{00000000-0005-0000-0000-0000FB230000}"/>
    <cellStyle name="_Column5_People Package (2) 2" xfId="9221" xr:uid="{00000000-0005-0000-0000-0000FC230000}"/>
    <cellStyle name="_Column5_People Package (2) 2 2" xfId="9222" xr:uid="{00000000-0005-0000-0000-0000FD230000}"/>
    <cellStyle name="_Column5_People Package (2) 3" xfId="9223" xr:uid="{00000000-0005-0000-0000-0000FE230000}"/>
    <cellStyle name="_Column5_People Package 2" xfId="9224" xr:uid="{00000000-0005-0000-0000-0000FF230000}"/>
    <cellStyle name="_Column5_People Package 2 2" xfId="9225" xr:uid="{00000000-0005-0000-0000-000000240000}"/>
    <cellStyle name="_Column5_People Package 3" xfId="9226" xr:uid="{00000000-0005-0000-0000-000001240000}"/>
    <cellStyle name="_Column5_People Package 3 2" xfId="9227" xr:uid="{00000000-0005-0000-0000-000002240000}"/>
    <cellStyle name="_Column5_People Package 4" xfId="9228" xr:uid="{00000000-0005-0000-0000-000003240000}"/>
    <cellStyle name="_Column5_People Package 5" xfId="9229" xr:uid="{00000000-0005-0000-0000-000004240000}"/>
    <cellStyle name="_Column5_P-LE-YTD-abs(loc)" xfId="9230" xr:uid="{00000000-0005-0000-0000-000005240000}"/>
    <cellStyle name="_Column5_P-LE-YTD-abs(loc)_packaging" xfId="9231" xr:uid="{00000000-0005-0000-0000-000006240000}"/>
    <cellStyle name="_Column5_RB&amp;JW_Produktionsplanung_LE1_2006 sortiert" xfId="9232" xr:uid="{00000000-0005-0000-0000-000007240000}"/>
    <cellStyle name="_Column5_RB&amp;JW_Produktionsplanung_LE1_2006 sortiert 2" xfId="9233" xr:uid="{00000000-0005-0000-0000-000008240000}"/>
    <cellStyle name="_Column5_RB&amp;JW_Produktionsplanung_LE1_2006 sortiert 2 2" xfId="9234" xr:uid="{00000000-0005-0000-0000-000009240000}"/>
    <cellStyle name="_Column5_RB&amp;JW_Produktionsplanung_LE1_2006 sortiert_Sheet1" xfId="9235" xr:uid="{00000000-0005-0000-0000-00000A240000}"/>
    <cellStyle name="_Column5_RB&amp;JW_Produktionsplanung_LE1_2006 sortiert_Sheet5" xfId="9236" xr:uid="{00000000-0005-0000-0000-00000B240000}"/>
    <cellStyle name="_Column5_RB&amp;JW_Produktionsplanung_LE1_2006 sortiert_Sm Proj Cash Flow" xfId="9237" xr:uid="{00000000-0005-0000-0000-00000C240000}"/>
    <cellStyle name="_Column5_RB&amp;JW_Produktionsplanung_LE1_2006 sortiert_Spend Detail" xfId="9238" xr:uid="{00000000-0005-0000-0000-00000D240000}"/>
    <cellStyle name="_Column5_RB&amp;JW_Produktionsplanung_LE1_2006 sortiert_SustainingProjectList" xfId="9239" xr:uid="{00000000-0005-0000-0000-00000E240000}"/>
    <cellStyle name="_Column5_RD" xfId="9240" xr:uid="{00000000-0005-0000-0000-00000F240000}"/>
    <cellStyle name="_Column5_RD 2" xfId="9241" xr:uid="{00000000-0005-0000-0000-000010240000}"/>
    <cellStyle name="_Column5_RD 2 2" xfId="9242" xr:uid="{00000000-0005-0000-0000-000011240000}"/>
    <cellStyle name="_Column5_RD 3" xfId="9243" xr:uid="{00000000-0005-0000-0000-000012240000}"/>
    <cellStyle name="_Column5_Report Inbev FINANCE November 06" xfId="9244" xr:uid="{00000000-0005-0000-0000-000013240000}"/>
    <cellStyle name="_Column5_Return rates" xfId="9245" xr:uid="{00000000-0005-0000-0000-000014240000}"/>
    <cellStyle name="_Column5_Returnable Packaging" xfId="9246" xr:uid="{00000000-0005-0000-0000-000015240000}"/>
    <cellStyle name="_Column5_Returnable Packaging Prices 2008 (2)" xfId="9247" xr:uid="{00000000-0005-0000-0000-000016240000}"/>
    <cellStyle name="_Column5_Rüstzeit" xfId="9248" xr:uid="{00000000-0005-0000-0000-000017240000}"/>
    <cellStyle name="_Column5_RW_Mutteranlge" xfId="9249" xr:uid="{00000000-0005-0000-0000-000018240000}"/>
    <cellStyle name="_Column5_RW4" xfId="9250" xr:uid="{00000000-0005-0000-0000-000019240000}"/>
    <cellStyle name="_Column5_S&amp;D Italy" xfId="9251" xr:uid="{00000000-0005-0000-0000-00001A240000}"/>
    <cellStyle name="_Column5_Sales" xfId="9252" xr:uid="{00000000-0005-0000-0000-00001B240000}"/>
    <cellStyle name="_Column5_Sales and Marketing - revised" xfId="9253" xr:uid="{00000000-0005-0000-0000-00001C240000}"/>
    <cellStyle name="_Column5_Sales and Marketing - revised 2" xfId="9254" xr:uid="{00000000-0005-0000-0000-00001D240000}"/>
    <cellStyle name="_Column5_Sales and Marketing - revised 2 2" xfId="9255" xr:uid="{00000000-0005-0000-0000-00001E240000}"/>
    <cellStyle name="_Column5_Sales and Marketing - revised 3" xfId="9256" xr:uid="{00000000-0005-0000-0000-00001F240000}"/>
    <cellStyle name="_Column5_Sales Daten" xfId="9257" xr:uid="{00000000-0005-0000-0000-000020240000}"/>
    <cellStyle name="_Column5_Sales On-Trade" xfId="9258" xr:uid="{00000000-0005-0000-0000-000021240000}"/>
    <cellStyle name="_Column5_SCFD_FLACON" xfId="9259" xr:uid="{00000000-0005-0000-0000-000022240000}"/>
    <cellStyle name="_Column5_Scope_Dinkelacker_2006" xfId="9260" xr:uid="{00000000-0005-0000-0000-000023240000}"/>
    <cellStyle name="_Column5_SF_Volumes &amp; Maco pro hl Haake-Beck Budget 2009" xfId="9261" xr:uid="{00000000-0005-0000-0000-000024240000}"/>
    <cellStyle name="_Column5_SF_Volumes &amp; Maco pro hl Haake-Beck Budget 2009_RFFS SUBMISSION TO VPs" xfId="9262" xr:uid="{00000000-0005-0000-0000-000025240000}"/>
    <cellStyle name="_Column5_SF_Volumes &amp; Maco pro hl Haake-Beck Budget 2009_RFFS_SUBMISSION_TO_VPs _v2" xfId="9263" xr:uid="{00000000-0005-0000-0000-000026240000}"/>
    <cellStyle name="_Column5_Sheet1" xfId="9264" xr:uid="{00000000-0005-0000-0000-000027240000}"/>
    <cellStyle name="_Column5_Sheet1 (2)" xfId="9265" xr:uid="{00000000-0005-0000-0000-000028240000}"/>
    <cellStyle name="_Column5_Sheet1 10" xfId="9266" xr:uid="{00000000-0005-0000-0000-000029240000}"/>
    <cellStyle name="_Column5_Sheet1 11" xfId="9267" xr:uid="{00000000-0005-0000-0000-00002A240000}"/>
    <cellStyle name="_Column5_Sheet1 12" xfId="9268" xr:uid="{00000000-0005-0000-0000-00002B240000}"/>
    <cellStyle name="_Column5_Sheet1 13" xfId="9269" xr:uid="{00000000-0005-0000-0000-00002C240000}"/>
    <cellStyle name="_Column5_Sheet1 14" xfId="9270" xr:uid="{00000000-0005-0000-0000-00002D240000}"/>
    <cellStyle name="_Column5_Sheet1 15" xfId="9271" xr:uid="{00000000-0005-0000-0000-00002E240000}"/>
    <cellStyle name="_Column5_Sheet1 16" xfId="9272" xr:uid="{00000000-0005-0000-0000-00002F240000}"/>
    <cellStyle name="_Column5_Sheet1 17" xfId="9273" xr:uid="{00000000-0005-0000-0000-000030240000}"/>
    <cellStyle name="_Column5_Sheet1 18" xfId="9274" xr:uid="{00000000-0005-0000-0000-000031240000}"/>
    <cellStyle name="_Column5_Sheet1 19" xfId="9275" xr:uid="{00000000-0005-0000-0000-000032240000}"/>
    <cellStyle name="_Column5_Sheet1 2" xfId="9276" xr:uid="{00000000-0005-0000-0000-000033240000}"/>
    <cellStyle name="_Column5_Sheet1 20" xfId="9277" xr:uid="{00000000-0005-0000-0000-000034240000}"/>
    <cellStyle name="_Column5_Sheet1 21" xfId="9278" xr:uid="{00000000-0005-0000-0000-000035240000}"/>
    <cellStyle name="_Column5_Sheet1 22" xfId="9279" xr:uid="{00000000-0005-0000-0000-000036240000}"/>
    <cellStyle name="_Column5_Sheet1 23" xfId="9280" xr:uid="{00000000-0005-0000-0000-000037240000}"/>
    <cellStyle name="_Column5_Sheet1 24" xfId="9281" xr:uid="{00000000-0005-0000-0000-000038240000}"/>
    <cellStyle name="_Column5_Sheet1 25" xfId="9282" xr:uid="{00000000-0005-0000-0000-000039240000}"/>
    <cellStyle name="_Column5_Sheet1 3" xfId="9283" xr:uid="{00000000-0005-0000-0000-00003A240000}"/>
    <cellStyle name="_Column5_Sheet1 4" xfId="9284" xr:uid="{00000000-0005-0000-0000-00003B240000}"/>
    <cellStyle name="_Column5_Sheet1 5" xfId="9285" xr:uid="{00000000-0005-0000-0000-00003C240000}"/>
    <cellStyle name="_Column5_Sheet1 6" xfId="9286" xr:uid="{00000000-0005-0000-0000-00003D240000}"/>
    <cellStyle name="_Column5_Sheet1 7" xfId="9287" xr:uid="{00000000-0005-0000-0000-00003E240000}"/>
    <cellStyle name="_Column5_Sheet1 8" xfId="9288" xr:uid="{00000000-0005-0000-0000-00003F240000}"/>
    <cellStyle name="_Column5_Sheet1 9" xfId="9289" xr:uid="{00000000-0005-0000-0000-000040240000}"/>
    <cellStyle name="_Column5_Sheet1_Analisi vol ott" xfId="9290" xr:uid="{00000000-0005-0000-0000-000041240000}"/>
    <cellStyle name="_Column5_Sheet1_BACK UP FIGURES for PRESENTATION LE1" xfId="9291" xr:uid="{00000000-0005-0000-0000-000042240000}"/>
    <cellStyle name="_Column5_Sheet1_Belgium" xfId="9292" xr:uid="{00000000-0005-0000-0000-000043240000}"/>
    <cellStyle name="_Column5_Sheet1_Belgium_brew" xfId="9293" xr:uid="{00000000-0005-0000-0000-000044240000}"/>
    <cellStyle name="_Column5_Sheet1_cans" xfId="9294" xr:uid="{00000000-0005-0000-0000-000045240000}"/>
    <cellStyle name="_Column5_Sheet1_Luxembourg_brew" xfId="9295" xr:uid="{00000000-0005-0000-0000-000046240000}"/>
    <cellStyle name="_Column5_Sheet1_Maco LE1 vers 30.4.07" xfId="9296" xr:uid="{00000000-0005-0000-0000-000047240000}"/>
    <cellStyle name="_Column5_Sheet1_Maco LE1 vers 30.4.07 PER PRESENTAZ" xfId="9297" xr:uid="{00000000-0005-0000-0000-000048240000}"/>
    <cellStyle name="_Column5_Sheet1_Marzo 2007 Deck vers 16.4.07" xfId="9298" xr:uid="{00000000-0005-0000-0000-000049240000}"/>
    <cellStyle name="_Column5_Sheet1_welp" xfId="9299" xr:uid="{00000000-0005-0000-0000-00004A240000}"/>
    <cellStyle name="_Column5_Sheet1_welp_RFFS SUBMISSION TO VPs" xfId="9300" xr:uid="{00000000-0005-0000-0000-00004B240000}"/>
    <cellStyle name="_Column5_Sheet1_welp_RFFS_SUBMISSION_TO_VPs _v2" xfId="9301" xr:uid="{00000000-0005-0000-0000-00004C240000}"/>
    <cellStyle name="_Column5_Sheet2" xfId="9302" xr:uid="{00000000-0005-0000-0000-00004D240000}"/>
    <cellStyle name="_Column5_Sheet5" xfId="9303" xr:uid="{00000000-0005-0000-0000-00004E240000}"/>
    <cellStyle name="_Column5_Sku listini Off Trade" xfId="9304" xr:uid="{00000000-0005-0000-0000-00004F240000}"/>
    <cellStyle name="_Column5_SKU Volumen" xfId="9305" xr:uid="{00000000-0005-0000-0000-000050240000}"/>
    <cellStyle name="_Column5_SKU Volumen 2" xfId="9306" xr:uid="{00000000-0005-0000-0000-000051240000}"/>
    <cellStyle name="_Column5_SKU Volumen_Sheet1" xfId="9307" xr:uid="{00000000-0005-0000-0000-000052240000}"/>
    <cellStyle name="_Column5_SKU Volumen_Sm Proj Cash Flow" xfId="9308" xr:uid="{00000000-0005-0000-0000-000053240000}"/>
    <cellStyle name="_Column5_SKU Volumen_Spend Detail" xfId="9309" xr:uid="{00000000-0005-0000-0000-000054240000}"/>
    <cellStyle name="_Column5_SKU Volumen_SustainingProjectList" xfId="9310" xr:uid="{00000000-0005-0000-0000-000055240000}"/>
    <cellStyle name="_Column5_Slide for initiatives (2)" xfId="9311" xr:uid="{00000000-0005-0000-0000-000056240000}"/>
    <cellStyle name="_Column5_Slide for initiatives (2) 2" xfId="9312" xr:uid="{00000000-0005-0000-0000-000057240000}"/>
    <cellStyle name="_Column5_Slide for initiatives (2) 3" xfId="9313" xr:uid="{00000000-0005-0000-0000-000058240000}"/>
    <cellStyle name="_Column5_Slide for initiatives (2) 3 2" xfId="9314" xr:uid="{00000000-0005-0000-0000-000059240000}"/>
    <cellStyle name="_Column5_Slide for initiatives (2) 3 3" xfId="9315" xr:uid="{00000000-0005-0000-0000-00005A240000}"/>
    <cellStyle name="_Column5_Slide for initiatives (2) 3 3 2" xfId="9316" xr:uid="{00000000-0005-0000-0000-00005B240000}"/>
    <cellStyle name="_Column5_Slide for initiatives (2) 4" xfId="9317" xr:uid="{00000000-0005-0000-0000-00005C240000}"/>
    <cellStyle name="_Column5_Slide for initiatives (2) 4 2" xfId="9318" xr:uid="{00000000-0005-0000-0000-00005D240000}"/>
    <cellStyle name="_Column5_slide Innovation" xfId="9319" xr:uid="{00000000-0005-0000-0000-00005E240000}"/>
    <cellStyle name="_Column5_Sortierkosten LE2 Hasseröder" xfId="9320" xr:uid="{00000000-0005-0000-0000-00005F240000}"/>
    <cellStyle name="_Column5_SP DEMAND" xfId="9321" xr:uid="{00000000-0005-0000-0000-000060240000}"/>
    <cellStyle name="_Column5_SPR_Deck_2008_RFM_20080723" xfId="9322" xr:uid="{00000000-0005-0000-0000-000061240000}"/>
    <cellStyle name="_Column5_Stock 9.4" xfId="9323" xr:uid="{00000000-0005-0000-0000-000062240000}"/>
    <cellStyle name="_Column5_Strategic Diagnostic Templates Technik" xfId="9324" xr:uid="{00000000-0005-0000-0000-000063240000}"/>
    <cellStyle name="_Column5_Strategic Diagnostic Templates Technik 2" xfId="9325" xr:uid="{00000000-0005-0000-0000-000064240000}"/>
    <cellStyle name="_Column5_Strategic Diagnostic Templates Technik 2 2" xfId="9326" xr:uid="{00000000-0005-0000-0000-000065240000}"/>
    <cellStyle name="_Column5_Strategic Diagnostic Templates Technik 3" xfId="9327" xr:uid="{00000000-0005-0000-0000-000066240000}"/>
    <cellStyle name="_Column5_Strategic Diagnostic Templates Technik 3 2" xfId="9328" xr:uid="{00000000-0005-0000-0000-000067240000}"/>
    <cellStyle name="_Column5_Strategic Diagnostic Templates Technik 3 3" xfId="9329" xr:uid="{00000000-0005-0000-0000-000068240000}"/>
    <cellStyle name="_Column5_Strategic Diagnostic Templates Technik 3 3 2" xfId="9330" xr:uid="{00000000-0005-0000-0000-000069240000}"/>
    <cellStyle name="_Column5_Strategic Diagnostic Templates Technik 4" xfId="9331" xr:uid="{00000000-0005-0000-0000-00006A240000}"/>
    <cellStyle name="_Column5_Strategic Diagnostic Templates Technik 4 2" xfId="9332" xr:uid="{00000000-0005-0000-0000-00006B240000}"/>
    <cellStyle name="_Column5_Strategic Diagnostic Templates Technik 5" xfId="9333" xr:uid="{00000000-0005-0000-0000-00006C240000}"/>
    <cellStyle name="_Column5_Strategic Diagnostic Templates Technik 5 2" xfId="9334" xr:uid="{00000000-0005-0000-0000-00006D240000}"/>
    <cellStyle name="_Column5_Strategic Diagnostic Templates Technik_Accident frequency" xfId="9335" xr:uid="{00000000-0005-0000-0000-00006E240000}"/>
    <cellStyle name="_Column5_Strategic Diagnostic Templates Technik_Accident frequency 2" xfId="9336" xr:uid="{00000000-0005-0000-0000-00006F240000}"/>
    <cellStyle name="_Column5_Strategic Diagnostic Templates Technik_Accident frequency_Financial Analysis Base" xfId="9337" xr:uid="{00000000-0005-0000-0000-000070240000}"/>
    <cellStyle name="_Column5_Strategic Diagnostic Templates Technik_Basis" xfId="9338" xr:uid="{00000000-0005-0000-0000-000071240000}"/>
    <cellStyle name="_Column5_Strategic Diagnostic Templates Technik_Basis 2" xfId="9339" xr:uid="{00000000-0005-0000-0000-000072240000}"/>
    <cellStyle name="_Column5_Strategic Diagnostic Templates Technik_Basis 2 2" xfId="9340" xr:uid="{00000000-0005-0000-0000-000073240000}"/>
    <cellStyle name="_Column5_Strategic Diagnostic Templates Technik_Basis_Sheet1" xfId="9341" xr:uid="{00000000-0005-0000-0000-000074240000}"/>
    <cellStyle name="_Column5_Strategic Diagnostic Templates Technik_Basis_Sheet5" xfId="9342" xr:uid="{00000000-0005-0000-0000-000075240000}"/>
    <cellStyle name="_Column5_Strategic Diagnostic Templates Technik_Basis_Sm Proj Cash Flow" xfId="9343" xr:uid="{00000000-0005-0000-0000-000076240000}"/>
    <cellStyle name="_Column5_Strategic Diagnostic Templates Technik_Basis_Spend Detail" xfId="9344" xr:uid="{00000000-0005-0000-0000-000077240000}"/>
    <cellStyle name="_Column5_Strategic Diagnostic Templates Technik_Basis_SustainingProjectList" xfId="9345" xr:uid="{00000000-0005-0000-0000-000078240000}"/>
    <cellStyle name="_Column5_Strategic Diagnostic Templates Technik_BU12 TP database - REGULAR VOLUMES LAN" xfId="9346" xr:uid="{00000000-0005-0000-0000-000079240000}"/>
    <cellStyle name="_Column5_Strategic Diagnostic Templates Technik_Canada" xfId="9347" xr:uid="{00000000-0005-0000-0000-00007A240000}"/>
    <cellStyle name="_Column5_Strategic Diagnostic Templates Technik_Canada 2" xfId="9348" xr:uid="{00000000-0005-0000-0000-00007B240000}"/>
    <cellStyle name="_Column5_Strategic Diagnostic Templates Technik_Canada_Dominican Rep" xfId="9349" xr:uid="{00000000-0005-0000-0000-00007C240000}"/>
    <cellStyle name="_Column5_Strategic Diagnostic Templates Technik_RB&amp;JW_Produktionsplanung_LE1_2006 sortiert" xfId="9350" xr:uid="{00000000-0005-0000-0000-00007D240000}"/>
    <cellStyle name="_Column5_Strategic Diagnostic Templates Technik_RB&amp;JW_Produktionsplanung_LE1_2006 sortiert 2" xfId="9351" xr:uid="{00000000-0005-0000-0000-00007E240000}"/>
    <cellStyle name="_Column5_Strategic Diagnostic Templates Technik_RB&amp;JW_Produktionsplanung_LE1_2006 sortiert 2 2" xfId="9352" xr:uid="{00000000-0005-0000-0000-00007F240000}"/>
    <cellStyle name="_Column5_Strategic Diagnostic Templates Technik_RB&amp;JW_Produktionsplanung_LE1_2006 sortiert_Sheet1" xfId="9353" xr:uid="{00000000-0005-0000-0000-000080240000}"/>
    <cellStyle name="_Column5_Strategic Diagnostic Templates Technik_RB&amp;JW_Produktionsplanung_LE1_2006 sortiert_Sheet5" xfId="9354" xr:uid="{00000000-0005-0000-0000-000081240000}"/>
    <cellStyle name="_Column5_Strategic Diagnostic Templates Technik_RB&amp;JW_Produktionsplanung_LE1_2006 sortiert_Sm Proj Cash Flow" xfId="9355" xr:uid="{00000000-0005-0000-0000-000082240000}"/>
    <cellStyle name="_Column5_Strategic Diagnostic Templates Technik_RB&amp;JW_Produktionsplanung_LE1_2006 sortiert_Spend Detail" xfId="9356" xr:uid="{00000000-0005-0000-0000-000083240000}"/>
    <cellStyle name="_Column5_Strategic Diagnostic Templates Technik_RB&amp;JW_Produktionsplanung_LE1_2006 sortiert_SustainingProjectList" xfId="9357" xr:uid="{00000000-0005-0000-0000-000084240000}"/>
    <cellStyle name="_Column5_Strategic Diagnostic Templates Technik_Sheet1" xfId="9358" xr:uid="{00000000-0005-0000-0000-000085240000}"/>
    <cellStyle name="_Column5_Strategic Diagnostic Templates Technik_Sheet5" xfId="9359" xr:uid="{00000000-0005-0000-0000-000086240000}"/>
    <cellStyle name="_Column5_Strategic Diagnostic Templates Technik_SKU Volumen" xfId="9360" xr:uid="{00000000-0005-0000-0000-000087240000}"/>
    <cellStyle name="_Column5_Strategic Diagnostic Templates Technik_SKU Volumen 2" xfId="9361" xr:uid="{00000000-0005-0000-0000-000088240000}"/>
    <cellStyle name="_Column5_Strategic Diagnostic Templates Technik_SKU Volumen_Sheet1" xfId="9362" xr:uid="{00000000-0005-0000-0000-000089240000}"/>
    <cellStyle name="_Column5_Strategic Diagnostic Templates Technik_SKU Volumen_Sm Proj Cash Flow" xfId="9363" xr:uid="{00000000-0005-0000-0000-00008A240000}"/>
    <cellStyle name="_Column5_Strategic Diagnostic Templates Technik_SKU Volumen_Spend Detail" xfId="9364" xr:uid="{00000000-0005-0000-0000-00008B240000}"/>
    <cellStyle name="_Column5_Strategic Diagnostic Templates Technik_SKU Volumen_SustainingProjectList" xfId="9365" xr:uid="{00000000-0005-0000-0000-00008C240000}"/>
    <cellStyle name="_Column5_Strategic Diagnostic Templates Technik_Sm Proj Cash Flow" xfId="9366" xr:uid="{00000000-0005-0000-0000-00008D240000}"/>
    <cellStyle name="_Column5_Strategic Diagnostic Templates Technik_Spend Detail" xfId="9367" xr:uid="{00000000-0005-0000-0000-00008E240000}"/>
    <cellStyle name="_Column5_Strategic Diagnostic Templates Technik_SustainingProjectList" xfId="9368" xr:uid="{00000000-0005-0000-0000-00008F240000}"/>
    <cellStyle name="_Column5_Strategic Diagnostic Templates Technik_Tabelle1" xfId="9369" xr:uid="{00000000-0005-0000-0000-000090240000}"/>
    <cellStyle name="_Column5_Strategic Diagnostic Templates Technik_Tabelle1 2" xfId="9370" xr:uid="{00000000-0005-0000-0000-000091240000}"/>
    <cellStyle name="_Column5_Strategic Diagnostic Templates Technik_Tabelle1_Sheet1" xfId="9371" xr:uid="{00000000-0005-0000-0000-000092240000}"/>
    <cellStyle name="_Column5_Strategic Diagnostic Templates Technik_Tabelle1_Sm Proj Cash Flow" xfId="9372" xr:uid="{00000000-0005-0000-0000-000093240000}"/>
    <cellStyle name="_Column5_Strategic Diagnostic Templates Technik_Tabelle1_Spend Detail" xfId="9373" xr:uid="{00000000-0005-0000-0000-000094240000}"/>
    <cellStyle name="_Column5_Strategic Diagnostic Templates Technik_Tabelle1_SustainingProjectList" xfId="9374" xr:uid="{00000000-0005-0000-0000-000095240000}"/>
    <cellStyle name="_Column5_Strategic Diagnostic Templates Technik_ZBB Budget 2009 Decks v2 china" xfId="9375" xr:uid="{00000000-0005-0000-0000-000096240000}"/>
    <cellStyle name="_Column5_Strategic Diagnostic Templates Technik_ZBB Budget 2009 Decks v2 china 2" xfId="9376" xr:uid="{00000000-0005-0000-0000-000097240000}"/>
    <cellStyle name="_Column5_Strategic Diagnostic Templates Technik_ZBB Budget 2009 Decks v2 china 2 2" xfId="9377" xr:uid="{00000000-0005-0000-0000-000098240000}"/>
    <cellStyle name="_Column5_Strategic Diagnostic Templates Technik_ZBB Budget 2009 Decks v2 china 3" xfId="9378" xr:uid="{00000000-0005-0000-0000-000099240000}"/>
    <cellStyle name="_Column5_Strategic Diagnostic Templates Technik_ZBB standard Template Korea_081105" xfId="9379" xr:uid="{00000000-0005-0000-0000-00009A240000}"/>
    <cellStyle name="_Column5_Strategic Diagnostic Templates Technik_ZBB standard Template Korea_081105 2" xfId="9380" xr:uid="{00000000-0005-0000-0000-00009B240000}"/>
    <cellStyle name="_Column5_Strategic Diagnostic Templates Technik_ZBB standard Template Korea_081105 2 2" xfId="9381" xr:uid="{00000000-0005-0000-0000-00009C240000}"/>
    <cellStyle name="_Column5_Strategic Diagnostic Templates Technik_ZBB standard Template Korea_081105 3" xfId="9382" xr:uid="{00000000-0005-0000-0000-00009D240000}"/>
    <cellStyle name="_Column5_Tabelle1" xfId="9383" xr:uid="{00000000-0005-0000-0000-00009E240000}"/>
    <cellStyle name="_Column5_Tabelle1 2" xfId="9384" xr:uid="{00000000-0005-0000-0000-00009F240000}"/>
    <cellStyle name="_Column5_Tabelle1 2 2" xfId="9385" xr:uid="{00000000-0005-0000-0000-0000A0240000}"/>
    <cellStyle name="_Column5_Tabelle1 3" xfId="9386" xr:uid="{00000000-0005-0000-0000-0000A1240000}"/>
    <cellStyle name="_Column5_Tabelle1_1" xfId="9387" xr:uid="{00000000-0005-0000-0000-0000A2240000}"/>
    <cellStyle name="_Column5_Tabelle1_1_Absatz Ist je Artikel &amp; Woche V1" xfId="9388" xr:uid="{00000000-0005-0000-0000-0000A3240000}"/>
    <cellStyle name="_Column5_Tabelle1_1_Absatz Ist je Artikel &amp; Woche V1 2" xfId="9389" xr:uid="{00000000-0005-0000-0000-0000A4240000}"/>
    <cellStyle name="_Column5_Tabelle1_1_Absatz Ist je Artikel &amp; Woche V1_Sheet1" xfId="9390" xr:uid="{00000000-0005-0000-0000-0000A5240000}"/>
    <cellStyle name="_Column5_Tabelle1_1_Absatz Ist je Artikel &amp; Woche V1_Sm Proj Cash Flow" xfId="9391" xr:uid="{00000000-0005-0000-0000-0000A6240000}"/>
    <cellStyle name="_Column5_Tabelle1_1_Absatz Ist je Artikel &amp; Woche V1_Spend Detail" xfId="9392" xr:uid="{00000000-0005-0000-0000-0000A7240000}"/>
    <cellStyle name="_Column5_Tabelle1_1_Absatz Ist je Artikel &amp; Woche V1_SustainingProjectList" xfId="9393" xr:uid="{00000000-0005-0000-0000-0000A8240000}"/>
    <cellStyle name="_Column5_Tabelle1_1_details" xfId="9394" xr:uid="{00000000-0005-0000-0000-0000A9240000}"/>
    <cellStyle name="_Column5_Tabelle1_1_Keg Dynamische Bedarfsplanung Budget 2008 2.8.2007" xfId="9395" xr:uid="{00000000-0005-0000-0000-0000AA240000}"/>
    <cellStyle name="_Column5_Tabelle1_1_Tabelle2" xfId="9396" xr:uid="{00000000-0005-0000-0000-0000AB240000}"/>
    <cellStyle name="_Column5_Tabelle1_1_Tabelle2 2" xfId="9397" xr:uid="{00000000-0005-0000-0000-0000AC240000}"/>
    <cellStyle name="_Column5_Tabelle1_1_Tabelle2_Sheet1" xfId="9398" xr:uid="{00000000-0005-0000-0000-0000AD240000}"/>
    <cellStyle name="_Column5_Tabelle1_1_Tabelle2_Sm Proj Cash Flow" xfId="9399" xr:uid="{00000000-0005-0000-0000-0000AE240000}"/>
    <cellStyle name="_Column5_Tabelle1_1_Tabelle2_Spend Detail" xfId="9400" xr:uid="{00000000-0005-0000-0000-0000AF240000}"/>
    <cellStyle name="_Column5_Tabelle1_1_Tabelle2_SustainingProjectList" xfId="9401" xr:uid="{00000000-0005-0000-0000-0000B0240000}"/>
    <cellStyle name="_Column5_Tabelle1_1_Tabelle3" xfId="9402" xr:uid="{00000000-0005-0000-0000-0000B1240000}"/>
    <cellStyle name="_Column5_Tabelle1_1_Tabelle3 2" xfId="9403" xr:uid="{00000000-0005-0000-0000-0000B2240000}"/>
    <cellStyle name="_Column5_Tabelle1_1_Tabelle3_Sheet1" xfId="9404" xr:uid="{00000000-0005-0000-0000-0000B3240000}"/>
    <cellStyle name="_Column5_Tabelle1_1_Tabelle3_Sm Proj Cash Flow" xfId="9405" xr:uid="{00000000-0005-0000-0000-0000B4240000}"/>
    <cellStyle name="_Column5_Tabelle1_1_Tabelle3_Spend Detail" xfId="9406" xr:uid="{00000000-0005-0000-0000-0000B5240000}"/>
    <cellStyle name="_Column5_Tabelle1_1_Tabelle3_SustainingProjectList" xfId="9407" xr:uid="{00000000-0005-0000-0000-0000B6240000}"/>
    <cellStyle name="_Column5_Tabelle1_1_Template Capex budget 2010 Supply WE" xfId="9408" xr:uid="{00000000-0005-0000-0000-0000B7240000}"/>
    <cellStyle name="_Column5_Tabelle1_1_Template Capex budget 2010 Supply WE 2" xfId="9409" xr:uid="{00000000-0005-0000-0000-0000B8240000}"/>
    <cellStyle name="_Column5_Tabelle1_Absatz Ist je Artikel &amp; Woche V1" xfId="9410" xr:uid="{00000000-0005-0000-0000-0000B9240000}"/>
    <cellStyle name="_Column5_Tabelle1_Rüstzeit" xfId="9411" xr:uid="{00000000-0005-0000-0000-0000BA240000}"/>
    <cellStyle name="_Column5_Tabelle1_Sheet1" xfId="9412" xr:uid="{00000000-0005-0000-0000-0000BB240000}"/>
    <cellStyle name="_Column5_Tabelle1_Sm Proj Cash Flow" xfId="9413" xr:uid="{00000000-0005-0000-0000-0000BC240000}"/>
    <cellStyle name="_Column5_Tabelle1_Spend Detail" xfId="9414" xr:uid="{00000000-0005-0000-0000-0000BD240000}"/>
    <cellStyle name="_Column5_Tabelle1_SustainingProjectList" xfId="9415" xr:uid="{00000000-0005-0000-0000-0000BE240000}"/>
    <cellStyle name="_Column5_Tabelle1_Volumen 05&amp;06&amp;07" xfId="9416" xr:uid="{00000000-0005-0000-0000-0000BF240000}"/>
    <cellStyle name="_Column5_Tabelle11" xfId="9417" xr:uid="{00000000-0005-0000-0000-0000C0240000}"/>
    <cellStyle name="_Column5_Tabelle2" xfId="9418" xr:uid="{00000000-0005-0000-0000-0000C1240000}"/>
    <cellStyle name="_Column5_Tabelle3" xfId="9419" xr:uid="{00000000-0005-0000-0000-0000C2240000}"/>
    <cellStyle name="_Column5_Tax IT0192 0609" xfId="9420" xr:uid="{00000000-0005-0000-0000-0000C3240000}"/>
    <cellStyle name="_Column5_Template Capex budget 2010 Supply WE" xfId="9421" xr:uid="{00000000-0005-0000-0000-0000C4240000}"/>
    <cellStyle name="_Column5_Template for processing cognos corrections  (2)" xfId="9422" xr:uid="{00000000-0005-0000-0000-0000C5240000}"/>
    <cellStyle name="_Column5_TP BE_Ad-hoc" xfId="9423" xr:uid="{00000000-0005-0000-0000-0000C6240000}"/>
    <cellStyle name="_Column5_TP database" xfId="9424" xr:uid="{00000000-0005-0000-0000-0000C7240000}"/>
    <cellStyle name="_Column5_TP database vers 26.3.07" xfId="9425" xr:uid="{00000000-0005-0000-0000-0000C8240000}"/>
    <cellStyle name="_Column5_TP_IC_2013" xfId="9426" xr:uid="{00000000-0005-0000-0000-0000C9240000}"/>
    <cellStyle name="_Column5_TP_Stella" xfId="9427" xr:uid="{00000000-0005-0000-0000-0000CA240000}"/>
    <cellStyle name="_Column5_TPneu" xfId="9428" xr:uid="{00000000-0005-0000-0000-0000CB240000}"/>
    <cellStyle name="_Column5_TS_dimension split Italy 1206" xfId="9429" xr:uid="{00000000-0005-0000-0000-0000CC240000}"/>
    <cellStyle name="_Column5_VE" xfId="9430" xr:uid="{00000000-0005-0000-0000-0000CD240000}"/>
    <cellStyle name="_Column5_VE 2" xfId="9431" xr:uid="{00000000-0005-0000-0000-0000CE240000}"/>
    <cellStyle name="_Column5_VE 2 2" xfId="9432" xr:uid="{00000000-0005-0000-0000-0000CF240000}"/>
    <cellStyle name="_Column5_VE 3" xfId="9433" xr:uid="{00000000-0005-0000-0000-0000D0240000}"/>
    <cellStyle name="_Column5_VIC Personalkosten Filling Bremen" xfId="9434" xr:uid="{00000000-0005-0000-0000-0000D1240000}"/>
    <cellStyle name="_Column5_VIC+VPLC On" xfId="9435" xr:uid="{00000000-0005-0000-0000-0000D2240000}"/>
    <cellStyle name="_Column5_Vol Innovations 1st sub" xfId="9436" xr:uid="{00000000-0005-0000-0000-0000D3240000}"/>
    <cellStyle name="_Column5_Vol mkt" xfId="9437" xr:uid="{00000000-0005-0000-0000-0000D4240000}"/>
    <cellStyle name="_Column5_Vol x SKU e x package" xfId="9438" xr:uid="{00000000-0005-0000-0000-0000D5240000}"/>
    <cellStyle name="_Column5_Vol_Innovations 1st Sub." xfId="9439" xr:uid="{00000000-0005-0000-0000-0000D6240000}"/>
    <cellStyle name="_Column5_Volumen 05&amp;06&amp;07" xfId="9440" xr:uid="{00000000-0005-0000-0000-0000D7240000}"/>
    <cellStyle name="_Column5_Volumes" xfId="9441" xr:uid="{00000000-0005-0000-0000-0000D8240000}"/>
    <cellStyle name="_Column5_Volumes Bremen" xfId="9442" xr:uid="{00000000-0005-0000-0000-0000D9240000}"/>
    <cellStyle name="_Column5_Volumes Bremen_packaging" xfId="9443" xr:uid="{00000000-0005-0000-0000-0000DA240000}"/>
    <cellStyle name="_Column5_Volumes March'06" xfId="9444" xr:uid="{00000000-0005-0000-0000-0000DB240000}"/>
    <cellStyle name="_Column5_Volumes_packaging" xfId="9445" xr:uid="{00000000-0005-0000-0000-0000DC240000}"/>
    <cellStyle name="_Column5_Volumi" xfId="9446" xr:uid="{00000000-0005-0000-0000-0000DD240000}"/>
    <cellStyle name="_Column5_Volumi aprile" xfId="9447" xr:uid="{00000000-0005-0000-0000-0000DE240000}"/>
    <cellStyle name="_Column5_Volumi Aug estr da Alea" xfId="9448" xr:uid="{00000000-0005-0000-0000-0000DF240000}"/>
    <cellStyle name="_Column5_Volumi August estr da Alea" xfId="9449" xr:uid="{00000000-0005-0000-0000-0000E0240000}"/>
    <cellStyle name="_Column5_Volumi BU'07" xfId="9450" xr:uid="{00000000-0005-0000-0000-0000E1240000}"/>
    <cellStyle name="_Column5_Volumi Budget'07 Alea" xfId="9451" xr:uid="{00000000-0005-0000-0000-0000E2240000}"/>
    <cellStyle name="_Column5_Volumi estr 30.6.06" xfId="9452" xr:uid="{00000000-0005-0000-0000-0000E3240000}"/>
    <cellStyle name="_Column5_Volumi July estr da Alea" xfId="9453" xr:uid="{00000000-0005-0000-0000-0000E4240000}"/>
    <cellStyle name="_Column5_Volumi July estr da Alea_1" xfId="9454" xr:uid="{00000000-0005-0000-0000-0000E5240000}"/>
    <cellStyle name="_Column5_Volumi Marzo (2)" xfId="9455" xr:uid="{00000000-0005-0000-0000-0000E6240000}"/>
    <cellStyle name="_Column5_Volumi May estr da Alea" xfId="9456" xr:uid="{00000000-0005-0000-0000-0000E7240000}"/>
    <cellStyle name="_Column5_Volumi October estr da Alea" xfId="9457" xr:uid="{00000000-0005-0000-0000-0000E8240000}"/>
    <cellStyle name="_Column5_Volumi September estr da Alea" xfId="9458" xr:uid="{00000000-0005-0000-0000-0000E9240000}"/>
    <cellStyle name="_Column5_VP Supply Approval" xfId="9459" xr:uid="{00000000-0005-0000-0000-0000EA240000}"/>
    <cellStyle name="_Column5_VP Supply Approval_RFFS SUBMISSION TO VPs" xfId="9460" xr:uid="{00000000-0005-0000-0000-0000EB240000}"/>
    <cellStyle name="_Column5_VP Supply Approval_RFFS_SUBMISSION_TO_VPs _v2" xfId="9461" xr:uid="{00000000-0005-0000-0000-0000EC240000}"/>
    <cellStyle name="_Column5_VPLC" xfId="9462" xr:uid="{00000000-0005-0000-0000-0000ED240000}"/>
    <cellStyle name="_Column5_waterfall-rol" xfId="9463" xr:uid="{00000000-0005-0000-0000-0000EE240000}"/>
    <cellStyle name="_Column5_waterfall-rol 2" xfId="9464" xr:uid="{00000000-0005-0000-0000-0000EF240000}"/>
    <cellStyle name="_Column5_waterfall-rol 2 2" xfId="9465" xr:uid="{00000000-0005-0000-0000-0000F0240000}"/>
    <cellStyle name="_Column5_waterfall-rol 3" xfId="9466" xr:uid="{00000000-0005-0000-0000-0000F1240000}"/>
    <cellStyle name="_Column5_WE_BusinessUpdate Jan 2007" xfId="9467" xr:uid="{00000000-0005-0000-0000-0000F2240000}"/>
    <cellStyle name="_Column5_WE_BusinessUpdate2007_support" xfId="9468" xr:uid="{00000000-0005-0000-0000-0000F3240000}"/>
    <cellStyle name="_Column5_YTD Off-Trade giugno" xfId="9469" xr:uid="{00000000-0005-0000-0000-0000F4240000}"/>
    <cellStyle name="_Column5_YTD Off-Trade maggio" xfId="9470" xr:uid="{00000000-0005-0000-0000-0000F5240000}"/>
    <cellStyle name="_Column5_ZBB" xfId="9471" xr:uid="{00000000-0005-0000-0000-0000F6240000}"/>
    <cellStyle name="_Column5_ZBB 2" xfId="9472" xr:uid="{00000000-0005-0000-0000-0000F7240000}"/>
    <cellStyle name="_Column5_ZBB 2 2" xfId="9473" xr:uid="{00000000-0005-0000-0000-0000F8240000}"/>
    <cellStyle name="_Column5_ZBB 2007 estr Alea" xfId="9474" xr:uid="{00000000-0005-0000-0000-0000F9240000}"/>
    <cellStyle name="_Column5_ZBB 3" xfId="9475" xr:uid="{00000000-0005-0000-0000-0000FA240000}"/>
    <cellStyle name="_Column5_ZBB cost analysis B08 fin1" xfId="9476" xr:uid="{00000000-0005-0000-0000-0000FB240000}"/>
    <cellStyle name="_Column5_ZBB Germania" xfId="9477" xr:uid="{00000000-0005-0000-0000-0000FC240000}"/>
    <cellStyle name="_Column5_ZBB Risk and oportunities SD Julyok" xfId="9478" xr:uid="{00000000-0005-0000-0000-0000FD240000}"/>
    <cellStyle name="_Column5_ZBB x pack" xfId="9479" xr:uid="{00000000-0005-0000-0000-0000FE240000}"/>
    <cellStyle name="_Column5_ZBB x pack - dett Mkting" xfId="9480" xr:uid="{00000000-0005-0000-0000-0000FF240000}"/>
    <cellStyle name="_Column5_ZBB x pack - dett Sales" xfId="9481" xr:uid="{00000000-0005-0000-0000-000000250000}"/>
    <cellStyle name="_Column5_ZBB x pack Germania" xfId="9482" xr:uid="{00000000-0005-0000-0000-000001250000}"/>
    <cellStyle name="_Column5_ZBB_LE2+B08_V1" xfId="9483" xr:uid="{00000000-0005-0000-0000-000002250000}"/>
    <cellStyle name="_Column5_Zusammenfassung Wert" xfId="9484" xr:uid="{00000000-0005-0000-0000-000003250000}"/>
    <cellStyle name="_Column6" xfId="9485" xr:uid="{00000000-0005-0000-0000-000004250000}"/>
    <cellStyle name="_Column6 2" xfId="9486" xr:uid="{00000000-0005-0000-0000-000005250000}"/>
    <cellStyle name="_Column6 2 2" xfId="9487" xr:uid="{00000000-0005-0000-0000-000006250000}"/>
    <cellStyle name="_Column6 2 2 2" xfId="9488" xr:uid="{00000000-0005-0000-0000-000007250000}"/>
    <cellStyle name="_Column6 2 3" xfId="9489" xr:uid="{00000000-0005-0000-0000-000008250000}"/>
    <cellStyle name="_Column6 3" xfId="9490" xr:uid="{00000000-0005-0000-0000-000009250000}"/>
    <cellStyle name="_Column6 3 2" xfId="9491" xr:uid="{00000000-0005-0000-0000-00000A250000}"/>
    <cellStyle name="_Column6 4" xfId="9492" xr:uid="{00000000-0005-0000-0000-00000B250000}"/>
    <cellStyle name="_Column6_010808 Market Programs  for Budget Deck" xfId="9493" xr:uid="{00000000-0005-0000-0000-00000C250000}"/>
    <cellStyle name="_Column6_010808 Market Programs  for Budget Deck 2" xfId="9494" xr:uid="{00000000-0005-0000-0000-00000D250000}"/>
    <cellStyle name="_Column6_010808 Market Programs  for Budget Deck 2 2" xfId="9495" xr:uid="{00000000-0005-0000-0000-00000E250000}"/>
    <cellStyle name="_Column6_010808 Market Programs  for Budget Deck 3" xfId="9496" xr:uid="{00000000-0005-0000-0000-00000F250000}"/>
    <cellStyle name="_Column6_080813 Germany-High&amp;Low" xfId="9497" xr:uid="{00000000-0005-0000-0000-000010250000}"/>
    <cellStyle name="_Column6_080813 Germany-Lidl" xfId="9498" xr:uid="{00000000-0005-0000-0000-000011250000}"/>
    <cellStyle name="_Column6_1_INPUT" xfId="9499" xr:uid="{00000000-0005-0000-0000-000012250000}"/>
    <cellStyle name="_Column6_1_INPUT_TP_No Tank Resales" xfId="9500" xr:uid="{00000000-0005-0000-0000-000013250000}"/>
    <cellStyle name="_Column6_2pk SP 2008" xfId="9501" xr:uid="{00000000-0005-0000-0000-000014250000}"/>
    <cellStyle name="_Column6_AB" xfId="9502" xr:uid="{00000000-0005-0000-0000-000015250000}"/>
    <cellStyle name="_Column6_Abfüllmenge &amp; Anstellwürze Bremen Budget 2006 V1.1" xfId="9503" xr:uid="{00000000-0005-0000-0000-000016250000}"/>
    <cellStyle name="_Column6_Abfüllmenge &amp; Anstellwürze Issum Budget 2006 V1.1" xfId="9504" xr:uid="{00000000-0005-0000-0000-000017250000}"/>
    <cellStyle name="_Column6_Absatz Ist je Artikel &amp; Woche V1" xfId="9505" xr:uid="{00000000-0005-0000-0000-000018250000}"/>
    <cellStyle name="_Column6_Absatz SP2007 pro SKU 30 5 2007 vs 4 6 2007 " xfId="9506" xr:uid="{00000000-0005-0000-0000-000019250000}"/>
    <cellStyle name="_Column6_Abstimmung IDVG Absätze für LE2 2004" xfId="9507" xr:uid="{00000000-0005-0000-0000-00001A250000}"/>
    <cellStyle name="_Column6_Abstimmung IDVG Absätze für LE2 2004 2" xfId="9508" xr:uid="{00000000-0005-0000-0000-00001B250000}"/>
    <cellStyle name="_Column6_Abstimmung IDVG Absätze für LE2 2004 2 2" xfId="9509" xr:uid="{00000000-0005-0000-0000-00001C250000}"/>
    <cellStyle name="_Column6_Abstimmung IDVG Absätze für LE2 2004_Basis" xfId="9510" xr:uid="{00000000-0005-0000-0000-00001D250000}"/>
    <cellStyle name="_Column6_Abstimmung IDVG Absätze für LE2 2004_Basis 2" xfId="9511" xr:uid="{00000000-0005-0000-0000-00001E250000}"/>
    <cellStyle name="_Column6_Abstimmung IDVG Absätze für LE2 2004_Basis 2 2" xfId="9512" xr:uid="{00000000-0005-0000-0000-00001F250000}"/>
    <cellStyle name="_Column6_Abstimmung IDVG Absätze für LE2 2004_Basis_Sheet1" xfId="9513" xr:uid="{00000000-0005-0000-0000-000020250000}"/>
    <cellStyle name="_Column6_Abstimmung IDVG Absätze für LE2 2004_Basis_Sheet5" xfId="9514" xr:uid="{00000000-0005-0000-0000-000021250000}"/>
    <cellStyle name="_Column6_Abstimmung IDVG Absätze für LE2 2004_Basis_Sm Proj Cash Flow" xfId="9515" xr:uid="{00000000-0005-0000-0000-000022250000}"/>
    <cellStyle name="_Column6_Abstimmung IDVG Absätze für LE2 2004_Basis_Spend Detail" xfId="9516" xr:uid="{00000000-0005-0000-0000-000023250000}"/>
    <cellStyle name="_Column6_Abstimmung IDVG Absätze für LE2 2004_Basis_SustainingProjectList" xfId="9517" xr:uid="{00000000-0005-0000-0000-000024250000}"/>
    <cellStyle name="_Column6_Abstimmung IDVG Absätze für LE2 2004_Sheet1" xfId="9518" xr:uid="{00000000-0005-0000-0000-000025250000}"/>
    <cellStyle name="_Column6_Abstimmung IDVG Absätze für LE2 2004_Sheet5" xfId="9519" xr:uid="{00000000-0005-0000-0000-000026250000}"/>
    <cellStyle name="_Column6_Abstimmung IDVG Absätze für LE2 2004_SKU Volumen" xfId="9520" xr:uid="{00000000-0005-0000-0000-000027250000}"/>
    <cellStyle name="_Column6_Abstimmung IDVG Absätze für LE2 2004_SKU Volumen 2" xfId="9521" xr:uid="{00000000-0005-0000-0000-000028250000}"/>
    <cellStyle name="_Column6_Abstimmung IDVG Absätze für LE2 2004_SKU Volumen_Sheet1" xfId="9522" xr:uid="{00000000-0005-0000-0000-000029250000}"/>
    <cellStyle name="_Column6_Abstimmung IDVG Absätze für LE2 2004_SKU Volumen_Sm Proj Cash Flow" xfId="9523" xr:uid="{00000000-0005-0000-0000-00002A250000}"/>
    <cellStyle name="_Column6_Abstimmung IDVG Absätze für LE2 2004_SKU Volumen_Spend Detail" xfId="9524" xr:uid="{00000000-0005-0000-0000-00002B250000}"/>
    <cellStyle name="_Column6_Abstimmung IDVG Absätze für LE2 2004_SKU Volumen_SustainingProjectList" xfId="9525" xr:uid="{00000000-0005-0000-0000-00002C250000}"/>
    <cellStyle name="_Column6_Abstimmung IDVG Absätze für LE2 2004_Sm Proj Cash Flow" xfId="9526" xr:uid="{00000000-0005-0000-0000-00002D250000}"/>
    <cellStyle name="_Column6_Abstimmung IDVG Absätze für LE2 2004_Spend Detail" xfId="9527" xr:uid="{00000000-0005-0000-0000-00002E250000}"/>
    <cellStyle name="_Column6_Abstimmung IDVG Absätze für LE2 2004_SustainingProjectList" xfId="9528" xr:uid="{00000000-0005-0000-0000-00002F250000}"/>
    <cellStyle name="_Column6_Abstimmung IDVG Absätze für LE2 2004_Tabelle1" xfId="9529" xr:uid="{00000000-0005-0000-0000-000030250000}"/>
    <cellStyle name="_Column6_Abstimmung IDVG Absätze für LE2 2004_Tabelle1 2" xfId="9530" xr:uid="{00000000-0005-0000-0000-000031250000}"/>
    <cellStyle name="_Column6_Abstimmung IDVG Absätze für LE2 2004_Tabelle1_Sheet1" xfId="9531" xr:uid="{00000000-0005-0000-0000-000032250000}"/>
    <cellStyle name="_Column6_Abstimmung IDVG Absätze für LE2 2004_Tabelle1_Sm Proj Cash Flow" xfId="9532" xr:uid="{00000000-0005-0000-0000-000033250000}"/>
    <cellStyle name="_Column6_Abstimmung IDVG Absätze für LE2 2004_Tabelle1_Spend Detail" xfId="9533" xr:uid="{00000000-0005-0000-0000-000034250000}"/>
    <cellStyle name="_Column6_Abstimmung IDVG Absätze für LE2 2004_Tabelle1_SustainingProjectList" xfId="9534" xr:uid="{00000000-0005-0000-0000-000035250000}"/>
    <cellStyle name="_Column6_Acc.to fuori fattura Off-trade Feb 2007 " xfId="9535" xr:uid="{00000000-0005-0000-0000-000036250000}"/>
    <cellStyle name="_Column6_Accident frequency" xfId="9536" xr:uid="{00000000-0005-0000-0000-000037250000}"/>
    <cellStyle name="_Column6_Ad hoc PL 3YP HRK za COGNOS unos JULY20" xfId="9537" xr:uid="{00000000-0005-0000-0000-000038250000}"/>
    <cellStyle name="_Column6_Additional Templates" xfId="9538" xr:uid="{00000000-0005-0000-0000-000039250000}"/>
    <cellStyle name="_Column6_Additional Templates (2)" xfId="9539" xr:uid="{00000000-0005-0000-0000-00003A250000}"/>
    <cellStyle name="_Column6_Additional Templates (3)" xfId="9540" xr:uid="{00000000-0005-0000-0000-00003B250000}"/>
    <cellStyle name="_Column6_Additional Templates (4)" xfId="9541" xr:uid="{00000000-0005-0000-0000-00003C250000}"/>
    <cellStyle name="_Column6_Additional Templates (5)" xfId="9542" xr:uid="{00000000-0005-0000-0000-00003D250000}"/>
    <cellStyle name="_Column6_aggiornato LE2 OFF TRADE 25_08 FL" xfId="9543" xr:uid="{00000000-0005-0000-0000-00003E250000}"/>
    <cellStyle name="_Column6_AL 05,12,06 VS LE2" xfId="9544" xr:uid="{00000000-0005-0000-0000-00003F250000}"/>
    <cellStyle name="_Column6_ALEA" xfId="9545" xr:uid="{00000000-0005-0000-0000-000040250000}"/>
    <cellStyle name="_Column6_ALEA OFF LE2" xfId="9546" xr:uid="{00000000-0005-0000-0000-000041250000}"/>
    <cellStyle name="_Column6_Alea x mkt pack" xfId="9547" xr:uid="{00000000-0005-0000-0000-000042250000}"/>
    <cellStyle name="_Column6_Alea x sales pack" xfId="9548" xr:uid="{00000000-0005-0000-0000-000043250000}"/>
    <cellStyle name="_Column6_All" xfId="9549" xr:uid="{00000000-0005-0000-0000-000044250000}"/>
    <cellStyle name="_Column6_Analisi costo venduto" xfId="9550" xr:uid="{00000000-0005-0000-0000-000045250000}"/>
    <cellStyle name="_Column6_Analisi LE2'06 e bdg'07" xfId="9551" xr:uid="{00000000-0005-0000-0000-000046250000}"/>
    <cellStyle name="_Column6_Analisi vol ott" xfId="9552" xr:uid="{00000000-0005-0000-0000-000047250000}"/>
    <cellStyle name="_Column6_Asset Needs" xfId="9553" xr:uid="{00000000-0005-0000-0000-000048250000}"/>
    <cellStyle name="_Column6_BACK UP FIGURES for PRESENTATION LE1" xfId="9554" xr:uid="{00000000-0005-0000-0000-000049250000}"/>
    <cellStyle name="_Column6_Basis" xfId="9555" xr:uid="{00000000-0005-0000-0000-00004A250000}"/>
    <cellStyle name="_Column6_Basis_1" xfId="9556" xr:uid="{00000000-0005-0000-0000-00004B250000}"/>
    <cellStyle name="_Column6_Basis_1 2" xfId="9557" xr:uid="{00000000-0005-0000-0000-00004C250000}"/>
    <cellStyle name="_Column6_Basis_1 2 2" xfId="9558" xr:uid="{00000000-0005-0000-0000-00004D250000}"/>
    <cellStyle name="_Column6_Basis_1_Sheet1" xfId="9559" xr:uid="{00000000-0005-0000-0000-00004E250000}"/>
    <cellStyle name="_Column6_Basis_1_Sheet5" xfId="9560" xr:uid="{00000000-0005-0000-0000-00004F250000}"/>
    <cellStyle name="_Column6_Basis_1_Sm Proj Cash Flow" xfId="9561" xr:uid="{00000000-0005-0000-0000-000050250000}"/>
    <cellStyle name="_Column6_Basis_1_Spend Detail" xfId="9562" xr:uid="{00000000-0005-0000-0000-000051250000}"/>
    <cellStyle name="_Column6_Basis_1_SustainingProjectList" xfId="9563" xr:uid="{00000000-0005-0000-0000-000052250000}"/>
    <cellStyle name="_Column6_BB" xfId="9564" xr:uid="{00000000-0005-0000-0000-000053250000}"/>
    <cellStyle name="_Column6_BE_FG" xfId="9565" xr:uid="{00000000-0005-0000-0000-000054250000}"/>
    <cellStyle name="_Column6_Beval REPORT novembre'06" xfId="9566" xr:uid="{00000000-0005-0000-0000-000055250000}"/>
    <cellStyle name="_Column6_BGT 08 Templates Sales  Marketing - final (revised)" xfId="9567" xr:uid="{00000000-0005-0000-0000-000056250000}"/>
    <cellStyle name="_Column6_BGT 08 Templates Sales  Marketing - final (revised) 2" xfId="9568" xr:uid="{00000000-0005-0000-0000-000057250000}"/>
    <cellStyle name="_Column6_BGT 08 Templates Sales  Marketing - final (revised) 2 2" xfId="9569" xr:uid="{00000000-0005-0000-0000-000058250000}"/>
    <cellStyle name="_Column6_BGT 08 Templates Sales  Marketing - final (revised) 3" xfId="9570" xr:uid="{00000000-0005-0000-0000-000059250000}"/>
    <cellStyle name="_Column6_BGT 08 Templates Sales  Marketing - final (revised) 3 2" xfId="9571" xr:uid="{00000000-0005-0000-0000-00005A250000}"/>
    <cellStyle name="_Column6_BGT 08 Templates Sales  Marketing - final (revised) 3 3" xfId="9572" xr:uid="{00000000-0005-0000-0000-00005B250000}"/>
    <cellStyle name="_Column6_BGT 08 Templates Sales  Marketing - final (revised) 3 3 2" xfId="9573" xr:uid="{00000000-0005-0000-0000-00005C250000}"/>
    <cellStyle name="_Column6_BGT 08 Templates Sales  Marketing - final (revised) 4" xfId="9574" xr:uid="{00000000-0005-0000-0000-00005D250000}"/>
    <cellStyle name="_Column6_BGT 08 Templates Sales  Marketing - final (revised) 4 2" xfId="9575" xr:uid="{00000000-0005-0000-0000-00005E250000}"/>
    <cellStyle name="_Column6_BGT 08 Templates Sales  Marketing - final (revised)_Sheet1" xfId="9576" xr:uid="{00000000-0005-0000-0000-00005F250000}"/>
    <cellStyle name="_Column6_BGT 08 Templates Sales  Marketing - final (revised)_Sm Proj Cash Flow" xfId="9577" xr:uid="{00000000-0005-0000-0000-000060250000}"/>
    <cellStyle name="_Column6_BGT 08 Templates Sales  Marketing - final (revised)_Spend Detail" xfId="9578" xr:uid="{00000000-0005-0000-0000-000061250000}"/>
    <cellStyle name="_Column6_BGT 08 Templates Sales  Marketing - final (revised)_SustainingProjectList" xfId="9579" xr:uid="{00000000-0005-0000-0000-000062250000}"/>
    <cellStyle name="_Column6_BR" xfId="9580" xr:uid="{00000000-0005-0000-0000-000063250000}"/>
    <cellStyle name="_Column6_BR 2" xfId="9581" xr:uid="{00000000-0005-0000-0000-000064250000}"/>
    <cellStyle name="_Column6_BR 2 2" xfId="9582" xr:uid="{00000000-0005-0000-0000-000065250000}"/>
    <cellStyle name="_Column6_BR 3" xfId="9583" xr:uid="{00000000-0005-0000-0000-000066250000}"/>
    <cellStyle name="_Column6_Brew Ops Capacity balzer Modufi" xfId="9584" xr:uid="{00000000-0005-0000-0000-000067250000}"/>
    <cellStyle name="_Column6_BS ABF" xfId="9585" xr:uid="{00000000-0005-0000-0000-000068250000}"/>
    <cellStyle name="_Column6_BS ABF 2" xfId="9586" xr:uid="{00000000-0005-0000-0000-000069250000}"/>
    <cellStyle name="_Column6_BS ABF 2 2" xfId="9587" xr:uid="{00000000-0005-0000-0000-00006A250000}"/>
    <cellStyle name="_Column6_BS ABF_Basis" xfId="9588" xr:uid="{00000000-0005-0000-0000-00006B250000}"/>
    <cellStyle name="_Column6_BS ABF_Basis 2" xfId="9589" xr:uid="{00000000-0005-0000-0000-00006C250000}"/>
    <cellStyle name="_Column6_BS ABF_Basis 2 2" xfId="9590" xr:uid="{00000000-0005-0000-0000-00006D250000}"/>
    <cellStyle name="_Column6_BS ABF_Basis_Sheet1" xfId="9591" xr:uid="{00000000-0005-0000-0000-00006E250000}"/>
    <cellStyle name="_Column6_BS ABF_Basis_Sheet5" xfId="9592" xr:uid="{00000000-0005-0000-0000-00006F250000}"/>
    <cellStyle name="_Column6_BS ABF_Basis_Sm Proj Cash Flow" xfId="9593" xr:uid="{00000000-0005-0000-0000-000070250000}"/>
    <cellStyle name="_Column6_BS ABF_Basis_Spend Detail" xfId="9594" xr:uid="{00000000-0005-0000-0000-000071250000}"/>
    <cellStyle name="_Column6_BS ABF_Basis_SustainingProjectList" xfId="9595" xr:uid="{00000000-0005-0000-0000-000072250000}"/>
    <cellStyle name="_Column6_BS ABF_Sheet1" xfId="9596" xr:uid="{00000000-0005-0000-0000-000073250000}"/>
    <cellStyle name="_Column6_BS ABF_Sheet5" xfId="9597" xr:uid="{00000000-0005-0000-0000-000074250000}"/>
    <cellStyle name="_Column6_BS ABF_SKU Volumen" xfId="9598" xr:uid="{00000000-0005-0000-0000-000075250000}"/>
    <cellStyle name="_Column6_BS ABF_SKU Volumen 2" xfId="9599" xr:uid="{00000000-0005-0000-0000-000076250000}"/>
    <cellStyle name="_Column6_BS ABF_SKU Volumen_Sheet1" xfId="9600" xr:uid="{00000000-0005-0000-0000-000077250000}"/>
    <cellStyle name="_Column6_BS ABF_SKU Volumen_Sm Proj Cash Flow" xfId="9601" xr:uid="{00000000-0005-0000-0000-000078250000}"/>
    <cellStyle name="_Column6_BS ABF_SKU Volumen_Spend Detail" xfId="9602" xr:uid="{00000000-0005-0000-0000-000079250000}"/>
    <cellStyle name="_Column6_BS ABF_SKU Volumen_SustainingProjectList" xfId="9603" xr:uid="{00000000-0005-0000-0000-00007A250000}"/>
    <cellStyle name="_Column6_BS ABF_Sm Proj Cash Flow" xfId="9604" xr:uid="{00000000-0005-0000-0000-00007B250000}"/>
    <cellStyle name="_Column6_BS ABF_Spend Detail" xfId="9605" xr:uid="{00000000-0005-0000-0000-00007C250000}"/>
    <cellStyle name="_Column6_BS ABF_SustainingProjectList" xfId="9606" xr:uid="{00000000-0005-0000-0000-00007D250000}"/>
    <cellStyle name="_Column6_BS ABF_Tabelle1" xfId="9607" xr:uid="{00000000-0005-0000-0000-00007E250000}"/>
    <cellStyle name="_Column6_BS ABF_Tabelle1 2" xfId="9608" xr:uid="{00000000-0005-0000-0000-00007F250000}"/>
    <cellStyle name="_Column6_BS ABF_Tabelle1_Sheet1" xfId="9609" xr:uid="{00000000-0005-0000-0000-000080250000}"/>
    <cellStyle name="_Column6_BS ABF_Tabelle1_Sm Proj Cash Flow" xfId="9610" xr:uid="{00000000-0005-0000-0000-000081250000}"/>
    <cellStyle name="_Column6_BS ABF_Tabelle1_Spend Detail" xfId="9611" xr:uid="{00000000-0005-0000-0000-000082250000}"/>
    <cellStyle name="_Column6_BS ABF_Tabelle1_SustainingProjectList" xfId="9612" xr:uid="{00000000-0005-0000-0000-000083250000}"/>
    <cellStyle name="_Column6_BU1112 TP database - REGULAR VOLUMES" xfId="9613" xr:uid="{00000000-0005-0000-0000-000084250000}"/>
    <cellStyle name="_Column6_BU1112 TP database - REGULAR VOLUMES NATB" xfId="9614" xr:uid="{00000000-0005-0000-0000-000085250000}"/>
    <cellStyle name="_Column6_Budget 2005" xfId="9615" xr:uid="{00000000-0005-0000-0000-000086250000}"/>
    <cellStyle name="_Column6_Budget monthly" xfId="9616" xr:uid="{00000000-0005-0000-0000-000087250000}"/>
    <cellStyle name="_Column6_Capacity Util. Hannover ORII-Bgt05" xfId="9617" xr:uid="{00000000-0005-0000-0000-000088250000}"/>
    <cellStyle name="_Column6_Capacity Util. Issum ORII-Bgt05" xfId="9618" xr:uid="{00000000-0005-0000-0000-000089250000}"/>
    <cellStyle name="_Column6_CAPEX Analysis WE v3 Thomas" xfId="9619" xr:uid="{00000000-0005-0000-0000-00008A250000}"/>
    <cellStyle name="_Column6_Capex x AnnaC (2)" xfId="9620" xr:uid="{00000000-0005-0000-0000-00008B250000}"/>
    <cellStyle name="_Column6_Capex_view" xfId="9621" xr:uid="{00000000-0005-0000-0000-00008C250000}"/>
    <cellStyle name="_Column6_Cartel1" xfId="9622" xr:uid="{00000000-0005-0000-0000-00008D250000}"/>
    <cellStyle name="_Column6_CC_ZBB_profiled_costsTM" xfId="9623" xr:uid="{00000000-0005-0000-0000-00008E250000}"/>
    <cellStyle name="_Column6_CE da Alea" xfId="9624" xr:uid="{00000000-0005-0000-0000-00008F250000}"/>
    <cellStyle name="_Column6_Challenge" xfId="9625" xr:uid="{00000000-0005-0000-0000-000090250000}"/>
    <cellStyle name="_Column6_Challenge 2" xfId="9626" xr:uid="{00000000-0005-0000-0000-000091250000}"/>
    <cellStyle name="_Column6_Challenge_Sheet1" xfId="9627" xr:uid="{00000000-0005-0000-0000-000092250000}"/>
    <cellStyle name="_Column6_Challenge_Sm Proj Cash Flow" xfId="9628" xr:uid="{00000000-0005-0000-0000-000093250000}"/>
    <cellStyle name="_Column6_Challenge_Spend Detail" xfId="9629" xr:uid="{00000000-0005-0000-0000-000094250000}"/>
    <cellStyle name="_Column6_Challenge_SustainingProjectList" xfId="9630" xr:uid="{00000000-0005-0000-0000-000095250000}"/>
    <cellStyle name="_Column6_check fehlende Transportkosten 082006" xfId="9631" xr:uid="{00000000-0005-0000-0000-000096250000}"/>
    <cellStyle name="_Column6_Chi2 1" xfId="9632" xr:uid="{00000000-0005-0000-0000-000097250000}"/>
    <cellStyle name="_Column6_Chi2 HEX" xfId="9633" xr:uid="{00000000-0005-0000-0000-000098250000}"/>
    <cellStyle name="_Column6_Comm Agreem Distr" xfId="9634" xr:uid="{00000000-0005-0000-0000-000099250000}"/>
    <cellStyle name="_Column6_Comm Agreem On Trade" xfId="9635" xr:uid="{00000000-0005-0000-0000-00009A250000}"/>
    <cellStyle name="_Column6_Copia di MACO BU'07 Total Italy new" xfId="9636" xr:uid="{00000000-0005-0000-0000-00009B250000}"/>
    <cellStyle name="_Column6_Copy of BGT 08 Templates Sales  Marketing - final (revised)" xfId="9637" xr:uid="{00000000-0005-0000-0000-00009C250000}"/>
    <cellStyle name="_Column6_Copy of BGT 08 Templates Sales  Marketing - final (revised) 2" xfId="9638" xr:uid="{00000000-0005-0000-0000-00009D250000}"/>
    <cellStyle name="_Column6_Copy of BGT 08 Templates Sales  Marketing - final (revised) 2 2" xfId="9639" xr:uid="{00000000-0005-0000-0000-00009E250000}"/>
    <cellStyle name="_Column6_Copy of BGT 08 Templates Sales  Marketing - final (revised) 3" xfId="9640" xr:uid="{00000000-0005-0000-0000-00009F250000}"/>
    <cellStyle name="_Column6_Copy of BGT 08 Templates Sales  Marketing - final (revised) 3 2" xfId="9641" xr:uid="{00000000-0005-0000-0000-0000A0250000}"/>
    <cellStyle name="_Column6_Copy of BGT 08 Templates Sales  Marketing - final (revised) 3 3" xfId="9642" xr:uid="{00000000-0005-0000-0000-0000A1250000}"/>
    <cellStyle name="_Column6_Copy of BGT 08 Templates Sales  Marketing - final (revised) 3 3 2" xfId="9643" xr:uid="{00000000-0005-0000-0000-0000A2250000}"/>
    <cellStyle name="_Column6_Copy of BGT 08 Templates Sales  Marketing - final (revised) 4" xfId="9644" xr:uid="{00000000-0005-0000-0000-0000A3250000}"/>
    <cellStyle name="_Column6_Copy of BGT 08 Templates Sales  Marketing - final (revised) 4 2" xfId="9645" xr:uid="{00000000-0005-0000-0000-0000A4250000}"/>
    <cellStyle name="_Column6_Copy of BGT 08 Templates Sales  Marketing - final (revised)_Sheet1" xfId="9646" xr:uid="{00000000-0005-0000-0000-0000A5250000}"/>
    <cellStyle name="_Column6_Copy of BGT 08 Templates Sales  Marketing - final (revised)_Sm Proj Cash Flow" xfId="9647" xr:uid="{00000000-0005-0000-0000-0000A6250000}"/>
    <cellStyle name="_Column6_Copy of BGT 08 Templates Sales  Marketing - final (revised)_Spend Detail" xfId="9648" xr:uid="{00000000-0005-0000-0000-0000A7250000}"/>
    <cellStyle name="_Column6_Copy of BGT 08 Templates Sales  Marketing - final (revised)_SustainingProjectList" xfId="9649" xr:uid="{00000000-0005-0000-0000-0000A8250000}"/>
    <cellStyle name="_Column6_Copy of ZBB cost analysis B08 _fintm04092007v2 04.09.07" xfId="9650" xr:uid="{00000000-0005-0000-0000-0000A9250000}"/>
    <cellStyle name="_Column6_Copy of ZBB costs P&amp;L od Slavice 04.09.2007" xfId="9651" xr:uid="{00000000-0005-0000-0000-0000AA250000}"/>
    <cellStyle name="_Column6_Costo vend new sku" xfId="9652" xr:uid="{00000000-0005-0000-0000-0000AB250000}"/>
    <cellStyle name="_Column6_Cro_Template 3YP 08-10 - Update (2)" xfId="9653" xr:uid="{00000000-0005-0000-0000-0000AC250000}"/>
    <cellStyle name="_Column6_Daten" xfId="9654" xr:uid="{00000000-0005-0000-0000-0000AD250000}"/>
    <cellStyle name="_Column6_Daten_1" xfId="9655" xr:uid="{00000000-0005-0000-0000-0000AE250000}"/>
    <cellStyle name="_Column6_Daten_1_RFFS SUBMISSION TO VPs" xfId="9656" xr:uid="{00000000-0005-0000-0000-0000AF250000}"/>
    <cellStyle name="_Column6_Daten_1_RFFS_SUBMISSION_TO_VPs _v2" xfId="9657" xr:uid="{00000000-0005-0000-0000-0000B0250000}"/>
    <cellStyle name="_Column6_DBSET" xfId="9658" xr:uid="{00000000-0005-0000-0000-0000B1250000}"/>
    <cellStyle name="_Column6_DEP" xfId="9659" xr:uid="{00000000-0005-0000-0000-0000B2250000}"/>
    <cellStyle name="_Column6_details" xfId="9660" xr:uid="{00000000-0005-0000-0000-0000B3250000}"/>
    <cellStyle name="_Column6_Dir Trade Mktg Mat - on trade" xfId="9661" xr:uid="{00000000-0005-0000-0000-0000B4250000}"/>
    <cellStyle name="_Column6_Dir.Trade Mktg Mat." xfId="9662" xr:uid="{00000000-0005-0000-0000-0000B5250000}"/>
    <cellStyle name="_Column6_Discounts Off" xfId="9663" xr:uid="{00000000-0005-0000-0000-0000B6250000}"/>
    <cellStyle name="_Column6_Distributer Support" xfId="9664" xr:uid="{00000000-0005-0000-0000-0000B7250000}"/>
    <cellStyle name="_Column6_EC" xfId="9665" xr:uid="{00000000-0005-0000-0000-0000B8250000}"/>
    <cellStyle name="_Column6_EC 2" xfId="9666" xr:uid="{00000000-0005-0000-0000-0000B9250000}"/>
    <cellStyle name="_Column6_EC 2 2" xfId="9667" xr:uid="{00000000-0005-0000-0000-0000BA250000}"/>
    <cellStyle name="_Column6_EC 3" xfId="9668" xr:uid="{00000000-0005-0000-0000-0000BB250000}"/>
    <cellStyle name="_Column6_ERP" xfId="9669" xr:uid="{00000000-0005-0000-0000-0000BC250000}"/>
    <cellStyle name="_Column6_ERP_RFFS SUBMISSION TO VPs" xfId="9670" xr:uid="{00000000-0005-0000-0000-0000BD250000}"/>
    <cellStyle name="_Column6_ERP_RFFS_SUBMISSION_TO_VPs _v2" xfId="9671" xr:uid="{00000000-0005-0000-0000-0000BE250000}"/>
    <cellStyle name="_Column6_Excel sheets to support Market Program Template for Budget 09" xfId="9672" xr:uid="{00000000-0005-0000-0000-0000BF250000}"/>
    <cellStyle name="_Column6_Excel sheets to support Market Program Template for Budget 09 (5) (2)" xfId="9673" xr:uid="{00000000-0005-0000-0000-0000C0250000}"/>
    <cellStyle name="_Column6_Excel sheets to support Market Program Template for Budget 09 (5) (2) 2" xfId="9674" xr:uid="{00000000-0005-0000-0000-0000C1250000}"/>
    <cellStyle name="_Column6_Excel sheets to support Market Program Template for Budget 09 (5) (2) 2 2" xfId="9675" xr:uid="{00000000-0005-0000-0000-0000C2250000}"/>
    <cellStyle name="_Column6_Excel sheets to support Market Program Template for Budget 09 (5) (2) 3" xfId="9676" xr:uid="{00000000-0005-0000-0000-0000C3250000}"/>
    <cellStyle name="_Column6_Excel sheets to support Market Program Template for Budget 09 (5) (3)" xfId="9677" xr:uid="{00000000-0005-0000-0000-0000C4250000}"/>
    <cellStyle name="_Column6_Excel sheets to support Market Program Template for Budget 09 (5) (3) 2" xfId="9678" xr:uid="{00000000-0005-0000-0000-0000C5250000}"/>
    <cellStyle name="_Column6_Excel sheets to support Market Program Template for Budget 09 (5) (3) 2 2" xfId="9679" xr:uid="{00000000-0005-0000-0000-0000C6250000}"/>
    <cellStyle name="_Column6_Excel sheets to support Market Program Template for Budget 09 (5) (3) 3" xfId="9680" xr:uid="{00000000-0005-0000-0000-0000C7250000}"/>
    <cellStyle name="_Column6_Excel sheets to support Market Program Template for Budget 09 10" xfId="9681" xr:uid="{00000000-0005-0000-0000-0000C8250000}"/>
    <cellStyle name="_Column6_Excel sheets to support Market Program Template for Budget 09 11" xfId="9682" xr:uid="{00000000-0005-0000-0000-0000C9250000}"/>
    <cellStyle name="_Column6_Excel sheets to support Market Program Template for Budget 09 11 2" xfId="9683" xr:uid="{00000000-0005-0000-0000-0000CA250000}"/>
    <cellStyle name="_Column6_Excel sheets to support Market Program Template for Budget 09 12" xfId="9684" xr:uid="{00000000-0005-0000-0000-0000CB250000}"/>
    <cellStyle name="_Column6_Excel sheets to support Market Program Template for Budget 09 12 2" xfId="9685" xr:uid="{00000000-0005-0000-0000-0000CC250000}"/>
    <cellStyle name="_Column6_Excel sheets to support Market Program Template for Budget 09 13" xfId="9686" xr:uid="{00000000-0005-0000-0000-0000CD250000}"/>
    <cellStyle name="_Column6_Excel sheets to support Market Program Template for Budget 09 13 2" xfId="9687" xr:uid="{00000000-0005-0000-0000-0000CE250000}"/>
    <cellStyle name="_Column6_Excel sheets to support Market Program Template for Budget 09 14" xfId="9688" xr:uid="{00000000-0005-0000-0000-0000CF250000}"/>
    <cellStyle name="_Column6_Excel sheets to support Market Program Template for Budget 09 14 2" xfId="9689" xr:uid="{00000000-0005-0000-0000-0000D0250000}"/>
    <cellStyle name="_Column6_Excel sheets to support Market Program Template for Budget 09 2" xfId="9690" xr:uid="{00000000-0005-0000-0000-0000D1250000}"/>
    <cellStyle name="_Column6_Excel sheets to support Market Program Template for Budget 09 2 2" xfId="9691" xr:uid="{00000000-0005-0000-0000-0000D2250000}"/>
    <cellStyle name="_Column6_Excel sheets to support Market Program Template for Budget 09 3" xfId="9692" xr:uid="{00000000-0005-0000-0000-0000D3250000}"/>
    <cellStyle name="_Column6_Excel sheets to support Market Program Template for Budget 09 3 2" xfId="9693" xr:uid="{00000000-0005-0000-0000-0000D4250000}"/>
    <cellStyle name="_Column6_Excel sheets to support Market Program Template for Budget 09 4" xfId="9694" xr:uid="{00000000-0005-0000-0000-0000D5250000}"/>
    <cellStyle name="_Column6_Excel sheets to support Market Program Template for Budget 09 5" xfId="9695" xr:uid="{00000000-0005-0000-0000-0000D6250000}"/>
    <cellStyle name="_Column6_Excel sheets to support Market Program Template for Budget 09 5 2" xfId="9696" xr:uid="{00000000-0005-0000-0000-0000D7250000}"/>
    <cellStyle name="_Column6_Excel sheets to support Market Program Template for Budget 09 5 3" xfId="9697" xr:uid="{00000000-0005-0000-0000-0000D8250000}"/>
    <cellStyle name="_Column6_Excel sheets to support Market Program Template for Budget 09 5 3 2" xfId="9698" xr:uid="{00000000-0005-0000-0000-0000D9250000}"/>
    <cellStyle name="_Column6_Excel sheets to support Market Program Template for Budget 09 6" xfId="9699" xr:uid="{00000000-0005-0000-0000-0000DA250000}"/>
    <cellStyle name="_Column6_Excel sheets to support Market Program Template for Budget 09 6 2" xfId="9700" xr:uid="{00000000-0005-0000-0000-0000DB250000}"/>
    <cellStyle name="_Column6_Excel sheets to support Market Program Template for Budget 09 6 3" xfId="9701" xr:uid="{00000000-0005-0000-0000-0000DC250000}"/>
    <cellStyle name="_Column6_Excel sheets to support Market Program Template for Budget 09 6 3 2" xfId="9702" xr:uid="{00000000-0005-0000-0000-0000DD250000}"/>
    <cellStyle name="_Column6_Excel sheets to support Market Program Template for Budget 09 7" xfId="9703" xr:uid="{00000000-0005-0000-0000-0000DE250000}"/>
    <cellStyle name="_Column6_Excel sheets to support Market Program Template for Budget 09 8" xfId="9704" xr:uid="{00000000-0005-0000-0000-0000DF250000}"/>
    <cellStyle name="_Column6_Excel sheets to support Market Program Template for Budget 09 9" xfId="9705" xr:uid="{00000000-0005-0000-0000-0000E0250000}"/>
    <cellStyle name="_Column6_Excel sheets to support Market Program Template for Budget 09_Sheet1" xfId="9706" xr:uid="{00000000-0005-0000-0000-0000E1250000}"/>
    <cellStyle name="_Column6_Excel sheets to support Market Program Template for Budget 09_Sm Proj Cash Flow" xfId="9707" xr:uid="{00000000-0005-0000-0000-0000E2250000}"/>
    <cellStyle name="_Column6_Excel sheets to support Market Program Template for Budget 09_Spend Detail" xfId="9708" xr:uid="{00000000-0005-0000-0000-0000E3250000}"/>
    <cellStyle name="_Column6_Excel sheets to support Market Program Template for Budget 09_SustainingProjectList" xfId="9709" xr:uid="{00000000-0005-0000-0000-0000E4250000}"/>
    <cellStyle name="_Column6_FAG_FTE" xfId="9710" xr:uid="{00000000-0005-0000-0000-0000E5250000}"/>
    <cellStyle name="_Column6_Fatture Partner" xfId="9711" xr:uid="{00000000-0005-0000-0000-0000E6250000}"/>
    <cellStyle name="_Column6_FCAccuracy_week_0907" xfId="9712" xr:uid="{00000000-0005-0000-0000-0000E7250000}"/>
    <cellStyle name="_Column6_Feasibility Request_Diebels" xfId="9713" xr:uid="{00000000-0005-0000-0000-0000E8250000}"/>
    <cellStyle name="_Column6_Feasibility Request_Diebels_RFFS SUBMISSION TO VPs" xfId="9714" xr:uid="{00000000-0005-0000-0000-0000E9250000}"/>
    <cellStyle name="_Column6_Feasibility Request_Diebels_RFFS_SUBMISSION_TO_VPs _v2" xfId="9715" xr:uid="{00000000-0005-0000-0000-0000EA250000}"/>
    <cellStyle name="_Column6_Feasibility Request_Dimix" xfId="9716" xr:uid="{00000000-0005-0000-0000-0000EB250000}"/>
    <cellStyle name="_Column6_Feasibility Request_Dimix_RFFS SUBMISSION TO VPs" xfId="9717" xr:uid="{00000000-0005-0000-0000-0000EC250000}"/>
    <cellStyle name="_Column6_Feasibility Request_Dimix_RFFS_SUBMISSION_TO_VPs _v2" xfId="9718" xr:uid="{00000000-0005-0000-0000-0000ED250000}"/>
    <cellStyle name="_Column6_Finance Templates - Final" xfId="9719" xr:uid="{00000000-0005-0000-0000-0000EE250000}"/>
    <cellStyle name="_Column6_Finance Templates - Final 2" xfId="9720" xr:uid="{00000000-0005-0000-0000-0000EF250000}"/>
    <cellStyle name="_Column6_Finance Templates - Final 2 2" xfId="9721" xr:uid="{00000000-0005-0000-0000-0000F0250000}"/>
    <cellStyle name="_Column6_Finance Templates - Final 3" xfId="9722" xr:uid="{00000000-0005-0000-0000-0000F1250000}"/>
    <cellStyle name="_Column6_Float" xfId="9723" xr:uid="{00000000-0005-0000-0000-0000F2250000}"/>
    <cellStyle name="_Column6_foglio prova" xfId="9724" xr:uid="{00000000-0005-0000-0000-0000F3250000}"/>
    <cellStyle name="_Column6_Foglio1" xfId="9725" xr:uid="{00000000-0005-0000-0000-0000F4250000}"/>
    <cellStyle name="_Column6_Foglio1_1" xfId="9726" xr:uid="{00000000-0005-0000-0000-0000F5250000}"/>
    <cellStyle name="_Column6_Foglio1_Analisi costo venduto" xfId="9727" xr:uid="{00000000-0005-0000-0000-0000F6250000}"/>
    <cellStyle name="_Column6_Foglio1_Analisi vol ott" xfId="9728" xr:uid="{00000000-0005-0000-0000-0000F7250000}"/>
    <cellStyle name="_Column6_Foglio1_Capex x AnnaC (2)" xfId="9729" xr:uid="{00000000-0005-0000-0000-0000F8250000}"/>
    <cellStyle name="_Column6_Foglio1_CC targets july" xfId="9730" xr:uid="{00000000-0005-0000-0000-0000F9250000}"/>
    <cellStyle name="_Column6_Foglio1_DBSET" xfId="9731" xr:uid="{00000000-0005-0000-0000-0000FA250000}"/>
    <cellStyle name="_Column6_Foglio1_Foglio1" xfId="9732" xr:uid="{00000000-0005-0000-0000-0000FB250000}"/>
    <cellStyle name="_Column6_Foglio1_Maco budget" xfId="9733" xr:uid="{00000000-0005-0000-0000-0000FC250000}"/>
    <cellStyle name="_Column6_Foglio1_Mens volumi LE1 x BBP" xfId="9734" xr:uid="{00000000-0005-0000-0000-0000FD250000}"/>
    <cellStyle name="_Column6_Foglio2" xfId="9735" xr:uid="{00000000-0005-0000-0000-0000FE250000}"/>
    <cellStyle name="_Column6_Foglio2_1" xfId="9736" xr:uid="{00000000-0005-0000-0000-0000FF250000}"/>
    <cellStyle name="_Column6_Foglio2_Analisi costo venduto" xfId="9737" xr:uid="{00000000-0005-0000-0000-000000260000}"/>
    <cellStyle name="_Column6_Foglio2_BACK UP FIGURES for PRESENTATION LE1" xfId="9738" xr:uid="{00000000-0005-0000-0000-000001260000}"/>
    <cellStyle name="_Column6_Foglio2_LE1 addendum" xfId="9739" xr:uid="{00000000-0005-0000-0000-000002260000}"/>
    <cellStyle name="_Column6_Foglio2_LEI templates - per Francesca by PPM" xfId="9740" xr:uid="{00000000-0005-0000-0000-000003260000}"/>
    <cellStyle name="_Column6_Foglio3" xfId="9741" xr:uid="{00000000-0005-0000-0000-000004260000}"/>
    <cellStyle name="_Column6_Foglio3_1" xfId="9742" xr:uid="{00000000-0005-0000-0000-000005260000}"/>
    <cellStyle name="_Column6_Foglio3_Analisi vol ott" xfId="9743" xr:uid="{00000000-0005-0000-0000-000006260000}"/>
    <cellStyle name="_Column6_Foglio3_BACK UP FIGURES for PRESENTATION LE1" xfId="9744" xr:uid="{00000000-0005-0000-0000-000007260000}"/>
    <cellStyle name="_Column6_Foglio3_Maco budget" xfId="9745" xr:uid="{00000000-0005-0000-0000-000008260000}"/>
    <cellStyle name="_Column6_Foglio3_Maco LE1 vers 30.4.07" xfId="9746" xr:uid="{00000000-0005-0000-0000-000009260000}"/>
    <cellStyle name="_Column6_Foglio3_Maco LE1 vers 30.4.07 PER PRESENTAZ" xfId="9747" xr:uid="{00000000-0005-0000-0000-00000A260000}"/>
    <cellStyle name="_Column6_Foglio3_Marzo 2007 Deck vers 16.4.07" xfId="9748" xr:uid="{00000000-0005-0000-0000-00000B260000}"/>
    <cellStyle name="_Column6_Foglio3_Volumi LE1 sku - brand - package" xfId="9749" xr:uid="{00000000-0005-0000-0000-00000C260000}"/>
    <cellStyle name="_Column6_Foglio4" xfId="9750" xr:uid="{00000000-0005-0000-0000-00000D260000}"/>
    <cellStyle name="_Column6_Foglio4_BACK UP FIGURES for PRESENTATION LE1" xfId="9751" xr:uid="{00000000-0005-0000-0000-00000E260000}"/>
    <cellStyle name="_Column6_Foglio4_Maco LE1 vers 30.4.07" xfId="9752" xr:uid="{00000000-0005-0000-0000-00000F260000}"/>
    <cellStyle name="_Column6_Foglio4_Maco LE1 vers 30.4.07 PER PRESENTAZ" xfId="9753" xr:uid="{00000000-0005-0000-0000-000010260000}"/>
    <cellStyle name="_Column6_Foglio4_Marzo 2007 Deck vers 16.4.07" xfId="9754" xr:uid="{00000000-0005-0000-0000-000011260000}"/>
    <cellStyle name="_Column6_Foglio5" xfId="9755" xr:uid="{00000000-0005-0000-0000-000012260000}"/>
    <cellStyle name="_Column6_Foglio5_BACK UP FIGURES for PRESENTATION LE1" xfId="9756" xr:uid="{00000000-0005-0000-0000-000013260000}"/>
    <cellStyle name="_Column6_Foglio5_Maco budget" xfId="9757" xr:uid="{00000000-0005-0000-0000-000014260000}"/>
    <cellStyle name="_Column6_Foglio5_Maco LE1 vers 30.4.07" xfId="9758" xr:uid="{00000000-0005-0000-0000-000015260000}"/>
    <cellStyle name="_Column6_Foglio5_Maco LE1 vers 30.4.07 PER PRESENTAZ" xfId="9759" xr:uid="{00000000-0005-0000-0000-000016260000}"/>
    <cellStyle name="_Column6_Foglio5_Marzo 2007 Deck vers 16.4.07" xfId="9760" xr:uid="{00000000-0005-0000-0000-000017260000}"/>
    <cellStyle name="_Column6_Foglio6" xfId="9761" xr:uid="{00000000-0005-0000-0000-000018260000}"/>
    <cellStyle name="_Column6_Forecast Summary July v1" xfId="9762" xr:uid="{00000000-0005-0000-0000-000019260000}"/>
    <cellStyle name="_Column6_Forecast Summary July v1 2" xfId="9763" xr:uid="{00000000-0005-0000-0000-00001A260000}"/>
    <cellStyle name="_Column6_Forecast Summary July v1 2 2" xfId="9764" xr:uid="{00000000-0005-0000-0000-00001B260000}"/>
    <cellStyle name="_Column6_Forecast Summary July v1 3" xfId="9765" xr:uid="{00000000-0005-0000-0000-00001C260000}"/>
    <cellStyle name="_Column6_FRANGO_Monatsbericht Italy_0611" xfId="9766" xr:uid="{00000000-0005-0000-0000-00001D260000}"/>
    <cellStyle name="_Column6_Franz demand" xfId="9767" xr:uid="{00000000-0005-0000-0000-00001E260000}"/>
    <cellStyle name="_Column6_Franz Development" xfId="9768" xr:uid="{00000000-0005-0000-0000-00001F260000}"/>
    <cellStyle name="_Column6_Franz Ist" xfId="9769" xr:uid="{00000000-0005-0000-0000-000020260000}"/>
    <cellStyle name="_Column6_Free Worksheet" xfId="9770" xr:uid="{00000000-0005-0000-0000-000021260000}"/>
    <cellStyle name="_Column6_Gennaio draft ON + DD" xfId="9771" xr:uid="{00000000-0005-0000-0000-000022260000}"/>
    <cellStyle name="_Column6_Germany" xfId="9772" xr:uid="{00000000-0005-0000-0000-000023260000}"/>
    <cellStyle name="_Column6_Germany_brew" xfId="9773" xr:uid="{00000000-0005-0000-0000-000024260000}"/>
    <cellStyle name="_Column6_Gilde Maco" xfId="9774" xr:uid="{00000000-0005-0000-0000-000025260000}"/>
    <cellStyle name="_Column6_Gilde Maco 2" xfId="9775" xr:uid="{00000000-0005-0000-0000-000026260000}"/>
    <cellStyle name="_Column6_Gilde Maco 2 2" xfId="9776" xr:uid="{00000000-0005-0000-0000-000027260000}"/>
    <cellStyle name="_Column6_Gilde Maco_Basis" xfId="9777" xr:uid="{00000000-0005-0000-0000-000028260000}"/>
    <cellStyle name="_Column6_Gilde Maco_Basis 2" xfId="9778" xr:uid="{00000000-0005-0000-0000-000029260000}"/>
    <cellStyle name="_Column6_Gilde Maco_Basis 2 2" xfId="9779" xr:uid="{00000000-0005-0000-0000-00002A260000}"/>
    <cellStyle name="_Column6_Gilde Maco_Basis_Sheet1" xfId="9780" xr:uid="{00000000-0005-0000-0000-00002B260000}"/>
    <cellStyle name="_Column6_Gilde Maco_Basis_Sheet5" xfId="9781" xr:uid="{00000000-0005-0000-0000-00002C260000}"/>
    <cellStyle name="_Column6_Gilde Maco_Basis_Sm Proj Cash Flow" xfId="9782" xr:uid="{00000000-0005-0000-0000-00002D260000}"/>
    <cellStyle name="_Column6_Gilde Maco_Basis_Spend Detail" xfId="9783" xr:uid="{00000000-0005-0000-0000-00002E260000}"/>
    <cellStyle name="_Column6_Gilde Maco_Basis_SustainingProjectList" xfId="9784" xr:uid="{00000000-0005-0000-0000-00002F260000}"/>
    <cellStyle name="_Column6_Gilde Maco_Sheet1" xfId="9785" xr:uid="{00000000-0005-0000-0000-000030260000}"/>
    <cellStyle name="_Column6_Gilde Maco_Sheet5" xfId="9786" xr:uid="{00000000-0005-0000-0000-000031260000}"/>
    <cellStyle name="_Column6_Gilde Maco_SKU Volumen" xfId="9787" xr:uid="{00000000-0005-0000-0000-000032260000}"/>
    <cellStyle name="_Column6_Gilde Maco_SKU Volumen 2" xfId="9788" xr:uid="{00000000-0005-0000-0000-000033260000}"/>
    <cellStyle name="_Column6_Gilde Maco_SKU Volumen_Sheet1" xfId="9789" xr:uid="{00000000-0005-0000-0000-000034260000}"/>
    <cellStyle name="_Column6_Gilde Maco_SKU Volumen_Sm Proj Cash Flow" xfId="9790" xr:uid="{00000000-0005-0000-0000-000035260000}"/>
    <cellStyle name="_Column6_Gilde Maco_SKU Volumen_Spend Detail" xfId="9791" xr:uid="{00000000-0005-0000-0000-000036260000}"/>
    <cellStyle name="_Column6_Gilde Maco_SKU Volumen_SustainingProjectList" xfId="9792" xr:uid="{00000000-0005-0000-0000-000037260000}"/>
    <cellStyle name="_Column6_Gilde Maco_Sm Proj Cash Flow" xfId="9793" xr:uid="{00000000-0005-0000-0000-000038260000}"/>
    <cellStyle name="_Column6_Gilde Maco_Spend Detail" xfId="9794" xr:uid="{00000000-0005-0000-0000-000039260000}"/>
    <cellStyle name="_Column6_Gilde Maco_SustainingProjectList" xfId="9795" xr:uid="{00000000-0005-0000-0000-00003A260000}"/>
    <cellStyle name="_Column6_Gilde Maco_Tabelle1" xfId="9796" xr:uid="{00000000-0005-0000-0000-00003B260000}"/>
    <cellStyle name="_Column6_Gilde Maco_Tabelle1 2" xfId="9797" xr:uid="{00000000-0005-0000-0000-00003C260000}"/>
    <cellStyle name="_Column6_Gilde Maco_Tabelle1_Sheet1" xfId="9798" xr:uid="{00000000-0005-0000-0000-00003D260000}"/>
    <cellStyle name="_Column6_Gilde Maco_Tabelle1_Sm Proj Cash Flow" xfId="9799" xr:uid="{00000000-0005-0000-0000-00003E260000}"/>
    <cellStyle name="_Column6_Gilde Maco_Tabelle1_Spend Detail" xfId="9800" xr:uid="{00000000-0005-0000-0000-00003F260000}"/>
    <cellStyle name="_Column6_Gilde Maco_Tabelle1_SustainingProjectList" xfId="9801" xr:uid="{00000000-0005-0000-0000-000040260000}"/>
    <cellStyle name="_Column6_Global_Final_18122006 (2)" xfId="9802" xr:uid="{00000000-0005-0000-0000-000041260000}"/>
    <cellStyle name="_Column6_GT" xfId="9803" xr:uid="{00000000-0005-0000-0000-000042260000}"/>
    <cellStyle name="_Column6_GT 2" xfId="9804" xr:uid="{00000000-0005-0000-0000-000043260000}"/>
    <cellStyle name="_Column6_GT 2 2" xfId="9805" xr:uid="{00000000-0005-0000-0000-000044260000}"/>
    <cellStyle name="_Column6_GT 3" xfId="9806" xr:uid="{00000000-0005-0000-0000-000045260000}"/>
    <cellStyle name="_Column6_Hass Dashboard" xfId="9807" xr:uid="{00000000-0005-0000-0000-000046260000}"/>
    <cellStyle name="_Column6_Hass Dashboard v1" xfId="9808" xr:uid="{00000000-0005-0000-0000-000047260000}"/>
    <cellStyle name="_Column6_Hasseröder Export Detailplanung nach Wochen Version Radler + Diesel 10.4.2007" xfId="9809" xr:uid="{00000000-0005-0000-0000-000048260000}"/>
    <cellStyle name="_Column6_Hl Feb Alea 22.2.07" xfId="9810" xr:uid="{00000000-0005-0000-0000-000049260000}"/>
    <cellStyle name="_Column6_Hl Gen" xfId="9811" xr:uid="{00000000-0005-0000-0000-00004A260000}"/>
    <cellStyle name="_Column6_Hopfen" xfId="9812" xr:uid="{00000000-0005-0000-0000-00004B260000}"/>
    <cellStyle name="_Column6_IDVG Maco" xfId="9813" xr:uid="{00000000-0005-0000-0000-00004C260000}"/>
    <cellStyle name="_Column6_IDVG Maco 2" xfId="9814" xr:uid="{00000000-0005-0000-0000-00004D260000}"/>
    <cellStyle name="_Column6_IDVG Maco 2 2" xfId="9815" xr:uid="{00000000-0005-0000-0000-00004E260000}"/>
    <cellStyle name="_Column6_IDVG Maco_Basis" xfId="9816" xr:uid="{00000000-0005-0000-0000-00004F260000}"/>
    <cellStyle name="_Column6_IDVG Maco_Basis 2" xfId="9817" xr:uid="{00000000-0005-0000-0000-000050260000}"/>
    <cellStyle name="_Column6_IDVG Maco_Basis 2 2" xfId="9818" xr:uid="{00000000-0005-0000-0000-000051260000}"/>
    <cellStyle name="_Column6_IDVG Maco_Basis_Sheet1" xfId="9819" xr:uid="{00000000-0005-0000-0000-000052260000}"/>
    <cellStyle name="_Column6_IDVG Maco_Basis_Sheet5" xfId="9820" xr:uid="{00000000-0005-0000-0000-000053260000}"/>
    <cellStyle name="_Column6_IDVG Maco_Basis_Sm Proj Cash Flow" xfId="9821" xr:uid="{00000000-0005-0000-0000-000054260000}"/>
    <cellStyle name="_Column6_IDVG Maco_Basis_Spend Detail" xfId="9822" xr:uid="{00000000-0005-0000-0000-000055260000}"/>
    <cellStyle name="_Column6_IDVG Maco_Basis_SustainingProjectList" xfId="9823" xr:uid="{00000000-0005-0000-0000-000056260000}"/>
    <cellStyle name="_Column6_IDVG Maco_Sheet1" xfId="9824" xr:uid="{00000000-0005-0000-0000-000057260000}"/>
    <cellStyle name="_Column6_IDVG Maco_Sheet5" xfId="9825" xr:uid="{00000000-0005-0000-0000-000058260000}"/>
    <cellStyle name="_Column6_IDVG Maco_SKU Volumen" xfId="9826" xr:uid="{00000000-0005-0000-0000-000059260000}"/>
    <cellStyle name="_Column6_IDVG Maco_SKU Volumen 2" xfId="9827" xr:uid="{00000000-0005-0000-0000-00005A260000}"/>
    <cellStyle name="_Column6_IDVG Maco_SKU Volumen_Sheet1" xfId="9828" xr:uid="{00000000-0005-0000-0000-00005B260000}"/>
    <cellStyle name="_Column6_IDVG Maco_SKU Volumen_Sm Proj Cash Flow" xfId="9829" xr:uid="{00000000-0005-0000-0000-00005C260000}"/>
    <cellStyle name="_Column6_IDVG Maco_SKU Volumen_Spend Detail" xfId="9830" xr:uid="{00000000-0005-0000-0000-00005D260000}"/>
    <cellStyle name="_Column6_IDVG Maco_SKU Volumen_SustainingProjectList" xfId="9831" xr:uid="{00000000-0005-0000-0000-00005E260000}"/>
    <cellStyle name="_Column6_IDVG Maco_Sm Proj Cash Flow" xfId="9832" xr:uid="{00000000-0005-0000-0000-00005F260000}"/>
    <cellStyle name="_Column6_IDVG Maco_Spend Detail" xfId="9833" xr:uid="{00000000-0005-0000-0000-000060260000}"/>
    <cellStyle name="_Column6_IDVG Maco_SustainingProjectList" xfId="9834" xr:uid="{00000000-0005-0000-0000-000061260000}"/>
    <cellStyle name="_Column6_IDVG Maco_Tabelle1" xfId="9835" xr:uid="{00000000-0005-0000-0000-000062260000}"/>
    <cellStyle name="_Column6_IDVG Maco_Tabelle1 2" xfId="9836" xr:uid="{00000000-0005-0000-0000-000063260000}"/>
    <cellStyle name="_Column6_IDVG Maco_Tabelle1_Sheet1" xfId="9837" xr:uid="{00000000-0005-0000-0000-000064260000}"/>
    <cellStyle name="_Column6_IDVG Maco_Tabelle1_Sm Proj Cash Flow" xfId="9838" xr:uid="{00000000-0005-0000-0000-000065260000}"/>
    <cellStyle name="_Column6_IDVG Maco_Tabelle1_Spend Detail" xfId="9839" xr:uid="{00000000-0005-0000-0000-000066260000}"/>
    <cellStyle name="_Column6_IDVG Maco_Tabelle1_SustainingProjectList" xfId="9840" xr:uid="{00000000-0005-0000-0000-000067260000}"/>
    <cellStyle name="_Column6_In maco" xfId="9841" xr:uid="{00000000-0005-0000-0000-000068260000}"/>
    <cellStyle name="_Column6_Inbev Italia stima actual gen" xfId="9842" xr:uid="{00000000-0005-0000-0000-000069260000}"/>
    <cellStyle name="_Column6_Incollare volumi estr da Alea" xfId="9843" xr:uid="{00000000-0005-0000-0000-00006A260000}"/>
    <cellStyle name="_Column6_Industry Volumes" xfId="9844" xr:uid="{00000000-0005-0000-0000-00006B260000}"/>
    <cellStyle name="_Column6_Industry Volumes 2" xfId="9845" xr:uid="{00000000-0005-0000-0000-00006C260000}"/>
    <cellStyle name="_Column6_Industry Volumes 2 2" xfId="9846" xr:uid="{00000000-0005-0000-0000-00006D260000}"/>
    <cellStyle name="_Column6_Industry Volumes 2 2 2" xfId="9847" xr:uid="{00000000-0005-0000-0000-00006E260000}"/>
    <cellStyle name="_Column6_Industry Volumes 2 3" xfId="9848" xr:uid="{00000000-0005-0000-0000-00006F260000}"/>
    <cellStyle name="_Column6_Industry Volumes 2 3 2" xfId="9849" xr:uid="{00000000-0005-0000-0000-000070260000}"/>
    <cellStyle name="_Column6_Industry Volumes 2 3 3" xfId="9850" xr:uid="{00000000-0005-0000-0000-000071260000}"/>
    <cellStyle name="_Column6_Industry Volumes 2 4" xfId="9851" xr:uid="{00000000-0005-0000-0000-000072260000}"/>
    <cellStyle name="_Column6_Industry Volumes 2 5" xfId="9852" xr:uid="{00000000-0005-0000-0000-000073260000}"/>
    <cellStyle name="_Column6_Industry Volumes 3" xfId="9853" xr:uid="{00000000-0005-0000-0000-000074260000}"/>
    <cellStyle name="_Column6_Industry Volumes 3 2" xfId="9854" xr:uid="{00000000-0005-0000-0000-000075260000}"/>
    <cellStyle name="_Column6_Industry Volumes 3 3" xfId="9855" xr:uid="{00000000-0005-0000-0000-000076260000}"/>
    <cellStyle name="_Column6_Industry Volumes 3 3 2" xfId="9856" xr:uid="{00000000-0005-0000-0000-000077260000}"/>
    <cellStyle name="_Column6_Industry Volumes 4" xfId="9857" xr:uid="{00000000-0005-0000-0000-000078260000}"/>
    <cellStyle name="_Column6_Industry Volumes 4 2" xfId="9858" xr:uid="{00000000-0005-0000-0000-000079260000}"/>
    <cellStyle name="_Column6_Industry Volumes 4 3" xfId="9859" xr:uid="{00000000-0005-0000-0000-00007A260000}"/>
    <cellStyle name="_Column6_Industry Volumes 5" xfId="9860" xr:uid="{00000000-0005-0000-0000-00007B260000}"/>
    <cellStyle name="_Column6_Industry Volumes 6" xfId="9861" xr:uid="{00000000-0005-0000-0000-00007C260000}"/>
    <cellStyle name="_Column6_Industry Volumes_Sheet1" xfId="9862" xr:uid="{00000000-0005-0000-0000-00007D260000}"/>
    <cellStyle name="_Column6_Industry Volumes_Sm Proj Cash Flow" xfId="9863" xr:uid="{00000000-0005-0000-0000-00007E260000}"/>
    <cellStyle name="_Column6_Industry Volumes_Spend Detail" xfId="9864" xr:uid="{00000000-0005-0000-0000-00007F260000}"/>
    <cellStyle name="_Column6_Industry Volumes_SustainingProjectList" xfId="9865" xr:uid="{00000000-0005-0000-0000-000080260000}"/>
    <cellStyle name="_Column6_Iniciativas P3A GPV &amp; CSD HILA '10" xfId="9866" xr:uid="{00000000-0005-0000-0000-000081260000}"/>
    <cellStyle name="_Column6_Iniciativas P3A GPV &amp; CSD HILA '10 2" xfId="9867" xr:uid="{00000000-0005-0000-0000-000082260000}"/>
    <cellStyle name="_Column6_Iniciativas P3A GPV &amp; CSD HILA '10 2 2" xfId="9868" xr:uid="{00000000-0005-0000-0000-000083260000}"/>
    <cellStyle name="_Column6_Iniciativas P3A GPV &amp; CSD HILA '10 3" xfId="9869" xr:uid="{00000000-0005-0000-0000-000084260000}"/>
    <cellStyle name="_Column6_innovation volumi" xfId="9870" xr:uid="{00000000-0005-0000-0000-000085260000}"/>
    <cellStyle name="_Column6_INPUT" xfId="9871" xr:uid="{00000000-0005-0000-0000-000086260000}"/>
    <cellStyle name="_Column6_IS LE1 ricevuto da On Trade" xfId="9872" xr:uid="{00000000-0005-0000-0000-000087260000}"/>
    <cellStyle name="_Column6_IT_TR2 (Maco YTD Giu)" xfId="9873" xr:uid="{00000000-0005-0000-0000-000088260000}"/>
    <cellStyle name="_Column6_June draft ON + DD" xfId="9874" xr:uid="{00000000-0005-0000-0000-000089260000}"/>
    <cellStyle name="_Column6_JW_Absätze aus diversen MACO-Würfeln" xfId="9875" xr:uid="{00000000-0005-0000-0000-00008A260000}"/>
    <cellStyle name="_Column6_JW_Transferpreise 2006" xfId="9876" xr:uid="{00000000-0005-0000-0000-00008B260000}"/>
    <cellStyle name="_Column6_JW_Transferpreise IDVG 2005" xfId="9877" xr:uid="{00000000-0005-0000-0000-00008C260000}"/>
    <cellStyle name="_Column6_K01 Budget'07 mens" xfId="9878" xr:uid="{00000000-0005-0000-0000-00008D260000}"/>
    <cellStyle name="_Column6_K01 January 07" xfId="9879" xr:uid="{00000000-0005-0000-0000-00008E260000}"/>
    <cellStyle name="_Column6_KK_3YP Model S&amp;D Stand 3.7.07" xfId="9880" xr:uid="{00000000-0005-0000-0000-00008F260000}"/>
    <cellStyle name="_Column6_KK_3YP Model S&amp;D Stand 3.7.07 2" xfId="9881" xr:uid="{00000000-0005-0000-0000-000090260000}"/>
    <cellStyle name="_Column6_KK_3YP Model S&amp;D Stand 3.7.07 2 2" xfId="9882" xr:uid="{00000000-0005-0000-0000-000091260000}"/>
    <cellStyle name="_Column6_KK_3YP Model S&amp;D Stand 3.7.07 2 2 2" xfId="9883" xr:uid="{00000000-0005-0000-0000-000092260000}"/>
    <cellStyle name="_Column6_KK_3YP Model S&amp;D Stand 3.7.07 2 3" xfId="9884" xr:uid="{00000000-0005-0000-0000-000093260000}"/>
    <cellStyle name="_Column6_KK_3YP Model S&amp;D Stand 3.7.07 2 3 2" xfId="9885" xr:uid="{00000000-0005-0000-0000-000094260000}"/>
    <cellStyle name="_Column6_KK_3YP Model S&amp;D Stand 3.7.07 2 3 3" xfId="9886" xr:uid="{00000000-0005-0000-0000-000095260000}"/>
    <cellStyle name="_Column6_KK_3YP Model S&amp;D Stand 3.7.07 2 4" xfId="9887" xr:uid="{00000000-0005-0000-0000-000096260000}"/>
    <cellStyle name="_Column6_KK_3YP Model S&amp;D Stand 3.7.07 2 5" xfId="9888" xr:uid="{00000000-0005-0000-0000-000097260000}"/>
    <cellStyle name="_Column6_KK_3YP Model S&amp;D Stand 3.7.07 3" xfId="9889" xr:uid="{00000000-0005-0000-0000-000098260000}"/>
    <cellStyle name="_Column6_KK_3YP Model S&amp;D Stand 3.7.07 3 2" xfId="9890" xr:uid="{00000000-0005-0000-0000-000099260000}"/>
    <cellStyle name="_Column6_KK_3YP Model S&amp;D Stand 3.7.07 3 3" xfId="9891" xr:uid="{00000000-0005-0000-0000-00009A260000}"/>
    <cellStyle name="_Column6_KK_3YP Model S&amp;D Stand 3.7.07 3 3 2" xfId="9892" xr:uid="{00000000-0005-0000-0000-00009B260000}"/>
    <cellStyle name="_Column6_KK_3YP Model S&amp;D Stand 3.7.07 4" xfId="9893" xr:uid="{00000000-0005-0000-0000-00009C260000}"/>
    <cellStyle name="_Column6_KK_3YP Model S&amp;D Stand 3.7.07 4 2" xfId="9894" xr:uid="{00000000-0005-0000-0000-00009D260000}"/>
    <cellStyle name="_Column6_KK_3YP Model S&amp;D Stand 3.7.07 4 3" xfId="9895" xr:uid="{00000000-0005-0000-0000-00009E260000}"/>
    <cellStyle name="_Column6_KK_3YP Model S&amp;D Stand 3.7.07 5" xfId="9896" xr:uid="{00000000-0005-0000-0000-00009F260000}"/>
    <cellStyle name="_Column6_KK_3YP Model S&amp;D Stand 3.7.07 6" xfId="9897" xr:uid="{00000000-0005-0000-0000-0000A0260000}"/>
    <cellStyle name="_Column6_KK_3YP Model S&amp;D Stand 3.7.07_Sheet1" xfId="9898" xr:uid="{00000000-0005-0000-0000-0000A1260000}"/>
    <cellStyle name="_Column6_KK_3YP Model S&amp;D Stand 3.7.07_Sm Proj Cash Flow" xfId="9899" xr:uid="{00000000-0005-0000-0000-0000A2260000}"/>
    <cellStyle name="_Column6_KK_3YP Model S&amp;D Stand 3.7.07_Spend Detail" xfId="9900" xr:uid="{00000000-0005-0000-0000-0000A3260000}"/>
    <cellStyle name="_Column6_KK_3YP Model S&amp;D Stand 3.7.07_SustainingProjectList" xfId="9901" xr:uid="{00000000-0005-0000-0000-0000A4260000}"/>
    <cellStyle name="_Column6_LE 1 On Trade" xfId="9902" xr:uid="{00000000-0005-0000-0000-0000A5260000}"/>
    <cellStyle name="_Column6_LE1" xfId="9903" xr:uid="{00000000-0005-0000-0000-0000A6260000}"/>
    <cellStyle name="_Column6_LE1 2007" xfId="9904" xr:uid="{00000000-0005-0000-0000-0000A7260000}"/>
    <cellStyle name="_Column6_LE1 controllo ZBB vers 27.4.07 bis" xfId="9905" xr:uid="{00000000-0005-0000-0000-0000A8260000}"/>
    <cellStyle name="_Column6_LEI templates - per Francesca by PPM" xfId="9906" xr:uid="{00000000-0005-0000-0000-0000A9260000}"/>
    <cellStyle name="_Column6_loop ist energie" xfId="9907" xr:uid="{00000000-0005-0000-0000-0000AA260000}"/>
    <cellStyle name="_Column6_Maco budget 2007 On Trade" xfId="9908" xr:uid="{00000000-0005-0000-0000-0000AB260000}"/>
    <cellStyle name="_Column6_Maco IN MACO e ITW" xfId="9909" xr:uid="{00000000-0005-0000-0000-0000AC260000}"/>
    <cellStyle name="_Column6_Maco IN MACO e ITW Feb" xfId="9910" xr:uid="{00000000-0005-0000-0000-0000AD260000}"/>
    <cellStyle name="_Column6_Maco L2" xfId="9911" xr:uid="{00000000-0005-0000-0000-0000AE260000}"/>
    <cellStyle name="_Column6_Maco LE1 vers 30.4.07" xfId="9912" xr:uid="{00000000-0005-0000-0000-0000AF260000}"/>
    <cellStyle name="_Column6_Maco LE1 vers 30.4.07 PER PRESENTAZ" xfId="9913" xr:uid="{00000000-0005-0000-0000-0000B0260000}"/>
    <cellStyle name="_Column6_MACO waterfall feb'07" xfId="9914" xr:uid="{00000000-0005-0000-0000-0000B1260000}"/>
    <cellStyle name="_Column6_Mappe2" xfId="9915" xr:uid="{00000000-0005-0000-0000-0000B2260000}"/>
    <cellStyle name="_Column6_Mark up Ist" xfId="9916" xr:uid="{00000000-0005-0000-0000-0000B3260000}"/>
    <cellStyle name="_Column6_Marzo 2007 Deck vers 16.4.07" xfId="9917" xr:uid="{00000000-0005-0000-0000-0000B4260000}"/>
    <cellStyle name="_Column6_Mens volumi LE1 x BBP" xfId="9918" xr:uid="{00000000-0005-0000-0000-0000B5260000}"/>
    <cellStyle name="_Column6_MIS1" xfId="9919" xr:uid="{00000000-0005-0000-0000-0000B6260000}"/>
    <cellStyle name="_Column6_MIS10" xfId="9920" xr:uid="{00000000-0005-0000-0000-0000B7260000}"/>
    <cellStyle name="_Column6_MIS17" xfId="9921" xr:uid="{00000000-0005-0000-0000-0000B8260000}"/>
    <cellStyle name="_Column6_MIS2" xfId="9922" xr:uid="{00000000-0005-0000-0000-0000B9260000}"/>
    <cellStyle name="_Column6_MIS2 2" xfId="9923" xr:uid="{00000000-0005-0000-0000-0000BA260000}"/>
    <cellStyle name="_Column6_MIS2 2 2" xfId="9924" xr:uid="{00000000-0005-0000-0000-0000BB260000}"/>
    <cellStyle name="_Column6_MIS2 2 2 2" xfId="9925" xr:uid="{00000000-0005-0000-0000-0000BC260000}"/>
    <cellStyle name="_Column6_MIS2 2 3" xfId="9926" xr:uid="{00000000-0005-0000-0000-0000BD260000}"/>
    <cellStyle name="_Column6_MIS2 2 3 2" xfId="9927" xr:uid="{00000000-0005-0000-0000-0000BE260000}"/>
    <cellStyle name="_Column6_MIS2 2 3 3" xfId="9928" xr:uid="{00000000-0005-0000-0000-0000BF260000}"/>
    <cellStyle name="_Column6_MIS2 2 4" xfId="9929" xr:uid="{00000000-0005-0000-0000-0000C0260000}"/>
    <cellStyle name="_Column6_MIS2 2 5" xfId="9930" xr:uid="{00000000-0005-0000-0000-0000C1260000}"/>
    <cellStyle name="_Column6_MIS2 3" xfId="9931" xr:uid="{00000000-0005-0000-0000-0000C2260000}"/>
    <cellStyle name="_Column6_MIS2 3 2" xfId="9932" xr:uid="{00000000-0005-0000-0000-0000C3260000}"/>
    <cellStyle name="_Column6_MIS2 4" xfId="9933" xr:uid="{00000000-0005-0000-0000-0000C4260000}"/>
    <cellStyle name="_Column6_MIS2 4 2" xfId="9934" xr:uid="{00000000-0005-0000-0000-0000C5260000}"/>
    <cellStyle name="_Column6_MIS2 4 3" xfId="9935" xr:uid="{00000000-0005-0000-0000-0000C6260000}"/>
    <cellStyle name="_Column6_MIS2 5" xfId="9936" xr:uid="{00000000-0005-0000-0000-0000C7260000}"/>
    <cellStyle name="_Column6_MIS2 6" xfId="9937" xr:uid="{00000000-0005-0000-0000-0000C8260000}"/>
    <cellStyle name="_Column6_MIS2_1" xfId="9938" xr:uid="{00000000-0005-0000-0000-0000C9260000}"/>
    <cellStyle name="_Column6_MIS2_Anlagenbelegung Auswertung SKU pro Linie 2006-07-25 -ÜB." xfId="9939" xr:uid="{00000000-0005-0000-0000-0000CA260000}"/>
    <cellStyle name="_Column6_MIS2_Basis" xfId="9940" xr:uid="{00000000-0005-0000-0000-0000CB260000}"/>
    <cellStyle name="_Column6_MIS2_Basis 2" xfId="9941" xr:uid="{00000000-0005-0000-0000-0000CC260000}"/>
    <cellStyle name="_Column6_MIS2_Basis 2 2" xfId="9942" xr:uid="{00000000-0005-0000-0000-0000CD260000}"/>
    <cellStyle name="_Column6_MIS2_Basis_Sheet1" xfId="9943" xr:uid="{00000000-0005-0000-0000-0000CE260000}"/>
    <cellStyle name="_Column6_MIS2_Basis_Sheet5" xfId="9944" xr:uid="{00000000-0005-0000-0000-0000CF260000}"/>
    <cellStyle name="_Column6_MIS2_Basis_Sm Proj Cash Flow" xfId="9945" xr:uid="{00000000-0005-0000-0000-0000D0260000}"/>
    <cellStyle name="_Column6_MIS2_Basis_Spend Detail" xfId="9946" xr:uid="{00000000-0005-0000-0000-0000D1260000}"/>
    <cellStyle name="_Column6_MIS2_Basis_SustainingProjectList" xfId="9947" xr:uid="{00000000-0005-0000-0000-0000D2260000}"/>
    <cellStyle name="_Column6_MIS2_Changeover t, theor. u. per h. " xfId="9948" xr:uid="{00000000-0005-0000-0000-0000D3260000}"/>
    <cellStyle name="_Column6_MIS2_JW_VPLC Bremen" xfId="9949" xr:uid="{00000000-0005-0000-0000-0000D4260000}"/>
    <cellStyle name="_Column6_MIS2_Mother line Bremen" xfId="9950" xr:uid="{00000000-0005-0000-0000-0000D5260000}"/>
    <cellStyle name="_Column6_MIS2_RB&amp;JW_Produktionsplanung_LE1_2006 sortiert" xfId="9951" xr:uid="{00000000-0005-0000-0000-0000D6260000}"/>
    <cellStyle name="_Column6_MIS2_RB&amp;JW_Produktionsplanung_LE1_2006 sortiert 2" xfId="9952" xr:uid="{00000000-0005-0000-0000-0000D7260000}"/>
    <cellStyle name="_Column6_MIS2_RB&amp;JW_Produktionsplanung_LE1_2006 sortiert 2 2" xfId="9953" xr:uid="{00000000-0005-0000-0000-0000D8260000}"/>
    <cellStyle name="_Column6_MIS2_RB&amp;JW_Produktionsplanung_LE1_2006 sortiert_Sheet1" xfId="9954" xr:uid="{00000000-0005-0000-0000-0000D9260000}"/>
    <cellStyle name="_Column6_MIS2_RB&amp;JW_Produktionsplanung_LE1_2006 sortiert_Sheet5" xfId="9955" xr:uid="{00000000-0005-0000-0000-0000DA260000}"/>
    <cellStyle name="_Column6_MIS2_RB&amp;JW_Produktionsplanung_LE1_2006 sortiert_Sm Proj Cash Flow" xfId="9956" xr:uid="{00000000-0005-0000-0000-0000DB260000}"/>
    <cellStyle name="_Column6_MIS2_RB&amp;JW_Produktionsplanung_LE1_2006 sortiert_Spend Detail" xfId="9957" xr:uid="{00000000-0005-0000-0000-0000DC260000}"/>
    <cellStyle name="_Column6_MIS2_RB&amp;JW_Produktionsplanung_LE1_2006 sortiert_SustainingProjectList" xfId="9958" xr:uid="{00000000-0005-0000-0000-0000DD260000}"/>
    <cellStyle name="_Column6_MIS2_Rüstzeit" xfId="9959" xr:uid="{00000000-0005-0000-0000-0000DE260000}"/>
    <cellStyle name="_Column6_MIS2_SKU Volumen" xfId="9960" xr:uid="{00000000-0005-0000-0000-0000DF260000}"/>
    <cellStyle name="_Column6_MIS2_SKU Volumen 2" xfId="9961" xr:uid="{00000000-0005-0000-0000-0000E0260000}"/>
    <cellStyle name="_Column6_MIS2_SKU Volumen_Sheet1" xfId="9962" xr:uid="{00000000-0005-0000-0000-0000E1260000}"/>
    <cellStyle name="_Column6_MIS2_SKU Volumen_Sm Proj Cash Flow" xfId="9963" xr:uid="{00000000-0005-0000-0000-0000E2260000}"/>
    <cellStyle name="_Column6_MIS2_SKU Volumen_Spend Detail" xfId="9964" xr:uid="{00000000-0005-0000-0000-0000E3260000}"/>
    <cellStyle name="_Column6_MIS2_SKU Volumen_SustainingProjectList" xfId="9965" xr:uid="{00000000-0005-0000-0000-0000E4260000}"/>
    <cellStyle name="_Column6_MIS2_Tabelle1" xfId="9966" xr:uid="{00000000-0005-0000-0000-0000E5260000}"/>
    <cellStyle name="_Column6_MIS2_Tabelle1 2" xfId="9967" xr:uid="{00000000-0005-0000-0000-0000E6260000}"/>
    <cellStyle name="_Column6_MIS2_Tabelle1 2 2" xfId="9968" xr:uid="{00000000-0005-0000-0000-0000E7260000}"/>
    <cellStyle name="_Column6_MIS2_Tabelle1 3" xfId="9969" xr:uid="{00000000-0005-0000-0000-0000E8260000}"/>
    <cellStyle name="_Column6_MIS2_Tabelle1_Sheet1" xfId="9970" xr:uid="{00000000-0005-0000-0000-0000E9260000}"/>
    <cellStyle name="_Column6_MIS2_Tabelle1_Sm Proj Cash Flow" xfId="9971" xr:uid="{00000000-0005-0000-0000-0000EA260000}"/>
    <cellStyle name="_Column6_MIS2_Tabelle1_Spend Detail" xfId="9972" xr:uid="{00000000-0005-0000-0000-0000EB260000}"/>
    <cellStyle name="_Column6_MIS2_Tabelle1_SustainingProjectList" xfId="9973" xr:uid="{00000000-0005-0000-0000-0000EC260000}"/>
    <cellStyle name="_Column6_Mis23" xfId="9974" xr:uid="{00000000-0005-0000-0000-0000ED260000}"/>
    <cellStyle name="_Column6_Mis24" xfId="9975" xr:uid="{00000000-0005-0000-0000-0000EE260000}"/>
    <cellStyle name="_Column6_Mis24 2" xfId="9976" xr:uid="{00000000-0005-0000-0000-0000EF260000}"/>
    <cellStyle name="_Column6_Mis24 2 2" xfId="9977" xr:uid="{00000000-0005-0000-0000-0000F0260000}"/>
    <cellStyle name="_Column6_Mis24 3" xfId="9978" xr:uid="{00000000-0005-0000-0000-0000F1260000}"/>
    <cellStyle name="_Column6_Mis25" xfId="9979" xr:uid="{00000000-0005-0000-0000-0000F2260000}"/>
    <cellStyle name="_Column6_MIS3" xfId="9980" xr:uid="{00000000-0005-0000-0000-0000F3260000}"/>
    <cellStyle name="_Column6_MIS3 2" xfId="9981" xr:uid="{00000000-0005-0000-0000-0000F4260000}"/>
    <cellStyle name="_Column6_MIS3 2 2" xfId="9982" xr:uid="{00000000-0005-0000-0000-0000F5260000}"/>
    <cellStyle name="_Column6_MIS3 2 2 2" xfId="9983" xr:uid="{00000000-0005-0000-0000-0000F6260000}"/>
    <cellStyle name="_Column6_MIS3 2 3" xfId="9984" xr:uid="{00000000-0005-0000-0000-0000F7260000}"/>
    <cellStyle name="_Column6_MIS3 2 3 2" xfId="9985" xr:uid="{00000000-0005-0000-0000-0000F8260000}"/>
    <cellStyle name="_Column6_MIS3 2 3 3" xfId="9986" xr:uid="{00000000-0005-0000-0000-0000F9260000}"/>
    <cellStyle name="_Column6_MIS3 2 4" xfId="9987" xr:uid="{00000000-0005-0000-0000-0000FA260000}"/>
    <cellStyle name="_Column6_MIS3 2 5" xfId="9988" xr:uid="{00000000-0005-0000-0000-0000FB260000}"/>
    <cellStyle name="_Column6_MIS3 3" xfId="9989" xr:uid="{00000000-0005-0000-0000-0000FC260000}"/>
    <cellStyle name="_Column6_MIS3 3 2" xfId="9990" xr:uid="{00000000-0005-0000-0000-0000FD260000}"/>
    <cellStyle name="_Column6_MIS3 3 3" xfId="9991" xr:uid="{00000000-0005-0000-0000-0000FE260000}"/>
    <cellStyle name="_Column6_MIS3 3 3 2" xfId="9992" xr:uid="{00000000-0005-0000-0000-0000FF260000}"/>
    <cellStyle name="_Column6_MIS3 4" xfId="9993" xr:uid="{00000000-0005-0000-0000-000000270000}"/>
    <cellStyle name="_Column6_MIS3 4 2" xfId="9994" xr:uid="{00000000-0005-0000-0000-000001270000}"/>
    <cellStyle name="_Column6_MIS3 4 3" xfId="9995" xr:uid="{00000000-0005-0000-0000-000002270000}"/>
    <cellStyle name="_Column6_MIS3 5" xfId="9996" xr:uid="{00000000-0005-0000-0000-000003270000}"/>
    <cellStyle name="_Column6_MIS3 6" xfId="9997" xr:uid="{00000000-0005-0000-0000-000004270000}"/>
    <cellStyle name="_Column6_MIS3_Sheet1" xfId="9998" xr:uid="{00000000-0005-0000-0000-000005270000}"/>
    <cellStyle name="_Column6_MIS3_Sm Proj Cash Flow" xfId="9999" xr:uid="{00000000-0005-0000-0000-000006270000}"/>
    <cellStyle name="_Column6_MIS3_Spend Detail" xfId="10000" xr:uid="{00000000-0005-0000-0000-000007270000}"/>
    <cellStyle name="_Column6_MIS3_SustainingProjectList" xfId="10001" xr:uid="{00000000-0005-0000-0000-000008270000}"/>
    <cellStyle name="_Column6_MIS4" xfId="10002" xr:uid="{00000000-0005-0000-0000-000009270000}"/>
    <cellStyle name="_Column6_MIS4_1" xfId="10003" xr:uid="{00000000-0005-0000-0000-00000A270000}"/>
    <cellStyle name="_Column6_MIS4_1_packaging" xfId="10004" xr:uid="{00000000-0005-0000-0000-00000B270000}"/>
    <cellStyle name="_Column6_MIS5" xfId="10005" xr:uid="{00000000-0005-0000-0000-00000C270000}"/>
    <cellStyle name="_Column6_MIS5_1" xfId="10006" xr:uid="{00000000-0005-0000-0000-00000D270000}"/>
    <cellStyle name="_Column6_MIS5_1_packaging" xfId="10007" xr:uid="{00000000-0005-0000-0000-00000E270000}"/>
    <cellStyle name="_Column6_MIS7" xfId="10008" xr:uid="{00000000-0005-0000-0000-00000F270000}"/>
    <cellStyle name="_Column6_MIS9" xfId="10009" xr:uid="{00000000-0005-0000-0000-000010270000}"/>
    <cellStyle name="_Column6_MIS9 2" xfId="10010" xr:uid="{00000000-0005-0000-0000-000011270000}"/>
    <cellStyle name="_Column6_MIS9_Anlagenbelegung Auswertung SKU pro Linie 2006-07-25 -ÜB." xfId="10011" xr:uid="{00000000-0005-0000-0000-000012270000}"/>
    <cellStyle name="_Column6_Mkt marzo" xfId="10012" xr:uid="{00000000-0005-0000-0000-000013270000}"/>
    <cellStyle name="_Column6_Netherlands" xfId="10013" xr:uid="{00000000-0005-0000-0000-000014270000}"/>
    <cellStyle name="_Column6_NNT_LE'08_1605vsBGT'09_1713" xfId="10014" xr:uid="{00000000-0005-0000-0000-000015270000}"/>
    <cellStyle name="_Column6_NNT_LE'08_1605vsBGT'09_1713 2" xfId="10015" xr:uid="{00000000-0005-0000-0000-000016270000}"/>
    <cellStyle name="_Column6_NNT_LE'08_1605vsBGT'09_1713 3" xfId="10016" xr:uid="{00000000-0005-0000-0000-000017270000}"/>
    <cellStyle name="_Column6_NNT_LE'08_1605vsBGT'09_1713 3 2" xfId="10017" xr:uid="{00000000-0005-0000-0000-000018270000}"/>
    <cellStyle name="_Column6_NNT_LE'08_1605vsBGT'09_1713 3 3" xfId="10018" xr:uid="{00000000-0005-0000-0000-000019270000}"/>
    <cellStyle name="_Column6_NNT_LE'08_1605vsBGT'09_1713 3 3 2" xfId="10019" xr:uid="{00000000-0005-0000-0000-00001A270000}"/>
    <cellStyle name="_Column6_NNT_LE'08_1605vsBGT'09_1713 4" xfId="10020" xr:uid="{00000000-0005-0000-0000-00001B270000}"/>
    <cellStyle name="_Column6_NNT_LE'08_1605vsBGT'09_1713 4 2" xfId="10021" xr:uid="{00000000-0005-0000-0000-00001C270000}"/>
    <cellStyle name="_Column6_Non bev sales income" xfId="10022" xr:uid="{00000000-0005-0000-0000-00001D270000}"/>
    <cellStyle name="_Column6_Non bev. sales income" xfId="10023" xr:uid="{00000000-0005-0000-0000-00001E270000}"/>
    <cellStyle name="_Column6_Nuove sku" xfId="10024" xr:uid="{00000000-0005-0000-0000-00001F270000}"/>
    <cellStyle name="_Column6_Off T. marzo" xfId="10025" xr:uid="{00000000-0005-0000-0000-000020270000}"/>
    <cellStyle name="_Column6_OFF TRADE Volumi e maco Bdg 2007 by LUCA" xfId="10026" xr:uid="{00000000-0005-0000-0000-000021270000}"/>
    <cellStyle name="_Column6_OFF TRADE_MACO 2006" xfId="10027" xr:uid="{00000000-0005-0000-0000-000022270000}"/>
    <cellStyle name="_Column6_On Trade estratto al 30.06.06" xfId="10028" xr:uid="{00000000-0005-0000-0000-000023270000}"/>
    <cellStyle name="_Column6_On Trade Gen'07" xfId="10029" xr:uid="{00000000-0005-0000-0000-000024270000}"/>
    <cellStyle name="_Column6_Out of scope" xfId="10030" xr:uid="{00000000-0005-0000-0000-000025270000}"/>
    <cellStyle name="_Column6_Packages + Subpack" xfId="10031" xr:uid="{00000000-0005-0000-0000-000026270000}"/>
    <cellStyle name="_Column6_Packages ON + DD" xfId="10032" xr:uid="{00000000-0005-0000-0000-000027270000}"/>
    <cellStyle name="_Column6_packaging" xfId="10033" xr:uid="{00000000-0005-0000-0000-000028270000}"/>
    <cellStyle name="_Column6_packaging_1" xfId="10034" xr:uid="{00000000-0005-0000-0000-000029270000}"/>
    <cellStyle name="_Column6_Partner - bilancio novembre" xfId="10035" xr:uid="{00000000-0005-0000-0000-00002A270000}"/>
    <cellStyle name="_Column6_PE" xfId="10036" xr:uid="{00000000-0005-0000-0000-00002B270000}"/>
    <cellStyle name="_Column6_PE 2" xfId="10037" xr:uid="{00000000-0005-0000-0000-00002C270000}"/>
    <cellStyle name="_Column6_PE 2 2" xfId="10038" xr:uid="{00000000-0005-0000-0000-00002D270000}"/>
    <cellStyle name="_Column6_PE 3" xfId="10039" xr:uid="{00000000-0005-0000-0000-00002E270000}"/>
    <cellStyle name="_Column6_People Package" xfId="10040" xr:uid="{00000000-0005-0000-0000-00002F270000}"/>
    <cellStyle name="_Column6_People Package (2)" xfId="10041" xr:uid="{00000000-0005-0000-0000-000030270000}"/>
    <cellStyle name="_Column6_People Package (2) 2" xfId="10042" xr:uid="{00000000-0005-0000-0000-000031270000}"/>
    <cellStyle name="_Column6_People Package (2) 2 2" xfId="10043" xr:uid="{00000000-0005-0000-0000-000032270000}"/>
    <cellStyle name="_Column6_People Package (2) 3" xfId="10044" xr:uid="{00000000-0005-0000-0000-000033270000}"/>
    <cellStyle name="_Column6_People Package 2" xfId="10045" xr:uid="{00000000-0005-0000-0000-000034270000}"/>
    <cellStyle name="_Column6_People Package 2 2" xfId="10046" xr:uid="{00000000-0005-0000-0000-000035270000}"/>
    <cellStyle name="_Column6_People Package 3" xfId="10047" xr:uid="{00000000-0005-0000-0000-000036270000}"/>
    <cellStyle name="_Column6_People Package 3 2" xfId="10048" xr:uid="{00000000-0005-0000-0000-000037270000}"/>
    <cellStyle name="_Column6_People Package 4" xfId="10049" xr:uid="{00000000-0005-0000-0000-000038270000}"/>
    <cellStyle name="_Column6_People Package 5" xfId="10050" xr:uid="{00000000-0005-0000-0000-000039270000}"/>
    <cellStyle name="_Column6_P-LE-YTD-abs(loc)" xfId="10051" xr:uid="{00000000-0005-0000-0000-00003A270000}"/>
    <cellStyle name="_Column6_P-LE-YTD-abs(loc)_packaging" xfId="10052" xr:uid="{00000000-0005-0000-0000-00003B270000}"/>
    <cellStyle name="_Column6_RB&amp;JW_Produktionsplanung_LE1_2006 sortiert" xfId="10053" xr:uid="{00000000-0005-0000-0000-00003C270000}"/>
    <cellStyle name="_Column6_RB&amp;JW_Produktionsplanung_LE1_2006 sortiert 2" xfId="10054" xr:uid="{00000000-0005-0000-0000-00003D270000}"/>
    <cellStyle name="_Column6_RB&amp;JW_Produktionsplanung_LE1_2006 sortiert 2 2" xfId="10055" xr:uid="{00000000-0005-0000-0000-00003E270000}"/>
    <cellStyle name="_Column6_RB&amp;JW_Produktionsplanung_LE1_2006 sortiert_Sheet1" xfId="10056" xr:uid="{00000000-0005-0000-0000-00003F270000}"/>
    <cellStyle name="_Column6_RB&amp;JW_Produktionsplanung_LE1_2006 sortiert_Sheet5" xfId="10057" xr:uid="{00000000-0005-0000-0000-000040270000}"/>
    <cellStyle name="_Column6_RB&amp;JW_Produktionsplanung_LE1_2006 sortiert_Sm Proj Cash Flow" xfId="10058" xr:uid="{00000000-0005-0000-0000-000041270000}"/>
    <cellStyle name="_Column6_RB&amp;JW_Produktionsplanung_LE1_2006 sortiert_Spend Detail" xfId="10059" xr:uid="{00000000-0005-0000-0000-000042270000}"/>
    <cellStyle name="_Column6_RB&amp;JW_Produktionsplanung_LE1_2006 sortiert_SustainingProjectList" xfId="10060" xr:uid="{00000000-0005-0000-0000-000043270000}"/>
    <cellStyle name="_Column6_RD" xfId="10061" xr:uid="{00000000-0005-0000-0000-000044270000}"/>
    <cellStyle name="_Column6_RD 2" xfId="10062" xr:uid="{00000000-0005-0000-0000-000045270000}"/>
    <cellStyle name="_Column6_RD 2 2" xfId="10063" xr:uid="{00000000-0005-0000-0000-000046270000}"/>
    <cellStyle name="_Column6_RD 3" xfId="10064" xr:uid="{00000000-0005-0000-0000-000047270000}"/>
    <cellStyle name="_Column6_Report Inbev FINANCE November 06" xfId="10065" xr:uid="{00000000-0005-0000-0000-000048270000}"/>
    <cellStyle name="_Column6_Return rates" xfId="10066" xr:uid="{00000000-0005-0000-0000-000049270000}"/>
    <cellStyle name="_Column6_Returnable Packaging" xfId="10067" xr:uid="{00000000-0005-0000-0000-00004A270000}"/>
    <cellStyle name="_Column6_Returnable Packaging Prices 2008 (2)" xfId="10068" xr:uid="{00000000-0005-0000-0000-00004B270000}"/>
    <cellStyle name="_Column6_Rüstzeit" xfId="10069" xr:uid="{00000000-0005-0000-0000-00004C270000}"/>
    <cellStyle name="_Column6_RW_Mutteranlge" xfId="10070" xr:uid="{00000000-0005-0000-0000-00004D270000}"/>
    <cellStyle name="_Column6_RW4" xfId="10071" xr:uid="{00000000-0005-0000-0000-00004E270000}"/>
    <cellStyle name="_Column6_S&amp;D Italy" xfId="10072" xr:uid="{00000000-0005-0000-0000-00004F270000}"/>
    <cellStyle name="_Column6_Sales" xfId="10073" xr:uid="{00000000-0005-0000-0000-000050270000}"/>
    <cellStyle name="_Column6_Sales and Marketing - revised" xfId="10074" xr:uid="{00000000-0005-0000-0000-000051270000}"/>
    <cellStyle name="_Column6_Sales and Marketing - revised 2" xfId="10075" xr:uid="{00000000-0005-0000-0000-000052270000}"/>
    <cellStyle name="_Column6_Sales and Marketing - revised 2 2" xfId="10076" xr:uid="{00000000-0005-0000-0000-000053270000}"/>
    <cellStyle name="_Column6_Sales and Marketing - revised 3" xfId="10077" xr:uid="{00000000-0005-0000-0000-000054270000}"/>
    <cellStyle name="_Column6_Sales Daten" xfId="10078" xr:uid="{00000000-0005-0000-0000-000055270000}"/>
    <cellStyle name="_Column6_Sales On-Trade" xfId="10079" xr:uid="{00000000-0005-0000-0000-000056270000}"/>
    <cellStyle name="_Column6_SCFD_FLACON" xfId="10080" xr:uid="{00000000-0005-0000-0000-000057270000}"/>
    <cellStyle name="_Column6_SF_Volumes &amp; Maco pro hl Haake-Beck Budget 2009" xfId="10081" xr:uid="{00000000-0005-0000-0000-000058270000}"/>
    <cellStyle name="_Column6_SF_Volumes &amp; Maco pro hl Haake-Beck Budget 2009_RFFS SUBMISSION TO VPs" xfId="10082" xr:uid="{00000000-0005-0000-0000-000059270000}"/>
    <cellStyle name="_Column6_SF_Volumes &amp; Maco pro hl Haake-Beck Budget 2009_RFFS_SUBMISSION_TO_VPs _v2" xfId="10083" xr:uid="{00000000-0005-0000-0000-00005A270000}"/>
    <cellStyle name="_Column6_Sheet1" xfId="10084" xr:uid="{00000000-0005-0000-0000-00005B270000}"/>
    <cellStyle name="_Column6_Sheet1 (2)" xfId="10085" xr:uid="{00000000-0005-0000-0000-00005C270000}"/>
    <cellStyle name="_Column6_Sheet1 10" xfId="10086" xr:uid="{00000000-0005-0000-0000-00005D270000}"/>
    <cellStyle name="_Column6_Sheet1 11" xfId="10087" xr:uid="{00000000-0005-0000-0000-00005E270000}"/>
    <cellStyle name="_Column6_Sheet1 12" xfId="10088" xr:uid="{00000000-0005-0000-0000-00005F270000}"/>
    <cellStyle name="_Column6_Sheet1 13" xfId="10089" xr:uid="{00000000-0005-0000-0000-000060270000}"/>
    <cellStyle name="_Column6_Sheet1 14" xfId="10090" xr:uid="{00000000-0005-0000-0000-000061270000}"/>
    <cellStyle name="_Column6_Sheet1 15" xfId="10091" xr:uid="{00000000-0005-0000-0000-000062270000}"/>
    <cellStyle name="_Column6_Sheet1 16" xfId="10092" xr:uid="{00000000-0005-0000-0000-000063270000}"/>
    <cellStyle name="_Column6_Sheet1 17" xfId="10093" xr:uid="{00000000-0005-0000-0000-000064270000}"/>
    <cellStyle name="_Column6_Sheet1 18" xfId="10094" xr:uid="{00000000-0005-0000-0000-000065270000}"/>
    <cellStyle name="_Column6_Sheet1 19" xfId="10095" xr:uid="{00000000-0005-0000-0000-000066270000}"/>
    <cellStyle name="_Column6_Sheet1 2" xfId="10096" xr:uid="{00000000-0005-0000-0000-000067270000}"/>
    <cellStyle name="_Column6_Sheet1 20" xfId="10097" xr:uid="{00000000-0005-0000-0000-000068270000}"/>
    <cellStyle name="_Column6_Sheet1 21" xfId="10098" xr:uid="{00000000-0005-0000-0000-000069270000}"/>
    <cellStyle name="_Column6_Sheet1 22" xfId="10099" xr:uid="{00000000-0005-0000-0000-00006A270000}"/>
    <cellStyle name="_Column6_Sheet1 23" xfId="10100" xr:uid="{00000000-0005-0000-0000-00006B270000}"/>
    <cellStyle name="_Column6_Sheet1 24" xfId="10101" xr:uid="{00000000-0005-0000-0000-00006C270000}"/>
    <cellStyle name="_Column6_Sheet1 25" xfId="10102" xr:uid="{00000000-0005-0000-0000-00006D270000}"/>
    <cellStyle name="_Column6_Sheet1 3" xfId="10103" xr:uid="{00000000-0005-0000-0000-00006E270000}"/>
    <cellStyle name="_Column6_Sheet1 4" xfId="10104" xr:uid="{00000000-0005-0000-0000-00006F270000}"/>
    <cellStyle name="_Column6_Sheet1 5" xfId="10105" xr:uid="{00000000-0005-0000-0000-000070270000}"/>
    <cellStyle name="_Column6_Sheet1 6" xfId="10106" xr:uid="{00000000-0005-0000-0000-000071270000}"/>
    <cellStyle name="_Column6_Sheet1 7" xfId="10107" xr:uid="{00000000-0005-0000-0000-000072270000}"/>
    <cellStyle name="_Column6_Sheet1 8" xfId="10108" xr:uid="{00000000-0005-0000-0000-000073270000}"/>
    <cellStyle name="_Column6_Sheet1 9" xfId="10109" xr:uid="{00000000-0005-0000-0000-000074270000}"/>
    <cellStyle name="_Column6_Sheet1_Analisi vol ott" xfId="10110" xr:uid="{00000000-0005-0000-0000-000075270000}"/>
    <cellStyle name="_Column6_Sheet1_BACK UP FIGURES for PRESENTATION LE1" xfId="10111" xr:uid="{00000000-0005-0000-0000-000076270000}"/>
    <cellStyle name="_Column6_Sheet1_Belgium" xfId="10112" xr:uid="{00000000-0005-0000-0000-000077270000}"/>
    <cellStyle name="_Column6_Sheet1_Belgium_brew" xfId="10113" xr:uid="{00000000-0005-0000-0000-000078270000}"/>
    <cellStyle name="_Column6_Sheet1_cans" xfId="10114" xr:uid="{00000000-0005-0000-0000-000079270000}"/>
    <cellStyle name="_Column6_Sheet1_Luxembourg_brew" xfId="10115" xr:uid="{00000000-0005-0000-0000-00007A270000}"/>
    <cellStyle name="_Column6_Sheet1_Maco LE1 vers 30.4.07" xfId="10116" xr:uid="{00000000-0005-0000-0000-00007B270000}"/>
    <cellStyle name="_Column6_Sheet1_Maco LE1 vers 30.4.07 PER PRESENTAZ" xfId="10117" xr:uid="{00000000-0005-0000-0000-00007C270000}"/>
    <cellStyle name="_Column6_Sheet1_Marzo 2007 Deck vers 16.4.07" xfId="10118" xr:uid="{00000000-0005-0000-0000-00007D270000}"/>
    <cellStyle name="_Column6_Sheet1_welp" xfId="10119" xr:uid="{00000000-0005-0000-0000-00007E270000}"/>
    <cellStyle name="_Column6_Sheet1_welp_RFFS SUBMISSION TO VPs" xfId="10120" xr:uid="{00000000-0005-0000-0000-00007F270000}"/>
    <cellStyle name="_Column6_Sheet1_welp_RFFS_SUBMISSION_TO_VPs _v2" xfId="10121" xr:uid="{00000000-0005-0000-0000-000080270000}"/>
    <cellStyle name="_Column6_Sheet2" xfId="10122" xr:uid="{00000000-0005-0000-0000-000081270000}"/>
    <cellStyle name="_Column6_Sheet5" xfId="10123" xr:uid="{00000000-0005-0000-0000-000082270000}"/>
    <cellStyle name="_Column6_Sku listini Off Trade" xfId="10124" xr:uid="{00000000-0005-0000-0000-000083270000}"/>
    <cellStyle name="_Column6_SKU Volumen" xfId="10125" xr:uid="{00000000-0005-0000-0000-000084270000}"/>
    <cellStyle name="_Column6_SKU Volumen 2" xfId="10126" xr:uid="{00000000-0005-0000-0000-000085270000}"/>
    <cellStyle name="_Column6_SKU Volumen_Sheet1" xfId="10127" xr:uid="{00000000-0005-0000-0000-000086270000}"/>
    <cellStyle name="_Column6_SKU Volumen_Sm Proj Cash Flow" xfId="10128" xr:uid="{00000000-0005-0000-0000-000087270000}"/>
    <cellStyle name="_Column6_SKU Volumen_Spend Detail" xfId="10129" xr:uid="{00000000-0005-0000-0000-000088270000}"/>
    <cellStyle name="_Column6_SKU Volumen_SustainingProjectList" xfId="10130" xr:uid="{00000000-0005-0000-0000-000089270000}"/>
    <cellStyle name="_Column6_Slide for initiatives (2)" xfId="10131" xr:uid="{00000000-0005-0000-0000-00008A270000}"/>
    <cellStyle name="_Column6_Slide for initiatives (2) 2" xfId="10132" xr:uid="{00000000-0005-0000-0000-00008B270000}"/>
    <cellStyle name="_Column6_Slide for initiatives (2) 3" xfId="10133" xr:uid="{00000000-0005-0000-0000-00008C270000}"/>
    <cellStyle name="_Column6_Slide for initiatives (2) 3 2" xfId="10134" xr:uid="{00000000-0005-0000-0000-00008D270000}"/>
    <cellStyle name="_Column6_Slide for initiatives (2) 3 3" xfId="10135" xr:uid="{00000000-0005-0000-0000-00008E270000}"/>
    <cellStyle name="_Column6_Slide for initiatives (2) 3 3 2" xfId="10136" xr:uid="{00000000-0005-0000-0000-00008F270000}"/>
    <cellStyle name="_Column6_Slide for initiatives (2) 4" xfId="10137" xr:uid="{00000000-0005-0000-0000-000090270000}"/>
    <cellStyle name="_Column6_Slide for initiatives (2) 4 2" xfId="10138" xr:uid="{00000000-0005-0000-0000-000091270000}"/>
    <cellStyle name="_Column6_slide Innovation" xfId="10139" xr:uid="{00000000-0005-0000-0000-000092270000}"/>
    <cellStyle name="_Column6_Sortierkosten LE2 Hasseröder" xfId="10140" xr:uid="{00000000-0005-0000-0000-000093270000}"/>
    <cellStyle name="_Column6_SP DEMAND" xfId="10141" xr:uid="{00000000-0005-0000-0000-000094270000}"/>
    <cellStyle name="_Column6_SPR_Deck_2008_RFM_20080723" xfId="10142" xr:uid="{00000000-0005-0000-0000-000095270000}"/>
    <cellStyle name="_Column6_Stock 9.4" xfId="10143" xr:uid="{00000000-0005-0000-0000-000096270000}"/>
    <cellStyle name="_Column6_Strategic Diagnostic Templates Technik" xfId="10144" xr:uid="{00000000-0005-0000-0000-000097270000}"/>
    <cellStyle name="_Column6_Strategic Diagnostic Templates Technik 2" xfId="10145" xr:uid="{00000000-0005-0000-0000-000098270000}"/>
    <cellStyle name="_Column6_Strategic Diagnostic Templates Technik 2 2" xfId="10146" xr:uid="{00000000-0005-0000-0000-000099270000}"/>
    <cellStyle name="_Column6_Strategic Diagnostic Templates Technik 3" xfId="10147" xr:uid="{00000000-0005-0000-0000-00009A270000}"/>
    <cellStyle name="_Column6_Strategic Diagnostic Templates Technik_Accident frequency" xfId="10148" xr:uid="{00000000-0005-0000-0000-00009B270000}"/>
    <cellStyle name="_Column6_Strategic Diagnostic Templates Technik_Basis" xfId="10149" xr:uid="{00000000-0005-0000-0000-00009C270000}"/>
    <cellStyle name="_Column6_Strategic Diagnostic Templates Technik_Basis 2" xfId="10150" xr:uid="{00000000-0005-0000-0000-00009D270000}"/>
    <cellStyle name="_Column6_Strategic Diagnostic Templates Technik_Basis 2 2" xfId="10151" xr:uid="{00000000-0005-0000-0000-00009E270000}"/>
    <cellStyle name="_Column6_Strategic Diagnostic Templates Technik_Basis_Sheet1" xfId="10152" xr:uid="{00000000-0005-0000-0000-00009F270000}"/>
    <cellStyle name="_Column6_Strategic Diagnostic Templates Technik_Basis_Sheet5" xfId="10153" xr:uid="{00000000-0005-0000-0000-0000A0270000}"/>
    <cellStyle name="_Column6_Strategic Diagnostic Templates Technik_Basis_Sm Proj Cash Flow" xfId="10154" xr:uid="{00000000-0005-0000-0000-0000A1270000}"/>
    <cellStyle name="_Column6_Strategic Diagnostic Templates Technik_Basis_Spend Detail" xfId="10155" xr:uid="{00000000-0005-0000-0000-0000A2270000}"/>
    <cellStyle name="_Column6_Strategic Diagnostic Templates Technik_Basis_SustainingProjectList" xfId="10156" xr:uid="{00000000-0005-0000-0000-0000A3270000}"/>
    <cellStyle name="_Column6_Strategic Diagnostic Templates Technik_Copy of 081027 ZBB Budget 2009 Decks - People_Cherry_V4" xfId="10157" xr:uid="{00000000-0005-0000-0000-0000A4270000}"/>
    <cellStyle name="_Column6_Strategic Diagnostic Templates Technik_Copy of 081027 ZBB Budget 2009 Decks - People_Cherry_V4 2" xfId="10158" xr:uid="{00000000-0005-0000-0000-0000A5270000}"/>
    <cellStyle name="_Column6_Strategic Diagnostic Templates Technik_Copy of 081027 ZBB Budget 2009 Decks - People_Cherry_V4 2 2" xfId="10159" xr:uid="{00000000-0005-0000-0000-0000A6270000}"/>
    <cellStyle name="_Column6_Strategic Diagnostic Templates Technik_Copy of 081027 ZBB Budget 2009 Decks - People_Cherry_V4 3" xfId="10160" xr:uid="{00000000-0005-0000-0000-0000A7270000}"/>
    <cellStyle name="_Column6_Strategic Diagnostic Templates Technik_Copy of 081027 ZBB Budget 2009 Decks - People_Cherry_V4_Copy of US ZBB Budget Tracker v3" xfId="10161" xr:uid="{00000000-0005-0000-0000-0000A8270000}"/>
    <cellStyle name="_Column6_Strategic Diagnostic Templates Technik_Copy of 081027 ZBB Budget 2009 Decks - People_Cherry_V4_US ZBB Budget Tracker updated 3-8-2010" xfId="10162" xr:uid="{00000000-0005-0000-0000-0000A9270000}"/>
    <cellStyle name="_Column6_Strategic Diagnostic Templates Technik_Copy of US ZBB Budget Tracker v3" xfId="10163" xr:uid="{00000000-0005-0000-0000-0000AA270000}"/>
    <cellStyle name="_Column6_Strategic Diagnostic Templates Technik_RB&amp;JW_Produktionsplanung_LE1_2006 sortiert" xfId="10164" xr:uid="{00000000-0005-0000-0000-0000AB270000}"/>
    <cellStyle name="_Column6_Strategic Diagnostic Templates Technik_RB&amp;JW_Produktionsplanung_LE1_2006 sortiert 2" xfId="10165" xr:uid="{00000000-0005-0000-0000-0000AC270000}"/>
    <cellStyle name="_Column6_Strategic Diagnostic Templates Technik_RB&amp;JW_Produktionsplanung_LE1_2006 sortiert 2 2" xfId="10166" xr:uid="{00000000-0005-0000-0000-0000AD270000}"/>
    <cellStyle name="_Column6_Strategic Diagnostic Templates Technik_RB&amp;JW_Produktionsplanung_LE1_2006 sortiert_Sheet1" xfId="10167" xr:uid="{00000000-0005-0000-0000-0000AE270000}"/>
    <cellStyle name="_Column6_Strategic Diagnostic Templates Technik_RB&amp;JW_Produktionsplanung_LE1_2006 sortiert_Sheet5" xfId="10168" xr:uid="{00000000-0005-0000-0000-0000AF270000}"/>
    <cellStyle name="_Column6_Strategic Diagnostic Templates Technik_RB&amp;JW_Produktionsplanung_LE1_2006 sortiert_Sm Proj Cash Flow" xfId="10169" xr:uid="{00000000-0005-0000-0000-0000B0270000}"/>
    <cellStyle name="_Column6_Strategic Diagnostic Templates Technik_RB&amp;JW_Produktionsplanung_LE1_2006 sortiert_Spend Detail" xfId="10170" xr:uid="{00000000-0005-0000-0000-0000B1270000}"/>
    <cellStyle name="_Column6_Strategic Diagnostic Templates Technik_RB&amp;JW_Produktionsplanung_LE1_2006 sortiert_SustainingProjectList" xfId="10171" xr:uid="{00000000-0005-0000-0000-0000B2270000}"/>
    <cellStyle name="_Column6_Strategic Diagnostic Templates Technik_SKU Volumen" xfId="10172" xr:uid="{00000000-0005-0000-0000-0000B3270000}"/>
    <cellStyle name="_Column6_Strategic Diagnostic Templates Technik_SKU Volumen 2" xfId="10173" xr:uid="{00000000-0005-0000-0000-0000B4270000}"/>
    <cellStyle name="_Column6_Strategic Diagnostic Templates Technik_SKU Volumen_Sheet1" xfId="10174" xr:uid="{00000000-0005-0000-0000-0000B5270000}"/>
    <cellStyle name="_Column6_Strategic Diagnostic Templates Technik_SKU Volumen_Sm Proj Cash Flow" xfId="10175" xr:uid="{00000000-0005-0000-0000-0000B6270000}"/>
    <cellStyle name="_Column6_Strategic Diagnostic Templates Technik_SKU Volumen_Spend Detail" xfId="10176" xr:uid="{00000000-0005-0000-0000-0000B7270000}"/>
    <cellStyle name="_Column6_Strategic Diagnostic Templates Technik_SKU Volumen_SustainingProjectList" xfId="10177" xr:uid="{00000000-0005-0000-0000-0000B8270000}"/>
    <cellStyle name="_Column6_Strategic Diagnostic Templates Technik_Tabelle1" xfId="10178" xr:uid="{00000000-0005-0000-0000-0000B9270000}"/>
    <cellStyle name="_Column6_Strategic Diagnostic Templates Technik_Tabelle1 2" xfId="10179" xr:uid="{00000000-0005-0000-0000-0000BA270000}"/>
    <cellStyle name="_Column6_Strategic Diagnostic Templates Technik_Tabelle1_Sheet1" xfId="10180" xr:uid="{00000000-0005-0000-0000-0000BB270000}"/>
    <cellStyle name="_Column6_Strategic Diagnostic Templates Technik_Tabelle1_Sm Proj Cash Flow" xfId="10181" xr:uid="{00000000-0005-0000-0000-0000BC270000}"/>
    <cellStyle name="_Column6_Strategic Diagnostic Templates Technik_Tabelle1_Spend Detail" xfId="10182" xr:uid="{00000000-0005-0000-0000-0000BD270000}"/>
    <cellStyle name="_Column6_Strategic Diagnostic Templates Technik_Tabelle1_SustainingProjectList" xfId="10183" xr:uid="{00000000-0005-0000-0000-0000BE270000}"/>
    <cellStyle name="_Column6_Strategic Diagnostic Templates Technik_US ZBB Budget Tracker updated 3-8-2010" xfId="10184" xr:uid="{00000000-0005-0000-0000-0000BF270000}"/>
    <cellStyle name="_Column6_Strategic Diagnostic Templates Technik_ZBB Budget 2009 Decks" xfId="10185" xr:uid="{00000000-0005-0000-0000-0000C0270000}"/>
    <cellStyle name="_Column6_Strategic Diagnostic Templates Technik_ZBB Budget 2009 Decks 2" xfId="10186" xr:uid="{00000000-0005-0000-0000-0000C1270000}"/>
    <cellStyle name="_Column6_Strategic Diagnostic Templates Technik_ZBB Budget 2009 Decks 2 2" xfId="10187" xr:uid="{00000000-0005-0000-0000-0000C2270000}"/>
    <cellStyle name="_Column6_Strategic Diagnostic Templates Technik_ZBB Budget 2009 Decks 3" xfId="10188" xr:uid="{00000000-0005-0000-0000-0000C3270000}"/>
    <cellStyle name="_Column6_Strategic Diagnostic Templates Technik_ZBB Budget 2009 Decks_Copy of US ZBB Budget Tracker v3" xfId="10189" xr:uid="{00000000-0005-0000-0000-0000C4270000}"/>
    <cellStyle name="_Column6_Strategic Diagnostic Templates Technik_ZBB Budget 2009 Decks_US ZBB Budget Tracker updated 3-8-2010" xfId="10190" xr:uid="{00000000-0005-0000-0000-0000C5270000}"/>
    <cellStyle name="_Column6_Strategic Diagnostic Templates Technik_ZBB Budget 2009 Decks_with Korea Scope in (Only LE)" xfId="10191" xr:uid="{00000000-0005-0000-0000-0000C6270000}"/>
    <cellStyle name="_Column6_Strategic Diagnostic Templates Technik_ZBB Budget 2009 Decks_with Korea Scope in (Only LE) (2)" xfId="10192" xr:uid="{00000000-0005-0000-0000-0000C7270000}"/>
    <cellStyle name="_Column6_Strategic Diagnostic Templates Technik_ZBB Budget 2009 Decks_with Korea Scope in (Only LE) (2) 2" xfId="10193" xr:uid="{00000000-0005-0000-0000-0000C8270000}"/>
    <cellStyle name="_Column6_Strategic Diagnostic Templates Technik_ZBB Budget 2009 Decks_with Korea Scope in (Only LE) (2) 2 2" xfId="10194" xr:uid="{00000000-0005-0000-0000-0000C9270000}"/>
    <cellStyle name="_Column6_Strategic Diagnostic Templates Technik_ZBB Budget 2009 Decks_with Korea Scope in (Only LE) (2) 3" xfId="10195" xr:uid="{00000000-0005-0000-0000-0000CA270000}"/>
    <cellStyle name="_Column6_Strategic Diagnostic Templates Technik_ZBB Budget 2009 Decks_with Korea Scope in (Only LE) (2)_Copy of US ZBB Budget Tracker v3" xfId="10196" xr:uid="{00000000-0005-0000-0000-0000CB270000}"/>
    <cellStyle name="_Column6_Strategic Diagnostic Templates Technik_ZBB Budget 2009 Decks_with Korea Scope in (Only LE) (2)_US ZBB Budget Tracker updated 3-8-2010" xfId="10197" xr:uid="{00000000-0005-0000-0000-0000CC270000}"/>
    <cellStyle name="_Column6_Strategic Diagnostic Templates Technik_ZBB Budget 2009 Decks_with Korea Scope in (Only LE) 2" xfId="10198" xr:uid="{00000000-0005-0000-0000-0000CD270000}"/>
    <cellStyle name="_Column6_Strategic Diagnostic Templates Technik_ZBB Budget 2009 Decks_with Korea Scope in (Only LE) 2 2" xfId="10199" xr:uid="{00000000-0005-0000-0000-0000CE270000}"/>
    <cellStyle name="_Column6_Strategic Diagnostic Templates Technik_ZBB Budget 2009 Decks_with Korea Scope in (Only LE) 3" xfId="10200" xr:uid="{00000000-0005-0000-0000-0000CF270000}"/>
    <cellStyle name="_Column6_Strategic Diagnostic Templates Technik_ZBB Budget 2009 Decks_with Korea Scope in (Only LE) 3 2" xfId="10201" xr:uid="{00000000-0005-0000-0000-0000D0270000}"/>
    <cellStyle name="_Column6_Strategic Diagnostic Templates Technik_ZBB Budget 2009 Decks_with Korea Scope in (Only LE) 4" xfId="10202" xr:uid="{00000000-0005-0000-0000-0000D1270000}"/>
    <cellStyle name="_Column6_Strategic Diagnostic Templates Technik_ZBB Budget 2009 Decks_with Korea Scope in (Only LE) 5" xfId="10203" xr:uid="{00000000-0005-0000-0000-0000D2270000}"/>
    <cellStyle name="_Column6_Strategic Diagnostic Templates Technik_ZBB Budget 2009 Decks_with Korea Scope in (Only LE)_Copy of US ZBB Budget Tracker v3" xfId="10204" xr:uid="{00000000-0005-0000-0000-0000D3270000}"/>
    <cellStyle name="_Column6_Strategic Diagnostic Templates Technik_ZBB Budget 2009 Decks_with Korea Scope in (Only LE)_US ZBB Budget Tracker updated 3-8-2010" xfId="10205" xr:uid="{00000000-0005-0000-0000-0000D4270000}"/>
    <cellStyle name="_Column6_Tabelle1" xfId="10206" xr:uid="{00000000-0005-0000-0000-0000D5270000}"/>
    <cellStyle name="_Column6_Tabelle1 2" xfId="10207" xr:uid="{00000000-0005-0000-0000-0000D6270000}"/>
    <cellStyle name="_Column6_Tabelle1 2 2" xfId="10208" xr:uid="{00000000-0005-0000-0000-0000D7270000}"/>
    <cellStyle name="_Column6_Tabelle1 3" xfId="10209" xr:uid="{00000000-0005-0000-0000-0000D8270000}"/>
    <cellStyle name="_Column6_Tabelle1_1" xfId="10210" xr:uid="{00000000-0005-0000-0000-0000D9270000}"/>
    <cellStyle name="_Column6_Tabelle1_1_Absatz Ist je Artikel &amp; Woche V1" xfId="10211" xr:uid="{00000000-0005-0000-0000-0000DA270000}"/>
    <cellStyle name="_Column6_Tabelle1_1_Absatz Ist je Artikel &amp; Woche V1 2" xfId="10212" xr:uid="{00000000-0005-0000-0000-0000DB270000}"/>
    <cellStyle name="_Column6_Tabelle1_1_Absatz Ist je Artikel &amp; Woche V1_Sheet1" xfId="10213" xr:uid="{00000000-0005-0000-0000-0000DC270000}"/>
    <cellStyle name="_Column6_Tabelle1_1_Absatz Ist je Artikel &amp; Woche V1_Sm Proj Cash Flow" xfId="10214" xr:uid="{00000000-0005-0000-0000-0000DD270000}"/>
    <cellStyle name="_Column6_Tabelle1_1_Absatz Ist je Artikel &amp; Woche V1_Spend Detail" xfId="10215" xr:uid="{00000000-0005-0000-0000-0000DE270000}"/>
    <cellStyle name="_Column6_Tabelle1_1_Absatz Ist je Artikel &amp; Woche V1_SustainingProjectList" xfId="10216" xr:uid="{00000000-0005-0000-0000-0000DF270000}"/>
    <cellStyle name="_Column6_Tabelle1_1_details" xfId="10217" xr:uid="{00000000-0005-0000-0000-0000E0270000}"/>
    <cellStyle name="_Column6_Tabelle1_1_Keg Dynamische Bedarfsplanung Budget 2008 2.8.2007" xfId="10218" xr:uid="{00000000-0005-0000-0000-0000E1270000}"/>
    <cellStyle name="_Column6_Tabelle1_1_Tabelle2" xfId="10219" xr:uid="{00000000-0005-0000-0000-0000E2270000}"/>
    <cellStyle name="_Column6_Tabelle1_1_Tabelle2 2" xfId="10220" xr:uid="{00000000-0005-0000-0000-0000E3270000}"/>
    <cellStyle name="_Column6_Tabelle1_1_Tabelle2_Sheet1" xfId="10221" xr:uid="{00000000-0005-0000-0000-0000E4270000}"/>
    <cellStyle name="_Column6_Tabelle1_1_Tabelle2_Sm Proj Cash Flow" xfId="10222" xr:uid="{00000000-0005-0000-0000-0000E5270000}"/>
    <cellStyle name="_Column6_Tabelle1_1_Tabelle2_Spend Detail" xfId="10223" xr:uid="{00000000-0005-0000-0000-0000E6270000}"/>
    <cellStyle name="_Column6_Tabelle1_1_Tabelle2_SustainingProjectList" xfId="10224" xr:uid="{00000000-0005-0000-0000-0000E7270000}"/>
    <cellStyle name="_Column6_Tabelle1_1_Tabelle3" xfId="10225" xr:uid="{00000000-0005-0000-0000-0000E8270000}"/>
    <cellStyle name="_Column6_Tabelle1_1_Tabelle3 2" xfId="10226" xr:uid="{00000000-0005-0000-0000-0000E9270000}"/>
    <cellStyle name="_Column6_Tabelle1_1_Tabelle3_Sheet1" xfId="10227" xr:uid="{00000000-0005-0000-0000-0000EA270000}"/>
    <cellStyle name="_Column6_Tabelle1_1_Tabelle3_Sm Proj Cash Flow" xfId="10228" xr:uid="{00000000-0005-0000-0000-0000EB270000}"/>
    <cellStyle name="_Column6_Tabelle1_1_Tabelle3_Spend Detail" xfId="10229" xr:uid="{00000000-0005-0000-0000-0000EC270000}"/>
    <cellStyle name="_Column6_Tabelle1_1_Tabelle3_SustainingProjectList" xfId="10230" xr:uid="{00000000-0005-0000-0000-0000ED270000}"/>
    <cellStyle name="_Column6_Tabelle1_1_Template Capex budget 2010 Supply WE" xfId="10231" xr:uid="{00000000-0005-0000-0000-0000EE270000}"/>
    <cellStyle name="_Column6_Tabelle1_1_Template Capex budget 2010 Supply WE 2" xfId="10232" xr:uid="{00000000-0005-0000-0000-0000EF270000}"/>
    <cellStyle name="_Column6_Tabelle1_Absatz Ist je Artikel &amp; Woche V1" xfId="10233" xr:uid="{00000000-0005-0000-0000-0000F0270000}"/>
    <cellStyle name="_Column6_Tabelle1_Rüstzeit" xfId="10234" xr:uid="{00000000-0005-0000-0000-0000F1270000}"/>
    <cellStyle name="_Column6_Tabelle1_Sheet1" xfId="10235" xr:uid="{00000000-0005-0000-0000-0000F2270000}"/>
    <cellStyle name="_Column6_Tabelle1_Sm Proj Cash Flow" xfId="10236" xr:uid="{00000000-0005-0000-0000-0000F3270000}"/>
    <cellStyle name="_Column6_Tabelle1_Spend Detail" xfId="10237" xr:uid="{00000000-0005-0000-0000-0000F4270000}"/>
    <cellStyle name="_Column6_Tabelle1_SustainingProjectList" xfId="10238" xr:uid="{00000000-0005-0000-0000-0000F5270000}"/>
    <cellStyle name="_Column6_Tabelle1_Volumen 05&amp;06&amp;07" xfId="10239" xr:uid="{00000000-0005-0000-0000-0000F6270000}"/>
    <cellStyle name="_Column6_Tabelle11" xfId="10240" xr:uid="{00000000-0005-0000-0000-0000F7270000}"/>
    <cellStyle name="_Column6_Tabelle2" xfId="10241" xr:uid="{00000000-0005-0000-0000-0000F8270000}"/>
    <cellStyle name="_Column6_Tabelle3" xfId="10242" xr:uid="{00000000-0005-0000-0000-0000F9270000}"/>
    <cellStyle name="_Column6_Tax IT0192 0609" xfId="10243" xr:uid="{00000000-0005-0000-0000-0000FA270000}"/>
    <cellStyle name="_Column6_Template Capex budget 2010 Supply WE" xfId="10244" xr:uid="{00000000-0005-0000-0000-0000FB270000}"/>
    <cellStyle name="_Column6_Template for processing cognos corrections  (2)" xfId="10245" xr:uid="{00000000-0005-0000-0000-0000FC270000}"/>
    <cellStyle name="_Column6_TP BE_Ad-hoc" xfId="10246" xr:uid="{00000000-0005-0000-0000-0000FD270000}"/>
    <cellStyle name="_Column6_TP database" xfId="10247" xr:uid="{00000000-0005-0000-0000-0000FE270000}"/>
    <cellStyle name="_Column6_TP database vers 26.3.07" xfId="10248" xr:uid="{00000000-0005-0000-0000-0000FF270000}"/>
    <cellStyle name="_Column6_TP_IC_2013" xfId="10249" xr:uid="{00000000-0005-0000-0000-000000280000}"/>
    <cellStyle name="_Column6_TP_Stella" xfId="10250" xr:uid="{00000000-0005-0000-0000-000001280000}"/>
    <cellStyle name="_Column6_TPneu" xfId="10251" xr:uid="{00000000-0005-0000-0000-000002280000}"/>
    <cellStyle name="_Column6_TS_dimension split Italy 1206" xfId="10252" xr:uid="{00000000-0005-0000-0000-000003280000}"/>
    <cellStyle name="_Column6_VE" xfId="10253" xr:uid="{00000000-0005-0000-0000-000004280000}"/>
    <cellStyle name="_Column6_VE 2" xfId="10254" xr:uid="{00000000-0005-0000-0000-000005280000}"/>
    <cellStyle name="_Column6_VE 2 2" xfId="10255" xr:uid="{00000000-0005-0000-0000-000006280000}"/>
    <cellStyle name="_Column6_VE 3" xfId="10256" xr:uid="{00000000-0005-0000-0000-000007280000}"/>
    <cellStyle name="_Column6_VIC Personalkosten Filling Bremen" xfId="10257" xr:uid="{00000000-0005-0000-0000-000008280000}"/>
    <cellStyle name="_Column6_VIC+VPLC On" xfId="10258" xr:uid="{00000000-0005-0000-0000-000009280000}"/>
    <cellStyle name="_Column6_Vol Innovations 1st sub" xfId="10259" xr:uid="{00000000-0005-0000-0000-00000A280000}"/>
    <cellStyle name="_Column6_Vol mkt" xfId="10260" xr:uid="{00000000-0005-0000-0000-00000B280000}"/>
    <cellStyle name="_Column6_Vol x SKU e x package" xfId="10261" xr:uid="{00000000-0005-0000-0000-00000C280000}"/>
    <cellStyle name="_Column6_Vol_Innovations 1st Sub." xfId="10262" xr:uid="{00000000-0005-0000-0000-00000D280000}"/>
    <cellStyle name="_Column6_Volumen 05&amp;06&amp;07" xfId="10263" xr:uid="{00000000-0005-0000-0000-00000E280000}"/>
    <cellStyle name="_Column6_Volumes" xfId="10264" xr:uid="{00000000-0005-0000-0000-00000F280000}"/>
    <cellStyle name="_Column6_Volumes Bremen" xfId="10265" xr:uid="{00000000-0005-0000-0000-000010280000}"/>
    <cellStyle name="_Column6_Volumes Bremen_packaging" xfId="10266" xr:uid="{00000000-0005-0000-0000-000011280000}"/>
    <cellStyle name="_Column6_Volumes March'06" xfId="10267" xr:uid="{00000000-0005-0000-0000-000012280000}"/>
    <cellStyle name="_Column6_Volumes_packaging" xfId="10268" xr:uid="{00000000-0005-0000-0000-000013280000}"/>
    <cellStyle name="_Column6_Volumi" xfId="10269" xr:uid="{00000000-0005-0000-0000-000014280000}"/>
    <cellStyle name="_Column6_Volumi aprile" xfId="10270" xr:uid="{00000000-0005-0000-0000-000015280000}"/>
    <cellStyle name="_Column6_Volumi Aug estr da Alea" xfId="10271" xr:uid="{00000000-0005-0000-0000-000016280000}"/>
    <cellStyle name="_Column6_Volumi August estr da Alea" xfId="10272" xr:uid="{00000000-0005-0000-0000-000017280000}"/>
    <cellStyle name="_Column6_Volumi BU'07" xfId="10273" xr:uid="{00000000-0005-0000-0000-000018280000}"/>
    <cellStyle name="_Column6_Volumi Budget'07 Alea" xfId="10274" xr:uid="{00000000-0005-0000-0000-000019280000}"/>
    <cellStyle name="_Column6_Volumi estr 30.6.06" xfId="10275" xr:uid="{00000000-0005-0000-0000-00001A280000}"/>
    <cellStyle name="_Column6_Volumi July estr da Alea" xfId="10276" xr:uid="{00000000-0005-0000-0000-00001B280000}"/>
    <cellStyle name="_Column6_Volumi July estr da Alea_1" xfId="10277" xr:uid="{00000000-0005-0000-0000-00001C280000}"/>
    <cellStyle name="_Column6_Volumi Marzo (2)" xfId="10278" xr:uid="{00000000-0005-0000-0000-00001D280000}"/>
    <cellStyle name="_Column6_Volumi May estr da Alea" xfId="10279" xr:uid="{00000000-0005-0000-0000-00001E280000}"/>
    <cellStyle name="_Column6_Volumi October estr da Alea" xfId="10280" xr:uid="{00000000-0005-0000-0000-00001F280000}"/>
    <cellStyle name="_Column6_Volumi September estr da Alea" xfId="10281" xr:uid="{00000000-0005-0000-0000-000020280000}"/>
    <cellStyle name="_Column6_VP Supply Approval" xfId="10282" xr:uid="{00000000-0005-0000-0000-000021280000}"/>
    <cellStyle name="_Column6_VP Supply Approval_RFFS SUBMISSION TO VPs" xfId="10283" xr:uid="{00000000-0005-0000-0000-000022280000}"/>
    <cellStyle name="_Column6_VP Supply Approval_RFFS_SUBMISSION_TO_VPs _v2" xfId="10284" xr:uid="{00000000-0005-0000-0000-000023280000}"/>
    <cellStyle name="_Column6_VPLC" xfId="10285" xr:uid="{00000000-0005-0000-0000-000024280000}"/>
    <cellStyle name="_Column6_waterfall-rol" xfId="10286" xr:uid="{00000000-0005-0000-0000-000025280000}"/>
    <cellStyle name="_Column6_waterfall-rol 2" xfId="10287" xr:uid="{00000000-0005-0000-0000-000026280000}"/>
    <cellStyle name="_Column6_waterfall-rol 2 2" xfId="10288" xr:uid="{00000000-0005-0000-0000-000027280000}"/>
    <cellStyle name="_Column6_waterfall-rol 3" xfId="10289" xr:uid="{00000000-0005-0000-0000-000028280000}"/>
    <cellStyle name="_Column6_WE_BusinessUpdate Jan 2007" xfId="10290" xr:uid="{00000000-0005-0000-0000-000029280000}"/>
    <cellStyle name="_Column6_WE_BusinessUpdate2007_support" xfId="10291" xr:uid="{00000000-0005-0000-0000-00002A280000}"/>
    <cellStyle name="_Column6_YTD Off-Trade giugno" xfId="10292" xr:uid="{00000000-0005-0000-0000-00002B280000}"/>
    <cellStyle name="_Column6_YTD Off-Trade maggio" xfId="10293" xr:uid="{00000000-0005-0000-0000-00002C280000}"/>
    <cellStyle name="_Column6_ZBB" xfId="10294" xr:uid="{00000000-0005-0000-0000-00002D280000}"/>
    <cellStyle name="_Column6_ZBB 2" xfId="10295" xr:uid="{00000000-0005-0000-0000-00002E280000}"/>
    <cellStyle name="_Column6_ZBB 2 2" xfId="10296" xr:uid="{00000000-0005-0000-0000-00002F280000}"/>
    <cellStyle name="_Column6_ZBB 2007 estr Alea" xfId="10297" xr:uid="{00000000-0005-0000-0000-000030280000}"/>
    <cellStyle name="_Column6_ZBB 3" xfId="10298" xr:uid="{00000000-0005-0000-0000-000031280000}"/>
    <cellStyle name="_Column6_ZBB cost analysis B08 fin1" xfId="10299" xr:uid="{00000000-0005-0000-0000-000032280000}"/>
    <cellStyle name="_Column6_ZBB Germania" xfId="10300" xr:uid="{00000000-0005-0000-0000-000033280000}"/>
    <cellStyle name="_Column6_ZBB Risk and oportunities SD Julyok" xfId="10301" xr:uid="{00000000-0005-0000-0000-000034280000}"/>
    <cellStyle name="_Column6_ZBB x pack" xfId="10302" xr:uid="{00000000-0005-0000-0000-000035280000}"/>
    <cellStyle name="_Column6_ZBB x pack - dett Mkting" xfId="10303" xr:uid="{00000000-0005-0000-0000-000036280000}"/>
    <cellStyle name="_Column6_ZBB x pack - dett Sales" xfId="10304" xr:uid="{00000000-0005-0000-0000-000037280000}"/>
    <cellStyle name="_Column6_ZBB x pack Germania" xfId="10305" xr:uid="{00000000-0005-0000-0000-000038280000}"/>
    <cellStyle name="_Column6_ZBB_LE2+B08_V1" xfId="10306" xr:uid="{00000000-0005-0000-0000-000039280000}"/>
    <cellStyle name="_Column6_Zusammenfassung Wert" xfId="10307" xr:uid="{00000000-0005-0000-0000-00003A280000}"/>
    <cellStyle name="_Column7" xfId="10308" xr:uid="{00000000-0005-0000-0000-00003B280000}"/>
    <cellStyle name="_Column7 2" xfId="10309" xr:uid="{00000000-0005-0000-0000-00003C280000}"/>
    <cellStyle name="_Column7 2 2" xfId="10310" xr:uid="{00000000-0005-0000-0000-00003D280000}"/>
    <cellStyle name="_Column7 3" xfId="10311" xr:uid="{00000000-0005-0000-0000-00003E280000}"/>
    <cellStyle name="_Column7_080813 Germany-High&amp;Low" xfId="10312" xr:uid="{00000000-0005-0000-0000-00003F280000}"/>
    <cellStyle name="_Column7_080813 Germany-Lidl" xfId="10313" xr:uid="{00000000-0005-0000-0000-000040280000}"/>
    <cellStyle name="_Column7_1_INPUT" xfId="10314" xr:uid="{00000000-0005-0000-0000-000041280000}"/>
    <cellStyle name="_Column7_1_INPUT_TP_No Tank Resales" xfId="10315" xr:uid="{00000000-0005-0000-0000-000042280000}"/>
    <cellStyle name="_Column7_2pk SP 2008" xfId="10316" xr:uid="{00000000-0005-0000-0000-000043280000}"/>
    <cellStyle name="_Column7_AB" xfId="10317" xr:uid="{00000000-0005-0000-0000-000044280000}"/>
    <cellStyle name="_Column7_Abfüllmenge &amp; Anstellwürze Bremen Budget 2006 V1.1" xfId="10318" xr:uid="{00000000-0005-0000-0000-000045280000}"/>
    <cellStyle name="_Column7_Abfüllmenge &amp; Anstellwürze Issum Budget 2006 V1.1" xfId="10319" xr:uid="{00000000-0005-0000-0000-000046280000}"/>
    <cellStyle name="_Column7_Absatz Ist je Artikel &amp; Woche V1" xfId="10320" xr:uid="{00000000-0005-0000-0000-000047280000}"/>
    <cellStyle name="_Column7_Absatz SP2007 pro SKU 30 5 2007 vs 4 6 2007 " xfId="10321" xr:uid="{00000000-0005-0000-0000-000048280000}"/>
    <cellStyle name="_Column7_Abstimmung IDVG Absätze für LE2 2004" xfId="10322" xr:uid="{00000000-0005-0000-0000-000049280000}"/>
    <cellStyle name="_Column7_Abstimmung IDVG Absätze für LE2 2004 2" xfId="10323" xr:uid="{00000000-0005-0000-0000-00004A280000}"/>
    <cellStyle name="_Column7_Abstimmung IDVG Absätze für LE2 2004 2 2" xfId="10324" xr:uid="{00000000-0005-0000-0000-00004B280000}"/>
    <cellStyle name="_Column7_Abstimmung IDVG Absätze für LE2 2004_Basis" xfId="10325" xr:uid="{00000000-0005-0000-0000-00004C280000}"/>
    <cellStyle name="_Column7_Abstimmung IDVG Absätze für LE2 2004_Basis 2" xfId="10326" xr:uid="{00000000-0005-0000-0000-00004D280000}"/>
    <cellStyle name="_Column7_Abstimmung IDVG Absätze für LE2 2004_Basis 2 2" xfId="10327" xr:uid="{00000000-0005-0000-0000-00004E280000}"/>
    <cellStyle name="_Column7_Abstimmung IDVG Absätze für LE2 2004_Basis_Sheet1" xfId="10328" xr:uid="{00000000-0005-0000-0000-00004F280000}"/>
    <cellStyle name="_Column7_Abstimmung IDVG Absätze für LE2 2004_Basis_Sheet5" xfId="10329" xr:uid="{00000000-0005-0000-0000-000050280000}"/>
    <cellStyle name="_Column7_Abstimmung IDVG Absätze für LE2 2004_Basis_Sm Proj Cash Flow" xfId="10330" xr:uid="{00000000-0005-0000-0000-000051280000}"/>
    <cellStyle name="_Column7_Abstimmung IDVG Absätze für LE2 2004_Basis_Spend Detail" xfId="10331" xr:uid="{00000000-0005-0000-0000-000052280000}"/>
    <cellStyle name="_Column7_Abstimmung IDVG Absätze für LE2 2004_Basis_SustainingProjectList" xfId="10332" xr:uid="{00000000-0005-0000-0000-000053280000}"/>
    <cellStyle name="_Column7_Abstimmung IDVG Absätze für LE2 2004_Sheet1" xfId="10333" xr:uid="{00000000-0005-0000-0000-000054280000}"/>
    <cellStyle name="_Column7_Abstimmung IDVG Absätze für LE2 2004_Sheet5" xfId="10334" xr:uid="{00000000-0005-0000-0000-000055280000}"/>
    <cellStyle name="_Column7_Abstimmung IDVG Absätze für LE2 2004_SKU Volumen" xfId="10335" xr:uid="{00000000-0005-0000-0000-000056280000}"/>
    <cellStyle name="_Column7_Abstimmung IDVG Absätze für LE2 2004_SKU Volumen 2" xfId="10336" xr:uid="{00000000-0005-0000-0000-000057280000}"/>
    <cellStyle name="_Column7_Abstimmung IDVG Absätze für LE2 2004_SKU Volumen_Sheet1" xfId="10337" xr:uid="{00000000-0005-0000-0000-000058280000}"/>
    <cellStyle name="_Column7_Abstimmung IDVG Absätze für LE2 2004_SKU Volumen_Sm Proj Cash Flow" xfId="10338" xr:uid="{00000000-0005-0000-0000-000059280000}"/>
    <cellStyle name="_Column7_Abstimmung IDVG Absätze für LE2 2004_SKU Volumen_Spend Detail" xfId="10339" xr:uid="{00000000-0005-0000-0000-00005A280000}"/>
    <cellStyle name="_Column7_Abstimmung IDVG Absätze für LE2 2004_SKU Volumen_SustainingProjectList" xfId="10340" xr:uid="{00000000-0005-0000-0000-00005B280000}"/>
    <cellStyle name="_Column7_Abstimmung IDVG Absätze für LE2 2004_Sm Proj Cash Flow" xfId="10341" xr:uid="{00000000-0005-0000-0000-00005C280000}"/>
    <cellStyle name="_Column7_Abstimmung IDVG Absätze für LE2 2004_Spend Detail" xfId="10342" xr:uid="{00000000-0005-0000-0000-00005D280000}"/>
    <cellStyle name="_Column7_Abstimmung IDVG Absätze für LE2 2004_SustainingProjectList" xfId="10343" xr:uid="{00000000-0005-0000-0000-00005E280000}"/>
    <cellStyle name="_Column7_Abstimmung IDVG Absätze für LE2 2004_Tabelle1" xfId="10344" xr:uid="{00000000-0005-0000-0000-00005F280000}"/>
    <cellStyle name="_Column7_Abstimmung IDVG Absätze für LE2 2004_Tabelle1 2" xfId="10345" xr:uid="{00000000-0005-0000-0000-000060280000}"/>
    <cellStyle name="_Column7_Abstimmung IDVG Absätze für LE2 2004_Tabelle1_Sheet1" xfId="10346" xr:uid="{00000000-0005-0000-0000-000061280000}"/>
    <cellStyle name="_Column7_Abstimmung IDVG Absätze für LE2 2004_Tabelle1_Sm Proj Cash Flow" xfId="10347" xr:uid="{00000000-0005-0000-0000-000062280000}"/>
    <cellStyle name="_Column7_Abstimmung IDVG Absätze für LE2 2004_Tabelle1_Spend Detail" xfId="10348" xr:uid="{00000000-0005-0000-0000-000063280000}"/>
    <cellStyle name="_Column7_Abstimmung IDVG Absätze für LE2 2004_Tabelle1_SustainingProjectList" xfId="10349" xr:uid="{00000000-0005-0000-0000-000064280000}"/>
    <cellStyle name="_Column7_Acc.to fuori fattura Off-trade Feb 2007 " xfId="10350" xr:uid="{00000000-0005-0000-0000-000065280000}"/>
    <cellStyle name="_Column7_Accident frequency" xfId="10351" xr:uid="{00000000-0005-0000-0000-000066280000}"/>
    <cellStyle name="_Column7_Ad hoc PL 3YP HRK za COGNOS unos JULY20" xfId="10352" xr:uid="{00000000-0005-0000-0000-000067280000}"/>
    <cellStyle name="_Column7_aggiornato LE2 OFF TRADE 25_08 FL" xfId="10353" xr:uid="{00000000-0005-0000-0000-000068280000}"/>
    <cellStyle name="_Column7_AL 05,12,06 VS LE2" xfId="10354" xr:uid="{00000000-0005-0000-0000-000069280000}"/>
    <cellStyle name="_Column7_ALEA" xfId="10355" xr:uid="{00000000-0005-0000-0000-00006A280000}"/>
    <cellStyle name="_Column7_ALEA OFF LE2" xfId="10356" xr:uid="{00000000-0005-0000-0000-00006B280000}"/>
    <cellStyle name="_Column7_Alea x mkt pack" xfId="10357" xr:uid="{00000000-0005-0000-0000-00006C280000}"/>
    <cellStyle name="_Column7_Alea x sales pack" xfId="10358" xr:uid="{00000000-0005-0000-0000-00006D280000}"/>
    <cellStyle name="_Column7_All" xfId="10359" xr:uid="{00000000-0005-0000-0000-00006E280000}"/>
    <cellStyle name="_Column7_Analisi costo venduto" xfId="10360" xr:uid="{00000000-0005-0000-0000-00006F280000}"/>
    <cellStyle name="_Column7_Analisi LE2'06 e bdg'07" xfId="10361" xr:uid="{00000000-0005-0000-0000-000070280000}"/>
    <cellStyle name="_Column7_Analisi vol ott" xfId="10362" xr:uid="{00000000-0005-0000-0000-000071280000}"/>
    <cellStyle name="_Column7_Asset Needs" xfId="10363" xr:uid="{00000000-0005-0000-0000-000072280000}"/>
    <cellStyle name="_Column7_BACK UP FIGURES for PRESENTATION LE1" xfId="10364" xr:uid="{00000000-0005-0000-0000-000073280000}"/>
    <cellStyle name="_Column7_Basis" xfId="10365" xr:uid="{00000000-0005-0000-0000-000074280000}"/>
    <cellStyle name="_Column7_Basis_1" xfId="10366" xr:uid="{00000000-0005-0000-0000-000075280000}"/>
    <cellStyle name="_Column7_Basis_1 2" xfId="10367" xr:uid="{00000000-0005-0000-0000-000076280000}"/>
    <cellStyle name="_Column7_Basis_1 2 2" xfId="10368" xr:uid="{00000000-0005-0000-0000-000077280000}"/>
    <cellStyle name="_Column7_Basis_1_Sheet1" xfId="10369" xr:uid="{00000000-0005-0000-0000-000078280000}"/>
    <cellStyle name="_Column7_Basis_1_Sheet5" xfId="10370" xr:uid="{00000000-0005-0000-0000-000079280000}"/>
    <cellStyle name="_Column7_Basis_1_Sm Proj Cash Flow" xfId="10371" xr:uid="{00000000-0005-0000-0000-00007A280000}"/>
    <cellStyle name="_Column7_Basis_1_Spend Detail" xfId="10372" xr:uid="{00000000-0005-0000-0000-00007B280000}"/>
    <cellStyle name="_Column7_Basis_1_SustainingProjectList" xfId="10373" xr:uid="{00000000-0005-0000-0000-00007C280000}"/>
    <cellStyle name="_Column7_BB" xfId="10374" xr:uid="{00000000-0005-0000-0000-00007D280000}"/>
    <cellStyle name="_Column7_BE_FG" xfId="10375" xr:uid="{00000000-0005-0000-0000-00007E280000}"/>
    <cellStyle name="_Column7_Beval REPORT novembre'06" xfId="10376" xr:uid="{00000000-0005-0000-0000-00007F280000}"/>
    <cellStyle name="_Column7_Brew Ops Capacity balzer Modufi" xfId="10377" xr:uid="{00000000-0005-0000-0000-000080280000}"/>
    <cellStyle name="_Column7_BS ABF" xfId="10378" xr:uid="{00000000-0005-0000-0000-000081280000}"/>
    <cellStyle name="_Column7_BS ABF 2" xfId="10379" xr:uid="{00000000-0005-0000-0000-000082280000}"/>
    <cellStyle name="_Column7_BS ABF 2 2" xfId="10380" xr:uid="{00000000-0005-0000-0000-000083280000}"/>
    <cellStyle name="_Column7_BS ABF_Basis" xfId="10381" xr:uid="{00000000-0005-0000-0000-000084280000}"/>
    <cellStyle name="_Column7_BS ABF_Basis 2" xfId="10382" xr:uid="{00000000-0005-0000-0000-000085280000}"/>
    <cellStyle name="_Column7_BS ABF_Basis 2 2" xfId="10383" xr:uid="{00000000-0005-0000-0000-000086280000}"/>
    <cellStyle name="_Column7_BS ABF_Basis_Sheet1" xfId="10384" xr:uid="{00000000-0005-0000-0000-000087280000}"/>
    <cellStyle name="_Column7_BS ABF_Basis_Sheet5" xfId="10385" xr:uid="{00000000-0005-0000-0000-000088280000}"/>
    <cellStyle name="_Column7_BS ABF_Basis_Sm Proj Cash Flow" xfId="10386" xr:uid="{00000000-0005-0000-0000-000089280000}"/>
    <cellStyle name="_Column7_BS ABF_Basis_Spend Detail" xfId="10387" xr:uid="{00000000-0005-0000-0000-00008A280000}"/>
    <cellStyle name="_Column7_BS ABF_Basis_SustainingProjectList" xfId="10388" xr:uid="{00000000-0005-0000-0000-00008B280000}"/>
    <cellStyle name="_Column7_BS ABF_Sheet1" xfId="10389" xr:uid="{00000000-0005-0000-0000-00008C280000}"/>
    <cellStyle name="_Column7_BS ABF_Sheet5" xfId="10390" xr:uid="{00000000-0005-0000-0000-00008D280000}"/>
    <cellStyle name="_Column7_BS ABF_SKU Volumen" xfId="10391" xr:uid="{00000000-0005-0000-0000-00008E280000}"/>
    <cellStyle name="_Column7_BS ABF_SKU Volumen 2" xfId="10392" xr:uid="{00000000-0005-0000-0000-00008F280000}"/>
    <cellStyle name="_Column7_BS ABF_SKU Volumen_Sheet1" xfId="10393" xr:uid="{00000000-0005-0000-0000-000090280000}"/>
    <cellStyle name="_Column7_BS ABF_SKU Volumen_Sm Proj Cash Flow" xfId="10394" xr:uid="{00000000-0005-0000-0000-000091280000}"/>
    <cellStyle name="_Column7_BS ABF_SKU Volumen_Spend Detail" xfId="10395" xr:uid="{00000000-0005-0000-0000-000092280000}"/>
    <cellStyle name="_Column7_BS ABF_SKU Volumen_SustainingProjectList" xfId="10396" xr:uid="{00000000-0005-0000-0000-000093280000}"/>
    <cellStyle name="_Column7_BS ABF_Sm Proj Cash Flow" xfId="10397" xr:uid="{00000000-0005-0000-0000-000094280000}"/>
    <cellStyle name="_Column7_BS ABF_Spend Detail" xfId="10398" xr:uid="{00000000-0005-0000-0000-000095280000}"/>
    <cellStyle name="_Column7_BS ABF_SustainingProjectList" xfId="10399" xr:uid="{00000000-0005-0000-0000-000096280000}"/>
    <cellStyle name="_Column7_BS ABF_Tabelle1" xfId="10400" xr:uid="{00000000-0005-0000-0000-000097280000}"/>
    <cellStyle name="_Column7_BS ABF_Tabelle1 2" xfId="10401" xr:uid="{00000000-0005-0000-0000-000098280000}"/>
    <cellStyle name="_Column7_BS ABF_Tabelle1_Sheet1" xfId="10402" xr:uid="{00000000-0005-0000-0000-000099280000}"/>
    <cellStyle name="_Column7_BS ABF_Tabelle1_Sm Proj Cash Flow" xfId="10403" xr:uid="{00000000-0005-0000-0000-00009A280000}"/>
    <cellStyle name="_Column7_BS ABF_Tabelle1_Spend Detail" xfId="10404" xr:uid="{00000000-0005-0000-0000-00009B280000}"/>
    <cellStyle name="_Column7_BS ABF_Tabelle1_SustainingProjectList" xfId="10405" xr:uid="{00000000-0005-0000-0000-00009C280000}"/>
    <cellStyle name="_Column7_BU1112 TP database - REGULAR VOLUMES" xfId="10406" xr:uid="{00000000-0005-0000-0000-00009D280000}"/>
    <cellStyle name="_Column7_BU1112 TP database - REGULAR VOLUMES NATB" xfId="10407" xr:uid="{00000000-0005-0000-0000-00009E280000}"/>
    <cellStyle name="_Column7_Budget 2005" xfId="10408" xr:uid="{00000000-0005-0000-0000-00009F280000}"/>
    <cellStyle name="_Column7_Budget monthly" xfId="10409" xr:uid="{00000000-0005-0000-0000-0000A0280000}"/>
    <cellStyle name="_Column7_CA ML" xfId="10410" xr:uid="{00000000-0005-0000-0000-0000A1280000}"/>
    <cellStyle name="_Column7_CA ML 2" xfId="10411" xr:uid="{00000000-0005-0000-0000-0000A2280000}"/>
    <cellStyle name="_Column7_CA ML 2 2" xfId="10412" xr:uid="{00000000-0005-0000-0000-0000A3280000}"/>
    <cellStyle name="_Column7_CA ML 3" xfId="10413" xr:uid="{00000000-0005-0000-0000-0000A4280000}"/>
    <cellStyle name="_Column7_CA USD" xfId="10414" xr:uid="{00000000-0005-0000-0000-0000A5280000}"/>
    <cellStyle name="_Column7_CA USD 2" xfId="10415" xr:uid="{00000000-0005-0000-0000-0000A6280000}"/>
    <cellStyle name="_Column7_CA USD 2 2" xfId="10416" xr:uid="{00000000-0005-0000-0000-0000A7280000}"/>
    <cellStyle name="_Column7_CA USD 3" xfId="10417" xr:uid="{00000000-0005-0000-0000-0000A8280000}"/>
    <cellStyle name="_Column7_Capacity Util. Hannover ORII-Bgt05" xfId="10418" xr:uid="{00000000-0005-0000-0000-0000A9280000}"/>
    <cellStyle name="_Column7_Capacity Util. Issum ORII-Bgt05" xfId="10419" xr:uid="{00000000-0005-0000-0000-0000AA280000}"/>
    <cellStyle name="_Column7_Capex x AnnaC (2)" xfId="10420" xr:uid="{00000000-0005-0000-0000-0000AB280000}"/>
    <cellStyle name="_Column7_Capex_view" xfId="10421" xr:uid="{00000000-0005-0000-0000-0000AC280000}"/>
    <cellStyle name="_Column7_Cartel1" xfId="10422" xr:uid="{00000000-0005-0000-0000-0000AD280000}"/>
    <cellStyle name="_Column7_CC_ZBB_profiled_costsTM" xfId="10423" xr:uid="{00000000-0005-0000-0000-0000AE280000}"/>
    <cellStyle name="_Column7_CE da Alea" xfId="10424" xr:uid="{00000000-0005-0000-0000-0000AF280000}"/>
    <cellStyle name="_Column7_check fehlende Transportkosten 082006" xfId="10425" xr:uid="{00000000-0005-0000-0000-0000B0280000}"/>
    <cellStyle name="_Column7_Chi2 1" xfId="10426" xr:uid="{00000000-0005-0000-0000-0000B1280000}"/>
    <cellStyle name="_Column7_Chi2 HEX" xfId="10427" xr:uid="{00000000-0005-0000-0000-0000B2280000}"/>
    <cellStyle name="_Column7_Comm Agreem Distr" xfId="10428" xr:uid="{00000000-0005-0000-0000-0000B3280000}"/>
    <cellStyle name="_Column7_Comm Agreem On Trade" xfId="10429" xr:uid="{00000000-0005-0000-0000-0000B4280000}"/>
    <cellStyle name="_Column7_Copia di MACO BU'07 Total Italy new" xfId="10430" xr:uid="{00000000-0005-0000-0000-0000B5280000}"/>
    <cellStyle name="_Column7_Copy of 081027 ZBB Budget 2009 Decks - People_Cherry_V4" xfId="10431" xr:uid="{00000000-0005-0000-0000-0000B6280000}"/>
    <cellStyle name="_Column7_Copy of 081027 ZBB Budget 2009 Decks - People_Cherry_V4 2" xfId="10432" xr:uid="{00000000-0005-0000-0000-0000B7280000}"/>
    <cellStyle name="_Column7_Copy of 081027 ZBB Budget 2009 Decks - People_Cherry_V4 2 2" xfId="10433" xr:uid="{00000000-0005-0000-0000-0000B8280000}"/>
    <cellStyle name="_Column7_Copy of 081027 ZBB Budget 2009 Decks - People_Cherry_V4 3" xfId="10434" xr:uid="{00000000-0005-0000-0000-0000B9280000}"/>
    <cellStyle name="_Column7_Copy of 081027 ZBB Budget 2009 Decks - People_Cherry_V4_Copy of US ZBB Budget Tracker v3" xfId="10435" xr:uid="{00000000-0005-0000-0000-0000BA280000}"/>
    <cellStyle name="_Column7_Copy of 081027 ZBB Budget 2009 Decks - People_Cherry_V4_US ZBB Budget Tracker updated 3-8-2010" xfId="10436" xr:uid="{00000000-0005-0000-0000-0000BB280000}"/>
    <cellStyle name="_Column7_Copy of US ZBB Budget Tracker v3" xfId="10437" xr:uid="{00000000-0005-0000-0000-0000BC280000}"/>
    <cellStyle name="_Column7_Copy of ZBB cost analysis B08 _fintm04092007v2 04.09.07" xfId="10438" xr:uid="{00000000-0005-0000-0000-0000BD280000}"/>
    <cellStyle name="_Column7_Copy of ZBB costs P&amp;L od Slavice 04.09.2007" xfId="10439" xr:uid="{00000000-0005-0000-0000-0000BE280000}"/>
    <cellStyle name="_Column7_Costo vend new sku" xfId="10440" xr:uid="{00000000-0005-0000-0000-0000BF280000}"/>
    <cellStyle name="_Column7_Cro_Template 3YP 08-10 - Update (2)" xfId="10441" xr:uid="{00000000-0005-0000-0000-0000C0280000}"/>
    <cellStyle name="_Column7_Daten" xfId="10442" xr:uid="{00000000-0005-0000-0000-0000C1280000}"/>
    <cellStyle name="_Column7_Daten_1" xfId="10443" xr:uid="{00000000-0005-0000-0000-0000C2280000}"/>
    <cellStyle name="_Column7_Daten_1_RFFS SUBMISSION TO VPs" xfId="10444" xr:uid="{00000000-0005-0000-0000-0000C3280000}"/>
    <cellStyle name="_Column7_Daten_1_RFFS_SUBMISSION_TO_VPs _v2" xfId="10445" xr:uid="{00000000-0005-0000-0000-0000C4280000}"/>
    <cellStyle name="_Column7_DBSET" xfId="10446" xr:uid="{00000000-0005-0000-0000-0000C5280000}"/>
    <cellStyle name="_Column7_DEP" xfId="10447" xr:uid="{00000000-0005-0000-0000-0000C6280000}"/>
    <cellStyle name="_Column7_details" xfId="10448" xr:uid="{00000000-0005-0000-0000-0000C7280000}"/>
    <cellStyle name="_Column7_Dir Trade Mktg Mat - on trade" xfId="10449" xr:uid="{00000000-0005-0000-0000-0000C8280000}"/>
    <cellStyle name="_Column7_Dir.Trade Mktg Mat." xfId="10450" xr:uid="{00000000-0005-0000-0000-0000C9280000}"/>
    <cellStyle name="_Column7_Discounts Off" xfId="10451" xr:uid="{00000000-0005-0000-0000-0000CA280000}"/>
    <cellStyle name="_Column7_Distributer Support" xfId="10452" xr:uid="{00000000-0005-0000-0000-0000CB280000}"/>
    <cellStyle name="_Column7_EC ML" xfId="10453" xr:uid="{00000000-0005-0000-0000-0000CC280000}"/>
    <cellStyle name="_Column7_EC ML 2" xfId="10454" xr:uid="{00000000-0005-0000-0000-0000CD280000}"/>
    <cellStyle name="_Column7_EC ML 2 2" xfId="10455" xr:uid="{00000000-0005-0000-0000-0000CE280000}"/>
    <cellStyle name="_Column7_EC ML 3" xfId="10456" xr:uid="{00000000-0005-0000-0000-0000CF280000}"/>
    <cellStyle name="_Column7_EC USD" xfId="10457" xr:uid="{00000000-0005-0000-0000-0000D0280000}"/>
    <cellStyle name="_Column7_EC USD 2" xfId="10458" xr:uid="{00000000-0005-0000-0000-0000D1280000}"/>
    <cellStyle name="_Column7_EC USD 2 2" xfId="10459" xr:uid="{00000000-0005-0000-0000-0000D2280000}"/>
    <cellStyle name="_Column7_EC USD 3" xfId="10460" xr:uid="{00000000-0005-0000-0000-0000D3280000}"/>
    <cellStyle name="_Column7_ERP" xfId="10461" xr:uid="{00000000-0005-0000-0000-0000D4280000}"/>
    <cellStyle name="_Column7_ERP_RFFS SUBMISSION TO VPs" xfId="10462" xr:uid="{00000000-0005-0000-0000-0000D5280000}"/>
    <cellStyle name="_Column7_ERP_RFFS_SUBMISSION_TO_VPs _v2" xfId="10463" xr:uid="{00000000-0005-0000-0000-0000D6280000}"/>
    <cellStyle name="_Column7_FAG_FTE" xfId="10464" xr:uid="{00000000-0005-0000-0000-0000D7280000}"/>
    <cellStyle name="_Column7_Fatture Partner" xfId="10465" xr:uid="{00000000-0005-0000-0000-0000D8280000}"/>
    <cellStyle name="_Column7_FCAccuracy_week_0907" xfId="10466" xr:uid="{00000000-0005-0000-0000-0000D9280000}"/>
    <cellStyle name="_Column7_Feasibility Request_Diebels" xfId="10467" xr:uid="{00000000-0005-0000-0000-0000DA280000}"/>
    <cellStyle name="_Column7_Feasibility Request_Diebels_RFFS SUBMISSION TO VPs" xfId="10468" xr:uid="{00000000-0005-0000-0000-0000DB280000}"/>
    <cellStyle name="_Column7_Feasibility Request_Diebels_RFFS_SUBMISSION_TO_VPs _v2" xfId="10469" xr:uid="{00000000-0005-0000-0000-0000DC280000}"/>
    <cellStyle name="_Column7_Feasibility Request_Dimix" xfId="10470" xr:uid="{00000000-0005-0000-0000-0000DD280000}"/>
    <cellStyle name="_Column7_Feasibility Request_Dimix_RFFS SUBMISSION TO VPs" xfId="10471" xr:uid="{00000000-0005-0000-0000-0000DE280000}"/>
    <cellStyle name="_Column7_Feasibility Request_Dimix_RFFS_SUBMISSION_TO_VPs _v2" xfId="10472" xr:uid="{00000000-0005-0000-0000-0000DF280000}"/>
    <cellStyle name="_Column7_Float" xfId="10473" xr:uid="{00000000-0005-0000-0000-0000E0280000}"/>
    <cellStyle name="_Column7_foglio prova" xfId="10474" xr:uid="{00000000-0005-0000-0000-0000E1280000}"/>
    <cellStyle name="_Column7_Foglio1" xfId="10475" xr:uid="{00000000-0005-0000-0000-0000E2280000}"/>
    <cellStyle name="_Column7_Foglio1_1" xfId="10476" xr:uid="{00000000-0005-0000-0000-0000E3280000}"/>
    <cellStyle name="_Column7_Foglio1_Analisi costo venduto" xfId="10477" xr:uid="{00000000-0005-0000-0000-0000E4280000}"/>
    <cellStyle name="_Column7_Foglio1_Analisi vol ott" xfId="10478" xr:uid="{00000000-0005-0000-0000-0000E5280000}"/>
    <cellStyle name="_Column7_Foglio1_Capex x AnnaC (2)" xfId="10479" xr:uid="{00000000-0005-0000-0000-0000E6280000}"/>
    <cellStyle name="_Column7_Foglio1_CC targets july" xfId="10480" xr:uid="{00000000-0005-0000-0000-0000E7280000}"/>
    <cellStyle name="_Column7_Foglio1_DBSET" xfId="10481" xr:uid="{00000000-0005-0000-0000-0000E8280000}"/>
    <cellStyle name="_Column7_Foglio1_Foglio1" xfId="10482" xr:uid="{00000000-0005-0000-0000-0000E9280000}"/>
    <cellStyle name="_Column7_Foglio1_Maco budget" xfId="10483" xr:uid="{00000000-0005-0000-0000-0000EA280000}"/>
    <cellStyle name="_Column7_Foglio1_Mens volumi LE1 x BBP" xfId="10484" xr:uid="{00000000-0005-0000-0000-0000EB280000}"/>
    <cellStyle name="_Column7_Foglio2" xfId="10485" xr:uid="{00000000-0005-0000-0000-0000EC280000}"/>
    <cellStyle name="_Column7_Foglio2_1" xfId="10486" xr:uid="{00000000-0005-0000-0000-0000ED280000}"/>
    <cellStyle name="_Column7_Foglio2_Analisi costo venduto" xfId="10487" xr:uid="{00000000-0005-0000-0000-0000EE280000}"/>
    <cellStyle name="_Column7_Foglio2_BACK UP FIGURES for PRESENTATION LE1" xfId="10488" xr:uid="{00000000-0005-0000-0000-0000EF280000}"/>
    <cellStyle name="_Column7_Foglio2_LE1 addendum" xfId="10489" xr:uid="{00000000-0005-0000-0000-0000F0280000}"/>
    <cellStyle name="_Column7_Foglio2_LEI templates - per Francesca by PPM" xfId="10490" xr:uid="{00000000-0005-0000-0000-0000F1280000}"/>
    <cellStyle name="_Column7_Foglio3" xfId="10491" xr:uid="{00000000-0005-0000-0000-0000F2280000}"/>
    <cellStyle name="_Column7_Foglio3_1" xfId="10492" xr:uid="{00000000-0005-0000-0000-0000F3280000}"/>
    <cellStyle name="_Column7_Foglio3_Analisi vol ott" xfId="10493" xr:uid="{00000000-0005-0000-0000-0000F4280000}"/>
    <cellStyle name="_Column7_Foglio3_BACK UP FIGURES for PRESENTATION LE1" xfId="10494" xr:uid="{00000000-0005-0000-0000-0000F5280000}"/>
    <cellStyle name="_Column7_Foglio3_Maco budget" xfId="10495" xr:uid="{00000000-0005-0000-0000-0000F6280000}"/>
    <cellStyle name="_Column7_Foglio3_Maco LE1 vers 30.4.07" xfId="10496" xr:uid="{00000000-0005-0000-0000-0000F7280000}"/>
    <cellStyle name="_Column7_Foglio3_Maco LE1 vers 30.4.07 PER PRESENTAZ" xfId="10497" xr:uid="{00000000-0005-0000-0000-0000F8280000}"/>
    <cellStyle name="_Column7_Foglio3_Marzo 2007 Deck vers 16.4.07" xfId="10498" xr:uid="{00000000-0005-0000-0000-0000F9280000}"/>
    <cellStyle name="_Column7_Foglio3_Volumi LE1 sku - brand - package" xfId="10499" xr:uid="{00000000-0005-0000-0000-0000FA280000}"/>
    <cellStyle name="_Column7_Foglio4" xfId="10500" xr:uid="{00000000-0005-0000-0000-0000FB280000}"/>
    <cellStyle name="_Column7_Foglio4_BACK UP FIGURES for PRESENTATION LE1" xfId="10501" xr:uid="{00000000-0005-0000-0000-0000FC280000}"/>
    <cellStyle name="_Column7_Foglio4_Maco LE1 vers 30.4.07" xfId="10502" xr:uid="{00000000-0005-0000-0000-0000FD280000}"/>
    <cellStyle name="_Column7_Foglio4_Maco LE1 vers 30.4.07 PER PRESENTAZ" xfId="10503" xr:uid="{00000000-0005-0000-0000-0000FE280000}"/>
    <cellStyle name="_Column7_Foglio4_Marzo 2007 Deck vers 16.4.07" xfId="10504" xr:uid="{00000000-0005-0000-0000-0000FF280000}"/>
    <cellStyle name="_Column7_Foglio5" xfId="10505" xr:uid="{00000000-0005-0000-0000-000000290000}"/>
    <cellStyle name="_Column7_Foglio5_BACK UP FIGURES for PRESENTATION LE1" xfId="10506" xr:uid="{00000000-0005-0000-0000-000001290000}"/>
    <cellStyle name="_Column7_Foglio5_Maco budget" xfId="10507" xr:uid="{00000000-0005-0000-0000-000002290000}"/>
    <cellStyle name="_Column7_Foglio5_Maco LE1 vers 30.4.07" xfId="10508" xr:uid="{00000000-0005-0000-0000-000003290000}"/>
    <cellStyle name="_Column7_Foglio5_Maco LE1 vers 30.4.07 PER PRESENTAZ" xfId="10509" xr:uid="{00000000-0005-0000-0000-000004290000}"/>
    <cellStyle name="_Column7_Foglio5_Marzo 2007 Deck vers 16.4.07" xfId="10510" xr:uid="{00000000-0005-0000-0000-000005290000}"/>
    <cellStyle name="_Column7_Foglio6" xfId="10511" xr:uid="{00000000-0005-0000-0000-000006290000}"/>
    <cellStyle name="_Column7_FRANGO_Monatsbericht Italy_0611" xfId="10512" xr:uid="{00000000-0005-0000-0000-000007290000}"/>
    <cellStyle name="_Column7_Franz demand" xfId="10513" xr:uid="{00000000-0005-0000-0000-000008290000}"/>
    <cellStyle name="_Column7_Franz Development" xfId="10514" xr:uid="{00000000-0005-0000-0000-000009290000}"/>
    <cellStyle name="_Column7_Franz Ist" xfId="10515" xr:uid="{00000000-0005-0000-0000-00000A290000}"/>
    <cellStyle name="_Column7_Free Worksheet" xfId="10516" xr:uid="{00000000-0005-0000-0000-00000B290000}"/>
    <cellStyle name="_Column7_fx" xfId="10517" xr:uid="{00000000-0005-0000-0000-00000C290000}"/>
    <cellStyle name="_Column7_fx 2" xfId="10518" xr:uid="{00000000-0005-0000-0000-00000D290000}"/>
    <cellStyle name="_Column7_fx 2 2" xfId="10519" xr:uid="{00000000-0005-0000-0000-00000E290000}"/>
    <cellStyle name="_Column7_fx 3" xfId="10520" xr:uid="{00000000-0005-0000-0000-00000F290000}"/>
    <cellStyle name="_Column7_Gennaio draft ON + DD" xfId="10521" xr:uid="{00000000-0005-0000-0000-000010290000}"/>
    <cellStyle name="_Column7_Germany" xfId="10522" xr:uid="{00000000-0005-0000-0000-000011290000}"/>
    <cellStyle name="_Column7_Germany_brew" xfId="10523" xr:uid="{00000000-0005-0000-0000-000012290000}"/>
    <cellStyle name="_Column7_Gilde Maco" xfId="10524" xr:uid="{00000000-0005-0000-0000-000013290000}"/>
    <cellStyle name="_Column7_Gilde Maco 2" xfId="10525" xr:uid="{00000000-0005-0000-0000-000014290000}"/>
    <cellStyle name="_Column7_Gilde Maco 2 2" xfId="10526" xr:uid="{00000000-0005-0000-0000-000015290000}"/>
    <cellStyle name="_Column7_Gilde Maco_Basis" xfId="10527" xr:uid="{00000000-0005-0000-0000-000016290000}"/>
    <cellStyle name="_Column7_Gilde Maco_Basis 2" xfId="10528" xr:uid="{00000000-0005-0000-0000-000017290000}"/>
    <cellStyle name="_Column7_Gilde Maco_Basis 2 2" xfId="10529" xr:uid="{00000000-0005-0000-0000-000018290000}"/>
    <cellStyle name="_Column7_Gilde Maco_Basis_Sheet1" xfId="10530" xr:uid="{00000000-0005-0000-0000-000019290000}"/>
    <cellStyle name="_Column7_Gilde Maco_Basis_Sheet5" xfId="10531" xr:uid="{00000000-0005-0000-0000-00001A290000}"/>
    <cellStyle name="_Column7_Gilde Maco_Basis_Sm Proj Cash Flow" xfId="10532" xr:uid="{00000000-0005-0000-0000-00001B290000}"/>
    <cellStyle name="_Column7_Gilde Maco_Basis_Spend Detail" xfId="10533" xr:uid="{00000000-0005-0000-0000-00001C290000}"/>
    <cellStyle name="_Column7_Gilde Maco_Basis_SustainingProjectList" xfId="10534" xr:uid="{00000000-0005-0000-0000-00001D290000}"/>
    <cellStyle name="_Column7_Gilde Maco_Sheet1" xfId="10535" xr:uid="{00000000-0005-0000-0000-00001E290000}"/>
    <cellStyle name="_Column7_Gilde Maco_Sheet5" xfId="10536" xr:uid="{00000000-0005-0000-0000-00001F290000}"/>
    <cellStyle name="_Column7_Gilde Maco_SKU Volumen" xfId="10537" xr:uid="{00000000-0005-0000-0000-000020290000}"/>
    <cellStyle name="_Column7_Gilde Maco_SKU Volumen 2" xfId="10538" xr:uid="{00000000-0005-0000-0000-000021290000}"/>
    <cellStyle name="_Column7_Gilde Maco_SKU Volumen_Sheet1" xfId="10539" xr:uid="{00000000-0005-0000-0000-000022290000}"/>
    <cellStyle name="_Column7_Gilde Maco_SKU Volumen_Sm Proj Cash Flow" xfId="10540" xr:uid="{00000000-0005-0000-0000-000023290000}"/>
    <cellStyle name="_Column7_Gilde Maco_SKU Volumen_Spend Detail" xfId="10541" xr:uid="{00000000-0005-0000-0000-000024290000}"/>
    <cellStyle name="_Column7_Gilde Maco_SKU Volumen_SustainingProjectList" xfId="10542" xr:uid="{00000000-0005-0000-0000-000025290000}"/>
    <cellStyle name="_Column7_Gilde Maco_Sm Proj Cash Flow" xfId="10543" xr:uid="{00000000-0005-0000-0000-000026290000}"/>
    <cellStyle name="_Column7_Gilde Maco_Spend Detail" xfId="10544" xr:uid="{00000000-0005-0000-0000-000027290000}"/>
    <cellStyle name="_Column7_Gilde Maco_SustainingProjectList" xfId="10545" xr:uid="{00000000-0005-0000-0000-000028290000}"/>
    <cellStyle name="_Column7_Gilde Maco_Tabelle1" xfId="10546" xr:uid="{00000000-0005-0000-0000-000029290000}"/>
    <cellStyle name="_Column7_Gilde Maco_Tabelle1 2" xfId="10547" xr:uid="{00000000-0005-0000-0000-00002A290000}"/>
    <cellStyle name="_Column7_Gilde Maco_Tabelle1_Sheet1" xfId="10548" xr:uid="{00000000-0005-0000-0000-00002B290000}"/>
    <cellStyle name="_Column7_Gilde Maco_Tabelle1_Sm Proj Cash Flow" xfId="10549" xr:uid="{00000000-0005-0000-0000-00002C290000}"/>
    <cellStyle name="_Column7_Gilde Maco_Tabelle1_Spend Detail" xfId="10550" xr:uid="{00000000-0005-0000-0000-00002D290000}"/>
    <cellStyle name="_Column7_Gilde Maco_Tabelle1_SustainingProjectList" xfId="10551" xr:uid="{00000000-0005-0000-0000-00002E290000}"/>
    <cellStyle name="_Column7_Global_Final_18122006 (2)" xfId="10552" xr:uid="{00000000-0005-0000-0000-00002F290000}"/>
    <cellStyle name="_Column7_Hass Dashboard" xfId="10553" xr:uid="{00000000-0005-0000-0000-000030290000}"/>
    <cellStyle name="_Column7_Hass Dashboard v1" xfId="10554" xr:uid="{00000000-0005-0000-0000-000031290000}"/>
    <cellStyle name="_Column7_Hasseröder Export Detailplanung nach Wochen Version Radler + Diesel 10.4.2007" xfId="10555" xr:uid="{00000000-0005-0000-0000-000032290000}"/>
    <cellStyle name="_Column7_Hl Feb Alea 22.2.07" xfId="10556" xr:uid="{00000000-0005-0000-0000-000033290000}"/>
    <cellStyle name="_Column7_Hl Gen" xfId="10557" xr:uid="{00000000-0005-0000-0000-000034290000}"/>
    <cellStyle name="_Column7_Hopfen" xfId="10558" xr:uid="{00000000-0005-0000-0000-000035290000}"/>
    <cellStyle name="_Column7_IDVG Maco" xfId="10559" xr:uid="{00000000-0005-0000-0000-000036290000}"/>
    <cellStyle name="_Column7_IDVG Maco 2" xfId="10560" xr:uid="{00000000-0005-0000-0000-000037290000}"/>
    <cellStyle name="_Column7_IDVG Maco 2 2" xfId="10561" xr:uid="{00000000-0005-0000-0000-000038290000}"/>
    <cellStyle name="_Column7_IDVG Maco_Basis" xfId="10562" xr:uid="{00000000-0005-0000-0000-000039290000}"/>
    <cellStyle name="_Column7_IDVG Maco_Basis 2" xfId="10563" xr:uid="{00000000-0005-0000-0000-00003A290000}"/>
    <cellStyle name="_Column7_IDVG Maco_Basis 2 2" xfId="10564" xr:uid="{00000000-0005-0000-0000-00003B290000}"/>
    <cellStyle name="_Column7_IDVG Maco_Basis_Sheet1" xfId="10565" xr:uid="{00000000-0005-0000-0000-00003C290000}"/>
    <cellStyle name="_Column7_IDVG Maco_Basis_Sheet5" xfId="10566" xr:uid="{00000000-0005-0000-0000-00003D290000}"/>
    <cellStyle name="_Column7_IDVG Maco_Basis_Sm Proj Cash Flow" xfId="10567" xr:uid="{00000000-0005-0000-0000-00003E290000}"/>
    <cellStyle name="_Column7_IDVG Maco_Basis_Spend Detail" xfId="10568" xr:uid="{00000000-0005-0000-0000-00003F290000}"/>
    <cellStyle name="_Column7_IDVG Maco_Basis_SustainingProjectList" xfId="10569" xr:uid="{00000000-0005-0000-0000-000040290000}"/>
    <cellStyle name="_Column7_IDVG Maco_Sheet1" xfId="10570" xr:uid="{00000000-0005-0000-0000-000041290000}"/>
    <cellStyle name="_Column7_IDVG Maco_Sheet5" xfId="10571" xr:uid="{00000000-0005-0000-0000-000042290000}"/>
    <cellStyle name="_Column7_IDVG Maco_SKU Volumen" xfId="10572" xr:uid="{00000000-0005-0000-0000-000043290000}"/>
    <cellStyle name="_Column7_IDVG Maco_SKU Volumen 2" xfId="10573" xr:uid="{00000000-0005-0000-0000-000044290000}"/>
    <cellStyle name="_Column7_IDVG Maco_SKU Volumen_Sheet1" xfId="10574" xr:uid="{00000000-0005-0000-0000-000045290000}"/>
    <cellStyle name="_Column7_IDVG Maco_SKU Volumen_Sm Proj Cash Flow" xfId="10575" xr:uid="{00000000-0005-0000-0000-000046290000}"/>
    <cellStyle name="_Column7_IDVG Maco_SKU Volumen_Spend Detail" xfId="10576" xr:uid="{00000000-0005-0000-0000-000047290000}"/>
    <cellStyle name="_Column7_IDVG Maco_SKU Volumen_SustainingProjectList" xfId="10577" xr:uid="{00000000-0005-0000-0000-000048290000}"/>
    <cellStyle name="_Column7_IDVG Maco_Sm Proj Cash Flow" xfId="10578" xr:uid="{00000000-0005-0000-0000-000049290000}"/>
    <cellStyle name="_Column7_IDVG Maco_Spend Detail" xfId="10579" xr:uid="{00000000-0005-0000-0000-00004A290000}"/>
    <cellStyle name="_Column7_IDVG Maco_SustainingProjectList" xfId="10580" xr:uid="{00000000-0005-0000-0000-00004B290000}"/>
    <cellStyle name="_Column7_IDVG Maco_Tabelle1" xfId="10581" xr:uid="{00000000-0005-0000-0000-00004C290000}"/>
    <cellStyle name="_Column7_IDVG Maco_Tabelle1 2" xfId="10582" xr:uid="{00000000-0005-0000-0000-00004D290000}"/>
    <cellStyle name="_Column7_IDVG Maco_Tabelle1_Sheet1" xfId="10583" xr:uid="{00000000-0005-0000-0000-00004E290000}"/>
    <cellStyle name="_Column7_IDVG Maco_Tabelle1_Sm Proj Cash Flow" xfId="10584" xr:uid="{00000000-0005-0000-0000-00004F290000}"/>
    <cellStyle name="_Column7_IDVG Maco_Tabelle1_Spend Detail" xfId="10585" xr:uid="{00000000-0005-0000-0000-000050290000}"/>
    <cellStyle name="_Column7_IDVG Maco_Tabelle1_SustainingProjectList" xfId="10586" xr:uid="{00000000-0005-0000-0000-000051290000}"/>
    <cellStyle name="_Column7_In maco" xfId="10587" xr:uid="{00000000-0005-0000-0000-000052290000}"/>
    <cellStyle name="_Column7_Inbev Italia stima actual gen" xfId="10588" xr:uid="{00000000-0005-0000-0000-000053290000}"/>
    <cellStyle name="_Column7_Incollare volumi estr da Alea" xfId="10589" xr:uid="{00000000-0005-0000-0000-000054290000}"/>
    <cellStyle name="_Column7_Industry Volumes" xfId="10590" xr:uid="{00000000-0005-0000-0000-000055290000}"/>
    <cellStyle name="_Column7_Industry Volumes 2" xfId="10591" xr:uid="{00000000-0005-0000-0000-000056290000}"/>
    <cellStyle name="_Column7_Industry Volumes 2 2" xfId="10592" xr:uid="{00000000-0005-0000-0000-000057290000}"/>
    <cellStyle name="_Column7_Industry Volumes 2 2 2" xfId="10593" xr:uid="{00000000-0005-0000-0000-000058290000}"/>
    <cellStyle name="_Column7_Industry Volumes 2 3" xfId="10594" xr:uid="{00000000-0005-0000-0000-000059290000}"/>
    <cellStyle name="_Column7_Industry Volumes 2 3 2" xfId="10595" xr:uid="{00000000-0005-0000-0000-00005A290000}"/>
    <cellStyle name="_Column7_Industry Volumes 2 3 3" xfId="10596" xr:uid="{00000000-0005-0000-0000-00005B290000}"/>
    <cellStyle name="_Column7_Industry Volumes 2 4" xfId="10597" xr:uid="{00000000-0005-0000-0000-00005C290000}"/>
    <cellStyle name="_Column7_Industry Volumes 2 5" xfId="10598" xr:uid="{00000000-0005-0000-0000-00005D290000}"/>
    <cellStyle name="_Column7_Industry Volumes 3" xfId="10599" xr:uid="{00000000-0005-0000-0000-00005E290000}"/>
    <cellStyle name="_Column7_Industry Volumes 3 2" xfId="10600" xr:uid="{00000000-0005-0000-0000-00005F290000}"/>
    <cellStyle name="_Column7_Industry Volumes 3 2 2" xfId="10601" xr:uid="{00000000-0005-0000-0000-000060290000}"/>
    <cellStyle name="_Column7_Industry Volumes 3 2 3" xfId="10602" xr:uid="{00000000-0005-0000-0000-000061290000}"/>
    <cellStyle name="_Column7_Industry Volumes 3 3" xfId="10603" xr:uid="{00000000-0005-0000-0000-000062290000}"/>
    <cellStyle name="_Column7_Industry Volumes 3 3 2" xfId="10604" xr:uid="{00000000-0005-0000-0000-000063290000}"/>
    <cellStyle name="_Column7_Industry Volumes 4" xfId="10605" xr:uid="{00000000-0005-0000-0000-000064290000}"/>
    <cellStyle name="_Column7_Industry Volumes 4 2" xfId="10606" xr:uid="{00000000-0005-0000-0000-000065290000}"/>
    <cellStyle name="_Column7_Industry Volumes 4 3" xfId="10607" xr:uid="{00000000-0005-0000-0000-000066290000}"/>
    <cellStyle name="_Column7_Industry Volumes 5" xfId="10608" xr:uid="{00000000-0005-0000-0000-000067290000}"/>
    <cellStyle name="_Column7_Industry Volumes 6" xfId="10609" xr:uid="{00000000-0005-0000-0000-000068290000}"/>
    <cellStyle name="_Column7_Industry Volumes_Sheet1" xfId="10610" xr:uid="{00000000-0005-0000-0000-000069290000}"/>
    <cellStyle name="_Column7_Industry Volumes_Sm Proj Cash Flow" xfId="10611" xr:uid="{00000000-0005-0000-0000-00006A290000}"/>
    <cellStyle name="_Column7_Industry Volumes_Spend Detail" xfId="10612" xr:uid="{00000000-0005-0000-0000-00006B290000}"/>
    <cellStyle name="_Column7_Industry Volumes_SustainingProjectList" xfId="10613" xr:uid="{00000000-0005-0000-0000-00006C290000}"/>
    <cellStyle name="_Column7_innovation volumi" xfId="10614" xr:uid="{00000000-0005-0000-0000-00006D290000}"/>
    <cellStyle name="_Column7_INPUT" xfId="10615" xr:uid="{00000000-0005-0000-0000-00006E290000}"/>
    <cellStyle name="_Column7_IS LE1 ricevuto da On Trade" xfId="10616" xr:uid="{00000000-0005-0000-0000-00006F290000}"/>
    <cellStyle name="_Column7_IT_TR2 (Maco YTD Giu)" xfId="10617" xr:uid="{00000000-0005-0000-0000-000070290000}"/>
    <cellStyle name="_Column7_June draft ON + DD" xfId="10618" xr:uid="{00000000-0005-0000-0000-000071290000}"/>
    <cellStyle name="_Column7_JW_Absätze aus diversen MACO-Würfeln" xfId="10619" xr:uid="{00000000-0005-0000-0000-000072290000}"/>
    <cellStyle name="_Column7_JW_Transferpreise 2006" xfId="10620" xr:uid="{00000000-0005-0000-0000-000073290000}"/>
    <cellStyle name="_Column7_JW_Transferpreise IDVG 2005" xfId="10621" xr:uid="{00000000-0005-0000-0000-000074290000}"/>
    <cellStyle name="_Column7_K01 Budget'07 mens" xfId="10622" xr:uid="{00000000-0005-0000-0000-000075290000}"/>
    <cellStyle name="_Column7_K01 January 07" xfId="10623" xr:uid="{00000000-0005-0000-0000-000076290000}"/>
    <cellStyle name="_Column7_KK_3YP Model S&amp;D Stand 3.7.07" xfId="10624" xr:uid="{00000000-0005-0000-0000-000077290000}"/>
    <cellStyle name="_Column7_KK_3YP Model S&amp;D Stand 3.7.07 2" xfId="10625" xr:uid="{00000000-0005-0000-0000-000078290000}"/>
    <cellStyle name="_Column7_KK_3YP Model S&amp;D Stand 3.7.07 2 2" xfId="10626" xr:uid="{00000000-0005-0000-0000-000079290000}"/>
    <cellStyle name="_Column7_KK_3YP Model S&amp;D Stand 3.7.07 2 2 2" xfId="10627" xr:uid="{00000000-0005-0000-0000-00007A290000}"/>
    <cellStyle name="_Column7_KK_3YP Model S&amp;D Stand 3.7.07 2 3" xfId="10628" xr:uid="{00000000-0005-0000-0000-00007B290000}"/>
    <cellStyle name="_Column7_KK_3YP Model S&amp;D Stand 3.7.07 2 3 2" xfId="10629" xr:uid="{00000000-0005-0000-0000-00007C290000}"/>
    <cellStyle name="_Column7_KK_3YP Model S&amp;D Stand 3.7.07 2 3 3" xfId="10630" xr:uid="{00000000-0005-0000-0000-00007D290000}"/>
    <cellStyle name="_Column7_KK_3YP Model S&amp;D Stand 3.7.07 2 4" xfId="10631" xr:uid="{00000000-0005-0000-0000-00007E290000}"/>
    <cellStyle name="_Column7_KK_3YP Model S&amp;D Stand 3.7.07 2 5" xfId="10632" xr:uid="{00000000-0005-0000-0000-00007F290000}"/>
    <cellStyle name="_Column7_KK_3YP Model S&amp;D Stand 3.7.07 3" xfId="10633" xr:uid="{00000000-0005-0000-0000-000080290000}"/>
    <cellStyle name="_Column7_KK_3YP Model S&amp;D Stand 3.7.07 3 2" xfId="10634" xr:uid="{00000000-0005-0000-0000-000081290000}"/>
    <cellStyle name="_Column7_KK_3YP Model S&amp;D Stand 3.7.07 3 2 2" xfId="10635" xr:uid="{00000000-0005-0000-0000-000082290000}"/>
    <cellStyle name="_Column7_KK_3YP Model S&amp;D Stand 3.7.07 3 2 3" xfId="10636" xr:uid="{00000000-0005-0000-0000-000083290000}"/>
    <cellStyle name="_Column7_KK_3YP Model S&amp;D Stand 3.7.07 3 3" xfId="10637" xr:uid="{00000000-0005-0000-0000-000084290000}"/>
    <cellStyle name="_Column7_KK_3YP Model S&amp;D Stand 3.7.07 3 3 2" xfId="10638" xr:uid="{00000000-0005-0000-0000-000085290000}"/>
    <cellStyle name="_Column7_KK_3YP Model S&amp;D Stand 3.7.07 4" xfId="10639" xr:uid="{00000000-0005-0000-0000-000086290000}"/>
    <cellStyle name="_Column7_KK_3YP Model S&amp;D Stand 3.7.07 4 2" xfId="10640" xr:uid="{00000000-0005-0000-0000-000087290000}"/>
    <cellStyle name="_Column7_KK_3YP Model S&amp;D Stand 3.7.07 4 3" xfId="10641" xr:uid="{00000000-0005-0000-0000-000088290000}"/>
    <cellStyle name="_Column7_KK_3YP Model S&amp;D Stand 3.7.07 5" xfId="10642" xr:uid="{00000000-0005-0000-0000-000089290000}"/>
    <cellStyle name="_Column7_KK_3YP Model S&amp;D Stand 3.7.07 6" xfId="10643" xr:uid="{00000000-0005-0000-0000-00008A290000}"/>
    <cellStyle name="_Column7_KK_3YP Model S&amp;D Stand 3.7.07_Sheet1" xfId="10644" xr:uid="{00000000-0005-0000-0000-00008B290000}"/>
    <cellStyle name="_Column7_KK_3YP Model S&amp;D Stand 3.7.07_Sm Proj Cash Flow" xfId="10645" xr:uid="{00000000-0005-0000-0000-00008C290000}"/>
    <cellStyle name="_Column7_KK_3YP Model S&amp;D Stand 3.7.07_Spend Detail" xfId="10646" xr:uid="{00000000-0005-0000-0000-00008D290000}"/>
    <cellStyle name="_Column7_KK_3YP Model S&amp;D Stand 3.7.07_SustainingProjectList" xfId="10647" xr:uid="{00000000-0005-0000-0000-00008E290000}"/>
    <cellStyle name="_Column7_LE 1 On Trade" xfId="10648" xr:uid="{00000000-0005-0000-0000-00008F290000}"/>
    <cellStyle name="_Column7_LE1" xfId="10649" xr:uid="{00000000-0005-0000-0000-000090290000}"/>
    <cellStyle name="_Column7_LE1 2007" xfId="10650" xr:uid="{00000000-0005-0000-0000-000091290000}"/>
    <cellStyle name="_Column7_LE1 controllo ZBB vers 27.4.07 bis" xfId="10651" xr:uid="{00000000-0005-0000-0000-000092290000}"/>
    <cellStyle name="_Column7_LEI templates - per Francesca by PPM" xfId="10652" xr:uid="{00000000-0005-0000-0000-000093290000}"/>
    <cellStyle name="_Column7_loop ist energie" xfId="10653" xr:uid="{00000000-0005-0000-0000-000094290000}"/>
    <cellStyle name="_Column7_Maco budget 2007 On Trade" xfId="10654" xr:uid="{00000000-0005-0000-0000-000095290000}"/>
    <cellStyle name="_Column7_Maco IN MACO e ITW" xfId="10655" xr:uid="{00000000-0005-0000-0000-000096290000}"/>
    <cellStyle name="_Column7_Maco IN MACO e ITW Feb" xfId="10656" xr:uid="{00000000-0005-0000-0000-000097290000}"/>
    <cellStyle name="_Column7_Maco L2" xfId="10657" xr:uid="{00000000-0005-0000-0000-000098290000}"/>
    <cellStyle name="_Column7_Maco LE1 vers 30.4.07" xfId="10658" xr:uid="{00000000-0005-0000-0000-000099290000}"/>
    <cellStyle name="_Column7_Maco LE1 vers 30.4.07 PER PRESENTAZ" xfId="10659" xr:uid="{00000000-0005-0000-0000-00009A290000}"/>
    <cellStyle name="_Column7_MACO waterfall feb'07" xfId="10660" xr:uid="{00000000-0005-0000-0000-00009B290000}"/>
    <cellStyle name="_Column7_Mappe2" xfId="10661" xr:uid="{00000000-0005-0000-0000-00009C290000}"/>
    <cellStyle name="_Column7_Mark up Ist" xfId="10662" xr:uid="{00000000-0005-0000-0000-00009D290000}"/>
    <cellStyle name="_Column7_Marzo 2007 Deck vers 16.4.07" xfId="10663" xr:uid="{00000000-0005-0000-0000-00009E290000}"/>
    <cellStyle name="_Column7_Mens volumi LE1 x BBP" xfId="10664" xr:uid="{00000000-0005-0000-0000-00009F290000}"/>
    <cellStyle name="_Column7_MIS1" xfId="10665" xr:uid="{00000000-0005-0000-0000-0000A0290000}"/>
    <cellStyle name="_Column7_MIS10" xfId="10666" xr:uid="{00000000-0005-0000-0000-0000A1290000}"/>
    <cellStyle name="_Column7_MIS17" xfId="10667" xr:uid="{00000000-0005-0000-0000-0000A2290000}"/>
    <cellStyle name="_Column7_MIS2" xfId="10668" xr:uid="{00000000-0005-0000-0000-0000A3290000}"/>
    <cellStyle name="_Column7_MIS2 2" xfId="10669" xr:uid="{00000000-0005-0000-0000-0000A4290000}"/>
    <cellStyle name="_Column7_MIS2 2 2" xfId="10670" xr:uid="{00000000-0005-0000-0000-0000A5290000}"/>
    <cellStyle name="_Column7_MIS2 2 2 2" xfId="10671" xr:uid="{00000000-0005-0000-0000-0000A6290000}"/>
    <cellStyle name="_Column7_MIS2 2 3" xfId="10672" xr:uid="{00000000-0005-0000-0000-0000A7290000}"/>
    <cellStyle name="_Column7_MIS2 2 3 2" xfId="10673" xr:uid="{00000000-0005-0000-0000-0000A8290000}"/>
    <cellStyle name="_Column7_MIS2 2 3 3" xfId="10674" xr:uid="{00000000-0005-0000-0000-0000A9290000}"/>
    <cellStyle name="_Column7_MIS2 2 4" xfId="10675" xr:uid="{00000000-0005-0000-0000-0000AA290000}"/>
    <cellStyle name="_Column7_MIS2 2 5" xfId="10676" xr:uid="{00000000-0005-0000-0000-0000AB290000}"/>
    <cellStyle name="_Column7_MIS2 3" xfId="10677" xr:uid="{00000000-0005-0000-0000-0000AC290000}"/>
    <cellStyle name="_Column7_MIS2 3 2" xfId="10678" xr:uid="{00000000-0005-0000-0000-0000AD290000}"/>
    <cellStyle name="_Column7_MIS2 3 2 2" xfId="10679" xr:uid="{00000000-0005-0000-0000-0000AE290000}"/>
    <cellStyle name="_Column7_MIS2 3 2 3" xfId="10680" xr:uid="{00000000-0005-0000-0000-0000AF290000}"/>
    <cellStyle name="_Column7_MIS2 3 3" xfId="10681" xr:uid="{00000000-0005-0000-0000-0000B0290000}"/>
    <cellStyle name="_Column7_MIS2 4" xfId="10682" xr:uid="{00000000-0005-0000-0000-0000B1290000}"/>
    <cellStyle name="_Column7_MIS2 4 2" xfId="10683" xr:uid="{00000000-0005-0000-0000-0000B2290000}"/>
    <cellStyle name="_Column7_MIS2 4 3" xfId="10684" xr:uid="{00000000-0005-0000-0000-0000B3290000}"/>
    <cellStyle name="_Column7_MIS2 5" xfId="10685" xr:uid="{00000000-0005-0000-0000-0000B4290000}"/>
    <cellStyle name="_Column7_MIS2 6" xfId="10686" xr:uid="{00000000-0005-0000-0000-0000B5290000}"/>
    <cellStyle name="_Column7_MIS2_1" xfId="10687" xr:uid="{00000000-0005-0000-0000-0000B6290000}"/>
    <cellStyle name="_Column7_MIS2_Anlagenbelegung Auswertung SKU pro Linie 2006-07-25 -ÜB." xfId="10688" xr:uid="{00000000-0005-0000-0000-0000B7290000}"/>
    <cellStyle name="_Column7_MIS2_Basis" xfId="10689" xr:uid="{00000000-0005-0000-0000-0000B8290000}"/>
    <cellStyle name="_Column7_MIS2_Basis 2" xfId="10690" xr:uid="{00000000-0005-0000-0000-0000B9290000}"/>
    <cellStyle name="_Column7_MIS2_Basis 2 2" xfId="10691" xr:uid="{00000000-0005-0000-0000-0000BA290000}"/>
    <cellStyle name="_Column7_MIS2_Basis_Sheet1" xfId="10692" xr:uid="{00000000-0005-0000-0000-0000BB290000}"/>
    <cellStyle name="_Column7_MIS2_Basis_Sheet5" xfId="10693" xr:uid="{00000000-0005-0000-0000-0000BC290000}"/>
    <cellStyle name="_Column7_MIS2_Basis_Sm Proj Cash Flow" xfId="10694" xr:uid="{00000000-0005-0000-0000-0000BD290000}"/>
    <cellStyle name="_Column7_MIS2_Basis_Spend Detail" xfId="10695" xr:uid="{00000000-0005-0000-0000-0000BE290000}"/>
    <cellStyle name="_Column7_MIS2_Basis_SustainingProjectList" xfId="10696" xr:uid="{00000000-0005-0000-0000-0000BF290000}"/>
    <cellStyle name="_Column7_MIS2_Changeover t, theor. u. per h. " xfId="10697" xr:uid="{00000000-0005-0000-0000-0000C0290000}"/>
    <cellStyle name="_Column7_MIS2_JW_VPLC Bremen" xfId="10698" xr:uid="{00000000-0005-0000-0000-0000C1290000}"/>
    <cellStyle name="_Column7_MIS2_Mother line Bremen" xfId="10699" xr:uid="{00000000-0005-0000-0000-0000C2290000}"/>
    <cellStyle name="_Column7_MIS2_RB&amp;JW_Produktionsplanung_LE1_2006 sortiert" xfId="10700" xr:uid="{00000000-0005-0000-0000-0000C3290000}"/>
    <cellStyle name="_Column7_MIS2_RB&amp;JW_Produktionsplanung_LE1_2006 sortiert 2" xfId="10701" xr:uid="{00000000-0005-0000-0000-0000C4290000}"/>
    <cellStyle name="_Column7_MIS2_RB&amp;JW_Produktionsplanung_LE1_2006 sortiert 2 2" xfId="10702" xr:uid="{00000000-0005-0000-0000-0000C5290000}"/>
    <cellStyle name="_Column7_MIS2_RB&amp;JW_Produktionsplanung_LE1_2006 sortiert_Sheet1" xfId="10703" xr:uid="{00000000-0005-0000-0000-0000C6290000}"/>
    <cellStyle name="_Column7_MIS2_RB&amp;JW_Produktionsplanung_LE1_2006 sortiert_Sheet5" xfId="10704" xr:uid="{00000000-0005-0000-0000-0000C7290000}"/>
    <cellStyle name="_Column7_MIS2_RB&amp;JW_Produktionsplanung_LE1_2006 sortiert_Sm Proj Cash Flow" xfId="10705" xr:uid="{00000000-0005-0000-0000-0000C8290000}"/>
    <cellStyle name="_Column7_MIS2_RB&amp;JW_Produktionsplanung_LE1_2006 sortiert_Spend Detail" xfId="10706" xr:uid="{00000000-0005-0000-0000-0000C9290000}"/>
    <cellStyle name="_Column7_MIS2_RB&amp;JW_Produktionsplanung_LE1_2006 sortiert_SustainingProjectList" xfId="10707" xr:uid="{00000000-0005-0000-0000-0000CA290000}"/>
    <cellStyle name="_Column7_MIS2_Rüstzeit" xfId="10708" xr:uid="{00000000-0005-0000-0000-0000CB290000}"/>
    <cellStyle name="_Column7_MIS2_SKU Volumen" xfId="10709" xr:uid="{00000000-0005-0000-0000-0000CC290000}"/>
    <cellStyle name="_Column7_MIS2_SKU Volumen 2" xfId="10710" xr:uid="{00000000-0005-0000-0000-0000CD290000}"/>
    <cellStyle name="_Column7_MIS2_SKU Volumen_Sheet1" xfId="10711" xr:uid="{00000000-0005-0000-0000-0000CE290000}"/>
    <cellStyle name="_Column7_MIS2_SKU Volumen_Sm Proj Cash Flow" xfId="10712" xr:uid="{00000000-0005-0000-0000-0000CF290000}"/>
    <cellStyle name="_Column7_MIS2_SKU Volumen_Spend Detail" xfId="10713" xr:uid="{00000000-0005-0000-0000-0000D0290000}"/>
    <cellStyle name="_Column7_MIS2_SKU Volumen_SustainingProjectList" xfId="10714" xr:uid="{00000000-0005-0000-0000-0000D1290000}"/>
    <cellStyle name="_Column7_MIS2_Tabelle1" xfId="10715" xr:uid="{00000000-0005-0000-0000-0000D2290000}"/>
    <cellStyle name="_Column7_MIS2_Tabelle1 2" xfId="10716" xr:uid="{00000000-0005-0000-0000-0000D3290000}"/>
    <cellStyle name="_Column7_MIS2_Tabelle1 2 2" xfId="10717" xr:uid="{00000000-0005-0000-0000-0000D4290000}"/>
    <cellStyle name="_Column7_MIS2_Tabelle1 3" xfId="10718" xr:uid="{00000000-0005-0000-0000-0000D5290000}"/>
    <cellStyle name="_Column7_MIS2_Tabelle1_Sheet1" xfId="10719" xr:uid="{00000000-0005-0000-0000-0000D6290000}"/>
    <cellStyle name="_Column7_MIS2_Tabelle1_Sm Proj Cash Flow" xfId="10720" xr:uid="{00000000-0005-0000-0000-0000D7290000}"/>
    <cellStyle name="_Column7_MIS2_Tabelle1_Spend Detail" xfId="10721" xr:uid="{00000000-0005-0000-0000-0000D8290000}"/>
    <cellStyle name="_Column7_MIS2_Tabelle1_SustainingProjectList" xfId="10722" xr:uid="{00000000-0005-0000-0000-0000D9290000}"/>
    <cellStyle name="_Column7_Mis23" xfId="10723" xr:uid="{00000000-0005-0000-0000-0000DA290000}"/>
    <cellStyle name="_Column7_Mis24" xfId="10724" xr:uid="{00000000-0005-0000-0000-0000DB290000}"/>
    <cellStyle name="_Column7_Mis24 2" xfId="10725" xr:uid="{00000000-0005-0000-0000-0000DC290000}"/>
    <cellStyle name="_Column7_Mis24 2 2" xfId="10726" xr:uid="{00000000-0005-0000-0000-0000DD290000}"/>
    <cellStyle name="_Column7_Mis24 3" xfId="10727" xr:uid="{00000000-0005-0000-0000-0000DE290000}"/>
    <cellStyle name="_Column7_Mis24_CA ML" xfId="10728" xr:uid="{00000000-0005-0000-0000-0000DF290000}"/>
    <cellStyle name="_Column7_Mis24_CA ML 2" xfId="10729" xr:uid="{00000000-0005-0000-0000-0000E0290000}"/>
    <cellStyle name="_Column7_Mis24_CA ML 2 2" xfId="10730" xr:uid="{00000000-0005-0000-0000-0000E1290000}"/>
    <cellStyle name="_Column7_Mis24_CA ML 3" xfId="10731" xr:uid="{00000000-0005-0000-0000-0000E2290000}"/>
    <cellStyle name="_Column7_Mis24_CA USD" xfId="10732" xr:uid="{00000000-0005-0000-0000-0000E3290000}"/>
    <cellStyle name="_Column7_Mis24_CA USD 2" xfId="10733" xr:uid="{00000000-0005-0000-0000-0000E4290000}"/>
    <cellStyle name="_Column7_Mis24_CA USD 2 2" xfId="10734" xr:uid="{00000000-0005-0000-0000-0000E5290000}"/>
    <cellStyle name="_Column7_Mis24_CA USD 3" xfId="10735" xr:uid="{00000000-0005-0000-0000-0000E6290000}"/>
    <cellStyle name="_Column7_Mis24_EC ML" xfId="10736" xr:uid="{00000000-0005-0000-0000-0000E7290000}"/>
    <cellStyle name="_Column7_Mis24_EC ML 2" xfId="10737" xr:uid="{00000000-0005-0000-0000-0000E8290000}"/>
    <cellStyle name="_Column7_Mis24_EC ML 2 2" xfId="10738" xr:uid="{00000000-0005-0000-0000-0000E9290000}"/>
    <cellStyle name="_Column7_Mis24_EC ML 3" xfId="10739" xr:uid="{00000000-0005-0000-0000-0000EA290000}"/>
    <cellStyle name="_Column7_Mis24_EC USD" xfId="10740" xr:uid="{00000000-0005-0000-0000-0000EB290000}"/>
    <cellStyle name="_Column7_Mis24_EC USD 2" xfId="10741" xr:uid="{00000000-0005-0000-0000-0000EC290000}"/>
    <cellStyle name="_Column7_Mis24_EC USD 2 2" xfId="10742" xr:uid="{00000000-0005-0000-0000-0000ED290000}"/>
    <cellStyle name="_Column7_Mis24_EC USD 3" xfId="10743" xr:uid="{00000000-0005-0000-0000-0000EE290000}"/>
    <cellStyle name="_Column7_Mis24_fx" xfId="10744" xr:uid="{00000000-0005-0000-0000-0000EF290000}"/>
    <cellStyle name="_Column7_Mis24_fx 2" xfId="10745" xr:uid="{00000000-0005-0000-0000-0000F0290000}"/>
    <cellStyle name="_Column7_Mis24_fx 2 2" xfId="10746" xr:uid="{00000000-0005-0000-0000-0000F1290000}"/>
    <cellStyle name="_Column7_Mis24_fx 3" xfId="10747" xr:uid="{00000000-0005-0000-0000-0000F2290000}"/>
    <cellStyle name="_Column7_Mis24_PE ML" xfId="10748" xr:uid="{00000000-0005-0000-0000-0000F3290000}"/>
    <cellStyle name="_Column7_Mis24_PE ML 2" xfId="10749" xr:uid="{00000000-0005-0000-0000-0000F4290000}"/>
    <cellStyle name="_Column7_Mis24_PE ML 2 2" xfId="10750" xr:uid="{00000000-0005-0000-0000-0000F5290000}"/>
    <cellStyle name="_Column7_Mis24_PE ML 3" xfId="10751" xr:uid="{00000000-0005-0000-0000-0000F6290000}"/>
    <cellStyle name="_Column7_Mis24_PE USD" xfId="10752" xr:uid="{00000000-0005-0000-0000-0000F7290000}"/>
    <cellStyle name="_Column7_Mis24_PE USD 2" xfId="10753" xr:uid="{00000000-0005-0000-0000-0000F8290000}"/>
    <cellStyle name="_Column7_Mis24_PE USD 2 2" xfId="10754" xr:uid="{00000000-0005-0000-0000-0000F9290000}"/>
    <cellStyle name="_Column7_Mis24_PE USD 3" xfId="10755" xr:uid="{00000000-0005-0000-0000-0000FA290000}"/>
    <cellStyle name="_Column7_Mis24_RD ML" xfId="10756" xr:uid="{00000000-0005-0000-0000-0000FB290000}"/>
    <cellStyle name="_Column7_Mis24_RD ML 2" xfId="10757" xr:uid="{00000000-0005-0000-0000-0000FC290000}"/>
    <cellStyle name="_Column7_Mis24_RD ML 2 2" xfId="10758" xr:uid="{00000000-0005-0000-0000-0000FD290000}"/>
    <cellStyle name="_Column7_Mis24_RD ML 3" xfId="10759" xr:uid="{00000000-0005-0000-0000-0000FE290000}"/>
    <cellStyle name="_Column7_Mis24_RD USD" xfId="10760" xr:uid="{00000000-0005-0000-0000-0000FF290000}"/>
    <cellStyle name="_Column7_Mis24_RD USD 2" xfId="10761" xr:uid="{00000000-0005-0000-0000-0000002A0000}"/>
    <cellStyle name="_Column7_Mis24_RD USD 2 2" xfId="10762" xr:uid="{00000000-0005-0000-0000-0000012A0000}"/>
    <cellStyle name="_Column7_Mis24_RD USD 3" xfId="10763" xr:uid="{00000000-0005-0000-0000-0000022A0000}"/>
    <cellStyle name="_Column7_Mis24_Simulador Precio VE 2009" xfId="10764" xr:uid="{00000000-0005-0000-0000-0000032A0000}"/>
    <cellStyle name="_Column7_Mis24_Simulador Precio VE 2009 2" xfId="10765" xr:uid="{00000000-0005-0000-0000-0000042A0000}"/>
    <cellStyle name="_Column7_Mis24_Simulador Precio VE 2009 2 2" xfId="10766" xr:uid="{00000000-0005-0000-0000-0000052A0000}"/>
    <cellStyle name="_Column7_Mis24_Simulador Precio VE 2009 3" xfId="10767" xr:uid="{00000000-0005-0000-0000-0000062A0000}"/>
    <cellStyle name="_Column7_Mis24_Simulador Precio VE 2009_CA ML" xfId="10768" xr:uid="{00000000-0005-0000-0000-0000072A0000}"/>
    <cellStyle name="_Column7_Mis24_Simulador Precio VE 2009_CA ML 2" xfId="10769" xr:uid="{00000000-0005-0000-0000-0000082A0000}"/>
    <cellStyle name="_Column7_Mis24_Simulador Precio VE 2009_CA ML 2 2" xfId="10770" xr:uid="{00000000-0005-0000-0000-0000092A0000}"/>
    <cellStyle name="_Column7_Mis24_Simulador Precio VE 2009_CA ML 3" xfId="10771" xr:uid="{00000000-0005-0000-0000-00000A2A0000}"/>
    <cellStyle name="_Column7_Mis24_Simulador Precio VE 2009_CA USD" xfId="10772" xr:uid="{00000000-0005-0000-0000-00000B2A0000}"/>
    <cellStyle name="_Column7_Mis24_Simulador Precio VE 2009_CA USD 2" xfId="10773" xr:uid="{00000000-0005-0000-0000-00000C2A0000}"/>
    <cellStyle name="_Column7_Mis24_Simulador Precio VE 2009_CA USD 2 2" xfId="10774" xr:uid="{00000000-0005-0000-0000-00000D2A0000}"/>
    <cellStyle name="_Column7_Mis24_Simulador Precio VE 2009_CA USD 3" xfId="10775" xr:uid="{00000000-0005-0000-0000-00000E2A0000}"/>
    <cellStyle name="_Column7_Mis24_Simulador Precio VE 2009_EC ML" xfId="10776" xr:uid="{00000000-0005-0000-0000-00000F2A0000}"/>
    <cellStyle name="_Column7_Mis24_Simulador Precio VE 2009_EC ML 2" xfId="10777" xr:uid="{00000000-0005-0000-0000-0000102A0000}"/>
    <cellStyle name="_Column7_Mis24_Simulador Precio VE 2009_EC ML 2 2" xfId="10778" xr:uid="{00000000-0005-0000-0000-0000112A0000}"/>
    <cellStyle name="_Column7_Mis24_Simulador Precio VE 2009_EC ML 3" xfId="10779" xr:uid="{00000000-0005-0000-0000-0000122A0000}"/>
    <cellStyle name="_Column7_Mis24_Simulador Precio VE 2009_EC USD" xfId="10780" xr:uid="{00000000-0005-0000-0000-0000132A0000}"/>
    <cellStyle name="_Column7_Mis24_Simulador Precio VE 2009_EC USD 2" xfId="10781" xr:uid="{00000000-0005-0000-0000-0000142A0000}"/>
    <cellStyle name="_Column7_Mis24_Simulador Precio VE 2009_EC USD 2 2" xfId="10782" xr:uid="{00000000-0005-0000-0000-0000152A0000}"/>
    <cellStyle name="_Column7_Mis24_Simulador Precio VE 2009_EC USD 3" xfId="10783" xr:uid="{00000000-0005-0000-0000-0000162A0000}"/>
    <cellStyle name="_Column7_Mis24_Simulador Precio VE 2009_fx" xfId="10784" xr:uid="{00000000-0005-0000-0000-0000172A0000}"/>
    <cellStyle name="_Column7_Mis24_Simulador Precio VE 2009_fx 2" xfId="10785" xr:uid="{00000000-0005-0000-0000-0000182A0000}"/>
    <cellStyle name="_Column7_Mis24_Simulador Precio VE 2009_fx 2 2" xfId="10786" xr:uid="{00000000-0005-0000-0000-0000192A0000}"/>
    <cellStyle name="_Column7_Mis24_Simulador Precio VE 2009_fx 3" xfId="10787" xr:uid="{00000000-0005-0000-0000-00001A2A0000}"/>
    <cellStyle name="_Column7_Mis24_Simulador Precio VE 2009_PE ML" xfId="10788" xr:uid="{00000000-0005-0000-0000-00001B2A0000}"/>
    <cellStyle name="_Column7_Mis24_Simulador Precio VE 2009_PE ML 2" xfId="10789" xr:uid="{00000000-0005-0000-0000-00001C2A0000}"/>
    <cellStyle name="_Column7_Mis24_Simulador Precio VE 2009_PE ML 2 2" xfId="10790" xr:uid="{00000000-0005-0000-0000-00001D2A0000}"/>
    <cellStyle name="_Column7_Mis24_Simulador Precio VE 2009_PE ML 3" xfId="10791" xr:uid="{00000000-0005-0000-0000-00001E2A0000}"/>
    <cellStyle name="_Column7_Mis24_Simulador Precio VE 2009_PE USD" xfId="10792" xr:uid="{00000000-0005-0000-0000-00001F2A0000}"/>
    <cellStyle name="_Column7_Mis24_Simulador Precio VE 2009_PE USD 2" xfId="10793" xr:uid="{00000000-0005-0000-0000-0000202A0000}"/>
    <cellStyle name="_Column7_Mis24_Simulador Precio VE 2009_PE USD 2 2" xfId="10794" xr:uid="{00000000-0005-0000-0000-0000212A0000}"/>
    <cellStyle name="_Column7_Mis24_Simulador Precio VE 2009_PE USD 3" xfId="10795" xr:uid="{00000000-0005-0000-0000-0000222A0000}"/>
    <cellStyle name="_Column7_Mis24_Simulador Precio VE 2009_RD ML" xfId="10796" xr:uid="{00000000-0005-0000-0000-0000232A0000}"/>
    <cellStyle name="_Column7_Mis24_Simulador Precio VE 2009_RD ML 2" xfId="10797" xr:uid="{00000000-0005-0000-0000-0000242A0000}"/>
    <cellStyle name="_Column7_Mis24_Simulador Precio VE 2009_RD ML 2 2" xfId="10798" xr:uid="{00000000-0005-0000-0000-0000252A0000}"/>
    <cellStyle name="_Column7_Mis24_Simulador Precio VE 2009_RD ML 3" xfId="10799" xr:uid="{00000000-0005-0000-0000-0000262A0000}"/>
    <cellStyle name="_Column7_Mis24_Simulador Precio VE 2009_RD USD" xfId="10800" xr:uid="{00000000-0005-0000-0000-0000272A0000}"/>
    <cellStyle name="_Column7_Mis24_Simulador Precio VE 2009_RD USD 2" xfId="10801" xr:uid="{00000000-0005-0000-0000-0000282A0000}"/>
    <cellStyle name="_Column7_Mis24_Simulador Precio VE 2009_RD USD 2 2" xfId="10802" xr:uid="{00000000-0005-0000-0000-0000292A0000}"/>
    <cellStyle name="_Column7_Mis24_Simulador Precio VE 2009_RD USD 3" xfId="10803" xr:uid="{00000000-0005-0000-0000-00002A2A0000}"/>
    <cellStyle name="_Column7_Mis25" xfId="10804" xr:uid="{00000000-0005-0000-0000-00002B2A0000}"/>
    <cellStyle name="_Column7_MIS3" xfId="10805" xr:uid="{00000000-0005-0000-0000-00002C2A0000}"/>
    <cellStyle name="_Column7_MIS3 2" xfId="10806" xr:uid="{00000000-0005-0000-0000-00002D2A0000}"/>
    <cellStyle name="_Column7_MIS3 2 2" xfId="10807" xr:uid="{00000000-0005-0000-0000-00002E2A0000}"/>
    <cellStyle name="_Column7_MIS3 2 2 2" xfId="10808" xr:uid="{00000000-0005-0000-0000-00002F2A0000}"/>
    <cellStyle name="_Column7_MIS3 2 3" xfId="10809" xr:uid="{00000000-0005-0000-0000-0000302A0000}"/>
    <cellStyle name="_Column7_MIS3 2 3 2" xfId="10810" xr:uid="{00000000-0005-0000-0000-0000312A0000}"/>
    <cellStyle name="_Column7_MIS3 2 3 3" xfId="10811" xr:uid="{00000000-0005-0000-0000-0000322A0000}"/>
    <cellStyle name="_Column7_MIS3 2 4" xfId="10812" xr:uid="{00000000-0005-0000-0000-0000332A0000}"/>
    <cellStyle name="_Column7_MIS3 2 5" xfId="10813" xr:uid="{00000000-0005-0000-0000-0000342A0000}"/>
    <cellStyle name="_Column7_MIS3 3" xfId="10814" xr:uid="{00000000-0005-0000-0000-0000352A0000}"/>
    <cellStyle name="_Column7_MIS3 3 2" xfId="10815" xr:uid="{00000000-0005-0000-0000-0000362A0000}"/>
    <cellStyle name="_Column7_MIS3 3 2 2" xfId="10816" xr:uid="{00000000-0005-0000-0000-0000372A0000}"/>
    <cellStyle name="_Column7_MIS3 3 2 3" xfId="10817" xr:uid="{00000000-0005-0000-0000-0000382A0000}"/>
    <cellStyle name="_Column7_MIS3 3 3" xfId="10818" xr:uid="{00000000-0005-0000-0000-0000392A0000}"/>
    <cellStyle name="_Column7_MIS3 3 3 2" xfId="10819" xr:uid="{00000000-0005-0000-0000-00003A2A0000}"/>
    <cellStyle name="_Column7_MIS3 4" xfId="10820" xr:uid="{00000000-0005-0000-0000-00003B2A0000}"/>
    <cellStyle name="_Column7_MIS3 4 2" xfId="10821" xr:uid="{00000000-0005-0000-0000-00003C2A0000}"/>
    <cellStyle name="_Column7_MIS3 4 3" xfId="10822" xr:uid="{00000000-0005-0000-0000-00003D2A0000}"/>
    <cellStyle name="_Column7_MIS3 5" xfId="10823" xr:uid="{00000000-0005-0000-0000-00003E2A0000}"/>
    <cellStyle name="_Column7_MIS3 6" xfId="10824" xr:uid="{00000000-0005-0000-0000-00003F2A0000}"/>
    <cellStyle name="_Column7_MIS3_Sheet1" xfId="10825" xr:uid="{00000000-0005-0000-0000-0000402A0000}"/>
    <cellStyle name="_Column7_MIS3_Sm Proj Cash Flow" xfId="10826" xr:uid="{00000000-0005-0000-0000-0000412A0000}"/>
    <cellStyle name="_Column7_MIS3_Spend Detail" xfId="10827" xr:uid="{00000000-0005-0000-0000-0000422A0000}"/>
    <cellStyle name="_Column7_MIS3_SustainingProjectList" xfId="10828" xr:uid="{00000000-0005-0000-0000-0000432A0000}"/>
    <cellStyle name="_Column7_MIS4" xfId="10829" xr:uid="{00000000-0005-0000-0000-0000442A0000}"/>
    <cellStyle name="_Column7_MIS4_1" xfId="10830" xr:uid="{00000000-0005-0000-0000-0000452A0000}"/>
    <cellStyle name="_Column7_MIS4_1_packaging" xfId="10831" xr:uid="{00000000-0005-0000-0000-0000462A0000}"/>
    <cellStyle name="_Column7_MIS5" xfId="10832" xr:uid="{00000000-0005-0000-0000-0000472A0000}"/>
    <cellStyle name="_Column7_MIS5_1" xfId="10833" xr:uid="{00000000-0005-0000-0000-0000482A0000}"/>
    <cellStyle name="_Column7_MIS5_1_packaging" xfId="10834" xr:uid="{00000000-0005-0000-0000-0000492A0000}"/>
    <cellStyle name="_Column7_MIS7" xfId="10835" xr:uid="{00000000-0005-0000-0000-00004A2A0000}"/>
    <cellStyle name="_Column7_MIS9" xfId="10836" xr:uid="{00000000-0005-0000-0000-00004B2A0000}"/>
    <cellStyle name="_Column7_MIS9 2" xfId="10837" xr:uid="{00000000-0005-0000-0000-00004C2A0000}"/>
    <cellStyle name="_Column7_MIS9_Anlagenbelegung Auswertung SKU pro Linie 2006-07-25 -ÜB." xfId="10838" xr:uid="{00000000-0005-0000-0000-00004D2A0000}"/>
    <cellStyle name="_Column7_Mkt marzo" xfId="10839" xr:uid="{00000000-0005-0000-0000-00004E2A0000}"/>
    <cellStyle name="_Column7_Netherlands" xfId="10840" xr:uid="{00000000-0005-0000-0000-00004F2A0000}"/>
    <cellStyle name="_Column7_Non bev sales income" xfId="10841" xr:uid="{00000000-0005-0000-0000-0000502A0000}"/>
    <cellStyle name="_Column7_Non bev. sales income" xfId="10842" xr:uid="{00000000-0005-0000-0000-0000512A0000}"/>
    <cellStyle name="_Column7_Nuove sku" xfId="10843" xr:uid="{00000000-0005-0000-0000-0000522A0000}"/>
    <cellStyle name="_Column7_Off T. marzo" xfId="10844" xr:uid="{00000000-0005-0000-0000-0000532A0000}"/>
    <cellStyle name="_Column7_OFF TRADE Volumi e maco Bdg 2007 by LUCA" xfId="10845" xr:uid="{00000000-0005-0000-0000-0000542A0000}"/>
    <cellStyle name="_Column7_OFF TRADE_MACO 2006" xfId="10846" xr:uid="{00000000-0005-0000-0000-0000552A0000}"/>
    <cellStyle name="_Column7_On Trade estratto al 30.06.06" xfId="10847" xr:uid="{00000000-0005-0000-0000-0000562A0000}"/>
    <cellStyle name="_Column7_On Trade Gen'07" xfId="10848" xr:uid="{00000000-0005-0000-0000-0000572A0000}"/>
    <cellStyle name="_Column7_Out of scope" xfId="10849" xr:uid="{00000000-0005-0000-0000-0000582A0000}"/>
    <cellStyle name="_Column7_Packages + Subpack" xfId="10850" xr:uid="{00000000-0005-0000-0000-0000592A0000}"/>
    <cellStyle name="_Column7_Packages ON + DD" xfId="10851" xr:uid="{00000000-0005-0000-0000-00005A2A0000}"/>
    <cellStyle name="_Column7_packaging" xfId="10852" xr:uid="{00000000-0005-0000-0000-00005B2A0000}"/>
    <cellStyle name="_Column7_packaging_1" xfId="10853" xr:uid="{00000000-0005-0000-0000-00005C2A0000}"/>
    <cellStyle name="_Column7_Partner - bilancio novembre" xfId="10854" xr:uid="{00000000-0005-0000-0000-00005D2A0000}"/>
    <cellStyle name="_Column7_PE ML" xfId="10855" xr:uid="{00000000-0005-0000-0000-00005E2A0000}"/>
    <cellStyle name="_Column7_PE ML 2" xfId="10856" xr:uid="{00000000-0005-0000-0000-00005F2A0000}"/>
    <cellStyle name="_Column7_PE ML 2 2" xfId="10857" xr:uid="{00000000-0005-0000-0000-0000602A0000}"/>
    <cellStyle name="_Column7_PE ML 3" xfId="10858" xr:uid="{00000000-0005-0000-0000-0000612A0000}"/>
    <cellStyle name="_Column7_PE USD" xfId="10859" xr:uid="{00000000-0005-0000-0000-0000622A0000}"/>
    <cellStyle name="_Column7_PE USD 2" xfId="10860" xr:uid="{00000000-0005-0000-0000-0000632A0000}"/>
    <cellStyle name="_Column7_PE USD 2 2" xfId="10861" xr:uid="{00000000-0005-0000-0000-0000642A0000}"/>
    <cellStyle name="_Column7_PE USD 3" xfId="10862" xr:uid="{00000000-0005-0000-0000-0000652A0000}"/>
    <cellStyle name="_Column7_P-LE-YTD-abs(loc)" xfId="10863" xr:uid="{00000000-0005-0000-0000-0000662A0000}"/>
    <cellStyle name="_Column7_P-LE-YTD-abs(loc)_packaging" xfId="10864" xr:uid="{00000000-0005-0000-0000-0000672A0000}"/>
    <cellStyle name="_Column7_RB&amp;JW_Produktionsplanung_LE1_2006 sortiert" xfId="10865" xr:uid="{00000000-0005-0000-0000-0000682A0000}"/>
    <cellStyle name="_Column7_RB&amp;JW_Produktionsplanung_LE1_2006 sortiert 2" xfId="10866" xr:uid="{00000000-0005-0000-0000-0000692A0000}"/>
    <cellStyle name="_Column7_RB&amp;JW_Produktionsplanung_LE1_2006 sortiert 2 2" xfId="10867" xr:uid="{00000000-0005-0000-0000-00006A2A0000}"/>
    <cellStyle name="_Column7_RB&amp;JW_Produktionsplanung_LE1_2006 sortiert_Sheet1" xfId="10868" xr:uid="{00000000-0005-0000-0000-00006B2A0000}"/>
    <cellStyle name="_Column7_RB&amp;JW_Produktionsplanung_LE1_2006 sortiert_Sheet5" xfId="10869" xr:uid="{00000000-0005-0000-0000-00006C2A0000}"/>
    <cellStyle name="_Column7_RB&amp;JW_Produktionsplanung_LE1_2006 sortiert_Sm Proj Cash Flow" xfId="10870" xr:uid="{00000000-0005-0000-0000-00006D2A0000}"/>
    <cellStyle name="_Column7_RB&amp;JW_Produktionsplanung_LE1_2006 sortiert_Spend Detail" xfId="10871" xr:uid="{00000000-0005-0000-0000-00006E2A0000}"/>
    <cellStyle name="_Column7_RB&amp;JW_Produktionsplanung_LE1_2006 sortiert_SustainingProjectList" xfId="10872" xr:uid="{00000000-0005-0000-0000-00006F2A0000}"/>
    <cellStyle name="_Column7_RD ML" xfId="10873" xr:uid="{00000000-0005-0000-0000-0000702A0000}"/>
    <cellStyle name="_Column7_RD ML 2" xfId="10874" xr:uid="{00000000-0005-0000-0000-0000712A0000}"/>
    <cellStyle name="_Column7_RD ML 2 2" xfId="10875" xr:uid="{00000000-0005-0000-0000-0000722A0000}"/>
    <cellStyle name="_Column7_RD ML 3" xfId="10876" xr:uid="{00000000-0005-0000-0000-0000732A0000}"/>
    <cellStyle name="_Column7_RD USD" xfId="10877" xr:uid="{00000000-0005-0000-0000-0000742A0000}"/>
    <cellStyle name="_Column7_RD USD 2" xfId="10878" xr:uid="{00000000-0005-0000-0000-0000752A0000}"/>
    <cellStyle name="_Column7_RD USD 2 2" xfId="10879" xr:uid="{00000000-0005-0000-0000-0000762A0000}"/>
    <cellStyle name="_Column7_RD USD 3" xfId="10880" xr:uid="{00000000-0005-0000-0000-0000772A0000}"/>
    <cellStyle name="_Column7_Report Inbev FINANCE November 06" xfId="10881" xr:uid="{00000000-0005-0000-0000-0000782A0000}"/>
    <cellStyle name="_Column7_Return rates" xfId="10882" xr:uid="{00000000-0005-0000-0000-0000792A0000}"/>
    <cellStyle name="_Column7_Returnable Packaging" xfId="10883" xr:uid="{00000000-0005-0000-0000-00007A2A0000}"/>
    <cellStyle name="_Column7_Returnable Packaging Prices 2008 (2)" xfId="10884" xr:uid="{00000000-0005-0000-0000-00007B2A0000}"/>
    <cellStyle name="_Column7_Rüstzeit" xfId="10885" xr:uid="{00000000-0005-0000-0000-00007C2A0000}"/>
    <cellStyle name="_Column7_RW_Mutteranlge" xfId="10886" xr:uid="{00000000-0005-0000-0000-00007D2A0000}"/>
    <cellStyle name="_Column7_RW4" xfId="10887" xr:uid="{00000000-0005-0000-0000-00007E2A0000}"/>
    <cellStyle name="_Column7_S&amp;D Italy" xfId="10888" xr:uid="{00000000-0005-0000-0000-00007F2A0000}"/>
    <cellStyle name="_Column7_Sales" xfId="10889" xr:uid="{00000000-0005-0000-0000-0000802A0000}"/>
    <cellStyle name="_Column7_Sales Daten" xfId="10890" xr:uid="{00000000-0005-0000-0000-0000812A0000}"/>
    <cellStyle name="_Column7_Sales On-Trade" xfId="10891" xr:uid="{00000000-0005-0000-0000-0000822A0000}"/>
    <cellStyle name="_Column7_SCFD_FLACON" xfId="10892" xr:uid="{00000000-0005-0000-0000-0000832A0000}"/>
    <cellStyle name="_Column7_SF_Volumes &amp; Maco pro hl Haake-Beck Budget 2009" xfId="10893" xr:uid="{00000000-0005-0000-0000-0000842A0000}"/>
    <cellStyle name="_Column7_SF_Volumes &amp; Maco pro hl Haake-Beck Budget 2009_RFFS SUBMISSION TO VPs" xfId="10894" xr:uid="{00000000-0005-0000-0000-0000852A0000}"/>
    <cellStyle name="_Column7_SF_Volumes &amp; Maco pro hl Haake-Beck Budget 2009_RFFS_SUBMISSION_TO_VPs _v2" xfId="10895" xr:uid="{00000000-0005-0000-0000-0000862A0000}"/>
    <cellStyle name="_Column7_Sheet1" xfId="10896" xr:uid="{00000000-0005-0000-0000-0000872A0000}"/>
    <cellStyle name="_Column7_Sheet1 (2)" xfId="10897" xr:uid="{00000000-0005-0000-0000-0000882A0000}"/>
    <cellStyle name="_Column7_Sheet1 10" xfId="10898" xr:uid="{00000000-0005-0000-0000-0000892A0000}"/>
    <cellStyle name="_Column7_Sheet1 11" xfId="10899" xr:uid="{00000000-0005-0000-0000-00008A2A0000}"/>
    <cellStyle name="_Column7_Sheet1 12" xfId="10900" xr:uid="{00000000-0005-0000-0000-00008B2A0000}"/>
    <cellStyle name="_Column7_Sheet1 13" xfId="10901" xr:uid="{00000000-0005-0000-0000-00008C2A0000}"/>
    <cellStyle name="_Column7_Sheet1 14" xfId="10902" xr:uid="{00000000-0005-0000-0000-00008D2A0000}"/>
    <cellStyle name="_Column7_Sheet1 15" xfId="10903" xr:uid="{00000000-0005-0000-0000-00008E2A0000}"/>
    <cellStyle name="_Column7_Sheet1 16" xfId="10904" xr:uid="{00000000-0005-0000-0000-00008F2A0000}"/>
    <cellStyle name="_Column7_Sheet1 17" xfId="10905" xr:uid="{00000000-0005-0000-0000-0000902A0000}"/>
    <cellStyle name="_Column7_Sheet1 18" xfId="10906" xr:uid="{00000000-0005-0000-0000-0000912A0000}"/>
    <cellStyle name="_Column7_Sheet1 19" xfId="10907" xr:uid="{00000000-0005-0000-0000-0000922A0000}"/>
    <cellStyle name="_Column7_Sheet1 2" xfId="10908" xr:uid="{00000000-0005-0000-0000-0000932A0000}"/>
    <cellStyle name="_Column7_Sheet1 20" xfId="10909" xr:uid="{00000000-0005-0000-0000-0000942A0000}"/>
    <cellStyle name="_Column7_Sheet1 21" xfId="10910" xr:uid="{00000000-0005-0000-0000-0000952A0000}"/>
    <cellStyle name="_Column7_Sheet1 22" xfId="10911" xr:uid="{00000000-0005-0000-0000-0000962A0000}"/>
    <cellStyle name="_Column7_Sheet1 23" xfId="10912" xr:uid="{00000000-0005-0000-0000-0000972A0000}"/>
    <cellStyle name="_Column7_Sheet1 24" xfId="10913" xr:uid="{00000000-0005-0000-0000-0000982A0000}"/>
    <cellStyle name="_Column7_Sheet1 25" xfId="10914" xr:uid="{00000000-0005-0000-0000-0000992A0000}"/>
    <cellStyle name="_Column7_Sheet1 3" xfId="10915" xr:uid="{00000000-0005-0000-0000-00009A2A0000}"/>
    <cellStyle name="_Column7_Sheet1 4" xfId="10916" xr:uid="{00000000-0005-0000-0000-00009B2A0000}"/>
    <cellStyle name="_Column7_Sheet1 5" xfId="10917" xr:uid="{00000000-0005-0000-0000-00009C2A0000}"/>
    <cellStyle name="_Column7_Sheet1 6" xfId="10918" xr:uid="{00000000-0005-0000-0000-00009D2A0000}"/>
    <cellStyle name="_Column7_Sheet1 7" xfId="10919" xr:uid="{00000000-0005-0000-0000-00009E2A0000}"/>
    <cellStyle name="_Column7_Sheet1 8" xfId="10920" xr:uid="{00000000-0005-0000-0000-00009F2A0000}"/>
    <cellStyle name="_Column7_Sheet1 9" xfId="10921" xr:uid="{00000000-0005-0000-0000-0000A02A0000}"/>
    <cellStyle name="_Column7_Sheet1_Analisi vol ott" xfId="10922" xr:uid="{00000000-0005-0000-0000-0000A12A0000}"/>
    <cellStyle name="_Column7_Sheet1_BACK UP FIGURES for PRESENTATION LE1" xfId="10923" xr:uid="{00000000-0005-0000-0000-0000A22A0000}"/>
    <cellStyle name="_Column7_Sheet1_Belgium" xfId="10924" xr:uid="{00000000-0005-0000-0000-0000A32A0000}"/>
    <cellStyle name="_Column7_Sheet1_Belgium_brew" xfId="10925" xr:uid="{00000000-0005-0000-0000-0000A42A0000}"/>
    <cellStyle name="_Column7_Sheet1_cans" xfId="10926" xr:uid="{00000000-0005-0000-0000-0000A52A0000}"/>
    <cellStyle name="_Column7_Sheet1_Luxembourg_brew" xfId="10927" xr:uid="{00000000-0005-0000-0000-0000A62A0000}"/>
    <cellStyle name="_Column7_Sheet1_Maco LE1 vers 30.4.07" xfId="10928" xr:uid="{00000000-0005-0000-0000-0000A72A0000}"/>
    <cellStyle name="_Column7_Sheet1_Maco LE1 vers 30.4.07 PER PRESENTAZ" xfId="10929" xr:uid="{00000000-0005-0000-0000-0000A82A0000}"/>
    <cellStyle name="_Column7_Sheet1_Marzo 2007 Deck vers 16.4.07" xfId="10930" xr:uid="{00000000-0005-0000-0000-0000A92A0000}"/>
    <cellStyle name="_Column7_Sheet1_welp" xfId="10931" xr:uid="{00000000-0005-0000-0000-0000AA2A0000}"/>
    <cellStyle name="_Column7_Sheet1_welp_RFFS SUBMISSION TO VPs" xfId="10932" xr:uid="{00000000-0005-0000-0000-0000AB2A0000}"/>
    <cellStyle name="_Column7_Sheet1_welp_RFFS_SUBMISSION_TO_VPs _v2" xfId="10933" xr:uid="{00000000-0005-0000-0000-0000AC2A0000}"/>
    <cellStyle name="_Column7_Sheet2" xfId="10934" xr:uid="{00000000-0005-0000-0000-0000AD2A0000}"/>
    <cellStyle name="_Column7_Sheet5" xfId="10935" xr:uid="{00000000-0005-0000-0000-0000AE2A0000}"/>
    <cellStyle name="_Column7_Simulador Precio VE 2009" xfId="10936" xr:uid="{00000000-0005-0000-0000-0000AF2A0000}"/>
    <cellStyle name="_Column7_Simulador Precio VE 2009 2" xfId="10937" xr:uid="{00000000-0005-0000-0000-0000B02A0000}"/>
    <cellStyle name="_Column7_Simulador Precio VE 2009 2 2" xfId="10938" xr:uid="{00000000-0005-0000-0000-0000B12A0000}"/>
    <cellStyle name="_Column7_Simulador Precio VE 2009 3" xfId="10939" xr:uid="{00000000-0005-0000-0000-0000B22A0000}"/>
    <cellStyle name="_Column7_Simulador Precio VE 2009_CA ML" xfId="10940" xr:uid="{00000000-0005-0000-0000-0000B32A0000}"/>
    <cellStyle name="_Column7_Simulador Precio VE 2009_CA ML 2" xfId="10941" xr:uid="{00000000-0005-0000-0000-0000B42A0000}"/>
    <cellStyle name="_Column7_Simulador Precio VE 2009_CA ML 2 2" xfId="10942" xr:uid="{00000000-0005-0000-0000-0000B52A0000}"/>
    <cellStyle name="_Column7_Simulador Precio VE 2009_CA ML 3" xfId="10943" xr:uid="{00000000-0005-0000-0000-0000B62A0000}"/>
    <cellStyle name="_Column7_Simulador Precio VE 2009_CA USD" xfId="10944" xr:uid="{00000000-0005-0000-0000-0000B72A0000}"/>
    <cellStyle name="_Column7_Simulador Precio VE 2009_CA USD 2" xfId="10945" xr:uid="{00000000-0005-0000-0000-0000B82A0000}"/>
    <cellStyle name="_Column7_Simulador Precio VE 2009_CA USD 2 2" xfId="10946" xr:uid="{00000000-0005-0000-0000-0000B92A0000}"/>
    <cellStyle name="_Column7_Simulador Precio VE 2009_CA USD 3" xfId="10947" xr:uid="{00000000-0005-0000-0000-0000BA2A0000}"/>
    <cellStyle name="_Column7_Simulador Precio VE 2009_EC ML" xfId="10948" xr:uid="{00000000-0005-0000-0000-0000BB2A0000}"/>
    <cellStyle name="_Column7_Simulador Precio VE 2009_EC ML 2" xfId="10949" xr:uid="{00000000-0005-0000-0000-0000BC2A0000}"/>
    <cellStyle name="_Column7_Simulador Precio VE 2009_EC ML 2 2" xfId="10950" xr:uid="{00000000-0005-0000-0000-0000BD2A0000}"/>
    <cellStyle name="_Column7_Simulador Precio VE 2009_EC ML 3" xfId="10951" xr:uid="{00000000-0005-0000-0000-0000BE2A0000}"/>
    <cellStyle name="_Column7_Simulador Precio VE 2009_EC USD" xfId="10952" xr:uid="{00000000-0005-0000-0000-0000BF2A0000}"/>
    <cellStyle name="_Column7_Simulador Precio VE 2009_EC USD 2" xfId="10953" xr:uid="{00000000-0005-0000-0000-0000C02A0000}"/>
    <cellStyle name="_Column7_Simulador Precio VE 2009_EC USD 2 2" xfId="10954" xr:uid="{00000000-0005-0000-0000-0000C12A0000}"/>
    <cellStyle name="_Column7_Simulador Precio VE 2009_EC USD 3" xfId="10955" xr:uid="{00000000-0005-0000-0000-0000C22A0000}"/>
    <cellStyle name="_Column7_Simulador Precio VE 2009_fx" xfId="10956" xr:uid="{00000000-0005-0000-0000-0000C32A0000}"/>
    <cellStyle name="_Column7_Simulador Precio VE 2009_fx 2" xfId="10957" xr:uid="{00000000-0005-0000-0000-0000C42A0000}"/>
    <cellStyle name="_Column7_Simulador Precio VE 2009_fx 2 2" xfId="10958" xr:uid="{00000000-0005-0000-0000-0000C52A0000}"/>
    <cellStyle name="_Column7_Simulador Precio VE 2009_fx 3" xfId="10959" xr:uid="{00000000-0005-0000-0000-0000C62A0000}"/>
    <cellStyle name="_Column7_Simulador Precio VE 2009_PE ML" xfId="10960" xr:uid="{00000000-0005-0000-0000-0000C72A0000}"/>
    <cellStyle name="_Column7_Simulador Precio VE 2009_PE ML 2" xfId="10961" xr:uid="{00000000-0005-0000-0000-0000C82A0000}"/>
    <cellStyle name="_Column7_Simulador Precio VE 2009_PE ML 2 2" xfId="10962" xr:uid="{00000000-0005-0000-0000-0000C92A0000}"/>
    <cellStyle name="_Column7_Simulador Precio VE 2009_PE ML 3" xfId="10963" xr:uid="{00000000-0005-0000-0000-0000CA2A0000}"/>
    <cellStyle name="_Column7_Simulador Precio VE 2009_PE USD" xfId="10964" xr:uid="{00000000-0005-0000-0000-0000CB2A0000}"/>
    <cellStyle name="_Column7_Simulador Precio VE 2009_PE USD 2" xfId="10965" xr:uid="{00000000-0005-0000-0000-0000CC2A0000}"/>
    <cellStyle name="_Column7_Simulador Precio VE 2009_PE USD 2 2" xfId="10966" xr:uid="{00000000-0005-0000-0000-0000CD2A0000}"/>
    <cellStyle name="_Column7_Simulador Precio VE 2009_PE USD 3" xfId="10967" xr:uid="{00000000-0005-0000-0000-0000CE2A0000}"/>
    <cellStyle name="_Column7_Simulador Precio VE 2009_RD ML" xfId="10968" xr:uid="{00000000-0005-0000-0000-0000CF2A0000}"/>
    <cellStyle name="_Column7_Simulador Precio VE 2009_RD ML 2" xfId="10969" xr:uid="{00000000-0005-0000-0000-0000D02A0000}"/>
    <cellStyle name="_Column7_Simulador Precio VE 2009_RD ML 2 2" xfId="10970" xr:uid="{00000000-0005-0000-0000-0000D12A0000}"/>
    <cellStyle name="_Column7_Simulador Precio VE 2009_RD ML 3" xfId="10971" xr:uid="{00000000-0005-0000-0000-0000D22A0000}"/>
    <cellStyle name="_Column7_Simulador Precio VE 2009_RD USD" xfId="10972" xr:uid="{00000000-0005-0000-0000-0000D32A0000}"/>
    <cellStyle name="_Column7_Simulador Precio VE 2009_RD USD 2" xfId="10973" xr:uid="{00000000-0005-0000-0000-0000D42A0000}"/>
    <cellStyle name="_Column7_Simulador Precio VE 2009_RD USD 2 2" xfId="10974" xr:uid="{00000000-0005-0000-0000-0000D52A0000}"/>
    <cellStyle name="_Column7_Simulador Precio VE 2009_RD USD 3" xfId="10975" xr:uid="{00000000-0005-0000-0000-0000D62A0000}"/>
    <cellStyle name="_Column7_Sku listini Off Trade" xfId="10976" xr:uid="{00000000-0005-0000-0000-0000D72A0000}"/>
    <cellStyle name="_Column7_SKU Volumen" xfId="10977" xr:uid="{00000000-0005-0000-0000-0000D82A0000}"/>
    <cellStyle name="_Column7_SKU Volumen 2" xfId="10978" xr:uid="{00000000-0005-0000-0000-0000D92A0000}"/>
    <cellStyle name="_Column7_SKU Volumen_Sheet1" xfId="10979" xr:uid="{00000000-0005-0000-0000-0000DA2A0000}"/>
    <cellStyle name="_Column7_SKU Volumen_Sm Proj Cash Flow" xfId="10980" xr:uid="{00000000-0005-0000-0000-0000DB2A0000}"/>
    <cellStyle name="_Column7_SKU Volumen_Spend Detail" xfId="10981" xr:uid="{00000000-0005-0000-0000-0000DC2A0000}"/>
    <cellStyle name="_Column7_SKU Volumen_SustainingProjectList" xfId="10982" xr:uid="{00000000-0005-0000-0000-0000DD2A0000}"/>
    <cellStyle name="_Column7_slide Innovation" xfId="10983" xr:uid="{00000000-0005-0000-0000-0000DE2A0000}"/>
    <cellStyle name="_Column7_Sortierkosten LE2 Hasseröder" xfId="10984" xr:uid="{00000000-0005-0000-0000-0000DF2A0000}"/>
    <cellStyle name="_Column7_SP DEMAND" xfId="10985" xr:uid="{00000000-0005-0000-0000-0000E02A0000}"/>
    <cellStyle name="_Column7_SPR_Deck_2008_RFM_20080723" xfId="10986" xr:uid="{00000000-0005-0000-0000-0000E12A0000}"/>
    <cellStyle name="_Column7_Stock 9.4" xfId="10987" xr:uid="{00000000-0005-0000-0000-0000E22A0000}"/>
    <cellStyle name="_Column7_Strategic Diagnostic Templates Technik" xfId="10988" xr:uid="{00000000-0005-0000-0000-0000E32A0000}"/>
    <cellStyle name="_Column7_Strategic Diagnostic Templates Technik 2" xfId="10989" xr:uid="{00000000-0005-0000-0000-0000E42A0000}"/>
    <cellStyle name="_Column7_Strategic Diagnostic Templates Technik 2 2" xfId="10990" xr:uid="{00000000-0005-0000-0000-0000E52A0000}"/>
    <cellStyle name="_Column7_Strategic Diagnostic Templates Technik 3" xfId="10991" xr:uid="{00000000-0005-0000-0000-0000E62A0000}"/>
    <cellStyle name="_Column7_Strategic Diagnostic Templates Technik 3 2" xfId="10992" xr:uid="{00000000-0005-0000-0000-0000E72A0000}"/>
    <cellStyle name="_Column7_Strategic Diagnostic Templates Technik 3 3" xfId="10993" xr:uid="{00000000-0005-0000-0000-0000E82A0000}"/>
    <cellStyle name="_Column7_Strategic Diagnostic Templates Technik 3 3 2" xfId="10994" xr:uid="{00000000-0005-0000-0000-0000E92A0000}"/>
    <cellStyle name="_Column7_Strategic Diagnostic Templates Technik 4" xfId="10995" xr:uid="{00000000-0005-0000-0000-0000EA2A0000}"/>
    <cellStyle name="_Column7_Strategic Diagnostic Templates Technik 4 2" xfId="10996" xr:uid="{00000000-0005-0000-0000-0000EB2A0000}"/>
    <cellStyle name="_Column7_Strategic Diagnostic Templates Technik 5" xfId="10997" xr:uid="{00000000-0005-0000-0000-0000EC2A0000}"/>
    <cellStyle name="_Column7_Strategic Diagnostic Templates Technik 5 2" xfId="10998" xr:uid="{00000000-0005-0000-0000-0000ED2A0000}"/>
    <cellStyle name="_Column7_Strategic Diagnostic Templates Technik_2004-08-09 Capacity Beck &amp; Co - 7d, 14, 20 days 2005 - 2006" xfId="10999" xr:uid="{00000000-0005-0000-0000-0000EE2A0000}"/>
    <cellStyle name="_Column7_Strategic Diagnostic Templates Technik_Accident frequency" xfId="11000" xr:uid="{00000000-0005-0000-0000-0000EF2A0000}"/>
    <cellStyle name="_Column7_Strategic Diagnostic Templates Technik_Accident frequency 2" xfId="11001" xr:uid="{00000000-0005-0000-0000-0000F02A0000}"/>
    <cellStyle name="_Column7_Strategic Diagnostic Templates Technik_Accident frequency_Financial Analysis Base" xfId="11002" xr:uid="{00000000-0005-0000-0000-0000F12A0000}"/>
    <cellStyle name="_Column7_Strategic Diagnostic Templates Technik_AG Personalproduktivität + Headcounts" xfId="11003" xr:uid="{00000000-0005-0000-0000-0000F22A0000}"/>
    <cellStyle name="_Column7_Strategic Diagnostic Templates Technik_AG Personalproduktivität + Headcounts Feb  05" xfId="11004" xr:uid="{00000000-0005-0000-0000-0000F32A0000}"/>
    <cellStyle name="_Column7_Strategic Diagnostic Templates Technik_Basis" xfId="11005" xr:uid="{00000000-0005-0000-0000-0000F42A0000}"/>
    <cellStyle name="_Column7_Strategic Diagnostic Templates Technik_Basis 2" xfId="11006" xr:uid="{00000000-0005-0000-0000-0000F52A0000}"/>
    <cellStyle name="_Column7_Strategic Diagnostic Templates Technik_Basis 2 2" xfId="11007" xr:uid="{00000000-0005-0000-0000-0000F62A0000}"/>
    <cellStyle name="_Column7_Strategic Diagnostic Templates Technik_Basis_Sheet1" xfId="11008" xr:uid="{00000000-0005-0000-0000-0000F72A0000}"/>
    <cellStyle name="_Column7_Strategic Diagnostic Templates Technik_Basis_Sheet5" xfId="11009" xr:uid="{00000000-0005-0000-0000-0000F82A0000}"/>
    <cellStyle name="_Column7_Strategic Diagnostic Templates Technik_Basis_Sm Proj Cash Flow" xfId="11010" xr:uid="{00000000-0005-0000-0000-0000F92A0000}"/>
    <cellStyle name="_Column7_Strategic Diagnostic Templates Technik_Basis_Spend Detail" xfId="11011" xr:uid="{00000000-0005-0000-0000-0000FA2A0000}"/>
    <cellStyle name="_Column7_Strategic Diagnostic Templates Technik_Basis_SustainingProjectList" xfId="11012" xr:uid="{00000000-0005-0000-0000-0000FB2A0000}"/>
    <cellStyle name="_Column7_Strategic Diagnostic Templates Technik_Beck" xfId="11013" xr:uid="{00000000-0005-0000-0000-0000FC2A0000}"/>
    <cellStyle name="_Column7_Strategic Diagnostic Templates Technik_Beck 2" xfId="11014" xr:uid="{00000000-0005-0000-0000-0000FD2A0000}"/>
    <cellStyle name="_Column7_Strategic Diagnostic Templates Technik_Beck 3" xfId="11015" xr:uid="{00000000-0005-0000-0000-0000FE2A0000}"/>
    <cellStyle name="_Column7_Strategic Diagnostic Templates Technik_Beck 3 2" xfId="11016" xr:uid="{00000000-0005-0000-0000-0000FF2A0000}"/>
    <cellStyle name="_Column7_Strategic Diagnostic Templates Technik_Beck 3 3" xfId="11017" xr:uid="{00000000-0005-0000-0000-0000002B0000}"/>
    <cellStyle name="_Column7_Strategic Diagnostic Templates Technik_Beck 3 3 2" xfId="11018" xr:uid="{00000000-0005-0000-0000-0000012B0000}"/>
    <cellStyle name="_Column7_Strategic Diagnostic Templates Technik_Beck 4" xfId="11019" xr:uid="{00000000-0005-0000-0000-0000022B0000}"/>
    <cellStyle name="_Column7_Strategic Diagnostic Templates Technik_Beck 4 2" xfId="11020" xr:uid="{00000000-0005-0000-0000-0000032B0000}"/>
    <cellStyle name="_Column7_Strategic Diagnostic Templates Technik_Beck 5" xfId="11021" xr:uid="{00000000-0005-0000-0000-0000042B0000}"/>
    <cellStyle name="_Column7_Strategic Diagnostic Templates Technik_Beck_HC_Ev.Total Bgt'05 vs.Bgt'04" xfId="11022" xr:uid="{00000000-0005-0000-0000-0000052B0000}"/>
    <cellStyle name="_Column7_Strategic Diagnostic Templates Technik_Beck_Hopfen" xfId="11023" xr:uid="{00000000-0005-0000-0000-0000062B0000}"/>
    <cellStyle name="_Column7_Strategic Diagnostic Templates Technik_Beck_Rüstzeit" xfId="11024" xr:uid="{00000000-0005-0000-0000-0000072B0000}"/>
    <cellStyle name="_Column7_Strategic Diagnostic Templates Technik_Beck_Sheet5" xfId="11025" xr:uid="{00000000-0005-0000-0000-0000082B0000}"/>
    <cellStyle name="_Column7_Strategic Diagnostic Templates Technik_Beck_Tabelle1" xfId="11026" xr:uid="{00000000-0005-0000-0000-0000092B0000}"/>
    <cellStyle name="_Column7_Strategic Diagnostic Templates Technik_Becks" xfId="11027" xr:uid="{00000000-0005-0000-0000-00000A2B0000}"/>
    <cellStyle name="_Column7_Strategic Diagnostic Templates Technik_Becks (OR)" xfId="11028" xr:uid="{00000000-0005-0000-0000-00000B2B0000}"/>
    <cellStyle name="_Column7_Strategic Diagnostic Templates Technik_Becks (OR) 2" xfId="11029" xr:uid="{00000000-0005-0000-0000-00000C2B0000}"/>
    <cellStyle name="_Column7_Strategic Diagnostic Templates Technik_Becks (OR) 3" xfId="11030" xr:uid="{00000000-0005-0000-0000-00000D2B0000}"/>
    <cellStyle name="_Column7_Strategic Diagnostic Templates Technik_Becks (OR) 3 2" xfId="11031" xr:uid="{00000000-0005-0000-0000-00000E2B0000}"/>
    <cellStyle name="_Column7_Strategic Diagnostic Templates Technik_Becks (OR) 3 3" xfId="11032" xr:uid="{00000000-0005-0000-0000-00000F2B0000}"/>
    <cellStyle name="_Column7_Strategic Diagnostic Templates Technik_Becks (OR) 3 3 2" xfId="11033" xr:uid="{00000000-0005-0000-0000-0000102B0000}"/>
    <cellStyle name="_Column7_Strategic Diagnostic Templates Technik_Becks (OR) 4" xfId="11034" xr:uid="{00000000-0005-0000-0000-0000112B0000}"/>
    <cellStyle name="_Column7_Strategic Diagnostic Templates Technik_Becks (OR) 4 2" xfId="11035" xr:uid="{00000000-0005-0000-0000-0000122B0000}"/>
    <cellStyle name="_Column7_Strategic Diagnostic Templates Technik_Becks (OR) 5" xfId="11036" xr:uid="{00000000-0005-0000-0000-0000132B0000}"/>
    <cellStyle name="_Column7_Strategic Diagnostic Templates Technik_Becks (OR)_HC_Ev.Total Bgt'05 vs.Bgt'04" xfId="11037" xr:uid="{00000000-0005-0000-0000-0000142B0000}"/>
    <cellStyle name="_Column7_Strategic Diagnostic Templates Technik_Becks (OR)_Hopfen" xfId="11038" xr:uid="{00000000-0005-0000-0000-0000152B0000}"/>
    <cellStyle name="_Column7_Strategic Diagnostic Templates Technik_Becks (OR)_Rüstzeit" xfId="11039" xr:uid="{00000000-0005-0000-0000-0000162B0000}"/>
    <cellStyle name="_Column7_Strategic Diagnostic Templates Technik_Becks (OR)_Sheet5" xfId="11040" xr:uid="{00000000-0005-0000-0000-0000172B0000}"/>
    <cellStyle name="_Column7_Strategic Diagnostic Templates Technik_Becks (OR)_Tabelle1" xfId="11041" xr:uid="{00000000-0005-0000-0000-0000182B0000}"/>
    <cellStyle name="_Column7_Strategic Diagnostic Templates Technik_Becks 10" xfId="11042" xr:uid="{00000000-0005-0000-0000-0000192B0000}"/>
    <cellStyle name="_Column7_Strategic Diagnostic Templates Technik_Becks 11" xfId="11043" xr:uid="{00000000-0005-0000-0000-00001A2B0000}"/>
    <cellStyle name="_Column7_Strategic Diagnostic Templates Technik_Becks 11 2" xfId="11044" xr:uid="{00000000-0005-0000-0000-00001B2B0000}"/>
    <cellStyle name="_Column7_Strategic Diagnostic Templates Technik_Becks 12" xfId="11045" xr:uid="{00000000-0005-0000-0000-00001C2B0000}"/>
    <cellStyle name="_Column7_Strategic Diagnostic Templates Technik_Becks 12 2" xfId="11046" xr:uid="{00000000-0005-0000-0000-00001D2B0000}"/>
    <cellStyle name="_Column7_Strategic Diagnostic Templates Technik_Becks 13" xfId="11047" xr:uid="{00000000-0005-0000-0000-00001E2B0000}"/>
    <cellStyle name="_Column7_Strategic Diagnostic Templates Technik_Becks 13 2" xfId="11048" xr:uid="{00000000-0005-0000-0000-00001F2B0000}"/>
    <cellStyle name="_Column7_Strategic Diagnostic Templates Technik_Becks 14" xfId="11049" xr:uid="{00000000-0005-0000-0000-0000202B0000}"/>
    <cellStyle name="_Column7_Strategic Diagnostic Templates Technik_Becks 14 2" xfId="11050" xr:uid="{00000000-0005-0000-0000-0000212B0000}"/>
    <cellStyle name="_Column7_Strategic Diagnostic Templates Technik_Becks 15" xfId="11051" xr:uid="{00000000-0005-0000-0000-0000222B0000}"/>
    <cellStyle name="_Column7_Strategic Diagnostic Templates Technik_Becks 16" xfId="11052" xr:uid="{00000000-0005-0000-0000-0000232B0000}"/>
    <cellStyle name="_Column7_Strategic Diagnostic Templates Technik_Becks 17" xfId="11053" xr:uid="{00000000-0005-0000-0000-0000242B0000}"/>
    <cellStyle name="_Column7_Strategic Diagnostic Templates Technik_Becks 18" xfId="11054" xr:uid="{00000000-0005-0000-0000-0000252B0000}"/>
    <cellStyle name="_Column7_Strategic Diagnostic Templates Technik_Becks 19" xfId="11055" xr:uid="{00000000-0005-0000-0000-0000262B0000}"/>
    <cellStyle name="_Column7_Strategic Diagnostic Templates Technik_Becks 2" xfId="11056" xr:uid="{00000000-0005-0000-0000-0000272B0000}"/>
    <cellStyle name="_Column7_Strategic Diagnostic Templates Technik_Becks 20" xfId="11057" xr:uid="{00000000-0005-0000-0000-0000282B0000}"/>
    <cellStyle name="_Column7_Strategic Diagnostic Templates Technik_Becks 21" xfId="11058" xr:uid="{00000000-0005-0000-0000-0000292B0000}"/>
    <cellStyle name="_Column7_Strategic Diagnostic Templates Technik_Becks 22" xfId="11059" xr:uid="{00000000-0005-0000-0000-00002A2B0000}"/>
    <cellStyle name="_Column7_Strategic Diagnostic Templates Technik_Becks 23" xfId="11060" xr:uid="{00000000-0005-0000-0000-00002B2B0000}"/>
    <cellStyle name="_Column7_Strategic Diagnostic Templates Technik_Becks 24" xfId="11061" xr:uid="{00000000-0005-0000-0000-00002C2B0000}"/>
    <cellStyle name="_Column7_Strategic Diagnostic Templates Technik_Becks 25" xfId="11062" xr:uid="{00000000-0005-0000-0000-00002D2B0000}"/>
    <cellStyle name="_Column7_Strategic Diagnostic Templates Technik_Becks 3" xfId="11063" xr:uid="{00000000-0005-0000-0000-00002E2B0000}"/>
    <cellStyle name="_Column7_Strategic Diagnostic Templates Technik_Becks 4" xfId="11064" xr:uid="{00000000-0005-0000-0000-00002F2B0000}"/>
    <cellStyle name="_Column7_Strategic Diagnostic Templates Technik_Becks 5" xfId="11065" xr:uid="{00000000-0005-0000-0000-0000302B0000}"/>
    <cellStyle name="_Column7_Strategic Diagnostic Templates Technik_Becks 5 2" xfId="11066" xr:uid="{00000000-0005-0000-0000-0000312B0000}"/>
    <cellStyle name="_Column7_Strategic Diagnostic Templates Technik_Becks 5 3" xfId="11067" xr:uid="{00000000-0005-0000-0000-0000322B0000}"/>
    <cellStyle name="_Column7_Strategic Diagnostic Templates Technik_Becks 5 3 2" xfId="11068" xr:uid="{00000000-0005-0000-0000-0000332B0000}"/>
    <cellStyle name="_Column7_Strategic Diagnostic Templates Technik_Becks 6" xfId="11069" xr:uid="{00000000-0005-0000-0000-0000342B0000}"/>
    <cellStyle name="_Column7_Strategic Diagnostic Templates Technik_Becks 6 2" xfId="11070" xr:uid="{00000000-0005-0000-0000-0000352B0000}"/>
    <cellStyle name="_Column7_Strategic Diagnostic Templates Technik_Becks 6 3" xfId="11071" xr:uid="{00000000-0005-0000-0000-0000362B0000}"/>
    <cellStyle name="_Column7_Strategic Diagnostic Templates Technik_Becks 6 3 2" xfId="11072" xr:uid="{00000000-0005-0000-0000-0000372B0000}"/>
    <cellStyle name="_Column7_Strategic Diagnostic Templates Technik_Becks 7" xfId="11073" xr:uid="{00000000-0005-0000-0000-0000382B0000}"/>
    <cellStyle name="_Column7_Strategic Diagnostic Templates Technik_Becks 8" xfId="11074" xr:uid="{00000000-0005-0000-0000-0000392B0000}"/>
    <cellStyle name="_Column7_Strategic Diagnostic Templates Technik_Becks 9" xfId="11075" xr:uid="{00000000-0005-0000-0000-00003A2B0000}"/>
    <cellStyle name="_Column7_Strategic Diagnostic Templates Technik_Becks_HC_Ev.Total Bgt'05 vs.Bgt'04" xfId="11076" xr:uid="{00000000-0005-0000-0000-00003B2B0000}"/>
    <cellStyle name="_Column7_Strategic Diagnostic Templates Technik_Becks_Hopfen" xfId="11077" xr:uid="{00000000-0005-0000-0000-00003C2B0000}"/>
    <cellStyle name="_Column7_Strategic Diagnostic Templates Technik_Becks_Rüstzeit" xfId="11078" xr:uid="{00000000-0005-0000-0000-00003D2B0000}"/>
    <cellStyle name="_Column7_Strategic Diagnostic Templates Technik_Becks_Sheet5" xfId="11079" xr:uid="{00000000-0005-0000-0000-00003E2B0000}"/>
    <cellStyle name="_Column7_Strategic Diagnostic Templates Technik_Becks_Tabelle1" xfId="11080" xr:uid="{00000000-0005-0000-0000-00003F2B0000}"/>
    <cellStyle name="_Column7_Strategic Diagnostic Templates Technik_BU12 TP database - REGULAR VOLUMES LAN" xfId="11081" xr:uid="{00000000-0005-0000-0000-0000402B0000}"/>
    <cellStyle name="_Column7_Strategic Diagnostic Templates Technik_Canada" xfId="11082" xr:uid="{00000000-0005-0000-0000-0000412B0000}"/>
    <cellStyle name="_Column7_Strategic Diagnostic Templates Technik_Canada 2" xfId="11083" xr:uid="{00000000-0005-0000-0000-0000422B0000}"/>
    <cellStyle name="_Column7_Strategic Diagnostic Templates Technik_Canada_Dominican Rep" xfId="11084" xr:uid="{00000000-0005-0000-0000-0000432B0000}"/>
    <cellStyle name="_Column7_Strategic Diagnostic Templates Technik_GLY per filling line" xfId="11085" xr:uid="{00000000-0005-0000-0000-0000442B0000}"/>
    <cellStyle name="_Column7_Strategic Diagnostic Templates Technik_hlN aktuell ab 1-04" xfId="11086" xr:uid="{00000000-0005-0000-0000-0000452B0000}"/>
    <cellStyle name="_Column7_Strategic Diagnostic Templates Technik_hlN aktuell ab 1-04_Sheet5" xfId="11087" xr:uid="{00000000-0005-0000-0000-0000462B0000}"/>
    <cellStyle name="_Column7_Strategic Diagnostic Templates Technik_hlN aktuell ab 2-03" xfId="11088" xr:uid="{00000000-0005-0000-0000-0000472B0000}"/>
    <cellStyle name="_Column7_Strategic Diagnostic Templates Technik_hlN aktuell ab 2-03_Sheet5" xfId="11089" xr:uid="{00000000-0005-0000-0000-0000482B0000}"/>
    <cellStyle name="_Column7_Strategic Diagnostic Templates Technik_KST_KSTArt_Bericht" xfId="11090" xr:uid="{00000000-0005-0000-0000-0000492B0000}"/>
    <cellStyle name="_Column7_Strategic Diagnostic Templates Technik_KST_KSTArt_Bericht 2" xfId="11091" xr:uid="{00000000-0005-0000-0000-00004A2B0000}"/>
    <cellStyle name="_Column7_Strategic Diagnostic Templates Technik_KST_KSTArt_Bericht 2 2" xfId="11092" xr:uid="{00000000-0005-0000-0000-00004B2B0000}"/>
    <cellStyle name="_Column7_Strategic Diagnostic Templates Technik_KST_KSTArt_Bericht 2 2 2" xfId="11093" xr:uid="{00000000-0005-0000-0000-00004C2B0000}"/>
    <cellStyle name="_Column7_Strategic Diagnostic Templates Technik_KST_KSTArt_Bericht 2 3" xfId="11094" xr:uid="{00000000-0005-0000-0000-00004D2B0000}"/>
    <cellStyle name="_Column7_Strategic Diagnostic Templates Technik_KST_KSTArt_Bericht 3" xfId="11095" xr:uid="{00000000-0005-0000-0000-00004E2B0000}"/>
    <cellStyle name="_Column7_Strategic Diagnostic Templates Technik_KST_KSTArt_Bericht 3 2" xfId="11096" xr:uid="{00000000-0005-0000-0000-00004F2B0000}"/>
    <cellStyle name="_Column7_Strategic Diagnostic Templates Technik_KST_KSTArt_Bericht 4" xfId="11097" xr:uid="{00000000-0005-0000-0000-0000502B0000}"/>
    <cellStyle name="_Column7_Strategic Diagnostic Templates Technik_KST_KSTArt_Bericht_010808 Market Programs  for Budget Deck" xfId="11098" xr:uid="{00000000-0005-0000-0000-0000512B0000}"/>
    <cellStyle name="_Column7_Strategic Diagnostic Templates Technik_KST_KSTArt_Bericht_010808 Market Programs  for Budget Deck 2" xfId="11099" xr:uid="{00000000-0005-0000-0000-0000522B0000}"/>
    <cellStyle name="_Column7_Strategic Diagnostic Templates Technik_KST_KSTArt_Bericht_010808 Market Programs  for Budget Deck 2 2" xfId="11100" xr:uid="{00000000-0005-0000-0000-0000532B0000}"/>
    <cellStyle name="_Column7_Strategic Diagnostic Templates Technik_KST_KSTArt_Bericht_010808 Market Programs  for Budget Deck 3" xfId="11101" xr:uid="{00000000-0005-0000-0000-0000542B0000}"/>
    <cellStyle name="_Column7_Strategic Diagnostic Templates Technik_KST_KSTArt_Bericht_0908 Gabarito exchange rate" xfId="11102" xr:uid="{00000000-0005-0000-0000-0000552B0000}"/>
    <cellStyle name="_Column7_Strategic Diagnostic Templates Technik_KST_KSTArt_Bericht_0908 Gabarito exchange rate 2" xfId="11103" xr:uid="{00000000-0005-0000-0000-0000562B0000}"/>
    <cellStyle name="_Column7_Strategic Diagnostic Templates Technik_KST_KSTArt_Bericht_0908 Gabarito exchange rate 2 2" xfId="11104" xr:uid="{00000000-0005-0000-0000-0000572B0000}"/>
    <cellStyle name="_Column7_Strategic Diagnostic Templates Technik_KST_KSTArt_Bericht_0908 Gabarito exchange rate 3" xfId="11105" xr:uid="{00000000-0005-0000-0000-0000582B0000}"/>
    <cellStyle name="_Column7_Strategic Diagnostic Templates Technik_KST_KSTArt_Bericht_Accident frequency" xfId="11106" xr:uid="{00000000-0005-0000-0000-0000592B0000}"/>
    <cellStyle name="_Column7_Strategic Diagnostic Templates Technik_KST_KSTArt_Bericht_Additional Templates" xfId="11107" xr:uid="{00000000-0005-0000-0000-00005A2B0000}"/>
    <cellStyle name="_Column7_Strategic Diagnostic Templates Technik_KST_KSTArt_Bericht_Additional Templates (2)" xfId="11108" xr:uid="{00000000-0005-0000-0000-00005B2B0000}"/>
    <cellStyle name="_Column7_Strategic Diagnostic Templates Technik_KST_KSTArt_Bericht_Additional Templates (3)" xfId="11109" xr:uid="{00000000-0005-0000-0000-00005C2B0000}"/>
    <cellStyle name="_Column7_Strategic Diagnostic Templates Technik_KST_KSTArt_Bericht_Additional Templates (4)" xfId="11110" xr:uid="{00000000-0005-0000-0000-00005D2B0000}"/>
    <cellStyle name="_Column7_Strategic Diagnostic Templates Technik_KST_KSTArt_Bericht_Additional Templates (5)" xfId="11111" xr:uid="{00000000-0005-0000-0000-00005E2B0000}"/>
    <cellStyle name="_Column7_Strategic Diagnostic Templates Technik_KST_KSTArt_Bericht_Basis" xfId="11112" xr:uid="{00000000-0005-0000-0000-00005F2B0000}"/>
    <cellStyle name="_Column7_Strategic Diagnostic Templates Technik_KST_KSTArt_Bericht_Basis 2" xfId="11113" xr:uid="{00000000-0005-0000-0000-0000602B0000}"/>
    <cellStyle name="_Column7_Strategic Diagnostic Templates Technik_KST_KSTArt_Bericht_Basis 2 2" xfId="11114" xr:uid="{00000000-0005-0000-0000-0000612B0000}"/>
    <cellStyle name="_Column7_Strategic Diagnostic Templates Technik_KST_KSTArt_Bericht_Basis_Sheet1" xfId="11115" xr:uid="{00000000-0005-0000-0000-0000622B0000}"/>
    <cellStyle name="_Column7_Strategic Diagnostic Templates Technik_KST_KSTArt_Bericht_Basis_Sheet5" xfId="11116" xr:uid="{00000000-0005-0000-0000-0000632B0000}"/>
    <cellStyle name="_Column7_Strategic Diagnostic Templates Technik_KST_KSTArt_Bericht_Basis_Sm Proj Cash Flow" xfId="11117" xr:uid="{00000000-0005-0000-0000-0000642B0000}"/>
    <cellStyle name="_Column7_Strategic Diagnostic Templates Technik_KST_KSTArt_Bericht_Basis_Spend Detail" xfId="11118" xr:uid="{00000000-0005-0000-0000-0000652B0000}"/>
    <cellStyle name="_Column7_Strategic Diagnostic Templates Technik_KST_KSTArt_Bericht_Basis_SustainingProjectList" xfId="11119" xr:uid="{00000000-0005-0000-0000-0000662B0000}"/>
    <cellStyle name="_Column7_Strategic Diagnostic Templates Technik_KST_KSTArt_Bericht_BGT 08 Templates Sales  Marketing - final (revised)" xfId="11120" xr:uid="{00000000-0005-0000-0000-0000672B0000}"/>
    <cellStyle name="_Column7_Strategic Diagnostic Templates Technik_KST_KSTArt_Bericht_BGT 08 Templates Sales  Marketing - final (revised) 2" xfId="11121" xr:uid="{00000000-0005-0000-0000-0000682B0000}"/>
    <cellStyle name="_Column7_Strategic Diagnostic Templates Technik_KST_KSTArt_Bericht_BGT 08 Templates Sales  Marketing - final (revised) 2 2" xfId="11122" xr:uid="{00000000-0005-0000-0000-0000692B0000}"/>
    <cellStyle name="_Column7_Strategic Diagnostic Templates Technik_KST_KSTArt_Bericht_BGT 08 Templates Sales  Marketing - final (revised) 3" xfId="11123" xr:uid="{00000000-0005-0000-0000-00006A2B0000}"/>
    <cellStyle name="_Column7_Strategic Diagnostic Templates Technik_KST_KSTArt_Bericht_BGT 08 Templates Sales  Marketing - final (revised) 3 2" xfId="11124" xr:uid="{00000000-0005-0000-0000-00006B2B0000}"/>
    <cellStyle name="_Column7_Strategic Diagnostic Templates Technik_KST_KSTArt_Bericht_BGT 08 Templates Sales  Marketing - final (revised) 3 3" xfId="11125" xr:uid="{00000000-0005-0000-0000-00006C2B0000}"/>
    <cellStyle name="_Column7_Strategic Diagnostic Templates Technik_KST_KSTArt_Bericht_BGT 08 Templates Sales  Marketing - final (revised) 3 3 2" xfId="11126" xr:uid="{00000000-0005-0000-0000-00006D2B0000}"/>
    <cellStyle name="_Column7_Strategic Diagnostic Templates Technik_KST_KSTArt_Bericht_BGT 08 Templates Sales  Marketing - final (revised) 4" xfId="11127" xr:uid="{00000000-0005-0000-0000-00006E2B0000}"/>
    <cellStyle name="_Column7_Strategic Diagnostic Templates Technik_KST_KSTArt_Bericht_BGT 08 Templates Sales  Marketing - final (revised) 4 2" xfId="11128" xr:uid="{00000000-0005-0000-0000-00006F2B0000}"/>
    <cellStyle name="_Column7_Strategic Diagnostic Templates Technik_KST_KSTArt_Bericht_BGT 08 Templates Sales  Marketing - final (revised)_Sheet1" xfId="11129" xr:uid="{00000000-0005-0000-0000-0000702B0000}"/>
    <cellStyle name="_Column7_Strategic Diagnostic Templates Technik_KST_KSTArt_Bericht_BGT 08 Templates Sales  Marketing - final (revised)_Sm Proj Cash Flow" xfId="11130" xr:uid="{00000000-0005-0000-0000-0000712B0000}"/>
    <cellStyle name="_Column7_Strategic Diagnostic Templates Technik_KST_KSTArt_Bericht_BGT 08 Templates Sales  Marketing - final (revised)_Spend Detail" xfId="11131" xr:uid="{00000000-0005-0000-0000-0000722B0000}"/>
    <cellStyle name="_Column7_Strategic Diagnostic Templates Technik_KST_KSTArt_Bericht_BGT 08 Templates Sales  Marketing - final (revised)_SustainingProjectList" xfId="11132" xr:uid="{00000000-0005-0000-0000-0000732B0000}"/>
    <cellStyle name="_Column7_Strategic Diagnostic Templates Technik_KST_KSTArt_Bericht_Book5" xfId="11133" xr:uid="{00000000-0005-0000-0000-0000742B0000}"/>
    <cellStyle name="_Column7_Strategic Diagnostic Templates Technik_KST_KSTArt_Bericht_Book5 2" xfId="11134" xr:uid="{00000000-0005-0000-0000-0000752B0000}"/>
    <cellStyle name="_Column7_Strategic Diagnostic Templates Technik_KST_KSTArt_Bericht_Book5 2 2" xfId="11135" xr:uid="{00000000-0005-0000-0000-0000762B0000}"/>
    <cellStyle name="_Column7_Strategic Diagnostic Templates Technik_KST_KSTArt_Bericht_Book5 3" xfId="11136" xr:uid="{00000000-0005-0000-0000-0000772B0000}"/>
    <cellStyle name="_Column7_Strategic Diagnostic Templates Technik_KST_KSTArt_Bericht_Bplan RD 1001" xfId="11137" xr:uid="{00000000-0005-0000-0000-0000782B0000}"/>
    <cellStyle name="_Column7_Strategic Diagnostic Templates Technik_KST_KSTArt_Bericht_Bplan RD 1001 2" xfId="11138" xr:uid="{00000000-0005-0000-0000-0000792B0000}"/>
    <cellStyle name="_Column7_Strategic Diagnostic Templates Technik_KST_KSTArt_Bericht_Bplan RD 1001 2 2" xfId="11139" xr:uid="{00000000-0005-0000-0000-00007A2B0000}"/>
    <cellStyle name="_Column7_Strategic Diagnostic Templates Technik_KST_KSTArt_Bericht_Bplan RD 1001 3" xfId="11140" xr:uid="{00000000-0005-0000-0000-00007B2B0000}"/>
    <cellStyle name="_Column7_Strategic Diagnostic Templates Technik_KST_KSTArt_Bericht_CAPEX Analysis WE v3 Thomas" xfId="11141" xr:uid="{00000000-0005-0000-0000-00007C2B0000}"/>
    <cellStyle name="_Column7_Strategic Diagnostic Templates Technik_KST_KSTArt_Bericht_Challenge" xfId="11142" xr:uid="{00000000-0005-0000-0000-00007D2B0000}"/>
    <cellStyle name="_Column7_Strategic Diagnostic Templates Technik_KST_KSTArt_Bericht_Challenge 2" xfId="11143" xr:uid="{00000000-0005-0000-0000-00007E2B0000}"/>
    <cellStyle name="_Column7_Strategic Diagnostic Templates Technik_KST_KSTArt_Bericht_Challenge_Sheet1" xfId="11144" xr:uid="{00000000-0005-0000-0000-00007F2B0000}"/>
    <cellStyle name="_Column7_Strategic Diagnostic Templates Technik_KST_KSTArt_Bericht_Challenge_Sm Proj Cash Flow" xfId="11145" xr:uid="{00000000-0005-0000-0000-0000802B0000}"/>
    <cellStyle name="_Column7_Strategic Diagnostic Templates Technik_KST_KSTArt_Bericht_Challenge_Spend Detail" xfId="11146" xr:uid="{00000000-0005-0000-0000-0000812B0000}"/>
    <cellStyle name="_Column7_Strategic Diagnostic Templates Technik_KST_KSTArt_Bericht_Challenge_SustainingProjectList" xfId="11147" xr:uid="{00000000-0005-0000-0000-0000822B0000}"/>
    <cellStyle name="_Column7_Strategic Diagnostic Templates Technik_KST_KSTArt_Bericht_Copy of BGT 08 Templates Sales  Marketing - final (revised)" xfId="11148" xr:uid="{00000000-0005-0000-0000-0000832B0000}"/>
    <cellStyle name="_Column7_Strategic Diagnostic Templates Technik_KST_KSTArt_Bericht_Copy of BGT 08 Templates Sales  Marketing - final (revised) 2" xfId="11149" xr:uid="{00000000-0005-0000-0000-0000842B0000}"/>
    <cellStyle name="_Column7_Strategic Diagnostic Templates Technik_KST_KSTArt_Bericht_Copy of BGT 08 Templates Sales  Marketing - final (revised) 2 2" xfId="11150" xr:uid="{00000000-0005-0000-0000-0000852B0000}"/>
    <cellStyle name="_Column7_Strategic Diagnostic Templates Technik_KST_KSTArt_Bericht_Copy of BGT 08 Templates Sales  Marketing - final (revised) 3" xfId="11151" xr:uid="{00000000-0005-0000-0000-0000862B0000}"/>
    <cellStyle name="_Column7_Strategic Diagnostic Templates Technik_KST_KSTArt_Bericht_Copy of BGT 08 Templates Sales  Marketing - final (revised) 3 2" xfId="11152" xr:uid="{00000000-0005-0000-0000-0000872B0000}"/>
    <cellStyle name="_Column7_Strategic Diagnostic Templates Technik_KST_KSTArt_Bericht_Copy of BGT 08 Templates Sales  Marketing - final (revised) 3 3" xfId="11153" xr:uid="{00000000-0005-0000-0000-0000882B0000}"/>
    <cellStyle name="_Column7_Strategic Diagnostic Templates Technik_KST_KSTArt_Bericht_Copy of BGT 08 Templates Sales  Marketing - final (revised) 3 3 2" xfId="11154" xr:uid="{00000000-0005-0000-0000-0000892B0000}"/>
    <cellStyle name="_Column7_Strategic Diagnostic Templates Technik_KST_KSTArt_Bericht_Copy of BGT 08 Templates Sales  Marketing - final (revised) 4" xfId="11155" xr:uid="{00000000-0005-0000-0000-00008A2B0000}"/>
    <cellStyle name="_Column7_Strategic Diagnostic Templates Technik_KST_KSTArt_Bericht_Copy of BGT 08 Templates Sales  Marketing - final (revised) 4 2" xfId="11156" xr:uid="{00000000-0005-0000-0000-00008B2B0000}"/>
    <cellStyle name="_Column7_Strategic Diagnostic Templates Technik_KST_KSTArt_Bericht_Copy of BGT 08 Templates Sales  Marketing - final (revised)_Sheet1" xfId="11157" xr:uid="{00000000-0005-0000-0000-00008C2B0000}"/>
    <cellStyle name="_Column7_Strategic Diagnostic Templates Technik_KST_KSTArt_Bericht_Copy of BGT 08 Templates Sales  Marketing - final (revised)_Sm Proj Cash Flow" xfId="11158" xr:uid="{00000000-0005-0000-0000-00008D2B0000}"/>
    <cellStyle name="_Column7_Strategic Diagnostic Templates Technik_KST_KSTArt_Bericht_Copy of BGT 08 Templates Sales  Marketing - final (revised)_Spend Detail" xfId="11159" xr:uid="{00000000-0005-0000-0000-00008E2B0000}"/>
    <cellStyle name="_Column7_Strategic Diagnostic Templates Technik_KST_KSTArt_Bericht_Copy of BGT 08 Templates Sales  Marketing - final (revised)_SustainingProjectList" xfId="11160" xr:uid="{00000000-0005-0000-0000-00008F2B0000}"/>
    <cellStyle name="_Column7_Strategic Diagnostic Templates Technik_KST_KSTArt_Bericht_Daten" xfId="11161" xr:uid="{00000000-0005-0000-0000-0000902B0000}"/>
    <cellStyle name="_Column7_Strategic Diagnostic Templates Technik_KST_KSTArt_Bericht_Daten 2" xfId="11162" xr:uid="{00000000-0005-0000-0000-0000912B0000}"/>
    <cellStyle name="_Column7_Strategic Diagnostic Templates Technik_KST_KSTArt_Bericht_Daten 3" xfId="11163" xr:uid="{00000000-0005-0000-0000-0000922B0000}"/>
    <cellStyle name="_Column7_Strategic Diagnostic Templates Technik_KST_KSTArt_Bericht_Daten 3 2" xfId="11164" xr:uid="{00000000-0005-0000-0000-0000932B0000}"/>
    <cellStyle name="_Column7_Strategic Diagnostic Templates Technik_KST_KSTArt_Bericht_Daten 3 3" xfId="11165" xr:uid="{00000000-0005-0000-0000-0000942B0000}"/>
    <cellStyle name="_Column7_Strategic Diagnostic Templates Technik_KST_KSTArt_Bericht_Daten 3 3 2" xfId="11166" xr:uid="{00000000-0005-0000-0000-0000952B0000}"/>
    <cellStyle name="_Column7_Strategic Diagnostic Templates Technik_KST_KSTArt_Bericht_Daten 4" xfId="11167" xr:uid="{00000000-0005-0000-0000-0000962B0000}"/>
    <cellStyle name="_Column7_Strategic Diagnostic Templates Technik_KST_KSTArt_Bericht_Daten 4 2" xfId="11168" xr:uid="{00000000-0005-0000-0000-0000972B0000}"/>
    <cellStyle name="_Column7_Strategic Diagnostic Templates Technik_KST_KSTArt_Bericht_Daten_Sheet5" xfId="11169" xr:uid="{00000000-0005-0000-0000-0000982B0000}"/>
    <cellStyle name="_Column7_Strategic Diagnostic Templates Technik_KST_KSTArt_Bericht_Excel sheets to support Market Program Template for Budget 09" xfId="11170" xr:uid="{00000000-0005-0000-0000-0000992B0000}"/>
    <cellStyle name="_Column7_Strategic Diagnostic Templates Technik_KST_KSTArt_Bericht_Excel sheets to support Market Program Template for Budget 09 (5) (2)" xfId="11171" xr:uid="{00000000-0005-0000-0000-00009A2B0000}"/>
    <cellStyle name="_Column7_Strategic Diagnostic Templates Technik_KST_KSTArt_Bericht_Excel sheets to support Market Program Template for Budget 09 (5) (2) 2" xfId="11172" xr:uid="{00000000-0005-0000-0000-00009B2B0000}"/>
    <cellStyle name="_Column7_Strategic Diagnostic Templates Technik_KST_KSTArt_Bericht_Excel sheets to support Market Program Template for Budget 09 (5) (2) 2 2" xfId="11173" xr:uid="{00000000-0005-0000-0000-00009C2B0000}"/>
    <cellStyle name="_Column7_Strategic Diagnostic Templates Technik_KST_KSTArt_Bericht_Excel sheets to support Market Program Template for Budget 09 (5) (2) 3" xfId="11174" xr:uid="{00000000-0005-0000-0000-00009D2B0000}"/>
    <cellStyle name="_Column7_Strategic Diagnostic Templates Technik_KST_KSTArt_Bericht_Excel sheets to support Market Program Template for Budget 09 (5) (3)" xfId="11175" xr:uid="{00000000-0005-0000-0000-00009E2B0000}"/>
    <cellStyle name="_Column7_Strategic Diagnostic Templates Technik_KST_KSTArt_Bericht_Excel sheets to support Market Program Template for Budget 09 (5) (3) 2" xfId="11176" xr:uid="{00000000-0005-0000-0000-00009F2B0000}"/>
    <cellStyle name="_Column7_Strategic Diagnostic Templates Technik_KST_KSTArt_Bericht_Excel sheets to support Market Program Template for Budget 09 (5) (3) 2 2" xfId="11177" xr:uid="{00000000-0005-0000-0000-0000A02B0000}"/>
    <cellStyle name="_Column7_Strategic Diagnostic Templates Technik_KST_KSTArt_Bericht_Excel sheets to support Market Program Template for Budget 09 (5) (3) 3" xfId="11178" xr:uid="{00000000-0005-0000-0000-0000A12B0000}"/>
    <cellStyle name="_Column7_Strategic Diagnostic Templates Technik_KST_KSTArt_Bericht_Excel sheets to support Market Program Template for Budget 09 10" xfId="11179" xr:uid="{00000000-0005-0000-0000-0000A22B0000}"/>
    <cellStyle name="_Column7_Strategic Diagnostic Templates Technik_KST_KSTArt_Bericht_Excel sheets to support Market Program Template for Budget 09 11" xfId="11180" xr:uid="{00000000-0005-0000-0000-0000A32B0000}"/>
    <cellStyle name="_Column7_Strategic Diagnostic Templates Technik_KST_KSTArt_Bericht_Excel sheets to support Market Program Template for Budget 09 11 2" xfId="11181" xr:uid="{00000000-0005-0000-0000-0000A42B0000}"/>
    <cellStyle name="_Column7_Strategic Diagnostic Templates Technik_KST_KSTArt_Bericht_Excel sheets to support Market Program Template for Budget 09 12" xfId="11182" xr:uid="{00000000-0005-0000-0000-0000A52B0000}"/>
    <cellStyle name="_Column7_Strategic Diagnostic Templates Technik_KST_KSTArt_Bericht_Excel sheets to support Market Program Template for Budget 09 12 2" xfId="11183" xr:uid="{00000000-0005-0000-0000-0000A62B0000}"/>
    <cellStyle name="_Column7_Strategic Diagnostic Templates Technik_KST_KSTArt_Bericht_Excel sheets to support Market Program Template for Budget 09 13" xfId="11184" xr:uid="{00000000-0005-0000-0000-0000A72B0000}"/>
    <cellStyle name="_Column7_Strategic Diagnostic Templates Technik_KST_KSTArt_Bericht_Excel sheets to support Market Program Template for Budget 09 13 2" xfId="11185" xr:uid="{00000000-0005-0000-0000-0000A82B0000}"/>
    <cellStyle name="_Column7_Strategic Diagnostic Templates Technik_KST_KSTArt_Bericht_Excel sheets to support Market Program Template for Budget 09 14" xfId="11186" xr:uid="{00000000-0005-0000-0000-0000A92B0000}"/>
    <cellStyle name="_Column7_Strategic Diagnostic Templates Technik_KST_KSTArt_Bericht_Excel sheets to support Market Program Template for Budget 09 14 2" xfId="11187" xr:uid="{00000000-0005-0000-0000-0000AA2B0000}"/>
    <cellStyle name="_Column7_Strategic Diagnostic Templates Technik_KST_KSTArt_Bericht_Excel sheets to support Market Program Template for Budget 09 2" xfId="11188" xr:uid="{00000000-0005-0000-0000-0000AB2B0000}"/>
    <cellStyle name="_Column7_Strategic Diagnostic Templates Technik_KST_KSTArt_Bericht_Excel sheets to support Market Program Template for Budget 09 2 2" xfId="11189" xr:uid="{00000000-0005-0000-0000-0000AC2B0000}"/>
    <cellStyle name="_Column7_Strategic Diagnostic Templates Technik_KST_KSTArt_Bericht_Excel sheets to support Market Program Template for Budget 09 3" xfId="11190" xr:uid="{00000000-0005-0000-0000-0000AD2B0000}"/>
    <cellStyle name="_Column7_Strategic Diagnostic Templates Technik_KST_KSTArt_Bericht_Excel sheets to support Market Program Template for Budget 09 3 2" xfId="11191" xr:uid="{00000000-0005-0000-0000-0000AE2B0000}"/>
    <cellStyle name="_Column7_Strategic Diagnostic Templates Technik_KST_KSTArt_Bericht_Excel sheets to support Market Program Template for Budget 09 4" xfId="11192" xr:uid="{00000000-0005-0000-0000-0000AF2B0000}"/>
    <cellStyle name="_Column7_Strategic Diagnostic Templates Technik_KST_KSTArt_Bericht_Excel sheets to support Market Program Template for Budget 09 5" xfId="11193" xr:uid="{00000000-0005-0000-0000-0000B02B0000}"/>
    <cellStyle name="_Column7_Strategic Diagnostic Templates Technik_KST_KSTArt_Bericht_Excel sheets to support Market Program Template for Budget 09 5 2" xfId="11194" xr:uid="{00000000-0005-0000-0000-0000B12B0000}"/>
    <cellStyle name="_Column7_Strategic Diagnostic Templates Technik_KST_KSTArt_Bericht_Excel sheets to support Market Program Template for Budget 09 5 3" xfId="11195" xr:uid="{00000000-0005-0000-0000-0000B22B0000}"/>
    <cellStyle name="_Column7_Strategic Diagnostic Templates Technik_KST_KSTArt_Bericht_Excel sheets to support Market Program Template for Budget 09 5 3 2" xfId="11196" xr:uid="{00000000-0005-0000-0000-0000B32B0000}"/>
    <cellStyle name="_Column7_Strategic Diagnostic Templates Technik_KST_KSTArt_Bericht_Excel sheets to support Market Program Template for Budget 09 6" xfId="11197" xr:uid="{00000000-0005-0000-0000-0000B42B0000}"/>
    <cellStyle name="_Column7_Strategic Diagnostic Templates Technik_KST_KSTArt_Bericht_Excel sheets to support Market Program Template for Budget 09 6 2" xfId="11198" xr:uid="{00000000-0005-0000-0000-0000B52B0000}"/>
    <cellStyle name="_Column7_Strategic Diagnostic Templates Technik_KST_KSTArt_Bericht_Excel sheets to support Market Program Template for Budget 09 6 3" xfId="11199" xr:uid="{00000000-0005-0000-0000-0000B62B0000}"/>
    <cellStyle name="_Column7_Strategic Diagnostic Templates Technik_KST_KSTArt_Bericht_Excel sheets to support Market Program Template for Budget 09 6 3 2" xfId="11200" xr:uid="{00000000-0005-0000-0000-0000B72B0000}"/>
    <cellStyle name="_Column7_Strategic Diagnostic Templates Technik_KST_KSTArt_Bericht_Excel sheets to support Market Program Template for Budget 09 7" xfId="11201" xr:uid="{00000000-0005-0000-0000-0000B82B0000}"/>
    <cellStyle name="_Column7_Strategic Diagnostic Templates Technik_KST_KSTArt_Bericht_Excel sheets to support Market Program Template for Budget 09 8" xfId="11202" xr:uid="{00000000-0005-0000-0000-0000B92B0000}"/>
    <cellStyle name="_Column7_Strategic Diagnostic Templates Technik_KST_KSTArt_Bericht_Excel sheets to support Market Program Template for Budget 09 9" xfId="11203" xr:uid="{00000000-0005-0000-0000-0000BA2B0000}"/>
    <cellStyle name="_Column7_Strategic Diagnostic Templates Technik_KST_KSTArt_Bericht_Excel sheets to support Market Program Template for Budget 09_Sheet1" xfId="11204" xr:uid="{00000000-0005-0000-0000-0000BB2B0000}"/>
    <cellStyle name="_Column7_Strategic Diagnostic Templates Technik_KST_KSTArt_Bericht_Excel sheets to support Market Program Template for Budget 09_Sm Proj Cash Flow" xfId="11205" xr:uid="{00000000-0005-0000-0000-0000BC2B0000}"/>
    <cellStyle name="_Column7_Strategic Diagnostic Templates Technik_KST_KSTArt_Bericht_Excel sheets to support Market Program Template for Budget 09_Spend Detail" xfId="11206" xr:uid="{00000000-0005-0000-0000-0000BD2B0000}"/>
    <cellStyle name="_Column7_Strategic Diagnostic Templates Technik_KST_KSTArt_Bericht_Excel sheets to support Market Program Template for Budget 09_SustainingProjectList" xfId="11207" xr:uid="{00000000-0005-0000-0000-0000BE2B0000}"/>
    <cellStyle name="_Column7_Strategic Diagnostic Templates Technik_KST_KSTArt_Bericht_HC_Ev.Total Bgt'05 vs.Bgt'04" xfId="11208" xr:uid="{00000000-0005-0000-0000-0000BF2B0000}"/>
    <cellStyle name="_Column7_Strategic Diagnostic Templates Technik_KST_KSTArt_Bericht_LE Ebitda RD Feb-10 v2" xfId="11209" xr:uid="{00000000-0005-0000-0000-0000C02B0000}"/>
    <cellStyle name="_Column7_Strategic Diagnostic Templates Technik_KST_KSTArt_Bericht_LE Ebitda RD Feb-10 v2 2" xfId="11210" xr:uid="{00000000-0005-0000-0000-0000C12B0000}"/>
    <cellStyle name="_Column7_Strategic Diagnostic Templates Technik_KST_KSTArt_Bericht_LE Ebitda RD Feb-10 v2 2 2" xfId="11211" xr:uid="{00000000-0005-0000-0000-0000C22B0000}"/>
    <cellStyle name="_Column7_Strategic Diagnostic Templates Technik_KST_KSTArt_Bericht_LE Ebitda RD Feb-10 v2 3" xfId="11212" xr:uid="{00000000-0005-0000-0000-0000C32B0000}"/>
    <cellStyle name="_Column7_Strategic Diagnostic Templates Technik_KST_KSTArt_Bericht_NNT_LE'08_1605vsBGT'09_1713" xfId="11213" xr:uid="{00000000-0005-0000-0000-0000C42B0000}"/>
    <cellStyle name="_Column7_Strategic Diagnostic Templates Technik_KST_KSTArt_Bericht_NNT_LE'08_1605vsBGT'09_1713 2" xfId="11214" xr:uid="{00000000-0005-0000-0000-0000C52B0000}"/>
    <cellStyle name="_Column7_Strategic Diagnostic Templates Technik_KST_KSTArt_Bericht_NNT_LE'08_1605vsBGT'09_1713 3" xfId="11215" xr:uid="{00000000-0005-0000-0000-0000C62B0000}"/>
    <cellStyle name="_Column7_Strategic Diagnostic Templates Technik_KST_KSTArt_Bericht_NNT_LE'08_1605vsBGT'09_1713 3 2" xfId="11216" xr:uid="{00000000-0005-0000-0000-0000C72B0000}"/>
    <cellStyle name="_Column7_Strategic Diagnostic Templates Technik_KST_KSTArt_Bericht_NNT_LE'08_1605vsBGT'09_1713 3 3" xfId="11217" xr:uid="{00000000-0005-0000-0000-0000C82B0000}"/>
    <cellStyle name="_Column7_Strategic Diagnostic Templates Technik_KST_KSTArt_Bericht_NNT_LE'08_1605vsBGT'09_1713 3 3 2" xfId="11218" xr:uid="{00000000-0005-0000-0000-0000C92B0000}"/>
    <cellStyle name="_Column7_Strategic Diagnostic Templates Technik_KST_KSTArt_Bericht_NNT_LE'08_1605vsBGT'09_1713 4" xfId="11219" xr:uid="{00000000-0005-0000-0000-0000CA2B0000}"/>
    <cellStyle name="_Column7_Strategic Diagnostic Templates Technik_KST_KSTArt_Bericht_NNT_LE'08_1605vsBGT'09_1713 4 2" xfId="11220" xr:uid="{00000000-0005-0000-0000-0000CB2B0000}"/>
    <cellStyle name="_Column7_Strategic Diagnostic Templates Technik_KST_KSTArt_Bericht_People Package" xfId="11221" xr:uid="{00000000-0005-0000-0000-0000CC2B0000}"/>
    <cellStyle name="_Column7_Strategic Diagnostic Templates Technik_KST_KSTArt_Bericht_People Package (2)" xfId="11222" xr:uid="{00000000-0005-0000-0000-0000CD2B0000}"/>
    <cellStyle name="_Column7_Strategic Diagnostic Templates Technik_KST_KSTArt_Bericht_People Package (2) 2" xfId="11223" xr:uid="{00000000-0005-0000-0000-0000CE2B0000}"/>
    <cellStyle name="_Column7_Strategic Diagnostic Templates Technik_KST_KSTArt_Bericht_People Package (2) 2 2" xfId="11224" xr:uid="{00000000-0005-0000-0000-0000CF2B0000}"/>
    <cellStyle name="_Column7_Strategic Diagnostic Templates Technik_KST_KSTArt_Bericht_People Package (2) 3" xfId="11225" xr:uid="{00000000-0005-0000-0000-0000D02B0000}"/>
    <cellStyle name="_Column7_Strategic Diagnostic Templates Technik_KST_KSTArt_Bericht_People Package 2" xfId="11226" xr:uid="{00000000-0005-0000-0000-0000D12B0000}"/>
    <cellStyle name="_Column7_Strategic Diagnostic Templates Technik_KST_KSTArt_Bericht_People Package 2 2" xfId="11227" xr:uid="{00000000-0005-0000-0000-0000D22B0000}"/>
    <cellStyle name="_Column7_Strategic Diagnostic Templates Technik_KST_KSTArt_Bericht_People Package 3" xfId="11228" xr:uid="{00000000-0005-0000-0000-0000D32B0000}"/>
    <cellStyle name="_Column7_Strategic Diagnostic Templates Technik_KST_KSTArt_Bericht_People Package 3 2" xfId="11229" xr:uid="{00000000-0005-0000-0000-0000D42B0000}"/>
    <cellStyle name="_Column7_Strategic Diagnostic Templates Technik_KST_KSTArt_Bericht_People Package 4" xfId="11230" xr:uid="{00000000-0005-0000-0000-0000D52B0000}"/>
    <cellStyle name="_Column7_Strategic Diagnostic Templates Technik_KST_KSTArt_Bericht_People Package 5" xfId="11231" xr:uid="{00000000-0005-0000-0000-0000D62B0000}"/>
    <cellStyle name="_Column7_Strategic Diagnostic Templates Technik_KST_KSTArt_Bericht_RB&amp;JW_Produktionsplanung_LE1_2006 sortiert" xfId="11232" xr:uid="{00000000-0005-0000-0000-0000D72B0000}"/>
    <cellStyle name="_Column7_Strategic Diagnostic Templates Technik_KST_KSTArt_Bericht_RB&amp;JW_Produktionsplanung_LE1_2006 sortiert 2" xfId="11233" xr:uid="{00000000-0005-0000-0000-0000D82B0000}"/>
    <cellStyle name="_Column7_Strategic Diagnostic Templates Technik_KST_KSTArt_Bericht_RB&amp;JW_Produktionsplanung_LE1_2006 sortiert 2 2" xfId="11234" xr:uid="{00000000-0005-0000-0000-0000D92B0000}"/>
    <cellStyle name="_Column7_Strategic Diagnostic Templates Technik_KST_KSTArt_Bericht_RB&amp;JW_Produktionsplanung_LE1_2006 sortiert_Sheet1" xfId="11235" xr:uid="{00000000-0005-0000-0000-0000DA2B0000}"/>
    <cellStyle name="_Column7_Strategic Diagnostic Templates Technik_KST_KSTArt_Bericht_RB&amp;JW_Produktionsplanung_LE1_2006 sortiert_Sheet5" xfId="11236" xr:uid="{00000000-0005-0000-0000-0000DB2B0000}"/>
    <cellStyle name="_Column7_Strategic Diagnostic Templates Technik_KST_KSTArt_Bericht_RB&amp;JW_Produktionsplanung_LE1_2006 sortiert_Sm Proj Cash Flow" xfId="11237" xr:uid="{00000000-0005-0000-0000-0000DC2B0000}"/>
    <cellStyle name="_Column7_Strategic Diagnostic Templates Technik_KST_KSTArt_Bericht_RB&amp;JW_Produktionsplanung_LE1_2006 sortiert_Spend Detail" xfId="11238" xr:uid="{00000000-0005-0000-0000-0000DD2B0000}"/>
    <cellStyle name="_Column7_Strategic Diagnostic Templates Technik_KST_KSTArt_Bericht_RB&amp;JW_Produktionsplanung_LE1_2006 sortiert_SustainingProjectList" xfId="11239" xr:uid="{00000000-0005-0000-0000-0000DE2B0000}"/>
    <cellStyle name="_Column7_Strategic Diagnostic Templates Technik_KST_KSTArt_Bericht_Sales and Marketing - revised" xfId="11240" xr:uid="{00000000-0005-0000-0000-0000DF2B0000}"/>
    <cellStyle name="_Column7_Strategic Diagnostic Templates Technik_KST_KSTArt_Bericht_Sales and Marketing - revised 2" xfId="11241" xr:uid="{00000000-0005-0000-0000-0000E02B0000}"/>
    <cellStyle name="_Column7_Strategic Diagnostic Templates Technik_KST_KSTArt_Bericht_Sales and Marketing - revised 2 2" xfId="11242" xr:uid="{00000000-0005-0000-0000-0000E12B0000}"/>
    <cellStyle name="_Column7_Strategic Diagnostic Templates Technik_KST_KSTArt_Bericht_Sales and Marketing - revised 3" xfId="11243" xr:uid="{00000000-0005-0000-0000-0000E22B0000}"/>
    <cellStyle name="_Column7_Strategic Diagnostic Templates Technik_KST_KSTArt_Bericht_Sim Ebitda LE 0909 v4" xfId="11244" xr:uid="{00000000-0005-0000-0000-0000E32B0000}"/>
    <cellStyle name="_Column7_Strategic Diagnostic Templates Technik_KST_KSTArt_Bericht_Sim Ebitda LE 0909 v4 2" xfId="11245" xr:uid="{00000000-0005-0000-0000-0000E42B0000}"/>
    <cellStyle name="_Column7_Strategic Diagnostic Templates Technik_KST_KSTArt_Bericht_Sim Ebitda LE 0909 v4 2 2" xfId="11246" xr:uid="{00000000-0005-0000-0000-0000E52B0000}"/>
    <cellStyle name="_Column7_Strategic Diagnostic Templates Technik_KST_KSTArt_Bericht_Sim Ebitda LE 0909 v4 3" xfId="11247" xr:uid="{00000000-0005-0000-0000-0000E62B0000}"/>
    <cellStyle name="_Column7_Strategic Diagnostic Templates Technik_KST_KSTArt_Bericht_SKU Volumen" xfId="11248" xr:uid="{00000000-0005-0000-0000-0000E72B0000}"/>
    <cellStyle name="_Column7_Strategic Diagnostic Templates Technik_KST_KSTArt_Bericht_SKU Volumen 2" xfId="11249" xr:uid="{00000000-0005-0000-0000-0000E82B0000}"/>
    <cellStyle name="_Column7_Strategic Diagnostic Templates Technik_KST_KSTArt_Bericht_SKU Volumen_Sheet1" xfId="11250" xr:uid="{00000000-0005-0000-0000-0000E92B0000}"/>
    <cellStyle name="_Column7_Strategic Diagnostic Templates Technik_KST_KSTArt_Bericht_SKU Volumen_Sm Proj Cash Flow" xfId="11251" xr:uid="{00000000-0005-0000-0000-0000EA2B0000}"/>
    <cellStyle name="_Column7_Strategic Diagnostic Templates Technik_KST_KSTArt_Bericht_SKU Volumen_Spend Detail" xfId="11252" xr:uid="{00000000-0005-0000-0000-0000EB2B0000}"/>
    <cellStyle name="_Column7_Strategic Diagnostic Templates Technik_KST_KSTArt_Bericht_SKU Volumen_SustainingProjectList" xfId="11253" xr:uid="{00000000-0005-0000-0000-0000EC2B0000}"/>
    <cellStyle name="_Column7_Strategic Diagnostic Templates Technik_KST_KSTArt_Bericht_Slide for initiatives (2)" xfId="11254" xr:uid="{00000000-0005-0000-0000-0000ED2B0000}"/>
    <cellStyle name="_Column7_Strategic Diagnostic Templates Technik_KST_KSTArt_Bericht_Slide for initiatives (2) 2" xfId="11255" xr:uid="{00000000-0005-0000-0000-0000EE2B0000}"/>
    <cellStyle name="_Column7_Strategic Diagnostic Templates Technik_KST_KSTArt_Bericht_Slide for initiatives (2) 3" xfId="11256" xr:uid="{00000000-0005-0000-0000-0000EF2B0000}"/>
    <cellStyle name="_Column7_Strategic Diagnostic Templates Technik_KST_KSTArt_Bericht_Slide for initiatives (2) 3 2" xfId="11257" xr:uid="{00000000-0005-0000-0000-0000F02B0000}"/>
    <cellStyle name="_Column7_Strategic Diagnostic Templates Technik_KST_KSTArt_Bericht_Slide for initiatives (2) 3 3" xfId="11258" xr:uid="{00000000-0005-0000-0000-0000F12B0000}"/>
    <cellStyle name="_Column7_Strategic Diagnostic Templates Technik_KST_KSTArt_Bericht_Slide for initiatives (2) 3 3 2" xfId="11259" xr:uid="{00000000-0005-0000-0000-0000F22B0000}"/>
    <cellStyle name="_Column7_Strategic Diagnostic Templates Technik_KST_KSTArt_Bericht_Slide for initiatives (2) 4" xfId="11260" xr:uid="{00000000-0005-0000-0000-0000F32B0000}"/>
    <cellStyle name="_Column7_Strategic Diagnostic Templates Technik_KST_KSTArt_Bericht_Slide for initiatives (2) 4 2" xfId="11261" xr:uid="{00000000-0005-0000-0000-0000F42B0000}"/>
    <cellStyle name="_Column7_Strategic Diagnostic Templates Technik_KST_KSTArt_Bericht_Tabelle1" xfId="11262" xr:uid="{00000000-0005-0000-0000-0000F52B0000}"/>
    <cellStyle name="_Column7_Strategic Diagnostic Templates Technik_KST_KSTArt_Bericht_Tabelle1 2" xfId="11263" xr:uid="{00000000-0005-0000-0000-0000F62B0000}"/>
    <cellStyle name="_Column7_Strategic Diagnostic Templates Technik_KST_KSTArt_Bericht_Tabelle1_Sheet1" xfId="11264" xr:uid="{00000000-0005-0000-0000-0000F72B0000}"/>
    <cellStyle name="_Column7_Strategic Diagnostic Templates Technik_KST_KSTArt_Bericht_Tabelle1_Sm Proj Cash Flow" xfId="11265" xr:uid="{00000000-0005-0000-0000-0000F82B0000}"/>
    <cellStyle name="_Column7_Strategic Diagnostic Templates Technik_KST_KSTArt_Bericht_Tabelle1_Spend Detail" xfId="11266" xr:uid="{00000000-0005-0000-0000-0000F92B0000}"/>
    <cellStyle name="_Column7_Strategic Diagnostic Templates Technik_KST_KSTArt_Bericht_Tabelle1_SustainingProjectList" xfId="11267" xr:uid="{00000000-0005-0000-0000-0000FA2B0000}"/>
    <cellStyle name="_Column7_Strategic Diagnostic Templates Technik_KST_KSTArt_Bericht_WF Ebitda RD Abr-10" xfId="11268" xr:uid="{00000000-0005-0000-0000-0000FB2B0000}"/>
    <cellStyle name="_Column7_Strategic Diagnostic Templates Technik_KST_KSTArt_Bericht_WF Ebitda RD Abr-10 2" xfId="11269" xr:uid="{00000000-0005-0000-0000-0000FC2B0000}"/>
    <cellStyle name="_Column7_Strategic Diagnostic Templates Technik_KST_KSTArt_Bericht_WF Ebitda RD Abr-10 2 2" xfId="11270" xr:uid="{00000000-0005-0000-0000-0000FD2B0000}"/>
    <cellStyle name="_Column7_Strategic Diagnostic Templates Technik_KST_KSTArt_Bericht_WF Ebitda RD Abr-10 3" xfId="11271" xr:uid="{00000000-0005-0000-0000-0000FE2B0000}"/>
    <cellStyle name="_Column7_Strategic Diagnostic Templates Technik_KST_KSTArt_Bericht_WF Ebitda Sep09" xfId="11272" xr:uid="{00000000-0005-0000-0000-0000FF2B0000}"/>
    <cellStyle name="_Column7_Strategic Diagnostic Templates Technik_KST_KSTArt_Bericht_WF Ebitda Sep09 2" xfId="11273" xr:uid="{00000000-0005-0000-0000-0000002C0000}"/>
    <cellStyle name="_Column7_Strategic Diagnostic Templates Technik_KST_KSTArt_Bericht_WF Ebitda Sep09 2 2" xfId="11274" xr:uid="{00000000-0005-0000-0000-0000012C0000}"/>
    <cellStyle name="_Column7_Strategic Diagnostic Templates Technik_KST_KSTArt_Bericht_WF Ebitda Sep09 3" xfId="11275" xr:uid="{00000000-0005-0000-0000-0000022C0000}"/>
    <cellStyle name="_Column7_Strategic Diagnostic Templates Technik_KST_KSTArt_Bericht_ZBB" xfId="11276" xr:uid="{00000000-0005-0000-0000-0000032C0000}"/>
    <cellStyle name="_Column7_Strategic Diagnostic Templates Technik_KST_KSTArt_Bericht_ZBB 2" xfId="11277" xr:uid="{00000000-0005-0000-0000-0000042C0000}"/>
    <cellStyle name="_Column7_Strategic Diagnostic Templates Technik_KST_KSTArt_Bericht_ZBB 2 2" xfId="11278" xr:uid="{00000000-0005-0000-0000-0000052C0000}"/>
    <cellStyle name="_Column7_Strategic Diagnostic Templates Technik_KST_KSTArt_Bericht_ZBB 3" xfId="11279" xr:uid="{00000000-0005-0000-0000-0000062C0000}"/>
    <cellStyle name="_Column7_Strategic Diagnostic Templates Technik_MF Key Performance Indicators" xfId="11280" xr:uid="{00000000-0005-0000-0000-0000072C0000}"/>
    <cellStyle name="_Column7_Strategic Diagnostic Templates Technik_MF Key Performance Indicators 2" xfId="11281" xr:uid="{00000000-0005-0000-0000-0000082C0000}"/>
    <cellStyle name="_Column7_Strategic Diagnostic Templates Technik_MF Key Performance Indicators 2 2" xfId="11282" xr:uid="{00000000-0005-0000-0000-0000092C0000}"/>
    <cellStyle name="_Column7_Strategic Diagnostic Templates Technik_MF Key Performance Indicators 3" xfId="11283" xr:uid="{00000000-0005-0000-0000-00000A2C0000}"/>
    <cellStyle name="_Column7_Strategic Diagnostic Templates Technik_MF Key Performance Indicators 3 2" xfId="11284" xr:uid="{00000000-0005-0000-0000-00000B2C0000}"/>
    <cellStyle name="_Column7_Strategic Diagnostic Templates Technik_MF Key Performance Indicators 3 3" xfId="11285" xr:uid="{00000000-0005-0000-0000-00000C2C0000}"/>
    <cellStyle name="_Column7_Strategic Diagnostic Templates Technik_MF Key Performance Indicators 3 3 2" xfId="11286" xr:uid="{00000000-0005-0000-0000-00000D2C0000}"/>
    <cellStyle name="_Column7_Strategic Diagnostic Templates Technik_MF Key Performance Indicators 4" xfId="11287" xr:uid="{00000000-0005-0000-0000-00000E2C0000}"/>
    <cellStyle name="_Column7_Strategic Diagnostic Templates Technik_MF Key Performance Indicators 4 2" xfId="11288" xr:uid="{00000000-0005-0000-0000-00000F2C0000}"/>
    <cellStyle name="_Column7_Strategic Diagnostic Templates Technik_MF Key Performance Indicators 5" xfId="11289" xr:uid="{00000000-0005-0000-0000-0000102C0000}"/>
    <cellStyle name="_Column7_Strategic Diagnostic Templates Technik_MF Key Performance Indicators 5 2" xfId="11290" xr:uid="{00000000-0005-0000-0000-0000112C0000}"/>
    <cellStyle name="_Column7_Strategic Diagnostic Templates Technik_MF Key Performance Indicators B.IV.r " xfId="11291" xr:uid="{00000000-0005-0000-0000-0000122C0000}"/>
    <cellStyle name="_Column7_Strategic Diagnostic Templates Technik_MF Key Performance Indicators B.IV.r  2" xfId="11292" xr:uid="{00000000-0005-0000-0000-0000132C0000}"/>
    <cellStyle name="_Column7_Strategic Diagnostic Templates Technik_MF Key Performance Indicators B.IV.r  2 2" xfId="11293" xr:uid="{00000000-0005-0000-0000-0000142C0000}"/>
    <cellStyle name="_Column7_Strategic Diagnostic Templates Technik_MF Key Performance Indicators B.IV.r  3" xfId="11294" xr:uid="{00000000-0005-0000-0000-0000152C0000}"/>
    <cellStyle name="_Column7_Strategic Diagnostic Templates Technik_MF Key Performance Indicators B.IV.r  3 2" xfId="11295" xr:uid="{00000000-0005-0000-0000-0000162C0000}"/>
    <cellStyle name="_Column7_Strategic Diagnostic Templates Technik_MF Key Performance Indicators B.IV.r  3 3" xfId="11296" xr:uid="{00000000-0005-0000-0000-0000172C0000}"/>
    <cellStyle name="_Column7_Strategic Diagnostic Templates Technik_MF Key Performance Indicators B.IV.r  3 3 2" xfId="11297" xr:uid="{00000000-0005-0000-0000-0000182C0000}"/>
    <cellStyle name="_Column7_Strategic Diagnostic Templates Technik_MF Key Performance Indicators B.IV.r  4" xfId="11298" xr:uid="{00000000-0005-0000-0000-0000192C0000}"/>
    <cellStyle name="_Column7_Strategic Diagnostic Templates Technik_MF Key Performance Indicators B.IV.r  4 2" xfId="11299" xr:uid="{00000000-0005-0000-0000-00001A2C0000}"/>
    <cellStyle name="_Column7_Strategic Diagnostic Templates Technik_MF Key Performance Indicators B.IV.r  5" xfId="11300" xr:uid="{00000000-0005-0000-0000-00001B2C0000}"/>
    <cellStyle name="_Column7_Strategic Diagnostic Templates Technik_MF Key Performance Indicators B.IV.r  5 2" xfId="11301" xr:uid="{00000000-0005-0000-0000-00001C2C0000}"/>
    <cellStyle name="_Column7_Strategic Diagnostic Templates Technik_MF Key Performance Indicators B.IV.r _Accident frequency" xfId="11302" xr:uid="{00000000-0005-0000-0000-00001D2C0000}"/>
    <cellStyle name="_Column7_Strategic Diagnostic Templates Technik_MF Key Performance Indicators B.IV.r _Accident frequency 2" xfId="11303" xr:uid="{00000000-0005-0000-0000-00001E2C0000}"/>
    <cellStyle name="_Column7_Strategic Diagnostic Templates Technik_MF Key Performance Indicators B.IV.r _Accident frequency_Financial Analysis Base" xfId="11304" xr:uid="{00000000-0005-0000-0000-00001F2C0000}"/>
    <cellStyle name="_Column7_Strategic Diagnostic Templates Technik_MF Key Performance Indicators B.IV.r _Basis" xfId="11305" xr:uid="{00000000-0005-0000-0000-0000202C0000}"/>
    <cellStyle name="_Column7_Strategic Diagnostic Templates Technik_MF Key Performance Indicators B.IV.r _Basis 2" xfId="11306" xr:uid="{00000000-0005-0000-0000-0000212C0000}"/>
    <cellStyle name="_Column7_Strategic Diagnostic Templates Technik_MF Key Performance Indicators B.IV.r _Basis 2 2" xfId="11307" xr:uid="{00000000-0005-0000-0000-0000222C0000}"/>
    <cellStyle name="_Column7_Strategic Diagnostic Templates Technik_MF Key Performance Indicators B.IV.r _Basis_Sheet1" xfId="11308" xr:uid="{00000000-0005-0000-0000-0000232C0000}"/>
    <cellStyle name="_Column7_Strategic Diagnostic Templates Technik_MF Key Performance Indicators B.IV.r _Basis_Sheet5" xfId="11309" xr:uid="{00000000-0005-0000-0000-0000242C0000}"/>
    <cellStyle name="_Column7_Strategic Diagnostic Templates Technik_MF Key Performance Indicators B.IV.r _Basis_Sm Proj Cash Flow" xfId="11310" xr:uid="{00000000-0005-0000-0000-0000252C0000}"/>
    <cellStyle name="_Column7_Strategic Diagnostic Templates Technik_MF Key Performance Indicators B.IV.r _Basis_Spend Detail" xfId="11311" xr:uid="{00000000-0005-0000-0000-0000262C0000}"/>
    <cellStyle name="_Column7_Strategic Diagnostic Templates Technik_MF Key Performance Indicators B.IV.r _Basis_SustainingProjectList" xfId="11312" xr:uid="{00000000-0005-0000-0000-0000272C0000}"/>
    <cellStyle name="_Column7_Strategic Diagnostic Templates Technik_MF Key Performance Indicators B.IV.r _BU12 TP database - REGULAR VOLUMES LAN" xfId="11313" xr:uid="{00000000-0005-0000-0000-0000282C0000}"/>
    <cellStyle name="_Column7_Strategic Diagnostic Templates Technik_MF Key Performance Indicators B.IV.r _Canada" xfId="11314" xr:uid="{00000000-0005-0000-0000-0000292C0000}"/>
    <cellStyle name="_Column7_Strategic Diagnostic Templates Technik_MF Key Performance Indicators B.IV.r _Canada 2" xfId="11315" xr:uid="{00000000-0005-0000-0000-00002A2C0000}"/>
    <cellStyle name="_Column7_Strategic Diagnostic Templates Technik_MF Key Performance Indicators B.IV.r _Canada_Dominican Rep" xfId="11316" xr:uid="{00000000-0005-0000-0000-00002B2C0000}"/>
    <cellStyle name="_Column7_Strategic Diagnostic Templates Technik_MF Key Performance Indicators B.IV.r _RB&amp;JW_Produktionsplanung_LE1_2006 sortiert" xfId="11317" xr:uid="{00000000-0005-0000-0000-00002C2C0000}"/>
    <cellStyle name="_Column7_Strategic Diagnostic Templates Technik_MF Key Performance Indicators B.IV.r _RB&amp;JW_Produktionsplanung_LE1_2006 sortiert 2" xfId="11318" xr:uid="{00000000-0005-0000-0000-00002D2C0000}"/>
    <cellStyle name="_Column7_Strategic Diagnostic Templates Technik_MF Key Performance Indicators B.IV.r _RB&amp;JW_Produktionsplanung_LE1_2006 sortiert 2 2" xfId="11319" xr:uid="{00000000-0005-0000-0000-00002E2C0000}"/>
    <cellStyle name="_Column7_Strategic Diagnostic Templates Technik_MF Key Performance Indicators B.IV.r _RB&amp;JW_Produktionsplanung_LE1_2006 sortiert_Sheet1" xfId="11320" xr:uid="{00000000-0005-0000-0000-00002F2C0000}"/>
    <cellStyle name="_Column7_Strategic Diagnostic Templates Technik_MF Key Performance Indicators B.IV.r _RB&amp;JW_Produktionsplanung_LE1_2006 sortiert_Sheet5" xfId="11321" xr:uid="{00000000-0005-0000-0000-0000302C0000}"/>
    <cellStyle name="_Column7_Strategic Diagnostic Templates Technik_MF Key Performance Indicators B.IV.r _RB&amp;JW_Produktionsplanung_LE1_2006 sortiert_Sm Proj Cash Flow" xfId="11322" xr:uid="{00000000-0005-0000-0000-0000312C0000}"/>
    <cellStyle name="_Column7_Strategic Diagnostic Templates Technik_MF Key Performance Indicators B.IV.r _RB&amp;JW_Produktionsplanung_LE1_2006 sortiert_Spend Detail" xfId="11323" xr:uid="{00000000-0005-0000-0000-0000322C0000}"/>
    <cellStyle name="_Column7_Strategic Diagnostic Templates Technik_MF Key Performance Indicators B.IV.r _RB&amp;JW_Produktionsplanung_LE1_2006 sortiert_SustainingProjectList" xfId="11324" xr:uid="{00000000-0005-0000-0000-0000332C0000}"/>
    <cellStyle name="_Column7_Strategic Diagnostic Templates Technik_MF Key Performance Indicators B.IV.r _Sheet1" xfId="11325" xr:uid="{00000000-0005-0000-0000-0000342C0000}"/>
    <cellStyle name="_Column7_Strategic Diagnostic Templates Technik_MF Key Performance Indicators B.IV.r _Sheet5" xfId="11326" xr:uid="{00000000-0005-0000-0000-0000352C0000}"/>
    <cellStyle name="_Column7_Strategic Diagnostic Templates Technik_MF Key Performance Indicators B.IV.r _SKU Volumen" xfId="11327" xr:uid="{00000000-0005-0000-0000-0000362C0000}"/>
    <cellStyle name="_Column7_Strategic Diagnostic Templates Technik_MF Key Performance Indicators B.IV.r _SKU Volumen 2" xfId="11328" xr:uid="{00000000-0005-0000-0000-0000372C0000}"/>
    <cellStyle name="_Column7_Strategic Diagnostic Templates Technik_MF Key Performance Indicators B.IV.r _SKU Volumen_Sheet1" xfId="11329" xr:uid="{00000000-0005-0000-0000-0000382C0000}"/>
    <cellStyle name="_Column7_Strategic Diagnostic Templates Technik_MF Key Performance Indicators B.IV.r _SKU Volumen_Sm Proj Cash Flow" xfId="11330" xr:uid="{00000000-0005-0000-0000-0000392C0000}"/>
    <cellStyle name="_Column7_Strategic Diagnostic Templates Technik_MF Key Performance Indicators B.IV.r _SKU Volumen_Spend Detail" xfId="11331" xr:uid="{00000000-0005-0000-0000-00003A2C0000}"/>
    <cellStyle name="_Column7_Strategic Diagnostic Templates Technik_MF Key Performance Indicators B.IV.r _SKU Volumen_SustainingProjectList" xfId="11332" xr:uid="{00000000-0005-0000-0000-00003B2C0000}"/>
    <cellStyle name="_Column7_Strategic Diagnostic Templates Technik_MF Key Performance Indicators B.IV.r _Sm Proj Cash Flow" xfId="11333" xr:uid="{00000000-0005-0000-0000-00003C2C0000}"/>
    <cellStyle name="_Column7_Strategic Diagnostic Templates Technik_MF Key Performance Indicators B.IV.r _Spend Detail" xfId="11334" xr:uid="{00000000-0005-0000-0000-00003D2C0000}"/>
    <cellStyle name="_Column7_Strategic Diagnostic Templates Technik_MF Key Performance Indicators B.IV.r _SustainingProjectList" xfId="11335" xr:uid="{00000000-0005-0000-0000-00003E2C0000}"/>
    <cellStyle name="_Column7_Strategic Diagnostic Templates Technik_MF Key Performance Indicators B.IV.r _Tabelle1" xfId="11336" xr:uid="{00000000-0005-0000-0000-00003F2C0000}"/>
    <cellStyle name="_Column7_Strategic Diagnostic Templates Technik_MF Key Performance Indicators B.IV.r _Tabelle1 2" xfId="11337" xr:uid="{00000000-0005-0000-0000-0000402C0000}"/>
    <cellStyle name="_Column7_Strategic Diagnostic Templates Technik_MF Key Performance Indicators B.IV.r _Tabelle1_Sheet1" xfId="11338" xr:uid="{00000000-0005-0000-0000-0000412C0000}"/>
    <cellStyle name="_Column7_Strategic Diagnostic Templates Technik_MF Key Performance Indicators B.IV.r _Tabelle1_Sm Proj Cash Flow" xfId="11339" xr:uid="{00000000-0005-0000-0000-0000422C0000}"/>
    <cellStyle name="_Column7_Strategic Diagnostic Templates Technik_MF Key Performance Indicators B.IV.r _Tabelle1_Spend Detail" xfId="11340" xr:uid="{00000000-0005-0000-0000-0000432C0000}"/>
    <cellStyle name="_Column7_Strategic Diagnostic Templates Technik_MF Key Performance Indicators B.IV.r _Tabelle1_SustainingProjectList" xfId="11341" xr:uid="{00000000-0005-0000-0000-0000442C0000}"/>
    <cellStyle name="_Column7_Strategic Diagnostic Templates Technik_MF Key Performance Indicators B.IV.r _ZBB Budget 2009 Decks v2 china" xfId="11342" xr:uid="{00000000-0005-0000-0000-0000452C0000}"/>
    <cellStyle name="_Column7_Strategic Diagnostic Templates Technik_MF Key Performance Indicators B.IV.r _ZBB Budget 2009 Decks v2 china 2" xfId="11343" xr:uid="{00000000-0005-0000-0000-0000462C0000}"/>
    <cellStyle name="_Column7_Strategic Diagnostic Templates Technik_MF Key Performance Indicators B.IV.r _ZBB Budget 2009 Decks v2 china 2 2" xfId="11344" xr:uid="{00000000-0005-0000-0000-0000472C0000}"/>
    <cellStyle name="_Column7_Strategic Diagnostic Templates Technik_MF Key Performance Indicators B.IV.r _ZBB Budget 2009 Decks v2 china 3" xfId="11345" xr:uid="{00000000-0005-0000-0000-0000482C0000}"/>
    <cellStyle name="_Column7_Strategic Diagnostic Templates Technik_MF Key Performance Indicators B.IV.r _ZBB standard Template Korea_081105" xfId="11346" xr:uid="{00000000-0005-0000-0000-0000492C0000}"/>
    <cellStyle name="_Column7_Strategic Diagnostic Templates Technik_MF Key Performance Indicators B.IV.r _ZBB standard Template Korea_081105 2" xfId="11347" xr:uid="{00000000-0005-0000-0000-00004A2C0000}"/>
    <cellStyle name="_Column7_Strategic Diagnostic Templates Technik_MF Key Performance Indicators B.IV.r _ZBB standard Template Korea_081105 2 2" xfId="11348" xr:uid="{00000000-0005-0000-0000-00004B2C0000}"/>
    <cellStyle name="_Column7_Strategic Diagnostic Templates Technik_MF Key Performance Indicators B.IV.r _ZBB standard Template Korea_081105 3" xfId="11349" xr:uid="{00000000-0005-0000-0000-00004C2C0000}"/>
    <cellStyle name="_Column7_Strategic Diagnostic Templates Technik_MF Key Performance Indicators B.IV.r Abf?llung" xfId="11350" xr:uid="{00000000-0005-0000-0000-00004D2C0000}"/>
    <cellStyle name="_Column7_Strategic Diagnostic Templates Technik_MF Key Performance Indicators B.IV.r Abf?llung 2" xfId="11351" xr:uid="{00000000-0005-0000-0000-00004E2C0000}"/>
    <cellStyle name="_Column7_Strategic Diagnostic Templates Technik_MF Key Performance Indicators B.IV.r Abf?llung_Financial Analysis Base" xfId="11352" xr:uid="{00000000-0005-0000-0000-00004F2C0000}"/>
    <cellStyle name="_Column7_Strategic Diagnostic Templates Technik_MF Key Performance Indicators B.IV.r Abfüllung" xfId="11353" xr:uid="{00000000-0005-0000-0000-0000502C0000}"/>
    <cellStyle name="_Column7_Strategic Diagnostic Templates Technik_MF Key Performance Indicators B.IV.r Abfüllung 2" xfId="11354" xr:uid="{00000000-0005-0000-0000-0000512C0000}"/>
    <cellStyle name="_Column7_Strategic Diagnostic Templates Technik_MF Key Performance Indicators B.IV.r Abfüllung 2 2" xfId="11355" xr:uid="{00000000-0005-0000-0000-0000522C0000}"/>
    <cellStyle name="_Column7_Strategic Diagnostic Templates Technik_MF Key Performance Indicators B.IV.r Abfüllung 3" xfId="11356" xr:uid="{00000000-0005-0000-0000-0000532C0000}"/>
    <cellStyle name="_Column7_Strategic Diagnostic Templates Technik_MF Key Performance Indicators B.IV.r Abfüllung 3 2" xfId="11357" xr:uid="{00000000-0005-0000-0000-0000542C0000}"/>
    <cellStyle name="_Column7_Strategic Diagnostic Templates Technik_MF Key Performance Indicators B.IV.r Abfüllung 3 3" xfId="11358" xr:uid="{00000000-0005-0000-0000-0000552C0000}"/>
    <cellStyle name="_Column7_Strategic Diagnostic Templates Technik_MF Key Performance Indicators B.IV.r Abfüllung 3 3 2" xfId="11359" xr:uid="{00000000-0005-0000-0000-0000562C0000}"/>
    <cellStyle name="_Column7_Strategic Diagnostic Templates Technik_MF Key Performance Indicators B.IV.r Abfüllung 4" xfId="11360" xr:uid="{00000000-0005-0000-0000-0000572C0000}"/>
    <cellStyle name="_Column7_Strategic Diagnostic Templates Technik_MF Key Performance Indicators B.IV.r Abfüllung 4 2" xfId="11361" xr:uid="{00000000-0005-0000-0000-0000582C0000}"/>
    <cellStyle name="_Column7_Strategic Diagnostic Templates Technik_MF Key Performance Indicators B.IV.r Abfüllung 5" xfId="11362" xr:uid="{00000000-0005-0000-0000-0000592C0000}"/>
    <cellStyle name="_Column7_Strategic Diagnostic Templates Technik_MF Key Performance Indicators B.IV.r Abfüllung 5 2" xfId="11363" xr:uid="{00000000-0005-0000-0000-00005A2C0000}"/>
    <cellStyle name="_Column7_Strategic Diagnostic Templates Technik_MF Key Performance Indicators B.IV.r Abfüllung_Basis" xfId="11364" xr:uid="{00000000-0005-0000-0000-00005B2C0000}"/>
    <cellStyle name="_Column7_Strategic Diagnostic Templates Technik_MF Key Performance Indicators B.IV.r Abfüllung_Basis 2" xfId="11365" xr:uid="{00000000-0005-0000-0000-00005C2C0000}"/>
    <cellStyle name="_Column7_Strategic Diagnostic Templates Technik_MF Key Performance Indicators B.IV.r Abfüllung_Basis 2 2" xfId="11366" xr:uid="{00000000-0005-0000-0000-00005D2C0000}"/>
    <cellStyle name="_Column7_Strategic Diagnostic Templates Technik_MF Key Performance Indicators B.IV.r Abfüllung_Basis_Sheet1" xfId="11367" xr:uid="{00000000-0005-0000-0000-00005E2C0000}"/>
    <cellStyle name="_Column7_Strategic Diagnostic Templates Technik_MF Key Performance Indicators B.IV.r Abfüllung_Basis_Sheet5" xfId="11368" xr:uid="{00000000-0005-0000-0000-00005F2C0000}"/>
    <cellStyle name="_Column7_Strategic Diagnostic Templates Technik_MF Key Performance Indicators B.IV.r Abfüllung_Basis_Sm Proj Cash Flow" xfId="11369" xr:uid="{00000000-0005-0000-0000-0000602C0000}"/>
    <cellStyle name="_Column7_Strategic Diagnostic Templates Technik_MF Key Performance Indicators B.IV.r Abfüllung_Basis_Spend Detail" xfId="11370" xr:uid="{00000000-0005-0000-0000-0000612C0000}"/>
    <cellStyle name="_Column7_Strategic Diagnostic Templates Technik_MF Key Performance Indicators B.IV.r Abfüllung_Basis_SustainingProjectList" xfId="11371" xr:uid="{00000000-0005-0000-0000-0000622C0000}"/>
    <cellStyle name="_Column7_Strategic Diagnostic Templates Technik_MF Key Performance Indicators B.IV.r Abfüllung_BU12 TP database - REGULAR VOLUMES LAN" xfId="11372" xr:uid="{00000000-0005-0000-0000-0000632C0000}"/>
    <cellStyle name="_Column7_Strategic Diagnostic Templates Technik_MF Key Performance Indicators B.IV.r Abfüllung_Canada" xfId="11373" xr:uid="{00000000-0005-0000-0000-0000642C0000}"/>
    <cellStyle name="_Column7_Strategic Diagnostic Templates Technik_MF Key Performance Indicators B.IV.r Abfüllung_Canada 2" xfId="11374" xr:uid="{00000000-0005-0000-0000-0000652C0000}"/>
    <cellStyle name="_Column7_Strategic Diagnostic Templates Technik_MF Key Performance Indicators B.IV.r Abfüllung_Canada_Dominican Rep" xfId="11375" xr:uid="{00000000-0005-0000-0000-0000662C0000}"/>
    <cellStyle name="_Column7_Strategic Diagnostic Templates Technik_MF Key Performance Indicators B.IV.r Abfüllung_RB&amp;JW_Produktionsplanung_LE1_2006 sortiert" xfId="11376" xr:uid="{00000000-0005-0000-0000-0000672C0000}"/>
    <cellStyle name="_Column7_Strategic Diagnostic Templates Technik_MF Key Performance Indicators B.IV.r Abfüllung_RB&amp;JW_Produktionsplanung_LE1_2006 sortiert 2" xfId="11377" xr:uid="{00000000-0005-0000-0000-0000682C0000}"/>
    <cellStyle name="_Column7_Strategic Diagnostic Templates Technik_MF Key Performance Indicators B.IV.r Abfüllung_RB&amp;JW_Produktionsplanung_LE1_2006 sortiert 2 2" xfId="11378" xr:uid="{00000000-0005-0000-0000-0000692C0000}"/>
    <cellStyle name="_Column7_Strategic Diagnostic Templates Technik_MF Key Performance Indicators B.IV.r Abfüllung_RB&amp;JW_Produktionsplanung_LE1_2006 sortiert_Sheet1" xfId="11379" xr:uid="{00000000-0005-0000-0000-00006A2C0000}"/>
    <cellStyle name="_Column7_Strategic Diagnostic Templates Technik_MF Key Performance Indicators B.IV.r Abfüllung_RB&amp;JW_Produktionsplanung_LE1_2006 sortiert_Sheet5" xfId="11380" xr:uid="{00000000-0005-0000-0000-00006B2C0000}"/>
    <cellStyle name="_Column7_Strategic Diagnostic Templates Technik_MF Key Performance Indicators B.IV.r Abfüllung_RB&amp;JW_Produktionsplanung_LE1_2006 sortiert_Sm Proj Cash Flow" xfId="11381" xr:uid="{00000000-0005-0000-0000-00006C2C0000}"/>
    <cellStyle name="_Column7_Strategic Diagnostic Templates Technik_MF Key Performance Indicators B.IV.r Abfüllung_RB&amp;JW_Produktionsplanung_LE1_2006 sortiert_Spend Detail" xfId="11382" xr:uid="{00000000-0005-0000-0000-00006D2C0000}"/>
    <cellStyle name="_Column7_Strategic Diagnostic Templates Technik_MF Key Performance Indicators B.IV.r Abfüllung_RB&amp;JW_Produktionsplanung_LE1_2006 sortiert_SustainingProjectList" xfId="11383" xr:uid="{00000000-0005-0000-0000-00006E2C0000}"/>
    <cellStyle name="_Column7_Strategic Diagnostic Templates Technik_MF Key Performance Indicators B.IV.r Abfüllung_Sheet1" xfId="11384" xr:uid="{00000000-0005-0000-0000-00006F2C0000}"/>
    <cellStyle name="_Column7_Strategic Diagnostic Templates Technik_MF Key Performance Indicators B.IV.r Abfüllung_Sheet5" xfId="11385" xr:uid="{00000000-0005-0000-0000-0000702C0000}"/>
    <cellStyle name="_Column7_Strategic Diagnostic Templates Technik_MF Key Performance Indicators B.IV.r Abfüllung_SKU Volumen" xfId="11386" xr:uid="{00000000-0005-0000-0000-0000712C0000}"/>
    <cellStyle name="_Column7_Strategic Diagnostic Templates Technik_MF Key Performance Indicators B.IV.r Abfüllung_SKU Volumen 2" xfId="11387" xr:uid="{00000000-0005-0000-0000-0000722C0000}"/>
    <cellStyle name="_Column7_Strategic Diagnostic Templates Technik_MF Key Performance Indicators B.IV.r Abfüllung_SKU Volumen_Sheet1" xfId="11388" xr:uid="{00000000-0005-0000-0000-0000732C0000}"/>
    <cellStyle name="_Column7_Strategic Diagnostic Templates Technik_MF Key Performance Indicators B.IV.r Abfüllung_SKU Volumen_Sm Proj Cash Flow" xfId="11389" xr:uid="{00000000-0005-0000-0000-0000742C0000}"/>
    <cellStyle name="_Column7_Strategic Diagnostic Templates Technik_MF Key Performance Indicators B.IV.r Abfüllung_SKU Volumen_Spend Detail" xfId="11390" xr:uid="{00000000-0005-0000-0000-0000752C0000}"/>
    <cellStyle name="_Column7_Strategic Diagnostic Templates Technik_MF Key Performance Indicators B.IV.r Abfüllung_SKU Volumen_SustainingProjectList" xfId="11391" xr:uid="{00000000-0005-0000-0000-0000762C0000}"/>
    <cellStyle name="_Column7_Strategic Diagnostic Templates Technik_MF Key Performance Indicators B.IV.r Abfüllung_Sm Proj Cash Flow" xfId="11392" xr:uid="{00000000-0005-0000-0000-0000772C0000}"/>
    <cellStyle name="_Column7_Strategic Diagnostic Templates Technik_MF Key Performance Indicators B.IV.r Abfüllung_Spend Detail" xfId="11393" xr:uid="{00000000-0005-0000-0000-0000782C0000}"/>
    <cellStyle name="_Column7_Strategic Diagnostic Templates Technik_MF Key Performance Indicators B.IV.r Abfüllung_SustainingProjectList" xfId="11394" xr:uid="{00000000-0005-0000-0000-0000792C0000}"/>
    <cellStyle name="_Column7_Strategic Diagnostic Templates Technik_MF Key Performance Indicators B.IV.r Abfüllung_Tabelle1" xfId="11395" xr:uid="{00000000-0005-0000-0000-00007A2C0000}"/>
    <cellStyle name="_Column7_Strategic Diagnostic Templates Technik_MF Key Performance Indicators B.IV.r Abfüllung_Tabelle1 2" xfId="11396" xr:uid="{00000000-0005-0000-0000-00007B2C0000}"/>
    <cellStyle name="_Column7_Strategic Diagnostic Templates Technik_MF Key Performance Indicators B.IV.r Abfüllung_Tabelle1_Sheet1" xfId="11397" xr:uid="{00000000-0005-0000-0000-00007C2C0000}"/>
    <cellStyle name="_Column7_Strategic Diagnostic Templates Technik_MF Key Performance Indicators B.IV.r Abfüllung_Tabelle1_Sm Proj Cash Flow" xfId="11398" xr:uid="{00000000-0005-0000-0000-00007D2C0000}"/>
    <cellStyle name="_Column7_Strategic Diagnostic Templates Technik_MF Key Performance Indicators B.IV.r Abfüllung_Tabelle1_Spend Detail" xfId="11399" xr:uid="{00000000-0005-0000-0000-00007E2C0000}"/>
    <cellStyle name="_Column7_Strategic Diagnostic Templates Technik_MF Key Performance Indicators B.IV.r Abfüllung_Tabelle1_SustainingProjectList" xfId="11400" xr:uid="{00000000-0005-0000-0000-00007F2C0000}"/>
    <cellStyle name="_Column7_Strategic Diagnostic Templates Technik_MF Key Performance Indicators B.IV.r Abfüllung_ZBB Budget 2009 Decks v2 china" xfId="11401" xr:uid="{00000000-0005-0000-0000-0000802C0000}"/>
    <cellStyle name="_Column7_Strategic Diagnostic Templates Technik_MF Key Performance Indicators B.IV.r Abfüllung_ZBB Budget 2009 Decks v2 china 2" xfId="11402" xr:uid="{00000000-0005-0000-0000-0000812C0000}"/>
    <cellStyle name="_Column7_Strategic Diagnostic Templates Technik_MF Key Performance Indicators B.IV.r Abfüllung_ZBB Budget 2009 Decks v2 china 2 2" xfId="11403" xr:uid="{00000000-0005-0000-0000-0000822C0000}"/>
    <cellStyle name="_Column7_Strategic Diagnostic Templates Technik_MF Key Performance Indicators B.IV.r Abfüllung_ZBB Budget 2009 Decks v2 china 3" xfId="11404" xr:uid="{00000000-0005-0000-0000-0000832C0000}"/>
    <cellStyle name="_Column7_Strategic Diagnostic Templates Technik_MF Key Performance Indicators B.IV.r Abfüllung_ZBB standard Template Korea_081105" xfId="11405" xr:uid="{00000000-0005-0000-0000-0000842C0000}"/>
    <cellStyle name="_Column7_Strategic Diagnostic Templates Technik_MF Key Performance Indicators B.IV.r Abfüllung_ZBB standard Template Korea_081105 2" xfId="11406" xr:uid="{00000000-0005-0000-0000-0000852C0000}"/>
    <cellStyle name="_Column7_Strategic Diagnostic Templates Technik_MF Key Performance Indicators B.IV.r Abfüllung_ZBB standard Template Korea_081105 2 2" xfId="11407" xr:uid="{00000000-0005-0000-0000-0000862C0000}"/>
    <cellStyle name="_Column7_Strategic Diagnostic Templates Technik_MF Key Performance Indicators B.IV.r Abfüllung_ZBB standard Template Korea_081105 3" xfId="11408" xr:uid="{00000000-0005-0000-0000-0000872C0000}"/>
    <cellStyle name="_Column7_Strategic Diagnostic Templates Technik_MF Key Performance Indicators_Accident frequency" xfId="11409" xr:uid="{00000000-0005-0000-0000-0000882C0000}"/>
    <cellStyle name="_Column7_Strategic Diagnostic Templates Technik_MF Key Performance Indicators_Accident frequency 2" xfId="11410" xr:uid="{00000000-0005-0000-0000-0000892C0000}"/>
    <cellStyle name="_Column7_Strategic Diagnostic Templates Technik_MF Key Performance Indicators_Accident frequency_Financial Analysis Base" xfId="11411" xr:uid="{00000000-0005-0000-0000-00008A2C0000}"/>
    <cellStyle name="_Column7_Strategic Diagnostic Templates Technik_MF Key Performance Indicators_Basis" xfId="11412" xr:uid="{00000000-0005-0000-0000-00008B2C0000}"/>
    <cellStyle name="_Column7_Strategic Diagnostic Templates Technik_MF Key Performance Indicators_Basis 2" xfId="11413" xr:uid="{00000000-0005-0000-0000-00008C2C0000}"/>
    <cellStyle name="_Column7_Strategic Diagnostic Templates Technik_MF Key Performance Indicators_Basis 2 2" xfId="11414" xr:uid="{00000000-0005-0000-0000-00008D2C0000}"/>
    <cellStyle name="_Column7_Strategic Diagnostic Templates Technik_MF Key Performance Indicators_Basis_Sheet1" xfId="11415" xr:uid="{00000000-0005-0000-0000-00008E2C0000}"/>
    <cellStyle name="_Column7_Strategic Diagnostic Templates Technik_MF Key Performance Indicators_Basis_Sheet5" xfId="11416" xr:uid="{00000000-0005-0000-0000-00008F2C0000}"/>
    <cellStyle name="_Column7_Strategic Diagnostic Templates Technik_MF Key Performance Indicators_Basis_Sm Proj Cash Flow" xfId="11417" xr:uid="{00000000-0005-0000-0000-0000902C0000}"/>
    <cellStyle name="_Column7_Strategic Diagnostic Templates Technik_MF Key Performance Indicators_Basis_Spend Detail" xfId="11418" xr:uid="{00000000-0005-0000-0000-0000912C0000}"/>
    <cellStyle name="_Column7_Strategic Diagnostic Templates Technik_MF Key Performance Indicators_Basis_SustainingProjectList" xfId="11419" xr:uid="{00000000-0005-0000-0000-0000922C0000}"/>
    <cellStyle name="_Column7_Strategic Diagnostic Templates Technik_MF Key Performance Indicators_BU12 TP database - REGULAR VOLUMES LAN" xfId="11420" xr:uid="{00000000-0005-0000-0000-0000932C0000}"/>
    <cellStyle name="_Column7_Strategic Diagnostic Templates Technik_MF Key Performance Indicators_Canada" xfId="11421" xr:uid="{00000000-0005-0000-0000-0000942C0000}"/>
    <cellStyle name="_Column7_Strategic Diagnostic Templates Technik_MF Key Performance Indicators_Canada 2" xfId="11422" xr:uid="{00000000-0005-0000-0000-0000952C0000}"/>
    <cellStyle name="_Column7_Strategic Diagnostic Templates Technik_MF Key Performance Indicators_Canada_Dominican Rep" xfId="11423" xr:uid="{00000000-0005-0000-0000-0000962C0000}"/>
    <cellStyle name="_Column7_Strategic Diagnostic Templates Technik_MF Key Performance Indicators_RB&amp;JW_Produktionsplanung_LE1_2006 sortiert" xfId="11424" xr:uid="{00000000-0005-0000-0000-0000972C0000}"/>
    <cellStyle name="_Column7_Strategic Diagnostic Templates Technik_MF Key Performance Indicators_RB&amp;JW_Produktionsplanung_LE1_2006 sortiert 2" xfId="11425" xr:uid="{00000000-0005-0000-0000-0000982C0000}"/>
    <cellStyle name="_Column7_Strategic Diagnostic Templates Technik_MF Key Performance Indicators_RB&amp;JW_Produktionsplanung_LE1_2006 sortiert 2 2" xfId="11426" xr:uid="{00000000-0005-0000-0000-0000992C0000}"/>
    <cellStyle name="_Column7_Strategic Diagnostic Templates Technik_MF Key Performance Indicators_RB&amp;JW_Produktionsplanung_LE1_2006 sortiert_Sheet1" xfId="11427" xr:uid="{00000000-0005-0000-0000-00009A2C0000}"/>
    <cellStyle name="_Column7_Strategic Diagnostic Templates Technik_MF Key Performance Indicators_RB&amp;JW_Produktionsplanung_LE1_2006 sortiert_Sheet5" xfId="11428" xr:uid="{00000000-0005-0000-0000-00009B2C0000}"/>
    <cellStyle name="_Column7_Strategic Diagnostic Templates Technik_MF Key Performance Indicators_RB&amp;JW_Produktionsplanung_LE1_2006 sortiert_Sm Proj Cash Flow" xfId="11429" xr:uid="{00000000-0005-0000-0000-00009C2C0000}"/>
    <cellStyle name="_Column7_Strategic Diagnostic Templates Technik_MF Key Performance Indicators_RB&amp;JW_Produktionsplanung_LE1_2006 sortiert_Spend Detail" xfId="11430" xr:uid="{00000000-0005-0000-0000-00009D2C0000}"/>
    <cellStyle name="_Column7_Strategic Diagnostic Templates Technik_MF Key Performance Indicators_RB&amp;JW_Produktionsplanung_LE1_2006 sortiert_SustainingProjectList" xfId="11431" xr:uid="{00000000-0005-0000-0000-00009E2C0000}"/>
    <cellStyle name="_Column7_Strategic Diagnostic Templates Technik_MF Key Performance Indicators_Sheet1" xfId="11432" xr:uid="{00000000-0005-0000-0000-00009F2C0000}"/>
    <cellStyle name="_Column7_Strategic Diagnostic Templates Technik_MF Key Performance Indicators_Sheet5" xfId="11433" xr:uid="{00000000-0005-0000-0000-0000A02C0000}"/>
    <cellStyle name="_Column7_Strategic Diagnostic Templates Technik_MF Key Performance Indicators_SKU Volumen" xfId="11434" xr:uid="{00000000-0005-0000-0000-0000A12C0000}"/>
    <cellStyle name="_Column7_Strategic Diagnostic Templates Technik_MF Key Performance Indicators_SKU Volumen 2" xfId="11435" xr:uid="{00000000-0005-0000-0000-0000A22C0000}"/>
    <cellStyle name="_Column7_Strategic Diagnostic Templates Technik_MF Key Performance Indicators_SKU Volumen_Sheet1" xfId="11436" xr:uid="{00000000-0005-0000-0000-0000A32C0000}"/>
    <cellStyle name="_Column7_Strategic Diagnostic Templates Technik_MF Key Performance Indicators_SKU Volumen_Sm Proj Cash Flow" xfId="11437" xr:uid="{00000000-0005-0000-0000-0000A42C0000}"/>
    <cellStyle name="_Column7_Strategic Diagnostic Templates Technik_MF Key Performance Indicators_SKU Volumen_Spend Detail" xfId="11438" xr:uid="{00000000-0005-0000-0000-0000A52C0000}"/>
    <cellStyle name="_Column7_Strategic Diagnostic Templates Technik_MF Key Performance Indicators_SKU Volumen_SustainingProjectList" xfId="11439" xr:uid="{00000000-0005-0000-0000-0000A62C0000}"/>
    <cellStyle name="_Column7_Strategic Diagnostic Templates Technik_MF Key Performance Indicators_Sm Proj Cash Flow" xfId="11440" xr:uid="{00000000-0005-0000-0000-0000A72C0000}"/>
    <cellStyle name="_Column7_Strategic Diagnostic Templates Technik_MF Key Performance Indicators_Spend Detail" xfId="11441" xr:uid="{00000000-0005-0000-0000-0000A82C0000}"/>
    <cellStyle name="_Column7_Strategic Diagnostic Templates Technik_MF Key Performance Indicators_SustainingProjectList" xfId="11442" xr:uid="{00000000-0005-0000-0000-0000A92C0000}"/>
    <cellStyle name="_Column7_Strategic Diagnostic Templates Technik_MF Key Performance Indicators_Tabelle1" xfId="11443" xr:uid="{00000000-0005-0000-0000-0000AA2C0000}"/>
    <cellStyle name="_Column7_Strategic Diagnostic Templates Technik_MF Key Performance Indicators_Tabelle1 2" xfId="11444" xr:uid="{00000000-0005-0000-0000-0000AB2C0000}"/>
    <cellStyle name="_Column7_Strategic Diagnostic Templates Technik_MF Key Performance Indicators_Tabelle1_Sheet1" xfId="11445" xr:uid="{00000000-0005-0000-0000-0000AC2C0000}"/>
    <cellStyle name="_Column7_Strategic Diagnostic Templates Technik_MF Key Performance Indicators_Tabelle1_Sm Proj Cash Flow" xfId="11446" xr:uid="{00000000-0005-0000-0000-0000AD2C0000}"/>
    <cellStyle name="_Column7_Strategic Diagnostic Templates Technik_MF Key Performance Indicators_Tabelle1_Spend Detail" xfId="11447" xr:uid="{00000000-0005-0000-0000-0000AE2C0000}"/>
    <cellStyle name="_Column7_Strategic Diagnostic Templates Technik_MF Key Performance Indicators_Tabelle1_SustainingProjectList" xfId="11448" xr:uid="{00000000-0005-0000-0000-0000AF2C0000}"/>
    <cellStyle name="_Column7_Strategic Diagnostic Templates Technik_MF Key Performance Indicators_ZBB Budget 2009 Decks v2 china" xfId="11449" xr:uid="{00000000-0005-0000-0000-0000B02C0000}"/>
    <cellStyle name="_Column7_Strategic Diagnostic Templates Technik_MF Key Performance Indicators_ZBB Budget 2009 Decks v2 china 2" xfId="11450" xr:uid="{00000000-0005-0000-0000-0000B12C0000}"/>
    <cellStyle name="_Column7_Strategic Diagnostic Templates Technik_MF Key Performance Indicators_ZBB Budget 2009 Decks v2 china 2 2" xfId="11451" xr:uid="{00000000-0005-0000-0000-0000B22C0000}"/>
    <cellStyle name="_Column7_Strategic Diagnostic Templates Technik_MF Key Performance Indicators_ZBB Budget 2009 Decks v2 china 3" xfId="11452" xr:uid="{00000000-0005-0000-0000-0000B32C0000}"/>
    <cellStyle name="_Column7_Strategic Diagnostic Templates Technik_MF Key Performance Indicators_ZBB standard Template Korea_081105" xfId="11453" xr:uid="{00000000-0005-0000-0000-0000B42C0000}"/>
    <cellStyle name="_Column7_Strategic Diagnostic Templates Technik_MF Key Performance Indicators_ZBB standard Template Korea_081105 2" xfId="11454" xr:uid="{00000000-0005-0000-0000-0000B52C0000}"/>
    <cellStyle name="_Column7_Strategic Diagnostic Templates Technik_MF Key Performance Indicators_ZBB standard Template Korea_081105 2 2" xfId="11455" xr:uid="{00000000-0005-0000-0000-0000B62C0000}"/>
    <cellStyle name="_Column7_Strategic Diagnostic Templates Technik_MF Key Performance Indicators_ZBB standard Template Korea_081105 3" xfId="11456" xr:uid="{00000000-0005-0000-0000-0000B72C0000}"/>
    <cellStyle name="_Column7_Strategic Diagnostic Templates Technik_MF Personal 2004 bis 2007" xfId="11457" xr:uid="{00000000-0005-0000-0000-0000B82C0000}"/>
    <cellStyle name="_Column7_Strategic Diagnostic Templates Technik_MF_Instandhaltung" xfId="11458" xr:uid="{00000000-0005-0000-0000-0000B92C0000}"/>
    <cellStyle name="_Column7_Strategic Diagnostic Templates Technik_MF_Instandhaltung 2" xfId="11459" xr:uid="{00000000-0005-0000-0000-0000BA2C0000}"/>
    <cellStyle name="_Column7_Strategic Diagnostic Templates Technik_MF_Instandhaltung 3" xfId="11460" xr:uid="{00000000-0005-0000-0000-0000BB2C0000}"/>
    <cellStyle name="_Column7_Strategic Diagnostic Templates Technik_MF_Instandhaltung 3 2" xfId="11461" xr:uid="{00000000-0005-0000-0000-0000BC2C0000}"/>
    <cellStyle name="_Column7_Strategic Diagnostic Templates Technik_MF_Instandhaltung 3 3" xfId="11462" xr:uid="{00000000-0005-0000-0000-0000BD2C0000}"/>
    <cellStyle name="_Column7_Strategic Diagnostic Templates Technik_MF_Instandhaltung 3 3 2" xfId="11463" xr:uid="{00000000-0005-0000-0000-0000BE2C0000}"/>
    <cellStyle name="_Column7_Strategic Diagnostic Templates Technik_MF_Instandhaltung 4" xfId="11464" xr:uid="{00000000-0005-0000-0000-0000BF2C0000}"/>
    <cellStyle name="_Column7_Strategic Diagnostic Templates Technik_MF_Instandhaltung 4 2" xfId="11465" xr:uid="{00000000-0005-0000-0000-0000C02C0000}"/>
    <cellStyle name="_Column7_Strategic Diagnostic Templates Technik_MF_Instandhaltung 5" xfId="11466" xr:uid="{00000000-0005-0000-0000-0000C12C0000}"/>
    <cellStyle name="_Column7_Strategic Diagnostic Templates Technik_MF_Instandhaltung_HC_Ev.Total Bgt'05 vs.Bgt'04" xfId="11467" xr:uid="{00000000-0005-0000-0000-0000C22C0000}"/>
    <cellStyle name="_Column7_Strategic Diagnostic Templates Technik_MF_Instandhaltung_Hopfen" xfId="11468" xr:uid="{00000000-0005-0000-0000-0000C32C0000}"/>
    <cellStyle name="_Column7_Strategic Diagnostic Templates Technik_MF_Instandhaltung_Rüstzeit" xfId="11469" xr:uid="{00000000-0005-0000-0000-0000C42C0000}"/>
    <cellStyle name="_Column7_Strategic Diagnostic Templates Technik_MF_Instandhaltung_Sheet5" xfId="11470" xr:uid="{00000000-0005-0000-0000-0000C52C0000}"/>
    <cellStyle name="_Column7_Strategic Diagnostic Templates Technik_MF_Instandhaltung_Tabelle1" xfId="11471" xr:uid="{00000000-0005-0000-0000-0000C62C0000}"/>
    <cellStyle name="_Column7_Strategic Diagnostic Templates Technik_Neu" xfId="11472" xr:uid="{00000000-0005-0000-0000-0000C72C0000}"/>
    <cellStyle name="_Column7_Strategic Diagnostic Templates Technik_Neu_Sheet5" xfId="11473" xr:uid="{00000000-0005-0000-0000-0000C82C0000}"/>
    <cellStyle name="_Column7_Strategic Diagnostic Templates Technik_RB&amp;JW_Produktionsplanung_LE1_2006 sortiert" xfId="11474" xr:uid="{00000000-0005-0000-0000-0000C92C0000}"/>
    <cellStyle name="_Column7_Strategic Diagnostic Templates Technik_RB&amp;JW_Produktionsplanung_LE1_2006 sortiert 2" xfId="11475" xr:uid="{00000000-0005-0000-0000-0000CA2C0000}"/>
    <cellStyle name="_Column7_Strategic Diagnostic Templates Technik_RB&amp;JW_Produktionsplanung_LE1_2006 sortiert 2 2" xfId="11476" xr:uid="{00000000-0005-0000-0000-0000CB2C0000}"/>
    <cellStyle name="_Column7_Strategic Diagnostic Templates Technik_RB&amp;JW_Produktionsplanung_LE1_2006 sortiert_Sheet1" xfId="11477" xr:uid="{00000000-0005-0000-0000-0000CC2C0000}"/>
    <cellStyle name="_Column7_Strategic Diagnostic Templates Technik_RB&amp;JW_Produktionsplanung_LE1_2006 sortiert_Sheet5" xfId="11478" xr:uid="{00000000-0005-0000-0000-0000CD2C0000}"/>
    <cellStyle name="_Column7_Strategic Diagnostic Templates Technik_RB&amp;JW_Produktionsplanung_LE1_2006 sortiert_Sm Proj Cash Flow" xfId="11479" xr:uid="{00000000-0005-0000-0000-0000CE2C0000}"/>
    <cellStyle name="_Column7_Strategic Diagnostic Templates Technik_RB&amp;JW_Produktionsplanung_LE1_2006 sortiert_Spend Detail" xfId="11480" xr:uid="{00000000-0005-0000-0000-0000CF2C0000}"/>
    <cellStyle name="_Column7_Strategic Diagnostic Templates Technik_RB&amp;JW_Produktionsplanung_LE1_2006 sortiert_SustainingProjectList" xfId="11481" xr:uid="{00000000-0005-0000-0000-0000D02C0000}"/>
    <cellStyle name="_Column7_Strategic Diagnostic Templates Technik_Sheet1" xfId="11482" xr:uid="{00000000-0005-0000-0000-0000D12C0000}"/>
    <cellStyle name="_Column7_Strategic Diagnostic Templates Technik_Sheet5" xfId="11483" xr:uid="{00000000-0005-0000-0000-0000D22C0000}"/>
    <cellStyle name="_Column7_Strategic Diagnostic Templates Technik_SKU Volumen" xfId="11484" xr:uid="{00000000-0005-0000-0000-0000D32C0000}"/>
    <cellStyle name="_Column7_Strategic Diagnostic Templates Technik_SKU Volumen 2" xfId="11485" xr:uid="{00000000-0005-0000-0000-0000D42C0000}"/>
    <cellStyle name="_Column7_Strategic Diagnostic Templates Technik_SKU Volumen_Sheet1" xfId="11486" xr:uid="{00000000-0005-0000-0000-0000D52C0000}"/>
    <cellStyle name="_Column7_Strategic Diagnostic Templates Technik_SKU Volumen_Sm Proj Cash Flow" xfId="11487" xr:uid="{00000000-0005-0000-0000-0000D62C0000}"/>
    <cellStyle name="_Column7_Strategic Diagnostic Templates Technik_SKU Volumen_Spend Detail" xfId="11488" xr:uid="{00000000-0005-0000-0000-0000D72C0000}"/>
    <cellStyle name="_Column7_Strategic Diagnostic Templates Technik_SKU Volumen_SustainingProjectList" xfId="11489" xr:uid="{00000000-0005-0000-0000-0000D82C0000}"/>
    <cellStyle name="_Column7_Strategic Diagnostic Templates Technik_Sm Proj Cash Flow" xfId="11490" xr:uid="{00000000-0005-0000-0000-0000D92C0000}"/>
    <cellStyle name="_Column7_Strategic Diagnostic Templates Technik_Spend Detail" xfId="11491" xr:uid="{00000000-0005-0000-0000-0000DA2C0000}"/>
    <cellStyle name="_Column7_Strategic Diagnostic Templates Technik_Standardhl" xfId="11492" xr:uid="{00000000-0005-0000-0000-0000DB2C0000}"/>
    <cellStyle name="_Column7_Strategic Diagnostic Templates Technik_Standardhl 2" xfId="11493" xr:uid="{00000000-0005-0000-0000-0000DC2C0000}"/>
    <cellStyle name="_Column7_Strategic Diagnostic Templates Technik_Standardhl 3" xfId="11494" xr:uid="{00000000-0005-0000-0000-0000DD2C0000}"/>
    <cellStyle name="_Column7_Strategic Diagnostic Templates Technik_Standardhl 3 2" xfId="11495" xr:uid="{00000000-0005-0000-0000-0000DE2C0000}"/>
    <cellStyle name="_Column7_Strategic Diagnostic Templates Technik_Standardhl 3 3" xfId="11496" xr:uid="{00000000-0005-0000-0000-0000DF2C0000}"/>
    <cellStyle name="_Column7_Strategic Diagnostic Templates Technik_Standardhl 3 3 2" xfId="11497" xr:uid="{00000000-0005-0000-0000-0000E02C0000}"/>
    <cellStyle name="_Column7_Strategic Diagnostic Templates Technik_Standardhl 4" xfId="11498" xr:uid="{00000000-0005-0000-0000-0000E12C0000}"/>
    <cellStyle name="_Column7_Strategic Diagnostic Templates Technik_Standardhl 4 2" xfId="11499" xr:uid="{00000000-0005-0000-0000-0000E22C0000}"/>
    <cellStyle name="_Column7_Strategic Diagnostic Templates Technik_Standardhl 5" xfId="11500" xr:uid="{00000000-0005-0000-0000-0000E32C0000}"/>
    <cellStyle name="_Column7_Strategic Diagnostic Templates Technik_Standardhl 5 2" xfId="11501" xr:uid="{00000000-0005-0000-0000-0000E42C0000}"/>
    <cellStyle name="_Column7_Strategic Diagnostic Templates Technik_Standardhl_Sheet1" xfId="11502" xr:uid="{00000000-0005-0000-0000-0000E52C0000}"/>
    <cellStyle name="_Column7_Strategic Diagnostic Templates Technik_Standardhl_Sheet5" xfId="11503" xr:uid="{00000000-0005-0000-0000-0000E62C0000}"/>
    <cellStyle name="_Column7_Strategic Diagnostic Templates Technik_Standardhl_Sm Proj Cash Flow" xfId="11504" xr:uid="{00000000-0005-0000-0000-0000E72C0000}"/>
    <cellStyle name="_Column7_Strategic Diagnostic Templates Technik_Standardhl_Spend Detail" xfId="11505" xr:uid="{00000000-0005-0000-0000-0000E82C0000}"/>
    <cellStyle name="_Column7_Strategic Diagnostic Templates Technik_Standardhl_SustainingProjectList" xfId="11506" xr:uid="{00000000-0005-0000-0000-0000E92C0000}"/>
    <cellStyle name="_Column7_Strategic Diagnostic Templates Technik_SustainingProjectList" xfId="11507" xr:uid="{00000000-0005-0000-0000-0000EA2C0000}"/>
    <cellStyle name="_Column7_Strategic Diagnostic Templates Technik_Tabelle1" xfId="11508" xr:uid="{00000000-0005-0000-0000-0000EB2C0000}"/>
    <cellStyle name="_Column7_Strategic Diagnostic Templates Technik_Tabelle1 2" xfId="11509" xr:uid="{00000000-0005-0000-0000-0000EC2C0000}"/>
    <cellStyle name="_Column7_Strategic Diagnostic Templates Technik_Tabelle1_Sheet1" xfId="11510" xr:uid="{00000000-0005-0000-0000-0000ED2C0000}"/>
    <cellStyle name="_Column7_Strategic Diagnostic Templates Technik_Tabelle1_Sm Proj Cash Flow" xfId="11511" xr:uid="{00000000-0005-0000-0000-0000EE2C0000}"/>
    <cellStyle name="_Column7_Strategic Diagnostic Templates Technik_Tabelle1_Spend Detail" xfId="11512" xr:uid="{00000000-0005-0000-0000-0000EF2C0000}"/>
    <cellStyle name="_Column7_Strategic Diagnostic Templates Technik_Tabelle1_SustainingProjectList" xfId="11513" xr:uid="{00000000-0005-0000-0000-0000F02C0000}"/>
    <cellStyle name="_Column7_Strategic Diagnostic Templates Technik_ZBB Budget 2009 Decks v2 china" xfId="11514" xr:uid="{00000000-0005-0000-0000-0000F12C0000}"/>
    <cellStyle name="_Column7_Strategic Diagnostic Templates Technik_ZBB Budget 2009 Decks v2 china 2" xfId="11515" xr:uid="{00000000-0005-0000-0000-0000F22C0000}"/>
    <cellStyle name="_Column7_Strategic Diagnostic Templates Technik_ZBB Budget 2009 Decks v2 china 2 2" xfId="11516" xr:uid="{00000000-0005-0000-0000-0000F32C0000}"/>
    <cellStyle name="_Column7_Strategic Diagnostic Templates Technik_ZBB Budget 2009 Decks v2 china 3" xfId="11517" xr:uid="{00000000-0005-0000-0000-0000F42C0000}"/>
    <cellStyle name="_Column7_Strategic Diagnostic Templates Technik_ZBB standard Template Korea_081105" xfId="11518" xr:uid="{00000000-0005-0000-0000-0000F52C0000}"/>
    <cellStyle name="_Column7_Strategic Diagnostic Templates Technik_ZBB standard Template Korea_081105 2" xfId="11519" xr:uid="{00000000-0005-0000-0000-0000F62C0000}"/>
    <cellStyle name="_Column7_Strategic Diagnostic Templates Technik_ZBB standard Template Korea_081105 2 2" xfId="11520" xr:uid="{00000000-0005-0000-0000-0000F72C0000}"/>
    <cellStyle name="_Column7_Strategic Diagnostic Templates Technik_ZBB standard Template Korea_081105 3" xfId="11521" xr:uid="{00000000-0005-0000-0000-0000F82C0000}"/>
    <cellStyle name="_Column7_Tabelle1" xfId="11522" xr:uid="{00000000-0005-0000-0000-0000F92C0000}"/>
    <cellStyle name="_Column7_Tabelle1 2" xfId="11523" xr:uid="{00000000-0005-0000-0000-0000FA2C0000}"/>
    <cellStyle name="_Column7_Tabelle1 2 2" xfId="11524" xr:uid="{00000000-0005-0000-0000-0000FB2C0000}"/>
    <cellStyle name="_Column7_Tabelle1 3" xfId="11525" xr:uid="{00000000-0005-0000-0000-0000FC2C0000}"/>
    <cellStyle name="_Column7_Tabelle1_1" xfId="11526" xr:uid="{00000000-0005-0000-0000-0000FD2C0000}"/>
    <cellStyle name="_Column7_Tabelle1_1_Absatz Ist je Artikel &amp; Woche V1" xfId="11527" xr:uid="{00000000-0005-0000-0000-0000FE2C0000}"/>
    <cellStyle name="_Column7_Tabelle1_1_Absatz Ist je Artikel &amp; Woche V1 2" xfId="11528" xr:uid="{00000000-0005-0000-0000-0000FF2C0000}"/>
    <cellStyle name="_Column7_Tabelle1_1_Absatz Ist je Artikel &amp; Woche V1_Sheet1" xfId="11529" xr:uid="{00000000-0005-0000-0000-0000002D0000}"/>
    <cellStyle name="_Column7_Tabelle1_1_Absatz Ist je Artikel &amp; Woche V1_Sm Proj Cash Flow" xfId="11530" xr:uid="{00000000-0005-0000-0000-0000012D0000}"/>
    <cellStyle name="_Column7_Tabelle1_1_Absatz Ist je Artikel &amp; Woche V1_Spend Detail" xfId="11531" xr:uid="{00000000-0005-0000-0000-0000022D0000}"/>
    <cellStyle name="_Column7_Tabelle1_1_Absatz Ist je Artikel &amp; Woche V1_SustainingProjectList" xfId="11532" xr:uid="{00000000-0005-0000-0000-0000032D0000}"/>
    <cellStyle name="_Column7_Tabelle1_1_details" xfId="11533" xr:uid="{00000000-0005-0000-0000-0000042D0000}"/>
    <cellStyle name="_Column7_Tabelle1_1_Keg Dynamische Bedarfsplanung Budget 2008 2.8.2007" xfId="11534" xr:uid="{00000000-0005-0000-0000-0000052D0000}"/>
    <cellStyle name="_Column7_Tabelle1_1_Tabelle2" xfId="11535" xr:uid="{00000000-0005-0000-0000-0000062D0000}"/>
    <cellStyle name="_Column7_Tabelle1_1_Tabelle2 2" xfId="11536" xr:uid="{00000000-0005-0000-0000-0000072D0000}"/>
    <cellStyle name="_Column7_Tabelle1_1_Tabelle2_Sheet1" xfId="11537" xr:uid="{00000000-0005-0000-0000-0000082D0000}"/>
    <cellStyle name="_Column7_Tabelle1_1_Tabelle2_Sm Proj Cash Flow" xfId="11538" xr:uid="{00000000-0005-0000-0000-0000092D0000}"/>
    <cellStyle name="_Column7_Tabelle1_1_Tabelle2_Spend Detail" xfId="11539" xr:uid="{00000000-0005-0000-0000-00000A2D0000}"/>
    <cellStyle name="_Column7_Tabelle1_1_Tabelle2_SustainingProjectList" xfId="11540" xr:uid="{00000000-0005-0000-0000-00000B2D0000}"/>
    <cellStyle name="_Column7_Tabelle1_1_Tabelle3" xfId="11541" xr:uid="{00000000-0005-0000-0000-00000C2D0000}"/>
    <cellStyle name="_Column7_Tabelle1_1_Tabelle3 2" xfId="11542" xr:uid="{00000000-0005-0000-0000-00000D2D0000}"/>
    <cellStyle name="_Column7_Tabelle1_1_Tabelle3_Sheet1" xfId="11543" xr:uid="{00000000-0005-0000-0000-00000E2D0000}"/>
    <cellStyle name="_Column7_Tabelle1_1_Tabelle3_Sm Proj Cash Flow" xfId="11544" xr:uid="{00000000-0005-0000-0000-00000F2D0000}"/>
    <cellStyle name="_Column7_Tabelle1_1_Tabelle3_Spend Detail" xfId="11545" xr:uid="{00000000-0005-0000-0000-0000102D0000}"/>
    <cellStyle name="_Column7_Tabelle1_1_Tabelle3_SustainingProjectList" xfId="11546" xr:uid="{00000000-0005-0000-0000-0000112D0000}"/>
    <cellStyle name="_Column7_Tabelle1_1_Template Capex budget 2010 Supply WE" xfId="11547" xr:uid="{00000000-0005-0000-0000-0000122D0000}"/>
    <cellStyle name="_Column7_Tabelle1_1_Template Capex budget 2010 Supply WE 2" xfId="11548" xr:uid="{00000000-0005-0000-0000-0000132D0000}"/>
    <cellStyle name="_Column7_Tabelle1_Absatz Ist je Artikel &amp; Woche V1" xfId="11549" xr:uid="{00000000-0005-0000-0000-0000142D0000}"/>
    <cellStyle name="_Column7_Tabelle1_Rüstzeit" xfId="11550" xr:uid="{00000000-0005-0000-0000-0000152D0000}"/>
    <cellStyle name="_Column7_Tabelle1_Sheet1" xfId="11551" xr:uid="{00000000-0005-0000-0000-0000162D0000}"/>
    <cellStyle name="_Column7_Tabelle1_Sm Proj Cash Flow" xfId="11552" xr:uid="{00000000-0005-0000-0000-0000172D0000}"/>
    <cellStyle name="_Column7_Tabelle1_Spend Detail" xfId="11553" xr:uid="{00000000-0005-0000-0000-0000182D0000}"/>
    <cellStyle name="_Column7_Tabelle1_SustainingProjectList" xfId="11554" xr:uid="{00000000-0005-0000-0000-0000192D0000}"/>
    <cellStyle name="_Column7_Tabelle1_Volumen 05&amp;06&amp;07" xfId="11555" xr:uid="{00000000-0005-0000-0000-00001A2D0000}"/>
    <cellStyle name="_Column7_Tabelle11" xfId="11556" xr:uid="{00000000-0005-0000-0000-00001B2D0000}"/>
    <cellStyle name="_Column7_Tabelle2" xfId="11557" xr:uid="{00000000-0005-0000-0000-00001C2D0000}"/>
    <cellStyle name="_Column7_Tabelle3" xfId="11558" xr:uid="{00000000-0005-0000-0000-00001D2D0000}"/>
    <cellStyle name="_Column7_Tax IT0192 0609" xfId="11559" xr:uid="{00000000-0005-0000-0000-00001E2D0000}"/>
    <cellStyle name="_Column7_Template Capex budget 2010 Supply WE" xfId="11560" xr:uid="{00000000-0005-0000-0000-00001F2D0000}"/>
    <cellStyle name="_Column7_Template for processing cognos corrections  (2)" xfId="11561" xr:uid="{00000000-0005-0000-0000-0000202D0000}"/>
    <cellStyle name="_Column7_TP BE_Ad-hoc" xfId="11562" xr:uid="{00000000-0005-0000-0000-0000212D0000}"/>
    <cellStyle name="_Column7_TP database" xfId="11563" xr:uid="{00000000-0005-0000-0000-0000222D0000}"/>
    <cellStyle name="_Column7_TP database vers 26.3.07" xfId="11564" xr:uid="{00000000-0005-0000-0000-0000232D0000}"/>
    <cellStyle name="_Column7_TP_IC_2013" xfId="11565" xr:uid="{00000000-0005-0000-0000-0000242D0000}"/>
    <cellStyle name="_Column7_TP_Stella" xfId="11566" xr:uid="{00000000-0005-0000-0000-0000252D0000}"/>
    <cellStyle name="_Column7_TPneu" xfId="11567" xr:uid="{00000000-0005-0000-0000-0000262D0000}"/>
    <cellStyle name="_Column7_TS_dimension split Italy 1206" xfId="11568" xr:uid="{00000000-0005-0000-0000-0000272D0000}"/>
    <cellStyle name="_Column7_US ZBB Budget Tracker updated 3-8-2010" xfId="11569" xr:uid="{00000000-0005-0000-0000-0000282D0000}"/>
    <cellStyle name="_Column7_VIC Personalkosten Filling Bremen" xfId="11570" xr:uid="{00000000-0005-0000-0000-0000292D0000}"/>
    <cellStyle name="_Column7_VIC+VPLC On" xfId="11571" xr:uid="{00000000-0005-0000-0000-00002A2D0000}"/>
    <cellStyle name="_Column7_Vol Innovations 1st sub" xfId="11572" xr:uid="{00000000-0005-0000-0000-00002B2D0000}"/>
    <cellStyle name="_Column7_Vol mkt" xfId="11573" xr:uid="{00000000-0005-0000-0000-00002C2D0000}"/>
    <cellStyle name="_Column7_Vol x SKU e x package" xfId="11574" xr:uid="{00000000-0005-0000-0000-00002D2D0000}"/>
    <cellStyle name="_Column7_Vol_Innovations 1st Sub." xfId="11575" xr:uid="{00000000-0005-0000-0000-00002E2D0000}"/>
    <cellStyle name="_Column7_Volumen 05&amp;06&amp;07" xfId="11576" xr:uid="{00000000-0005-0000-0000-00002F2D0000}"/>
    <cellStyle name="_Column7_Volumes" xfId="11577" xr:uid="{00000000-0005-0000-0000-0000302D0000}"/>
    <cellStyle name="_Column7_Volumes Bremen" xfId="11578" xr:uid="{00000000-0005-0000-0000-0000312D0000}"/>
    <cellStyle name="_Column7_Volumes Bremen_packaging" xfId="11579" xr:uid="{00000000-0005-0000-0000-0000322D0000}"/>
    <cellStyle name="_Column7_Volumes March'06" xfId="11580" xr:uid="{00000000-0005-0000-0000-0000332D0000}"/>
    <cellStyle name="_Column7_Volumes_packaging" xfId="11581" xr:uid="{00000000-0005-0000-0000-0000342D0000}"/>
    <cellStyle name="_Column7_Volumi" xfId="11582" xr:uid="{00000000-0005-0000-0000-0000352D0000}"/>
    <cellStyle name="_Column7_Volumi aprile" xfId="11583" xr:uid="{00000000-0005-0000-0000-0000362D0000}"/>
    <cellStyle name="_Column7_Volumi Aug estr da Alea" xfId="11584" xr:uid="{00000000-0005-0000-0000-0000372D0000}"/>
    <cellStyle name="_Column7_Volumi August estr da Alea" xfId="11585" xr:uid="{00000000-0005-0000-0000-0000382D0000}"/>
    <cellStyle name="_Column7_Volumi BU'07" xfId="11586" xr:uid="{00000000-0005-0000-0000-0000392D0000}"/>
    <cellStyle name="_Column7_Volumi Budget'07 Alea" xfId="11587" xr:uid="{00000000-0005-0000-0000-00003A2D0000}"/>
    <cellStyle name="_Column7_Volumi estr 30.6.06" xfId="11588" xr:uid="{00000000-0005-0000-0000-00003B2D0000}"/>
    <cellStyle name="_Column7_Volumi July estr da Alea" xfId="11589" xr:uid="{00000000-0005-0000-0000-00003C2D0000}"/>
    <cellStyle name="_Column7_Volumi July estr da Alea_1" xfId="11590" xr:uid="{00000000-0005-0000-0000-00003D2D0000}"/>
    <cellStyle name="_Column7_Volumi Marzo (2)" xfId="11591" xr:uid="{00000000-0005-0000-0000-00003E2D0000}"/>
    <cellStyle name="_Column7_Volumi May estr da Alea" xfId="11592" xr:uid="{00000000-0005-0000-0000-00003F2D0000}"/>
    <cellStyle name="_Column7_Volumi October estr da Alea" xfId="11593" xr:uid="{00000000-0005-0000-0000-0000402D0000}"/>
    <cellStyle name="_Column7_Volumi September estr da Alea" xfId="11594" xr:uid="{00000000-0005-0000-0000-0000412D0000}"/>
    <cellStyle name="_Column7_VP Supply Approval" xfId="11595" xr:uid="{00000000-0005-0000-0000-0000422D0000}"/>
    <cellStyle name="_Column7_VP Supply Approval_RFFS SUBMISSION TO VPs" xfId="11596" xr:uid="{00000000-0005-0000-0000-0000432D0000}"/>
    <cellStyle name="_Column7_VP Supply Approval_RFFS_SUBMISSION_TO_VPs _v2" xfId="11597" xr:uid="{00000000-0005-0000-0000-0000442D0000}"/>
    <cellStyle name="_Column7_VPLC" xfId="11598" xr:uid="{00000000-0005-0000-0000-0000452D0000}"/>
    <cellStyle name="_Column7_WE_BusinessUpdate Jan 2007" xfId="11599" xr:uid="{00000000-0005-0000-0000-0000462D0000}"/>
    <cellStyle name="_Column7_WE_BusinessUpdate2007_support" xfId="11600" xr:uid="{00000000-0005-0000-0000-0000472D0000}"/>
    <cellStyle name="_Column7_YTD Off-Trade giugno" xfId="11601" xr:uid="{00000000-0005-0000-0000-0000482D0000}"/>
    <cellStyle name="_Column7_YTD Off-Trade maggio" xfId="11602" xr:uid="{00000000-0005-0000-0000-0000492D0000}"/>
    <cellStyle name="_Column7_ZBB 2007 estr Alea" xfId="11603" xr:uid="{00000000-0005-0000-0000-00004A2D0000}"/>
    <cellStyle name="_Column7_ZBB Budget 2009 Decks" xfId="11604" xr:uid="{00000000-0005-0000-0000-00004B2D0000}"/>
    <cellStyle name="_Column7_ZBB Budget 2009 Decks 2" xfId="11605" xr:uid="{00000000-0005-0000-0000-00004C2D0000}"/>
    <cellStyle name="_Column7_ZBB Budget 2009 Decks 2 2" xfId="11606" xr:uid="{00000000-0005-0000-0000-00004D2D0000}"/>
    <cellStyle name="_Column7_ZBB Budget 2009 Decks 3" xfId="11607" xr:uid="{00000000-0005-0000-0000-00004E2D0000}"/>
    <cellStyle name="_Column7_ZBB Budget 2009 Decks_Copy of US ZBB Budget Tracker v3" xfId="11608" xr:uid="{00000000-0005-0000-0000-00004F2D0000}"/>
    <cellStyle name="_Column7_ZBB Budget 2009 Decks_US ZBB Budget Tracker updated 3-8-2010" xfId="11609" xr:uid="{00000000-0005-0000-0000-0000502D0000}"/>
    <cellStyle name="_Column7_ZBB Budget 2009 Decks_with Korea Scope in (Only LE)" xfId="11610" xr:uid="{00000000-0005-0000-0000-0000512D0000}"/>
    <cellStyle name="_Column7_ZBB Budget 2009 Decks_with Korea Scope in (Only LE) (2)" xfId="11611" xr:uid="{00000000-0005-0000-0000-0000522D0000}"/>
    <cellStyle name="_Column7_ZBB Budget 2009 Decks_with Korea Scope in (Only LE) (2) 2" xfId="11612" xr:uid="{00000000-0005-0000-0000-0000532D0000}"/>
    <cellStyle name="_Column7_ZBB Budget 2009 Decks_with Korea Scope in (Only LE) (2) 2 2" xfId="11613" xr:uid="{00000000-0005-0000-0000-0000542D0000}"/>
    <cellStyle name="_Column7_ZBB Budget 2009 Decks_with Korea Scope in (Only LE) (2) 3" xfId="11614" xr:uid="{00000000-0005-0000-0000-0000552D0000}"/>
    <cellStyle name="_Column7_ZBB Budget 2009 Decks_with Korea Scope in (Only LE) (2)_Copy of US ZBB Budget Tracker v3" xfId="11615" xr:uid="{00000000-0005-0000-0000-0000562D0000}"/>
    <cellStyle name="_Column7_ZBB Budget 2009 Decks_with Korea Scope in (Only LE) (2)_US ZBB Budget Tracker updated 3-8-2010" xfId="11616" xr:uid="{00000000-0005-0000-0000-0000572D0000}"/>
    <cellStyle name="_Column7_ZBB Budget 2009 Decks_with Korea Scope in (Only LE) 2" xfId="11617" xr:uid="{00000000-0005-0000-0000-0000582D0000}"/>
    <cellStyle name="_Column7_ZBB Budget 2009 Decks_with Korea Scope in (Only LE) 2 2" xfId="11618" xr:uid="{00000000-0005-0000-0000-0000592D0000}"/>
    <cellStyle name="_Column7_ZBB Budget 2009 Decks_with Korea Scope in (Only LE) 3" xfId="11619" xr:uid="{00000000-0005-0000-0000-00005A2D0000}"/>
    <cellStyle name="_Column7_ZBB Budget 2009 Decks_with Korea Scope in (Only LE) 3 2" xfId="11620" xr:uid="{00000000-0005-0000-0000-00005B2D0000}"/>
    <cellStyle name="_Column7_ZBB Budget 2009 Decks_with Korea Scope in (Only LE) 4" xfId="11621" xr:uid="{00000000-0005-0000-0000-00005C2D0000}"/>
    <cellStyle name="_Column7_ZBB Budget 2009 Decks_with Korea Scope in (Only LE) 5" xfId="11622" xr:uid="{00000000-0005-0000-0000-00005D2D0000}"/>
    <cellStyle name="_Column7_ZBB Budget 2009 Decks_with Korea Scope in (Only LE)_Copy of US ZBB Budget Tracker v3" xfId="11623" xr:uid="{00000000-0005-0000-0000-00005E2D0000}"/>
    <cellStyle name="_Column7_ZBB Budget 2009 Decks_with Korea Scope in (Only LE)_US ZBB Budget Tracker updated 3-8-2010" xfId="11624" xr:uid="{00000000-0005-0000-0000-00005F2D0000}"/>
    <cellStyle name="_Column7_ZBB cost analysis B08 fin1" xfId="11625" xr:uid="{00000000-0005-0000-0000-0000602D0000}"/>
    <cellStyle name="_Column7_ZBB Germania" xfId="11626" xr:uid="{00000000-0005-0000-0000-0000612D0000}"/>
    <cellStyle name="_Column7_ZBB Risk and oportunities SD Julyok" xfId="11627" xr:uid="{00000000-0005-0000-0000-0000622D0000}"/>
    <cellStyle name="_Column7_ZBB x pack" xfId="11628" xr:uid="{00000000-0005-0000-0000-0000632D0000}"/>
    <cellStyle name="_Column7_ZBB x pack - dett Mkting" xfId="11629" xr:uid="{00000000-0005-0000-0000-0000642D0000}"/>
    <cellStyle name="_Column7_ZBB x pack - dett Sales" xfId="11630" xr:uid="{00000000-0005-0000-0000-0000652D0000}"/>
    <cellStyle name="_Column7_ZBB x pack Germania" xfId="11631" xr:uid="{00000000-0005-0000-0000-0000662D0000}"/>
    <cellStyle name="_Column7_ZBB_LE2+B08_V1" xfId="11632" xr:uid="{00000000-0005-0000-0000-0000672D0000}"/>
    <cellStyle name="_Column7_Zusammenfassung Wert" xfId="11633" xr:uid="{00000000-0005-0000-0000-0000682D0000}"/>
    <cellStyle name="_COM CapEx Procurement" xfId="11634" xr:uid="{00000000-0005-0000-0000-0000692D0000}"/>
    <cellStyle name="_COM CapEx Procurement 2" xfId="11635" xr:uid="{00000000-0005-0000-0000-00006A2D0000}"/>
    <cellStyle name="_COM CapEx Procurement 2 2" xfId="11636" xr:uid="{00000000-0005-0000-0000-00006B2D0000}"/>
    <cellStyle name="_COM CapEx Procurement 3" xfId="11637" xr:uid="{00000000-0005-0000-0000-00006C2D0000}"/>
    <cellStyle name="_COM CapEx Procurement 3 2" xfId="11638" xr:uid="{00000000-0005-0000-0000-00006D2D0000}"/>
    <cellStyle name="_COM CapEx Procurement 3 3" xfId="11639" xr:uid="{00000000-0005-0000-0000-00006E2D0000}"/>
    <cellStyle name="_COM CapEx Procurement 3 3 2" xfId="11640" xr:uid="{00000000-0005-0000-0000-00006F2D0000}"/>
    <cellStyle name="_COM CapEx Procurement 4" xfId="11641" xr:uid="{00000000-0005-0000-0000-0000702D0000}"/>
    <cellStyle name="_COM CapEx Procurement 4 2" xfId="11642" xr:uid="{00000000-0005-0000-0000-0000712D0000}"/>
    <cellStyle name="_COM CapEx Procurement_010808 Market Programs  for Budget Deck" xfId="11643" xr:uid="{00000000-0005-0000-0000-0000722D0000}"/>
    <cellStyle name="_COM CapEx Procurement_010808 Market Programs  for Budget Deck 2" xfId="11644" xr:uid="{00000000-0005-0000-0000-0000732D0000}"/>
    <cellStyle name="_COM CapEx Procurement_010808 Market Programs  for Budget Deck 2 2" xfId="11645" xr:uid="{00000000-0005-0000-0000-0000742D0000}"/>
    <cellStyle name="_COM CapEx Procurement_010808 Market Programs  for Budget Deck 3" xfId="11646" xr:uid="{00000000-0005-0000-0000-0000752D0000}"/>
    <cellStyle name="_COM CapEx Procurement_010808 Market Programs  for Budget Deck_Financial Analysis Base" xfId="11647" xr:uid="{00000000-0005-0000-0000-0000762D0000}"/>
    <cellStyle name="_COM CapEx Procurement_010808 Market Programs  for Budget Deck_Parameters" xfId="11648" xr:uid="{00000000-0005-0000-0000-0000772D0000}"/>
    <cellStyle name="_COM CapEx Procurement_010808 Market Programs  for Budget Deck_Sm Proj Cash Flow" xfId="11649" xr:uid="{00000000-0005-0000-0000-0000782D0000}"/>
    <cellStyle name="_COM CapEx Procurement_010808 Market Programs  for Budget Deck_Spend Detail" xfId="11650" xr:uid="{00000000-0005-0000-0000-0000792D0000}"/>
    <cellStyle name="_COM CapEx Procurement_BGT 08 Templates Sales  Marketing - final (revised)" xfId="11651" xr:uid="{00000000-0005-0000-0000-00007A2D0000}"/>
    <cellStyle name="_COM CapEx Procurement_BGT 08 Templates Sales  Marketing - final (revised) 2" xfId="11652" xr:uid="{00000000-0005-0000-0000-00007B2D0000}"/>
    <cellStyle name="_COM CapEx Procurement_BGT 08 Templates Sales  Marketing - final (revised) 2 2" xfId="11653" xr:uid="{00000000-0005-0000-0000-00007C2D0000}"/>
    <cellStyle name="_COM CapEx Procurement_BGT 08 Templates Sales  Marketing - final (revised) 3" xfId="11654" xr:uid="{00000000-0005-0000-0000-00007D2D0000}"/>
    <cellStyle name="_COM CapEx Procurement_BGT 08 Templates Sales  Marketing - final (revised) 3 2" xfId="11655" xr:uid="{00000000-0005-0000-0000-00007E2D0000}"/>
    <cellStyle name="_COM CapEx Procurement_BGT 08 Templates Sales  Marketing - final (revised) 3 3" xfId="11656" xr:uid="{00000000-0005-0000-0000-00007F2D0000}"/>
    <cellStyle name="_COM CapEx Procurement_BGT 08 Templates Sales  Marketing - final (revised) 3 3 2" xfId="11657" xr:uid="{00000000-0005-0000-0000-0000802D0000}"/>
    <cellStyle name="_COM CapEx Procurement_BGT 08 Templates Sales  Marketing - final (revised) 4" xfId="11658" xr:uid="{00000000-0005-0000-0000-0000812D0000}"/>
    <cellStyle name="_COM CapEx Procurement_BGT 08 Templates Sales  Marketing - final (revised) 4 2" xfId="11659" xr:uid="{00000000-0005-0000-0000-0000822D0000}"/>
    <cellStyle name="_COM CapEx Procurement_BGT 08 Templates Sales  Marketing - final (revised)_Sheet1" xfId="11660" xr:uid="{00000000-0005-0000-0000-0000832D0000}"/>
    <cellStyle name="_COM CapEx Procurement_BGT 08 Templates Sales  Marketing - final (revised)_Sm Proj Cash Flow" xfId="11661" xr:uid="{00000000-0005-0000-0000-0000842D0000}"/>
    <cellStyle name="_COM CapEx Procurement_BGT 08 Templates Sales  Marketing - final (revised)_Spend Detail" xfId="11662" xr:uid="{00000000-0005-0000-0000-0000852D0000}"/>
    <cellStyle name="_COM CapEx Procurement_BGT 08 Templates Sales  Marketing - final (revised)_SustainingProjectList" xfId="11663" xr:uid="{00000000-0005-0000-0000-0000862D0000}"/>
    <cellStyle name="_COM CapEx Procurement_CAPEX Analysis WE v3 Thomas" xfId="11664" xr:uid="{00000000-0005-0000-0000-0000872D0000}"/>
    <cellStyle name="_COM CapEx Procurement_CAPEX Analysis WE v3 Thomas 2" xfId="11665" xr:uid="{00000000-0005-0000-0000-0000882D0000}"/>
    <cellStyle name="_COM CapEx Procurement_CAPEX Analysis WE v3 Thomas_Financial Analysis Base" xfId="11666" xr:uid="{00000000-0005-0000-0000-0000892D0000}"/>
    <cellStyle name="_COM CapEx Procurement_CAPEX Analysis WE v3 Thomas_Parameters" xfId="11667" xr:uid="{00000000-0005-0000-0000-00008A2D0000}"/>
    <cellStyle name="_COM CapEx Procurement_CAPEX Analysis WE v3 Thomas_Sm Proj Cash Flow" xfId="11668" xr:uid="{00000000-0005-0000-0000-00008B2D0000}"/>
    <cellStyle name="_COM CapEx Procurement_CAPEX Analysis WE v3 Thomas_Spend Detail" xfId="11669" xr:uid="{00000000-0005-0000-0000-00008C2D0000}"/>
    <cellStyle name="_COM CapEx Procurement_Challenge" xfId="11670" xr:uid="{00000000-0005-0000-0000-00008D2D0000}"/>
    <cellStyle name="_COM CapEx Procurement_Challenge 2" xfId="11671" xr:uid="{00000000-0005-0000-0000-00008E2D0000}"/>
    <cellStyle name="_COM CapEx Procurement_Challenge_Sheet1" xfId="11672" xr:uid="{00000000-0005-0000-0000-00008F2D0000}"/>
    <cellStyle name="_COM CapEx Procurement_Challenge_Sm Proj Cash Flow" xfId="11673" xr:uid="{00000000-0005-0000-0000-0000902D0000}"/>
    <cellStyle name="_COM CapEx Procurement_Challenge_Spend Detail" xfId="11674" xr:uid="{00000000-0005-0000-0000-0000912D0000}"/>
    <cellStyle name="_COM CapEx Procurement_Challenge_SustainingProjectList" xfId="11675" xr:uid="{00000000-0005-0000-0000-0000922D0000}"/>
    <cellStyle name="_COM CapEx Procurement_Copy of BGT 08 Templates Sales  Marketing - final (revised)" xfId="11676" xr:uid="{00000000-0005-0000-0000-0000932D0000}"/>
    <cellStyle name="_COM CapEx Procurement_Copy of BGT 08 Templates Sales  Marketing - final (revised) 2" xfId="11677" xr:uid="{00000000-0005-0000-0000-0000942D0000}"/>
    <cellStyle name="_COM CapEx Procurement_Copy of BGT 08 Templates Sales  Marketing - final (revised) 2 2" xfId="11678" xr:uid="{00000000-0005-0000-0000-0000952D0000}"/>
    <cellStyle name="_COM CapEx Procurement_Copy of BGT 08 Templates Sales  Marketing - final (revised) 3" xfId="11679" xr:uid="{00000000-0005-0000-0000-0000962D0000}"/>
    <cellStyle name="_COM CapEx Procurement_Copy of BGT 08 Templates Sales  Marketing - final (revised) 3 2" xfId="11680" xr:uid="{00000000-0005-0000-0000-0000972D0000}"/>
    <cellStyle name="_COM CapEx Procurement_Copy of BGT 08 Templates Sales  Marketing - final (revised) 3 3" xfId="11681" xr:uid="{00000000-0005-0000-0000-0000982D0000}"/>
    <cellStyle name="_COM CapEx Procurement_Copy of BGT 08 Templates Sales  Marketing - final (revised) 3 3 2" xfId="11682" xr:uid="{00000000-0005-0000-0000-0000992D0000}"/>
    <cellStyle name="_COM CapEx Procurement_Copy of BGT 08 Templates Sales  Marketing - final (revised) 4" xfId="11683" xr:uid="{00000000-0005-0000-0000-00009A2D0000}"/>
    <cellStyle name="_COM CapEx Procurement_Copy of BGT 08 Templates Sales  Marketing - final (revised) 4 2" xfId="11684" xr:uid="{00000000-0005-0000-0000-00009B2D0000}"/>
    <cellStyle name="_COM CapEx Procurement_Copy of BGT 08 Templates Sales  Marketing - final (revised)_Sheet1" xfId="11685" xr:uid="{00000000-0005-0000-0000-00009C2D0000}"/>
    <cellStyle name="_COM CapEx Procurement_Copy of BGT 08 Templates Sales  Marketing - final (revised)_Sm Proj Cash Flow" xfId="11686" xr:uid="{00000000-0005-0000-0000-00009D2D0000}"/>
    <cellStyle name="_COM CapEx Procurement_Copy of BGT 08 Templates Sales  Marketing - final (revised)_Spend Detail" xfId="11687" xr:uid="{00000000-0005-0000-0000-00009E2D0000}"/>
    <cellStyle name="_COM CapEx Procurement_Copy of BGT 08 Templates Sales  Marketing - final (revised)_SustainingProjectList" xfId="11688" xr:uid="{00000000-0005-0000-0000-00009F2D0000}"/>
    <cellStyle name="_COM CapEx Procurement_Excel sheets to support Market Program Template for Budget 09" xfId="11689" xr:uid="{00000000-0005-0000-0000-0000A02D0000}"/>
    <cellStyle name="_COM CapEx Procurement_Excel sheets to support Market Program Template for Budget 09 (5) (2)" xfId="11690" xr:uid="{00000000-0005-0000-0000-0000A12D0000}"/>
    <cellStyle name="_COM CapEx Procurement_Excel sheets to support Market Program Template for Budget 09 (5) (2) 2" xfId="11691" xr:uid="{00000000-0005-0000-0000-0000A22D0000}"/>
    <cellStyle name="_COM CapEx Procurement_Excel sheets to support Market Program Template for Budget 09 (5) (2) 2 2" xfId="11692" xr:uid="{00000000-0005-0000-0000-0000A32D0000}"/>
    <cellStyle name="_COM CapEx Procurement_Excel sheets to support Market Program Template for Budget 09 (5) (2) 3" xfId="11693" xr:uid="{00000000-0005-0000-0000-0000A42D0000}"/>
    <cellStyle name="_COM CapEx Procurement_Excel sheets to support Market Program Template for Budget 09 (5) (2)_Financial Analysis Base" xfId="11694" xr:uid="{00000000-0005-0000-0000-0000A52D0000}"/>
    <cellStyle name="_COM CapEx Procurement_Excel sheets to support Market Program Template for Budget 09 (5) (2)_Parameters" xfId="11695" xr:uid="{00000000-0005-0000-0000-0000A62D0000}"/>
    <cellStyle name="_COM CapEx Procurement_Excel sheets to support Market Program Template for Budget 09 (5) (2)_Sm Proj Cash Flow" xfId="11696" xr:uid="{00000000-0005-0000-0000-0000A72D0000}"/>
    <cellStyle name="_COM CapEx Procurement_Excel sheets to support Market Program Template for Budget 09 (5) (2)_Spend Detail" xfId="11697" xr:uid="{00000000-0005-0000-0000-0000A82D0000}"/>
    <cellStyle name="_COM CapEx Procurement_Excel sheets to support Market Program Template for Budget 09 (5) (3)" xfId="11698" xr:uid="{00000000-0005-0000-0000-0000A92D0000}"/>
    <cellStyle name="_COM CapEx Procurement_Excel sheets to support Market Program Template for Budget 09 (5) (3) 2" xfId="11699" xr:uid="{00000000-0005-0000-0000-0000AA2D0000}"/>
    <cellStyle name="_COM CapEx Procurement_Excel sheets to support Market Program Template for Budget 09 (5) (3) 2 2" xfId="11700" xr:uid="{00000000-0005-0000-0000-0000AB2D0000}"/>
    <cellStyle name="_COM CapEx Procurement_Excel sheets to support Market Program Template for Budget 09 (5) (3) 3" xfId="11701" xr:uid="{00000000-0005-0000-0000-0000AC2D0000}"/>
    <cellStyle name="_COM CapEx Procurement_Excel sheets to support Market Program Template for Budget 09 (5) (3)_Financial Analysis Base" xfId="11702" xr:uid="{00000000-0005-0000-0000-0000AD2D0000}"/>
    <cellStyle name="_COM CapEx Procurement_Excel sheets to support Market Program Template for Budget 09 (5) (3)_Parameters" xfId="11703" xr:uid="{00000000-0005-0000-0000-0000AE2D0000}"/>
    <cellStyle name="_COM CapEx Procurement_Excel sheets to support Market Program Template for Budget 09 (5) (3)_Sm Proj Cash Flow" xfId="11704" xr:uid="{00000000-0005-0000-0000-0000AF2D0000}"/>
    <cellStyle name="_COM CapEx Procurement_Excel sheets to support Market Program Template for Budget 09 (5) (3)_Spend Detail" xfId="11705" xr:uid="{00000000-0005-0000-0000-0000B02D0000}"/>
    <cellStyle name="_COM CapEx Procurement_Excel sheets to support Market Program Template for Budget 09 10" xfId="11706" xr:uid="{00000000-0005-0000-0000-0000B12D0000}"/>
    <cellStyle name="_COM CapEx Procurement_Excel sheets to support Market Program Template for Budget 09 11" xfId="11707" xr:uid="{00000000-0005-0000-0000-0000B22D0000}"/>
    <cellStyle name="_COM CapEx Procurement_Excel sheets to support Market Program Template for Budget 09 11 2" xfId="11708" xr:uid="{00000000-0005-0000-0000-0000B32D0000}"/>
    <cellStyle name="_COM CapEx Procurement_Excel sheets to support Market Program Template for Budget 09 12" xfId="11709" xr:uid="{00000000-0005-0000-0000-0000B42D0000}"/>
    <cellStyle name="_COM CapEx Procurement_Excel sheets to support Market Program Template for Budget 09 12 2" xfId="11710" xr:uid="{00000000-0005-0000-0000-0000B52D0000}"/>
    <cellStyle name="_COM CapEx Procurement_Excel sheets to support Market Program Template for Budget 09 13" xfId="11711" xr:uid="{00000000-0005-0000-0000-0000B62D0000}"/>
    <cellStyle name="_COM CapEx Procurement_Excel sheets to support Market Program Template for Budget 09 13 2" xfId="11712" xr:uid="{00000000-0005-0000-0000-0000B72D0000}"/>
    <cellStyle name="_COM CapEx Procurement_Excel sheets to support Market Program Template for Budget 09 14" xfId="11713" xr:uid="{00000000-0005-0000-0000-0000B82D0000}"/>
    <cellStyle name="_COM CapEx Procurement_Excel sheets to support Market Program Template for Budget 09 14 2" xfId="11714" xr:uid="{00000000-0005-0000-0000-0000B92D0000}"/>
    <cellStyle name="_COM CapEx Procurement_Excel sheets to support Market Program Template for Budget 09 2" xfId="11715" xr:uid="{00000000-0005-0000-0000-0000BA2D0000}"/>
    <cellStyle name="_COM CapEx Procurement_Excel sheets to support Market Program Template for Budget 09 2 2" xfId="11716" xr:uid="{00000000-0005-0000-0000-0000BB2D0000}"/>
    <cellStyle name="_COM CapEx Procurement_Excel sheets to support Market Program Template for Budget 09 3" xfId="11717" xr:uid="{00000000-0005-0000-0000-0000BC2D0000}"/>
    <cellStyle name="_COM CapEx Procurement_Excel sheets to support Market Program Template for Budget 09 3 2" xfId="11718" xr:uid="{00000000-0005-0000-0000-0000BD2D0000}"/>
    <cellStyle name="_COM CapEx Procurement_Excel sheets to support Market Program Template for Budget 09 4" xfId="11719" xr:uid="{00000000-0005-0000-0000-0000BE2D0000}"/>
    <cellStyle name="_COM CapEx Procurement_Excel sheets to support Market Program Template for Budget 09 5" xfId="11720" xr:uid="{00000000-0005-0000-0000-0000BF2D0000}"/>
    <cellStyle name="_COM CapEx Procurement_Excel sheets to support Market Program Template for Budget 09 5 2" xfId="11721" xr:uid="{00000000-0005-0000-0000-0000C02D0000}"/>
    <cellStyle name="_COM CapEx Procurement_Excel sheets to support Market Program Template for Budget 09 5 3" xfId="11722" xr:uid="{00000000-0005-0000-0000-0000C12D0000}"/>
    <cellStyle name="_COM CapEx Procurement_Excel sheets to support Market Program Template for Budget 09 5 3 2" xfId="11723" xr:uid="{00000000-0005-0000-0000-0000C22D0000}"/>
    <cellStyle name="_COM CapEx Procurement_Excel sheets to support Market Program Template for Budget 09 6" xfId="11724" xr:uid="{00000000-0005-0000-0000-0000C32D0000}"/>
    <cellStyle name="_COM CapEx Procurement_Excel sheets to support Market Program Template for Budget 09 6 2" xfId="11725" xr:uid="{00000000-0005-0000-0000-0000C42D0000}"/>
    <cellStyle name="_COM CapEx Procurement_Excel sheets to support Market Program Template for Budget 09 6 3" xfId="11726" xr:uid="{00000000-0005-0000-0000-0000C52D0000}"/>
    <cellStyle name="_COM CapEx Procurement_Excel sheets to support Market Program Template for Budget 09 6 3 2" xfId="11727" xr:uid="{00000000-0005-0000-0000-0000C62D0000}"/>
    <cellStyle name="_COM CapEx Procurement_Excel sheets to support Market Program Template for Budget 09 7" xfId="11728" xr:uid="{00000000-0005-0000-0000-0000C72D0000}"/>
    <cellStyle name="_COM CapEx Procurement_Excel sheets to support Market Program Template for Budget 09 8" xfId="11729" xr:uid="{00000000-0005-0000-0000-0000C82D0000}"/>
    <cellStyle name="_COM CapEx Procurement_Excel sheets to support Market Program Template for Budget 09 9" xfId="11730" xr:uid="{00000000-0005-0000-0000-0000C92D0000}"/>
    <cellStyle name="_COM CapEx Procurement_Excel sheets to support Market Program Template for Budget 09_Sheet1" xfId="11731" xr:uid="{00000000-0005-0000-0000-0000CA2D0000}"/>
    <cellStyle name="_COM CapEx Procurement_Excel sheets to support Market Program Template for Budget 09_Sm Proj Cash Flow" xfId="11732" xr:uid="{00000000-0005-0000-0000-0000CB2D0000}"/>
    <cellStyle name="_COM CapEx Procurement_Excel sheets to support Market Program Template for Budget 09_Spend Detail" xfId="11733" xr:uid="{00000000-0005-0000-0000-0000CC2D0000}"/>
    <cellStyle name="_COM CapEx Procurement_Excel sheets to support Market Program Template for Budget 09_SustainingProjectList" xfId="11734" xr:uid="{00000000-0005-0000-0000-0000CD2D0000}"/>
    <cellStyle name="_COM CapEx Procurement_Financial Analysis Base" xfId="11735" xr:uid="{00000000-0005-0000-0000-0000CE2D0000}"/>
    <cellStyle name="_COM CapEx Procurement_Parameters" xfId="11736" xr:uid="{00000000-0005-0000-0000-0000CF2D0000}"/>
    <cellStyle name="_COM CapEx Procurement_Sm Proj Cash Flow" xfId="11737" xr:uid="{00000000-0005-0000-0000-0000D02D0000}"/>
    <cellStyle name="_COM CapEx Procurement_Spend Detail" xfId="11738" xr:uid="{00000000-0005-0000-0000-0000D12D0000}"/>
    <cellStyle name="_Comm &amp; Fees" xfId="11739" xr:uid="{00000000-0005-0000-0000-0000D22D0000}"/>
    <cellStyle name="_Comm &amp; Fees (2)" xfId="11740" xr:uid="{00000000-0005-0000-0000-0000D32D0000}"/>
    <cellStyle name="_Comm &amp; Fees (3)" xfId="11741" xr:uid="{00000000-0005-0000-0000-0000D42D0000}"/>
    <cellStyle name="_Comm &amp; Fees (3)_1" xfId="11742" xr:uid="{00000000-0005-0000-0000-0000D52D0000}"/>
    <cellStyle name="_Comm &amp; Fees (4)" xfId="11743" xr:uid="{00000000-0005-0000-0000-0000D62D0000}"/>
    <cellStyle name="_Comm &amp; Fees (4)_1" xfId="11744" xr:uid="{00000000-0005-0000-0000-0000D72D0000}"/>
    <cellStyle name="_Comm &amp; Fees (5)" xfId="11745" xr:uid="{00000000-0005-0000-0000-0000D82D0000}"/>
    <cellStyle name="_Comm &amp; Fees (6)" xfId="11746" xr:uid="{00000000-0005-0000-0000-0000D92D0000}"/>
    <cellStyle name="_Comm &amp; Fees_Argentina Oracle" xfId="11747" xr:uid="{00000000-0005-0000-0000-0000DA2D0000}"/>
    <cellStyle name="_Comm &amp; Fees_Aust Oracle" xfId="11748" xr:uid="{00000000-0005-0000-0000-0000DB2D0000}"/>
    <cellStyle name="_Comm &amp; Fees_AXPi P&amp;L" xfId="11749" xr:uid="{00000000-0005-0000-0000-0000DC2D0000}"/>
    <cellStyle name="_Comm &amp; Fees_Canada (3)" xfId="11750" xr:uid="{00000000-0005-0000-0000-0000DD2D0000}"/>
    <cellStyle name="_Comm &amp; Fees_Canada Oracle" xfId="11751" xr:uid="{00000000-0005-0000-0000-0000DE2D0000}"/>
    <cellStyle name="_Comm &amp; Fees_Comm &amp; Fees (2)" xfId="11752" xr:uid="{00000000-0005-0000-0000-0000DF2D0000}"/>
    <cellStyle name="_Comm &amp; Fees_Comm &amp; Fees (3)" xfId="11753" xr:uid="{00000000-0005-0000-0000-0000E02D0000}"/>
    <cellStyle name="_Comm &amp; Fees_Comm &amp; Fees (3)_1" xfId="11754" xr:uid="{00000000-0005-0000-0000-0000E12D0000}"/>
    <cellStyle name="_Comm &amp; Fees_Comm &amp; Fees (4)" xfId="11755" xr:uid="{00000000-0005-0000-0000-0000E22D0000}"/>
    <cellStyle name="_Comm &amp; Fees_Comm &amp; Fees (4)_1" xfId="11756" xr:uid="{00000000-0005-0000-0000-0000E32D0000}"/>
    <cellStyle name="_Comm &amp; Fees_Comm &amp; Fees (5)" xfId="11757" xr:uid="{00000000-0005-0000-0000-0000E42D0000}"/>
    <cellStyle name="_Comm &amp; Fees_Comm &amp; Fees (6)" xfId="11758" xr:uid="{00000000-0005-0000-0000-0000E52D0000}"/>
    <cellStyle name="_Comm &amp; Fees_CY (5)" xfId="11759" xr:uid="{00000000-0005-0000-0000-0000E62D0000}"/>
    <cellStyle name="_Comm &amp; Fees_Discount Rev" xfId="11760" xr:uid="{00000000-0005-0000-0000-0000E72D0000}"/>
    <cellStyle name="_Comm &amp; Fees_Discount Rev (3)" xfId="11761" xr:uid="{00000000-0005-0000-0000-0000E82D0000}"/>
    <cellStyle name="_Comm &amp; Fees_ICPM" xfId="11762" xr:uid="{00000000-0005-0000-0000-0000E92D0000}"/>
    <cellStyle name="_Comm &amp; Fees_ICS Oracle" xfId="11763" xr:uid="{00000000-0005-0000-0000-0000EA2D0000}"/>
    <cellStyle name="_Comm &amp; Fees_Italy Oracle" xfId="11764" xr:uid="{00000000-0005-0000-0000-0000EB2D0000}"/>
    <cellStyle name="_Comm &amp; Fees_Japan Oracle" xfId="11765" xr:uid="{00000000-0005-0000-0000-0000EC2D0000}"/>
    <cellStyle name="_Comm &amp; Fees_Mexico Oracle" xfId="11766" xr:uid="{00000000-0005-0000-0000-0000ED2D0000}"/>
    <cellStyle name="_Comm &amp; Fees_Net Card Fees" xfId="11767" xr:uid="{00000000-0005-0000-0000-0000EE2D0000}"/>
    <cellStyle name="_Comm &amp; Fees_NZ Oracle" xfId="11768" xr:uid="{00000000-0005-0000-0000-0000EF2D0000}"/>
    <cellStyle name="_Comm &amp; Fees_Other" xfId="11769" xr:uid="{00000000-0005-0000-0000-0000F02D0000}"/>
    <cellStyle name="_Comm &amp; Fees_Other 3" xfId="11770" xr:uid="{00000000-0005-0000-0000-0000F12D0000}"/>
    <cellStyle name="_Comm &amp; Fees_Sheet1" xfId="11771" xr:uid="{00000000-0005-0000-0000-0000F22D0000}"/>
    <cellStyle name="_Comm &amp; Fees_Sheet1 (2)" xfId="11772" xr:uid="{00000000-0005-0000-0000-0000F32D0000}"/>
    <cellStyle name="_Comm &amp; Fees_SMR vs Seg" xfId="11773" xr:uid="{00000000-0005-0000-0000-0000F42D0000}"/>
    <cellStyle name="_Comm &amp; Fees_SMR vs Seg (2)" xfId="11774" xr:uid="{00000000-0005-0000-0000-0000F52D0000}"/>
    <cellStyle name="_Comm &amp; Fees_SMR vs Seg (3)" xfId="11775" xr:uid="{00000000-0005-0000-0000-0000F62D0000}"/>
    <cellStyle name="_Comm Cost" xfId="11776" xr:uid="{00000000-0005-0000-0000-0000F72D0000}"/>
    <cellStyle name="_Comma" xfId="11777" xr:uid="{00000000-0005-0000-0000-0000F82D0000}"/>
    <cellStyle name="_Commercial" xfId="11778" xr:uid="{00000000-0005-0000-0000-0000F92D0000}"/>
    <cellStyle name="_Commercial Innovation 2008" xfId="11779" xr:uid="{00000000-0005-0000-0000-0000FA2D0000}"/>
    <cellStyle name="_Commercial Innovation 2008 2" xfId="11780" xr:uid="{00000000-0005-0000-0000-0000FB2D0000}"/>
    <cellStyle name="_Commercial Innovation 2008 3" xfId="11781" xr:uid="{00000000-0005-0000-0000-0000FC2D0000}"/>
    <cellStyle name="_Commercial Innovation 2008 3 2" xfId="11782" xr:uid="{00000000-0005-0000-0000-0000FD2D0000}"/>
    <cellStyle name="_Commercial Innovation 2008 3 3" xfId="11783" xr:uid="{00000000-0005-0000-0000-0000FE2D0000}"/>
    <cellStyle name="_Commercial Innovation 2008 3 3 2" xfId="11784" xr:uid="{00000000-0005-0000-0000-0000FF2D0000}"/>
    <cellStyle name="_Commercial Innovation 2008 4" xfId="11785" xr:uid="{00000000-0005-0000-0000-0000002E0000}"/>
    <cellStyle name="_Commercial Innovation 2008 4 2" xfId="11786" xr:uid="{00000000-0005-0000-0000-0000012E0000}"/>
    <cellStyle name="_Commercial split" xfId="11787" xr:uid="{00000000-0005-0000-0000-0000022E0000}"/>
    <cellStyle name="_Commercial_Financial Analysis Base" xfId="11788" xr:uid="{00000000-0005-0000-0000-0000032E0000}"/>
    <cellStyle name="_Commercial_Parameters" xfId="11789" xr:uid="{00000000-0005-0000-0000-0000042E0000}"/>
    <cellStyle name="_Commercial_Sm Proj Cash Flow" xfId="11790" xr:uid="{00000000-0005-0000-0000-0000052E0000}"/>
    <cellStyle name="_Commercial_Spend Detail" xfId="11791" xr:uid="{00000000-0005-0000-0000-0000062E0000}"/>
    <cellStyle name="_Conciliacao 1" xfId="11792" xr:uid="{00000000-0005-0000-0000-0000072E0000}"/>
    <cellStyle name="_Conciliacao 1 2" xfId="11793" xr:uid="{00000000-0005-0000-0000-0000082E0000}"/>
    <cellStyle name="_Conciliacao 1 2 2" xfId="11794" xr:uid="{00000000-0005-0000-0000-0000092E0000}"/>
    <cellStyle name="_Conciliacao 1 3" xfId="11795" xr:uid="{00000000-0005-0000-0000-00000A2E0000}"/>
    <cellStyle name="_Consol ZBB 26-6 salida Jelle (2)" xfId="11796" xr:uid="{00000000-0005-0000-0000-00000B2E0000}"/>
    <cellStyle name="_Consol ZBB 26-6 salida Jelle (2) 2" xfId="11797" xr:uid="{00000000-0005-0000-0000-00000C2E0000}"/>
    <cellStyle name="_Consol ZBB 26-6 salida Jelle (2) 2 2" xfId="11798" xr:uid="{00000000-0005-0000-0000-00000D2E0000}"/>
    <cellStyle name="_Consol ZBB 26-6 salida Jelle (2) 3" xfId="11799" xr:uid="{00000000-0005-0000-0000-00000E2E0000}"/>
    <cellStyle name="_Consol ZBB 26-6 salida Jelle (2)_Financial Analysis Base" xfId="11800" xr:uid="{00000000-0005-0000-0000-00000F2E0000}"/>
    <cellStyle name="_Consol ZBB 26-6 salida Jelle (2)_Parameters" xfId="11801" xr:uid="{00000000-0005-0000-0000-0000102E0000}"/>
    <cellStyle name="_Consol ZBB 26-6 salida Jelle (2)_Sm Proj Cash Flow" xfId="11802" xr:uid="{00000000-0005-0000-0000-0000112E0000}"/>
    <cellStyle name="_Consol ZBB 26-6 salida Jelle (2)_Spend Detail" xfId="11803" xr:uid="{00000000-0005-0000-0000-0000122E0000}"/>
    <cellStyle name="_Consol ZBB 26-6 salida Jelle (2)_ZBB Budget 2009 Decks v2 china" xfId="11804" xr:uid="{00000000-0005-0000-0000-0000132E0000}"/>
    <cellStyle name="_Consol ZBB 26-6 salida Jelle (2)_ZBB Budget 2009 Decks v2 china 2" xfId="11805" xr:uid="{00000000-0005-0000-0000-0000142E0000}"/>
    <cellStyle name="_Consol ZBB 26-6 salida Jelle (2)_ZBB Budget 2009 Decks v2 china 2 2" xfId="11806" xr:uid="{00000000-0005-0000-0000-0000152E0000}"/>
    <cellStyle name="_Consol ZBB 26-6 salida Jelle (2)_ZBB Budget 2009 Decks v2 china 2 2 2" xfId="11807" xr:uid="{00000000-0005-0000-0000-0000162E0000}"/>
    <cellStyle name="_Consol ZBB 26-6 salida Jelle (2)_ZBB Budget 2009 Decks v2 china 2 3" xfId="11808" xr:uid="{00000000-0005-0000-0000-0000172E0000}"/>
    <cellStyle name="_Consol ZBB 26-6 salida Jelle (2)_ZBB Budget 2009 Decks v2 china 3" xfId="11809" xr:uid="{00000000-0005-0000-0000-0000182E0000}"/>
    <cellStyle name="_Consol ZBB 26-6 salida Jelle (2)_ZBB Budget 2009 Decks v2 china 3 2" xfId="11810" xr:uid="{00000000-0005-0000-0000-0000192E0000}"/>
    <cellStyle name="_Consol ZBB 26-6 salida Jelle (2)_ZBB Budget 2009 Decks v2 china 4" xfId="11811" xr:uid="{00000000-0005-0000-0000-00001A2E0000}"/>
    <cellStyle name="_Consol ZBB 26-6 salida Jelle (2)_ZBB standard Template Korea_081105" xfId="11812" xr:uid="{00000000-0005-0000-0000-00001B2E0000}"/>
    <cellStyle name="_Consol ZBB 26-6 salida Jelle (2)_ZBB standard Template Korea_081105 2" xfId="11813" xr:uid="{00000000-0005-0000-0000-00001C2E0000}"/>
    <cellStyle name="_Consol ZBB 26-6 salida Jelle (2)_ZBB standard Template Korea_081105 2 2" xfId="11814" xr:uid="{00000000-0005-0000-0000-00001D2E0000}"/>
    <cellStyle name="_Consol ZBB 26-6 salida Jelle (2)_ZBB standard Template Korea_081105 2 2 2" xfId="11815" xr:uid="{00000000-0005-0000-0000-00001E2E0000}"/>
    <cellStyle name="_Consol ZBB 26-6 salida Jelle (2)_ZBB standard Template Korea_081105 2 3" xfId="11816" xr:uid="{00000000-0005-0000-0000-00001F2E0000}"/>
    <cellStyle name="_Consol ZBB 26-6 salida Jelle (2)_ZBB standard Template Korea_081105 3" xfId="11817" xr:uid="{00000000-0005-0000-0000-0000202E0000}"/>
    <cellStyle name="_Consol ZBB 26-6 salida Jelle (2)_ZBB standard Template Korea_081105 3 2" xfId="11818" xr:uid="{00000000-0005-0000-0000-0000212E0000}"/>
    <cellStyle name="_Consol ZBB 26-6 salida Jelle (2)_ZBB standard Template Korea_081105 4" xfId="11819" xr:uid="{00000000-0005-0000-0000-0000222E0000}"/>
    <cellStyle name="_Consolidated 2007 4+8+12F CSI Forecast Package - 16.07.07" xfId="11820" xr:uid="{00000000-0005-0000-0000-0000232E0000}"/>
    <cellStyle name="_Consolidated CF TEMPLATE Cs feedback" xfId="11821" xr:uid="{00000000-0005-0000-0000-0000242E0000}"/>
    <cellStyle name="_Consolidated CF TEMPLATE Cs feedback 2" xfId="11822" xr:uid="{00000000-0005-0000-0000-0000252E0000}"/>
    <cellStyle name="_Consolidated CF TEMPLATE Cs feedback 2 2" xfId="11823" xr:uid="{00000000-0005-0000-0000-0000262E0000}"/>
    <cellStyle name="_Consolidated CF TEMPLATE Cs feedback 3" xfId="11824" xr:uid="{00000000-0005-0000-0000-0000272E0000}"/>
    <cellStyle name="_Consumer" xfId="11825" xr:uid="{00000000-0005-0000-0000-0000282E0000}"/>
    <cellStyle name="_Consumer (prod)" xfId="11826" xr:uid="{00000000-0005-0000-0000-0000292E0000}"/>
    <cellStyle name="_Consumer (ret)" xfId="11827" xr:uid="{00000000-0005-0000-0000-00002A2E0000}"/>
    <cellStyle name="_Consumer 10" xfId="11828" xr:uid="{00000000-0005-0000-0000-00002B2E0000}"/>
    <cellStyle name="_Consumer 2" xfId="11829" xr:uid="{00000000-0005-0000-0000-00002C2E0000}"/>
    <cellStyle name="_Consumer 3" xfId="11830" xr:uid="{00000000-0005-0000-0000-00002D2E0000}"/>
    <cellStyle name="_Consumer 4" xfId="11831" xr:uid="{00000000-0005-0000-0000-00002E2E0000}"/>
    <cellStyle name="_Consumer 5" xfId="11832" xr:uid="{00000000-0005-0000-0000-00002F2E0000}"/>
    <cellStyle name="_Consumer 6" xfId="11833" xr:uid="{00000000-0005-0000-0000-0000302E0000}"/>
    <cellStyle name="_Consumer 7" xfId="11834" xr:uid="{00000000-0005-0000-0000-0000312E0000}"/>
    <cellStyle name="_Consumer 8" xfId="11835" xr:uid="{00000000-0005-0000-0000-0000322E0000}"/>
    <cellStyle name="_Consumer 9" xfId="11836" xr:uid="{00000000-0005-0000-0000-0000332E0000}"/>
    <cellStyle name="_Coolers" xfId="11837" xr:uid="{00000000-0005-0000-0000-0000342E0000}"/>
    <cellStyle name="_Coolers 2" xfId="11838" xr:uid="{00000000-0005-0000-0000-0000352E0000}"/>
    <cellStyle name="_Coolers YTD USD" xfId="11839" xr:uid="{00000000-0005-0000-0000-0000362E0000}"/>
    <cellStyle name="_Coolers YTD USD 2" xfId="11840" xr:uid="{00000000-0005-0000-0000-0000372E0000}"/>
    <cellStyle name="_Copia de Eficiencia Manual" xfId="11841" xr:uid="{00000000-0005-0000-0000-0000382E0000}"/>
    <cellStyle name="_Copia de Eficiencia Manual (Valor)" xfId="11842" xr:uid="{00000000-0005-0000-0000-0000392E0000}"/>
    <cellStyle name="_Copia de Eficiencia Manual (Valor) 2" xfId="11843" xr:uid="{00000000-0005-0000-0000-00003A2E0000}"/>
    <cellStyle name="_Copia de Eficiencia Manual (Valor) 2 2" xfId="11844" xr:uid="{00000000-0005-0000-0000-00003B2E0000}"/>
    <cellStyle name="_Copia de Eficiencia Manual (Valor) 3" xfId="11845" xr:uid="{00000000-0005-0000-0000-00003C2E0000}"/>
    <cellStyle name="_Copia de Eficiencia Manual 2" xfId="11846" xr:uid="{00000000-0005-0000-0000-00003D2E0000}"/>
    <cellStyle name="_Copia de Eficiencia Manual 2 2" xfId="11847" xr:uid="{00000000-0005-0000-0000-00003E2E0000}"/>
    <cellStyle name="_Copia de Eficiencia Manual 3" xfId="11848" xr:uid="{00000000-0005-0000-0000-00003F2E0000}"/>
    <cellStyle name="_Copia de Eficiencia Manual 3 2" xfId="11849" xr:uid="{00000000-0005-0000-0000-0000402E0000}"/>
    <cellStyle name="_Copia de Eficiencia Manual 4" xfId="11850" xr:uid="{00000000-0005-0000-0000-0000412E0000}"/>
    <cellStyle name="_Copia de Eficiencia Manual 5" xfId="11851" xr:uid="{00000000-0005-0000-0000-0000422E0000}"/>
    <cellStyle name="_Copia de Listado CAPEX" xfId="11852" xr:uid="{00000000-0005-0000-0000-0000432E0000}"/>
    <cellStyle name="_Copia de Listado CAPEX 2" xfId="11853" xr:uid="{00000000-0005-0000-0000-0000442E0000}"/>
    <cellStyle name="_Copia de Listado CAPEX 2 2" xfId="11854" xr:uid="{00000000-0005-0000-0000-0000452E0000}"/>
    <cellStyle name="_Copia de Listado CAPEX 3" xfId="11855" xr:uid="{00000000-0005-0000-0000-0000462E0000}"/>
    <cellStyle name="_Copy of 2006 2+10F GCC NI Targets_revised 3_28" xfId="11856" xr:uid="{00000000-0005-0000-0000-0000472E0000}"/>
    <cellStyle name="_Copy of 2006 2+10F GCC NI Targets_revised 3_28 Final" xfId="11857" xr:uid="{00000000-0005-0000-0000-0000482E0000}"/>
    <cellStyle name="_Copy of 2006 5+7F GCC NI Targets_revised 7_11" xfId="11858" xr:uid="{00000000-0005-0000-0000-0000492E0000}"/>
    <cellStyle name="_Copy of 3YPlan Zone One-Page_LAN" xfId="11859" xr:uid="{00000000-0005-0000-0000-00004A2E0000}"/>
    <cellStyle name="_Copy of 3YPlan Zone One-Page_LAN 2" xfId="11860" xr:uid="{00000000-0005-0000-0000-00004B2E0000}"/>
    <cellStyle name="_Copy of 3YPlan Zone One-Page_LAN 2 2" xfId="11861" xr:uid="{00000000-0005-0000-0000-00004C2E0000}"/>
    <cellStyle name="_Copy of 3YPlan Zone One-Page_LAN 3" xfId="11862" xr:uid="{00000000-0005-0000-0000-00004D2E0000}"/>
    <cellStyle name="_Copy of 3YPlan Zone One-Page_LAN_Financial Analysis Base" xfId="11863" xr:uid="{00000000-0005-0000-0000-00004E2E0000}"/>
    <cellStyle name="_Copy of 3YPlan Zone One-Page_LAN_Parameters" xfId="11864" xr:uid="{00000000-0005-0000-0000-00004F2E0000}"/>
    <cellStyle name="_Copy of 3YPlan Zone One-Page_LAN_Sm Proj Cash Flow" xfId="11865" xr:uid="{00000000-0005-0000-0000-0000502E0000}"/>
    <cellStyle name="_Copy of 3YPlan Zone One-Page_LAN_Spend Detail" xfId="11866" xr:uid="{00000000-0005-0000-0000-0000512E0000}"/>
    <cellStyle name="_Copy of 3YPlan Zone One-Page_LAN_ZBB Budget 2009 Decks v2 china" xfId="11867" xr:uid="{00000000-0005-0000-0000-0000522E0000}"/>
    <cellStyle name="_Copy of 3YPlan Zone One-Page_LAN_ZBB Budget 2009 Decks v2 china 2" xfId="11868" xr:uid="{00000000-0005-0000-0000-0000532E0000}"/>
    <cellStyle name="_Copy of 3YPlan Zone One-Page_LAN_ZBB Budget 2009 Decks v2 china 2 2" xfId="11869" xr:uid="{00000000-0005-0000-0000-0000542E0000}"/>
    <cellStyle name="_Copy of 3YPlan Zone One-Page_LAN_ZBB Budget 2009 Decks v2 china 2 2 2" xfId="11870" xr:uid="{00000000-0005-0000-0000-0000552E0000}"/>
    <cellStyle name="_Copy of 3YPlan Zone One-Page_LAN_ZBB Budget 2009 Decks v2 china 2 3" xfId="11871" xr:uid="{00000000-0005-0000-0000-0000562E0000}"/>
    <cellStyle name="_Copy of 3YPlan Zone One-Page_LAN_ZBB Budget 2009 Decks v2 china 3" xfId="11872" xr:uid="{00000000-0005-0000-0000-0000572E0000}"/>
    <cellStyle name="_Copy of 3YPlan Zone One-Page_LAN_ZBB Budget 2009 Decks v2 china 3 2" xfId="11873" xr:uid="{00000000-0005-0000-0000-0000582E0000}"/>
    <cellStyle name="_Copy of 3YPlan Zone One-Page_LAN_ZBB Budget 2009 Decks v2 china 4" xfId="11874" xr:uid="{00000000-0005-0000-0000-0000592E0000}"/>
    <cellStyle name="_Copy of 3YPlan Zone One-Page_LAN_ZBB standard Template Korea_081105" xfId="11875" xr:uid="{00000000-0005-0000-0000-00005A2E0000}"/>
    <cellStyle name="_Copy of 3YPlan Zone One-Page_LAN_ZBB standard Template Korea_081105 2" xfId="11876" xr:uid="{00000000-0005-0000-0000-00005B2E0000}"/>
    <cellStyle name="_Copy of 3YPlan Zone One-Page_LAN_ZBB standard Template Korea_081105 2 2" xfId="11877" xr:uid="{00000000-0005-0000-0000-00005C2E0000}"/>
    <cellStyle name="_Copy of 3YPlan Zone One-Page_LAN_ZBB standard Template Korea_081105 2 2 2" xfId="11878" xr:uid="{00000000-0005-0000-0000-00005D2E0000}"/>
    <cellStyle name="_Copy of 3YPlan Zone One-Page_LAN_ZBB standard Template Korea_081105 2 3" xfId="11879" xr:uid="{00000000-0005-0000-0000-00005E2E0000}"/>
    <cellStyle name="_Copy of 3YPlan Zone One-Page_LAN_ZBB standard Template Korea_081105 3" xfId="11880" xr:uid="{00000000-0005-0000-0000-00005F2E0000}"/>
    <cellStyle name="_Copy of 3YPlan Zone One-Page_LAN_ZBB standard Template Korea_081105 3 2" xfId="11881" xr:uid="{00000000-0005-0000-0000-0000602E0000}"/>
    <cellStyle name="_Copy of 3YPlan Zone One-Page_LAN_ZBB standard Template Korea_081105 4" xfId="11882" xr:uid="{00000000-0005-0000-0000-0000612E0000}"/>
    <cellStyle name="_Copy of RO Transport (2)" xfId="11883" xr:uid="{00000000-0005-0000-0000-0000622E0000}"/>
    <cellStyle name="_Copy of RO Transport (2) 2" xfId="11884" xr:uid="{00000000-0005-0000-0000-0000632E0000}"/>
    <cellStyle name="_Copy of RO Transport (2)_Accident frequency" xfId="11885" xr:uid="{00000000-0005-0000-0000-0000642E0000}"/>
    <cellStyle name="_Copy of RO Transport (2)_Accident frequency 2" xfId="11886" xr:uid="{00000000-0005-0000-0000-0000652E0000}"/>
    <cellStyle name="_Copy of RO Transport (2)_Accident frequency_Financial Analysis Base" xfId="11887" xr:uid="{00000000-0005-0000-0000-0000662E0000}"/>
    <cellStyle name="_Copy of RO Transport (2)_Financial Analysis Base" xfId="11888" xr:uid="{00000000-0005-0000-0000-0000672E0000}"/>
    <cellStyle name="_Copy of Transaction build up summary" xfId="11889" xr:uid="{00000000-0005-0000-0000-0000682E0000}"/>
    <cellStyle name="_Copy of Transaction build up summary_Comms Actuals" xfId="11890" xr:uid="{00000000-0005-0000-0000-0000692E0000}"/>
    <cellStyle name="_Copy of WCCP Excellence Program_BU Dashboard  Tracking Korea New version Aug '08_v3" xfId="11891" xr:uid="{00000000-0005-0000-0000-00006A2E0000}"/>
    <cellStyle name="_Copy of WCCP Excellence Program_BU Dashboard  Tracking Korea New version Aug '08_v3 2" xfId="11892" xr:uid="{00000000-0005-0000-0000-00006B2E0000}"/>
    <cellStyle name="_Copy of WCCP Excellence Program_BU Dashboard  Tracking Korea New version Aug '08_v3 2 2" xfId="11893" xr:uid="{00000000-0005-0000-0000-00006C2E0000}"/>
    <cellStyle name="_Copy of WCCP Excellence Program_BU Dashboard  Tracking Korea New version Aug '08_v3 3" xfId="11894" xr:uid="{00000000-0005-0000-0000-00006D2E0000}"/>
    <cellStyle name="_Copy of ZBB costs P&amp;L od Slavice 04.09.2007" xfId="11895" xr:uid="{00000000-0005-0000-0000-00006E2E0000}"/>
    <cellStyle name="_Copy of ZBB_Budget07PRAVI_Entities per package4xls4" xfId="11896" xr:uid="{00000000-0005-0000-0000-00006F2E0000}"/>
    <cellStyle name="_Corp-rebate_Mar 2006" xfId="11897" xr:uid="{00000000-0005-0000-0000-0000702E0000}"/>
    <cellStyle name="_Corp-rebate_Mar 2006_Global Group" xfId="11898" xr:uid="{00000000-0005-0000-0000-0000712E0000}"/>
    <cellStyle name="_Cost" xfId="11899" xr:uid="{00000000-0005-0000-0000-0000722E0000}"/>
    <cellStyle name="_Cost 2" xfId="11900" xr:uid="{00000000-0005-0000-0000-0000732E0000}"/>
    <cellStyle name="_Croatia targets" xfId="11901" xr:uid="{00000000-0005-0000-0000-0000742E0000}"/>
    <cellStyle name="_CroatiaMonthlyrepYtdFebk€" xfId="11902" xr:uid="{00000000-0005-0000-0000-0000752E0000}"/>
    <cellStyle name="_CRS_GDS_Reservation_Reveues_JAN" xfId="11903" xr:uid="{00000000-0005-0000-0000-0000762E0000}"/>
    <cellStyle name="_CS Card Jan'06" xfId="11904" xr:uid="{00000000-0005-0000-0000-0000772E0000}"/>
    <cellStyle name="_CS Card Jan'06_Global Group" xfId="11905" xr:uid="{00000000-0005-0000-0000-0000782E0000}"/>
    <cellStyle name="_CS Card May'05" xfId="11906" xr:uid="{00000000-0005-0000-0000-0000792E0000}"/>
    <cellStyle name="_CS Card May'05_Global Group" xfId="11907" xr:uid="{00000000-0005-0000-0000-00007A2E0000}"/>
    <cellStyle name="_CS Card Oct'05" xfId="11908" xr:uid="{00000000-0005-0000-0000-00007B2E0000}"/>
    <cellStyle name="_CS Card Oct'05_Global Group" xfId="11909" xr:uid="{00000000-0005-0000-0000-00007C2E0000}"/>
    <cellStyle name="_CS Card Sep'05 Exception Report" xfId="11910" xr:uid="{00000000-0005-0000-0000-00007D2E0000}"/>
    <cellStyle name="_CS Card Sep'05 Exception Report_Global Group" xfId="11911" xr:uid="{00000000-0005-0000-0000-00007E2E0000}"/>
    <cellStyle name="_CSAT Slide data" xfId="11912" xr:uid="{00000000-0005-0000-0000-00007F2E0000}"/>
    <cellStyle name="_CSI 2007 1+11F Quote" xfId="11913" xr:uid="{00000000-0005-0000-0000-0000802E0000}"/>
    <cellStyle name="_CSI 2007 4+8F Prelim Quote_053007" xfId="11914" xr:uid="{00000000-0005-0000-0000-0000812E0000}"/>
    <cellStyle name="_CSI 2007 4+8F Quote for Carlos Reviews" xfId="11915" xr:uid="{00000000-0005-0000-0000-0000822E0000}"/>
    <cellStyle name="_CSI 2007 7+5F Prelim Quote_IP" xfId="11916" xr:uid="{00000000-0005-0000-0000-0000832E0000}"/>
    <cellStyle name="_Currency" xfId="11917" xr:uid="{00000000-0005-0000-0000-0000842E0000}"/>
    <cellStyle name="_Currency 2" xfId="11918" xr:uid="{00000000-0005-0000-0000-0000852E0000}"/>
    <cellStyle name="_Currency 2 2" xfId="11919" xr:uid="{00000000-0005-0000-0000-0000862E0000}"/>
    <cellStyle name="_Currency 3" xfId="11920" xr:uid="{00000000-0005-0000-0000-0000872E0000}"/>
    <cellStyle name="_Currency_# Expenses - UK" xfId="11921" xr:uid="{00000000-0005-0000-0000-0000882E0000}"/>
    <cellStyle name="_Currency_#cc not mapped to function - UK" xfId="11922" xr:uid="{00000000-0005-0000-0000-0000892E0000}"/>
    <cellStyle name="_Currency_#RET# ACTUALS" xfId="11923" xr:uid="{00000000-0005-0000-0000-00008A2E0000}"/>
    <cellStyle name="_Currency_#ret# cclev ireland" xfId="11924" xr:uid="{00000000-0005-0000-0000-00008B2E0000}"/>
    <cellStyle name="_Currency_#ret# cclev uk" xfId="11925" xr:uid="{00000000-0005-0000-0000-00008C2E0000}"/>
    <cellStyle name="_Currency_#ret# GDS Actual" xfId="11926" xr:uid="{00000000-0005-0000-0000-00008D2E0000}"/>
    <cellStyle name="_Currency_#ret# GDS FC" xfId="11927" xr:uid="{00000000-0005-0000-0000-00008E2E0000}"/>
    <cellStyle name="_Currency_#ret# LY" xfId="11928" xr:uid="{00000000-0005-0000-0000-00008F2E0000}"/>
    <cellStyle name="_Currency_#SMR - UK" xfId="11929" xr:uid="{00000000-0005-0000-0000-0000902E0000}"/>
    <cellStyle name="_Currency_~1547347" xfId="11930" xr:uid="{00000000-0005-0000-0000-0000912E0000}"/>
    <cellStyle name="_Currency_~8069286" xfId="11931" xr:uid="{00000000-0005-0000-0000-0000922E0000}"/>
    <cellStyle name="_Currency_+5 deck links" xfId="11932" xr:uid="{00000000-0005-0000-0000-0000932E0000}"/>
    <cellStyle name="_Currency_+5 EMEA Call input Trx v F'cast" xfId="11933" xr:uid="{00000000-0005-0000-0000-0000942E0000}"/>
    <cellStyle name="_Currency_10 CT EXP by function $ - October v2" xfId="11934" xr:uid="{00000000-0005-0000-0000-0000952E0000}"/>
    <cellStyle name="_Currency_2+10FY" xfId="11935" xr:uid="{00000000-0005-0000-0000-0000962E0000}"/>
    <cellStyle name="_Currency_2007" xfId="11936" xr:uid="{00000000-0005-0000-0000-0000972E0000}"/>
    <cellStyle name="_Currency_advisory grs" xfId="11937" xr:uid="{00000000-0005-0000-0000-0000982E0000}"/>
    <cellStyle name="_Currency_Air" xfId="11938" xr:uid="{00000000-0005-0000-0000-0000992E0000}"/>
    <cellStyle name="_Currency_BT UKI March08 Results by Function" xfId="11939" xr:uid="{00000000-0005-0000-0000-00009A2E0000}"/>
    <cellStyle name="_Currency_exec summary input" xfId="11940" xr:uid="{00000000-0005-0000-0000-00009B2E0000}"/>
    <cellStyle name="_Currency_FTE" xfId="11941" xr:uid="{00000000-0005-0000-0000-00009C2E0000}"/>
    <cellStyle name="_Currency_FTE Retrieval" xfId="11942" xr:uid="{00000000-0005-0000-0000-00009D2E0000}"/>
    <cellStyle name="_Currency_Functional Expense using GRS numbers" xfId="11943" xr:uid="{00000000-0005-0000-0000-00009E2E0000}"/>
    <cellStyle name="_Currency_FY PTI" xfId="11944" xr:uid="{00000000-0005-0000-0000-00009F2E0000}"/>
    <cellStyle name="_Currency_Graphs" xfId="11945" xr:uid="{00000000-0005-0000-0000-0000A02E0000}"/>
    <cellStyle name="_Currency_Graphs Retrieval" xfId="11946" xr:uid="{00000000-0005-0000-0000-0000A12E0000}"/>
    <cellStyle name="_Currency_GRS retr average fees" xfId="11947" xr:uid="{00000000-0005-0000-0000-0000A22E0000}"/>
    <cellStyle name="_Currency_GRS retr offline online YTD" xfId="11948" xr:uid="{00000000-0005-0000-0000-0000A32E0000}"/>
    <cellStyle name="_Currency_Heather" xfId="11949" xr:uid="{00000000-0005-0000-0000-0000A42E0000}"/>
    <cellStyle name="_Currency_Henry" xfId="11950" xr:uid="{00000000-0005-0000-0000-0000A52E0000}"/>
    <cellStyle name="_Currency_Input Sales" xfId="11951" xr:uid="{00000000-0005-0000-0000-0000A62E0000}"/>
    <cellStyle name="_Currency_IRE restated-mth evolution" xfId="11952" xr:uid="{00000000-0005-0000-0000-0000A72E0000}"/>
    <cellStyle name="_Currency_IRE restated-mth evolution " xfId="11953" xr:uid="{00000000-0005-0000-0000-0000A82E0000}"/>
    <cellStyle name="_Currency_Jen" xfId="11954" xr:uid="{00000000-0005-0000-0000-0000A92E0000}"/>
    <cellStyle name="_Currency_JUNE YTD-UK" xfId="11955" xr:uid="{00000000-0005-0000-0000-0000AA2E0000}"/>
    <cellStyle name="_Currency_Lisa" xfId="11956" xr:uid="{00000000-0005-0000-0000-0000AB2E0000}"/>
    <cellStyle name="_Currency_May Expenses IRELAND" xfId="11957" xr:uid="{00000000-0005-0000-0000-0000AC2E0000}"/>
    <cellStyle name="_Currency_Month end pack_Jul08 UK" xfId="11958" xr:uid="{00000000-0005-0000-0000-0000AD2E0000}"/>
    <cellStyle name="_Currency_Newspaper Comps - New" xfId="11959" xr:uid="{00000000-0005-0000-0000-0000AE2E0000}"/>
    <cellStyle name="_Currency_Offline-online" xfId="11960" xr:uid="{00000000-0005-0000-0000-0000AF2E0000}"/>
    <cellStyle name="_Currency_P&amp;L Retrieval" xfId="11961" xr:uid="{00000000-0005-0000-0000-0000B02E0000}"/>
    <cellStyle name="_Currency_paula check act" xfId="11962" xr:uid="{00000000-0005-0000-0000-0000B12E0000}"/>
    <cellStyle name="_Currency_pro_forma_model_paris" xfId="11963" xr:uid="{00000000-0005-0000-0000-0000B22E0000}"/>
    <cellStyle name="_Currency_pro_forma_model_paris 2" xfId="11964" xr:uid="{00000000-0005-0000-0000-0000B32E0000}"/>
    <cellStyle name="_Currency_pro_forma_model_paris 2 2" xfId="11965" xr:uid="{00000000-0005-0000-0000-0000B42E0000}"/>
    <cellStyle name="_Currency_pro_forma_model_paris 3" xfId="11966" xr:uid="{00000000-0005-0000-0000-0000B52E0000}"/>
    <cellStyle name="_Currency_pro_forma_model_paris_Newspaper Comps - New" xfId="11967" xr:uid="{00000000-0005-0000-0000-0000B62E0000}"/>
    <cellStyle name="_Currency_pro_forma_model_paris_Newspaper Comps - New 2" xfId="11968" xr:uid="{00000000-0005-0000-0000-0000B72E0000}"/>
    <cellStyle name="_Currency_pro_forma_model_paris_Newspaper Comps - New 2 2" xfId="11969" xr:uid="{00000000-0005-0000-0000-0000B82E0000}"/>
    <cellStyle name="_Currency_pro_forma_model_paris_Newspaper Comps - New 3" xfId="11970" xr:uid="{00000000-0005-0000-0000-0000B92E0000}"/>
    <cellStyle name="_Currency_pro_forma_model_paris_president_comps_3" xfId="11971" xr:uid="{00000000-0005-0000-0000-0000BA2E0000}"/>
    <cellStyle name="_Currency_pro_forma_model_paris_president_comps_3 2" xfId="11972" xr:uid="{00000000-0005-0000-0000-0000BB2E0000}"/>
    <cellStyle name="_Currency_pro_forma_model_paris_president_comps_3 2 2" xfId="11973" xr:uid="{00000000-0005-0000-0000-0000BC2E0000}"/>
    <cellStyle name="_Currency_pro_forma_model_paris_president_comps_3 3" xfId="11974" xr:uid="{00000000-0005-0000-0000-0000BD2E0000}"/>
    <cellStyle name="_Currency_Rail Trxs Data" xfId="11975" xr:uid="{00000000-0005-0000-0000-0000BE2E0000}"/>
    <cellStyle name="_Currency_retr" xfId="11976" xr:uid="{00000000-0005-0000-0000-0000BF2E0000}"/>
    <cellStyle name="_Currency_Retrieval for SalesComments" xfId="11977" xr:uid="{00000000-0005-0000-0000-0000C02E0000}"/>
    <cellStyle name="_Currency_Retrieve Month" xfId="11978" xr:uid="{00000000-0005-0000-0000-0000C12E0000}"/>
    <cellStyle name="_Currency_Retrieve YTD&amp;FY" xfId="11979" xr:uid="{00000000-0005-0000-0000-0000C22E0000}"/>
    <cellStyle name="_Currency_Rev per TRX input" xfId="11980" xr:uid="{00000000-0005-0000-0000-0000C32E0000}"/>
    <cellStyle name="_Currency_Sales" xfId="11981" xr:uid="{00000000-0005-0000-0000-0000C42E0000}"/>
    <cellStyle name="_Currency_Sales Analyses" xfId="11982" xr:uid="{00000000-0005-0000-0000-0000C52E0000}"/>
    <cellStyle name="_Currency_Sales Page" xfId="11983" xr:uid="{00000000-0005-0000-0000-0000C62E0000}"/>
    <cellStyle name="_Currency_Sales Page +5 Deck" xfId="11984" xr:uid="{00000000-0005-0000-0000-0000C72E0000}"/>
    <cellStyle name="_Currency_Sales Page Graphs" xfId="11985" xr:uid="{00000000-0005-0000-0000-0000C82E0000}"/>
    <cellStyle name="_Currency_Sales summary" xfId="11986" xr:uid="{00000000-0005-0000-0000-0000C92E0000}"/>
    <cellStyle name="_Currency_Sales YTD" xfId="11987" xr:uid="{00000000-0005-0000-0000-0000CA2E0000}"/>
    <cellStyle name="_Currency_SDN 2006 Reporting Pack December 2006 Final" xfId="11988" xr:uid="{00000000-0005-0000-0000-0000CB2E0000}"/>
    <cellStyle name="_Currency_SDN Reporting" xfId="11989" xr:uid="{00000000-0005-0000-0000-0000CC2E0000}"/>
    <cellStyle name="_Currency_Sheet1" xfId="11990" xr:uid="{00000000-0005-0000-0000-0000CD2E0000}"/>
    <cellStyle name="_Currency_Sheet1_+5 deck links" xfId="11991" xr:uid="{00000000-0005-0000-0000-0000CE2E0000}"/>
    <cellStyle name="_Currency_Sheet1_+5 EMEA Call input Trx v F'cast" xfId="11992" xr:uid="{00000000-0005-0000-0000-0000CF2E0000}"/>
    <cellStyle name="_Currency_Sheet1_1" xfId="11993" xr:uid="{00000000-0005-0000-0000-0000D02E0000}"/>
    <cellStyle name="_Currency_Sheet1_2" xfId="11994" xr:uid="{00000000-0005-0000-0000-0000D12E0000}"/>
    <cellStyle name="_Currency_Sheet1_FTE" xfId="11995" xr:uid="{00000000-0005-0000-0000-0000D22E0000}"/>
    <cellStyle name="_Currency_Sheet1_FTE Retrieval" xfId="11996" xr:uid="{00000000-0005-0000-0000-0000D32E0000}"/>
    <cellStyle name="_Currency_Sheet1_FY PTI" xfId="11997" xr:uid="{00000000-0005-0000-0000-0000D42E0000}"/>
    <cellStyle name="_Currency_Sheet1_Graphs" xfId="11998" xr:uid="{00000000-0005-0000-0000-0000D52E0000}"/>
    <cellStyle name="_Currency_Sheet1_Graphs Retrieval" xfId="11999" xr:uid="{00000000-0005-0000-0000-0000D62E0000}"/>
    <cellStyle name="_Currency_Sheet1_Input Sales" xfId="12000" xr:uid="{00000000-0005-0000-0000-0000D72E0000}"/>
    <cellStyle name="_Currency_Sheet1_Offline-online" xfId="12001" xr:uid="{00000000-0005-0000-0000-0000D82E0000}"/>
    <cellStyle name="_Currency_Sheet1_P&amp;L Retrieval" xfId="12002" xr:uid="{00000000-0005-0000-0000-0000D92E0000}"/>
    <cellStyle name="_Currency_Sheet1_Retrieval for SalesComments" xfId="12003" xr:uid="{00000000-0005-0000-0000-0000DA2E0000}"/>
    <cellStyle name="_Currency_Sheet1_Retrieve Month" xfId="12004" xr:uid="{00000000-0005-0000-0000-0000DB2E0000}"/>
    <cellStyle name="_Currency_Sheet1_Retrieve YTD&amp;FY" xfId="12005" xr:uid="{00000000-0005-0000-0000-0000DC2E0000}"/>
    <cellStyle name="_Currency_Sheet1_Rev per TRX input" xfId="12006" xr:uid="{00000000-0005-0000-0000-0000DD2E0000}"/>
    <cellStyle name="_Currency_Sheet1_Sales" xfId="12007" xr:uid="{00000000-0005-0000-0000-0000DE2E0000}"/>
    <cellStyle name="_Currency_Sheet1_Sales Analyses" xfId="12008" xr:uid="{00000000-0005-0000-0000-0000DF2E0000}"/>
    <cellStyle name="_Currency_Sheet1_Sales Page +5 Deck" xfId="12009" xr:uid="{00000000-0005-0000-0000-0000E02E0000}"/>
    <cellStyle name="_Currency_Sheet1_Sales Page Graphs" xfId="12010" xr:uid="{00000000-0005-0000-0000-0000E12E0000}"/>
    <cellStyle name="_Currency_Sheet1_Sales summary" xfId="12011" xr:uid="{00000000-0005-0000-0000-0000E22E0000}"/>
    <cellStyle name="_Currency_Sheet1_Sheet1" xfId="12012" xr:uid="{00000000-0005-0000-0000-0000E32E0000}"/>
    <cellStyle name="_Currency_Sheet1_Sheet1_1" xfId="12013" xr:uid="{00000000-0005-0000-0000-0000E42E0000}"/>
    <cellStyle name="_Currency_Sheet1_Sheet10" xfId="12014" xr:uid="{00000000-0005-0000-0000-0000E52E0000}"/>
    <cellStyle name="_Currency_Sheet1_Sheet10_1" xfId="12015" xr:uid="{00000000-0005-0000-0000-0000E62E0000}"/>
    <cellStyle name="_Currency_Sheet1_Sheet11" xfId="12016" xr:uid="{00000000-0005-0000-0000-0000E72E0000}"/>
    <cellStyle name="_Currency_Sheet1_Sheet12" xfId="12017" xr:uid="{00000000-0005-0000-0000-0000E82E0000}"/>
    <cellStyle name="_Currency_Sheet1_Sheet13" xfId="12018" xr:uid="{00000000-0005-0000-0000-0000E92E0000}"/>
    <cellStyle name="_Currency_Sheet1_Sheet14" xfId="12019" xr:uid="{00000000-0005-0000-0000-0000EA2E0000}"/>
    <cellStyle name="_Currency_Sheet1_Sheet15" xfId="12020" xr:uid="{00000000-0005-0000-0000-0000EB2E0000}"/>
    <cellStyle name="_Currency_Sheet1_Sheet16" xfId="12021" xr:uid="{00000000-0005-0000-0000-0000EC2E0000}"/>
    <cellStyle name="_Currency_Sheet1_Sheet17" xfId="12022" xr:uid="{00000000-0005-0000-0000-0000ED2E0000}"/>
    <cellStyle name="_Currency_Sheet1_Sheet18" xfId="12023" xr:uid="{00000000-0005-0000-0000-0000EE2E0000}"/>
    <cellStyle name="_Currency_Sheet1_Sheet19" xfId="12024" xr:uid="{00000000-0005-0000-0000-0000EF2E0000}"/>
    <cellStyle name="_Currency_Sheet1_Sheet2" xfId="12025" xr:uid="{00000000-0005-0000-0000-0000F02E0000}"/>
    <cellStyle name="_Currency_Sheet1_Sheet2_1" xfId="12026" xr:uid="{00000000-0005-0000-0000-0000F12E0000}"/>
    <cellStyle name="_Currency_Sheet1_Sheet20" xfId="12027" xr:uid="{00000000-0005-0000-0000-0000F22E0000}"/>
    <cellStyle name="_Currency_Sheet1_Sheet21" xfId="12028" xr:uid="{00000000-0005-0000-0000-0000F32E0000}"/>
    <cellStyle name="_Currency_Sheet1_Sheet22" xfId="12029" xr:uid="{00000000-0005-0000-0000-0000F42E0000}"/>
    <cellStyle name="_Currency_Sheet1_Sheet23" xfId="12030" xr:uid="{00000000-0005-0000-0000-0000F52E0000}"/>
    <cellStyle name="_Currency_Sheet1_Sheet24" xfId="12031" xr:uid="{00000000-0005-0000-0000-0000F62E0000}"/>
    <cellStyle name="_Currency_Sheet1_Sheet25" xfId="12032" xr:uid="{00000000-0005-0000-0000-0000F72E0000}"/>
    <cellStyle name="_Currency_Sheet1_Sheet3" xfId="12033" xr:uid="{00000000-0005-0000-0000-0000F82E0000}"/>
    <cellStyle name="_Currency_Sheet1_Sheet3_1" xfId="12034" xr:uid="{00000000-0005-0000-0000-0000F92E0000}"/>
    <cellStyle name="_Currency_Sheet1_Sheet37" xfId="12035" xr:uid="{00000000-0005-0000-0000-0000FA2E0000}"/>
    <cellStyle name="_Currency_Sheet1_Sheet38" xfId="12036" xr:uid="{00000000-0005-0000-0000-0000FB2E0000}"/>
    <cellStyle name="_Currency_Sheet1_Sheet39" xfId="12037" xr:uid="{00000000-0005-0000-0000-0000FC2E0000}"/>
    <cellStyle name="_Currency_Sheet1_Sheet4" xfId="12038" xr:uid="{00000000-0005-0000-0000-0000FD2E0000}"/>
    <cellStyle name="_Currency_Sheet1_Sheet4_1" xfId="12039" xr:uid="{00000000-0005-0000-0000-0000FE2E0000}"/>
    <cellStyle name="_Currency_Sheet1_Sheet40" xfId="12040" xr:uid="{00000000-0005-0000-0000-0000FF2E0000}"/>
    <cellStyle name="_Currency_Sheet1_Sheet41" xfId="12041" xr:uid="{00000000-0005-0000-0000-0000002F0000}"/>
    <cellStyle name="_Currency_Sheet1_Sheet42" xfId="12042" xr:uid="{00000000-0005-0000-0000-0000012F0000}"/>
    <cellStyle name="_Currency_Sheet1_Sheet43" xfId="12043" xr:uid="{00000000-0005-0000-0000-0000022F0000}"/>
    <cellStyle name="_Currency_Sheet1_Sheet44" xfId="12044" xr:uid="{00000000-0005-0000-0000-0000032F0000}"/>
    <cellStyle name="_Currency_Sheet1_Sheet45" xfId="12045" xr:uid="{00000000-0005-0000-0000-0000042F0000}"/>
    <cellStyle name="_Currency_Sheet1_Sheet46" xfId="12046" xr:uid="{00000000-0005-0000-0000-0000052F0000}"/>
    <cellStyle name="_Currency_Sheet1_Sheet48" xfId="12047" xr:uid="{00000000-0005-0000-0000-0000062F0000}"/>
    <cellStyle name="_Currency_Sheet1_Sheet49" xfId="12048" xr:uid="{00000000-0005-0000-0000-0000072F0000}"/>
    <cellStyle name="_Currency_Sheet1_Sheet5" xfId="12049" xr:uid="{00000000-0005-0000-0000-0000082F0000}"/>
    <cellStyle name="_Currency_Sheet1_Sheet5_1" xfId="12050" xr:uid="{00000000-0005-0000-0000-0000092F0000}"/>
    <cellStyle name="_Currency_Sheet1_Sheet6" xfId="12051" xr:uid="{00000000-0005-0000-0000-00000A2F0000}"/>
    <cellStyle name="_Currency_Sheet1_Sheet6_1" xfId="12052" xr:uid="{00000000-0005-0000-0000-00000B2F0000}"/>
    <cellStyle name="_Currency_Sheet1_Sheet7" xfId="12053" xr:uid="{00000000-0005-0000-0000-00000C2F0000}"/>
    <cellStyle name="_Currency_Sheet1_Sheet8" xfId="12054" xr:uid="{00000000-0005-0000-0000-00000D2F0000}"/>
    <cellStyle name="_Currency_Sheet1_Sheet9" xfId="12055" xr:uid="{00000000-0005-0000-0000-00000E2F0000}"/>
    <cellStyle name="_Currency_Sheet1_Trans" xfId="12056" xr:uid="{00000000-0005-0000-0000-00000F2F0000}"/>
    <cellStyle name="_Currency_Sheet1_Trans +5 Deck link" xfId="12057" xr:uid="{00000000-0005-0000-0000-0000102F0000}"/>
    <cellStyle name="_Currency_Sheet1_TRX" xfId="12058" xr:uid="{00000000-0005-0000-0000-0000112F0000}"/>
    <cellStyle name="_Currency_Sheet1_TRX Month" xfId="12059" xr:uid="{00000000-0005-0000-0000-0000122F0000}"/>
    <cellStyle name="_Currency_Sheet1_TRX month &amp; YTD Analyses" xfId="12060" xr:uid="{00000000-0005-0000-0000-0000132F0000}"/>
    <cellStyle name="_Currency_Sheet1_TRX month Analyses" xfId="12061" xr:uid="{00000000-0005-0000-0000-0000142F0000}"/>
    <cellStyle name="_Currency_Sheet1_TRX VOL REV" xfId="12062" xr:uid="{00000000-0005-0000-0000-0000152F0000}"/>
    <cellStyle name="_Currency_Sheet1_TRX Vol REV Analyses" xfId="12063" xr:uid="{00000000-0005-0000-0000-0000162F0000}"/>
    <cellStyle name="_Currency_Sheet1_Trx YTD" xfId="12064" xr:uid="{00000000-0005-0000-0000-0000172F0000}"/>
    <cellStyle name="_Currency_Sheet1_TRX. YTD" xfId="12065" xr:uid="{00000000-0005-0000-0000-0000182F0000}"/>
    <cellStyle name="_Currency_Sheet1_variance graphs" xfId="12066" xr:uid="{00000000-0005-0000-0000-0000192F0000}"/>
    <cellStyle name="_Currency_Sheet10" xfId="12067" xr:uid="{00000000-0005-0000-0000-00001A2F0000}"/>
    <cellStyle name="_Currency_Sheet10_#RET# ACTUALS" xfId="12068" xr:uid="{00000000-0005-0000-0000-00001B2F0000}"/>
    <cellStyle name="_Currency_Sheet10_#ret# cclev ireland" xfId="12069" xr:uid="{00000000-0005-0000-0000-00001C2F0000}"/>
    <cellStyle name="_Currency_Sheet10_#ret# cclev uk" xfId="12070" xr:uid="{00000000-0005-0000-0000-00001D2F0000}"/>
    <cellStyle name="_Currency_Sheet10_#ret# GDS Actual" xfId="12071" xr:uid="{00000000-0005-0000-0000-00001E2F0000}"/>
    <cellStyle name="_Currency_Sheet10_#ret# GDS FC" xfId="12072" xr:uid="{00000000-0005-0000-0000-00001F2F0000}"/>
    <cellStyle name="_Currency_Sheet10_#ret# LY" xfId="12073" xr:uid="{00000000-0005-0000-0000-0000202F0000}"/>
    <cellStyle name="_Currency_Sheet10_1" xfId="12074" xr:uid="{00000000-0005-0000-0000-0000212F0000}"/>
    <cellStyle name="_Currency_Sheet10_2007" xfId="12075" xr:uid="{00000000-0005-0000-0000-0000222F0000}"/>
    <cellStyle name="_Currency_Sheet10_IRE restated-mth evolution " xfId="12076" xr:uid="{00000000-0005-0000-0000-0000232F0000}"/>
    <cellStyle name="_Currency_Sheet10_paula check act" xfId="12077" xr:uid="{00000000-0005-0000-0000-0000242F0000}"/>
    <cellStyle name="_Currency_Sheet10_Sheet1" xfId="12078" xr:uid="{00000000-0005-0000-0000-0000252F0000}"/>
    <cellStyle name="_Currency_Sheet10_Sheet2" xfId="12079" xr:uid="{00000000-0005-0000-0000-0000262F0000}"/>
    <cellStyle name="_Currency_Sheet10_Sheet2_1" xfId="12080" xr:uid="{00000000-0005-0000-0000-0000272F0000}"/>
    <cellStyle name="_Currency_Sheet10_Sheet3" xfId="12081" xr:uid="{00000000-0005-0000-0000-0000282F0000}"/>
    <cellStyle name="_Currency_Sheet10_Sheet3_1" xfId="12082" xr:uid="{00000000-0005-0000-0000-0000292F0000}"/>
    <cellStyle name="_Currency_Sheet10_UK restated-mth evolution" xfId="12083" xr:uid="{00000000-0005-0000-0000-00002A2F0000}"/>
    <cellStyle name="_Currency_Sheet11" xfId="12084" xr:uid="{00000000-0005-0000-0000-00002B2F0000}"/>
    <cellStyle name="_Currency_Sheet12" xfId="12085" xr:uid="{00000000-0005-0000-0000-00002C2F0000}"/>
    <cellStyle name="_Currency_Sheet13" xfId="12086" xr:uid="{00000000-0005-0000-0000-00002D2F0000}"/>
    <cellStyle name="_Currency_Sheet14" xfId="12087" xr:uid="{00000000-0005-0000-0000-00002E2F0000}"/>
    <cellStyle name="_Currency_Sheet15" xfId="12088" xr:uid="{00000000-0005-0000-0000-00002F2F0000}"/>
    <cellStyle name="_Currency_Sheet16" xfId="12089" xr:uid="{00000000-0005-0000-0000-0000302F0000}"/>
    <cellStyle name="_Currency_Sheet17" xfId="12090" xr:uid="{00000000-0005-0000-0000-0000312F0000}"/>
    <cellStyle name="_Currency_Sheet18" xfId="12091" xr:uid="{00000000-0005-0000-0000-0000322F0000}"/>
    <cellStyle name="_Currency_Sheet19" xfId="12092" xr:uid="{00000000-0005-0000-0000-0000332F0000}"/>
    <cellStyle name="_Currency_Sheet2" xfId="12093" xr:uid="{00000000-0005-0000-0000-0000342F0000}"/>
    <cellStyle name="_Currency_Sheet2_1" xfId="12094" xr:uid="{00000000-0005-0000-0000-0000352F0000}"/>
    <cellStyle name="_Currency_Sheet20" xfId="12095" xr:uid="{00000000-0005-0000-0000-0000362F0000}"/>
    <cellStyle name="_Currency_Sheet21" xfId="12096" xr:uid="{00000000-0005-0000-0000-0000372F0000}"/>
    <cellStyle name="_Currency_Sheet22" xfId="12097" xr:uid="{00000000-0005-0000-0000-0000382F0000}"/>
    <cellStyle name="_Currency_Sheet23" xfId="12098" xr:uid="{00000000-0005-0000-0000-0000392F0000}"/>
    <cellStyle name="_Currency_Sheet24" xfId="12099" xr:uid="{00000000-0005-0000-0000-00003A2F0000}"/>
    <cellStyle name="_Currency_Sheet25" xfId="12100" xr:uid="{00000000-0005-0000-0000-00003B2F0000}"/>
    <cellStyle name="_Currency_Sheet3" xfId="12101" xr:uid="{00000000-0005-0000-0000-00003C2F0000}"/>
    <cellStyle name="_Currency_Sheet3_1" xfId="12102" xr:uid="{00000000-0005-0000-0000-00003D2F0000}"/>
    <cellStyle name="_Currency_Sheet37" xfId="12103" xr:uid="{00000000-0005-0000-0000-00003E2F0000}"/>
    <cellStyle name="_Currency_Sheet38" xfId="12104" xr:uid="{00000000-0005-0000-0000-00003F2F0000}"/>
    <cellStyle name="_Currency_Sheet39" xfId="12105" xr:uid="{00000000-0005-0000-0000-0000402F0000}"/>
    <cellStyle name="_Currency_Sheet4" xfId="12106" xr:uid="{00000000-0005-0000-0000-0000412F0000}"/>
    <cellStyle name="_Currency_Sheet4_1" xfId="12107" xr:uid="{00000000-0005-0000-0000-0000422F0000}"/>
    <cellStyle name="_Currency_Sheet4_Air" xfId="12108" xr:uid="{00000000-0005-0000-0000-0000432F0000}"/>
    <cellStyle name="_Currency_Sheet4_Retrieve Month" xfId="12109" xr:uid="{00000000-0005-0000-0000-0000442F0000}"/>
    <cellStyle name="_Currency_Sheet4_Retrieve YTD&amp;FY" xfId="12110" xr:uid="{00000000-0005-0000-0000-0000452F0000}"/>
    <cellStyle name="_Currency_Sheet4_Sheet5" xfId="12111" xr:uid="{00000000-0005-0000-0000-0000462F0000}"/>
    <cellStyle name="_Currency_Sheet4_Sheet6" xfId="12112" xr:uid="{00000000-0005-0000-0000-0000472F0000}"/>
    <cellStyle name="_Currency_Sheet4_Sheet7" xfId="12113" xr:uid="{00000000-0005-0000-0000-0000482F0000}"/>
    <cellStyle name="_Currency_Sheet4_Trnx" xfId="12114" xr:uid="{00000000-0005-0000-0000-0000492F0000}"/>
    <cellStyle name="_Currency_Sheet4_YTD PULL" xfId="12115" xr:uid="{00000000-0005-0000-0000-00004A2F0000}"/>
    <cellStyle name="_Currency_Sheet40" xfId="12116" xr:uid="{00000000-0005-0000-0000-00004B2F0000}"/>
    <cellStyle name="_Currency_Sheet41" xfId="12117" xr:uid="{00000000-0005-0000-0000-00004C2F0000}"/>
    <cellStyle name="_Currency_Sheet42" xfId="12118" xr:uid="{00000000-0005-0000-0000-00004D2F0000}"/>
    <cellStyle name="_Currency_Sheet43" xfId="12119" xr:uid="{00000000-0005-0000-0000-00004E2F0000}"/>
    <cellStyle name="_Currency_Sheet44" xfId="12120" xr:uid="{00000000-0005-0000-0000-00004F2F0000}"/>
    <cellStyle name="_Currency_Sheet45" xfId="12121" xr:uid="{00000000-0005-0000-0000-0000502F0000}"/>
    <cellStyle name="_Currency_Sheet46" xfId="12122" xr:uid="{00000000-0005-0000-0000-0000512F0000}"/>
    <cellStyle name="_Currency_Sheet48" xfId="12123" xr:uid="{00000000-0005-0000-0000-0000522F0000}"/>
    <cellStyle name="_Currency_Sheet49" xfId="12124" xr:uid="{00000000-0005-0000-0000-0000532F0000}"/>
    <cellStyle name="_Currency_Sheet5" xfId="12125" xr:uid="{00000000-0005-0000-0000-0000542F0000}"/>
    <cellStyle name="_Currency_Sheet5_1" xfId="12126" xr:uid="{00000000-0005-0000-0000-0000552F0000}"/>
    <cellStyle name="_Currency_Sheet6" xfId="12127" xr:uid="{00000000-0005-0000-0000-0000562F0000}"/>
    <cellStyle name="_Currency_Sheet6_#alloclev#" xfId="12128" xr:uid="{00000000-0005-0000-0000-0000572F0000}"/>
    <cellStyle name="_Currency_Sheet6_#cc not mapped to function - UK" xfId="12129" xr:uid="{00000000-0005-0000-0000-0000582F0000}"/>
    <cellStyle name="_Currency_Sheet6_#RET# ACTUALS" xfId="12130" xr:uid="{00000000-0005-0000-0000-0000592F0000}"/>
    <cellStyle name="_Currency_Sheet6_#ret# cclev ireland" xfId="12131" xr:uid="{00000000-0005-0000-0000-00005A2F0000}"/>
    <cellStyle name="_Currency_Sheet6_#ret# cclev uk" xfId="12132" xr:uid="{00000000-0005-0000-0000-00005B2F0000}"/>
    <cellStyle name="_Currency_Sheet6_#ret# GDS Actual" xfId="12133" xr:uid="{00000000-0005-0000-0000-00005C2F0000}"/>
    <cellStyle name="_Currency_Sheet6_#ret# GDS FC" xfId="12134" xr:uid="{00000000-0005-0000-0000-00005D2F0000}"/>
    <cellStyle name="_Currency_Sheet6_#ret# LY" xfId="12135" xr:uid="{00000000-0005-0000-0000-00005E2F0000}"/>
    <cellStyle name="_Currency_Sheet6_1" xfId="12136" xr:uid="{00000000-0005-0000-0000-00005F2F0000}"/>
    <cellStyle name="_Currency_Sheet6_1_+5 deck links" xfId="12137" xr:uid="{00000000-0005-0000-0000-0000602F0000}"/>
    <cellStyle name="_Currency_Sheet6_1_+5 EMEA Call input Trx v F'cast" xfId="12138" xr:uid="{00000000-0005-0000-0000-0000612F0000}"/>
    <cellStyle name="_Currency_Sheet6_1_+5 Year on Year Sales Growth.." xfId="12139" xr:uid="{00000000-0005-0000-0000-0000622F0000}"/>
    <cellStyle name="_Currency_Sheet6_1_ACT" xfId="12140" xr:uid="{00000000-0005-0000-0000-0000632F0000}"/>
    <cellStyle name="_Currency_Sheet6_1_FTE" xfId="12141" xr:uid="{00000000-0005-0000-0000-0000642F0000}"/>
    <cellStyle name="_Currency_Sheet6_1_FTE Retrieval" xfId="12142" xr:uid="{00000000-0005-0000-0000-0000652F0000}"/>
    <cellStyle name="_Currency_Sheet6_1_FY PTI" xfId="12143" xr:uid="{00000000-0005-0000-0000-0000662F0000}"/>
    <cellStyle name="_Currency_Sheet6_1_Graphs" xfId="12144" xr:uid="{00000000-0005-0000-0000-0000672F0000}"/>
    <cellStyle name="_Currency_Sheet6_1_Graphs Retrieval" xfId="12145" xr:uid="{00000000-0005-0000-0000-0000682F0000}"/>
    <cellStyle name="_Currency_Sheet6_1_Input Sales" xfId="12146" xr:uid="{00000000-0005-0000-0000-0000692F0000}"/>
    <cellStyle name="_Currency_Sheet6_1_Offline-online" xfId="12147" xr:uid="{00000000-0005-0000-0000-00006A2F0000}"/>
    <cellStyle name="_Currency_Sheet6_1_P&amp;L Retrieval" xfId="12148" xr:uid="{00000000-0005-0000-0000-00006B2F0000}"/>
    <cellStyle name="_Currency_Sheet6_1_Retrieval for SalesComments" xfId="12149" xr:uid="{00000000-0005-0000-0000-00006C2F0000}"/>
    <cellStyle name="_Currency_Sheet6_1_Retrieve Month" xfId="12150" xr:uid="{00000000-0005-0000-0000-00006D2F0000}"/>
    <cellStyle name="_Currency_Sheet6_1_Retrieve YTD&amp;FY" xfId="12151" xr:uid="{00000000-0005-0000-0000-00006E2F0000}"/>
    <cellStyle name="_Currency_Sheet6_1_Rev per TRX input" xfId="12152" xr:uid="{00000000-0005-0000-0000-00006F2F0000}"/>
    <cellStyle name="_Currency_Sheet6_1_Sales Analyses" xfId="12153" xr:uid="{00000000-0005-0000-0000-0000702F0000}"/>
    <cellStyle name="_Currency_Sheet6_1_Sales Page Graphs" xfId="12154" xr:uid="{00000000-0005-0000-0000-0000712F0000}"/>
    <cellStyle name="_Currency_Sheet6_1_Sales summary" xfId="12155" xr:uid="{00000000-0005-0000-0000-0000722F0000}"/>
    <cellStyle name="_Currency_Sheet6_1_Sheet1" xfId="12156" xr:uid="{00000000-0005-0000-0000-0000732F0000}"/>
    <cellStyle name="_Currency_Sheet6_1_Sheet10" xfId="12157" xr:uid="{00000000-0005-0000-0000-0000742F0000}"/>
    <cellStyle name="_Currency_Sheet6_1_Sheet11" xfId="12158" xr:uid="{00000000-0005-0000-0000-0000752F0000}"/>
    <cellStyle name="_Currency_Sheet6_1_Sheet12" xfId="12159" xr:uid="{00000000-0005-0000-0000-0000762F0000}"/>
    <cellStyle name="_Currency_Sheet6_1_Sheet13" xfId="12160" xr:uid="{00000000-0005-0000-0000-0000772F0000}"/>
    <cellStyle name="_Currency_Sheet6_1_Sheet14" xfId="12161" xr:uid="{00000000-0005-0000-0000-0000782F0000}"/>
    <cellStyle name="_Currency_Sheet6_1_Sheet15" xfId="12162" xr:uid="{00000000-0005-0000-0000-0000792F0000}"/>
    <cellStyle name="_Currency_Sheet6_1_Sheet16" xfId="12163" xr:uid="{00000000-0005-0000-0000-00007A2F0000}"/>
    <cellStyle name="_Currency_Sheet6_1_Sheet17" xfId="12164" xr:uid="{00000000-0005-0000-0000-00007B2F0000}"/>
    <cellStyle name="_Currency_Sheet6_1_Sheet18" xfId="12165" xr:uid="{00000000-0005-0000-0000-00007C2F0000}"/>
    <cellStyle name="_Currency_Sheet6_1_Sheet19" xfId="12166" xr:uid="{00000000-0005-0000-0000-00007D2F0000}"/>
    <cellStyle name="_Currency_Sheet6_1_Sheet2" xfId="12167" xr:uid="{00000000-0005-0000-0000-00007E2F0000}"/>
    <cellStyle name="_Currency_Sheet6_1_Sheet2_1" xfId="12168" xr:uid="{00000000-0005-0000-0000-00007F2F0000}"/>
    <cellStyle name="_Currency_Sheet6_1_Sheet20" xfId="12169" xr:uid="{00000000-0005-0000-0000-0000802F0000}"/>
    <cellStyle name="_Currency_Sheet6_1_Sheet21" xfId="12170" xr:uid="{00000000-0005-0000-0000-0000812F0000}"/>
    <cellStyle name="_Currency_Sheet6_1_Sheet22" xfId="12171" xr:uid="{00000000-0005-0000-0000-0000822F0000}"/>
    <cellStyle name="_Currency_Sheet6_1_Sheet23" xfId="12172" xr:uid="{00000000-0005-0000-0000-0000832F0000}"/>
    <cellStyle name="_Currency_Sheet6_1_Sheet24" xfId="12173" xr:uid="{00000000-0005-0000-0000-0000842F0000}"/>
    <cellStyle name="_Currency_Sheet6_1_Sheet25" xfId="12174" xr:uid="{00000000-0005-0000-0000-0000852F0000}"/>
    <cellStyle name="_Currency_Sheet6_1_Sheet3" xfId="12175" xr:uid="{00000000-0005-0000-0000-0000862F0000}"/>
    <cellStyle name="_Currency_Sheet6_1_Sheet3_1" xfId="12176" xr:uid="{00000000-0005-0000-0000-0000872F0000}"/>
    <cellStyle name="_Currency_Sheet6_1_Sheet37" xfId="12177" xr:uid="{00000000-0005-0000-0000-0000882F0000}"/>
    <cellStyle name="_Currency_Sheet6_1_Sheet38" xfId="12178" xr:uid="{00000000-0005-0000-0000-0000892F0000}"/>
    <cellStyle name="_Currency_Sheet6_1_Sheet39" xfId="12179" xr:uid="{00000000-0005-0000-0000-00008A2F0000}"/>
    <cellStyle name="_Currency_Sheet6_1_Sheet4" xfId="12180" xr:uid="{00000000-0005-0000-0000-00008B2F0000}"/>
    <cellStyle name="_Currency_Sheet6_1_Sheet4_1" xfId="12181" xr:uid="{00000000-0005-0000-0000-00008C2F0000}"/>
    <cellStyle name="_Currency_Sheet6_1_Sheet40" xfId="12182" xr:uid="{00000000-0005-0000-0000-00008D2F0000}"/>
    <cellStyle name="_Currency_Sheet6_1_Sheet41" xfId="12183" xr:uid="{00000000-0005-0000-0000-00008E2F0000}"/>
    <cellStyle name="_Currency_Sheet6_1_Sheet42" xfId="12184" xr:uid="{00000000-0005-0000-0000-00008F2F0000}"/>
    <cellStyle name="_Currency_Sheet6_1_Sheet43" xfId="12185" xr:uid="{00000000-0005-0000-0000-0000902F0000}"/>
    <cellStyle name="_Currency_Sheet6_1_Sheet44" xfId="12186" xr:uid="{00000000-0005-0000-0000-0000912F0000}"/>
    <cellStyle name="_Currency_Sheet6_1_Sheet45" xfId="12187" xr:uid="{00000000-0005-0000-0000-0000922F0000}"/>
    <cellStyle name="_Currency_Sheet6_1_Sheet46" xfId="12188" xr:uid="{00000000-0005-0000-0000-0000932F0000}"/>
    <cellStyle name="_Currency_Sheet6_1_Sheet47" xfId="12189" xr:uid="{00000000-0005-0000-0000-0000942F0000}"/>
    <cellStyle name="_Currency_Sheet6_1_Sheet48" xfId="12190" xr:uid="{00000000-0005-0000-0000-0000952F0000}"/>
    <cellStyle name="_Currency_Sheet6_1_Sheet49" xfId="12191" xr:uid="{00000000-0005-0000-0000-0000962F0000}"/>
    <cellStyle name="_Currency_Sheet6_1_Sheet5" xfId="12192" xr:uid="{00000000-0005-0000-0000-0000972F0000}"/>
    <cellStyle name="_Currency_Sheet6_1_Sheet5_1" xfId="12193" xr:uid="{00000000-0005-0000-0000-0000982F0000}"/>
    <cellStyle name="_Currency_Sheet6_1_Sheet6" xfId="12194" xr:uid="{00000000-0005-0000-0000-0000992F0000}"/>
    <cellStyle name="_Currency_Sheet6_1_Sheet6_1" xfId="12195" xr:uid="{00000000-0005-0000-0000-00009A2F0000}"/>
    <cellStyle name="_Currency_Sheet6_1_Sheet7" xfId="12196" xr:uid="{00000000-0005-0000-0000-00009B2F0000}"/>
    <cellStyle name="_Currency_Sheet6_1_Sheet8" xfId="12197" xr:uid="{00000000-0005-0000-0000-00009C2F0000}"/>
    <cellStyle name="_Currency_Sheet6_1_Sheet9" xfId="12198" xr:uid="{00000000-0005-0000-0000-00009D2F0000}"/>
    <cellStyle name="_Currency_Sheet6_1_Trans" xfId="12199" xr:uid="{00000000-0005-0000-0000-00009E2F0000}"/>
    <cellStyle name="_Currency_Sheet6_1_Trans +5 Deck link" xfId="12200" xr:uid="{00000000-0005-0000-0000-00009F2F0000}"/>
    <cellStyle name="_Currency_Sheet6_1_TRX" xfId="12201" xr:uid="{00000000-0005-0000-0000-0000A02F0000}"/>
    <cellStyle name="_Currency_Sheet6_1_TRX month" xfId="12202" xr:uid="{00000000-0005-0000-0000-0000A12F0000}"/>
    <cellStyle name="_Currency_Sheet6_1_TRX month &amp; YTD Analyses" xfId="12203" xr:uid="{00000000-0005-0000-0000-0000A22F0000}"/>
    <cellStyle name="_Currency_Sheet6_1_TRX VOL REV" xfId="12204" xr:uid="{00000000-0005-0000-0000-0000A32F0000}"/>
    <cellStyle name="_Currency_Sheet6_1_TRX Vol REV Analyses" xfId="12205" xr:uid="{00000000-0005-0000-0000-0000A42F0000}"/>
    <cellStyle name="_Currency_Sheet6_1_TRX. YTD" xfId="12206" xr:uid="{00000000-0005-0000-0000-0000A52F0000}"/>
    <cellStyle name="_Currency_Sheet6_1_variance graphs" xfId="12207" xr:uid="{00000000-0005-0000-0000-0000A62F0000}"/>
    <cellStyle name="_Currency_Sheet6_2" xfId="12208" xr:uid="{00000000-0005-0000-0000-0000A72F0000}"/>
    <cellStyle name="_Currency_Sheet6_2007" xfId="12209" xr:uid="{00000000-0005-0000-0000-0000A82F0000}"/>
    <cellStyle name="_Currency_Sheet6_2008 2+10" xfId="12210" xr:uid="{00000000-0005-0000-0000-0000A92F0000}"/>
    <cellStyle name="_Currency_Sheet6_2008 BUD" xfId="12211" xr:uid="{00000000-0005-0000-0000-0000AA2F0000}"/>
    <cellStyle name="_Currency_Sheet6_2008 BUD_1" xfId="12212" xr:uid="{00000000-0005-0000-0000-0000AB2F0000}"/>
    <cellStyle name="_Currency_Sheet6_5+7F" xfId="12213" xr:uid="{00000000-0005-0000-0000-0000AC2F0000}"/>
    <cellStyle name="_Currency_Sheet6_8+4 2009 Forecast Prediction V0.4 210808" xfId="12214" xr:uid="{00000000-0005-0000-0000-0000AD2F0000}"/>
    <cellStyle name="_Currency_Sheet6_8+4F" xfId="12215" xr:uid="{00000000-0005-0000-0000-0000AE2F0000}"/>
    <cellStyle name="_Currency_Sheet6_ACT" xfId="12216" xr:uid="{00000000-0005-0000-0000-0000AF2F0000}"/>
    <cellStyle name="_Currency_Sheet6_Actual" xfId="12217" xr:uid="{00000000-0005-0000-0000-0000B02F0000}"/>
    <cellStyle name="_Currency_Sheet6_Actual_1" xfId="12218" xr:uid="{00000000-0005-0000-0000-0000B12F0000}"/>
    <cellStyle name="_Currency_Sheet6_Air" xfId="12219" xr:uid="{00000000-0005-0000-0000-0000B22F0000}"/>
    <cellStyle name="_Currency_Sheet6_Air Sales Retrieval" xfId="12220" xr:uid="{00000000-0005-0000-0000-0000B32F0000}"/>
    <cellStyle name="_Currency_Sheet6_Belgium_2007" xfId="12221" xr:uid="{00000000-0005-0000-0000-0000B42F0000}"/>
    <cellStyle name="_Currency_Sheet6_Belgium_2007_1" xfId="12222" xr:uid="{00000000-0005-0000-0000-0000B52F0000}"/>
    <cellStyle name="_Currency_Sheet6_Belgium_2008" xfId="12223" xr:uid="{00000000-0005-0000-0000-0000B62F0000}"/>
    <cellStyle name="_Currency_Sheet6_Belgium_2008_1" xfId="12224" xr:uid="{00000000-0005-0000-0000-0000B72F0000}"/>
    <cellStyle name="_Currency_Sheet6_exec summary input" xfId="12225" xr:uid="{00000000-0005-0000-0000-0000B82F0000}"/>
    <cellStyle name="_Currency_Sheet6_France &amp; Belgium 2008 Plan YTD" xfId="12226" xr:uid="{00000000-0005-0000-0000-0000B92F0000}"/>
    <cellStyle name="_Currency_Sheet6_France &amp; Belgium 8+4F YTD" xfId="12227" xr:uid="{00000000-0005-0000-0000-0000BA2F0000}"/>
    <cellStyle name="_Currency_Sheet6_France_2007" xfId="12228" xr:uid="{00000000-0005-0000-0000-0000BB2F0000}"/>
    <cellStyle name="_Currency_Sheet6_France_2007_1" xfId="12229" xr:uid="{00000000-0005-0000-0000-0000BC2F0000}"/>
    <cellStyle name="_Currency_Sheet6_FTE Retrieval" xfId="12230" xr:uid="{00000000-0005-0000-0000-0000BD2F0000}"/>
    <cellStyle name="_Currency_Sheet6_Graphs Retrieval" xfId="12231" xr:uid="{00000000-0005-0000-0000-0000BE2F0000}"/>
    <cellStyle name="_Currency_Sheet6_Gross Air Trnx Retrival" xfId="12232" xr:uid="{00000000-0005-0000-0000-0000BF2F0000}"/>
    <cellStyle name="_Currency_Sheet6_Gross Rail Trxn Retrieval" xfId="12233" xr:uid="{00000000-0005-0000-0000-0000C02F0000}"/>
    <cellStyle name="_Currency_Sheet6_Heather" xfId="12234" xr:uid="{00000000-0005-0000-0000-0000C12F0000}"/>
    <cellStyle name="_Currency_Sheet6_Henry" xfId="12235" xr:uid="{00000000-0005-0000-0000-0000C22F0000}"/>
    <cellStyle name="_Currency_Sheet6_IRE restated-mth evolution " xfId="12236" xr:uid="{00000000-0005-0000-0000-0000C32F0000}"/>
    <cellStyle name="_Currency_Sheet6_Jen" xfId="12237" xr:uid="{00000000-0005-0000-0000-0000C42F0000}"/>
    <cellStyle name="_Currency_Sheet6_Lisa" xfId="12238" xr:uid="{00000000-0005-0000-0000-0000C52F0000}"/>
    <cellStyle name="_Currency_Sheet6_LY" xfId="12239" xr:uid="{00000000-0005-0000-0000-0000C62F0000}"/>
    <cellStyle name="_Currency_Sheet6_LY_1" xfId="12240" xr:uid="{00000000-0005-0000-0000-0000C72F0000}"/>
    <cellStyle name="_Currency_Sheet6_March - SDN" xfId="12241" xr:uid="{00000000-0005-0000-0000-0000C82F0000}"/>
    <cellStyle name="_Currency_Sheet6_October &amp; YTD UK Functional" xfId="12242" xr:uid="{00000000-0005-0000-0000-0000C92F0000}"/>
    <cellStyle name="_Currency_Sheet6_October &amp; YTD UK Functional - against SDN from GRS" xfId="12243" xr:uid="{00000000-0005-0000-0000-0000CA2F0000}"/>
    <cellStyle name="_Currency_Sheet6_paula check act" xfId="12244" xr:uid="{00000000-0005-0000-0000-0000CB2F0000}"/>
    <cellStyle name="_Currency_Sheet6_Rail Trxs Data" xfId="12245" xr:uid="{00000000-0005-0000-0000-0000CC2F0000}"/>
    <cellStyle name="_Currency_Sheet6_Retrieve Month" xfId="12246" xr:uid="{00000000-0005-0000-0000-0000CD2F0000}"/>
    <cellStyle name="_Currency_Sheet6_Retrieve YTD&amp;FY" xfId="12247" xr:uid="{00000000-0005-0000-0000-0000CE2F0000}"/>
    <cellStyle name="_Currency_Sheet6_Revenue" xfId="12248" xr:uid="{00000000-0005-0000-0000-0000CF2F0000}"/>
    <cellStyle name="_Currency_Sheet6_Revenue_1" xfId="12249" xr:uid="{00000000-0005-0000-0000-0000D02F0000}"/>
    <cellStyle name="_Currency_Sheet6_Sheet1" xfId="12250" xr:uid="{00000000-0005-0000-0000-0000D12F0000}"/>
    <cellStyle name="_Currency_Sheet6_Sheet1_1" xfId="12251" xr:uid="{00000000-0005-0000-0000-0000D22F0000}"/>
    <cellStyle name="_Currency_Sheet6_Sheet10" xfId="12252" xr:uid="{00000000-0005-0000-0000-0000D32F0000}"/>
    <cellStyle name="_Currency_Sheet6_Sheet11" xfId="12253" xr:uid="{00000000-0005-0000-0000-0000D42F0000}"/>
    <cellStyle name="_Currency_Sheet6_Sheet13" xfId="12254" xr:uid="{00000000-0005-0000-0000-0000D52F0000}"/>
    <cellStyle name="_Currency_Sheet6_Sheet2" xfId="12255" xr:uid="{00000000-0005-0000-0000-0000D62F0000}"/>
    <cellStyle name="_Currency_Sheet6_Sheet2_1" xfId="12256" xr:uid="{00000000-0005-0000-0000-0000D72F0000}"/>
    <cellStyle name="_Currency_Sheet6_Sheet2_IRE restated-mth evolution " xfId="12257" xr:uid="{00000000-0005-0000-0000-0000D82F0000}"/>
    <cellStyle name="_Currency_Sheet6_Sheet2_Rail Trxs Data" xfId="12258" xr:uid="{00000000-0005-0000-0000-0000D92F0000}"/>
    <cellStyle name="_Currency_Sheet6_Sheet2_UK restated-mth evolution" xfId="12259" xr:uid="{00000000-0005-0000-0000-0000DA2F0000}"/>
    <cellStyle name="_Currency_Sheet6_Sheet3" xfId="12260" xr:uid="{00000000-0005-0000-0000-0000DB2F0000}"/>
    <cellStyle name="_Currency_Sheet6_Sheet3_# Expenses - UK" xfId="12261" xr:uid="{00000000-0005-0000-0000-0000DC2F0000}"/>
    <cellStyle name="_Currency_Sheet6_Sheet3_#cc not mapped to function - UK" xfId="12262" xr:uid="{00000000-0005-0000-0000-0000DD2F0000}"/>
    <cellStyle name="_Currency_Sheet6_Sheet3_#RET# ACTUALS" xfId="12263" xr:uid="{00000000-0005-0000-0000-0000DE2F0000}"/>
    <cellStyle name="_Currency_Sheet6_Sheet3_#ret# cclev ireland" xfId="12264" xr:uid="{00000000-0005-0000-0000-0000DF2F0000}"/>
    <cellStyle name="_Currency_Sheet6_Sheet3_#ret# cclev uk" xfId="12265" xr:uid="{00000000-0005-0000-0000-0000E02F0000}"/>
    <cellStyle name="_Currency_Sheet6_Sheet3_#SMR - UK" xfId="12266" xr:uid="{00000000-0005-0000-0000-0000E12F0000}"/>
    <cellStyle name="_Currency_Sheet6_Sheet3_1" xfId="12267" xr:uid="{00000000-0005-0000-0000-0000E22F0000}"/>
    <cellStyle name="_Currency_Sheet6_Sheet3_1_#RET# ACTUALS" xfId="12268" xr:uid="{00000000-0005-0000-0000-0000E32F0000}"/>
    <cellStyle name="_Currency_Sheet6_Sheet3_1_#ret# cclev ireland" xfId="12269" xr:uid="{00000000-0005-0000-0000-0000E42F0000}"/>
    <cellStyle name="_Currency_Sheet6_Sheet3_1_#ret# cclev uk" xfId="12270" xr:uid="{00000000-0005-0000-0000-0000E52F0000}"/>
    <cellStyle name="_Currency_Sheet6_Sheet3_1_Sheet2" xfId="12271" xr:uid="{00000000-0005-0000-0000-0000E62F0000}"/>
    <cellStyle name="_Currency_Sheet6_Sheet3_1_Sheet3" xfId="12272" xr:uid="{00000000-0005-0000-0000-0000E72F0000}"/>
    <cellStyle name="_Currency_Sheet6_Sheet3_1_Sheet3_1" xfId="12273" xr:uid="{00000000-0005-0000-0000-0000E82F0000}"/>
    <cellStyle name="_Currency_Sheet6_Sheet3_Air" xfId="12274" xr:uid="{00000000-0005-0000-0000-0000E92F0000}"/>
    <cellStyle name="_Currency_Sheet6_Sheet3_IRE restated-mth evolution " xfId="12275" xr:uid="{00000000-0005-0000-0000-0000EA2F0000}"/>
    <cellStyle name="_Currency_Sheet6_Sheet3_October &amp; YTD UK Functional" xfId="12276" xr:uid="{00000000-0005-0000-0000-0000EB2F0000}"/>
    <cellStyle name="_Currency_Sheet6_Sheet3_October &amp; YTD UK Functional - against SDN from GRS" xfId="12277" xr:uid="{00000000-0005-0000-0000-0000EC2F0000}"/>
    <cellStyle name="_Currency_Sheet6_Sheet3_Rail Trxs Data" xfId="12278" xr:uid="{00000000-0005-0000-0000-0000ED2F0000}"/>
    <cellStyle name="_Currency_Sheet6_Sheet3_Retrieve Month" xfId="12279" xr:uid="{00000000-0005-0000-0000-0000EE2F0000}"/>
    <cellStyle name="_Currency_Sheet6_Sheet3_Retrieve YTD&amp;FY" xfId="12280" xr:uid="{00000000-0005-0000-0000-0000EF2F0000}"/>
    <cellStyle name="_Currency_Sheet6_Sheet3_Sheet11" xfId="12281" xr:uid="{00000000-0005-0000-0000-0000F02F0000}"/>
    <cellStyle name="_Currency_Sheet6_Sheet3_Sheet12" xfId="12282" xr:uid="{00000000-0005-0000-0000-0000F12F0000}"/>
    <cellStyle name="_Currency_Sheet6_Sheet3_Sheet13" xfId="12283" xr:uid="{00000000-0005-0000-0000-0000F22F0000}"/>
    <cellStyle name="_Currency_Sheet6_Sheet3_Sheet2" xfId="12284" xr:uid="{00000000-0005-0000-0000-0000F32F0000}"/>
    <cellStyle name="_Currency_Sheet6_Sheet3_Sheet2_1" xfId="12285" xr:uid="{00000000-0005-0000-0000-0000F42F0000}"/>
    <cellStyle name="_Currency_Sheet6_Sheet3_Sheet3" xfId="12286" xr:uid="{00000000-0005-0000-0000-0000F52F0000}"/>
    <cellStyle name="_Currency_Sheet6_Sheet3_Sheet3_1" xfId="12287" xr:uid="{00000000-0005-0000-0000-0000F62F0000}"/>
    <cellStyle name="_Currency_Sheet6_Sheet3_Sheet5" xfId="12288" xr:uid="{00000000-0005-0000-0000-0000F72F0000}"/>
    <cellStyle name="_Currency_Sheet6_Sheet3_Sheet5_1" xfId="12289" xr:uid="{00000000-0005-0000-0000-0000F82F0000}"/>
    <cellStyle name="_Currency_Sheet6_Sheet3_Sheet6" xfId="12290" xr:uid="{00000000-0005-0000-0000-0000F92F0000}"/>
    <cellStyle name="_Currency_Sheet6_Sheet3_Sheet7" xfId="12291" xr:uid="{00000000-0005-0000-0000-0000FA2F0000}"/>
    <cellStyle name="_Currency_Sheet6_Sheet3_SMR FCST" xfId="12292" xr:uid="{00000000-0005-0000-0000-0000FB2F0000}"/>
    <cellStyle name="_Currency_Sheet6_Sheet3_Trnx" xfId="12293" xr:uid="{00000000-0005-0000-0000-0000FC2F0000}"/>
    <cellStyle name="_Currency_Sheet6_Sheet3_UK restated-mth evolution" xfId="12294" xr:uid="{00000000-0005-0000-0000-0000FD2F0000}"/>
    <cellStyle name="_Currency_Sheet6_Sheet3_YTD PULL" xfId="12295" xr:uid="{00000000-0005-0000-0000-0000FE2F0000}"/>
    <cellStyle name="_Currency_Sheet6_Sheet4" xfId="12296" xr:uid="{00000000-0005-0000-0000-0000FF2F0000}"/>
    <cellStyle name="_Currency_Sheet6_Sheet5" xfId="12297" xr:uid="{00000000-0005-0000-0000-000000300000}"/>
    <cellStyle name="_Currency_Sheet6_Sheet5_SMR FCST" xfId="12298" xr:uid="{00000000-0005-0000-0000-000001300000}"/>
    <cellStyle name="_Currency_Sheet6_Sheet6" xfId="12299" xr:uid="{00000000-0005-0000-0000-000002300000}"/>
    <cellStyle name="_Currency_Sheet6_Sheet7" xfId="12300" xr:uid="{00000000-0005-0000-0000-000003300000}"/>
    <cellStyle name="_Currency_Sheet6_Sheet9" xfId="12301" xr:uid="{00000000-0005-0000-0000-000004300000}"/>
    <cellStyle name="_Currency_Sheet6_SMR FCST" xfId="12302" xr:uid="{00000000-0005-0000-0000-000005300000}"/>
    <cellStyle name="_Currency_Sheet6_Total Sales Retrieval" xfId="12303" xr:uid="{00000000-0005-0000-0000-000006300000}"/>
    <cellStyle name="_Currency_Sheet6_Travel TM1 P&amp;L (for Users)" xfId="12304" xr:uid="{00000000-0005-0000-0000-000007300000}"/>
    <cellStyle name="_Currency_Sheet6_Trnx" xfId="12305" xr:uid="{00000000-0005-0000-0000-000008300000}"/>
    <cellStyle name="_Currency_Sheet6_UK (P&amp;L)" xfId="12306" xr:uid="{00000000-0005-0000-0000-000009300000}"/>
    <cellStyle name="_Currency_Sheet6_UK Online_Offline Trnx" xfId="12307" xr:uid="{00000000-0005-0000-0000-00000A300000}"/>
    <cellStyle name="_Currency_Sheet6_UK restated-mth evolution" xfId="12308" xr:uid="{00000000-0005-0000-0000-00000B300000}"/>
    <cellStyle name="_Currency_Sheet6_YTD" xfId="12309" xr:uid="{00000000-0005-0000-0000-00000C300000}"/>
    <cellStyle name="_Currency_Sheet6_YTD PULL" xfId="12310" xr:uid="{00000000-0005-0000-0000-00000D300000}"/>
    <cellStyle name="_Currency_Sheet7" xfId="12311" xr:uid="{00000000-0005-0000-0000-00000E300000}"/>
    <cellStyle name="_Currency_Sheet7_+5 deck links" xfId="12312" xr:uid="{00000000-0005-0000-0000-00000F300000}"/>
    <cellStyle name="_Currency_Sheet7_+5 EMEA Call input Trx v F'cast" xfId="12313" xr:uid="{00000000-0005-0000-0000-000010300000}"/>
    <cellStyle name="_Currency_Sheet7_+5 Year on Year Sales Growth.." xfId="12314" xr:uid="{00000000-0005-0000-0000-000011300000}"/>
    <cellStyle name="_Currency_Sheet7_1" xfId="12315" xr:uid="{00000000-0005-0000-0000-000012300000}"/>
    <cellStyle name="_Currency_Sheet7_ACT" xfId="12316" xr:uid="{00000000-0005-0000-0000-000013300000}"/>
    <cellStyle name="_Currency_Sheet7_FTE" xfId="12317" xr:uid="{00000000-0005-0000-0000-000014300000}"/>
    <cellStyle name="_Currency_Sheet7_FTE Retrieval" xfId="12318" xr:uid="{00000000-0005-0000-0000-000015300000}"/>
    <cellStyle name="_Currency_Sheet7_FY PTI" xfId="12319" xr:uid="{00000000-0005-0000-0000-000016300000}"/>
    <cellStyle name="_Currency_Sheet7_Graphs" xfId="12320" xr:uid="{00000000-0005-0000-0000-000017300000}"/>
    <cellStyle name="_Currency_Sheet7_Graphs Retrieval" xfId="12321" xr:uid="{00000000-0005-0000-0000-000018300000}"/>
    <cellStyle name="_Currency_Sheet7_Input Sales" xfId="12322" xr:uid="{00000000-0005-0000-0000-000019300000}"/>
    <cellStyle name="_Currency_Sheet7_Offline-online" xfId="12323" xr:uid="{00000000-0005-0000-0000-00001A300000}"/>
    <cellStyle name="_Currency_Sheet7_P&amp;L Retrieval" xfId="12324" xr:uid="{00000000-0005-0000-0000-00001B300000}"/>
    <cellStyle name="_Currency_Sheet7_Retrieval for SalesComments" xfId="12325" xr:uid="{00000000-0005-0000-0000-00001C300000}"/>
    <cellStyle name="_Currency_Sheet7_Retrieve Month" xfId="12326" xr:uid="{00000000-0005-0000-0000-00001D300000}"/>
    <cellStyle name="_Currency_Sheet7_Retrieve YTD&amp;FY" xfId="12327" xr:uid="{00000000-0005-0000-0000-00001E300000}"/>
    <cellStyle name="_Currency_Sheet7_Rev per TRX input" xfId="12328" xr:uid="{00000000-0005-0000-0000-00001F300000}"/>
    <cellStyle name="_Currency_Sheet7_Sales Analyses" xfId="12329" xr:uid="{00000000-0005-0000-0000-000020300000}"/>
    <cellStyle name="_Currency_Sheet7_Sales Page Graphs" xfId="12330" xr:uid="{00000000-0005-0000-0000-000021300000}"/>
    <cellStyle name="_Currency_Sheet7_Sales summary" xfId="12331" xr:uid="{00000000-0005-0000-0000-000022300000}"/>
    <cellStyle name="_Currency_Sheet7_Sheet1" xfId="12332" xr:uid="{00000000-0005-0000-0000-000023300000}"/>
    <cellStyle name="_Currency_Sheet7_Sheet10" xfId="12333" xr:uid="{00000000-0005-0000-0000-000024300000}"/>
    <cellStyle name="_Currency_Sheet7_Sheet11" xfId="12334" xr:uid="{00000000-0005-0000-0000-000025300000}"/>
    <cellStyle name="_Currency_Sheet7_Sheet12" xfId="12335" xr:uid="{00000000-0005-0000-0000-000026300000}"/>
    <cellStyle name="_Currency_Sheet7_Sheet13" xfId="12336" xr:uid="{00000000-0005-0000-0000-000027300000}"/>
    <cellStyle name="_Currency_Sheet7_Sheet14" xfId="12337" xr:uid="{00000000-0005-0000-0000-000028300000}"/>
    <cellStyle name="_Currency_Sheet7_Sheet15" xfId="12338" xr:uid="{00000000-0005-0000-0000-000029300000}"/>
    <cellStyle name="_Currency_Sheet7_Sheet16" xfId="12339" xr:uid="{00000000-0005-0000-0000-00002A300000}"/>
    <cellStyle name="_Currency_Sheet7_Sheet17" xfId="12340" xr:uid="{00000000-0005-0000-0000-00002B300000}"/>
    <cellStyle name="_Currency_Sheet7_Sheet18" xfId="12341" xr:uid="{00000000-0005-0000-0000-00002C300000}"/>
    <cellStyle name="_Currency_Sheet7_Sheet19" xfId="12342" xr:uid="{00000000-0005-0000-0000-00002D300000}"/>
    <cellStyle name="_Currency_Sheet7_Sheet2" xfId="12343" xr:uid="{00000000-0005-0000-0000-00002E300000}"/>
    <cellStyle name="_Currency_Sheet7_Sheet2_1" xfId="12344" xr:uid="{00000000-0005-0000-0000-00002F300000}"/>
    <cellStyle name="_Currency_Sheet7_Sheet20" xfId="12345" xr:uid="{00000000-0005-0000-0000-000030300000}"/>
    <cellStyle name="_Currency_Sheet7_Sheet21" xfId="12346" xr:uid="{00000000-0005-0000-0000-000031300000}"/>
    <cellStyle name="_Currency_Sheet7_Sheet22" xfId="12347" xr:uid="{00000000-0005-0000-0000-000032300000}"/>
    <cellStyle name="_Currency_Sheet7_Sheet23" xfId="12348" xr:uid="{00000000-0005-0000-0000-000033300000}"/>
    <cellStyle name="_Currency_Sheet7_Sheet24" xfId="12349" xr:uid="{00000000-0005-0000-0000-000034300000}"/>
    <cellStyle name="_Currency_Sheet7_Sheet25" xfId="12350" xr:uid="{00000000-0005-0000-0000-000035300000}"/>
    <cellStyle name="_Currency_Sheet7_Sheet3" xfId="12351" xr:uid="{00000000-0005-0000-0000-000036300000}"/>
    <cellStyle name="_Currency_Sheet7_Sheet3_1" xfId="12352" xr:uid="{00000000-0005-0000-0000-000037300000}"/>
    <cellStyle name="_Currency_Sheet7_Sheet37" xfId="12353" xr:uid="{00000000-0005-0000-0000-000038300000}"/>
    <cellStyle name="_Currency_Sheet7_Sheet38" xfId="12354" xr:uid="{00000000-0005-0000-0000-000039300000}"/>
    <cellStyle name="_Currency_Sheet7_Sheet39" xfId="12355" xr:uid="{00000000-0005-0000-0000-00003A300000}"/>
    <cellStyle name="_Currency_Sheet7_Sheet4" xfId="12356" xr:uid="{00000000-0005-0000-0000-00003B300000}"/>
    <cellStyle name="_Currency_Sheet7_Sheet4_1" xfId="12357" xr:uid="{00000000-0005-0000-0000-00003C300000}"/>
    <cellStyle name="_Currency_Sheet7_Sheet40" xfId="12358" xr:uid="{00000000-0005-0000-0000-00003D300000}"/>
    <cellStyle name="_Currency_Sheet7_Sheet41" xfId="12359" xr:uid="{00000000-0005-0000-0000-00003E300000}"/>
    <cellStyle name="_Currency_Sheet7_Sheet42" xfId="12360" xr:uid="{00000000-0005-0000-0000-00003F300000}"/>
    <cellStyle name="_Currency_Sheet7_Sheet43" xfId="12361" xr:uid="{00000000-0005-0000-0000-000040300000}"/>
    <cellStyle name="_Currency_Sheet7_Sheet44" xfId="12362" xr:uid="{00000000-0005-0000-0000-000041300000}"/>
    <cellStyle name="_Currency_Sheet7_Sheet45" xfId="12363" xr:uid="{00000000-0005-0000-0000-000042300000}"/>
    <cellStyle name="_Currency_Sheet7_Sheet46" xfId="12364" xr:uid="{00000000-0005-0000-0000-000043300000}"/>
    <cellStyle name="_Currency_Sheet7_Sheet47" xfId="12365" xr:uid="{00000000-0005-0000-0000-000044300000}"/>
    <cellStyle name="_Currency_Sheet7_Sheet48" xfId="12366" xr:uid="{00000000-0005-0000-0000-000045300000}"/>
    <cellStyle name="_Currency_Sheet7_Sheet49" xfId="12367" xr:uid="{00000000-0005-0000-0000-000046300000}"/>
    <cellStyle name="_Currency_Sheet7_Sheet5" xfId="12368" xr:uid="{00000000-0005-0000-0000-000047300000}"/>
    <cellStyle name="_Currency_Sheet7_Sheet5_1" xfId="12369" xr:uid="{00000000-0005-0000-0000-000048300000}"/>
    <cellStyle name="_Currency_Sheet7_Sheet6" xfId="12370" xr:uid="{00000000-0005-0000-0000-000049300000}"/>
    <cellStyle name="_Currency_Sheet7_Sheet6_1" xfId="12371" xr:uid="{00000000-0005-0000-0000-00004A300000}"/>
    <cellStyle name="_Currency_Sheet7_Sheet7" xfId="12372" xr:uid="{00000000-0005-0000-0000-00004B300000}"/>
    <cellStyle name="_Currency_Sheet7_Sheet8" xfId="12373" xr:uid="{00000000-0005-0000-0000-00004C300000}"/>
    <cellStyle name="_Currency_Sheet7_Sheet9" xfId="12374" xr:uid="{00000000-0005-0000-0000-00004D300000}"/>
    <cellStyle name="_Currency_Sheet7_Trans" xfId="12375" xr:uid="{00000000-0005-0000-0000-00004E300000}"/>
    <cellStyle name="_Currency_Sheet7_Trans +5 Deck link" xfId="12376" xr:uid="{00000000-0005-0000-0000-00004F300000}"/>
    <cellStyle name="_Currency_Sheet7_TRX" xfId="12377" xr:uid="{00000000-0005-0000-0000-000050300000}"/>
    <cellStyle name="_Currency_Sheet7_TRX month" xfId="12378" xr:uid="{00000000-0005-0000-0000-000051300000}"/>
    <cellStyle name="_Currency_Sheet7_TRX month &amp; YTD Analyses" xfId="12379" xr:uid="{00000000-0005-0000-0000-000052300000}"/>
    <cellStyle name="_Currency_Sheet7_TRX VOL REV" xfId="12380" xr:uid="{00000000-0005-0000-0000-000053300000}"/>
    <cellStyle name="_Currency_Sheet7_TRX Vol REV Analyses" xfId="12381" xr:uid="{00000000-0005-0000-0000-000054300000}"/>
    <cellStyle name="_Currency_Sheet7_TRX. YTD" xfId="12382" xr:uid="{00000000-0005-0000-0000-000055300000}"/>
    <cellStyle name="_Currency_Sheet7_variance graphs" xfId="12383" xr:uid="{00000000-0005-0000-0000-000056300000}"/>
    <cellStyle name="_Currency_Sheet8" xfId="12384" xr:uid="{00000000-0005-0000-0000-000057300000}"/>
    <cellStyle name="_Currency_Sheet8_1" xfId="12385" xr:uid="{00000000-0005-0000-0000-000058300000}"/>
    <cellStyle name="_Currency_Sheet9" xfId="12386" xr:uid="{00000000-0005-0000-0000-000059300000}"/>
    <cellStyle name="_Currency_Sheet9_1" xfId="12387" xr:uid="{00000000-0005-0000-0000-00005A300000}"/>
    <cellStyle name="_Currency_SMR ACT" xfId="12388" xr:uid="{00000000-0005-0000-0000-00005B300000}"/>
    <cellStyle name="_Currency_SMR ACTUALS (2)" xfId="12389" xr:uid="{00000000-0005-0000-0000-00005C300000}"/>
    <cellStyle name="_Currency_SMR FCST" xfId="12390" xr:uid="{00000000-0005-0000-0000-00005D300000}"/>
    <cellStyle name="_Currency_Trans" xfId="12391" xr:uid="{00000000-0005-0000-0000-00005E300000}"/>
    <cellStyle name="_Currency_Trans +5 Deck link" xfId="12392" xr:uid="{00000000-0005-0000-0000-00005F300000}"/>
    <cellStyle name="_Currency_Travel TM1 P&amp;L (for Users)" xfId="12393" xr:uid="{00000000-0005-0000-0000-000060300000}"/>
    <cellStyle name="_Currency_Trnx" xfId="12394" xr:uid="{00000000-0005-0000-0000-000061300000}"/>
    <cellStyle name="_Currency_TRX" xfId="12395" xr:uid="{00000000-0005-0000-0000-000062300000}"/>
    <cellStyle name="_Currency_Trx (2)" xfId="12396" xr:uid="{00000000-0005-0000-0000-000063300000}"/>
    <cellStyle name="_Currency_TRX Month" xfId="12397" xr:uid="{00000000-0005-0000-0000-000064300000}"/>
    <cellStyle name="_Currency_TRX month &amp; YTD Analyses" xfId="12398" xr:uid="{00000000-0005-0000-0000-000065300000}"/>
    <cellStyle name="_Currency_TRX month Analyses" xfId="12399" xr:uid="{00000000-0005-0000-0000-000066300000}"/>
    <cellStyle name="_Currency_TRX VOL REV" xfId="12400" xr:uid="{00000000-0005-0000-0000-000067300000}"/>
    <cellStyle name="_Currency_TRX Vol REV Analyses" xfId="12401" xr:uid="{00000000-0005-0000-0000-000068300000}"/>
    <cellStyle name="_Currency_Trx YTD" xfId="12402" xr:uid="{00000000-0005-0000-0000-000069300000}"/>
    <cellStyle name="_Currency_TRX. month" xfId="12403" xr:uid="{00000000-0005-0000-0000-00006A300000}"/>
    <cellStyle name="_Currency_TRX. YTD" xfId="12404" xr:uid="{00000000-0005-0000-0000-00006B300000}"/>
    <cellStyle name="_Currency_UK (P&amp;L)" xfId="12405" xr:uid="{00000000-0005-0000-0000-00006C300000}"/>
    <cellStyle name="_Currency_UK Online_Offline Trnx" xfId="12406" xr:uid="{00000000-0005-0000-0000-00006D300000}"/>
    <cellStyle name="_Currency_UK restated-mth evolution" xfId="12407" xr:uid="{00000000-0005-0000-0000-00006E300000}"/>
    <cellStyle name="_Currency_UK_Ireland Financial Review -June '07" xfId="12408" xr:uid="{00000000-0005-0000-0000-00006F300000}"/>
    <cellStyle name="_Currency_UK_Ireland Financial Review October '07" xfId="12409" xr:uid="{00000000-0005-0000-0000-000070300000}"/>
    <cellStyle name="_Currency_variance graphs" xfId="12410" xr:uid="{00000000-0005-0000-0000-000071300000}"/>
    <cellStyle name="_Currency_YTD PULL" xfId="12411" xr:uid="{00000000-0005-0000-0000-000072300000}"/>
    <cellStyle name="_CurrencySpace" xfId="12412" xr:uid="{00000000-0005-0000-0000-000073300000}"/>
    <cellStyle name="_Customer Revenue 8+4" xfId="12413" xr:uid="{00000000-0005-0000-0000-000074300000}"/>
    <cellStyle name="_CV Build Up 2007 Plan - LAC" xfId="12414" xr:uid="{00000000-0005-0000-0000-000075300000}"/>
    <cellStyle name="_CV Build Up 2007 Plan - LAC v2" xfId="12415" xr:uid="{00000000-0005-0000-0000-000076300000}"/>
    <cellStyle name="_CV Build_2+10F presentation" xfId="12416" xr:uid="{00000000-0005-0000-0000-000077300000}"/>
    <cellStyle name="_CV Build_August" xfId="12417" xr:uid="{00000000-0005-0000-0000-000078300000}"/>
    <cellStyle name="_CV Build_August YTD_10.11.07" xfId="12418" xr:uid="{00000000-0005-0000-0000-000079300000}"/>
    <cellStyle name="_CV Build_Brk out by Mkt" xfId="12419" xr:uid="{00000000-0005-0000-0000-00007A300000}"/>
    <cellStyle name="_CV Build_November YTD" xfId="12420" xr:uid="{00000000-0005-0000-0000-00007B300000}"/>
    <cellStyle name="_CV Build_October_CV Build" xfId="12421" xr:uid="{00000000-0005-0000-0000-00007C300000}"/>
    <cellStyle name="_CV Build_September_Retention Trend" xfId="12422" xr:uid="{00000000-0005-0000-0000-00007D300000}"/>
    <cellStyle name="_CV Buildup 2005" xfId="12423" xr:uid="{00000000-0005-0000-0000-00007E300000}"/>
    <cellStyle name="_CV By Segment (MM, LM &amp; GBP) - April YTD 06" xfId="12424" xr:uid="{00000000-0005-0000-0000-00007F300000}"/>
    <cellStyle name="_CV By Segment (MM, LM &amp; GBP) - February YTD 06" xfId="12425" xr:uid="{00000000-0005-0000-0000-000080300000}"/>
    <cellStyle name="_CV ENERO" xfId="12426" xr:uid="{00000000-0005-0000-0000-000081300000}"/>
    <cellStyle name="_CV ENERO 2" xfId="12427" xr:uid="{00000000-0005-0000-0000-000082300000}"/>
    <cellStyle name="_CV ENERO 2 2" xfId="12428" xr:uid="{00000000-0005-0000-0000-000083300000}"/>
    <cellStyle name="_CV ENERO 3" xfId="12429" xr:uid="{00000000-0005-0000-0000-000084300000}"/>
    <cellStyle name="_CV Plan Follow Ups v2" xfId="12430" xr:uid="{00000000-0005-0000-0000-000085300000}"/>
    <cellStyle name="_CWC Check - trend line support (2)" xfId="12431" xr:uid="{00000000-0005-0000-0000-000086300000}"/>
    <cellStyle name="_CWC_CEE TM tool" xfId="12432" xr:uid="{00000000-0005-0000-0000-000087300000}"/>
    <cellStyle name="_CWC_CEE TM tool_Cognos(2008 4 11)" xfId="12433" xr:uid="{00000000-0005-0000-0000-000088300000}"/>
    <cellStyle name="_CY (5)" xfId="12434" xr:uid="{00000000-0005-0000-0000-000089300000}"/>
    <cellStyle name="_Czech" xfId="12435" xr:uid="{00000000-0005-0000-0000-00008A300000}"/>
    <cellStyle name="_Dasboard Metrics Feb 2006" xfId="12436" xr:uid="{00000000-0005-0000-0000-00008B300000}"/>
    <cellStyle name="_Dashboard Template" xfId="12437" xr:uid="{00000000-0005-0000-0000-00008C300000}"/>
    <cellStyle name="_Dashboard Template 2" xfId="12438" xr:uid="{00000000-0005-0000-0000-00008D300000}"/>
    <cellStyle name="_Dashboard Template 2 2" xfId="12439" xr:uid="{00000000-0005-0000-0000-00008E300000}"/>
    <cellStyle name="_Dashboard Template 3" xfId="12440" xr:uid="{00000000-0005-0000-0000-00008F300000}"/>
    <cellStyle name="_Dashboard Template_프링WCCP Excellence Program_BU Dashboard  Tracking Korea New version July 30 '08" xfId="12441" xr:uid="{00000000-0005-0000-0000-000090300000}"/>
    <cellStyle name="_Dashboard Template_프링WCCP Excellence Program_BU Dashboard  Tracking Korea New version July 30 '08 2" xfId="12442" xr:uid="{00000000-0005-0000-0000-000091300000}"/>
    <cellStyle name="_Dashboard Template_프링WCCP Excellence Program_BU Dashboard  Tracking Korea New version July 30 '08 2 2" xfId="12443" xr:uid="{00000000-0005-0000-0000-000092300000}"/>
    <cellStyle name="_Dashboard Template_프링WCCP Excellence Program_BU Dashboard  Tracking Korea New version July 30 '08 3" xfId="12444" xr:uid="{00000000-0005-0000-0000-000093300000}"/>
    <cellStyle name="_Data" xfId="12445" xr:uid="{00000000-0005-0000-0000-000094300000}"/>
    <cellStyle name="_Data 2" xfId="12446" xr:uid="{00000000-0005-0000-0000-000095300000}"/>
    <cellStyle name="_Data 2 2" xfId="12447" xr:uid="{00000000-0005-0000-0000-000096300000}"/>
    <cellStyle name="_Data 2 2 2" xfId="12448" xr:uid="{00000000-0005-0000-0000-000097300000}"/>
    <cellStyle name="_Data 2 3" xfId="12449" xr:uid="{00000000-0005-0000-0000-000098300000}"/>
    <cellStyle name="_Data 3" xfId="12450" xr:uid="{00000000-0005-0000-0000-000099300000}"/>
    <cellStyle name="_Data 3 2" xfId="12451" xr:uid="{00000000-0005-0000-0000-00009A300000}"/>
    <cellStyle name="_Data 4" xfId="12452" xr:uid="{00000000-0005-0000-0000-00009B300000}"/>
    <cellStyle name="_Data from Deck relating to ABS Analysis 03_31_06" xfId="12453" xr:uid="{00000000-0005-0000-0000-00009C300000}"/>
    <cellStyle name="_Data from Deck relating to ABS Analysis 03_31_06_Global Group" xfId="12454" xr:uid="{00000000-0005-0000-0000-00009D300000}"/>
    <cellStyle name="_Data from Deck relating to ABS Analysis 05_31_06" xfId="12455" xr:uid="{00000000-0005-0000-0000-00009E300000}"/>
    <cellStyle name="_Data from Deck relating to ABS Analysis 05_31_06_Global Group" xfId="12456" xr:uid="{00000000-0005-0000-0000-00009F300000}"/>
    <cellStyle name="_Data from Deck relating to ABS Analysis 09_30_06" xfId="12457" xr:uid="{00000000-0005-0000-0000-0000A0300000}"/>
    <cellStyle name="_Data from Deck relating to ABS Analysis 09_30_06_Global Group" xfId="12458" xr:uid="{00000000-0005-0000-0000-0000A1300000}"/>
    <cellStyle name="_Data_~7420718" xfId="12459" xr:uid="{00000000-0005-0000-0000-0000A2300000}"/>
    <cellStyle name="_Data_~7420718 2" xfId="12460" xr:uid="{00000000-0005-0000-0000-0000A3300000}"/>
    <cellStyle name="_Data_~7420718 2 2" xfId="12461" xr:uid="{00000000-0005-0000-0000-0000A4300000}"/>
    <cellStyle name="_Data_~7420718 2 2 2" xfId="12462" xr:uid="{00000000-0005-0000-0000-0000A5300000}"/>
    <cellStyle name="_Data_~7420718 2 3" xfId="12463" xr:uid="{00000000-0005-0000-0000-0000A6300000}"/>
    <cellStyle name="_Data_~7420718 2 4" xfId="12464" xr:uid="{00000000-0005-0000-0000-0000A7300000}"/>
    <cellStyle name="_Data_~7420718 3" xfId="12465" xr:uid="{00000000-0005-0000-0000-0000A8300000}"/>
    <cellStyle name="_Data_~7420718 3 2" xfId="12466" xr:uid="{00000000-0005-0000-0000-0000A9300000}"/>
    <cellStyle name="_Data_~7420718_010808 Market Programs  for Budget Deck" xfId="12467" xr:uid="{00000000-0005-0000-0000-0000AA300000}"/>
    <cellStyle name="_Data_~7420718_010808 Market Programs  for Budget Deck 2" xfId="12468" xr:uid="{00000000-0005-0000-0000-0000AB300000}"/>
    <cellStyle name="_Data_~7420718_010808 Market Programs  for Budget Deck 2 2" xfId="12469" xr:uid="{00000000-0005-0000-0000-0000AC300000}"/>
    <cellStyle name="_Data_~7420718_0908 Gabarito exchange rate" xfId="12470" xr:uid="{00000000-0005-0000-0000-0000AD300000}"/>
    <cellStyle name="_Data_~7420718_0908 Gabarito exchange rate 2" xfId="12471" xr:uid="{00000000-0005-0000-0000-0000AE300000}"/>
    <cellStyle name="_Data_~7420718_0908 Gabarito exchange rate 2 2" xfId="12472" xr:uid="{00000000-0005-0000-0000-0000AF300000}"/>
    <cellStyle name="_Data_~7420718_0908 Gabarito exchange rate 3" xfId="12473" xr:uid="{00000000-0005-0000-0000-0000B0300000}"/>
    <cellStyle name="_Data_~7420718_0908 Gabarito exchange rate 4" xfId="12474" xr:uid="{00000000-0005-0000-0000-0000B1300000}"/>
    <cellStyle name="_Data_~7420718_Accident frequency" xfId="12475" xr:uid="{00000000-0005-0000-0000-0000B2300000}"/>
    <cellStyle name="_Data_~7420718_Additional Templates" xfId="12476" xr:uid="{00000000-0005-0000-0000-0000B3300000}"/>
    <cellStyle name="_Data_~7420718_Additional Templates (2)" xfId="12477" xr:uid="{00000000-0005-0000-0000-0000B4300000}"/>
    <cellStyle name="_Data_~7420718_Additional Templates (3)" xfId="12478" xr:uid="{00000000-0005-0000-0000-0000B5300000}"/>
    <cellStyle name="_Data_~7420718_Additional Templates (4)" xfId="12479" xr:uid="{00000000-0005-0000-0000-0000B6300000}"/>
    <cellStyle name="_Data_~7420718_Additional Templates (5)" xfId="12480" xr:uid="{00000000-0005-0000-0000-0000B7300000}"/>
    <cellStyle name="_Data_~7420718_Basis" xfId="12481" xr:uid="{00000000-0005-0000-0000-0000B8300000}"/>
    <cellStyle name="_Data_~7420718_Basis 2" xfId="12482" xr:uid="{00000000-0005-0000-0000-0000B9300000}"/>
    <cellStyle name="_Data_~7420718_Basis 2 2" xfId="12483" xr:uid="{00000000-0005-0000-0000-0000BA300000}"/>
    <cellStyle name="_Data_~7420718_Basis_packaging" xfId="12484" xr:uid="{00000000-0005-0000-0000-0000BB300000}"/>
    <cellStyle name="_Data_~7420718_Basis_packaging_Sheet5" xfId="12485" xr:uid="{00000000-0005-0000-0000-0000BC300000}"/>
    <cellStyle name="_Data_~7420718_Basis_RFFS SUBMISSION TO VPs" xfId="12486" xr:uid="{00000000-0005-0000-0000-0000BD300000}"/>
    <cellStyle name="_Data_~7420718_Basis_RFFS SUBMISSION TO VPs 2" xfId="12487" xr:uid="{00000000-0005-0000-0000-0000BE300000}"/>
    <cellStyle name="_Data_~7420718_Basis_RFFS_SUBMISSION_TO_VPs _v2" xfId="12488" xr:uid="{00000000-0005-0000-0000-0000BF300000}"/>
    <cellStyle name="_Data_~7420718_Basis_RFFS_SUBMISSION_TO_VPs _v2 2" xfId="12489" xr:uid="{00000000-0005-0000-0000-0000C0300000}"/>
    <cellStyle name="_Data_~7420718_Basis_Sheet1" xfId="12490" xr:uid="{00000000-0005-0000-0000-0000C1300000}"/>
    <cellStyle name="_Data_~7420718_Basis_Sheet5" xfId="12491" xr:uid="{00000000-0005-0000-0000-0000C2300000}"/>
    <cellStyle name="_Data_~7420718_Basis_Sm Proj Cash Flow" xfId="12492" xr:uid="{00000000-0005-0000-0000-0000C3300000}"/>
    <cellStyle name="_Data_~7420718_Basis_Spend Detail" xfId="12493" xr:uid="{00000000-0005-0000-0000-0000C4300000}"/>
    <cellStyle name="_Data_~7420718_Basis_SustainingProjectList" xfId="12494" xr:uid="{00000000-0005-0000-0000-0000C5300000}"/>
    <cellStyle name="_Data_~7420718_BGT 08 Templates Sales  Marketing - final (revised)" xfId="12495" xr:uid="{00000000-0005-0000-0000-0000C6300000}"/>
    <cellStyle name="_Data_~7420718_BGT 08 Templates Sales  Marketing - final (revised) 2" xfId="12496" xr:uid="{00000000-0005-0000-0000-0000C7300000}"/>
    <cellStyle name="_Data_~7420718_BGT 08 Templates Sales  Marketing - final (revised) 2 2" xfId="12497" xr:uid="{00000000-0005-0000-0000-0000C8300000}"/>
    <cellStyle name="_Data_~7420718_BGT 08 Templates Sales  Marketing - final (revised) 3" xfId="12498" xr:uid="{00000000-0005-0000-0000-0000C9300000}"/>
    <cellStyle name="_Data_~7420718_BGT 08 Templates Sales  Marketing - final (revised) 3 2" xfId="12499" xr:uid="{00000000-0005-0000-0000-0000CA300000}"/>
    <cellStyle name="_Data_~7420718_BGT 08 Templates Sales  Marketing - final (revised) 3 3" xfId="12500" xr:uid="{00000000-0005-0000-0000-0000CB300000}"/>
    <cellStyle name="_Data_~7420718_BGT 08 Templates Sales  Marketing - final (revised) 3 3 2" xfId="12501" xr:uid="{00000000-0005-0000-0000-0000CC300000}"/>
    <cellStyle name="_Data_~7420718_BGT 08 Templates Sales  Marketing - final (revised) 4" xfId="12502" xr:uid="{00000000-0005-0000-0000-0000CD300000}"/>
    <cellStyle name="_Data_~7420718_BGT 08 Templates Sales  Marketing - final (revised) 4 2" xfId="12503" xr:uid="{00000000-0005-0000-0000-0000CE300000}"/>
    <cellStyle name="_Data_~7420718_BGT 08 Templates Sales  Marketing - final (revised)_Sheet1" xfId="12504" xr:uid="{00000000-0005-0000-0000-0000CF300000}"/>
    <cellStyle name="_Data_~7420718_BGT 08 Templates Sales  Marketing - final (revised)_Sm Proj Cash Flow" xfId="12505" xr:uid="{00000000-0005-0000-0000-0000D0300000}"/>
    <cellStyle name="_Data_~7420718_BGT 08 Templates Sales  Marketing - final (revised)_Spend Detail" xfId="12506" xr:uid="{00000000-0005-0000-0000-0000D1300000}"/>
    <cellStyle name="_Data_~7420718_BGT 08 Templates Sales  Marketing - final (revised)_SustainingProjectList" xfId="12507" xr:uid="{00000000-0005-0000-0000-0000D2300000}"/>
    <cellStyle name="_Data_~7420718_Book5" xfId="12508" xr:uid="{00000000-0005-0000-0000-0000D3300000}"/>
    <cellStyle name="_Data_~7420718_Book5 2" xfId="12509" xr:uid="{00000000-0005-0000-0000-0000D4300000}"/>
    <cellStyle name="_Data_~7420718_Book5 2 2" xfId="12510" xr:uid="{00000000-0005-0000-0000-0000D5300000}"/>
    <cellStyle name="_Data_~7420718_Book5 3" xfId="12511" xr:uid="{00000000-0005-0000-0000-0000D6300000}"/>
    <cellStyle name="_Data_~7420718_Book5 4" xfId="12512" xr:uid="{00000000-0005-0000-0000-0000D7300000}"/>
    <cellStyle name="_Data_~7420718_Bplan RD 1001" xfId="12513" xr:uid="{00000000-0005-0000-0000-0000D8300000}"/>
    <cellStyle name="_Data_~7420718_Bplan RD 1001 2" xfId="12514" xr:uid="{00000000-0005-0000-0000-0000D9300000}"/>
    <cellStyle name="_Data_~7420718_Bplan RD 1001 2 2" xfId="12515" xr:uid="{00000000-0005-0000-0000-0000DA300000}"/>
    <cellStyle name="_Data_~7420718_Bplan RD 1001 3" xfId="12516" xr:uid="{00000000-0005-0000-0000-0000DB300000}"/>
    <cellStyle name="_Data_~7420718_Bplan RD 1001 4" xfId="12517" xr:uid="{00000000-0005-0000-0000-0000DC300000}"/>
    <cellStyle name="_Data_~7420718_CAPEX Analysis WE v3 Thomas" xfId="12518" xr:uid="{00000000-0005-0000-0000-0000DD300000}"/>
    <cellStyle name="_Data_~7420718_Challenge" xfId="12519" xr:uid="{00000000-0005-0000-0000-0000DE300000}"/>
    <cellStyle name="_Data_~7420718_Challenge 2" xfId="12520" xr:uid="{00000000-0005-0000-0000-0000DF300000}"/>
    <cellStyle name="_Data_~7420718_Challenge_Sheet1" xfId="12521" xr:uid="{00000000-0005-0000-0000-0000E0300000}"/>
    <cellStyle name="_Data_~7420718_Challenge_Sm Proj Cash Flow" xfId="12522" xr:uid="{00000000-0005-0000-0000-0000E1300000}"/>
    <cellStyle name="_Data_~7420718_Challenge_Spend Detail" xfId="12523" xr:uid="{00000000-0005-0000-0000-0000E2300000}"/>
    <cellStyle name="_Data_~7420718_Challenge_SustainingProjectList" xfId="12524" xr:uid="{00000000-0005-0000-0000-0000E3300000}"/>
    <cellStyle name="_Data_~7420718_Copy of BGT 08 Templates Sales  Marketing - final (revised)" xfId="12525" xr:uid="{00000000-0005-0000-0000-0000E4300000}"/>
    <cellStyle name="_Data_~7420718_Copy of BGT 08 Templates Sales  Marketing - final (revised) 2" xfId="12526" xr:uid="{00000000-0005-0000-0000-0000E5300000}"/>
    <cellStyle name="_Data_~7420718_Copy of BGT 08 Templates Sales  Marketing - final (revised) 2 2" xfId="12527" xr:uid="{00000000-0005-0000-0000-0000E6300000}"/>
    <cellStyle name="_Data_~7420718_Copy of BGT 08 Templates Sales  Marketing - final (revised) 3" xfId="12528" xr:uid="{00000000-0005-0000-0000-0000E7300000}"/>
    <cellStyle name="_Data_~7420718_Copy of BGT 08 Templates Sales  Marketing - final (revised) 3 2" xfId="12529" xr:uid="{00000000-0005-0000-0000-0000E8300000}"/>
    <cellStyle name="_Data_~7420718_Copy of BGT 08 Templates Sales  Marketing - final (revised) 3 3" xfId="12530" xr:uid="{00000000-0005-0000-0000-0000E9300000}"/>
    <cellStyle name="_Data_~7420718_Copy of BGT 08 Templates Sales  Marketing - final (revised) 3 3 2" xfId="12531" xr:uid="{00000000-0005-0000-0000-0000EA300000}"/>
    <cellStyle name="_Data_~7420718_Copy of BGT 08 Templates Sales  Marketing - final (revised) 4" xfId="12532" xr:uid="{00000000-0005-0000-0000-0000EB300000}"/>
    <cellStyle name="_Data_~7420718_Copy of BGT 08 Templates Sales  Marketing - final (revised) 4 2" xfId="12533" xr:uid="{00000000-0005-0000-0000-0000EC300000}"/>
    <cellStyle name="_Data_~7420718_Copy of BGT 08 Templates Sales  Marketing - final (revised)_Sheet1" xfId="12534" xr:uid="{00000000-0005-0000-0000-0000ED300000}"/>
    <cellStyle name="_Data_~7420718_Copy of BGT 08 Templates Sales  Marketing - final (revised)_Sm Proj Cash Flow" xfId="12535" xr:uid="{00000000-0005-0000-0000-0000EE300000}"/>
    <cellStyle name="_Data_~7420718_Copy of BGT 08 Templates Sales  Marketing - final (revised)_Spend Detail" xfId="12536" xr:uid="{00000000-0005-0000-0000-0000EF300000}"/>
    <cellStyle name="_Data_~7420718_Copy of BGT 08 Templates Sales  Marketing - final (revised)_SustainingProjectList" xfId="12537" xr:uid="{00000000-0005-0000-0000-0000F0300000}"/>
    <cellStyle name="_Data_~7420718_Excel sheets to support Market Program Template for Budget 09" xfId="12538" xr:uid="{00000000-0005-0000-0000-0000F1300000}"/>
    <cellStyle name="_Data_~7420718_Excel sheets to support Market Program Template for Budget 09 (5) (2)" xfId="12539" xr:uid="{00000000-0005-0000-0000-0000F2300000}"/>
    <cellStyle name="_Data_~7420718_Excel sheets to support Market Program Template for Budget 09 (5) (2) 2" xfId="12540" xr:uid="{00000000-0005-0000-0000-0000F3300000}"/>
    <cellStyle name="_Data_~7420718_Excel sheets to support Market Program Template for Budget 09 (5) (2) 2 2" xfId="12541" xr:uid="{00000000-0005-0000-0000-0000F4300000}"/>
    <cellStyle name="_Data_~7420718_Excel sheets to support Market Program Template for Budget 09 (5) (3)" xfId="12542" xr:uid="{00000000-0005-0000-0000-0000F5300000}"/>
    <cellStyle name="_Data_~7420718_Excel sheets to support Market Program Template for Budget 09 (5) (3) 2" xfId="12543" xr:uid="{00000000-0005-0000-0000-0000F6300000}"/>
    <cellStyle name="_Data_~7420718_Excel sheets to support Market Program Template for Budget 09 (5) (3) 2 2" xfId="12544" xr:uid="{00000000-0005-0000-0000-0000F7300000}"/>
    <cellStyle name="_Data_~7420718_Excel sheets to support Market Program Template for Budget 09 10" xfId="12545" xr:uid="{00000000-0005-0000-0000-0000F8300000}"/>
    <cellStyle name="_Data_~7420718_Excel sheets to support Market Program Template for Budget 09 11" xfId="12546" xr:uid="{00000000-0005-0000-0000-0000F9300000}"/>
    <cellStyle name="_Data_~7420718_Excel sheets to support Market Program Template for Budget 09 11 2" xfId="12547" xr:uid="{00000000-0005-0000-0000-0000FA300000}"/>
    <cellStyle name="_Data_~7420718_Excel sheets to support Market Program Template for Budget 09 12" xfId="12548" xr:uid="{00000000-0005-0000-0000-0000FB300000}"/>
    <cellStyle name="_Data_~7420718_Excel sheets to support Market Program Template for Budget 09 12 2" xfId="12549" xr:uid="{00000000-0005-0000-0000-0000FC300000}"/>
    <cellStyle name="_Data_~7420718_Excel sheets to support Market Program Template for Budget 09 13" xfId="12550" xr:uid="{00000000-0005-0000-0000-0000FD300000}"/>
    <cellStyle name="_Data_~7420718_Excel sheets to support Market Program Template for Budget 09 13 2" xfId="12551" xr:uid="{00000000-0005-0000-0000-0000FE300000}"/>
    <cellStyle name="_Data_~7420718_Excel sheets to support Market Program Template for Budget 09 14" xfId="12552" xr:uid="{00000000-0005-0000-0000-0000FF300000}"/>
    <cellStyle name="_Data_~7420718_Excel sheets to support Market Program Template for Budget 09 14 2" xfId="12553" xr:uid="{00000000-0005-0000-0000-000000310000}"/>
    <cellStyle name="_Data_~7420718_Excel sheets to support Market Program Template for Budget 09 2" xfId="12554" xr:uid="{00000000-0005-0000-0000-000001310000}"/>
    <cellStyle name="_Data_~7420718_Excel sheets to support Market Program Template for Budget 09 2 2" xfId="12555" xr:uid="{00000000-0005-0000-0000-000002310000}"/>
    <cellStyle name="_Data_~7420718_Excel sheets to support Market Program Template for Budget 09 3" xfId="12556" xr:uid="{00000000-0005-0000-0000-000003310000}"/>
    <cellStyle name="_Data_~7420718_Excel sheets to support Market Program Template for Budget 09 3 2" xfId="12557" xr:uid="{00000000-0005-0000-0000-000004310000}"/>
    <cellStyle name="_Data_~7420718_Excel sheets to support Market Program Template for Budget 09 4" xfId="12558" xr:uid="{00000000-0005-0000-0000-000005310000}"/>
    <cellStyle name="_Data_~7420718_Excel sheets to support Market Program Template for Budget 09 5" xfId="12559" xr:uid="{00000000-0005-0000-0000-000006310000}"/>
    <cellStyle name="_Data_~7420718_Excel sheets to support Market Program Template for Budget 09 5 2" xfId="12560" xr:uid="{00000000-0005-0000-0000-000007310000}"/>
    <cellStyle name="_Data_~7420718_Excel sheets to support Market Program Template for Budget 09 5 3" xfId="12561" xr:uid="{00000000-0005-0000-0000-000008310000}"/>
    <cellStyle name="_Data_~7420718_Excel sheets to support Market Program Template for Budget 09 5 3 2" xfId="12562" xr:uid="{00000000-0005-0000-0000-000009310000}"/>
    <cellStyle name="_Data_~7420718_Excel sheets to support Market Program Template for Budget 09 6" xfId="12563" xr:uid="{00000000-0005-0000-0000-00000A310000}"/>
    <cellStyle name="_Data_~7420718_Excel sheets to support Market Program Template for Budget 09 6 2" xfId="12564" xr:uid="{00000000-0005-0000-0000-00000B310000}"/>
    <cellStyle name="_Data_~7420718_Excel sheets to support Market Program Template for Budget 09 6 3" xfId="12565" xr:uid="{00000000-0005-0000-0000-00000C310000}"/>
    <cellStyle name="_Data_~7420718_Excel sheets to support Market Program Template for Budget 09 6 3 2" xfId="12566" xr:uid="{00000000-0005-0000-0000-00000D310000}"/>
    <cellStyle name="_Data_~7420718_Excel sheets to support Market Program Template for Budget 09 7" xfId="12567" xr:uid="{00000000-0005-0000-0000-00000E310000}"/>
    <cellStyle name="_Data_~7420718_Excel sheets to support Market Program Template for Budget 09 8" xfId="12568" xr:uid="{00000000-0005-0000-0000-00000F310000}"/>
    <cellStyle name="_Data_~7420718_Excel sheets to support Market Program Template for Budget 09 9" xfId="12569" xr:uid="{00000000-0005-0000-0000-000010310000}"/>
    <cellStyle name="_Data_~7420718_Excel sheets to support Market Program Template for Budget 09_Sheet1" xfId="12570" xr:uid="{00000000-0005-0000-0000-000011310000}"/>
    <cellStyle name="_Data_~7420718_Excel sheets to support Market Program Template for Budget 09_Sm Proj Cash Flow" xfId="12571" xr:uid="{00000000-0005-0000-0000-000012310000}"/>
    <cellStyle name="_Data_~7420718_Excel sheets to support Market Program Template for Budget 09_Spend Detail" xfId="12572" xr:uid="{00000000-0005-0000-0000-000013310000}"/>
    <cellStyle name="_Data_~7420718_Excel sheets to support Market Program Template for Budget 09_SustainingProjectList" xfId="12573" xr:uid="{00000000-0005-0000-0000-000014310000}"/>
    <cellStyle name="_Data_~7420718_LE Ebitda RD Feb-10 v2" xfId="12574" xr:uid="{00000000-0005-0000-0000-000015310000}"/>
    <cellStyle name="_Data_~7420718_LE Ebitda RD Feb-10 v2 2" xfId="12575" xr:uid="{00000000-0005-0000-0000-000016310000}"/>
    <cellStyle name="_Data_~7420718_LE Ebitda RD Feb-10 v2 2 2" xfId="12576" xr:uid="{00000000-0005-0000-0000-000017310000}"/>
    <cellStyle name="_Data_~7420718_NNT_LE'08_1605vsBGT'09_1713" xfId="12577" xr:uid="{00000000-0005-0000-0000-000018310000}"/>
    <cellStyle name="_Data_~7420718_NNT_LE'08_1605vsBGT'09_1713 2" xfId="12578" xr:uid="{00000000-0005-0000-0000-000019310000}"/>
    <cellStyle name="_Data_~7420718_NNT_LE'08_1605vsBGT'09_1713 3" xfId="12579" xr:uid="{00000000-0005-0000-0000-00001A310000}"/>
    <cellStyle name="_Data_~7420718_NNT_LE'08_1605vsBGT'09_1713 3 2" xfId="12580" xr:uid="{00000000-0005-0000-0000-00001B310000}"/>
    <cellStyle name="_Data_~7420718_NNT_LE'08_1605vsBGT'09_1713 3 3" xfId="12581" xr:uid="{00000000-0005-0000-0000-00001C310000}"/>
    <cellStyle name="_Data_~7420718_NNT_LE'08_1605vsBGT'09_1713 3 3 2" xfId="12582" xr:uid="{00000000-0005-0000-0000-00001D310000}"/>
    <cellStyle name="_Data_~7420718_NNT_LE'08_1605vsBGT'09_1713 4" xfId="12583" xr:uid="{00000000-0005-0000-0000-00001E310000}"/>
    <cellStyle name="_Data_~7420718_NNT_LE'08_1605vsBGT'09_1713 4 2" xfId="12584" xr:uid="{00000000-0005-0000-0000-00001F310000}"/>
    <cellStyle name="_Data_~7420718_packaging" xfId="12585" xr:uid="{00000000-0005-0000-0000-000020310000}"/>
    <cellStyle name="_Data_~7420718_People Package" xfId="12586" xr:uid="{00000000-0005-0000-0000-000021310000}"/>
    <cellStyle name="_Data_~7420718_People Package (2)" xfId="12587" xr:uid="{00000000-0005-0000-0000-000022310000}"/>
    <cellStyle name="_Data_~7420718_People Package (2) 2" xfId="12588" xr:uid="{00000000-0005-0000-0000-000023310000}"/>
    <cellStyle name="_Data_~7420718_People Package (2) 2 2" xfId="12589" xr:uid="{00000000-0005-0000-0000-000024310000}"/>
    <cellStyle name="_Data_~7420718_People Package 2" xfId="12590" xr:uid="{00000000-0005-0000-0000-000025310000}"/>
    <cellStyle name="_Data_~7420718_People Package 2 2" xfId="12591" xr:uid="{00000000-0005-0000-0000-000026310000}"/>
    <cellStyle name="_Data_~7420718_People Package 3" xfId="12592" xr:uid="{00000000-0005-0000-0000-000027310000}"/>
    <cellStyle name="_Data_~7420718_People Package 3 2" xfId="12593" xr:uid="{00000000-0005-0000-0000-000028310000}"/>
    <cellStyle name="_Data_~7420718_People Package 4" xfId="12594" xr:uid="{00000000-0005-0000-0000-000029310000}"/>
    <cellStyle name="_Data_~7420718_People Package 5" xfId="12595" xr:uid="{00000000-0005-0000-0000-00002A310000}"/>
    <cellStyle name="_Data_~7420718_RB&amp;JW_Produktionsplanung_LE1_2006 sortiert" xfId="12596" xr:uid="{00000000-0005-0000-0000-00002B310000}"/>
    <cellStyle name="_Data_~7420718_RB&amp;JW_Produktionsplanung_LE1_2006 sortiert 2" xfId="12597" xr:uid="{00000000-0005-0000-0000-00002C310000}"/>
    <cellStyle name="_Data_~7420718_RB&amp;JW_Produktionsplanung_LE1_2006 sortiert 2 2" xfId="12598" xr:uid="{00000000-0005-0000-0000-00002D310000}"/>
    <cellStyle name="_Data_~7420718_RB&amp;JW_Produktionsplanung_LE1_2006 sortiert_packaging" xfId="12599" xr:uid="{00000000-0005-0000-0000-00002E310000}"/>
    <cellStyle name="_Data_~7420718_RB&amp;JW_Produktionsplanung_LE1_2006 sortiert_packaging_Sheet5" xfId="12600" xr:uid="{00000000-0005-0000-0000-00002F310000}"/>
    <cellStyle name="_Data_~7420718_RB&amp;JW_Produktionsplanung_LE1_2006 sortiert_RFFS SUBMISSION TO VPs" xfId="12601" xr:uid="{00000000-0005-0000-0000-000030310000}"/>
    <cellStyle name="_Data_~7420718_RB&amp;JW_Produktionsplanung_LE1_2006 sortiert_RFFS SUBMISSION TO VPs 2" xfId="12602" xr:uid="{00000000-0005-0000-0000-000031310000}"/>
    <cellStyle name="_Data_~7420718_RB&amp;JW_Produktionsplanung_LE1_2006 sortiert_RFFS_SUBMISSION_TO_VPs _v2" xfId="12603" xr:uid="{00000000-0005-0000-0000-000032310000}"/>
    <cellStyle name="_Data_~7420718_RB&amp;JW_Produktionsplanung_LE1_2006 sortiert_RFFS_SUBMISSION_TO_VPs _v2 2" xfId="12604" xr:uid="{00000000-0005-0000-0000-000033310000}"/>
    <cellStyle name="_Data_~7420718_RB&amp;JW_Produktionsplanung_LE1_2006 sortiert_Sheet1" xfId="12605" xr:uid="{00000000-0005-0000-0000-000034310000}"/>
    <cellStyle name="_Data_~7420718_RB&amp;JW_Produktionsplanung_LE1_2006 sortiert_Sheet5" xfId="12606" xr:uid="{00000000-0005-0000-0000-000035310000}"/>
    <cellStyle name="_Data_~7420718_RB&amp;JW_Produktionsplanung_LE1_2006 sortiert_Sm Proj Cash Flow" xfId="12607" xr:uid="{00000000-0005-0000-0000-000036310000}"/>
    <cellStyle name="_Data_~7420718_RB&amp;JW_Produktionsplanung_LE1_2006 sortiert_Spend Detail" xfId="12608" xr:uid="{00000000-0005-0000-0000-000037310000}"/>
    <cellStyle name="_Data_~7420718_RB&amp;JW_Produktionsplanung_LE1_2006 sortiert_SustainingProjectList" xfId="12609" xr:uid="{00000000-0005-0000-0000-000038310000}"/>
    <cellStyle name="_Data_~7420718_RFFS SUBMISSION TO VPs" xfId="12610" xr:uid="{00000000-0005-0000-0000-000039310000}"/>
    <cellStyle name="_Data_~7420718_RFFS_SUBMISSION_TO_VPs _v2" xfId="12611" xr:uid="{00000000-0005-0000-0000-00003A310000}"/>
    <cellStyle name="_Data_~7420718_Sales and Marketing - revised" xfId="12612" xr:uid="{00000000-0005-0000-0000-00003B310000}"/>
    <cellStyle name="_Data_~7420718_Sales and Marketing - revised 2" xfId="12613" xr:uid="{00000000-0005-0000-0000-00003C310000}"/>
    <cellStyle name="_Data_~7420718_Sales and Marketing - revised 2 2" xfId="12614" xr:uid="{00000000-0005-0000-0000-00003D310000}"/>
    <cellStyle name="_Data_~7420718_Sales and Marketing - revised 3" xfId="12615" xr:uid="{00000000-0005-0000-0000-00003E310000}"/>
    <cellStyle name="_Data_~7420718_Sales and Marketing - revised 4" xfId="12616" xr:uid="{00000000-0005-0000-0000-00003F310000}"/>
    <cellStyle name="_Data_~7420718_Sim Ebitda LE 0909 v4" xfId="12617" xr:uid="{00000000-0005-0000-0000-000040310000}"/>
    <cellStyle name="_Data_~7420718_Sim Ebitda LE 0909 v4 2" xfId="12618" xr:uid="{00000000-0005-0000-0000-000041310000}"/>
    <cellStyle name="_Data_~7420718_Sim Ebitda LE 0909 v4 2 2" xfId="12619" xr:uid="{00000000-0005-0000-0000-000042310000}"/>
    <cellStyle name="_Data_~7420718_Sim Ebitda LE 0909 v4 3" xfId="12620" xr:uid="{00000000-0005-0000-0000-000043310000}"/>
    <cellStyle name="_Data_~7420718_Sim Ebitda LE 0909 v4 4" xfId="12621" xr:uid="{00000000-0005-0000-0000-000044310000}"/>
    <cellStyle name="_Data_~7420718_SKU Volumen" xfId="12622" xr:uid="{00000000-0005-0000-0000-000045310000}"/>
    <cellStyle name="_Data_~7420718_SKU Volumen 2" xfId="12623" xr:uid="{00000000-0005-0000-0000-000046310000}"/>
    <cellStyle name="_Data_~7420718_SKU Volumen_RFFS SUBMISSION TO VPs" xfId="12624" xr:uid="{00000000-0005-0000-0000-000047310000}"/>
    <cellStyle name="_Data_~7420718_SKU Volumen_RFFS SUBMISSION TO VPs 2" xfId="12625" xr:uid="{00000000-0005-0000-0000-000048310000}"/>
    <cellStyle name="_Data_~7420718_SKU Volumen_RFFS_SUBMISSION_TO_VPs _v2" xfId="12626" xr:uid="{00000000-0005-0000-0000-000049310000}"/>
    <cellStyle name="_Data_~7420718_SKU Volumen_RFFS_SUBMISSION_TO_VPs _v2 2" xfId="12627" xr:uid="{00000000-0005-0000-0000-00004A310000}"/>
    <cellStyle name="_Data_~7420718_SKU Volumen_Sheet1" xfId="12628" xr:uid="{00000000-0005-0000-0000-00004B310000}"/>
    <cellStyle name="_Data_~7420718_SKU Volumen_Sm Proj Cash Flow" xfId="12629" xr:uid="{00000000-0005-0000-0000-00004C310000}"/>
    <cellStyle name="_Data_~7420718_SKU Volumen_Spend Detail" xfId="12630" xr:uid="{00000000-0005-0000-0000-00004D310000}"/>
    <cellStyle name="_Data_~7420718_SKU Volumen_SustainingProjectList" xfId="12631" xr:uid="{00000000-0005-0000-0000-00004E310000}"/>
    <cellStyle name="_Data_~7420718_Slide for initiatives (2)" xfId="12632" xr:uid="{00000000-0005-0000-0000-00004F310000}"/>
    <cellStyle name="_Data_~7420718_Slide for initiatives (2) 2" xfId="12633" xr:uid="{00000000-0005-0000-0000-000050310000}"/>
    <cellStyle name="_Data_~7420718_Slide for initiatives (2) 3" xfId="12634" xr:uid="{00000000-0005-0000-0000-000051310000}"/>
    <cellStyle name="_Data_~7420718_Slide for initiatives (2) 3 2" xfId="12635" xr:uid="{00000000-0005-0000-0000-000052310000}"/>
    <cellStyle name="_Data_~7420718_Slide for initiatives (2) 3 3" xfId="12636" xr:uid="{00000000-0005-0000-0000-000053310000}"/>
    <cellStyle name="_Data_~7420718_Slide for initiatives (2) 3 3 2" xfId="12637" xr:uid="{00000000-0005-0000-0000-000054310000}"/>
    <cellStyle name="_Data_~7420718_Slide for initiatives (2) 4" xfId="12638" xr:uid="{00000000-0005-0000-0000-000055310000}"/>
    <cellStyle name="_Data_~7420718_Slide for initiatives (2) 4 2" xfId="12639" xr:uid="{00000000-0005-0000-0000-000056310000}"/>
    <cellStyle name="_Data_~7420718_Tabelle1" xfId="12640" xr:uid="{00000000-0005-0000-0000-000057310000}"/>
    <cellStyle name="_Data_~7420718_Tabelle1 2" xfId="12641" xr:uid="{00000000-0005-0000-0000-000058310000}"/>
    <cellStyle name="_Data_~7420718_Tabelle1_RFFS SUBMISSION TO VPs" xfId="12642" xr:uid="{00000000-0005-0000-0000-000059310000}"/>
    <cellStyle name="_Data_~7420718_Tabelle1_RFFS SUBMISSION TO VPs 2" xfId="12643" xr:uid="{00000000-0005-0000-0000-00005A310000}"/>
    <cellStyle name="_Data_~7420718_Tabelle1_RFFS_SUBMISSION_TO_VPs _v2" xfId="12644" xr:uid="{00000000-0005-0000-0000-00005B310000}"/>
    <cellStyle name="_Data_~7420718_Tabelle1_RFFS_SUBMISSION_TO_VPs _v2 2" xfId="12645" xr:uid="{00000000-0005-0000-0000-00005C310000}"/>
    <cellStyle name="_Data_~7420718_Tabelle1_Sheet1" xfId="12646" xr:uid="{00000000-0005-0000-0000-00005D310000}"/>
    <cellStyle name="_Data_~7420718_Tabelle1_Sm Proj Cash Flow" xfId="12647" xr:uid="{00000000-0005-0000-0000-00005E310000}"/>
    <cellStyle name="_Data_~7420718_Tabelle1_Spend Detail" xfId="12648" xr:uid="{00000000-0005-0000-0000-00005F310000}"/>
    <cellStyle name="_Data_~7420718_Tabelle1_SustainingProjectList" xfId="12649" xr:uid="{00000000-0005-0000-0000-000060310000}"/>
    <cellStyle name="_Data_~7420718_WF Ebitda RD Abr-10" xfId="12650" xr:uid="{00000000-0005-0000-0000-000061310000}"/>
    <cellStyle name="_Data_~7420718_WF Ebitda RD Abr-10 2" xfId="12651" xr:uid="{00000000-0005-0000-0000-000062310000}"/>
    <cellStyle name="_Data_~7420718_WF Ebitda RD Abr-10 2 2" xfId="12652" xr:uid="{00000000-0005-0000-0000-000063310000}"/>
    <cellStyle name="_Data_~7420718_WF Ebitda Sep09" xfId="12653" xr:uid="{00000000-0005-0000-0000-000064310000}"/>
    <cellStyle name="_Data_~7420718_WF Ebitda Sep09 2" xfId="12654" xr:uid="{00000000-0005-0000-0000-000065310000}"/>
    <cellStyle name="_Data_~7420718_WF Ebitda Sep09 2 2" xfId="12655" xr:uid="{00000000-0005-0000-0000-000066310000}"/>
    <cellStyle name="_Data_~7420718_ZBB" xfId="12656" xr:uid="{00000000-0005-0000-0000-000067310000}"/>
    <cellStyle name="_Data_~7420718_ZBB 2" xfId="12657" xr:uid="{00000000-0005-0000-0000-000068310000}"/>
    <cellStyle name="_Data_~7420718_ZBB 2 2" xfId="12658" xr:uid="{00000000-0005-0000-0000-000069310000}"/>
    <cellStyle name="_Data_010808 Market Programs  for Budget Deck" xfId="12659" xr:uid="{00000000-0005-0000-0000-00006A310000}"/>
    <cellStyle name="_Data_010808 Market Programs  for Budget Deck 2" xfId="12660" xr:uid="{00000000-0005-0000-0000-00006B310000}"/>
    <cellStyle name="_Data_010808 Market Programs  for Budget Deck 2 2" xfId="12661" xr:uid="{00000000-0005-0000-0000-00006C310000}"/>
    <cellStyle name="_Data_010808 Market Programs  for Budget Deck_Sheet1" xfId="12662" xr:uid="{00000000-0005-0000-0000-00006D310000}"/>
    <cellStyle name="_Data_010808 Market Programs  for Budget Deck_SustainingProjectList" xfId="12663" xr:uid="{00000000-0005-0000-0000-00006E310000}"/>
    <cellStyle name="_Data_080813 Germany-High&amp;Low" xfId="12664" xr:uid="{00000000-0005-0000-0000-00006F310000}"/>
    <cellStyle name="_Data_080813 Germany-Lidl" xfId="12665" xr:uid="{00000000-0005-0000-0000-000070310000}"/>
    <cellStyle name="_data_1" xfId="12666" xr:uid="{00000000-0005-0000-0000-000071310000}"/>
    <cellStyle name="_Data_1_INPUT" xfId="12667" xr:uid="{00000000-0005-0000-0000-000072310000}"/>
    <cellStyle name="_Data_1_INPUT_TP_No Tank Resales" xfId="12668" xr:uid="{00000000-0005-0000-0000-000073310000}"/>
    <cellStyle name="_Data_2pk SP 2008" xfId="12669" xr:uid="{00000000-0005-0000-0000-000074310000}"/>
    <cellStyle name="_Data_2pk SP 2008 2" xfId="12670" xr:uid="{00000000-0005-0000-0000-000075310000}"/>
    <cellStyle name="_Data_2pk SP 2008_Sheet1" xfId="12671" xr:uid="{00000000-0005-0000-0000-000076310000}"/>
    <cellStyle name="_Data_2pk SP 2008_SustainingProjectList" xfId="12672" xr:uid="{00000000-0005-0000-0000-000077310000}"/>
    <cellStyle name="_Data_30 l kegs" xfId="12673" xr:uid="{00000000-0005-0000-0000-000078310000}"/>
    <cellStyle name="_Data_30 l kegs 2" xfId="12674" xr:uid="{00000000-0005-0000-0000-000079310000}"/>
    <cellStyle name="_Data_30 l kegs_Sheet1" xfId="12675" xr:uid="{00000000-0005-0000-0000-00007A310000}"/>
    <cellStyle name="_Data_30 l kegs_SustainingProjectList" xfId="12676" xr:uid="{00000000-0005-0000-0000-00007B310000}"/>
    <cellStyle name="_Data_50 l kegs" xfId="12677" xr:uid="{00000000-0005-0000-0000-00007C310000}"/>
    <cellStyle name="_Data_50 l kegs 2" xfId="12678" xr:uid="{00000000-0005-0000-0000-00007D310000}"/>
    <cellStyle name="_Data_50 l kegs_Sheet1" xfId="12679" xr:uid="{00000000-0005-0000-0000-00007E310000}"/>
    <cellStyle name="_Data_50 l kegs_SustainingProjectList" xfId="12680" xr:uid="{00000000-0005-0000-0000-00007F310000}"/>
    <cellStyle name="_Data_AB" xfId="12681" xr:uid="{00000000-0005-0000-0000-000080310000}"/>
    <cellStyle name="_Data_Abfüllmenge &amp; Anstellwürze Bremen Budget 2006 V1.1" xfId="12682" xr:uid="{00000000-0005-0000-0000-000081310000}"/>
    <cellStyle name="_Data_Abfüllmenge &amp; Anstellwürze Bremen Budget 2006 V1.1_packaging" xfId="12683" xr:uid="{00000000-0005-0000-0000-000082310000}"/>
    <cellStyle name="_Data_Abfüllmenge &amp; Anstellwürze Issum Budget 2006 V1.1" xfId="12684" xr:uid="{00000000-0005-0000-0000-000083310000}"/>
    <cellStyle name="_Data_Abfüllmenge &amp; Anstellwürze Issum Budget 2006 V1.1_packaging" xfId="12685" xr:uid="{00000000-0005-0000-0000-000084310000}"/>
    <cellStyle name="_Data_Abgefüllte HL 03" xfId="12686" xr:uid="{00000000-0005-0000-0000-000085310000}"/>
    <cellStyle name="_Data_Abgefüllte HL 03 2" xfId="12687" xr:uid="{00000000-0005-0000-0000-000086310000}"/>
    <cellStyle name="_Data_Abgefüllte HL 03_RFFS SUBMISSION TO VPs" xfId="12688" xr:uid="{00000000-0005-0000-0000-000087310000}"/>
    <cellStyle name="_Data_Abgefüllte HL 03_RFFS SUBMISSION TO VPs 2" xfId="12689" xr:uid="{00000000-0005-0000-0000-000088310000}"/>
    <cellStyle name="_Data_Abgefüllte HL 03_RFFS_SUBMISSION_TO_VPs _v2" xfId="12690" xr:uid="{00000000-0005-0000-0000-000089310000}"/>
    <cellStyle name="_Data_Abgefüllte HL 03_RFFS_SUBMISSION_TO_VPs _v2 2" xfId="12691" xr:uid="{00000000-0005-0000-0000-00008A310000}"/>
    <cellStyle name="_Data_Abgefüllte HL 03_Sheet1" xfId="12692" xr:uid="{00000000-0005-0000-0000-00008B310000}"/>
    <cellStyle name="_Data_Abgefüllte HL 03_SustainingProjectList" xfId="12693" xr:uid="{00000000-0005-0000-0000-00008C310000}"/>
    <cellStyle name="_Data_Absatz Ist je Artikel &amp; Woche V1" xfId="12694" xr:uid="{00000000-0005-0000-0000-00008D310000}"/>
    <cellStyle name="_Data_Absatz Ist je Artikel &amp; Woche V1 2" xfId="12695" xr:uid="{00000000-0005-0000-0000-00008E310000}"/>
    <cellStyle name="_Data_Absatz Ist je Artikel &amp; Woche V1_Sheet1" xfId="12696" xr:uid="{00000000-0005-0000-0000-00008F310000}"/>
    <cellStyle name="_Data_Absatz Ist je Artikel &amp; Woche V1_SustainingProjectList" xfId="12697" xr:uid="{00000000-0005-0000-0000-000090310000}"/>
    <cellStyle name="_Data_Absatz SP2007 pro SKU 30 5 2007 vs 4 6 2007 " xfId="12698" xr:uid="{00000000-0005-0000-0000-000091310000}"/>
    <cellStyle name="_Data_Absatz_Artikel" xfId="12699" xr:uid="{00000000-0005-0000-0000-000092310000}"/>
    <cellStyle name="_Data_Absatz_Artikel 2" xfId="12700" xr:uid="{00000000-0005-0000-0000-000093310000}"/>
    <cellStyle name="_Data_Absatz_Artikel_RFFS SUBMISSION TO VPs" xfId="12701" xr:uid="{00000000-0005-0000-0000-000094310000}"/>
    <cellStyle name="_Data_Absatz_Artikel_RFFS SUBMISSION TO VPs 2" xfId="12702" xr:uid="{00000000-0005-0000-0000-000095310000}"/>
    <cellStyle name="_Data_Absatz_Artikel_RFFS_SUBMISSION_TO_VPs _v2" xfId="12703" xr:uid="{00000000-0005-0000-0000-000096310000}"/>
    <cellStyle name="_Data_Absatz_Artikel_RFFS_SUBMISSION_TO_VPs _v2 2" xfId="12704" xr:uid="{00000000-0005-0000-0000-000097310000}"/>
    <cellStyle name="_Data_Absatz_Artikel_Sheet1" xfId="12705" xr:uid="{00000000-0005-0000-0000-000098310000}"/>
    <cellStyle name="_Data_Absatz_Artikel_SustainingProjectList" xfId="12706" xr:uid="{00000000-0005-0000-0000-000099310000}"/>
    <cellStyle name="_Data_Absätze von Artikeln aus BIS" xfId="12707" xr:uid="{00000000-0005-0000-0000-00009A310000}"/>
    <cellStyle name="_Data_Absätze von Artikeln aus BIS 2" xfId="12708" xr:uid="{00000000-0005-0000-0000-00009B310000}"/>
    <cellStyle name="_Data_Absätze von Artikeln aus BIS_RFFS SUBMISSION TO VPs" xfId="12709" xr:uid="{00000000-0005-0000-0000-00009C310000}"/>
    <cellStyle name="_Data_Absätze von Artikeln aus BIS_RFFS SUBMISSION TO VPs 2" xfId="12710" xr:uid="{00000000-0005-0000-0000-00009D310000}"/>
    <cellStyle name="_Data_Absätze von Artikeln aus BIS_RFFS_SUBMISSION_TO_VPs _v2" xfId="12711" xr:uid="{00000000-0005-0000-0000-00009E310000}"/>
    <cellStyle name="_Data_Absätze von Artikeln aus BIS_RFFS_SUBMISSION_TO_VPs _v2 2" xfId="12712" xr:uid="{00000000-0005-0000-0000-00009F310000}"/>
    <cellStyle name="_Data_Absätze von Artikeln aus BIS_Sheet1" xfId="12713" xr:uid="{00000000-0005-0000-0000-0000A0310000}"/>
    <cellStyle name="_Data_Absätze von Artikeln aus BIS_SustainingProjectList" xfId="12714" xr:uid="{00000000-0005-0000-0000-0000A1310000}"/>
    <cellStyle name="_Data_Abstimmung IDVG Absätze für LE2 2004" xfId="12715" xr:uid="{00000000-0005-0000-0000-0000A2310000}"/>
    <cellStyle name="_Data_Abstimmung IDVG Absätze für LE2 2004 2" xfId="12716" xr:uid="{00000000-0005-0000-0000-0000A3310000}"/>
    <cellStyle name="_Data_Abstimmung IDVG Absätze für LE2 2004 2 2" xfId="12717" xr:uid="{00000000-0005-0000-0000-0000A4310000}"/>
    <cellStyle name="_Data_Abstimmung IDVG Absätze für LE2 2004_Basis" xfId="12718" xr:uid="{00000000-0005-0000-0000-0000A5310000}"/>
    <cellStyle name="_Data_Abstimmung IDVG Absätze für LE2 2004_Basis 2" xfId="12719" xr:uid="{00000000-0005-0000-0000-0000A6310000}"/>
    <cellStyle name="_Data_Abstimmung IDVG Absätze für LE2 2004_Basis 2 2" xfId="12720" xr:uid="{00000000-0005-0000-0000-0000A7310000}"/>
    <cellStyle name="_Data_Abstimmung IDVG Absätze für LE2 2004_Basis_Sheet1" xfId="12721" xr:uid="{00000000-0005-0000-0000-0000A8310000}"/>
    <cellStyle name="_Data_Abstimmung IDVG Absätze für LE2 2004_Basis_Sheet5" xfId="12722" xr:uid="{00000000-0005-0000-0000-0000A9310000}"/>
    <cellStyle name="_Data_Abstimmung IDVG Absätze für LE2 2004_Basis_Sm Proj Cash Flow" xfId="12723" xr:uid="{00000000-0005-0000-0000-0000AA310000}"/>
    <cellStyle name="_Data_Abstimmung IDVG Absätze für LE2 2004_Basis_Spend Detail" xfId="12724" xr:uid="{00000000-0005-0000-0000-0000AB310000}"/>
    <cellStyle name="_Data_Abstimmung IDVG Absätze für LE2 2004_Basis_SustainingProjectList" xfId="12725" xr:uid="{00000000-0005-0000-0000-0000AC310000}"/>
    <cellStyle name="_Data_Abstimmung IDVG Absätze für LE2 2004_Sheet1" xfId="12726" xr:uid="{00000000-0005-0000-0000-0000AD310000}"/>
    <cellStyle name="_Data_Abstimmung IDVG Absätze für LE2 2004_Sheet5" xfId="12727" xr:uid="{00000000-0005-0000-0000-0000AE310000}"/>
    <cellStyle name="_Data_Abstimmung IDVG Absätze für LE2 2004_SKU Volumen" xfId="12728" xr:uid="{00000000-0005-0000-0000-0000AF310000}"/>
    <cellStyle name="_Data_Abstimmung IDVG Absätze für LE2 2004_SKU Volumen 2" xfId="12729" xr:uid="{00000000-0005-0000-0000-0000B0310000}"/>
    <cellStyle name="_Data_Abstimmung IDVG Absätze für LE2 2004_SKU Volumen_Sheet1" xfId="12730" xr:uid="{00000000-0005-0000-0000-0000B1310000}"/>
    <cellStyle name="_Data_Abstimmung IDVG Absätze für LE2 2004_SKU Volumen_Sm Proj Cash Flow" xfId="12731" xr:uid="{00000000-0005-0000-0000-0000B2310000}"/>
    <cellStyle name="_Data_Abstimmung IDVG Absätze für LE2 2004_SKU Volumen_Spend Detail" xfId="12732" xr:uid="{00000000-0005-0000-0000-0000B3310000}"/>
    <cellStyle name="_Data_Abstimmung IDVG Absätze für LE2 2004_SKU Volumen_SustainingProjectList" xfId="12733" xr:uid="{00000000-0005-0000-0000-0000B4310000}"/>
    <cellStyle name="_Data_Abstimmung IDVG Absätze für LE2 2004_Sm Proj Cash Flow" xfId="12734" xr:uid="{00000000-0005-0000-0000-0000B5310000}"/>
    <cellStyle name="_Data_Abstimmung IDVG Absätze für LE2 2004_Spend Detail" xfId="12735" xr:uid="{00000000-0005-0000-0000-0000B6310000}"/>
    <cellStyle name="_Data_Abstimmung IDVG Absätze für LE2 2004_SustainingProjectList" xfId="12736" xr:uid="{00000000-0005-0000-0000-0000B7310000}"/>
    <cellStyle name="_Data_Abstimmung IDVG Absätze für LE2 2004_Tabelle1" xfId="12737" xr:uid="{00000000-0005-0000-0000-0000B8310000}"/>
    <cellStyle name="_Data_Abstimmung IDVG Absätze für LE2 2004_Tabelle1 2" xfId="12738" xr:uid="{00000000-0005-0000-0000-0000B9310000}"/>
    <cellStyle name="_Data_Abstimmung IDVG Absätze für LE2 2004_Tabelle1_Sheet1" xfId="12739" xr:uid="{00000000-0005-0000-0000-0000BA310000}"/>
    <cellStyle name="_Data_Abstimmung IDVG Absätze für LE2 2004_Tabelle1_Sm Proj Cash Flow" xfId="12740" xr:uid="{00000000-0005-0000-0000-0000BB310000}"/>
    <cellStyle name="_Data_Abstimmung IDVG Absätze für LE2 2004_Tabelle1_Spend Detail" xfId="12741" xr:uid="{00000000-0005-0000-0000-0000BC310000}"/>
    <cellStyle name="_Data_Abstimmung IDVG Absätze für LE2 2004_Tabelle1_SustainingProjectList" xfId="12742" xr:uid="{00000000-0005-0000-0000-0000BD310000}"/>
    <cellStyle name="_Data_Acc.to fuori fattura Off-trade Feb 2007 " xfId="12743" xr:uid="{00000000-0005-0000-0000-0000BE310000}"/>
    <cellStyle name="_Data_Accident frequency" xfId="12744" xr:uid="{00000000-0005-0000-0000-0000BF310000}"/>
    <cellStyle name="_Data_Ad hoc PL 3YP HRK za COGNOS unos JULY20" xfId="12745" xr:uid="{00000000-0005-0000-0000-0000C0310000}"/>
    <cellStyle name="_Data_Ad hoc PL 3YP HRK za COGNOS unos JULY20 2" xfId="12746" xr:uid="{00000000-0005-0000-0000-0000C1310000}"/>
    <cellStyle name="_Data_Ad hoc PL 3YP HRK za COGNOS unos JULY20_Dominican Rep" xfId="12747" xr:uid="{00000000-0005-0000-0000-0000C2310000}"/>
    <cellStyle name="_Data_Additional Templates" xfId="12748" xr:uid="{00000000-0005-0000-0000-0000C3310000}"/>
    <cellStyle name="_Data_Additional Templates (2)" xfId="12749" xr:uid="{00000000-0005-0000-0000-0000C4310000}"/>
    <cellStyle name="_Data_Additional Templates (2) 2" xfId="12750" xr:uid="{00000000-0005-0000-0000-0000C5310000}"/>
    <cellStyle name="_Data_Additional Templates (3)" xfId="12751" xr:uid="{00000000-0005-0000-0000-0000C6310000}"/>
    <cellStyle name="_Data_Additional Templates (3) 2" xfId="12752" xr:uid="{00000000-0005-0000-0000-0000C7310000}"/>
    <cellStyle name="_Data_Additional Templates (4)" xfId="12753" xr:uid="{00000000-0005-0000-0000-0000C8310000}"/>
    <cellStyle name="_Data_Additional Templates (4) 2" xfId="12754" xr:uid="{00000000-0005-0000-0000-0000C9310000}"/>
    <cellStyle name="_Data_Additional Templates (5)" xfId="12755" xr:uid="{00000000-0005-0000-0000-0000CA310000}"/>
    <cellStyle name="_Data_Additional Templates (5) 2" xfId="12756" xr:uid="{00000000-0005-0000-0000-0000CB310000}"/>
    <cellStyle name="_Data_Additional Templates 10" xfId="12757" xr:uid="{00000000-0005-0000-0000-0000CC310000}"/>
    <cellStyle name="_Data_Additional Templates 2" xfId="12758" xr:uid="{00000000-0005-0000-0000-0000CD310000}"/>
    <cellStyle name="_Data_Additional Templates 3" xfId="12759" xr:uid="{00000000-0005-0000-0000-0000CE310000}"/>
    <cellStyle name="_Data_Additional Templates 4" xfId="12760" xr:uid="{00000000-0005-0000-0000-0000CF310000}"/>
    <cellStyle name="_Data_Additional Templates 5" xfId="12761" xr:uid="{00000000-0005-0000-0000-0000D0310000}"/>
    <cellStyle name="_Data_Additional Templates 6" xfId="12762" xr:uid="{00000000-0005-0000-0000-0000D1310000}"/>
    <cellStyle name="_Data_Additional Templates 7" xfId="12763" xr:uid="{00000000-0005-0000-0000-0000D2310000}"/>
    <cellStyle name="_Data_Additional Templates 8" xfId="12764" xr:uid="{00000000-0005-0000-0000-0000D3310000}"/>
    <cellStyle name="_Data_Additional Templates 9" xfId="12765" xr:uid="{00000000-0005-0000-0000-0000D4310000}"/>
    <cellStyle name="_Data_AG Personalproduktivität + Headcounts" xfId="12766" xr:uid="{00000000-0005-0000-0000-0000D5310000}"/>
    <cellStyle name="_Data_AG Personalproduktivität + Headcounts 2" xfId="12767" xr:uid="{00000000-0005-0000-0000-0000D6310000}"/>
    <cellStyle name="_Data_AG Personalproduktivität + Headcounts_packaging" xfId="12768" xr:uid="{00000000-0005-0000-0000-0000D7310000}"/>
    <cellStyle name="_Data_AG Personalproduktivität + Headcounts_RFFS SUBMISSION TO VPs" xfId="12769" xr:uid="{00000000-0005-0000-0000-0000D8310000}"/>
    <cellStyle name="_Data_AG Personalproduktivität + Headcounts_RFFS SUBMISSION TO VPs 2" xfId="12770" xr:uid="{00000000-0005-0000-0000-0000D9310000}"/>
    <cellStyle name="_Data_AG Personalproduktivität + Headcounts_RFFS_SUBMISSION_TO_VPs _v2" xfId="12771" xr:uid="{00000000-0005-0000-0000-0000DA310000}"/>
    <cellStyle name="_Data_AG Personalproduktivität + Headcounts_RFFS_SUBMISSION_TO_VPs _v2 2" xfId="12772" xr:uid="{00000000-0005-0000-0000-0000DB310000}"/>
    <cellStyle name="_Data_AG Personalproduktivität + Headcounts_Sheet1" xfId="12773" xr:uid="{00000000-0005-0000-0000-0000DC310000}"/>
    <cellStyle name="_Data_AG Personalproduktivität + Headcounts_Sheet5" xfId="12774" xr:uid="{00000000-0005-0000-0000-0000DD310000}"/>
    <cellStyle name="_Data_AG Personalproduktivität + Headcounts_SustainingProjectList" xfId="12775" xr:uid="{00000000-0005-0000-0000-0000DE310000}"/>
    <cellStyle name="_Data_AG Personalproduktivität + Headcounts_TP_IC_2013" xfId="12776" xr:uid="{00000000-0005-0000-0000-0000DF310000}"/>
    <cellStyle name="_Data_AG Rohstoffplanung LE3 2004 + Bgt 2005" xfId="12777" xr:uid="{00000000-0005-0000-0000-0000E0310000}"/>
    <cellStyle name="_Data_AG Rohstoffplanung LE3 2004 + Bgt 2005 2" xfId="12778" xr:uid="{00000000-0005-0000-0000-0000E1310000}"/>
    <cellStyle name="_Data_AG Rohstoffplanung LE3 2004 + Bgt 2005_packaging" xfId="12779" xr:uid="{00000000-0005-0000-0000-0000E2310000}"/>
    <cellStyle name="_Data_AG Rohstoffplanung LE3 2004 + Bgt 2005_RFFS SUBMISSION TO VPs" xfId="12780" xr:uid="{00000000-0005-0000-0000-0000E3310000}"/>
    <cellStyle name="_Data_AG Rohstoffplanung LE3 2004 + Bgt 2005_RFFS SUBMISSION TO VPs 2" xfId="12781" xr:uid="{00000000-0005-0000-0000-0000E4310000}"/>
    <cellStyle name="_Data_AG Rohstoffplanung LE3 2004 + Bgt 2005_RFFS_SUBMISSION_TO_VPs _v2" xfId="12782" xr:uid="{00000000-0005-0000-0000-0000E5310000}"/>
    <cellStyle name="_Data_AG Rohstoffplanung LE3 2004 + Bgt 2005_RFFS_SUBMISSION_TO_VPs _v2 2" xfId="12783" xr:uid="{00000000-0005-0000-0000-0000E6310000}"/>
    <cellStyle name="_Data_AG Rohstoffplanung LE3 2004 + Bgt 2005_Sheet1" xfId="12784" xr:uid="{00000000-0005-0000-0000-0000E7310000}"/>
    <cellStyle name="_Data_AG Rohstoffplanung LE3 2004 + Bgt 2005_SustainingProjectList" xfId="12785" xr:uid="{00000000-0005-0000-0000-0000E8310000}"/>
    <cellStyle name="_Data_aggiornato LE2 OFF TRADE 25_08 FL" xfId="12786" xr:uid="{00000000-0005-0000-0000-0000E9310000}"/>
    <cellStyle name="_Data_AL 05,12,06 VS LE2" xfId="12787" xr:uid="{00000000-0005-0000-0000-0000EA310000}"/>
    <cellStyle name="_Data_ALEA" xfId="12788" xr:uid="{00000000-0005-0000-0000-0000EB310000}"/>
    <cellStyle name="_Data_ALEA 2" xfId="12789" xr:uid="{00000000-0005-0000-0000-0000EC310000}"/>
    <cellStyle name="_Data_ALEA OFF LE2" xfId="12790" xr:uid="{00000000-0005-0000-0000-0000ED310000}"/>
    <cellStyle name="_Data_Alea x mkt pack" xfId="12791" xr:uid="{00000000-0005-0000-0000-0000EE310000}"/>
    <cellStyle name="_Data_Alea x sales pack" xfId="12792" xr:uid="{00000000-0005-0000-0000-0000EF310000}"/>
    <cellStyle name="_Data_ALEA_packaging" xfId="12793" xr:uid="{00000000-0005-0000-0000-0000F0310000}"/>
    <cellStyle name="_Data_ALEA_Sheet1" xfId="12794" xr:uid="{00000000-0005-0000-0000-0000F1310000}"/>
    <cellStyle name="_Data_ALEA_Sheet5" xfId="12795" xr:uid="{00000000-0005-0000-0000-0000F2310000}"/>
    <cellStyle name="_Data_ALEA_TP_IC_2013" xfId="12796" xr:uid="{00000000-0005-0000-0000-0000F3310000}"/>
    <cellStyle name="_Data_All" xfId="12797" xr:uid="{00000000-0005-0000-0000-0000F4310000}"/>
    <cellStyle name="_Data_Analisi costo venduto" xfId="12798" xr:uid="{00000000-0005-0000-0000-0000F5310000}"/>
    <cellStyle name="_Data_Analisi LE2'06 e bdg'07" xfId="12799" xr:uid="{00000000-0005-0000-0000-0000F6310000}"/>
    <cellStyle name="_Data_Analisi vol ott" xfId="12800" xr:uid="{00000000-0005-0000-0000-0000F7310000}"/>
    <cellStyle name="_Data_Analysesatei v. 07.04.00 Plan 9901vs0001" xfId="12801" xr:uid="{00000000-0005-0000-0000-0000F8310000}"/>
    <cellStyle name="_Data_Analysesatei v. 07.04.00 Plan 9901vs0001 2" xfId="12802" xr:uid="{00000000-0005-0000-0000-0000F9310000}"/>
    <cellStyle name="_Data_Analysesatei v. 07.04.00 Plan 9901vs0001 2 2" xfId="12803" xr:uid="{00000000-0005-0000-0000-0000FA310000}"/>
    <cellStyle name="_Data_Analysesatei v. 07.04.00 Plan 9901vs0001 2 2 2" xfId="12804" xr:uid="{00000000-0005-0000-0000-0000FB310000}"/>
    <cellStyle name="_Data_Analysesatei v. 07.04.00 Plan 9901vs0001 2 3" xfId="12805" xr:uid="{00000000-0005-0000-0000-0000FC310000}"/>
    <cellStyle name="_Data_Analysesatei v. 07.04.00 Plan 9901vs0001 2 4" xfId="12806" xr:uid="{00000000-0005-0000-0000-0000FD310000}"/>
    <cellStyle name="_Data_Analysesatei v. 07.04.00 Plan 9901vs0001 3" xfId="12807" xr:uid="{00000000-0005-0000-0000-0000FE310000}"/>
    <cellStyle name="_Data_Analysesatei v. 07.04.00 Plan 9901vs0001 3 2" xfId="12808" xr:uid="{00000000-0005-0000-0000-0000FF310000}"/>
    <cellStyle name="_Data_Analysesatei v. 07.04.00 Plan 9901vs0001_010808 Market Programs  for Budget Deck" xfId="12809" xr:uid="{00000000-0005-0000-0000-000000320000}"/>
    <cellStyle name="_Data_Analysesatei v. 07.04.00 Plan 9901vs0001_010808 Market Programs  for Budget Deck 2" xfId="12810" xr:uid="{00000000-0005-0000-0000-000001320000}"/>
    <cellStyle name="_Data_Analysesatei v. 07.04.00 Plan 9901vs0001_010808 Market Programs  for Budget Deck 2 2" xfId="12811" xr:uid="{00000000-0005-0000-0000-000002320000}"/>
    <cellStyle name="_Data_Analysesatei v. 07.04.00 Plan 9901vs0001_010808 Market Programs  for Budget Deck_Sheet1" xfId="12812" xr:uid="{00000000-0005-0000-0000-000003320000}"/>
    <cellStyle name="_Data_Analysesatei v. 07.04.00 Plan 9901vs0001_010808 Market Programs  for Budget Deck_SustainingProjectList" xfId="12813" xr:uid="{00000000-0005-0000-0000-000004320000}"/>
    <cellStyle name="_Data_Analysesatei v. 07.04.00 Plan 9901vs0001_0908 Gabarito exchange rate" xfId="12814" xr:uid="{00000000-0005-0000-0000-000005320000}"/>
    <cellStyle name="_Data_Analysesatei v. 07.04.00 Plan 9901vs0001_0908 Gabarito exchange rate 2" xfId="12815" xr:uid="{00000000-0005-0000-0000-000006320000}"/>
    <cellStyle name="_Data_Analysesatei v. 07.04.00 Plan 9901vs0001_0908 Gabarito exchange rate 2 2" xfId="12816" xr:uid="{00000000-0005-0000-0000-000007320000}"/>
    <cellStyle name="_Data_Analysesatei v. 07.04.00 Plan 9901vs0001_0908 Gabarito exchange rate 3" xfId="12817" xr:uid="{00000000-0005-0000-0000-000008320000}"/>
    <cellStyle name="_Data_Analysesatei v. 07.04.00 Plan 9901vs0001_0908 Gabarito exchange rate 4" xfId="12818" xr:uid="{00000000-0005-0000-0000-000009320000}"/>
    <cellStyle name="_Data_Analysesatei v. 07.04.00 Plan 9901vs0001_Accident frequency" xfId="12819" xr:uid="{00000000-0005-0000-0000-00000A320000}"/>
    <cellStyle name="_Data_Analysesatei v. 07.04.00 Plan 9901vs0001_Additional Templates" xfId="12820" xr:uid="{00000000-0005-0000-0000-00000B320000}"/>
    <cellStyle name="_Data_Analysesatei v. 07.04.00 Plan 9901vs0001_Additional Templates (2)" xfId="12821" xr:uid="{00000000-0005-0000-0000-00000C320000}"/>
    <cellStyle name="_Data_Analysesatei v. 07.04.00 Plan 9901vs0001_Additional Templates (2) 2" xfId="12822" xr:uid="{00000000-0005-0000-0000-00000D320000}"/>
    <cellStyle name="_Data_Analysesatei v. 07.04.00 Plan 9901vs0001_Additional Templates (3)" xfId="12823" xr:uid="{00000000-0005-0000-0000-00000E320000}"/>
    <cellStyle name="_Data_Analysesatei v. 07.04.00 Plan 9901vs0001_Additional Templates (3) 2" xfId="12824" xr:uid="{00000000-0005-0000-0000-00000F320000}"/>
    <cellStyle name="_Data_Analysesatei v. 07.04.00 Plan 9901vs0001_Additional Templates (4)" xfId="12825" xr:uid="{00000000-0005-0000-0000-000010320000}"/>
    <cellStyle name="_Data_Analysesatei v. 07.04.00 Plan 9901vs0001_Additional Templates (4) 2" xfId="12826" xr:uid="{00000000-0005-0000-0000-000011320000}"/>
    <cellStyle name="_Data_Analysesatei v. 07.04.00 Plan 9901vs0001_Additional Templates (5)" xfId="12827" xr:uid="{00000000-0005-0000-0000-000012320000}"/>
    <cellStyle name="_Data_Analysesatei v. 07.04.00 Plan 9901vs0001_Additional Templates (5) 2" xfId="12828" xr:uid="{00000000-0005-0000-0000-000013320000}"/>
    <cellStyle name="_Data_Analysesatei v. 07.04.00 Plan 9901vs0001_Additional Templates 10" xfId="12829" xr:uid="{00000000-0005-0000-0000-000014320000}"/>
    <cellStyle name="_Data_Analysesatei v. 07.04.00 Plan 9901vs0001_Additional Templates 2" xfId="12830" xr:uid="{00000000-0005-0000-0000-000015320000}"/>
    <cellStyle name="_Data_Analysesatei v. 07.04.00 Plan 9901vs0001_Additional Templates 3" xfId="12831" xr:uid="{00000000-0005-0000-0000-000016320000}"/>
    <cellStyle name="_Data_Analysesatei v. 07.04.00 Plan 9901vs0001_Additional Templates 4" xfId="12832" xr:uid="{00000000-0005-0000-0000-000017320000}"/>
    <cellStyle name="_Data_Analysesatei v. 07.04.00 Plan 9901vs0001_Additional Templates 5" xfId="12833" xr:uid="{00000000-0005-0000-0000-000018320000}"/>
    <cellStyle name="_Data_Analysesatei v. 07.04.00 Plan 9901vs0001_Additional Templates 6" xfId="12834" xr:uid="{00000000-0005-0000-0000-000019320000}"/>
    <cellStyle name="_Data_Analysesatei v. 07.04.00 Plan 9901vs0001_Additional Templates 7" xfId="12835" xr:uid="{00000000-0005-0000-0000-00001A320000}"/>
    <cellStyle name="_Data_Analysesatei v. 07.04.00 Plan 9901vs0001_Additional Templates 8" xfId="12836" xr:uid="{00000000-0005-0000-0000-00001B320000}"/>
    <cellStyle name="_Data_Analysesatei v. 07.04.00 Plan 9901vs0001_Additional Templates 9" xfId="12837" xr:uid="{00000000-0005-0000-0000-00001C320000}"/>
    <cellStyle name="_Data_Analysesatei v. 07.04.00 Plan 9901vs0001_Basis" xfId="12838" xr:uid="{00000000-0005-0000-0000-00001D320000}"/>
    <cellStyle name="_Data_Analysesatei v. 07.04.00 Plan 9901vs0001_Basis 2" xfId="12839" xr:uid="{00000000-0005-0000-0000-00001E320000}"/>
    <cellStyle name="_Data_Analysesatei v. 07.04.00 Plan 9901vs0001_Basis 2 2" xfId="12840" xr:uid="{00000000-0005-0000-0000-00001F320000}"/>
    <cellStyle name="_Data_Analysesatei v. 07.04.00 Plan 9901vs0001_Basis_packaging" xfId="12841" xr:uid="{00000000-0005-0000-0000-000020320000}"/>
    <cellStyle name="_Data_Analysesatei v. 07.04.00 Plan 9901vs0001_Basis_packaging_Sheet5" xfId="12842" xr:uid="{00000000-0005-0000-0000-000021320000}"/>
    <cellStyle name="_Data_Analysesatei v. 07.04.00 Plan 9901vs0001_Basis_RFFS SUBMISSION TO VPs" xfId="12843" xr:uid="{00000000-0005-0000-0000-000022320000}"/>
    <cellStyle name="_Data_Analysesatei v. 07.04.00 Plan 9901vs0001_Basis_RFFS SUBMISSION TO VPs 2" xfId="12844" xr:uid="{00000000-0005-0000-0000-000023320000}"/>
    <cellStyle name="_Data_Analysesatei v. 07.04.00 Plan 9901vs0001_Basis_RFFS_SUBMISSION_TO_VPs _v2" xfId="12845" xr:uid="{00000000-0005-0000-0000-000024320000}"/>
    <cellStyle name="_Data_Analysesatei v. 07.04.00 Plan 9901vs0001_Basis_RFFS_SUBMISSION_TO_VPs _v2 2" xfId="12846" xr:uid="{00000000-0005-0000-0000-000025320000}"/>
    <cellStyle name="_Data_Analysesatei v. 07.04.00 Plan 9901vs0001_Basis_Sheet1" xfId="12847" xr:uid="{00000000-0005-0000-0000-000026320000}"/>
    <cellStyle name="_Data_Analysesatei v. 07.04.00 Plan 9901vs0001_Basis_Sheet5" xfId="12848" xr:uid="{00000000-0005-0000-0000-000027320000}"/>
    <cellStyle name="_Data_Analysesatei v. 07.04.00 Plan 9901vs0001_Basis_Sm Proj Cash Flow" xfId="12849" xr:uid="{00000000-0005-0000-0000-000028320000}"/>
    <cellStyle name="_Data_Analysesatei v. 07.04.00 Plan 9901vs0001_Basis_Spend Detail" xfId="12850" xr:uid="{00000000-0005-0000-0000-000029320000}"/>
    <cellStyle name="_Data_Analysesatei v. 07.04.00 Plan 9901vs0001_Basis_SustainingProjectList" xfId="12851" xr:uid="{00000000-0005-0000-0000-00002A320000}"/>
    <cellStyle name="_Data_Analysesatei v. 07.04.00 Plan 9901vs0001_BGT 08 Templates Sales  Marketing - final (revised)" xfId="12852" xr:uid="{00000000-0005-0000-0000-00002B320000}"/>
    <cellStyle name="_Data_Analysesatei v. 07.04.00 Plan 9901vs0001_BGT 08 Templates Sales  Marketing - final (revised) 2" xfId="12853" xr:uid="{00000000-0005-0000-0000-00002C320000}"/>
    <cellStyle name="_Data_Analysesatei v. 07.04.00 Plan 9901vs0001_BGT 08 Templates Sales  Marketing - final (revised) 2 2" xfId="12854" xr:uid="{00000000-0005-0000-0000-00002D320000}"/>
    <cellStyle name="_Data_Analysesatei v. 07.04.00 Plan 9901vs0001_BGT 08 Templates Sales  Marketing - final (revised) 3" xfId="12855" xr:uid="{00000000-0005-0000-0000-00002E320000}"/>
    <cellStyle name="_Data_Analysesatei v. 07.04.00 Plan 9901vs0001_BGT 08 Templates Sales  Marketing - final (revised) 4" xfId="12856" xr:uid="{00000000-0005-0000-0000-00002F320000}"/>
    <cellStyle name="_Data_Analysesatei v. 07.04.00 Plan 9901vs0001_BGT 08 Templates Sales  Marketing - final (revised)_Sheet1" xfId="12857" xr:uid="{00000000-0005-0000-0000-000030320000}"/>
    <cellStyle name="_Data_Analysesatei v. 07.04.00 Plan 9901vs0001_BGT 08 Templates Sales  Marketing - final (revised)_SustainingProjectList" xfId="12858" xr:uid="{00000000-0005-0000-0000-000031320000}"/>
    <cellStyle name="_Data_Analysesatei v. 07.04.00 Plan 9901vs0001_BGT 08 templates, Sales &amp; Marketing - draft com alterações" xfId="12859" xr:uid="{00000000-0005-0000-0000-000032320000}"/>
    <cellStyle name="_Data_Analysesatei v. 07.04.00 Plan 9901vs0001_BGT 08 templates, Sales &amp; Marketing - draft com alterações 2" xfId="12860" xr:uid="{00000000-0005-0000-0000-000033320000}"/>
    <cellStyle name="_Data_Analysesatei v. 07.04.00 Plan 9901vs0001_BGT 08 templates, Sales &amp; Marketing - draft com alterações 2 2" xfId="12861" xr:uid="{00000000-0005-0000-0000-000034320000}"/>
    <cellStyle name="_Data_Analysesatei v. 07.04.00 Plan 9901vs0001_BGT 08 templates, Sales &amp; Marketing - draft com alterações 3" xfId="12862" xr:uid="{00000000-0005-0000-0000-000035320000}"/>
    <cellStyle name="_Data_Analysesatei v. 07.04.00 Plan 9901vs0001_BGT 08 templates, Sales &amp; Marketing - draft com alterações 4" xfId="12863" xr:uid="{00000000-0005-0000-0000-000036320000}"/>
    <cellStyle name="_Data_Analysesatei v. 07.04.00 Plan 9901vs0001_BGT 08 templates, Sales &amp; Marketing - draft com alterações_Sheet1" xfId="12864" xr:uid="{00000000-0005-0000-0000-000037320000}"/>
    <cellStyle name="_Data_Analysesatei v. 07.04.00 Plan 9901vs0001_BGT 08 templates, Sales &amp; Marketing - draft com alterações_SustainingProjectList" xfId="12865" xr:uid="{00000000-0005-0000-0000-000038320000}"/>
    <cellStyle name="_Data_Analysesatei v. 07.04.00 Plan 9901vs0001_Book5" xfId="12866" xr:uid="{00000000-0005-0000-0000-000039320000}"/>
    <cellStyle name="_Data_Analysesatei v. 07.04.00 Plan 9901vs0001_Book5 2" xfId="12867" xr:uid="{00000000-0005-0000-0000-00003A320000}"/>
    <cellStyle name="_Data_Analysesatei v. 07.04.00 Plan 9901vs0001_Book5 2 2" xfId="12868" xr:uid="{00000000-0005-0000-0000-00003B320000}"/>
    <cellStyle name="_Data_Analysesatei v. 07.04.00 Plan 9901vs0001_Book5 3" xfId="12869" xr:uid="{00000000-0005-0000-0000-00003C320000}"/>
    <cellStyle name="_Data_Analysesatei v. 07.04.00 Plan 9901vs0001_Book5 4" xfId="12870" xr:uid="{00000000-0005-0000-0000-00003D320000}"/>
    <cellStyle name="_Data_Analysesatei v. 07.04.00 Plan 9901vs0001_Bplan RD 1001" xfId="12871" xr:uid="{00000000-0005-0000-0000-00003E320000}"/>
    <cellStyle name="_Data_Analysesatei v. 07.04.00 Plan 9901vs0001_Bplan RD 1001 2" xfId="12872" xr:uid="{00000000-0005-0000-0000-00003F320000}"/>
    <cellStyle name="_Data_Analysesatei v. 07.04.00 Plan 9901vs0001_Bplan RD 1001 2 2" xfId="12873" xr:uid="{00000000-0005-0000-0000-000040320000}"/>
    <cellStyle name="_Data_Analysesatei v. 07.04.00 Plan 9901vs0001_Bplan RD 1001 3" xfId="12874" xr:uid="{00000000-0005-0000-0000-000041320000}"/>
    <cellStyle name="_Data_Analysesatei v. 07.04.00 Plan 9901vs0001_Bplan RD 1001 4" xfId="12875" xr:uid="{00000000-0005-0000-0000-000042320000}"/>
    <cellStyle name="_Data_Analysesatei v. 07.04.00 Plan 9901vs0001_CAPEX Analysis WE v3 Thomas" xfId="12876" xr:uid="{00000000-0005-0000-0000-000043320000}"/>
    <cellStyle name="_Data_Analysesatei v. 07.04.00 Plan 9901vs0001_CAPEX Analysis WE v3 Thomas 2" xfId="12877" xr:uid="{00000000-0005-0000-0000-000044320000}"/>
    <cellStyle name="_Data_Analysesatei v. 07.04.00 Plan 9901vs0001_CAPEX Analysis WE v3 Thomas_Sheet1" xfId="12878" xr:uid="{00000000-0005-0000-0000-000045320000}"/>
    <cellStyle name="_Data_Analysesatei v. 07.04.00 Plan 9901vs0001_CAPEX Analysis WE v3 Thomas_SustainingProjectList" xfId="12879" xr:uid="{00000000-0005-0000-0000-000046320000}"/>
    <cellStyle name="_Data_Analysesatei v. 07.04.00 Plan 9901vs0001_Challenge" xfId="12880" xr:uid="{00000000-0005-0000-0000-000047320000}"/>
    <cellStyle name="_Data_Analysesatei v. 07.04.00 Plan 9901vs0001_Challenge 2" xfId="12881" xr:uid="{00000000-0005-0000-0000-000048320000}"/>
    <cellStyle name="_Data_Analysesatei v. 07.04.00 Plan 9901vs0001_Challenge_Sheet1" xfId="12882" xr:uid="{00000000-0005-0000-0000-000049320000}"/>
    <cellStyle name="_Data_Analysesatei v. 07.04.00 Plan 9901vs0001_Challenge_SustainingProjectList" xfId="12883" xr:uid="{00000000-0005-0000-0000-00004A320000}"/>
    <cellStyle name="_Data_Analysesatei v. 07.04.00 Plan 9901vs0001_Copy of 081027 ZBB Budget 2009 Decks - People_Cherry_V4" xfId="12884" xr:uid="{00000000-0005-0000-0000-00004B320000}"/>
    <cellStyle name="_Data_Analysesatei v. 07.04.00 Plan 9901vs0001_Copy of 081027 ZBB Budget 2009 Decks - People_Cherry_V4 2" xfId="12885" xr:uid="{00000000-0005-0000-0000-00004C320000}"/>
    <cellStyle name="_Data_Analysesatei v. 07.04.00 Plan 9901vs0001_Copy of 081027 ZBB Budget 2009 Decks - People_Cherry_V4 2 2" xfId="12886" xr:uid="{00000000-0005-0000-0000-00004D320000}"/>
    <cellStyle name="_Data_Analysesatei v. 07.04.00 Plan 9901vs0001_Copy of BGT 08 Templates Sales  Marketing - final (revised)" xfId="12887" xr:uid="{00000000-0005-0000-0000-00004E320000}"/>
    <cellStyle name="_Data_Analysesatei v. 07.04.00 Plan 9901vs0001_Copy of BGT 08 Templates Sales  Marketing - final (revised) 2" xfId="12888" xr:uid="{00000000-0005-0000-0000-00004F320000}"/>
    <cellStyle name="_Data_Analysesatei v. 07.04.00 Plan 9901vs0001_Copy of BGT 08 Templates Sales  Marketing - final (revised) 2 2" xfId="12889" xr:uid="{00000000-0005-0000-0000-000050320000}"/>
    <cellStyle name="_Data_Analysesatei v. 07.04.00 Plan 9901vs0001_Copy of BGT 08 Templates Sales  Marketing - final (revised) 3" xfId="12890" xr:uid="{00000000-0005-0000-0000-000051320000}"/>
    <cellStyle name="_Data_Analysesatei v. 07.04.00 Plan 9901vs0001_Copy of BGT 08 Templates Sales  Marketing - final (revised) 4" xfId="12891" xr:uid="{00000000-0005-0000-0000-000052320000}"/>
    <cellStyle name="_Data_Analysesatei v. 07.04.00 Plan 9901vs0001_Copy of BGT 08 Templates Sales  Marketing - final (revised)_Sheet1" xfId="12892" xr:uid="{00000000-0005-0000-0000-000053320000}"/>
    <cellStyle name="_Data_Analysesatei v. 07.04.00 Plan 9901vs0001_Copy of BGT 08 Templates Sales  Marketing - final (revised)_SustainingProjectList" xfId="12893" xr:uid="{00000000-0005-0000-0000-000054320000}"/>
    <cellStyle name="_Data_Analysesatei v. 07.04.00 Plan 9901vs0001_Dominican Rep" xfId="12894" xr:uid="{00000000-0005-0000-0000-000055320000}"/>
    <cellStyle name="_Data_Analysesatei v. 07.04.00 Plan 9901vs0001_Excel sheets to support Market Program Template for Budget 09 (5) (2)" xfId="12895" xr:uid="{00000000-0005-0000-0000-000056320000}"/>
    <cellStyle name="_Data_Analysesatei v. 07.04.00 Plan 9901vs0001_Excel sheets to support Market Program Template for Budget 09 (5) (2) 2" xfId="12896" xr:uid="{00000000-0005-0000-0000-000057320000}"/>
    <cellStyle name="_Data_Analysesatei v. 07.04.00 Plan 9901vs0001_Excel sheets to support Market Program Template for Budget 09 (5) (2) 2 2" xfId="12897" xr:uid="{00000000-0005-0000-0000-000058320000}"/>
    <cellStyle name="_Data_Analysesatei v. 07.04.00 Plan 9901vs0001_Excel sheets to support Market Program Template for Budget 09 (5) (2)_Sheet1" xfId="12898" xr:uid="{00000000-0005-0000-0000-000059320000}"/>
    <cellStyle name="_Data_Analysesatei v. 07.04.00 Plan 9901vs0001_Excel sheets to support Market Program Template for Budget 09 (5) (2)_SustainingProjectList" xfId="12899" xr:uid="{00000000-0005-0000-0000-00005A320000}"/>
    <cellStyle name="_Data_Analysesatei v. 07.04.00 Plan 9901vs0001_Excel sheets to support Market Program Template for Budget 09 (5) (3)" xfId="12900" xr:uid="{00000000-0005-0000-0000-00005B320000}"/>
    <cellStyle name="_Data_Analysesatei v. 07.04.00 Plan 9901vs0001_Excel sheets to support Market Program Template for Budget 09 (5) (3) 2" xfId="12901" xr:uid="{00000000-0005-0000-0000-00005C320000}"/>
    <cellStyle name="_Data_Analysesatei v. 07.04.00 Plan 9901vs0001_Excel sheets to support Market Program Template for Budget 09 (5) (3) 2 2" xfId="12902" xr:uid="{00000000-0005-0000-0000-00005D320000}"/>
    <cellStyle name="_Data_Analysesatei v. 07.04.00 Plan 9901vs0001_Excel sheets to support Market Program Template for Budget 09 (5) (3)_Sheet1" xfId="12903" xr:uid="{00000000-0005-0000-0000-00005E320000}"/>
    <cellStyle name="_Data_Analysesatei v. 07.04.00 Plan 9901vs0001_Excel sheets to support Market Program Template for Budget 09 (5) (3)_SustainingProjectList" xfId="12904" xr:uid="{00000000-0005-0000-0000-00005F320000}"/>
    <cellStyle name="_Data_Analysesatei v. 07.04.00 Plan 9901vs0001_LE Ebitda RD Feb-10 v2" xfId="12905" xr:uid="{00000000-0005-0000-0000-000060320000}"/>
    <cellStyle name="_Data_Analysesatei v. 07.04.00 Plan 9901vs0001_LE Ebitda RD Feb-10 v2 2" xfId="12906" xr:uid="{00000000-0005-0000-0000-000061320000}"/>
    <cellStyle name="_Data_Analysesatei v. 07.04.00 Plan 9901vs0001_LE Ebitda RD Feb-10 v2 2 2" xfId="12907" xr:uid="{00000000-0005-0000-0000-000062320000}"/>
    <cellStyle name="_Data_Analysesatei v. 07.04.00 Plan 9901vs0001_NNT_LE'08_1605vsBGT'09_1713" xfId="12908" xr:uid="{00000000-0005-0000-0000-000063320000}"/>
    <cellStyle name="_Data_Analysesatei v. 07.04.00 Plan 9901vs0001_NNT_LE'08_1605vsBGT'09_1713 2" xfId="12909" xr:uid="{00000000-0005-0000-0000-000064320000}"/>
    <cellStyle name="_Data_Analysesatei v. 07.04.00 Plan 9901vs0001_packaging" xfId="12910" xr:uid="{00000000-0005-0000-0000-000065320000}"/>
    <cellStyle name="_Data_Analysesatei v. 07.04.00 Plan 9901vs0001_People Package" xfId="12911" xr:uid="{00000000-0005-0000-0000-000066320000}"/>
    <cellStyle name="_Data_Analysesatei v. 07.04.00 Plan 9901vs0001_People Package (2)" xfId="12912" xr:uid="{00000000-0005-0000-0000-000067320000}"/>
    <cellStyle name="_Data_Analysesatei v. 07.04.00 Plan 9901vs0001_People Package (2) 2" xfId="12913" xr:uid="{00000000-0005-0000-0000-000068320000}"/>
    <cellStyle name="_Data_Analysesatei v. 07.04.00 Plan 9901vs0001_People Package (2) 2 2" xfId="12914" xr:uid="{00000000-0005-0000-0000-000069320000}"/>
    <cellStyle name="_Data_Analysesatei v. 07.04.00 Plan 9901vs0001_People Package 2" xfId="12915" xr:uid="{00000000-0005-0000-0000-00006A320000}"/>
    <cellStyle name="_Data_Analysesatei v. 07.04.00 Plan 9901vs0001_People Package 2 2" xfId="12916" xr:uid="{00000000-0005-0000-0000-00006B320000}"/>
    <cellStyle name="_Data_Analysesatei v. 07.04.00 Plan 9901vs0001_People Package 3" xfId="12917" xr:uid="{00000000-0005-0000-0000-00006C320000}"/>
    <cellStyle name="_Data_Analysesatei v. 07.04.00 Plan 9901vs0001_People Package 3 2" xfId="12918" xr:uid="{00000000-0005-0000-0000-00006D320000}"/>
    <cellStyle name="_Data_Analysesatei v. 07.04.00 Plan 9901vs0001_People Package 4" xfId="12919" xr:uid="{00000000-0005-0000-0000-00006E320000}"/>
    <cellStyle name="_Data_Analysesatei v. 07.04.00 Plan 9901vs0001_People Package 5" xfId="12920" xr:uid="{00000000-0005-0000-0000-00006F320000}"/>
    <cellStyle name="_Data_Analysesatei v. 07.04.00 Plan 9901vs0001_RB&amp;JW_Produktionsplanung_LE1_2006 sortiert" xfId="12921" xr:uid="{00000000-0005-0000-0000-000070320000}"/>
    <cellStyle name="_Data_Analysesatei v. 07.04.00 Plan 9901vs0001_RB&amp;JW_Produktionsplanung_LE1_2006 sortiert 2" xfId="12922" xr:uid="{00000000-0005-0000-0000-000071320000}"/>
    <cellStyle name="_Data_Analysesatei v. 07.04.00 Plan 9901vs0001_RB&amp;JW_Produktionsplanung_LE1_2006 sortiert 2 2" xfId="12923" xr:uid="{00000000-0005-0000-0000-000072320000}"/>
    <cellStyle name="_Data_Analysesatei v. 07.04.00 Plan 9901vs0001_RB&amp;JW_Produktionsplanung_LE1_2006 sortiert_packaging" xfId="12924" xr:uid="{00000000-0005-0000-0000-000073320000}"/>
    <cellStyle name="_Data_Analysesatei v. 07.04.00 Plan 9901vs0001_RB&amp;JW_Produktionsplanung_LE1_2006 sortiert_packaging_Sheet5" xfId="12925" xr:uid="{00000000-0005-0000-0000-000074320000}"/>
    <cellStyle name="_Data_Analysesatei v. 07.04.00 Plan 9901vs0001_RB&amp;JW_Produktionsplanung_LE1_2006 sortiert_RFFS SUBMISSION TO VPs" xfId="12926" xr:uid="{00000000-0005-0000-0000-000075320000}"/>
    <cellStyle name="_Data_Analysesatei v. 07.04.00 Plan 9901vs0001_RB&amp;JW_Produktionsplanung_LE1_2006 sortiert_RFFS SUBMISSION TO VPs 2" xfId="12927" xr:uid="{00000000-0005-0000-0000-000076320000}"/>
    <cellStyle name="_Data_Analysesatei v. 07.04.00 Plan 9901vs0001_RB&amp;JW_Produktionsplanung_LE1_2006 sortiert_RFFS_SUBMISSION_TO_VPs _v2" xfId="12928" xr:uid="{00000000-0005-0000-0000-000077320000}"/>
    <cellStyle name="_Data_Analysesatei v. 07.04.00 Plan 9901vs0001_RB&amp;JW_Produktionsplanung_LE1_2006 sortiert_RFFS_SUBMISSION_TO_VPs _v2 2" xfId="12929" xr:uid="{00000000-0005-0000-0000-000078320000}"/>
    <cellStyle name="_Data_Analysesatei v. 07.04.00 Plan 9901vs0001_RB&amp;JW_Produktionsplanung_LE1_2006 sortiert_Sheet1" xfId="12930" xr:uid="{00000000-0005-0000-0000-000079320000}"/>
    <cellStyle name="_Data_Analysesatei v. 07.04.00 Plan 9901vs0001_RB&amp;JW_Produktionsplanung_LE1_2006 sortiert_Sheet5" xfId="12931" xr:uid="{00000000-0005-0000-0000-00007A320000}"/>
    <cellStyle name="_Data_Analysesatei v. 07.04.00 Plan 9901vs0001_RB&amp;JW_Produktionsplanung_LE1_2006 sortiert_Sm Proj Cash Flow" xfId="12932" xr:uid="{00000000-0005-0000-0000-00007B320000}"/>
    <cellStyle name="_Data_Analysesatei v. 07.04.00 Plan 9901vs0001_RB&amp;JW_Produktionsplanung_LE1_2006 sortiert_Spend Detail" xfId="12933" xr:uid="{00000000-0005-0000-0000-00007C320000}"/>
    <cellStyle name="_Data_Analysesatei v. 07.04.00 Plan 9901vs0001_RB&amp;JW_Produktionsplanung_LE1_2006 sortiert_SustainingProjectList" xfId="12934" xr:uid="{00000000-0005-0000-0000-00007D320000}"/>
    <cellStyle name="_Data_Analysesatei v. 07.04.00 Plan 9901vs0001_RFFS SUBMISSION TO VPs" xfId="12935" xr:uid="{00000000-0005-0000-0000-00007E320000}"/>
    <cellStyle name="_Data_Analysesatei v. 07.04.00 Plan 9901vs0001_RFFS SUBMISSION TO VPs 2" xfId="12936" xr:uid="{00000000-0005-0000-0000-00007F320000}"/>
    <cellStyle name="_Data_Analysesatei v. 07.04.00 Plan 9901vs0001_RFFS_SUBMISSION_TO_VPs _v2" xfId="12937" xr:uid="{00000000-0005-0000-0000-000080320000}"/>
    <cellStyle name="_Data_Analysesatei v. 07.04.00 Plan 9901vs0001_RFFS_SUBMISSION_TO_VPs _v2 2" xfId="12938" xr:uid="{00000000-0005-0000-0000-000081320000}"/>
    <cellStyle name="_Data_Analysesatei v. 07.04.00 Plan 9901vs0001_Sales and Marketing - revised" xfId="12939" xr:uid="{00000000-0005-0000-0000-000082320000}"/>
    <cellStyle name="_Data_Analysesatei v. 07.04.00 Plan 9901vs0001_Sales and Marketing - revised 2" xfId="12940" xr:uid="{00000000-0005-0000-0000-000083320000}"/>
    <cellStyle name="_Data_Analysesatei v. 07.04.00 Plan 9901vs0001_Sales and Marketing - revised 2 2" xfId="12941" xr:uid="{00000000-0005-0000-0000-000084320000}"/>
    <cellStyle name="_Data_Analysesatei v. 07.04.00 Plan 9901vs0001_Sales and Marketing - revised 3" xfId="12942" xr:uid="{00000000-0005-0000-0000-000085320000}"/>
    <cellStyle name="_Data_Analysesatei v. 07.04.00 Plan 9901vs0001_Sales and Marketing - revised 4" xfId="12943" xr:uid="{00000000-0005-0000-0000-000086320000}"/>
    <cellStyle name="_Data_Analysesatei v. 07.04.00 Plan 9901vs0001_Sheet1" xfId="12944" xr:uid="{00000000-0005-0000-0000-000087320000}"/>
    <cellStyle name="_Data_Analysesatei v. 07.04.00 Plan 9901vs0001_Sheet5" xfId="12945" xr:uid="{00000000-0005-0000-0000-000088320000}"/>
    <cellStyle name="_Data_Analysesatei v. 07.04.00 Plan 9901vs0001_Sim Ebitda LE 0909 v4" xfId="12946" xr:uid="{00000000-0005-0000-0000-000089320000}"/>
    <cellStyle name="_Data_Analysesatei v. 07.04.00 Plan 9901vs0001_Sim Ebitda LE 0909 v4 2" xfId="12947" xr:uid="{00000000-0005-0000-0000-00008A320000}"/>
    <cellStyle name="_Data_Analysesatei v. 07.04.00 Plan 9901vs0001_Sim Ebitda LE 0909 v4 2 2" xfId="12948" xr:uid="{00000000-0005-0000-0000-00008B320000}"/>
    <cellStyle name="_Data_Analysesatei v. 07.04.00 Plan 9901vs0001_Sim Ebitda LE 0909 v4 3" xfId="12949" xr:uid="{00000000-0005-0000-0000-00008C320000}"/>
    <cellStyle name="_Data_Analysesatei v. 07.04.00 Plan 9901vs0001_Sim Ebitda LE 0909 v4 4" xfId="12950" xr:uid="{00000000-0005-0000-0000-00008D320000}"/>
    <cellStyle name="_Data_Analysesatei v. 07.04.00 Plan 9901vs0001_SKU Volumen" xfId="12951" xr:uid="{00000000-0005-0000-0000-00008E320000}"/>
    <cellStyle name="_Data_Analysesatei v. 07.04.00 Plan 9901vs0001_SKU Volumen 2" xfId="12952" xr:uid="{00000000-0005-0000-0000-00008F320000}"/>
    <cellStyle name="_Data_Analysesatei v. 07.04.00 Plan 9901vs0001_SKU Volumen_RFFS SUBMISSION TO VPs" xfId="12953" xr:uid="{00000000-0005-0000-0000-000090320000}"/>
    <cellStyle name="_Data_Analysesatei v. 07.04.00 Plan 9901vs0001_SKU Volumen_RFFS SUBMISSION TO VPs 2" xfId="12954" xr:uid="{00000000-0005-0000-0000-000091320000}"/>
    <cellStyle name="_Data_Analysesatei v. 07.04.00 Plan 9901vs0001_SKU Volumen_RFFS_SUBMISSION_TO_VPs _v2" xfId="12955" xr:uid="{00000000-0005-0000-0000-000092320000}"/>
    <cellStyle name="_Data_Analysesatei v. 07.04.00 Plan 9901vs0001_SKU Volumen_RFFS_SUBMISSION_TO_VPs _v2 2" xfId="12956" xr:uid="{00000000-0005-0000-0000-000093320000}"/>
    <cellStyle name="_Data_Analysesatei v. 07.04.00 Plan 9901vs0001_SKU Volumen_Sheet1" xfId="12957" xr:uid="{00000000-0005-0000-0000-000094320000}"/>
    <cellStyle name="_Data_Analysesatei v. 07.04.00 Plan 9901vs0001_SKU Volumen_Sm Proj Cash Flow" xfId="12958" xr:uid="{00000000-0005-0000-0000-000095320000}"/>
    <cellStyle name="_Data_Analysesatei v. 07.04.00 Plan 9901vs0001_SKU Volumen_Spend Detail" xfId="12959" xr:uid="{00000000-0005-0000-0000-000096320000}"/>
    <cellStyle name="_Data_Analysesatei v. 07.04.00 Plan 9901vs0001_SKU Volumen_SustainingProjectList" xfId="12960" xr:uid="{00000000-0005-0000-0000-000097320000}"/>
    <cellStyle name="_Data_Analysesatei v. 07.04.00 Plan 9901vs0001_Slide for initiatives (2)" xfId="12961" xr:uid="{00000000-0005-0000-0000-000098320000}"/>
    <cellStyle name="_Data_Analysesatei v. 07.04.00 Plan 9901vs0001_Slide for initiatives (2) 2" xfId="12962" xr:uid="{00000000-0005-0000-0000-000099320000}"/>
    <cellStyle name="_Data_Analysesatei v. 07.04.00 Plan 9901vs0001_SustainingProjectList" xfId="12963" xr:uid="{00000000-0005-0000-0000-00009A320000}"/>
    <cellStyle name="_Data_Analysesatei v. 07.04.00 Plan 9901vs0001_Tabelle1" xfId="12964" xr:uid="{00000000-0005-0000-0000-00009B320000}"/>
    <cellStyle name="_Data_Analysesatei v. 07.04.00 Plan 9901vs0001_Tabelle1 2" xfId="12965" xr:uid="{00000000-0005-0000-0000-00009C320000}"/>
    <cellStyle name="_Data_Analysesatei v. 07.04.00 Plan 9901vs0001_Tabelle1_RFFS SUBMISSION TO VPs" xfId="12966" xr:uid="{00000000-0005-0000-0000-00009D320000}"/>
    <cellStyle name="_Data_Analysesatei v. 07.04.00 Plan 9901vs0001_Tabelle1_RFFS SUBMISSION TO VPs 2" xfId="12967" xr:uid="{00000000-0005-0000-0000-00009E320000}"/>
    <cellStyle name="_Data_Analysesatei v. 07.04.00 Plan 9901vs0001_Tabelle1_RFFS_SUBMISSION_TO_VPs _v2" xfId="12968" xr:uid="{00000000-0005-0000-0000-00009F320000}"/>
    <cellStyle name="_Data_Analysesatei v. 07.04.00 Plan 9901vs0001_Tabelle1_RFFS_SUBMISSION_TO_VPs _v2 2" xfId="12969" xr:uid="{00000000-0005-0000-0000-0000A0320000}"/>
    <cellStyle name="_Data_Analysesatei v. 07.04.00 Plan 9901vs0001_Tabelle1_Sheet1" xfId="12970" xr:uid="{00000000-0005-0000-0000-0000A1320000}"/>
    <cellStyle name="_Data_Analysesatei v. 07.04.00 Plan 9901vs0001_Tabelle1_Sm Proj Cash Flow" xfId="12971" xr:uid="{00000000-0005-0000-0000-0000A2320000}"/>
    <cellStyle name="_Data_Analysesatei v. 07.04.00 Plan 9901vs0001_Tabelle1_Spend Detail" xfId="12972" xr:uid="{00000000-0005-0000-0000-0000A3320000}"/>
    <cellStyle name="_Data_Analysesatei v. 07.04.00 Plan 9901vs0001_Tabelle1_SustainingProjectList" xfId="12973" xr:uid="{00000000-0005-0000-0000-0000A4320000}"/>
    <cellStyle name="_Data_Analysesatei v. 07.04.00 Plan 9901vs0001_TP_IC_2013" xfId="12974" xr:uid="{00000000-0005-0000-0000-0000A5320000}"/>
    <cellStyle name="_Data_Analysesatei v. 07.04.00 Plan 9901vs0001_WF Ebitda RD Abr-10" xfId="12975" xr:uid="{00000000-0005-0000-0000-0000A6320000}"/>
    <cellStyle name="_Data_Analysesatei v. 07.04.00 Plan 9901vs0001_WF Ebitda RD Abr-10 2" xfId="12976" xr:uid="{00000000-0005-0000-0000-0000A7320000}"/>
    <cellStyle name="_Data_Analysesatei v. 07.04.00 Plan 9901vs0001_WF Ebitda RD Abr-10 2 2" xfId="12977" xr:uid="{00000000-0005-0000-0000-0000A8320000}"/>
    <cellStyle name="_Data_Analysesatei v. 07.04.00 Plan 9901vs0001_WF Ebitda Sep09" xfId="12978" xr:uid="{00000000-0005-0000-0000-0000A9320000}"/>
    <cellStyle name="_Data_Analysesatei v. 07.04.00 Plan 9901vs0001_WF Ebitda Sep09 2" xfId="12979" xr:uid="{00000000-0005-0000-0000-0000AA320000}"/>
    <cellStyle name="_Data_Analysesatei v. 07.04.00 Plan 9901vs0001_WF Ebitda Sep09 2 2" xfId="12980" xr:uid="{00000000-0005-0000-0000-0000AB320000}"/>
    <cellStyle name="_Data_Analysesatei v. 07.04.00 Plan 9901vs0001_ZBB" xfId="12981" xr:uid="{00000000-0005-0000-0000-0000AC320000}"/>
    <cellStyle name="_Data_Analysesatei v. 07.04.00 Plan 9901vs0001_ZBB 2" xfId="12982" xr:uid="{00000000-0005-0000-0000-0000AD320000}"/>
    <cellStyle name="_Data_Analysesatei v. 07.04.00 Plan 9901vs0001_ZBB 2 2" xfId="12983" xr:uid="{00000000-0005-0000-0000-0000AE320000}"/>
    <cellStyle name="_Data_Analysesatei v. 07.04.00 Plan 9901vs0001_ZBB Budget 2009 Decks" xfId="12984" xr:uid="{00000000-0005-0000-0000-0000AF320000}"/>
    <cellStyle name="_Data_Analysesatei v. 07.04.00 Plan 9901vs0001_ZBB Budget 2009 Decks 2" xfId="12985" xr:uid="{00000000-0005-0000-0000-0000B0320000}"/>
    <cellStyle name="_Data_Analysesatei v. 07.04.00 Plan 9901vs0001_ZBB Budget 2009 Decks 2 2" xfId="12986" xr:uid="{00000000-0005-0000-0000-0000B1320000}"/>
    <cellStyle name="_Data_Analysesatei v. 07.04.00 Plan 9901vs0001_ZBB Budget 2009 Decks_with Korea Scope in (Only LE)" xfId="12987" xr:uid="{00000000-0005-0000-0000-0000B2320000}"/>
    <cellStyle name="_Data_Analysesatei v. 07.04.00 Plan 9901vs0001_ZBB Budget 2009 Decks_with Korea Scope in (Only LE) (2)" xfId="12988" xr:uid="{00000000-0005-0000-0000-0000B3320000}"/>
    <cellStyle name="_Data_Analysesatei v. 07.04.00 Plan 9901vs0001_ZBB Budget 2009 Decks_with Korea Scope in (Only LE) (2) 2" xfId="12989" xr:uid="{00000000-0005-0000-0000-0000B4320000}"/>
    <cellStyle name="_Data_Analysesatei v. 07.04.00 Plan 9901vs0001_ZBB Budget 2009 Decks_with Korea Scope in (Only LE) (2) 2 2" xfId="12990" xr:uid="{00000000-0005-0000-0000-0000B5320000}"/>
    <cellStyle name="_Data_Analysesatei v. 07.04.00 Plan 9901vs0001_ZBB Budget 2009 Decks_with Korea Scope in (Only LE) 2" xfId="12991" xr:uid="{00000000-0005-0000-0000-0000B6320000}"/>
    <cellStyle name="_Data_Analysesatei v. 07.04.00 Plan 9901vs0001_ZBB Budget 2009 Decks_with Korea Scope in (Only LE) 2 2" xfId="12992" xr:uid="{00000000-0005-0000-0000-0000B7320000}"/>
    <cellStyle name="_Data_Analysesatei v. 07.04.00 Plan 9901vs0001_ZBB Budget 2009 Decks_with Korea Scope in (Only LE) 3" xfId="12993" xr:uid="{00000000-0005-0000-0000-0000B8320000}"/>
    <cellStyle name="_Data_Analysesatei v. 07.04.00 Plan 9901vs0001_ZBB Budget 2009 Decks_with Korea Scope in (Only LE) 3 2" xfId="12994" xr:uid="{00000000-0005-0000-0000-0000B9320000}"/>
    <cellStyle name="_Data_Analysesatei v. 07.04.00 Plan 9901vs0001_ZBB Budget 2009 Decks_with Korea Scope in (Only LE) 4" xfId="12995" xr:uid="{00000000-0005-0000-0000-0000BA320000}"/>
    <cellStyle name="_Data_Analysesatei v. 07.04.00 Plan 9901vs0001_ZBB Budget 2009 Decks_with Korea Scope in (Only LE) 5" xfId="12996" xr:uid="{00000000-0005-0000-0000-0000BB320000}"/>
    <cellStyle name="_Data_Analysis_ Local Transportation" xfId="12997" xr:uid="{00000000-0005-0000-0000-0000BC320000}"/>
    <cellStyle name="_Data_Analysis_ Local Transportation 2" xfId="12998" xr:uid="{00000000-0005-0000-0000-0000BD320000}"/>
    <cellStyle name="_Data_Analysis_ Local Transportation 2 2" xfId="12999" xr:uid="{00000000-0005-0000-0000-0000BE320000}"/>
    <cellStyle name="_Data_Analysis_ Local Transportation_Copy of 081027 ZBB Budget 2009 Decks - People_Cherry_V4" xfId="13000" xr:uid="{00000000-0005-0000-0000-0000BF320000}"/>
    <cellStyle name="_Data_Analysis_ Local Transportation_Copy of 081027 ZBB Budget 2009 Decks - People_Cherry_V4 2" xfId="13001" xr:uid="{00000000-0005-0000-0000-0000C0320000}"/>
    <cellStyle name="_Data_Analysis_ Local Transportation_Copy of 081027 ZBB Budget 2009 Decks - People_Cherry_V4 2 2" xfId="13002" xr:uid="{00000000-0005-0000-0000-0000C1320000}"/>
    <cellStyle name="_Data_Analysis_ Local Transportation_Dominican Rep" xfId="13003" xr:uid="{00000000-0005-0000-0000-0000C2320000}"/>
    <cellStyle name="_Data_Analysis_ Local Transportation_ZBB Budget 2009 Decks" xfId="13004" xr:uid="{00000000-0005-0000-0000-0000C3320000}"/>
    <cellStyle name="_Data_Analysis_ Local Transportation_ZBB Budget 2009 Decks 2" xfId="13005" xr:uid="{00000000-0005-0000-0000-0000C4320000}"/>
    <cellStyle name="_Data_Analysis_ Local Transportation_ZBB Budget 2009 Decks 2 2" xfId="13006" xr:uid="{00000000-0005-0000-0000-0000C5320000}"/>
    <cellStyle name="_Data_Analysis_ Local Transportation_ZBB Budget 2009 Decks_with Korea Scope in (Only LE)" xfId="13007" xr:uid="{00000000-0005-0000-0000-0000C6320000}"/>
    <cellStyle name="_Data_Analysis_ Local Transportation_ZBB Budget 2009 Decks_with Korea Scope in (Only LE) (2)" xfId="13008" xr:uid="{00000000-0005-0000-0000-0000C7320000}"/>
    <cellStyle name="_Data_Analysis_ Local Transportation_ZBB Budget 2009 Decks_with Korea Scope in (Only LE) (2) 2" xfId="13009" xr:uid="{00000000-0005-0000-0000-0000C8320000}"/>
    <cellStyle name="_Data_Analysis_ Local Transportation_ZBB Budget 2009 Decks_with Korea Scope in (Only LE) (2) 2 2" xfId="13010" xr:uid="{00000000-0005-0000-0000-0000C9320000}"/>
    <cellStyle name="_Data_Analysis_ Local Transportation_ZBB Budget 2009 Decks_with Korea Scope in (Only LE) 2" xfId="13011" xr:uid="{00000000-0005-0000-0000-0000CA320000}"/>
    <cellStyle name="_Data_Analysis_ Local Transportation_ZBB Budget 2009 Decks_with Korea Scope in (Only LE) 2 2" xfId="13012" xr:uid="{00000000-0005-0000-0000-0000CB320000}"/>
    <cellStyle name="_Data_Analysis_ Local Transportation_ZBB Budget 2009 Decks_with Korea Scope in (Only LE) 3" xfId="13013" xr:uid="{00000000-0005-0000-0000-0000CC320000}"/>
    <cellStyle name="_Data_Analysis_ Local Transportation_ZBB Budget 2009 Decks_with Korea Scope in (Only LE) 3 2" xfId="13014" xr:uid="{00000000-0005-0000-0000-0000CD320000}"/>
    <cellStyle name="_Data_Analysis_ Local Transportation_ZBB Budget 2009 Decks_with Korea Scope in (Only LE) 4" xfId="13015" xr:uid="{00000000-0005-0000-0000-0000CE320000}"/>
    <cellStyle name="_Data_Analysis_ Local Transportation_ZBB Budget 2009 Decks_with Korea Scope in (Only LE) 5" xfId="13016" xr:uid="{00000000-0005-0000-0000-0000CF320000}"/>
    <cellStyle name="_Data_Arbeitspläne 2003" xfId="13017" xr:uid="{00000000-0005-0000-0000-0000D0320000}"/>
    <cellStyle name="_Data_Arbeitspläne 2003_packaging" xfId="13018" xr:uid="{00000000-0005-0000-0000-0000D1320000}"/>
    <cellStyle name="_Data_Articel database TP B2005 v4" xfId="13019" xr:uid="{00000000-0005-0000-0000-0000D2320000}"/>
    <cellStyle name="_Data_Articel database TP B2005 v4 2" xfId="13020" xr:uid="{00000000-0005-0000-0000-0000D3320000}"/>
    <cellStyle name="_Data_Articel database TP B2005 v4_RFFS SUBMISSION TO VPs" xfId="13021" xr:uid="{00000000-0005-0000-0000-0000D4320000}"/>
    <cellStyle name="_Data_Articel database TP B2005 v4_RFFS SUBMISSION TO VPs 2" xfId="13022" xr:uid="{00000000-0005-0000-0000-0000D5320000}"/>
    <cellStyle name="_Data_Articel database TP B2005 v4_RFFS_SUBMISSION_TO_VPs _v2" xfId="13023" xr:uid="{00000000-0005-0000-0000-0000D6320000}"/>
    <cellStyle name="_Data_Articel database TP B2005 v4_RFFS_SUBMISSION_TO_VPs _v2 2" xfId="13024" xr:uid="{00000000-0005-0000-0000-0000D7320000}"/>
    <cellStyle name="_Data_Articel database TP B2005 v4_Sheet1" xfId="13025" xr:uid="{00000000-0005-0000-0000-0000D8320000}"/>
    <cellStyle name="_Data_Articel database TP B2005 v4_SustainingProjectList" xfId="13026" xr:uid="{00000000-0005-0000-0000-0000D9320000}"/>
    <cellStyle name="_Data_Asset Needs" xfId="13027" xr:uid="{00000000-0005-0000-0000-0000DA320000}"/>
    <cellStyle name="_Data_Asset Needs 2" xfId="13028" xr:uid="{00000000-0005-0000-0000-0000DB320000}"/>
    <cellStyle name="_Data_Auswertung" xfId="13029" xr:uid="{00000000-0005-0000-0000-0000DC320000}"/>
    <cellStyle name="_Data_Auswertung 2" xfId="13030" xr:uid="{00000000-0005-0000-0000-0000DD320000}"/>
    <cellStyle name="_Data_Auswertung 2 2" xfId="13031" xr:uid="{00000000-0005-0000-0000-0000DE320000}"/>
    <cellStyle name="_Data_Auswertung 2 2 2" xfId="13032" xr:uid="{00000000-0005-0000-0000-0000DF320000}"/>
    <cellStyle name="_Data_Auswertung 2 3" xfId="13033" xr:uid="{00000000-0005-0000-0000-0000E0320000}"/>
    <cellStyle name="_Data_Auswertung 2 4" xfId="13034" xr:uid="{00000000-0005-0000-0000-0000E1320000}"/>
    <cellStyle name="_Data_Auswertung 3" xfId="13035" xr:uid="{00000000-0005-0000-0000-0000E2320000}"/>
    <cellStyle name="_Data_Auswertung 3 2" xfId="13036" xr:uid="{00000000-0005-0000-0000-0000E3320000}"/>
    <cellStyle name="_Data_Auswertung_010808 Market Programs  for Budget Deck" xfId="13037" xr:uid="{00000000-0005-0000-0000-0000E4320000}"/>
    <cellStyle name="_Data_Auswertung_010808 Market Programs  for Budget Deck 2" xfId="13038" xr:uid="{00000000-0005-0000-0000-0000E5320000}"/>
    <cellStyle name="_Data_Auswertung_010808 Market Programs  for Budget Deck 2 2" xfId="13039" xr:uid="{00000000-0005-0000-0000-0000E6320000}"/>
    <cellStyle name="_Data_Auswertung_010808 Market Programs  for Budget Deck_Sheet1" xfId="13040" xr:uid="{00000000-0005-0000-0000-0000E7320000}"/>
    <cellStyle name="_Data_Auswertung_010808 Market Programs  for Budget Deck_SustainingProjectList" xfId="13041" xr:uid="{00000000-0005-0000-0000-0000E8320000}"/>
    <cellStyle name="_Data_Auswertung_0908 Gabarito exchange rate" xfId="13042" xr:uid="{00000000-0005-0000-0000-0000E9320000}"/>
    <cellStyle name="_Data_Auswertung_0908 Gabarito exchange rate 2" xfId="13043" xr:uid="{00000000-0005-0000-0000-0000EA320000}"/>
    <cellStyle name="_Data_Auswertung_0908 Gabarito exchange rate 2 2" xfId="13044" xr:uid="{00000000-0005-0000-0000-0000EB320000}"/>
    <cellStyle name="_Data_Auswertung_0908 Gabarito exchange rate 3" xfId="13045" xr:uid="{00000000-0005-0000-0000-0000EC320000}"/>
    <cellStyle name="_Data_Auswertung_0908 Gabarito exchange rate 4" xfId="13046" xr:uid="{00000000-0005-0000-0000-0000ED320000}"/>
    <cellStyle name="_Data_Auswertung_Accident frequency" xfId="13047" xr:uid="{00000000-0005-0000-0000-0000EE320000}"/>
    <cellStyle name="_Data_Auswertung_Additional Templates" xfId="13048" xr:uid="{00000000-0005-0000-0000-0000EF320000}"/>
    <cellStyle name="_Data_Auswertung_Additional Templates (2)" xfId="13049" xr:uid="{00000000-0005-0000-0000-0000F0320000}"/>
    <cellStyle name="_Data_Auswertung_Additional Templates (2) 2" xfId="13050" xr:uid="{00000000-0005-0000-0000-0000F1320000}"/>
    <cellStyle name="_Data_Auswertung_Additional Templates (3)" xfId="13051" xr:uid="{00000000-0005-0000-0000-0000F2320000}"/>
    <cellStyle name="_Data_Auswertung_Additional Templates (3) 2" xfId="13052" xr:uid="{00000000-0005-0000-0000-0000F3320000}"/>
    <cellStyle name="_Data_Auswertung_Additional Templates (4)" xfId="13053" xr:uid="{00000000-0005-0000-0000-0000F4320000}"/>
    <cellStyle name="_Data_Auswertung_Additional Templates (4) 2" xfId="13054" xr:uid="{00000000-0005-0000-0000-0000F5320000}"/>
    <cellStyle name="_Data_Auswertung_Additional Templates (5)" xfId="13055" xr:uid="{00000000-0005-0000-0000-0000F6320000}"/>
    <cellStyle name="_Data_Auswertung_Additional Templates (5) 2" xfId="13056" xr:uid="{00000000-0005-0000-0000-0000F7320000}"/>
    <cellStyle name="_Data_Auswertung_Additional Templates 10" xfId="13057" xr:uid="{00000000-0005-0000-0000-0000F8320000}"/>
    <cellStyle name="_Data_Auswertung_Additional Templates 2" xfId="13058" xr:uid="{00000000-0005-0000-0000-0000F9320000}"/>
    <cellStyle name="_Data_Auswertung_Additional Templates 3" xfId="13059" xr:uid="{00000000-0005-0000-0000-0000FA320000}"/>
    <cellStyle name="_Data_Auswertung_Additional Templates 4" xfId="13060" xr:uid="{00000000-0005-0000-0000-0000FB320000}"/>
    <cellStyle name="_Data_Auswertung_Additional Templates 5" xfId="13061" xr:uid="{00000000-0005-0000-0000-0000FC320000}"/>
    <cellStyle name="_Data_Auswertung_Additional Templates 6" xfId="13062" xr:uid="{00000000-0005-0000-0000-0000FD320000}"/>
    <cellStyle name="_Data_Auswertung_Additional Templates 7" xfId="13063" xr:uid="{00000000-0005-0000-0000-0000FE320000}"/>
    <cellStyle name="_Data_Auswertung_Additional Templates 8" xfId="13064" xr:uid="{00000000-0005-0000-0000-0000FF320000}"/>
    <cellStyle name="_Data_Auswertung_Additional Templates 9" xfId="13065" xr:uid="{00000000-0005-0000-0000-000000330000}"/>
    <cellStyle name="_Data_Auswertung_Basis" xfId="13066" xr:uid="{00000000-0005-0000-0000-000001330000}"/>
    <cellStyle name="_Data_Auswertung_Basis 2" xfId="13067" xr:uid="{00000000-0005-0000-0000-000002330000}"/>
    <cellStyle name="_Data_Auswertung_Basis 2 2" xfId="13068" xr:uid="{00000000-0005-0000-0000-000003330000}"/>
    <cellStyle name="_Data_Auswertung_Basis_packaging" xfId="13069" xr:uid="{00000000-0005-0000-0000-000004330000}"/>
    <cellStyle name="_Data_Auswertung_Basis_packaging_Sheet5" xfId="13070" xr:uid="{00000000-0005-0000-0000-000005330000}"/>
    <cellStyle name="_Data_Auswertung_Basis_RFFS SUBMISSION TO VPs" xfId="13071" xr:uid="{00000000-0005-0000-0000-000006330000}"/>
    <cellStyle name="_Data_Auswertung_Basis_RFFS SUBMISSION TO VPs 2" xfId="13072" xr:uid="{00000000-0005-0000-0000-000007330000}"/>
    <cellStyle name="_Data_Auswertung_Basis_RFFS_SUBMISSION_TO_VPs _v2" xfId="13073" xr:uid="{00000000-0005-0000-0000-000008330000}"/>
    <cellStyle name="_Data_Auswertung_Basis_RFFS_SUBMISSION_TO_VPs _v2 2" xfId="13074" xr:uid="{00000000-0005-0000-0000-000009330000}"/>
    <cellStyle name="_Data_Auswertung_Basis_Sheet1" xfId="13075" xr:uid="{00000000-0005-0000-0000-00000A330000}"/>
    <cellStyle name="_Data_Auswertung_Basis_Sheet5" xfId="13076" xr:uid="{00000000-0005-0000-0000-00000B330000}"/>
    <cellStyle name="_Data_Auswertung_Basis_Sm Proj Cash Flow" xfId="13077" xr:uid="{00000000-0005-0000-0000-00000C330000}"/>
    <cellStyle name="_Data_Auswertung_Basis_Spend Detail" xfId="13078" xr:uid="{00000000-0005-0000-0000-00000D330000}"/>
    <cellStyle name="_Data_Auswertung_Basis_SustainingProjectList" xfId="13079" xr:uid="{00000000-0005-0000-0000-00000E330000}"/>
    <cellStyle name="_Data_Auswertung_BGT 08 Templates Sales  Marketing - final (revised)" xfId="13080" xr:uid="{00000000-0005-0000-0000-00000F330000}"/>
    <cellStyle name="_Data_Auswertung_BGT 08 Templates Sales  Marketing - final (revised) 2" xfId="13081" xr:uid="{00000000-0005-0000-0000-000010330000}"/>
    <cellStyle name="_Data_Auswertung_BGT 08 Templates Sales  Marketing - final (revised) 2 2" xfId="13082" xr:uid="{00000000-0005-0000-0000-000011330000}"/>
    <cellStyle name="_Data_Auswertung_BGT 08 Templates Sales  Marketing - final (revised) 3" xfId="13083" xr:uid="{00000000-0005-0000-0000-000012330000}"/>
    <cellStyle name="_Data_Auswertung_BGT 08 Templates Sales  Marketing - final (revised) 4" xfId="13084" xr:uid="{00000000-0005-0000-0000-000013330000}"/>
    <cellStyle name="_Data_Auswertung_BGT 08 Templates Sales  Marketing - final (revised)_Sheet1" xfId="13085" xr:uid="{00000000-0005-0000-0000-000014330000}"/>
    <cellStyle name="_Data_Auswertung_BGT 08 Templates Sales  Marketing - final (revised)_SustainingProjectList" xfId="13086" xr:uid="{00000000-0005-0000-0000-000015330000}"/>
    <cellStyle name="_Data_Auswertung_BGT 08 templates, Sales &amp; Marketing - draft com alterações" xfId="13087" xr:uid="{00000000-0005-0000-0000-000016330000}"/>
    <cellStyle name="_Data_Auswertung_BGT 08 templates, Sales &amp; Marketing - draft com alterações 2" xfId="13088" xr:uid="{00000000-0005-0000-0000-000017330000}"/>
    <cellStyle name="_Data_Auswertung_BGT 08 templates, Sales &amp; Marketing - draft com alterações 2 2" xfId="13089" xr:uid="{00000000-0005-0000-0000-000018330000}"/>
    <cellStyle name="_Data_Auswertung_BGT 08 templates, Sales &amp; Marketing - draft com alterações 3" xfId="13090" xr:uid="{00000000-0005-0000-0000-000019330000}"/>
    <cellStyle name="_Data_Auswertung_BGT 08 templates, Sales &amp; Marketing - draft com alterações 4" xfId="13091" xr:uid="{00000000-0005-0000-0000-00001A330000}"/>
    <cellStyle name="_Data_Auswertung_BGT 08 templates, Sales &amp; Marketing - draft com alterações_Sheet1" xfId="13092" xr:uid="{00000000-0005-0000-0000-00001B330000}"/>
    <cellStyle name="_Data_Auswertung_BGT 08 templates, Sales &amp; Marketing - draft com alterações_SustainingProjectList" xfId="13093" xr:uid="{00000000-0005-0000-0000-00001C330000}"/>
    <cellStyle name="_Data_Auswertung_Book5" xfId="13094" xr:uid="{00000000-0005-0000-0000-00001D330000}"/>
    <cellStyle name="_Data_Auswertung_Book5 2" xfId="13095" xr:uid="{00000000-0005-0000-0000-00001E330000}"/>
    <cellStyle name="_Data_Auswertung_Book5 2 2" xfId="13096" xr:uid="{00000000-0005-0000-0000-00001F330000}"/>
    <cellStyle name="_Data_Auswertung_Book5 3" xfId="13097" xr:uid="{00000000-0005-0000-0000-000020330000}"/>
    <cellStyle name="_Data_Auswertung_Book5 4" xfId="13098" xr:uid="{00000000-0005-0000-0000-000021330000}"/>
    <cellStyle name="_Data_Auswertung_Bplan RD 1001" xfId="13099" xr:uid="{00000000-0005-0000-0000-000022330000}"/>
    <cellStyle name="_Data_Auswertung_Bplan RD 1001 2" xfId="13100" xr:uid="{00000000-0005-0000-0000-000023330000}"/>
    <cellStyle name="_Data_Auswertung_Bplan RD 1001 2 2" xfId="13101" xr:uid="{00000000-0005-0000-0000-000024330000}"/>
    <cellStyle name="_Data_Auswertung_Bplan RD 1001 3" xfId="13102" xr:uid="{00000000-0005-0000-0000-000025330000}"/>
    <cellStyle name="_Data_Auswertung_Bplan RD 1001 4" xfId="13103" xr:uid="{00000000-0005-0000-0000-000026330000}"/>
    <cellStyle name="_Data_Auswertung_CAPEX Analysis WE v3 Thomas" xfId="13104" xr:uid="{00000000-0005-0000-0000-000027330000}"/>
    <cellStyle name="_Data_Auswertung_CAPEX Analysis WE v3 Thomas 2" xfId="13105" xr:uid="{00000000-0005-0000-0000-000028330000}"/>
    <cellStyle name="_Data_Auswertung_CAPEX Analysis WE v3 Thomas_Sheet1" xfId="13106" xr:uid="{00000000-0005-0000-0000-000029330000}"/>
    <cellStyle name="_Data_Auswertung_CAPEX Analysis WE v3 Thomas_SustainingProjectList" xfId="13107" xr:uid="{00000000-0005-0000-0000-00002A330000}"/>
    <cellStyle name="_Data_Auswertung_Challenge" xfId="13108" xr:uid="{00000000-0005-0000-0000-00002B330000}"/>
    <cellStyle name="_Data_Auswertung_Challenge 2" xfId="13109" xr:uid="{00000000-0005-0000-0000-00002C330000}"/>
    <cellStyle name="_Data_Auswertung_Challenge_Sheet1" xfId="13110" xr:uid="{00000000-0005-0000-0000-00002D330000}"/>
    <cellStyle name="_Data_Auswertung_Challenge_SustainingProjectList" xfId="13111" xr:uid="{00000000-0005-0000-0000-00002E330000}"/>
    <cellStyle name="_Data_Auswertung_Copy of 081027 ZBB Budget 2009 Decks - People_Cherry_V4" xfId="13112" xr:uid="{00000000-0005-0000-0000-00002F330000}"/>
    <cellStyle name="_Data_Auswertung_Copy of 081027 ZBB Budget 2009 Decks - People_Cherry_V4 2" xfId="13113" xr:uid="{00000000-0005-0000-0000-000030330000}"/>
    <cellStyle name="_Data_Auswertung_Copy of 081027 ZBB Budget 2009 Decks - People_Cherry_V4 2 2" xfId="13114" xr:uid="{00000000-0005-0000-0000-000031330000}"/>
    <cellStyle name="_Data_Auswertung_Copy of BGT 08 Templates Sales  Marketing - final (revised)" xfId="13115" xr:uid="{00000000-0005-0000-0000-000032330000}"/>
    <cellStyle name="_Data_Auswertung_Copy of BGT 08 Templates Sales  Marketing - final (revised) 2" xfId="13116" xr:uid="{00000000-0005-0000-0000-000033330000}"/>
    <cellStyle name="_Data_Auswertung_Copy of BGT 08 Templates Sales  Marketing - final (revised) 2 2" xfId="13117" xr:uid="{00000000-0005-0000-0000-000034330000}"/>
    <cellStyle name="_Data_Auswertung_Copy of BGT 08 Templates Sales  Marketing - final (revised) 3" xfId="13118" xr:uid="{00000000-0005-0000-0000-000035330000}"/>
    <cellStyle name="_Data_Auswertung_Copy of BGT 08 Templates Sales  Marketing - final (revised) 4" xfId="13119" xr:uid="{00000000-0005-0000-0000-000036330000}"/>
    <cellStyle name="_Data_Auswertung_Copy of BGT 08 Templates Sales  Marketing - final (revised)_Sheet1" xfId="13120" xr:uid="{00000000-0005-0000-0000-000037330000}"/>
    <cellStyle name="_Data_Auswertung_Copy of BGT 08 Templates Sales  Marketing - final (revised)_SustainingProjectList" xfId="13121" xr:uid="{00000000-0005-0000-0000-000038330000}"/>
    <cellStyle name="_Data_Auswertung_Dominican Rep" xfId="13122" xr:uid="{00000000-0005-0000-0000-000039330000}"/>
    <cellStyle name="_Data_Auswertung_Excel sheets to support Market Program Template for Budget 09 (5) (2)" xfId="13123" xr:uid="{00000000-0005-0000-0000-00003A330000}"/>
    <cellStyle name="_Data_Auswertung_Excel sheets to support Market Program Template for Budget 09 (5) (2) 2" xfId="13124" xr:uid="{00000000-0005-0000-0000-00003B330000}"/>
    <cellStyle name="_Data_Auswertung_Excel sheets to support Market Program Template for Budget 09 (5) (2) 2 2" xfId="13125" xr:uid="{00000000-0005-0000-0000-00003C330000}"/>
    <cellStyle name="_Data_Auswertung_Excel sheets to support Market Program Template for Budget 09 (5) (2)_Sheet1" xfId="13126" xr:uid="{00000000-0005-0000-0000-00003D330000}"/>
    <cellStyle name="_Data_Auswertung_Excel sheets to support Market Program Template for Budget 09 (5) (2)_SustainingProjectList" xfId="13127" xr:uid="{00000000-0005-0000-0000-00003E330000}"/>
    <cellStyle name="_Data_Auswertung_Excel sheets to support Market Program Template for Budget 09 (5) (3)" xfId="13128" xr:uid="{00000000-0005-0000-0000-00003F330000}"/>
    <cellStyle name="_Data_Auswertung_Excel sheets to support Market Program Template for Budget 09 (5) (3) 2" xfId="13129" xr:uid="{00000000-0005-0000-0000-000040330000}"/>
    <cellStyle name="_Data_Auswertung_Excel sheets to support Market Program Template for Budget 09 (5) (3) 2 2" xfId="13130" xr:uid="{00000000-0005-0000-0000-000041330000}"/>
    <cellStyle name="_Data_Auswertung_Excel sheets to support Market Program Template for Budget 09 (5) (3)_Sheet1" xfId="13131" xr:uid="{00000000-0005-0000-0000-000042330000}"/>
    <cellStyle name="_Data_Auswertung_Excel sheets to support Market Program Template for Budget 09 (5) (3)_SustainingProjectList" xfId="13132" xr:uid="{00000000-0005-0000-0000-000043330000}"/>
    <cellStyle name="_Data_Auswertung_LE Ebitda RD Feb-10 v2" xfId="13133" xr:uid="{00000000-0005-0000-0000-000044330000}"/>
    <cellStyle name="_Data_Auswertung_LE Ebitda RD Feb-10 v2 2" xfId="13134" xr:uid="{00000000-0005-0000-0000-000045330000}"/>
    <cellStyle name="_Data_Auswertung_LE Ebitda RD Feb-10 v2 2 2" xfId="13135" xr:uid="{00000000-0005-0000-0000-000046330000}"/>
    <cellStyle name="_Data_Auswertung_NNT_LE'08_1605vsBGT'09_1713" xfId="13136" xr:uid="{00000000-0005-0000-0000-000047330000}"/>
    <cellStyle name="_Data_Auswertung_NNT_LE'08_1605vsBGT'09_1713 2" xfId="13137" xr:uid="{00000000-0005-0000-0000-000048330000}"/>
    <cellStyle name="_Data_Auswertung_packaging" xfId="13138" xr:uid="{00000000-0005-0000-0000-000049330000}"/>
    <cellStyle name="_Data_Auswertung_People Package" xfId="13139" xr:uid="{00000000-0005-0000-0000-00004A330000}"/>
    <cellStyle name="_Data_Auswertung_People Package (2)" xfId="13140" xr:uid="{00000000-0005-0000-0000-00004B330000}"/>
    <cellStyle name="_Data_Auswertung_People Package (2) 2" xfId="13141" xr:uid="{00000000-0005-0000-0000-00004C330000}"/>
    <cellStyle name="_Data_Auswertung_People Package (2) 2 2" xfId="13142" xr:uid="{00000000-0005-0000-0000-00004D330000}"/>
    <cellStyle name="_Data_Auswertung_People Package 2" xfId="13143" xr:uid="{00000000-0005-0000-0000-00004E330000}"/>
    <cellStyle name="_Data_Auswertung_People Package 2 2" xfId="13144" xr:uid="{00000000-0005-0000-0000-00004F330000}"/>
    <cellStyle name="_Data_Auswertung_People Package 3" xfId="13145" xr:uid="{00000000-0005-0000-0000-000050330000}"/>
    <cellStyle name="_Data_Auswertung_People Package 3 2" xfId="13146" xr:uid="{00000000-0005-0000-0000-000051330000}"/>
    <cellStyle name="_Data_Auswertung_People Package 4" xfId="13147" xr:uid="{00000000-0005-0000-0000-000052330000}"/>
    <cellStyle name="_Data_Auswertung_People Package 5" xfId="13148" xr:uid="{00000000-0005-0000-0000-000053330000}"/>
    <cellStyle name="_Data_Auswertung_RB&amp;JW_Produktionsplanung_LE1_2006 sortiert" xfId="13149" xr:uid="{00000000-0005-0000-0000-000054330000}"/>
    <cellStyle name="_Data_Auswertung_RB&amp;JW_Produktionsplanung_LE1_2006 sortiert 2" xfId="13150" xr:uid="{00000000-0005-0000-0000-000055330000}"/>
    <cellStyle name="_Data_Auswertung_RB&amp;JW_Produktionsplanung_LE1_2006 sortiert 2 2" xfId="13151" xr:uid="{00000000-0005-0000-0000-000056330000}"/>
    <cellStyle name="_Data_Auswertung_RB&amp;JW_Produktionsplanung_LE1_2006 sortiert_packaging" xfId="13152" xr:uid="{00000000-0005-0000-0000-000057330000}"/>
    <cellStyle name="_Data_Auswertung_RB&amp;JW_Produktionsplanung_LE1_2006 sortiert_packaging_Sheet5" xfId="13153" xr:uid="{00000000-0005-0000-0000-000058330000}"/>
    <cellStyle name="_Data_Auswertung_RB&amp;JW_Produktionsplanung_LE1_2006 sortiert_RFFS SUBMISSION TO VPs" xfId="13154" xr:uid="{00000000-0005-0000-0000-000059330000}"/>
    <cellStyle name="_Data_Auswertung_RB&amp;JW_Produktionsplanung_LE1_2006 sortiert_RFFS SUBMISSION TO VPs 2" xfId="13155" xr:uid="{00000000-0005-0000-0000-00005A330000}"/>
    <cellStyle name="_Data_Auswertung_RB&amp;JW_Produktionsplanung_LE1_2006 sortiert_RFFS_SUBMISSION_TO_VPs _v2" xfId="13156" xr:uid="{00000000-0005-0000-0000-00005B330000}"/>
    <cellStyle name="_Data_Auswertung_RB&amp;JW_Produktionsplanung_LE1_2006 sortiert_RFFS_SUBMISSION_TO_VPs _v2 2" xfId="13157" xr:uid="{00000000-0005-0000-0000-00005C330000}"/>
    <cellStyle name="_Data_Auswertung_RB&amp;JW_Produktionsplanung_LE1_2006 sortiert_Sheet1" xfId="13158" xr:uid="{00000000-0005-0000-0000-00005D330000}"/>
    <cellStyle name="_Data_Auswertung_RB&amp;JW_Produktionsplanung_LE1_2006 sortiert_Sheet5" xfId="13159" xr:uid="{00000000-0005-0000-0000-00005E330000}"/>
    <cellStyle name="_Data_Auswertung_RB&amp;JW_Produktionsplanung_LE1_2006 sortiert_Sm Proj Cash Flow" xfId="13160" xr:uid="{00000000-0005-0000-0000-00005F330000}"/>
    <cellStyle name="_Data_Auswertung_RB&amp;JW_Produktionsplanung_LE1_2006 sortiert_Spend Detail" xfId="13161" xr:uid="{00000000-0005-0000-0000-000060330000}"/>
    <cellStyle name="_Data_Auswertung_RB&amp;JW_Produktionsplanung_LE1_2006 sortiert_SustainingProjectList" xfId="13162" xr:uid="{00000000-0005-0000-0000-000061330000}"/>
    <cellStyle name="_Data_Auswertung_RFFS SUBMISSION TO VPs" xfId="13163" xr:uid="{00000000-0005-0000-0000-000062330000}"/>
    <cellStyle name="_Data_Auswertung_RFFS SUBMISSION TO VPs 2" xfId="13164" xr:uid="{00000000-0005-0000-0000-000063330000}"/>
    <cellStyle name="_Data_Auswertung_RFFS_SUBMISSION_TO_VPs _v2" xfId="13165" xr:uid="{00000000-0005-0000-0000-000064330000}"/>
    <cellStyle name="_Data_Auswertung_RFFS_SUBMISSION_TO_VPs _v2 2" xfId="13166" xr:uid="{00000000-0005-0000-0000-000065330000}"/>
    <cellStyle name="_Data_Auswertung_Sales and Marketing - revised" xfId="13167" xr:uid="{00000000-0005-0000-0000-000066330000}"/>
    <cellStyle name="_Data_Auswertung_Sales and Marketing - revised 2" xfId="13168" xr:uid="{00000000-0005-0000-0000-000067330000}"/>
    <cellStyle name="_Data_Auswertung_Sales and Marketing - revised 2 2" xfId="13169" xr:uid="{00000000-0005-0000-0000-000068330000}"/>
    <cellStyle name="_Data_Auswertung_Sales and Marketing - revised 3" xfId="13170" xr:uid="{00000000-0005-0000-0000-000069330000}"/>
    <cellStyle name="_Data_Auswertung_Sales and Marketing - revised 4" xfId="13171" xr:uid="{00000000-0005-0000-0000-00006A330000}"/>
    <cellStyle name="_Data_Auswertung_Sheet1" xfId="13172" xr:uid="{00000000-0005-0000-0000-00006B330000}"/>
    <cellStyle name="_Data_Auswertung_Sheet5" xfId="13173" xr:uid="{00000000-0005-0000-0000-00006C330000}"/>
    <cellStyle name="_Data_Auswertung_Sim Ebitda LE 0909 v4" xfId="13174" xr:uid="{00000000-0005-0000-0000-00006D330000}"/>
    <cellStyle name="_Data_Auswertung_Sim Ebitda LE 0909 v4 2" xfId="13175" xr:uid="{00000000-0005-0000-0000-00006E330000}"/>
    <cellStyle name="_Data_Auswertung_Sim Ebitda LE 0909 v4 2 2" xfId="13176" xr:uid="{00000000-0005-0000-0000-00006F330000}"/>
    <cellStyle name="_Data_Auswertung_Sim Ebitda LE 0909 v4 3" xfId="13177" xr:uid="{00000000-0005-0000-0000-000070330000}"/>
    <cellStyle name="_Data_Auswertung_Sim Ebitda LE 0909 v4 4" xfId="13178" xr:uid="{00000000-0005-0000-0000-000071330000}"/>
    <cellStyle name="_Data_Auswertung_SKU Volumen" xfId="13179" xr:uid="{00000000-0005-0000-0000-000072330000}"/>
    <cellStyle name="_Data_Auswertung_SKU Volumen 2" xfId="13180" xr:uid="{00000000-0005-0000-0000-000073330000}"/>
    <cellStyle name="_Data_Auswertung_SKU Volumen_RFFS SUBMISSION TO VPs" xfId="13181" xr:uid="{00000000-0005-0000-0000-000074330000}"/>
    <cellStyle name="_Data_Auswertung_SKU Volumen_RFFS SUBMISSION TO VPs 2" xfId="13182" xr:uid="{00000000-0005-0000-0000-000075330000}"/>
    <cellStyle name="_Data_Auswertung_SKU Volumen_RFFS_SUBMISSION_TO_VPs _v2" xfId="13183" xr:uid="{00000000-0005-0000-0000-000076330000}"/>
    <cellStyle name="_Data_Auswertung_SKU Volumen_RFFS_SUBMISSION_TO_VPs _v2 2" xfId="13184" xr:uid="{00000000-0005-0000-0000-000077330000}"/>
    <cellStyle name="_Data_Auswertung_SKU Volumen_Sheet1" xfId="13185" xr:uid="{00000000-0005-0000-0000-000078330000}"/>
    <cellStyle name="_Data_Auswertung_SKU Volumen_Sm Proj Cash Flow" xfId="13186" xr:uid="{00000000-0005-0000-0000-000079330000}"/>
    <cellStyle name="_Data_Auswertung_SKU Volumen_Spend Detail" xfId="13187" xr:uid="{00000000-0005-0000-0000-00007A330000}"/>
    <cellStyle name="_Data_Auswertung_SKU Volumen_SustainingProjectList" xfId="13188" xr:uid="{00000000-0005-0000-0000-00007B330000}"/>
    <cellStyle name="_Data_Auswertung_Slide for initiatives (2)" xfId="13189" xr:uid="{00000000-0005-0000-0000-00007C330000}"/>
    <cellStyle name="_Data_Auswertung_Slide for initiatives (2) 2" xfId="13190" xr:uid="{00000000-0005-0000-0000-00007D330000}"/>
    <cellStyle name="_Data_Auswertung_SustainingProjectList" xfId="13191" xr:uid="{00000000-0005-0000-0000-00007E330000}"/>
    <cellStyle name="_Data_Auswertung_Tabelle1" xfId="13192" xr:uid="{00000000-0005-0000-0000-00007F330000}"/>
    <cellStyle name="_Data_Auswertung_Tabelle1 2" xfId="13193" xr:uid="{00000000-0005-0000-0000-000080330000}"/>
    <cellStyle name="_Data_Auswertung_Tabelle1_RFFS SUBMISSION TO VPs" xfId="13194" xr:uid="{00000000-0005-0000-0000-000081330000}"/>
    <cellStyle name="_Data_Auswertung_Tabelle1_RFFS SUBMISSION TO VPs 2" xfId="13195" xr:uid="{00000000-0005-0000-0000-000082330000}"/>
    <cellStyle name="_Data_Auswertung_Tabelle1_RFFS_SUBMISSION_TO_VPs _v2" xfId="13196" xr:uid="{00000000-0005-0000-0000-000083330000}"/>
    <cellStyle name="_Data_Auswertung_Tabelle1_RFFS_SUBMISSION_TO_VPs _v2 2" xfId="13197" xr:uid="{00000000-0005-0000-0000-000084330000}"/>
    <cellStyle name="_Data_Auswertung_Tabelle1_Sheet1" xfId="13198" xr:uid="{00000000-0005-0000-0000-000085330000}"/>
    <cellStyle name="_Data_Auswertung_Tabelle1_Sm Proj Cash Flow" xfId="13199" xr:uid="{00000000-0005-0000-0000-000086330000}"/>
    <cellStyle name="_Data_Auswertung_Tabelle1_Spend Detail" xfId="13200" xr:uid="{00000000-0005-0000-0000-000087330000}"/>
    <cellStyle name="_Data_Auswertung_Tabelle1_SustainingProjectList" xfId="13201" xr:uid="{00000000-0005-0000-0000-000088330000}"/>
    <cellStyle name="_Data_Auswertung_TP_IC_2013" xfId="13202" xr:uid="{00000000-0005-0000-0000-000089330000}"/>
    <cellStyle name="_Data_Auswertung_WF Ebitda RD Abr-10" xfId="13203" xr:uid="{00000000-0005-0000-0000-00008A330000}"/>
    <cellStyle name="_Data_Auswertung_WF Ebitda RD Abr-10 2" xfId="13204" xr:uid="{00000000-0005-0000-0000-00008B330000}"/>
    <cellStyle name="_Data_Auswertung_WF Ebitda RD Abr-10 2 2" xfId="13205" xr:uid="{00000000-0005-0000-0000-00008C330000}"/>
    <cellStyle name="_Data_Auswertung_WF Ebitda Sep09" xfId="13206" xr:uid="{00000000-0005-0000-0000-00008D330000}"/>
    <cellStyle name="_Data_Auswertung_WF Ebitda Sep09 2" xfId="13207" xr:uid="{00000000-0005-0000-0000-00008E330000}"/>
    <cellStyle name="_Data_Auswertung_WF Ebitda Sep09 2 2" xfId="13208" xr:uid="{00000000-0005-0000-0000-00008F330000}"/>
    <cellStyle name="_Data_Auswertung_ZBB" xfId="13209" xr:uid="{00000000-0005-0000-0000-000090330000}"/>
    <cellStyle name="_Data_Auswertung_ZBB 2" xfId="13210" xr:uid="{00000000-0005-0000-0000-000091330000}"/>
    <cellStyle name="_Data_Auswertung_ZBB 2 2" xfId="13211" xr:uid="{00000000-0005-0000-0000-000092330000}"/>
    <cellStyle name="_Data_Auswertung_ZBB Budget 2009 Decks" xfId="13212" xr:uid="{00000000-0005-0000-0000-000093330000}"/>
    <cellStyle name="_Data_Auswertung_ZBB Budget 2009 Decks 2" xfId="13213" xr:uid="{00000000-0005-0000-0000-000094330000}"/>
    <cellStyle name="_Data_Auswertung_ZBB Budget 2009 Decks 2 2" xfId="13214" xr:uid="{00000000-0005-0000-0000-000095330000}"/>
    <cellStyle name="_Data_Auswertung_ZBB Budget 2009 Decks_with Korea Scope in (Only LE)" xfId="13215" xr:uid="{00000000-0005-0000-0000-000096330000}"/>
    <cellStyle name="_Data_Auswertung_ZBB Budget 2009 Decks_with Korea Scope in (Only LE) (2)" xfId="13216" xr:uid="{00000000-0005-0000-0000-000097330000}"/>
    <cellStyle name="_Data_Auswertung_ZBB Budget 2009 Decks_with Korea Scope in (Only LE) (2) 2" xfId="13217" xr:uid="{00000000-0005-0000-0000-000098330000}"/>
    <cellStyle name="_Data_Auswertung_ZBB Budget 2009 Decks_with Korea Scope in (Only LE) (2) 2 2" xfId="13218" xr:uid="{00000000-0005-0000-0000-000099330000}"/>
    <cellStyle name="_Data_Auswertung_ZBB Budget 2009 Decks_with Korea Scope in (Only LE) 2" xfId="13219" xr:uid="{00000000-0005-0000-0000-00009A330000}"/>
    <cellStyle name="_Data_Auswertung_ZBB Budget 2009 Decks_with Korea Scope in (Only LE) 2 2" xfId="13220" xr:uid="{00000000-0005-0000-0000-00009B330000}"/>
    <cellStyle name="_Data_Auswertung_ZBB Budget 2009 Decks_with Korea Scope in (Only LE) 3" xfId="13221" xr:uid="{00000000-0005-0000-0000-00009C330000}"/>
    <cellStyle name="_Data_Auswertung_ZBB Budget 2009 Decks_with Korea Scope in (Only LE) 3 2" xfId="13222" xr:uid="{00000000-0005-0000-0000-00009D330000}"/>
    <cellStyle name="_Data_Auswertung_ZBB Budget 2009 Decks_with Korea Scope in (Only LE) 4" xfId="13223" xr:uid="{00000000-0005-0000-0000-00009E330000}"/>
    <cellStyle name="_Data_Auswertung_ZBB Budget 2009 Decks_with Korea Scope in (Only LE) 5" xfId="13224" xr:uid="{00000000-0005-0000-0000-00009F330000}"/>
    <cellStyle name="_Data_B.IV.r" xfId="13225" xr:uid="{00000000-0005-0000-0000-0000A0330000}"/>
    <cellStyle name="_Data_B.IV.r 2" xfId="13226" xr:uid="{00000000-0005-0000-0000-0000A1330000}"/>
    <cellStyle name="_Data_B.IV.r 2 2" xfId="13227" xr:uid="{00000000-0005-0000-0000-0000A2330000}"/>
    <cellStyle name="_Data_B.IV.r 2 2 2" xfId="13228" xr:uid="{00000000-0005-0000-0000-0000A3330000}"/>
    <cellStyle name="_Data_B.IV.r 2 3" xfId="13229" xr:uid="{00000000-0005-0000-0000-0000A4330000}"/>
    <cellStyle name="_Data_B.IV.r 2 4" xfId="13230" xr:uid="{00000000-0005-0000-0000-0000A5330000}"/>
    <cellStyle name="_Data_B.IV.r 3" xfId="13231" xr:uid="{00000000-0005-0000-0000-0000A6330000}"/>
    <cellStyle name="_Data_B.IV.r 3 2" xfId="13232" xr:uid="{00000000-0005-0000-0000-0000A7330000}"/>
    <cellStyle name="_Data_B.IV.r_010808 Market Programs  for Budget Deck" xfId="13233" xr:uid="{00000000-0005-0000-0000-0000A8330000}"/>
    <cellStyle name="_Data_B.IV.r_010808 Market Programs  for Budget Deck 2" xfId="13234" xr:uid="{00000000-0005-0000-0000-0000A9330000}"/>
    <cellStyle name="_Data_B.IV.r_010808 Market Programs  for Budget Deck 2 2" xfId="13235" xr:uid="{00000000-0005-0000-0000-0000AA330000}"/>
    <cellStyle name="_Data_B.IV.r_0908 Gabarito exchange rate" xfId="13236" xr:uid="{00000000-0005-0000-0000-0000AB330000}"/>
    <cellStyle name="_Data_B.IV.r_0908 Gabarito exchange rate 2" xfId="13237" xr:uid="{00000000-0005-0000-0000-0000AC330000}"/>
    <cellStyle name="_Data_B.IV.r_0908 Gabarito exchange rate 2 2" xfId="13238" xr:uid="{00000000-0005-0000-0000-0000AD330000}"/>
    <cellStyle name="_Data_B.IV.r_0908 Gabarito exchange rate 3" xfId="13239" xr:uid="{00000000-0005-0000-0000-0000AE330000}"/>
    <cellStyle name="_Data_B.IV.r_0908 Gabarito exchange rate 4" xfId="13240" xr:uid="{00000000-0005-0000-0000-0000AF330000}"/>
    <cellStyle name="_Data_B.IV.r_Accident frequency" xfId="13241" xr:uid="{00000000-0005-0000-0000-0000B0330000}"/>
    <cellStyle name="_Data_B.IV.r_Additional Templates" xfId="13242" xr:uid="{00000000-0005-0000-0000-0000B1330000}"/>
    <cellStyle name="_Data_B.IV.r_Additional Templates (2)" xfId="13243" xr:uid="{00000000-0005-0000-0000-0000B2330000}"/>
    <cellStyle name="_Data_B.IV.r_Additional Templates (2) 2" xfId="13244" xr:uid="{00000000-0005-0000-0000-0000B3330000}"/>
    <cellStyle name="_Data_B.IV.r_Additional Templates (3)" xfId="13245" xr:uid="{00000000-0005-0000-0000-0000B4330000}"/>
    <cellStyle name="_Data_B.IV.r_Additional Templates (3) 2" xfId="13246" xr:uid="{00000000-0005-0000-0000-0000B5330000}"/>
    <cellStyle name="_Data_B.IV.r_Additional Templates (4)" xfId="13247" xr:uid="{00000000-0005-0000-0000-0000B6330000}"/>
    <cellStyle name="_Data_B.IV.r_Additional Templates (4) 2" xfId="13248" xr:uid="{00000000-0005-0000-0000-0000B7330000}"/>
    <cellStyle name="_Data_B.IV.r_Additional Templates (5)" xfId="13249" xr:uid="{00000000-0005-0000-0000-0000B8330000}"/>
    <cellStyle name="_Data_B.IV.r_Additional Templates (5) 2" xfId="13250" xr:uid="{00000000-0005-0000-0000-0000B9330000}"/>
    <cellStyle name="_Data_B.IV.r_Additional Templates 10" xfId="13251" xr:uid="{00000000-0005-0000-0000-0000BA330000}"/>
    <cellStyle name="_Data_B.IV.r_Additional Templates 2" xfId="13252" xr:uid="{00000000-0005-0000-0000-0000BB330000}"/>
    <cellStyle name="_Data_B.IV.r_Additional Templates 3" xfId="13253" xr:uid="{00000000-0005-0000-0000-0000BC330000}"/>
    <cellStyle name="_Data_B.IV.r_Additional Templates 4" xfId="13254" xr:uid="{00000000-0005-0000-0000-0000BD330000}"/>
    <cellStyle name="_Data_B.IV.r_Additional Templates 5" xfId="13255" xr:uid="{00000000-0005-0000-0000-0000BE330000}"/>
    <cellStyle name="_Data_B.IV.r_Additional Templates 6" xfId="13256" xr:uid="{00000000-0005-0000-0000-0000BF330000}"/>
    <cellStyle name="_Data_B.IV.r_Additional Templates 7" xfId="13257" xr:uid="{00000000-0005-0000-0000-0000C0330000}"/>
    <cellStyle name="_Data_B.IV.r_Additional Templates 8" xfId="13258" xr:uid="{00000000-0005-0000-0000-0000C1330000}"/>
    <cellStyle name="_Data_B.IV.r_Additional Templates 9" xfId="13259" xr:uid="{00000000-0005-0000-0000-0000C2330000}"/>
    <cellStyle name="_Data_B.IV.r_Basis" xfId="13260" xr:uid="{00000000-0005-0000-0000-0000C3330000}"/>
    <cellStyle name="_Data_B.IV.r_Basis 2" xfId="13261" xr:uid="{00000000-0005-0000-0000-0000C4330000}"/>
    <cellStyle name="_Data_B.IV.r_Basis 2 2" xfId="13262" xr:uid="{00000000-0005-0000-0000-0000C5330000}"/>
    <cellStyle name="_Data_B.IV.r_Basis_packaging" xfId="13263" xr:uid="{00000000-0005-0000-0000-0000C6330000}"/>
    <cellStyle name="_Data_B.IV.r_Basis_packaging_Sheet5" xfId="13264" xr:uid="{00000000-0005-0000-0000-0000C7330000}"/>
    <cellStyle name="_Data_B.IV.r_Basis_RFFS SUBMISSION TO VPs" xfId="13265" xr:uid="{00000000-0005-0000-0000-0000C8330000}"/>
    <cellStyle name="_Data_B.IV.r_Basis_RFFS SUBMISSION TO VPs 2" xfId="13266" xr:uid="{00000000-0005-0000-0000-0000C9330000}"/>
    <cellStyle name="_Data_B.IV.r_Basis_RFFS_SUBMISSION_TO_VPs _v2" xfId="13267" xr:uid="{00000000-0005-0000-0000-0000CA330000}"/>
    <cellStyle name="_Data_B.IV.r_Basis_RFFS_SUBMISSION_TO_VPs _v2 2" xfId="13268" xr:uid="{00000000-0005-0000-0000-0000CB330000}"/>
    <cellStyle name="_Data_B.IV.r_Basis_Sheet1" xfId="13269" xr:uid="{00000000-0005-0000-0000-0000CC330000}"/>
    <cellStyle name="_Data_B.IV.r_Basis_Sheet5" xfId="13270" xr:uid="{00000000-0005-0000-0000-0000CD330000}"/>
    <cellStyle name="_Data_B.IV.r_Basis_Sm Proj Cash Flow" xfId="13271" xr:uid="{00000000-0005-0000-0000-0000CE330000}"/>
    <cellStyle name="_Data_B.IV.r_Basis_Spend Detail" xfId="13272" xr:uid="{00000000-0005-0000-0000-0000CF330000}"/>
    <cellStyle name="_Data_B.IV.r_Basis_SustainingProjectList" xfId="13273" xr:uid="{00000000-0005-0000-0000-0000D0330000}"/>
    <cellStyle name="_Data_B.IV.r_BGT 08 Templates Sales  Marketing - final (revised)" xfId="13274" xr:uid="{00000000-0005-0000-0000-0000D1330000}"/>
    <cellStyle name="_Data_B.IV.r_BGT 08 Templates Sales  Marketing - final (revised) 2" xfId="13275" xr:uid="{00000000-0005-0000-0000-0000D2330000}"/>
    <cellStyle name="_Data_B.IV.r_BGT 08 Templates Sales  Marketing - final (revised) 2 2" xfId="13276" xr:uid="{00000000-0005-0000-0000-0000D3330000}"/>
    <cellStyle name="_Data_B.IV.r_BGT 08 Templates Sales  Marketing - final (revised) 3" xfId="13277" xr:uid="{00000000-0005-0000-0000-0000D4330000}"/>
    <cellStyle name="_Data_B.IV.r_BGT 08 Templates Sales  Marketing - final (revised) 4" xfId="13278" xr:uid="{00000000-0005-0000-0000-0000D5330000}"/>
    <cellStyle name="_Data_B.IV.r_BGT 08 templates, Sales &amp; Marketing - draft com alterações" xfId="13279" xr:uid="{00000000-0005-0000-0000-0000D6330000}"/>
    <cellStyle name="_Data_B.IV.r_BGT 08 templates, Sales &amp; Marketing - draft com alterações 2" xfId="13280" xr:uid="{00000000-0005-0000-0000-0000D7330000}"/>
    <cellStyle name="_Data_B.IV.r_BGT 08 templates, Sales &amp; Marketing - draft com alterações 2 2" xfId="13281" xr:uid="{00000000-0005-0000-0000-0000D8330000}"/>
    <cellStyle name="_Data_B.IV.r_BGT 08 templates, Sales &amp; Marketing - draft com alterações 3" xfId="13282" xr:uid="{00000000-0005-0000-0000-0000D9330000}"/>
    <cellStyle name="_Data_B.IV.r_BGT 08 templates, Sales &amp; Marketing - draft com alterações 4" xfId="13283" xr:uid="{00000000-0005-0000-0000-0000DA330000}"/>
    <cellStyle name="_Data_B.IV.r_Book5" xfId="13284" xr:uid="{00000000-0005-0000-0000-0000DB330000}"/>
    <cellStyle name="_Data_B.IV.r_Book5 2" xfId="13285" xr:uid="{00000000-0005-0000-0000-0000DC330000}"/>
    <cellStyle name="_Data_B.IV.r_Book5 2 2" xfId="13286" xr:uid="{00000000-0005-0000-0000-0000DD330000}"/>
    <cellStyle name="_Data_B.IV.r_Book5 3" xfId="13287" xr:uid="{00000000-0005-0000-0000-0000DE330000}"/>
    <cellStyle name="_Data_B.IV.r_Book5 4" xfId="13288" xr:uid="{00000000-0005-0000-0000-0000DF330000}"/>
    <cellStyle name="_Data_B.IV.r_Bplan RD 1001" xfId="13289" xr:uid="{00000000-0005-0000-0000-0000E0330000}"/>
    <cellStyle name="_Data_B.IV.r_Bplan RD 1001 2" xfId="13290" xr:uid="{00000000-0005-0000-0000-0000E1330000}"/>
    <cellStyle name="_Data_B.IV.r_Bplan RD 1001 2 2" xfId="13291" xr:uid="{00000000-0005-0000-0000-0000E2330000}"/>
    <cellStyle name="_Data_B.IV.r_Bplan RD 1001 3" xfId="13292" xr:uid="{00000000-0005-0000-0000-0000E3330000}"/>
    <cellStyle name="_Data_B.IV.r_Bplan RD 1001 4" xfId="13293" xr:uid="{00000000-0005-0000-0000-0000E4330000}"/>
    <cellStyle name="_Data_B.IV.r_Challenge" xfId="13294" xr:uid="{00000000-0005-0000-0000-0000E5330000}"/>
    <cellStyle name="_Data_B.IV.r_Challenge 2" xfId="13295" xr:uid="{00000000-0005-0000-0000-0000E6330000}"/>
    <cellStyle name="_Data_B.IV.r_Challenge_Sheet1" xfId="13296" xr:uid="{00000000-0005-0000-0000-0000E7330000}"/>
    <cellStyle name="_Data_B.IV.r_Challenge_SustainingProjectList" xfId="13297" xr:uid="{00000000-0005-0000-0000-0000E8330000}"/>
    <cellStyle name="_Data_B.IV.r_Copy of 081027 ZBB Budget 2009 Decks - People_Cherry_V4" xfId="13298" xr:uid="{00000000-0005-0000-0000-0000E9330000}"/>
    <cellStyle name="_Data_B.IV.r_Copy of 081027 ZBB Budget 2009 Decks - People_Cherry_V4 2" xfId="13299" xr:uid="{00000000-0005-0000-0000-0000EA330000}"/>
    <cellStyle name="_Data_B.IV.r_Copy of 081027 ZBB Budget 2009 Decks - People_Cherry_V4 2 2" xfId="13300" xr:uid="{00000000-0005-0000-0000-0000EB330000}"/>
    <cellStyle name="_Data_B.IV.r_Copy of BGT 08 Templates Sales  Marketing - final (revised)" xfId="13301" xr:uid="{00000000-0005-0000-0000-0000EC330000}"/>
    <cellStyle name="_Data_B.IV.r_Copy of BGT 08 Templates Sales  Marketing - final (revised) 2" xfId="13302" xr:uid="{00000000-0005-0000-0000-0000ED330000}"/>
    <cellStyle name="_Data_B.IV.r_Copy of BGT 08 Templates Sales  Marketing - final (revised) 2 2" xfId="13303" xr:uid="{00000000-0005-0000-0000-0000EE330000}"/>
    <cellStyle name="_Data_B.IV.r_Copy of BGT 08 Templates Sales  Marketing - final (revised) 3" xfId="13304" xr:uid="{00000000-0005-0000-0000-0000EF330000}"/>
    <cellStyle name="_Data_B.IV.r_Copy of BGT 08 Templates Sales  Marketing - final (revised) 4" xfId="13305" xr:uid="{00000000-0005-0000-0000-0000F0330000}"/>
    <cellStyle name="_Data_B.IV.r_Dominican Rep" xfId="13306" xr:uid="{00000000-0005-0000-0000-0000F1330000}"/>
    <cellStyle name="_Data_B.IV.r_Excel sheets to support Market Program Template for Budget 09 (5) (2)" xfId="13307" xr:uid="{00000000-0005-0000-0000-0000F2330000}"/>
    <cellStyle name="_Data_B.IV.r_Excel sheets to support Market Program Template for Budget 09 (5) (2) 2" xfId="13308" xr:uid="{00000000-0005-0000-0000-0000F3330000}"/>
    <cellStyle name="_Data_B.IV.r_Excel sheets to support Market Program Template for Budget 09 (5) (2) 2 2" xfId="13309" xr:uid="{00000000-0005-0000-0000-0000F4330000}"/>
    <cellStyle name="_Data_B.IV.r_Excel sheets to support Market Program Template for Budget 09 (5) (3)" xfId="13310" xr:uid="{00000000-0005-0000-0000-0000F5330000}"/>
    <cellStyle name="_Data_B.IV.r_Excel sheets to support Market Program Template for Budget 09 (5) (3) 2" xfId="13311" xr:uid="{00000000-0005-0000-0000-0000F6330000}"/>
    <cellStyle name="_Data_B.IV.r_Excel sheets to support Market Program Template for Budget 09 (5) (3) 2 2" xfId="13312" xr:uid="{00000000-0005-0000-0000-0000F7330000}"/>
    <cellStyle name="_Data_B.IV.r_LE Ebitda RD Feb-10 v2" xfId="13313" xr:uid="{00000000-0005-0000-0000-0000F8330000}"/>
    <cellStyle name="_Data_B.IV.r_LE Ebitda RD Feb-10 v2 2" xfId="13314" xr:uid="{00000000-0005-0000-0000-0000F9330000}"/>
    <cellStyle name="_Data_B.IV.r_LE Ebitda RD Feb-10 v2 2 2" xfId="13315" xr:uid="{00000000-0005-0000-0000-0000FA330000}"/>
    <cellStyle name="_Data_B.IV.r_NNT_LE'08_1605vsBGT'09_1713" xfId="13316" xr:uid="{00000000-0005-0000-0000-0000FB330000}"/>
    <cellStyle name="_Data_B.IV.r_NNT_LE'08_1605vsBGT'09_1713 2" xfId="13317" xr:uid="{00000000-0005-0000-0000-0000FC330000}"/>
    <cellStyle name="_Data_B.IV.r_packaging" xfId="13318" xr:uid="{00000000-0005-0000-0000-0000FD330000}"/>
    <cellStyle name="_Data_B.IV.r_People Package" xfId="13319" xr:uid="{00000000-0005-0000-0000-0000FE330000}"/>
    <cellStyle name="_Data_B.IV.r_People Package (2)" xfId="13320" xr:uid="{00000000-0005-0000-0000-0000FF330000}"/>
    <cellStyle name="_Data_B.IV.r_People Package (2) 2" xfId="13321" xr:uid="{00000000-0005-0000-0000-000000340000}"/>
    <cellStyle name="_Data_B.IV.r_People Package (2) 2 2" xfId="13322" xr:uid="{00000000-0005-0000-0000-000001340000}"/>
    <cellStyle name="_Data_B.IV.r_People Package 2" xfId="13323" xr:uid="{00000000-0005-0000-0000-000002340000}"/>
    <cellStyle name="_Data_B.IV.r_People Package 2 2" xfId="13324" xr:uid="{00000000-0005-0000-0000-000003340000}"/>
    <cellStyle name="_Data_B.IV.r_People Package 3" xfId="13325" xr:uid="{00000000-0005-0000-0000-000004340000}"/>
    <cellStyle name="_Data_B.IV.r_People Package 3 2" xfId="13326" xr:uid="{00000000-0005-0000-0000-000005340000}"/>
    <cellStyle name="_Data_B.IV.r_People Package 4" xfId="13327" xr:uid="{00000000-0005-0000-0000-000006340000}"/>
    <cellStyle name="_Data_B.IV.r_People Package 5" xfId="13328" xr:uid="{00000000-0005-0000-0000-000007340000}"/>
    <cellStyle name="_Data_B.IV.r_RB&amp;JW_Produktionsplanung_LE1_2006 sortiert" xfId="13329" xr:uid="{00000000-0005-0000-0000-000008340000}"/>
    <cellStyle name="_Data_B.IV.r_RB&amp;JW_Produktionsplanung_LE1_2006 sortiert 2" xfId="13330" xr:uid="{00000000-0005-0000-0000-000009340000}"/>
    <cellStyle name="_Data_B.IV.r_RB&amp;JW_Produktionsplanung_LE1_2006 sortiert 2 2" xfId="13331" xr:uid="{00000000-0005-0000-0000-00000A340000}"/>
    <cellStyle name="_Data_B.IV.r_RB&amp;JW_Produktionsplanung_LE1_2006 sortiert_packaging" xfId="13332" xr:uid="{00000000-0005-0000-0000-00000B340000}"/>
    <cellStyle name="_Data_B.IV.r_RB&amp;JW_Produktionsplanung_LE1_2006 sortiert_packaging_Sheet5" xfId="13333" xr:uid="{00000000-0005-0000-0000-00000C340000}"/>
    <cellStyle name="_Data_B.IV.r_RB&amp;JW_Produktionsplanung_LE1_2006 sortiert_RFFS SUBMISSION TO VPs" xfId="13334" xr:uid="{00000000-0005-0000-0000-00000D340000}"/>
    <cellStyle name="_Data_B.IV.r_RB&amp;JW_Produktionsplanung_LE1_2006 sortiert_RFFS SUBMISSION TO VPs 2" xfId="13335" xr:uid="{00000000-0005-0000-0000-00000E340000}"/>
    <cellStyle name="_Data_B.IV.r_RB&amp;JW_Produktionsplanung_LE1_2006 sortiert_RFFS_SUBMISSION_TO_VPs _v2" xfId="13336" xr:uid="{00000000-0005-0000-0000-00000F340000}"/>
    <cellStyle name="_Data_B.IV.r_RB&amp;JW_Produktionsplanung_LE1_2006 sortiert_RFFS_SUBMISSION_TO_VPs _v2 2" xfId="13337" xr:uid="{00000000-0005-0000-0000-000010340000}"/>
    <cellStyle name="_Data_B.IV.r_RB&amp;JW_Produktionsplanung_LE1_2006 sortiert_Sheet1" xfId="13338" xr:uid="{00000000-0005-0000-0000-000011340000}"/>
    <cellStyle name="_Data_B.IV.r_RB&amp;JW_Produktionsplanung_LE1_2006 sortiert_Sheet5" xfId="13339" xr:uid="{00000000-0005-0000-0000-000012340000}"/>
    <cellStyle name="_Data_B.IV.r_RB&amp;JW_Produktionsplanung_LE1_2006 sortiert_Sm Proj Cash Flow" xfId="13340" xr:uid="{00000000-0005-0000-0000-000013340000}"/>
    <cellStyle name="_Data_B.IV.r_RB&amp;JW_Produktionsplanung_LE1_2006 sortiert_Spend Detail" xfId="13341" xr:uid="{00000000-0005-0000-0000-000014340000}"/>
    <cellStyle name="_Data_B.IV.r_RB&amp;JW_Produktionsplanung_LE1_2006 sortiert_SustainingProjectList" xfId="13342" xr:uid="{00000000-0005-0000-0000-000015340000}"/>
    <cellStyle name="_Data_B.IV.r_RFFS SUBMISSION TO VPs" xfId="13343" xr:uid="{00000000-0005-0000-0000-000016340000}"/>
    <cellStyle name="_Data_B.IV.r_RFFS SUBMISSION TO VPs 2" xfId="13344" xr:uid="{00000000-0005-0000-0000-000017340000}"/>
    <cellStyle name="_Data_B.IV.r_RFFS_SUBMISSION_TO_VPs _v2" xfId="13345" xr:uid="{00000000-0005-0000-0000-000018340000}"/>
    <cellStyle name="_Data_B.IV.r_RFFS_SUBMISSION_TO_VPs _v2 2" xfId="13346" xr:uid="{00000000-0005-0000-0000-000019340000}"/>
    <cellStyle name="_Data_B.IV.r_Sales and Marketing - revised" xfId="13347" xr:uid="{00000000-0005-0000-0000-00001A340000}"/>
    <cellStyle name="_Data_B.IV.r_Sales and Marketing - revised 2" xfId="13348" xr:uid="{00000000-0005-0000-0000-00001B340000}"/>
    <cellStyle name="_Data_B.IV.r_Sales and Marketing - revised 2 2" xfId="13349" xr:uid="{00000000-0005-0000-0000-00001C340000}"/>
    <cellStyle name="_Data_B.IV.r_Sales and Marketing - revised 3" xfId="13350" xr:uid="{00000000-0005-0000-0000-00001D340000}"/>
    <cellStyle name="_Data_B.IV.r_Sales and Marketing - revised 4" xfId="13351" xr:uid="{00000000-0005-0000-0000-00001E340000}"/>
    <cellStyle name="_Data_B.IV.r_Sheet1" xfId="13352" xr:uid="{00000000-0005-0000-0000-00001F340000}"/>
    <cellStyle name="_Data_B.IV.r_Sheet5" xfId="13353" xr:uid="{00000000-0005-0000-0000-000020340000}"/>
    <cellStyle name="_Data_B.IV.r_Sim Ebitda LE 0909 v4" xfId="13354" xr:uid="{00000000-0005-0000-0000-000021340000}"/>
    <cellStyle name="_Data_B.IV.r_Sim Ebitda LE 0909 v4 2" xfId="13355" xr:uid="{00000000-0005-0000-0000-000022340000}"/>
    <cellStyle name="_Data_B.IV.r_Sim Ebitda LE 0909 v4 2 2" xfId="13356" xr:uid="{00000000-0005-0000-0000-000023340000}"/>
    <cellStyle name="_Data_B.IV.r_Sim Ebitda LE 0909 v4 3" xfId="13357" xr:uid="{00000000-0005-0000-0000-000024340000}"/>
    <cellStyle name="_Data_B.IV.r_Sim Ebitda LE 0909 v4 4" xfId="13358" xr:uid="{00000000-0005-0000-0000-000025340000}"/>
    <cellStyle name="_Data_B.IV.r_SKU Volumen" xfId="13359" xr:uid="{00000000-0005-0000-0000-000026340000}"/>
    <cellStyle name="_Data_B.IV.r_SKU Volumen 2" xfId="13360" xr:uid="{00000000-0005-0000-0000-000027340000}"/>
    <cellStyle name="_Data_B.IV.r_SKU Volumen_RFFS SUBMISSION TO VPs" xfId="13361" xr:uid="{00000000-0005-0000-0000-000028340000}"/>
    <cellStyle name="_Data_B.IV.r_SKU Volumen_RFFS SUBMISSION TO VPs 2" xfId="13362" xr:uid="{00000000-0005-0000-0000-000029340000}"/>
    <cellStyle name="_Data_B.IV.r_SKU Volumen_RFFS_SUBMISSION_TO_VPs _v2" xfId="13363" xr:uid="{00000000-0005-0000-0000-00002A340000}"/>
    <cellStyle name="_Data_B.IV.r_SKU Volumen_RFFS_SUBMISSION_TO_VPs _v2 2" xfId="13364" xr:uid="{00000000-0005-0000-0000-00002B340000}"/>
    <cellStyle name="_Data_B.IV.r_SKU Volumen_Sheet1" xfId="13365" xr:uid="{00000000-0005-0000-0000-00002C340000}"/>
    <cellStyle name="_Data_B.IV.r_SKU Volumen_Sm Proj Cash Flow" xfId="13366" xr:uid="{00000000-0005-0000-0000-00002D340000}"/>
    <cellStyle name="_Data_B.IV.r_SKU Volumen_Spend Detail" xfId="13367" xr:uid="{00000000-0005-0000-0000-00002E340000}"/>
    <cellStyle name="_Data_B.IV.r_SKU Volumen_SustainingProjectList" xfId="13368" xr:uid="{00000000-0005-0000-0000-00002F340000}"/>
    <cellStyle name="_Data_B.IV.r_Slide for initiatives (2)" xfId="13369" xr:uid="{00000000-0005-0000-0000-000030340000}"/>
    <cellStyle name="_Data_B.IV.r_Slide for initiatives (2) 2" xfId="13370" xr:uid="{00000000-0005-0000-0000-000031340000}"/>
    <cellStyle name="_Data_B.IV.r_SustainingProjectList" xfId="13371" xr:uid="{00000000-0005-0000-0000-000032340000}"/>
    <cellStyle name="_Data_B.IV.r_Tabelle1" xfId="13372" xr:uid="{00000000-0005-0000-0000-000033340000}"/>
    <cellStyle name="_Data_B.IV.r_Tabelle1 2" xfId="13373" xr:uid="{00000000-0005-0000-0000-000034340000}"/>
    <cellStyle name="_Data_B.IV.r_Tabelle1_RFFS SUBMISSION TO VPs" xfId="13374" xr:uid="{00000000-0005-0000-0000-000035340000}"/>
    <cellStyle name="_Data_B.IV.r_Tabelle1_RFFS SUBMISSION TO VPs 2" xfId="13375" xr:uid="{00000000-0005-0000-0000-000036340000}"/>
    <cellStyle name="_Data_B.IV.r_Tabelle1_RFFS_SUBMISSION_TO_VPs _v2" xfId="13376" xr:uid="{00000000-0005-0000-0000-000037340000}"/>
    <cellStyle name="_Data_B.IV.r_Tabelle1_RFFS_SUBMISSION_TO_VPs _v2 2" xfId="13377" xr:uid="{00000000-0005-0000-0000-000038340000}"/>
    <cellStyle name="_Data_B.IV.r_Tabelle1_Sheet1" xfId="13378" xr:uid="{00000000-0005-0000-0000-000039340000}"/>
    <cellStyle name="_Data_B.IV.r_Tabelle1_Sm Proj Cash Flow" xfId="13379" xr:uid="{00000000-0005-0000-0000-00003A340000}"/>
    <cellStyle name="_Data_B.IV.r_Tabelle1_Spend Detail" xfId="13380" xr:uid="{00000000-0005-0000-0000-00003B340000}"/>
    <cellStyle name="_Data_B.IV.r_Tabelle1_SustainingProjectList" xfId="13381" xr:uid="{00000000-0005-0000-0000-00003C340000}"/>
    <cellStyle name="_Data_B.IV.r_TP_IC_2013" xfId="13382" xr:uid="{00000000-0005-0000-0000-00003D340000}"/>
    <cellStyle name="_Data_B.IV.r_WF Ebitda RD Abr-10" xfId="13383" xr:uid="{00000000-0005-0000-0000-00003E340000}"/>
    <cellStyle name="_Data_B.IV.r_WF Ebitda RD Abr-10 2" xfId="13384" xr:uid="{00000000-0005-0000-0000-00003F340000}"/>
    <cellStyle name="_Data_B.IV.r_WF Ebitda RD Abr-10 2 2" xfId="13385" xr:uid="{00000000-0005-0000-0000-000040340000}"/>
    <cellStyle name="_Data_B.IV.r_WF Ebitda Sep09" xfId="13386" xr:uid="{00000000-0005-0000-0000-000041340000}"/>
    <cellStyle name="_Data_B.IV.r_WF Ebitda Sep09 2" xfId="13387" xr:uid="{00000000-0005-0000-0000-000042340000}"/>
    <cellStyle name="_Data_B.IV.r_WF Ebitda Sep09 2 2" xfId="13388" xr:uid="{00000000-0005-0000-0000-000043340000}"/>
    <cellStyle name="_Data_B.IV.r_ZBB" xfId="13389" xr:uid="{00000000-0005-0000-0000-000044340000}"/>
    <cellStyle name="_Data_B.IV.r_ZBB 2" xfId="13390" xr:uid="{00000000-0005-0000-0000-000045340000}"/>
    <cellStyle name="_Data_B.IV.r_ZBB 2 2" xfId="13391" xr:uid="{00000000-0005-0000-0000-000046340000}"/>
    <cellStyle name="_Data_B.IV.r_ZBB Budget 2009 Decks" xfId="13392" xr:uid="{00000000-0005-0000-0000-000047340000}"/>
    <cellStyle name="_Data_B.IV.r_ZBB Budget 2009 Decks 2" xfId="13393" xr:uid="{00000000-0005-0000-0000-000048340000}"/>
    <cellStyle name="_Data_B.IV.r_ZBB Budget 2009 Decks 2 2" xfId="13394" xr:uid="{00000000-0005-0000-0000-000049340000}"/>
    <cellStyle name="_Data_B.IV.r_ZBB Budget 2009 Decks_with Korea Scope in (Only LE)" xfId="13395" xr:uid="{00000000-0005-0000-0000-00004A340000}"/>
    <cellStyle name="_Data_B.IV.r_ZBB Budget 2009 Decks_with Korea Scope in (Only LE) (2)" xfId="13396" xr:uid="{00000000-0005-0000-0000-00004B340000}"/>
    <cellStyle name="_Data_B.IV.r_ZBB Budget 2009 Decks_with Korea Scope in (Only LE) (2) 2" xfId="13397" xr:uid="{00000000-0005-0000-0000-00004C340000}"/>
    <cellStyle name="_Data_B.IV.r_ZBB Budget 2009 Decks_with Korea Scope in (Only LE) (2) 2 2" xfId="13398" xr:uid="{00000000-0005-0000-0000-00004D340000}"/>
    <cellStyle name="_Data_B.IV.r_ZBB Budget 2009 Decks_with Korea Scope in (Only LE) 2" xfId="13399" xr:uid="{00000000-0005-0000-0000-00004E340000}"/>
    <cellStyle name="_Data_B.IV.r_ZBB Budget 2009 Decks_with Korea Scope in (Only LE) 2 2" xfId="13400" xr:uid="{00000000-0005-0000-0000-00004F340000}"/>
    <cellStyle name="_Data_B.IV.r_ZBB Budget 2009 Decks_with Korea Scope in (Only LE) 3" xfId="13401" xr:uid="{00000000-0005-0000-0000-000050340000}"/>
    <cellStyle name="_Data_B.IV.r_ZBB Budget 2009 Decks_with Korea Scope in (Only LE) 3 2" xfId="13402" xr:uid="{00000000-0005-0000-0000-000051340000}"/>
    <cellStyle name="_Data_B.IV.r_ZBB Budget 2009 Decks_with Korea Scope in (Only LE) 4" xfId="13403" xr:uid="{00000000-0005-0000-0000-000052340000}"/>
    <cellStyle name="_Data_B.IV.r_ZBB Budget 2009 Decks_with Korea Scope in (Only LE) 5" xfId="13404" xr:uid="{00000000-0005-0000-0000-000053340000}"/>
    <cellStyle name="_Data_BACK UP FIGURES for PRESENTATION LE1" xfId="13405" xr:uid="{00000000-0005-0000-0000-000054340000}"/>
    <cellStyle name="_Data_Basis" xfId="13406" xr:uid="{00000000-0005-0000-0000-000055340000}"/>
    <cellStyle name="_Data_Basis 2" xfId="13407" xr:uid="{00000000-0005-0000-0000-000056340000}"/>
    <cellStyle name="_Data_Basis_1" xfId="13408" xr:uid="{00000000-0005-0000-0000-000057340000}"/>
    <cellStyle name="_Data_Basis_1 2" xfId="13409" xr:uid="{00000000-0005-0000-0000-000058340000}"/>
    <cellStyle name="_Data_Basis_1 2 2" xfId="13410" xr:uid="{00000000-0005-0000-0000-000059340000}"/>
    <cellStyle name="_Data_Basis_1_packaging" xfId="13411" xr:uid="{00000000-0005-0000-0000-00005A340000}"/>
    <cellStyle name="_Data_Basis_1_packaging_Sheet5" xfId="13412" xr:uid="{00000000-0005-0000-0000-00005B340000}"/>
    <cellStyle name="_Data_Basis_1_RFFS SUBMISSION TO VPs" xfId="13413" xr:uid="{00000000-0005-0000-0000-00005C340000}"/>
    <cellStyle name="_Data_Basis_1_RFFS SUBMISSION TO VPs 2" xfId="13414" xr:uid="{00000000-0005-0000-0000-00005D340000}"/>
    <cellStyle name="_Data_Basis_1_RFFS_SUBMISSION_TO_VPs _v2" xfId="13415" xr:uid="{00000000-0005-0000-0000-00005E340000}"/>
    <cellStyle name="_Data_Basis_1_RFFS_SUBMISSION_TO_VPs _v2 2" xfId="13416" xr:uid="{00000000-0005-0000-0000-00005F340000}"/>
    <cellStyle name="_Data_Basis_1_Sheet1" xfId="13417" xr:uid="{00000000-0005-0000-0000-000060340000}"/>
    <cellStyle name="_Data_Basis_1_Sheet5" xfId="13418" xr:uid="{00000000-0005-0000-0000-000061340000}"/>
    <cellStyle name="_Data_Basis_1_Sm Proj Cash Flow" xfId="13419" xr:uid="{00000000-0005-0000-0000-000062340000}"/>
    <cellStyle name="_Data_Basis_1_Spend Detail" xfId="13420" xr:uid="{00000000-0005-0000-0000-000063340000}"/>
    <cellStyle name="_Data_Basis_1_SustainingProjectList" xfId="13421" xr:uid="{00000000-0005-0000-0000-000064340000}"/>
    <cellStyle name="_Data_Basis_packaging" xfId="13422" xr:uid="{00000000-0005-0000-0000-000065340000}"/>
    <cellStyle name="_Data_Basis_RFFS SUBMISSION TO VPs" xfId="13423" xr:uid="{00000000-0005-0000-0000-000066340000}"/>
    <cellStyle name="_Data_Basis_RFFS SUBMISSION TO VPs 2" xfId="13424" xr:uid="{00000000-0005-0000-0000-000067340000}"/>
    <cellStyle name="_Data_Basis_RFFS_SUBMISSION_TO_VPs _v2" xfId="13425" xr:uid="{00000000-0005-0000-0000-000068340000}"/>
    <cellStyle name="_Data_Basis_RFFS_SUBMISSION_TO_VPs _v2 2" xfId="13426" xr:uid="{00000000-0005-0000-0000-000069340000}"/>
    <cellStyle name="_Data_Basis_Sheet1" xfId="13427" xr:uid="{00000000-0005-0000-0000-00006A340000}"/>
    <cellStyle name="_Data_Basis_SustainingProjectList" xfId="13428" xr:uid="{00000000-0005-0000-0000-00006B340000}"/>
    <cellStyle name="_Data_BB" xfId="13429" xr:uid="{00000000-0005-0000-0000-00006C340000}"/>
    <cellStyle name="_Data_BE_FG" xfId="13430" xr:uid="{00000000-0005-0000-0000-00006D340000}"/>
    <cellStyle name="_Data_BE_FG 2" xfId="13431" xr:uid="{00000000-0005-0000-0000-00006E340000}"/>
    <cellStyle name="_Data_BECK" xfId="13432" xr:uid="{00000000-0005-0000-0000-00006F340000}"/>
    <cellStyle name="_Data_BECK 2" xfId="13433" xr:uid="{00000000-0005-0000-0000-000070340000}"/>
    <cellStyle name="_Data_BECK 2 2" xfId="13434" xr:uid="{00000000-0005-0000-0000-000071340000}"/>
    <cellStyle name="_Data_BECK 2 2 2" xfId="13435" xr:uid="{00000000-0005-0000-0000-000072340000}"/>
    <cellStyle name="_Data_BECK 2 3" xfId="13436" xr:uid="{00000000-0005-0000-0000-000073340000}"/>
    <cellStyle name="_Data_BECK 2 4" xfId="13437" xr:uid="{00000000-0005-0000-0000-000074340000}"/>
    <cellStyle name="_Data_BECK 3" xfId="13438" xr:uid="{00000000-0005-0000-0000-000075340000}"/>
    <cellStyle name="_Data_BECK 3 2" xfId="13439" xr:uid="{00000000-0005-0000-0000-000076340000}"/>
    <cellStyle name="_Data_BECK_010808 Market Programs  for Budget Deck" xfId="13440" xr:uid="{00000000-0005-0000-0000-000077340000}"/>
    <cellStyle name="_Data_BECK_010808 Market Programs  for Budget Deck 2" xfId="13441" xr:uid="{00000000-0005-0000-0000-000078340000}"/>
    <cellStyle name="_Data_BECK_010808 Market Programs  for Budget Deck 2 2" xfId="13442" xr:uid="{00000000-0005-0000-0000-000079340000}"/>
    <cellStyle name="_Data_BECK_0908 Gabarito exchange rate" xfId="13443" xr:uid="{00000000-0005-0000-0000-00007A340000}"/>
    <cellStyle name="_Data_BECK_0908 Gabarito exchange rate 2" xfId="13444" xr:uid="{00000000-0005-0000-0000-00007B340000}"/>
    <cellStyle name="_Data_BECK_0908 Gabarito exchange rate 2 2" xfId="13445" xr:uid="{00000000-0005-0000-0000-00007C340000}"/>
    <cellStyle name="_Data_BECK_0908 Gabarito exchange rate 3" xfId="13446" xr:uid="{00000000-0005-0000-0000-00007D340000}"/>
    <cellStyle name="_Data_BECK_0908 Gabarito exchange rate 4" xfId="13447" xr:uid="{00000000-0005-0000-0000-00007E340000}"/>
    <cellStyle name="_Data_Beck_1" xfId="13448" xr:uid="{00000000-0005-0000-0000-00007F340000}"/>
    <cellStyle name="_Data_Beck_1 2" xfId="13449" xr:uid="{00000000-0005-0000-0000-000080340000}"/>
    <cellStyle name="_Data_Beck_1_packaging" xfId="13450" xr:uid="{00000000-0005-0000-0000-000081340000}"/>
    <cellStyle name="_Data_Beck_1_RFFS SUBMISSION TO VPs" xfId="13451" xr:uid="{00000000-0005-0000-0000-000082340000}"/>
    <cellStyle name="_Data_Beck_1_RFFS SUBMISSION TO VPs 2" xfId="13452" xr:uid="{00000000-0005-0000-0000-000083340000}"/>
    <cellStyle name="_Data_Beck_1_RFFS_SUBMISSION_TO_VPs _v2" xfId="13453" xr:uid="{00000000-0005-0000-0000-000084340000}"/>
    <cellStyle name="_Data_Beck_1_RFFS_SUBMISSION_TO_VPs _v2 2" xfId="13454" xr:uid="{00000000-0005-0000-0000-000085340000}"/>
    <cellStyle name="_Data_Beck_1_Sheet1" xfId="13455" xr:uid="{00000000-0005-0000-0000-000086340000}"/>
    <cellStyle name="_Data_Beck_1_Sheet5" xfId="13456" xr:uid="{00000000-0005-0000-0000-000087340000}"/>
    <cellStyle name="_Data_Beck_1_SustainingProjectList" xfId="13457" xr:uid="{00000000-0005-0000-0000-000088340000}"/>
    <cellStyle name="_Data_Beck_1_TP_IC_2013" xfId="13458" xr:uid="{00000000-0005-0000-0000-000089340000}"/>
    <cellStyle name="_Data_BECK_Accident frequency" xfId="13459" xr:uid="{00000000-0005-0000-0000-00008A340000}"/>
    <cellStyle name="_Data_BECK_Additional Templates" xfId="13460" xr:uid="{00000000-0005-0000-0000-00008B340000}"/>
    <cellStyle name="_Data_BECK_Additional Templates (2)" xfId="13461" xr:uid="{00000000-0005-0000-0000-00008C340000}"/>
    <cellStyle name="_Data_BECK_Additional Templates (3)" xfId="13462" xr:uid="{00000000-0005-0000-0000-00008D340000}"/>
    <cellStyle name="_Data_BECK_Additional Templates (4)" xfId="13463" xr:uid="{00000000-0005-0000-0000-00008E340000}"/>
    <cellStyle name="_Data_BECK_Additional Templates (5)" xfId="13464" xr:uid="{00000000-0005-0000-0000-00008F340000}"/>
    <cellStyle name="_Data_BECK_Basis" xfId="13465" xr:uid="{00000000-0005-0000-0000-000090340000}"/>
    <cellStyle name="_Data_BECK_Basis 2" xfId="13466" xr:uid="{00000000-0005-0000-0000-000091340000}"/>
    <cellStyle name="_Data_BECK_Basis 2 2" xfId="13467" xr:uid="{00000000-0005-0000-0000-000092340000}"/>
    <cellStyle name="_Data_BECK_Basis_packaging" xfId="13468" xr:uid="{00000000-0005-0000-0000-000093340000}"/>
    <cellStyle name="_Data_BECK_Basis_packaging_Sheet5" xfId="13469" xr:uid="{00000000-0005-0000-0000-000094340000}"/>
    <cellStyle name="_Data_BECK_Basis_RFFS SUBMISSION TO VPs" xfId="13470" xr:uid="{00000000-0005-0000-0000-000095340000}"/>
    <cellStyle name="_Data_BECK_Basis_RFFS SUBMISSION TO VPs 2" xfId="13471" xr:uid="{00000000-0005-0000-0000-000096340000}"/>
    <cellStyle name="_Data_BECK_Basis_RFFS_SUBMISSION_TO_VPs _v2" xfId="13472" xr:uid="{00000000-0005-0000-0000-000097340000}"/>
    <cellStyle name="_Data_BECK_Basis_RFFS_SUBMISSION_TO_VPs _v2 2" xfId="13473" xr:uid="{00000000-0005-0000-0000-000098340000}"/>
    <cellStyle name="_Data_BECK_Basis_Sheet1" xfId="13474" xr:uid="{00000000-0005-0000-0000-000099340000}"/>
    <cellStyle name="_Data_BECK_Basis_Sheet5" xfId="13475" xr:uid="{00000000-0005-0000-0000-00009A340000}"/>
    <cellStyle name="_Data_BECK_Basis_Sm Proj Cash Flow" xfId="13476" xr:uid="{00000000-0005-0000-0000-00009B340000}"/>
    <cellStyle name="_Data_BECK_Basis_Spend Detail" xfId="13477" xr:uid="{00000000-0005-0000-0000-00009C340000}"/>
    <cellStyle name="_Data_BECK_Basis_SustainingProjectList" xfId="13478" xr:uid="{00000000-0005-0000-0000-00009D340000}"/>
    <cellStyle name="_Data_BECK_BGT 08 Templates Sales  Marketing - final (revised)" xfId="13479" xr:uid="{00000000-0005-0000-0000-00009E340000}"/>
    <cellStyle name="_Data_BECK_BGT 08 Templates Sales  Marketing - final (revised) 2" xfId="13480" xr:uid="{00000000-0005-0000-0000-00009F340000}"/>
    <cellStyle name="_Data_BECK_BGT 08 Templates Sales  Marketing - final (revised) 2 2" xfId="13481" xr:uid="{00000000-0005-0000-0000-0000A0340000}"/>
    <cellStyle name="_Data_BECK_BGT 08 Templates Sales  Marketing - final (revised) 3" xfId="13482" xr:uid="{00000000-0005-0000-0000-0000A1340000}"/>
    <cellStyle name="_Data_BECK_BGT 08 Templates Sales  Marketing - final (revised) 3 2" xfId="13483" xr:uid="{00000000-0005-0000-0000-0000A2340000}"/>
    <cellStyle name="_Data_BECK_BGT 08 Templates Sales  Marketing - final (revised) 3 3" xfId="13484" xr:uid="{00000000-0005-0000-0000-0000A3340000}"/>
    <cellStyle name="_Data_BECK_BGT 08 Templates Sales  Marketing - final (revised) 3 3 2" xfId="13485" xr:uid="{00000000-0005-0000-0000-0000A4340000}"/>
    <cellStyle name="_Data_BECK_BGT 08 Templates Sales  Marketing - final (revised) 4" xfId="13486" xr:uid="{00000000-0005-0000-0000-0000A5340000}"/>
    <cellStyle name="_Data_BECK_BGT 08 Templates Sales  Marketing - final (revised) 4 2" xfId="13487" xr:uid="{00000000-0005-0000-0000-0000A6340000}"/>
    <cellStyle name="_Data_BECK_Book5" xfId="13488" xr:uid="{00000000-0005-0000-0000-0000A7340000}"/>
    <cellStyle name="_Data_BECK_Book5 2" xfId="13489" xr:uid="{00000000-0005-0000-0000-0000A8340000}"/>
    <cellStyle name="_Data_BECK_Book5 2 2" xfId="13490" xr:uid="{00000000-0005-0000-0000-0000A9340000}"/>
    <cellStyle name="_Data_BECK_Book5 3" xfId="13491" xr:uid="{00000000-0005-0000-0000-0000AA340000}"/>
    <cellStyle name="_Data_BECK_Book5 4" xfId="13492" xr:uid="{00000000-0005-0000-0000-0000AB340000}"/>
    <cellStyle name="_Data_BECK_Bplan RD 1001" xfId="13493" xr:uid="{00000000-0005-0000-0000-0000AC340000}"/>
    <cellStyle name="_Data_BECK_Bplan RD 1001 2" xfId="13494" xr:uid="{00000000-0005-0000-0000-0000AD340000}"/>
    <cellStyle name="_Data_BECK_Bplan RD 1001 2 2" xfId="13495" xr:uid="{00000000-0005-0000-0000-0000AE340000}"/>
    <cellStyle name="_Data_BECK_Bplan RD 1001 3" xfId="13496" xr:uid="{00000000-0005-0000-0000-0000AF340000}"/>
    <cellStyle name="_Data_BECK_Bplan RD 1001 4" xfId="13497" xr:uid="{00000000-0005-0000-0000-0000B0340000}"/>
    <cellStyle name="_Data_BECK_Copy of BGT 08 Templates Sales  Marketing - final (revised)" xfId="13498" xr:uid="{00000000-0005-0000-0000-0000B1340000}"/>
    <cellStyle name="_Data_BECK_Copy of BGT 08 Templates Sales  Marketing - final (revised) 2" xfId="13499" xr:uid="{00000000-0005-0000-0000-0000B2340000}"/>
    <cellStyle name="_Data_BECK_Copy of BGT 08 Templates Sales  Marketing - final (revised) 2 2" xfId="13500" xr:uid="{00000000-0005-0000-0000-0000B3340000}"/>
    <cellStyle name="_Data_BECK_Copy of BGT 08 Templates Sales  Marketing - final (revised) 3" xfId="13501" xr:uid="{00000000-0005-0000-0000-0000B4340000}"/>
    <cellStyle name="_Data_BECK_Copy of BGT 08 Templates Sales  Marketing - final (revised) 3 2" xfId="13502" xr:uid="{00000000-0005-0000-0000-0000B5340000}"/>
    <cellStyle name="_Data_BECK_Copy of BGT 08 Templates Sales  Marketing - final (revised) 3 3" xfId="13503" xr:uid="{00000000-0005-0000-0000-0000B6340000}"/>
    <cellStyle name="_Data_BECK_Copy of BGT 08 Templates Sales  Marketing - final (revised) 3 3 2" xfId="13504" xr:uid="{00000000-0005-0000-0000-0000B7340000}"/>
    <cellStyle name="_Data_BECK_Copy of BGT 08 Templates Sales  Marketing - final (revised) 4" xfId="13505" xr:uid="{00000000-0005-0000-0000-0000B8340000}"/>
    <cellStyle name="_Data_BECK_Copy of BGT 08 Templates Sales  Marketing - final (revised) 4 2" xfId="13506" xr:uid="{00000000-0005-0000-0000-0000B9340000}"/>
    <cellStyle name="_Data_BECK_Excel sheets to support Market Program Template for Budget 09" xfId="13507" xr:uid="{00000000-0005-0000-0000-0000BA340000}"/>
    <cellStyle name="_Data_BECK_Excel sheets to support Market Program Template for Budget 09 (5) (2)" xfId="13508" xr:uid="{00000000-0005-0000-0000-0000BB340000}"/>
    <cellStyle name="_Data_BECK_Excel sheets to support Market Program Template for Budget 09 (5) (2) 2" xfId="13509" xr:uid="{00000000-0005-0000-0000-0000BC340000}"/>
    <cellStyle name="_Data_BECK_Excel sheets to support Market Program Template for Budget 09 (5) (2) 2 2" xfId="13510" xr:uid="{00000000-0005-0000-0000-0000BD340000}"/>
    <cellStyle name="_Data_BECK_Excel sheets to support Market Program Template for Budget 09 (5) (3)" xfId="13511" xr:uid="{00000000-0005-0000-0000-0000BE340000}"/>
    <cellStyle name="_Data_BECK_Excel sheets to support Market Program Template for Budget 09 (5) (3) 2" xfId="13512" xr:uid="{00000000-0005-0000-0000-0000BF340000}"/>
    <cellStyle name="_Data_BECK_Excel sheets to support Market Program Template for Budget 09 (5) (3) 2 2" xfId="13513" xr:uid="{00000000-0005-0000-0000-0000C0340000}"/>
    <cellStyle name="_Data_BECK_Excel sheets to support Market Program Template for Budget 09 10" xfId="13514" xr:uid="{00000000-0005-0000-0000-0000C1340000}"/>
    <cellStyle name="_Data_BECK_Excel sheets to support Market Program Template for Budget 09 11" xfId="13515" xr:uid="{00000000-0005-0000-0000-0000C2340000}"/>
    <cellStyle name="_Data_BECK_Excel sheets to support Market Program Template for Budget 09 11 2" xfId="13516" xr:uid="{00000000-0005-0000-0000-0000C3340000}"/>
    <cellStyle name="_Data_BECK_Excel sheets to support Market Program Template for Budget 09 12" xfId="13517" xr:uid="{00000000-0005-0000-0000-0000C4340000}"/>
    <cellStyle name="_Data_BECK_Excel sheets to support Market Program Template for Budget 09 12 2" xfId="13518" xr:uid="{00000000-0005-0000-0000-0000C5340000}"/>
    <cellStyle name="_Data_BECK_Excel sheets to support Market Program Template for Budget 09 13" xfId="13519" xr:uid="{00000000-0005-0000-0000-0000C6340000}"/>
    <cellStyle name="_Data_BECK_Excel sheets to support Market Program Template for Budget 09 13 2" xfId="13520" xr:uid="{00000000-0005-0000-0000-0000C7340000}"/>
    <cellStyle name="_Data_BECK_Excel sheets to support Market Program Template for Budget 09 14" xfId="13521" xr:uid="{00000000-0005-0000-0000-0000C8340000}"/>
    <cellStyle name="_Data_BECK_Excel sheets to support Market Program Template for Budget 09 14 2" xfId="13522" xr:uid="{00000000-0005-0000-0000-0000C9340000}"/>
    <cellStyle name="_Data_BECK_Excel sheets to support Market Program Template for Budget 09 2" xfId="13523" xr:uid="{00000000-0005-0000-0000-0000CA340000}"/>
    <cellStyle name="_Data_BECK_Excel sheets to support Market Program Template for Budget 09 2 2" xfId="13524" xr:uid="{00000000-0005-0000-0000-0000CB340000}"/>
    <cellStyle name="_Data_BECK_Excel sheets to support Market Program Template for Budget 09 3" xfId="13525" xr:uid="{00000000-0005-0000-0000-0000CC340000}"/>
    <cellStyle name="_Data_BECK_Excel sheets to support Market Program Template for Budget 09 3 2" xfId="13526" xr:uid="{00000000-0005-0000-0000-0000CD340000}"/>
    <cellStyle name="_Data_BECK_Excel sheets to support Market Program Template for Budget 09 4" xfId="13527" xr:uid="{00000000-0005-0000-0000-0000CE340000}"/>
    <cellStyle name="_Data_BECK_Excel sheets to support Market Program Template for Budget 09 5" xfId="13528" xr:uid="{00000000-0005-0000-0000-0000CF340000}"/>
    <cellStyle name="_Data_BECK_Excel sheets to support Market Program Template for Budget 09 5 2" xfId="13529" xr:uid="{00000000-0005-0000-0000-0000D0340000}"/>
    <cellStyle name="_Data_BECK_Excel sheets to support Market Program Template for Budget 09 5 3" xfId="13530" xr:uid="{00000000-0005-0000-0000-0000D1340000}"/>
    <cellStyle name="_Data_BECK_Excel sheets to support Market Program Template for Budget 09 5 3 2" xfId="13531" xr:uid="{00000000-0005-0000-0000-0000D2340000}"/>
    <cellStyle name="_Data_BECK_Excel sheets to support Market Program Template for Budget 09 6" xfId="13532" xr:uid="{00000000-0005-0000-0000-0000D3340000}"/>
    <cellStyle name="_Data_BECK_Excel sheets to support Market Program Template for Budget 09 6 2" xfId="13533" xr:uid="{00000000-0005-0000-0000-0000D4340000}"/>
    <cellStyle name="_Data_BECK_Excel sheets to support Market Program Template for Budget 09 6 3" xfId="13534" xr:uid="{00000000-0005-0000-0000-0000D5340000}"/>
    <cellStyle name="_Data_BECK_Excel sheets to support Market Program Template for Budget 09 6 3 2" xfId="13535" xr:uid="{00000000-0005-0000-0000-0000D6340000}"/>
    <cellStyle name="_Data_BECK_Excel sheets to support Market Program Template for Budget 09 7" xfId="13536" xr:uid="{00000000-0005-0000-0000-0000D7340000}"/>
    <cellStyle name="_Data_BECK_Excel sheets to support Market Program Template for Budget 09 8" xfId="13537" xr:uid="{00000000-0005-0000-0000-0000D8340000}"/>
    <cellStyle name="_Data_BECK_Excel sheets to support Market Program Template for Budget 09 9" xfId="13538" xr:uid="{00000000-0005-0000-0000-0000D9340000}"/>
    <cellStyle name="_Data_BECK_LE Ebitda RD Feb-10 v2" xfId="13539" xr:uid="{00000000-0005-0000-0000-0000DA340000}"/>
    <cellStyle name="_Data_BECK_LE Ebitda RD Feb-10 v2 2" xfId="13540" xr:uid="{00000000-0005-0000-0000-0000DB340000}"/>
    <cellStyle name="_Data_BECK_LE Ebitda RD Feb-10 v2 2 2" xfId="13541" xr:uid="{00000000-0005-0000-0000-0000DC340000}"/>
    <cellStyle name="_Data_BECK_NNT_LE'08_1605vsBGT'09_1713" xfId="13542" xr:uid="{00000000-0005-0000-0000-0000DD340000}"/>
    <cellStyle name="_Data_BECK_NNT_LE'08_1605vsBGT'09_1713 2" xfId="13543" xr:uid="{00000000-0005-0000-0000-0000DE340000}"/>
    <cellStyle name="_Data_BECK_NNT_LE'08_1605vsBGT'09_1713 3" xfId="13544" xr:uid="{00000000-0005-0000-0000-0000DF340000}"/>
    <cellStyle name="_Data_BECK_NNT_LE'08_1605vsBGT'09_1713 3 2" xfId="13545" xr:uid="{00000000-0005-0000-0000-0000E0340000}"/>
    <cellStyle name="_Data_BECK_NNT_LE'08_1605vsBGT'09_1713 3 3" xfId="13546" xr:uid="{00000000-0005-0000-0000-0000E1340000}"/>
    <cellStyle name="_Data_BECK_NNT_LE'08_1605vsBGT'09_1713 3 3 2" xfId="13547" xr:uid="{00000000-0005-0000-0000-0000E2340000}"/>
    <cellStyle name="_Data_BECK_NNT_LE'08_1605vsBGT'09_1713 4" xfId="13548" xr:uid="{00000000-0005-0000-0000-0000E3340000}"/>
    <cellStyle name="_Data_BECK_NNT_LE'08_1605vsBGT'09_1713 4 2" xfId="13549" xr:uid="{00000000-0005-0000-0000-0000E4340000}"/>
    <cellStyle name="_Data_BECK_packaging" xfId="13550" xr:uid="{00000000-0005-0000-0000-0000E5340000}"/>
    <cellStyle name="_Data_BECK_People Package" xfId="13551" xr:uid="{00000000-0005-0000-0000-0000E6340000}"/>
    <cellStyle name="_Data_BECK_People Package (2)" xfId="13552" xr:uid="{00000000-0005-0000-0000-0000E7340000}"/>
    <cellStyle name="_Data_BECK_People Package (2) 2" xfId="13553" xr:uid="{00000000-0005-0000-0000-0000E8340000}"/>
    <cellStyle name="_Data_BECK_People Package (2) 2 2" xfId="13554" xr:uid="{00000000-0005-0000-0000-0000E9340000}"/>
    <cellStyle name="_Data_BECK_People Package 2" xfId="13555" xr:uid="{00000000-0005-0000-0000-0000EA340000}"/>
    <cellStyle name="_Data_BECK_People Package 2 2" xfId="13556" xr:uid="{00000000-0005-0000-0000-0000EB340000}"/>
    <cellStyle name="_Data_BECK_People Package 3" xfId="13557" xr:uid="{00000000-0005-0000-0000-0000EC340000}"/>
    <cellStyle name="_Data_BECK_People Package 3 2" xfId="13558" xr:uid="{00000000-0005-0000-0000-0000ED340000}"/>
    <cellStyle name="_Data_BECK_People Package 4" xfId="13559" xr:uid="{00000000-0005-0000-0000-0000EE340000}"/>
    <cellStyle name="_Data_BECK_People Package 5" xfId="13560" xr:uid="{00000000-0005-0000-0000-0000EF340000}"/>
    <cellStyle name="_Data_BECK_RB&amp;JW_Produktionsplanung_LE1_2006 sortiert" xfId="13561" xr:uid="{00000000-0005-0000-0000-0000F0340000}"/>
    <cellStyle name="_Data_BECK_RB&amp;JW_Produktionsplanung_LE1_2006 sortiert 2" xfId="13562" xr:uid="{00000000-0005-0000-0000-0000F1340000}"/>
    <cellStyle name="_Data_BECK_RB&amp;JW_Produktionsplanung_LE1_2006 sortiert 2 2" xfId="13563" xr:uid="{00000000-0005-0000-0000-0000F2340000}"/>
    <cellStyle name="_Data_BECK_RB&amp;JW_Produktionsplanung_LE1_2006 sortiert_packaging" xfId="13564" xr:uid="{00000000-0005-0000-0000-0000F3340000}"/>
    <cellStyle name="_Data_BECK_RB&amp;JW_Produktionsplanung_LE1_2006 sortiert_packaging_Sheet5" xfId="13565" xr:uid="{00000000-0005-0000-0000-0000F4340000}"/>
    <cellStyle name="_Data_BECK_RB&amp;JW_Produktionsplanung_LE1_2006 sortiert_RFFS SUBMISSION TO VPs" xfId="13566" xr:uid="{00000000-0005-0000-0000-0000F5340000}"/>
    <cellStyle name="_Data_BECK_RB&amp;JW_Produktionsplanung_LE1_2006 sortiert_RFFS SUBMISSION TO VPs 2" xfId="13567" xr:uid="{00000000-0005-0000-0000-0000F6340000}"/>
    <cellStyle name="_Data_BECK_RB&amp;JW_Produktionsplanung_LE1_2006 sortiert_RFFS_SUBMISSION_TO_VPs _v2" xfId="13568" xr:uid="{00000000-0005-0000-0000-0000F7340000}"/>
    <cellStyle name="_Data_BECK_RB&amp;JW_Produktionsplanung_LE1_2006 sortiert_RFFS_SUBMISSION_TO_VPs _v2 2" xfId="13569" xr:uid="{00000000-0005-0000-0000-0000F8340000}"/>
    <cellStyle name="_Data_BECK_RB&amp;JW_Produktionsplanung_LE1_2006 sortiert_Sheet1" xfId="13570" xr:uid="{00000000-0005-0000-0000-0000F9340000}"/>
    <cellStyle name="_Data_BECK_RB&amp;JW_Produktionsplanung_LE1_2006 sortiert_Sheet5" xfId="13571" xr:uid="{00000000-0005-0000-0000-0000FA340000}"/>
    <cellStyle name="_Data_BECK_RB&amp;JW_Produktionsplanung_LE1_2006 sortiert_Sm Proj Cash Flow" xfId="13572" xr:uid="{00000000-0005-0000-0000-0000FB340000}"/>
    <cellStyle name="_Data_BECK_RB&amp;JW_Produktionsplanung_LE1_2006 sortiert_Spend Detail" xfId="13573" xr:uid="{00000000-0005-0000-0000-0000FC340000}"/>
    <cellStyle name="_Data_BECK_RB&amp;JW_Produktionsplanung_LE1_2006 sortiert_SustainingProjectList" xfId="13574" xr:uid="{00000000-0005-0000-0000-0000FD340000}"/>
    <cellStyle name="_Data_BECK_RFFS SUBMISSION TO VPs" xfId="13575" xr:uid="{00000000-0005-0000-0000-0000FE340000}"/>
    <cellStyle name="_Data_BECK_RFFS_SUBMISSION_TO_VPs _v2" xfId="13576" xr:uid="{00000000-0005-0000-0000-0000FF340000}"/>
    <cellStyle name="_Data_BECK_Sales and Marketing - revised" xfId="13577" xr:uid="{00000000-0005-0000-0000-000000350000}"/>
    <cellStyle name="_Data_BECK_Sales and Marketing - revised 2" xfId="13578" xr:uid="{00000000-0005-0000-0000-000001350000}"/>
    <cellStyle name="_Data_BECK_Sales and Marketing - revised 2 2" xfId="13579" xr:uid="{00000000-0005-0000-0000-000002350000}"/>
    <cellStyle name="_Data_BECK_Sales and Marketing - revised 3" xfId="13580" xr:uid="{00000000-0005-0000-0000-000003350000}"/>
    <cellStyle name="_Data_BECK_Sales and Marketing - revised 4" xfId="13581" xr:uid="{00000000-0005-0000-0000-000004350000}"/>
    <cellStyle name="_Data_BECK_Sim Ebitda LE 0909 v4" xfId="13582" xr:uid="{00000000-0005-0000-0000-000005350000}"/>
    <cellStyle name="_Data_BECK_Sim Ebitda LE 0909 v4 2" xfId="13583" xr:uid="{00000000-0005-0000-0000-000006350000}"/>
    <cellStyle name="_Data_BECK_Sim Ebitda LE 0909 v4 2 2" xfId="13584" xr:uid="{00000000-0005-0000-0000-000007350000}"/>
    <cellStyle name="_Data_BECK_Sim Ebitda LE 0909 v4 3" xfId="13585" xr:uid="{00000000-0005-0000-0000-000008350000}"/>
    <cellStyle name="_Data_BECK_Sim Ebitda LE 0909 v4 4" xfId="13586" xr:uid="{00000000-0005-0000-0000-000009350000}"/>
    <cellStyle name="_Data_BECK_SKU Volumen" xfId="13587" xr:uid="{00000000-0005-0000-0000-00000A350000}"/>
    <cellStyle name="_Data_BECK_SKU Volumen 2" xfId="13588" xr:uid="{00000000-0005-0000-0000-00000B350000}"/>
    <cellStyle name="_Data_BECK_SKU Volumen_RFFS SUBMISSION TO VPs" xfId="13589" xr:uid="{00000000-0005-0000-0000-00000C350000}"/>
    <cellStyle name="_Data_BECK_SKU Volumen_RFFS SUBMISSION TO VPs 2" xfId="13590" xr:uid="{00000000-0005-0000-0000-00000D350000}"/>
    <cellStyle name="_Data_BECK_SKU Volumen_RFFS_SUBMISSION_TO_VPs _v2" xfId="13591" xr:uid="{00000000-0005-0000-0000-00000E350000}"/>
    <cellStyle name="_Data_BECK_SKU Volumen_RFFS_SUBMISSION_TO_VPs _v2 2" xfId="13592" xr:uid="{00000000-0005-0000-0000-00000F350000}"/>
    <cellStyle name="_Data_BECK_SKU Volumen_Sheet1" xfId="13593" xr:uid="{00000000-0005-0000-0000-000010350000}"/>
    <cellStyle name="_Data_BECK_SKU Volumen_Sm Proj Cash Flow" xfId="13594" xr:uid="{00000000-0005-0000-0000-000011350000}"/>
    <cellStyle name="_Data_BECK_SKU Volumen_Spend Detail" xfId="13595" xr:uid="{00000000-0005-0000-0000-000012350000}"/>
    <cellStyle name="_Data_BECK_SKU Volumen_SustainingProjectList" xfId="13596" xr:uid="{00000000-0005-0000-0000-000013350000}"/>
    <cellStyle name="_Data_BECK_Slide for initiatives (2)" xfId="13597" xr:uid="{00000000-0005-0000-0000-000014350000}"/>
    <cellStyle name="_Data_BECK_Slide for initiatives (2) 2" xfId="13598" xr:uid="{00000000-0005-0000-0000-000015350000}"/>
    <cellStyle name="_Data_BECK_Slide for initiatives (2) 3" xfId="13599" xr:uid="{00000000-0005-0000-0000-000016350000}"/>
    <cellStyle name="_Data_BECK_Slide for initiatives (2) 3 2" xfId="13600" xr:uid="{00000000-0005-0000-0000-000017350000}"/>
    <cellStyle name="_Data_BECK_Slide for initiatives (2) 3 3" xfId="13601" xr:uid="{00000000-0005-0000-0000-000018350000}"/>
    <cellStyle name="_Data_BECK_Slide for initiatives (2) 3 3 2" xfId="13602" xr:uid="{00000000-0005-0000-0000-000019350000}"/>
    <cellStyle name="_Data_BECK_Slide for initiatives (2) 4" xfId="13603" xr:uid="{00000000-0005-0000-0000-00001A350000}"/>
    <cellStyle name="_Data_BECK_Slide for initiatives (2) 4 2" xfId="13604" xr:uid="{00000000-0005-0000-0000-00001B350000}"/>
    <cellStyle name="_Data_BECK_Tabelle1" xfId="13605" xr:uid="{00000000-0005-0000-0000-00001C350000}"/>
    <cellStyle name="_Data_BECK_Tabelle1 2" xfId="13606" xr:uid="{00000000-0005-0000-0000-00001D350000}"/>
    <cellStyle name="_Data_BECK_Tabelle1_RFFS SUBMISSION TO VPs" xfId="13607" xr:uid="{00000000-0005-0000-0000-00001E350000}"/>
    <cellStyle name="_Data_BECK_Tabelle1_RFFS SUBMISSION TO VPs 2" xfId="13608" xr:uid="{00000000-0005-0000-0000-00001F350000}"/>
    <cellStyle name="_Data_BECK_Tabelle1_RFFS_SUBMISSION_TO_VPs _v2" xfId="13609" xr:uid="{00000000-0005-0000-0000-000020350000}"/>
    <cellStyle name="_Data_BECK_Tabelle1_RFFS_SUBMISSION_TO_VPs _v2 2" xfId="13610" xr:uid="{00000000-0005-0000-0000-000021350000}"/>
    <cellStyle name="_Data_BECK_Tabelle1_Sheet1" xfId="13611" xr:uid="{00000000-0005-0000-0000-000022350000}"/>
    <cellStyle name="_Data_BECK_Tabelle1_Sm Proj Cash Flow" xfId="13612" xr:uid="{00000000-0005-0000-0000-000023350000}"/>
    <cellStyle name="_Data_BECK_Tabelle1_Spend Detail" xfId="13613" xr:uid="{00000000-0005-0000-0000-000024350000}"/>
    <cellStyle name="_Data_BECK_Tabelle1_SustainingProjectList" xfId="13614" xr:uid="{00000000-0005-0000-0000-000025350000}"/>
    <cellStyle name="_Data_BECK_WF Ebitda RD Abr-10" xfId="13615" xr:uid="{00000000-0005-0000-0000-000026350000}"/>
    <cellStyle name="_Data_BECK_WF Ebitda RD Abr-10 2" xfId="13616" xr:uid="{00000000-0005-0000-0000-000027350000}"/>
    <cellStyle name="_Data_BECK_WF Ebitda RD Abr-10 2 2" xfId="13617" xr:uid="{00000000-0005-0000-0000-000028350000}"/>
    <cellStyle name="_Data_BECK_WF Ebitda Sep09" xfId="13618" xr:uid="{00000000-0005-0000-0000-000029350000}"/>
    <cellStyle name="_Data_BECK_WF Ebitda Sep09 2" xfId="13619" xr:uid="{00000000-0005-0000-0000-00002A350000}"/>
    <cellStyle name="_Data_BECK_WF Ebitda Sep09 2 2" xfId="13620" xr:uid="{00000000-0005-0000-0000-00002B350000}"/>
    <cellStyle name="_Data_BECK_ZBB" xfId="13621" xr:uid="{00000000-0005-0000-0000-00002C350000}"/>
    <cellStyle name="_Data_BECK_ZBB 2" xfId="13622" xr:uid="{00000000-0005-0000-0000-00002D350000}"/>
    <cellStyle name="_Data_BECK_ZBB 2 2" xfId="13623" xr:uid="{00000000-0005-0000-0000-00002E350000}"/>
    <cellStyle name="_Data_Becks" xfId="13624" xr:uid="{00000000-0005-0000-0000-00002F350000}"/>
    <cellStyle name="_Data_Becks (OR)" xfId="13625" xr:uid="{00000000-0005-0000-0000-000030350000}"/>
    <cellStyle name="_Data_Becks (OR) 2" xfId="13626" xr:uid="{00000000-0005-0000-0000-000031350000}"/>
    <cellStyle name="_Data_Becks (OR)_packaging" xfId="13627" xr:uid="{00000000-0005-0000-0000-000032350000}"/>
    <cellStyle name="_Data_Becks (OR)_RFFS SUBMISSION TO VPs" xfId="13628" xr:uid="{00000000-0005-0000-0000-000033350000}"/>
    <cellStyle name="_Data_Becks (OR)_RFFS SUBMISSION TO VPs 2" xfId="13629" xr:uid="{00000000-0005-0000-0000-000034350000}"/>
    <cellStyle name="_Data_Becks (OR)_RFFS_SUBMISSION_TO_VPs _v2" xfId="13630" xr:uid="{00000000-0005-0000-0000-000035350000}"/>
    <cellStyle name="_Data_Becks (OR)_RFFS_SUBMISSION_TO_VPs _v2 2" xfId="13631" xr:uid="{00000000-0005-0000-0000-000036350000}"/>
    <cellStyle name="_Data_Becks (OR)_Sheet1" xfId="13632" xr:uid="{00000000-0005-0000-0000-000037350000}"/>
    <cellStyle name="_Data_Becks (OR)_Sheet5" xfId="13633" xr:uid="{00000000-0005-0000-0000-000038350000}"/>
    <cellStyle name="_Data_Becks (OR)_SustainingProjectList" xfId="13634" xr:uid="{00000000-0005-0000-0000-000039350000}"/>
    <cellStyle name="_Data_Becks (OR)_TP_IC_2013" xfId="13635" xr:uid="{00000000-0005-0000-0000-00003A350000}"/>
    <cellStyle name="_Data_Becks 10" xfId="13636" xr:uid="{00000000-0005-0000-0000-00003B350000}"/>
    <cellStyle name="_Data_Becks 2" xfId="13637" xr:uid="{00000000-0005-0000-0000-00003C350000}"/>
    <cellStyle name="_Data_Becks 3" xfId="13638" xr:uid="{00000000-0005-0000-0000-00003D350000}"/>
    <cellStyle name="_Data_Becks 4" xfId="13639" xr:uid="{00000000-0005-0000-0000-00003E350000}"/>
    <cellStyle name="_Data_Becks 5" xfId="13640" xr:uid="{00000000-0005-0000-0000-00003F350000}"/>
    <cellStyle name="_Data_Becks 6" xfId="13641" xr:uid="{00000000-0005-0000-0000-000040350000}"/>
    <cellStyle name="_Data_Becks 7" xfId="13642" xr:uid="{00000000-0005-0000-0000-000041350000}"/>
    <cellStyle name="_Data_Becks 8" xfId="13643" xr:uid="{00000000-0005-0000-0000-000042350000}"/>
    <cellStyle name="_Data_Becks 9" xfId="13644" xr:uid="{00000000-0005-0000-0000-000043350000}"/>
    <cellStyle name="_Data_Becks AFP" xfId="13645" xr:uid="{00000000-0005-0000-0000-000044350000}"/>
    <cellStyle name="_Data_Becks AFP 2" xfId="13646" xr:uid="{00000000-0005-0000-0000-000045350000}"/>
    <cellStyle name="_Data_Becks AFP_Sheet1" xfId="13647" xr:uid="{00000000-0005-0000-0000-000046350000}"/>
    <cellStyle name="_Data_Becks AFP_SustainingProjectList" xfId="13648" xr:uid="{00000000-0005-0000-0000-000047350000}"/>
    <cellStyle name="_Data_Becks Gold Kisten" xfId="13649" xr:uid="{00000000-0005-0000-0000-000048350000}"/>
    <cellStyle name="_Data_Becks Gold Kisten 2" xfId="13650" xr:uid="{00000000-0005-0000-0000-000049350000}"/>
    <cellStyle name="_Data_Becks Gold Kisten_Sheet1" xfId="13651" xr:uid="{00000000-0005-0000-0000-00004A350000}"/>
    <cellStyle name="_Data_Becks Gold Kisten_SustainingProjectList" xfId="13652" xr:uid="{00000000-0005-0000-0000-00004B350000}"/>
    <cellStyle name="_Data_Becks Pils Kiste" xfId="13653" xr:uid="{00000000-0005-0000-0000-00004C350000}"/>
    <cellStyle name="_Data_Becks Pils Kiste 2" xfId="13654" xr:uid="{00000000-0005-0000-0000-00004D350000}"/>
    <cellStyle name="_Data_Becks Pils Kiste_Sheet1" xfId="13655" xr:uid="{00000000-0005-0000-0000-00004E350000}"/>
    <cellStyle name="_Data_Becks Pils Kiste_SustainingProjectList" xfId="13656" xr:uid="{00000000-0005-0000-0000-00004F350000}"/>
    <cellStyle name="_Data_Becks_packaging" xfId="13657" xr:uid="{00000000-0005-0000-0000-000050350000}"/>
    <cellStyle name="_Data_Becks_RFFS SUBMISSION TO VPs" xfId="13658" xr:uid="{00000000-0005-0000-0000-000051350000}"/>
    <cellStyle name="_Data_Becks_RFFS SUBMISSION TO VPs 2" xfId="13659" xr:uid="{00000000-0005-0000-0000-000052350000}"/>
    <cellStyle name="_Data_Becks_RFFS_SUBMISSION_TO_VPs _v2" xfId="13660" xr:uid="{00000000-0005-0000-0000-000053350000}"/>
    <cellStyle name="_Data_Becks_RFFS_SUBMISSION_TO_VPs _v2 2" xfId="13661" xr:uid="{00000000-0005-0000-0000-000054350000}"/>
    <cellStyle name="_Data_Becks_Sheet1" xfId="13662" xr:uid="{00000000-0005-0000-0000-000055350000}"/>
    <cellStyle name="_Data_Becks_Sheet5" xfId="13663" xr:uid="{00000000-0005-0000-0000-000056350000}"/>
    <cellStyle name="_Data_Becks_SustainingProjectList" xfId="13664" xr:uid="{00000000-0005-0000-0000-000057350000}"/>
    <cellStyle name="_Data_Becks_TP_IC_2013" xfId="13665" xr:uid="{00000000-0005-0000-0000-000058350000}"/>
    <cellStyle name="_Data_Beval REPORT novembre'06" xfId="13666" xr:uid="{00000000-0005-0000-0000-000059350000}"/>
    <cellStyle name="_Data_BGT 08 Templates Sales  Marketing - final (revised)" xfId="13667" xr:uid="{00000000-0005-0000-0000-00005A350000}"/>
    <cellStyle name="_Data_BGT 08 Templates Sales  Marketing - final (revised) 2" xfId="13668" xr:uid="{00000000-0005-0000-0000-00005B350000}"/>
    <cellStyle name="_Data_BGT 08 Templates Sales  Marketing - final (revised) 2 2" xfId="13669" xr:uid="{00000000-0005-0000-0000-00005C350000}"/>
    <cellStyle name="_Data_Book5 (2)" xfId="13670" xr:uid="{00000000-0005-0000-0000-00005D350000}"/>
    <cellStyle name="_Data_Book5 (2) 2" xfId="13671" xr:uid="{00000000-0005-0000-0000-00005E350000}"/>
    <cellStyle name="_Data_BR" xfId="13672" xr:uid="{00000000-0005-0000-0000-00005F350000}"/>
    <cellStyle name="_Data_BR 2" xfId="13673" xr:uid="{00000000-0005-0000-0000-000060350000}"/>
    <cellStyle name="_Data_BR 2 2" xfId="13674" xr:uid="{00000000-0005-0000-0000-000061350000}"/>
    <cellStyle name="_Data_Brew Ops Capacity balzer Modufi" xfId="13675" xr:uid="{00000000-0005-0000-0000-000062350000}"/>
    <cellStyle name="_Data_Brew Ops Capacity balzer Modufi 2" xfId="13676" xr:uid="{00000000-0005-0000-0000-000063350000}"/>
    <cellStyle name="_Data_Brew Ops Capacity balzer Modufi_packaging" xfId="13677" xr:uid="{00000000-0005-0000-0000-000064350000}"/>
    <cellStyle name="_Data_Brew Ops Capacity balzer Modufi_RFFS SUBMISSION TO VPs" xfId="13678" xr:uid="{00000000-0005-0000-0000-000065350000}"/>
    <cellStyle name="_Data_Brew Ops Capacity balzer Modufi_RFFS SUBMISSION TO VPs 2" xfId="13679" xr:uid="{00000000-0005-0000-0000-000066350000}"/>
    <cellStyle name="_Data_Brew Ops Capacity balzer Modufi_RFFS_SUBMISSION_TO_VPs _v2" xfId="13680" xr:uid="{00000000-0005-0000-0000-000067350000}"/>
    <cellStyle name="_Data_Brew Ops Capacity balzer Modufi_RFFS_SUBMISSION_TO_VPs _v2 2" xfId="13681" xr:uid="{00000000-0005-0000-0000-000068350000}"/>
    <cellStyle name="_Data_Brew Ops Capacity balzer Modufi_Sheet1" xfId="13682" xr:uid="{00000000-0005-0000-0000-000069350000}"/>
    <cellStyle name="_Data_Brew Ops Capacity balzer Modufi_SustainingProjectList" xfId="13683" xr:uid="{00000000-0005-0000-0000-00006A350000}"/>
    <cellStyle name="_Data_Brewery Performance" xfId="13684" xr:uid="{00000000-0005-0000-0000-00006B350000}"/>
    <cellStyle name="_Data_Brewery Performance 2" xfId="13685" xr:uid="{00000000-0005-0000-0000-00006C350000}"/>
    <cellStyle name="_Data_Brewery Performance 2 2" xfId="13686" xr:uid="{00000000-0005-0000-0000-00006D350000}"/>
    <cellStyle name="_Data_Brewery Performance 2 2 2" xfId="13687" xr:uid="{00000000-0005-0000-0000-00006E350000}"/>
    <cellStyle name="_Data_Brewery Performance 2 3" xfId="13688" xr:uid="{00000000-0005-0000-0000-00006F350000}"/>
    <cellStyle name="_Data_Brewery Performance 3" xfId="13689" xr:uid="{00000000-0005-0000-0000-000070350000}"/>
    <cellStyle name="_Data_Brewery Performance 3 2" xfId="13690" xr:uid="{00000000-0005-0000-0000-000071350000}"/>
    <cellStyle name="_Data_Brewery Performance_010808 Market Programs  for Budget Deck" xfId="13691" xr:uid="{00000000-0005-0000-0000-000072350000}"/>
    <cellStyle name="_Data_Brewery Performance_010808 Market Programs  for Budget Deck 2" xfId="13692" xr:uid="{00000000-0005-0000-0000-000073350000}"/>
    <cellStyle name="_Data_Brewery Performance_010808 Market Programs  for Budget Deck 2 2" xfId="13693" xr:uid="{00000000-0005-0000-0000-000074350000}"/>
    <cellStyle name="_Data_Brewery Performance_0908 Gabarito exchange rate" xfId="13694" xr:uid="{00000000-0005-0000-0000-000075350000}"/>
    <cellStyle name="_Data_Brewery Performance_0908 Gabarito exchange rate 2" xfId="13695" xr:uid="{00000000-0005-0000-0000-000076350000}"/>
    <cellStyle name="_Data_Brewery Performance_0908 Gabarito exchange rate 2 2" xfId="13696" xr:uid="{00000000-0005-0000-0000-000077350000}"/>
    <cellStyle name="_Data_Brewery Performance_33cl rev. Budget Value Vers (3)" xfId="13697" xr:uid="{00000000-0005-0000-0000-000078350000}"/>
    <cellStyle name="_Data_Brewery Performance_Accident frequency" xfId="13698" xr:uid="{00000000-0005-0000-0000-000079350000}"/>
    <cellStyle name="_Data_Brewery Performance_Additional Templates" xfId="13699" xr:uid="{00000000-0005-0000-0000-00007A350000}"/>
    <cellStyle name="_Data_Brewery Performance_Additional Templates (2)" xfId="13700" xr:uid="{00000000-0005-0000-0000-00007B350000}"/>
    <cellStyle name="_Data_Brewery Performance_Additional Templates (3)" xfId="13701" xr:uid="{00000000-0005-0000-0000-00007C350000}"/>
    <cellStyle name="_Data_Brewery Performance_Additional Templates (4)" xfId="13702" xr:uid="{00000000-0005-0000-0000-00007D350000}"/>
    <cellStyle name="_Data_Brewery Performance_Additional Templates (5)" xfId="13703" xr:uid="{00000000-0005-0000-0000-00007E350000}"/>
    <cellStyle name="_Data_Brewery Performance_AG Personalproduktivität + Headcounts" xfId="13704" xr:uid="{00000000-0005-0000-0000-00007F350000}"/>
    <cellStyle name="_Data_Brewery Performance_AG Personalproduktivität + Headcounts 2" xfId="13705" xr:uid="{00000000-0005-0000-0000-000080350000}"/>
    <cellStyle name="_Data_Brewery Performance_AG Personalproduktivität + Headcounts Feb  05" xfId="13706" xr:uid="{00000000-0005-0000-0000-000081350000}"/>
    <cellStyle name="_Data_Brewery Performance_AG Personalproduktivität + Headcounts Feb  05 2" xfId="13707" xr:uid="{00000000-0005-0000-0000-000082350000}"/>
    <cellStyle name="_Data_Brewery Performance_AG Personalproduktivität + Headcounts Feb  05_packaging" xfId="13708" xr:uid="{00000000-0005-0000-0000-000083350000}"/>
    <cellStyle name="_Data_Brewery Performance_AG Personalproduktivität + Headcounts Feb  05_Sheet1" xfId="13709" xr:uid="{00000000-0005-0000-0000-000084350000}"/>
    <cellStyle name="_Data_Brewery Performance_AG Personalproduktivität + Headcounts Feb  05_Sheet5" xfId="13710" xr:uid="{00000000-0005-0000-0000-000085350000}"/>
    <cellStyle name="_Data_Brewery Performance_AG Personalproduktivität + Headcounts Feb  05_TP_IC_2013" xfId="13711" xr:uid="{00000000-0005-0000-0000-000086350000}"/>
    <cellStyle name="_Data_Brewery Performance_AG Personalproduktivität + Headcounts_packaging" xfId="13712" xr:uid="{00000000-0005-0000-0000-000087350000}"/>
    <cellStyle name="_Data_Brewery Performance_AG Personalproduktivität + Headcounts_RFFS SUBMISSION TO VPs" xfId="13713" xr:uid="{00000000-0005-0000-0000-000088350000}"/>
    <cellStyle name="_Data_Brewery Performance_AG Personalproduktivität + Headcounts_RFFS SUBMISSION TO VPs 2" xfId="13714" xr:uid="{00000000-0005-0000-0000-000089350000}"/>
    <cellStyle name="_Data_Brewery Performance_AG Personalproduktivität + Headcounts_RFFS_SUBMISSION_TO_VPs _v2" xfId="13715" xr:uid="{00000000-0005-0000-0000-00008A350000}"/>
    <cellStyle name="_Data_Brewery Performance_AG Personalproduktivität + Headcounts_RFFS_SUBMISSION_TO_VPs _v2 2" xfId="13716" xr:uid="{00000000-0005-0000-0000-00008B350000}"/>
    <cellStyle name="_Data_Brewery Performance_AG Personalproduktivität + Headcounts_Sheet1" xfId="13717" xr:uid="{00000000-0005-0000-0000-00008C350000}"/>
    <cellStyle name="_Data_Brewery Performance_AG Personalproduktivität + Headcounts_Sheet5" xfId="13718" xr:uid="{00000000-0005-0000-0000-00008D350000}"/>
    <cellStyle name="_Data_Brewery Performance_AG Personalproduktivität + Headcounts_SustainingProjectList" xfId="13719" xr:uid="{00000000-0005-0000-0000-00008E350000}"/>
    <cellStyle name="_Data_Brewery Performance_AG Personalproduktivität + Headcounts_TP_IC_2013" xfId="13720" xr:uid="{00000000-0005-0000-0000-00008F350000}"/>
    <cellStyle name="_Data_Brewery Performance_B.IV.r" xfId="13721" xr:uid="{00000000-0005-0000-0000-000090350000}"/>
    <cellStyle name="_Data_Brewery Performance_B.IV.r 2" xfId="13722" xr:uid="{00000000-0005-0000-0000-000091350000}"/>
    <cellStyle name="_Data_Brewery Performance_B.IV.r 2 2" xfId="13723" xr:uid="{00000000-0005-0000-0000-000092350000}"/>
    <cellStyle name="_Data_Brewery Performance_B.IV.r_Accident frequency" xfId="13724" xr:uid="{00000000-0005-0000-0000-000093350000}"/>
    <cellStyle name="_Data_Brewery Performance_B.IV.r_Basis" xfId="13725" xr:uid="{00000000-0005-0000-0000-000094350000}"/>
    <cellStyle name="_Data_Brewery Performance_B.IV.r_Basis 2" xfId="13726" xr:uid="{00000000-0005-0000-0000-000095350000}"/>
    <cellStyle name="_Data_Brewery Performance_B.IV.r_Basis 2 2" xfId="13727" xr:uid="{00000000-0005-0000-0000-000096350000}"/>
    <cellStyle name="_Data_Brewery Performance_B.IV.r_Basis_packaging" xfId="13728" xr:uid="{00000000-0005-0000-0000-000097350000}"/>
    <cellStyle name="_Data_Brewery Performance_B.IV.r_Basis_packaging_Sheet5" xfId="13729" xr:uid="{00000000-0005-0000-0000-000098350000}"/>
    <cellStyle name="_Data_Brewery Performance_B.IV.r_Basis_RFFS SUBMISSION TO VPs" xfId="13730" xr:uid="{00000000-0005-0000-0000-000099350000}"/>
    <cellStyle name="_Data_Brewery Performance_B.IV.r_Basis_RFFS SUBMISSION TO VPs 2" xfId="13731" xr:uid="{00000000-0005-0000-0000-00009A350000}"/>
    <cellStyle name="_Data_Brewery Performance_B.IV.r_Basis_RFFS_SUBMISSION_TO_VPs _v2" xfId="13732" xr:uid="{00000000-0005-0000-0000-00009B350000}"/>
    <cellStyle name="_Data_Brewery Performance_B.IV.r_Basis_RFFS_SUBMISSION_TO_VPs _v2 2" xfId="13733" xr:uid="{00000000-0005-0000-0000-00009C350000}"/>
    <cellStyle name="_Data_Brewery Performance_B.IV.r_Basis_Sheet1" xfId="13734" xr:uid="{00000000-0005-0000-0000-00009D350000}"/>
    <cellStyle name="_Data_Brewery Performance_B.IV.r_Basis_Sheet5" xfId="13735" xr:uid="{00000000-0005-0000-0000-00009E350000}"/>
    <cellStyle name="_Data_Brewery Performance_B.IV.r_Basis_Sm Proj Cash Flow" xfId="13736" xr:uid="{00000000-0005-0000-0000-00009F350000}"/>
    <cellStyle name="_Data_Brewery Performance_B.IV.r_Basis_Spend Detail" xfId="13737" xr:uid="{00000000-0005-0000-0000-0000A0350000}"/>
    <cellStyle name="_Data_Brewery Performance_B.IV.r_Basis_SustainingProjectList" xfId="13738" xr:uid="{00000000-0005-0000-0000-0000A1350000}"/>
    <cellStyle name="_Data_Brewery Performance_B.IV.r_Copy of 081027 ZBB Budget 2009 Decks - People_Cherry_V4" xfId="13739" xr:uid="{00000000-0005-0000-0000-0000A2350000}"/>
    <cellStyle name="_Data_Brewery Performance_B.IV.r_Copy of 081027 ZBB Budget 2009 Decks - People_Cherry_V4 2" xfId="13740" xr:uid="{00000000-0005-0000-0000-0000A3350000}"/>
    <cellStyle name="_Data_Brewery Performance_B.IV.r_Copy of 081027 ZBB Budget 2009 Decks - People_Cherry_V4 2 2" xfId="13741" xr:uid="{00000000-0005-0000-0000-0000A4350000}"/>
    <cellStyle name="_Data_Brewery Performance_B.IV.r_Dominican Rep" xfId="13742" xr:uid="{00000000-0005-0000-0000-0000A5350000}"/>
    <cellStyle name="_Data_Brewery Performance_B.IV.r_packaging" xfId="13743" xr:uid="{00000000-0005-0000-0000-0000A6350000}"/>
    <cellStyle name="_Data_Brewery Performance_B.IV.r_RB&amp;JW_Produktionsplanung_LE1_2006 sortiert" xfId="13744" xr:uid="{00000000-0005-0000-0000-0000A7350000}"/>
    <cellStyle name="_Data_Brewery Performance_B.IV.r_RB&amp;JW_Produktionsplanung_LE1_2006 sortiert 2" xfId="13745" xr:uid="{00000000-0005-0000-0000-0000A8350000}"/>
    <cellStyle name="_Data_Brewery Performance_B.IV.r_RB&amp;JW_Produktionsplanung_LE1_2006 sortiert 2 2" xfId="13746" xr:uid="{00000000-0005-0000-0000-0000A9350000}"/>
    <cellStyle name="_Data_Brewery Performance_B.IV.r_RB&amp;JW_Produktionsplanung_LE1_2006 sortiert_packaging" xfId="13747" xr:uid="{00000000-0005-0000-0000-0000AA350000}"/>
    <cellStyle name="_Data_Brewery Performance_B.IV.r_RB&amp;JW_Produktionsplanung_LE1_2006 sortiert_packaging_Sheet5" xfId="13748" xr:uid="{00000000-0005-0000-0000-0000AB350000}"/>
    <cellStyle name="_Data_Brewery Performance_B.IV.r_RB&amp;JW_Produktionsplanung_LE1_2006 sortiert_RFFS SUBMISSION TO VPs" xfId="13749" xr:uid="{00000000-0005-0000-0000-0000AC350000}"/>
    <cellStyle name="_Data_Brewery Performance_B.IV.r_RB&amp;JW_Produktionsplanung_LE1_2006 sortiert_RFFS SUBMISSION TO VPs 2" xfId="13750" xr:uid="{00000000-0005-0000-0000-0000AD350000}"/>
    <cellStyle name="_Data_Brewery Performance_B.IV.r_RB&amp;JW_Produktionsplanung_LE1_2006 sortiert_RFFS_SUBMISSION_TO_VPs _v2" xfId="13751" xr:uid="{00000000-0005-0000-0000-0000AE350000}"/>
    <cellStyle name="_Data_Brewery Performance_B.IV.r_RB&amp;JW_Produktionsplanung_LE1_2006 sortiert_RFFS_SUBMISSION_TO_VPs _v2 2" xfId="13752" xr:uid="{00000000-0005-0000-0000-0000AF350000}"/>
    <cellStyle name="_Data_Brewery Performance_B.IV.r_RB&amp;JW_Produktionsplanung_LE1_2006 sortiert_Sheet1" xfId="13753" xr:uid="{00000000-0005-0000-0000-0000B0350000}"/>
    <cellStyle name="_Data_Brewery Performance_B.IV.r_RB&amp;JW_Produktionsplanung_LE1_2006 sortiert_Sheet5" xfId="13754" xr:uid="{00000000-0005-0000-0000-0000B1350000}"/>
    <cellStyle name="_Data_Brewery Performance_B.IV.r_RB&amp;JW_Produktionsplanung_LE1_2006 sortiert_Sm Proj Cash Flow" xfId="13755" xr:uid="{00000000-0005-0000-0000-0000B2350000}"/>
    <cellStyle name="_Data_Brewery Performance_B.IV.r_RB&amp;JW_Produktionsplanung_LE1_2006 sortiert_Spend Detail" xfId="13756" xr:uid="{00000000-0005-0000-0000-0000B3350000}"/>
    <cellStyle name="_Data_Brewery Performance_B.IV.r_RB&amp;JW_Produktionsplanung_LE1_2006 sortiert_SustainingProjectList" xfId="13757" xr:uid="{00000000-0005-0000-0000-0000B4350000}"/>
    <cellStyle name="_Data_Brewery Performance_B.IV.r_RFFS SUBMISSION TO VPs" xfId="13758" xr:uid="{00000000-0005-0000-0000-0000B5350000}"/>
    <cellStyle name="_Data_Brewery Performance_B.IV.r_RFFS SUBMISSION TO VPs 2" xfId="13759" xr:uid="{00000000-0005-0000-0000-0000B6350000}"/>
    <cellStyle name="_Data_Brewery Performance_B.IV.r_RFFS_SUBMISSION_TO_VPs _v2" xfId="13760" xr:uid="{00000000-0005-0000-0000-0000B7350000}"/>
    <cellStyle name="_Data_Brewery Performance_B.IV.r_RFFS_SUBMISSION_TO_VPs _v2 2" xfId="13761" xr:uid="{00000000-0005-0000-0000-0000B8350000}"/>
    <cellStyle name="_Data_Brewery Performance_B.IV.r_Sheet1" xfId="13762" xr:uid="{00000000-0005-0000-0000-0000B9350000}"/>
    <cellStyle name="_Data_Brewery Performance_B.IV.r_Sheet5" xfId="13763" xr:uid="{00000000-0005-0000-0000-0000BA350000}"/>
    <cellStyle name="_Data_Brewery Performance_B.IV.r_SKU Volumen" xfId="13764" xr:uid="{00000000-0005-0000-0000-0000BB350000}"/>
    <cellStyle name="_Data_Brewery Performance_B.IV.r_SKU Volumen 2" xfId="13765" xr:uid="{00000000-0005-0000-0000-0000BC350000}"/>
    <cellStyle name="_Data_Brewery Performance_B.IV.r_SKU Volumen_RFFS SUBMISSION TO VPs" xfId="13766" xr:uid="{00000000-0005-0000-0000-0000BD350000}"/>
    <cellStyle name="_Data_Brewery Performance_B.IV.r_SKU Volumen_RFFS SUBMISSION TO VPs 2" xfId="13767" xr:uid="{00000000-0005-0000-0000-0000BE350000}"/>
    <cellStyle name="_Data_Brewery Performance_B.IV.r_SKU Volumen_RFFS_SUBMISSION_TO_VPs _v2" xfId="13768" xr:uid="{00000000-0005-0000-0000-0000BF350000}"/>
    <cellStyle name="_Data_Brewery Performance_B.IV.r_SKU Volumen_RFFS_SUBMISSION_TO_VPs _v2 2" xfId="13769" xr:uid="{00000000-0005-0000-0000-0000C0350000}"/>
    <cellStyle name="_Data_Brewery Performance_B.IV.r_SKU Volumen_Sheet1" xfId="13770" xr:uid="{00000000-0005-0000-0000-0000C1350000}"/>
    <cellStyle name="_Data_Brewery Performance_B.IV.r_SKU Volumen_Sm Proj Cash Flow" xfId="13771" xr:uid="{00000000-0005-0000-0000-0000C2350000}"/>
    <cellStyle name="_Data_Brewery Performance_B.IV.r_SKU Volumen_Spend Detail" xfId="13772" xr:uid="{00000000-0005-0000-0000-0000C3350000}"/>
    <cellStyle name="_Data_Brewery Performance_B.IV.r_SKU Volumen_SustainingProjectList" xfId="13773" xr:uid="{00000000-0005-0000-0000-0000C4350000}"/>
    <cellStyle name="_Data_Brewery Performance_B.IV.r_SustainingProjectList" xfId="13774" xr:uid="{00000000-0005-0000-0000-0000C5350000}"/>
    <cellStyle name="_Data_Brewery Performance_B.IV.r_Tabelle1" xfId="13775" xr:uid="{00000000-0005-0000-0000-0000C6350000}"/>
    <cellStyle name="_Data_Brewery Performance_B.IV.r_Tabelle1 2" xfId="13776" xr:uid="{00000000-0005-0000-0000-0000C7350000}"/>
    <cellStyle name="_Data_Brewery Performance_B.IV.r_Tabelle1_RFFS SUBMISSION TO VPs" xfId="13777" xr:uid="{00000000-0005-0000-0000-0000C8350000}"/>
    <cellStyle name="_Data_Brewery Performance_B.IV.r_Tabelle1_RFFS SUBMISSION TO VPs 2" xfId="13778" xr:uid="{00000000-0005-0000-0000-0000C9350000}"/>
    <cellStyle name="_Data_Brewery Performance_B.IV.r_Tabelle1_RFFS_SUBMISSION_TO_VPs _v2" xfId="13779" xr:uid="{00000000-0005-0000-0000-0000CA350000}"/>
    <cellStyle name="_Data_Brewery Performance_B.IV.r_Tabelle1_RFFS_SUBMISSION_TO_VPs _v2 2" xfId="13780" xr:uid="{00000000-0005-0000-0000-0000CB350000}"/>
    <cellStyle name="_Data_Brewery Performance_B.IV.r_Tabelle1_Sheet1" xfId="13781" xr:uid="{00000000-0005-0000-0000-0000CC350000}"/>
    <cellStyle name="_Data_Brewery Performance_B.IV.r_Tabelle1_Sm Proj Cash Flow" xfId="13782" xr:uid="{00000000-0005-0000-0000-0000CD350000}"/>
    <cellStyle name="_Data_Brewery Performance_B.IV.r_Tabelle1_Spend Detail" xfId="13783" xr:uid="{00000000-0005-0000-0000-0000CE350000}"/>
    <cellStyle name="_Data_Brewery Performance_B.IV.r_Tabelle1_SustainingProjectList" xfId="13784" xr:uid="{00000000-0005-0000-0000-0000CF350000}"/>
    <cellStyle name="_Data_Brewery Performance_B.IV.r_TP_IC_2013" xfId="13785" xr:uid="{00000000-0005-0000-0000-0000D0350000}"/>
    <cellStyle name="_Data_Brewery Performance_B.IV.r_ZBB Budget 2009 Decks" xfId="13786" xr:uid="{00000000-0005-0000-0000-0000D1350000}"/>
    <cellStyle name="_Data_Brewery Performance_B.IV.r_ZBB Budget 2009 Decks 2" xfId="13787" xr:uid="{00000000-0005-0000-0000-0000D2350000}"/>
    <cellStyle name="_Data_Brewery Performance_B.IV.r_ZBB Budget 2009 Decks 2 2" xfId="13788" xr:uid="{00000000-0005-0000-0000-0000D3350000}"/>
    <cellStyle name="_Data_Brewery Performance_B.IV.r_ZBB Budget 2009 Decks_with Korea Scope in (Only LE)" xfId="13789" xr:uid="{00000000-0005-0000-0000-0000D4350000}"/>
    <cellStyle name="_Data_Brewery Performance_B.IV.r_ZBB Budget 2009 Decks_with Korea Scope in (Only LE) (2)" xfId="13790" xr:uid="{00000000-0005-0000-0000-0000D5350000}"/>
    <cellStyle name="_Data_Brewery Performance_B.IV.r_ZBB Budget 2009 Decks_with Korea Scope in (Only LE) (2) 2" xfId="13791" xr:uid="{00000000-0005-0000-0000-0000D6350000}"/>
    <cellStyle name="_Data_Brewery Performance_B.IV.r_ZBB Budget 2009 Decks_with Korea Scope in (Only LE) (2) 2 2" xfId="13792" xr:uid="{00000000-0005-0000-0000-0000D7350000}"/>
    <cellStyle name="_Data_Brewery Performance_B.IV.r_ZBB Budget 2009 Decks_with Korea Scope in (Only LE) 2" xfId="13793" xr:uid="{00000000-0005-0000-0000-0000D8350000}"/>
    <cellStyle name="_Data_Brewery Performance_B.IV.r_ZBB Budget 2009 Decks_with Korea Scope in (Only LE) 2 2" xfId="13794" xr:uid="{00000000-0005-0000-0000-0000D9350000}"/>
    <cellStyle name="_Data_Brewery Performance_B.IV.r_ZBB Budget 2009 Decks_with Korea Scope in (Only LE) 3" xfId="13795" xr:uid="{00000000-0005-0000-0000-0000DA350000}"/>
    <cellStyle name="_Data_Brewery Performance_B.IV.r_ZBB Budget 2009 Decks_with Korea Scope in (Only LE) 3 2" xfId="13796" xr:uid="{00000000-0005-0000-0000-0000DB350000}"/>
    <cellStyle name="_Data_Brewery Performance_B.IV.r_ZBB Budget 2009 Decks_with Korea Scope in (Only LE) 4" xfId="13797" xr:uid="{00000000-0005-0000-0000-0000DC350000}"/>
    <cellStyle name="_Data_Brewery Performance_B.IV.r_ZBB Budget 2009 Decks_with Korea Scope in (Only LE) 5" xfId="13798" xr:uid="{00000000-0005-0000-0000-0000DD350000}"/>
    <cellStyle name="_Data_Brewery Performance_Basis" xfId="13799" xr:uid="{00000000-0005-0000-0000-0000DE350000}"/>
    <cellStyle name="_Data_Brewery Performance_Basis 2" xfId="13800" xr:uid="{00000000-0005-0000-0000-0000DF350000}"/>
    <cellStyle name="_Data_Brewery Performance_Basis 2 2" xfId="13801" xr:uid="{00000000-0005-0000-0000-0000E0350000}"/>
    <cellStyle name="_Data_Brewery Performance_Basis_packaging" xfId="13802" xr:uid="{00000000-0005-0000-0000-0000E1350000}"/>
    <cellStyle name="_Data_Brewery Performance_Basis_packaging_Sheet5" xfId="13803" xr:uid="{00000000-0005-0000-0000-0000E2350000}"/>
    <cellStyle name="_Data_Brewery Performance_Basis_RFFS SUBMISSION TO VPs" xfId="13804" xr:uid="{00000000-0005-0000-0000-0000E3350000}"/>
    <cellStyle name="_Data_Brewery Performance_Basis_RFFS SUBMISSION TO VPs 2" xfId="13805" xr:uid="{00000000-0005-0000-0000-0000E4350000}"/>
    <cellStyle name="_Data_Brewery Performance_Basis_RFFS_SUBMISSION_TO_VPs _v2" xfId="13806" xr:uid="{00000000-0005-0000-0000-0000E5350000}"/>
    <cellStyle name="_Data_Brewery Performance_Basis_RFFS_SUBMISSION_TO_VPs _v2 2" xfId="13807" xr:uid="{00000000-0005-0000-0000-0000E6350000}"/>
    <cellStyle name="_Data_Brewery Performance_Basis_Sheet1" xfId="13808" xr:uid="{00000000-0005-0000-0000-0000E7350000}"/>
    <cellStyle name="_Data_Brewery Performance_Basis_Sheet5" xfId="13809" xr:uid="{00000000-0005-0000-0000-0000E8350000}"/>
    <cellStyle name="_Data_Brewery Performance_Basis_Sm Proj Cash Flow" xfId="13810" xr:uid="{00000000-0005-0000-0000-0000E9350000}"/>
    <cellStyle name="_Data_Brewery Performance_Basis_Spend Detail" xfId="13811" xr:uid="{00000000-0005-0000-0000-0000EA350000}"/>
    <cellStyle name="_Data_Brewery Performance_Basis_SustainingProjectList" xfId="13812" xr:uid="{00000000-0005-0000-0000-0000EB350000}"/>
    <cellStyle name="_Data_Brewery Performance_Beck" xfId="13813" xr:uid="{00000000-0005-0000-0000-0000EC350000}"/>
    <cellStyle name="_Data_Brewery Performance_Beck 2" xfId="13814" xr:uid="{00000000-0005-0000-0000-0000ED350000}"/>
    <cellStyle name="_Data_Brewery Performance_Beck_packaging" xfId="13815" xr:uid="{00000000-0005-0000-0000-0000EE350000}"/>
    <cellStyle name="_Data_Brewery Performance_Beck_RFFS SUBMISSION TO VPs" xfId="13816" xr:uid="{00000000-0005-0000-0000-0000EF350000}"/>
    <cellStyle name="_Data_Brewery Performance_Beck_RFFS SUBMISSION TO VPs 2" xfId="13817" xr:uid="{00000000-0005-0000-0000-0000F0350000}"/>
    <cellStyle name="_Data_Brewery Performance_Beck_RFFS_SUBMISSION_TO_VPs _v2" xfId="13818" xr:uid="{00000000-0005-0000-0000-0000F1350000}"/>
    <cellStyle name="_Data_Brewery Performance_Beck_RFFS_SUBMISSION_TO_VPs _v2 2" xfId="13819" xr:uid="{00000000-0005-0000-0000-0000F2350000}"/>
    <cellStyle name="_Data_Brewery Performance_Beck_Sheet1" xfId="13820" xr:uid="{00000000-0005-0000-0000-0000F3350000}"/>
    <cellStyle name="_Data_Brewery Performance_Beck_Sheet5" xfId="13821" xr:uid="{00000000-0005-0000-0000-0000F4350000}"/>
    <cellStyle name="_Data_Brewery Performance_Beck_SustainingProjectList" xfId="13822" xr:uid="{00000000-0005-0000-0000-0000F5350000}"/>
    <cellStyle name="_Data_Brewery Performance_Beck_TP_IC_2013" xfId="13823" xr:uid="{00000000-0005-0000-0000-0000F6350000}"/>
    <cellStyle name="_Data_Brewery Performance_Becks" xfId="13824" xr:uid="{00000000-0005-0000-0000-0000F7350000}"/>
    <cellStyle name="_Data_Brewery Performance_Becks (OR)" xfId="13825" xr:uid="{00000000-0005-0000-0000-0000F8350000}"/>
    <cellStyle name="_Data_Brewery Performance_Becks (OR) 2" xfId="13826" xr:uid="{00000000-0005-0000-0000-0000F9350000}"/>
    <cellStyle name="_Data_Brewery Performance_Becks (OR)_packaging" xfId="13827" xr:uid="{00000000-0005-0000-0000-0000FA350000}"/>
    <cellStyle name="_Data_Brewery Performance_Becks (OR)_RFFS SUBMISSION TO VPs" xfId="13828" xr:uid="{00000000-0005-0000-0000-0000FB350000}"/>
    <cellStyle name="_Data_Brewery Performance_Becks (OR)_RFFS SUBMISSION TO VPs 2" xfId="13829" xr:uid="{00000000-0005-0000-0000-0000FC350000}"/>
    <cellStyle name="_Data_Brewery Performance_Becks (OR)_RFFS_SUBMISSION_TO_VPs _v2" xfId="13830" xr:uid="{00000000-0005-0000-0000-0000FD350000}"/>
    <cellStyle name="_Data_Brewery Performance_Becks (OR)_RFFS_SUBMISSION_TO_VPs _v2 2" xfId="13831" xr:uid="{00000000-0005-0000-0000-0000FE350000}"/>
    <cellStyle name="_Data_Brewery Performance_Becks (OR)_Sheet1" xfId="13832" xr:uid="{00000000-0005-0000-0000-0000FF350000}"/>
    <cellStyle name="_Data_Brewery Performance_Becks (OR)_Sheet5" xfId="13833" xr:uid="{00000000-0005-0000-0000-000000360000}"/>
    <cellStyle name="_Data_Brewery Performance_Becks (OR)_SustainingProjectList" xfId="13834" xr:uid="{00000000-0005-0000-0000-000001360000}"/>
    <cellStyle name="_Data_Brewery Performance_Becks (OR)_TP_IC_2013" xfId="13835" xr:uid="{00000000-0005-0000-0000-000002360000}"/>
    <cellStyle name="_Data_Brewery Performance_Becks 10" xfId="13836" xr:uid="{00000000-0005-0000-0000-000003360000}"/>
    <cellStyle name="_Data_Brewery Performance_Becks 2" xfId="13837" xr:uid="{00000000-0005-0000-0000-000004360000}"/>
    <cellStyle name="_Data_Brewery Performance_Becks 3" xfId="13838" xr:uid="{00000000-0005-0000-0000-000005360000}"/>
    <cellStyle name="_Data_Brewery Performance_Becks 4" xfId="13839" xr:uid="{00000000-0005-0000-0000-000006360000}"/>
    <cellStyle name="_Data_Brewery Performance_Becks 5" xfId="13840" xr:uid="{00000000-0005-0000-0000-000007360000}"/>
    <cellStyle name="_Data_Brewery Performance_Becks 6" xfId="13841" xr:uid="{00000000-0005-0000-0000-000008360000}"/>
    <cellStyle name="_Data_Brewery Performance_Becks 7" xfId="13842" xr:uid="{00000000-0005-0000-0000-000009360000}"/>
    <cellStyle name="_Data_Brewery Performance_Becks 8" xfId="13843" xr:uid="{00000000-0005-0000-0000-00000A360000}"/>
    <cellStyle name="_Data_Brewery Performance_Becks 9" xfId="13844" xr:uid="{00000000-0005-0000-0000-00000B360000}"/>
    <cellStyle name="_Data_Brewery Performance_Becks_packaging" xfId="13845" xr:uid="{00000000-0005-0000-0000-00000C360000}"/>
    <cellStyle name="_Data_Brewery Performance_Becks_RFFS SUBMISSION TO VPs" xfId="13846" xr:uid="{00000000-0005-0000-0000-00000D360000}"/>
    <cellStyle name="_Data_Brewery Performance_Becks_RFFS SUBMISSION TO VPs 2" xfId="13847" xr:uid="{00000000-0005-0000-0000-00000E360000}"/>
    <cellStyle name="_Data_Brewery Performance_Becks_RFFS_SUBMISSION_TO_VPs _v2" xfId="13848" xr:uid="{00000000-0005-0000-0000-00000F360000}"/>
    <cellStyle name="_Data_Brewery Performance_Becks_RFFS_SUBMISSION_TO_VPs _v2 2" xfId="13849" xr:uid="{00000000-0005-0000-0000-000010360000}"/>
    <cellStyle name="_Data_Brewery Performance_Becks_Sheet1" xfId="13850" xr:uid="{00000000-0005-0000-0000-000011360000}"/>
    <cellStyle name="_Data_Brewery Performance_Becks_Sheet5" xfId="13851" xr:uid="{00000000-0005-0000-0000-000012360000}"/>
    <cellStyle name="_Data_Brewery Performance_Becks_SustainingProjectList" xfId="13852" xr:uid="{00000000-0005-0000-0000-000013360000}"/>
    <cellStyle name="_Data_Brewery Performance_Becks_TP_IC_2013" xfId="13853" xr:uid="{00000000-0005-0000-0000-000014360000}"/>
    <cellStyle name="_Data_Brewery Performance_BGT 08 Templates Sales  Marketing - final (revised)" xfId="13854" xr:uid="{00000000-0005-0000-0000-000015360000}"/>
    <cellStyle name="_Data_Brewery Performance_BGT 08 Templates Sales  Marketing - final (revised) 2" xfId="13855" xr:uid="{00000000-0005-0000-0000-000016360000}"/>
    <cellStyle name="_Data_Brewery Performance_BGT 08 Templates Sales  Marketing - final (revised) 2 2" xfId="13856" xr:uid="{00000000-0005-0000-0000-000017360000}"/>
    <cellStyle name="_Data_Brewery Performance_BGT 08 Templates Sales  Marketing - final (revised) 3" xfId="13857" xr:uid="{00000000-0005-0000-0000-000018360000}"/>
    <cellStyle name="_Data_Brewery Performance_BGT 08 Templates Sales  Marketing - final (revised) 3 2" xfId="13858" xr:uid="{00000000-0005-0000-0000-000019360000}"/>
    <cellStyle name="_Data_Brewery Performance_BGT 08 Templates Sales  Marketing - final (revised) 3 3" xfId="13859" xr:uid="{00000000-0005-0000-0000-00001A360000}"/>
    <cellStyle name="_Data_Brewery Performance_BGT 08 Templates Sales  Marketing - final (revised) 3 3 2" xfId="13860" xr:uid="{00000000-0005-0000-0000-00001B360000}"/>
    <cellStyle name="_Data_Brewery Performance_BGT 08 Templates Sales  Marketing - final (revised) 4" xfId="13861" xr:uid="{00000000-0005-0000-0000-00001C360000}"/>
    <cellStyle name="_Data_Brewery Performance_BGT 08 Templates Sales  Marketing - final (revised) 4 2" xfId="13862" xr:uid="{00000000-0005-0000-0000-00001D360000}"/>
    <cellStyle name="_Data_Brewery Performance_Book5" xfId="13863" xr:uid="{00000000-0005-0000-0000-00001E360000}"/>
    <cellStyle name="_Data_Brewery Performance_Book5 2" xfId="13864" xr:uid="{00000000-0005-0000-0000-00001F360000}"/>
    <cellStyle name="_Data_Brewery Performance_Book5 2 2" xfId="13865" xr:uid="{00000000-0005-0000-0000-000020360000}"/>
    <cellStyle name="_Data_Brewery Performance_Bplan RD 1001" xfId="13866" xr:uid="{00000000-0005-0000-0000-000021360000}"/>
    <cellStyle name="_Data_Brewery Performance_Bplan RD 1001 2" xfId="13867" xr:uid="{00000000-0005-0000-0000-000022360000}"/>
    <cellStyle name="_Data_Brewery Performance_Bplan RD 1001 2 2" xfId="13868" xr:uid="{00000000-0005-0000-0000-000023360000}"/>
    <cellStyle name="_Data_Brewery Performance_Budget 07" xfId="13869" xr:uid="{00000000-0005-0000-0000-000024360000}"/>
    <cellStyle name="_Data_Brewery Performance_Budget 07 2" xfId="13870" xr:uid="{00000000-0005-0000-0000-000025360000}"/>
    <cellStyle name="_Data_Brewery Performance_Budget 07 Org" xfId="13871" xr:uid="{00000000-0005-0000-0000-000026360000}"/>
    <cellStyle name="_Data_Brewery Performance_Budget 07 Org 2" xfId="13872" xr:uid="{00000000-0005-0000-0000-000027360000}"/>
    <cellStyle name="_Data_Brewery Performance_Budget 07 Org_Sheet1" xfId="13873" xr:uid="{00000000-0005-0000-0000-000028360000}"/>
    <cellStyle name="_Data_Brewery Performance_Budget 07 Org_SustainingProjectList" xfId="13874" xr:uid="{00000000-0005-0000-0000-000029360000}"/>
    <cellStyle name="_Data_Brewery Performance_Budget 07_Sheet1" xfId="13875" xr:uid="{00000000-0005-0000-0000-00002A360000}"/>
    <cellStyle name="_Data_Brewery Performance_Budget 07_SustainingProjectList" xfId="13876" xr:uid="{00000000-0005-0000-0000-00002B360000}"/>
    <cellStyle name="_Data_Brewery Performance_Capacity B.IV.j Interbrew Germany Grond" xfId="13877" xr:uid="{00000000-0005-0000-0000-00002C360000}"/>
    <cellStyle name="_Data_Brewery Performance_Capacity B.IV.j Interbrew Germany Grond_packaging" xfId="13878" xr:uid="{00000000-0005-0000-0000-00002D360000}"/>
    <cellStyle name="_Data_Brewery Performance_Capacity B.IV.j Interbrew Germany Grond_RFFS SUBMISSION TO VPs" xfId="13879" xr:uid="{00000000-0005-0000-0000-00002E360000}"/>
    <cellStyle name="_Data_Brewery Performance_Capacity B.IV.j Interbrew Germany Grond_RFFS_SUBMISSION_TO_VPs _v2" xfId="13880" xr:uid="{00000000-0005-0000-0000-00002F360000}"/>
    <cellStyle name="_Data_Brewery Performance_Capex ZBB Style - 1st Tier" xfId="13881" xr:uid="{00000000-0005-0000-0000-000030360000}"/>
    <cellStyle name="_Data_Brewery Performance_Capex ZBB Style - 1st Tier 2" xfId="13882" xr:uid="{00000000-0005-0000-0000-000031360000}"/>
    <cellStyle name="_Data_Brewery Performance_Capex ZBB Style - 2nd Tier" xfId="13883" xr:uid="{00000000-0005-0000-0000-000032360000}"/>
    <cellStyle name="_Data_Brewery Performance_Capex ZBB Style - 2nd Tier 2" xfId="13884" xr:uid="{00000000-0005-0000-0000-000033360000}"/>
    <cellStyle name="_Data_Brewery Performance_Capex ZBB Style - 2nd Tier_Sheet1" xfId="13885" xr:uid="{00000000-0005-0000-0000-000034360000}"/>
    <cellStyle name="_Data_Brewery Performance_Capex ZBB Style - 2nd Tier_SustainingProjectList" xfId="13886" xr:uid="{00000000-0005-0000-0000-000035360000}"/>
    <cellStyle name="_Data_Brewery Performance_Capex ZBB Style - Cemex" xfId="13887" xr:uid="{00000000-0005-0000-0000-000036360000}"/>
    <cellStyle name="_Data_Brewery Performance_Capex ZBB Style - Cemex 2" xfId="13888" xr:uid="{00000000-0005-0000-0000-000037360000}"/>
    <cellStyle name="_Data_Brewery Performance_Capex ZBB Style - Consumer" xfId="13889" xr:uid="{00000000-0005-0000-0000-000038360000}"/>
    <cellStyle name="_Data_Brewery Performance_Capex ZBB Style - Consumer 2" xfId="13890" xr:uid="{00000000-0005-0000-0000-000039360000}"/>
    <cellStyle name="_Data_Brewery Performance_Capex ZBB Style - Consumer_Croatia_Sep4" xfId="13891" xr:uid="{00000000-0005-0000-0000-00003A360000}"/>
    <cellStyle name="_Data_Brewery Performance_Capex ZBB Style - Consumer_Croatia_Sep4 2" xfId="13892" xr:uid="{00000000-0005-0000-0000-00003B360000}"/>
    <cellStyle name="_Data_Brewery Performance_Capex ZBB Style - Consumer_Croatia_Sep4_Sheet1" xfId="13893" xr:uid="{00000000-0005-0000-0000-00003C360000}"/>
    <cellStyle name="_Data_Brewery Performance_Capex ZBB Style - Consumer_Croatia_Sep4_SustainingProjectList" xfId="13894" xr:uid="{00000000-0005-0000-0000-00003D360000}"/>
    <cellStyle name="_Data_Brewery Performance_Capex ZBB Style - Returnable Packaging" xfId="13895" xr:uid="{00000000-0005-0000-0000-00003E360000}"/>
    <cellStyle name="_Data_Brewery Performance_Capex ZBB Style - Returnable Packaging 2" xfId="13896" xr:uid="{00000000-0005-0000-0000-00003F360000}"/>
    <cellStyle name="_Data_Brewery Performance_Copy of BGT 08 Templates Sales  Marketing - final (revised)" xfId="13897" xr:uid="{00000000-0005-0000-0000-000040360000}"/>
    <cellStyle name="_Data_Brewery Performance_Copy of BGT 08 Templates Sales  Marketing - final (revised) 2" xfId="13898" xr:uid="{00000000-0005-0000-0000-000041360000}"/>
    <cellStyle name="_Data_Brewery Performance_Copy of BGT 08 Templates Sales  Marketing - final (revised) 2 2" xfId="13899" xr:uid="{00000000-0005-0000-0000-000042360000}"/>
    <cellStyle name="_Data_Brewery Performance_Copy of BGT 08 Templates Sales  Marketing - final (revised) 3" xfId="13900" xr:uid="{00000000-0005-0000-0000-000043360000}"/>
    <cellStyle name="_Data_Brewery Performance_Copy of BGT 08 Templates Sales  Marketing - final (revised) 3 2" xfId="13901" xr:uid="{00000000-0005-0000-0000-000044360000}"/>
    <cellStyle name="_Data_Brewery Performance_Copy of BGT 08 Templates Sales  Marketing - final (revised) 3 3" xfId="13902" xr:uid="{00000000-0005-0000-0000-000045360000}"/>
    <cellStyle name="_Data_Brewery Performance_Copy of BGT 08 Templates Sales  Marketing - final (revised) 3 3 2" xfId="13903" xr:uid="{00000000-0005-0000-0000-000046360000}"/>
    <cellStyle name="_Data_Brewery Performance_Copy of BGT 08 Templates Sales  Marketing - final (revised) 4" xfId="13904" xr:uid="{00000000-0005-0000-0000-000047360000}"/>
    <cellStyle name="_Data_Brewery Performance_Copy of BGT 08 Templates Sales  Marketing - final (revised) 4 2" xfId="13905" xr:uid="{00000000-0005-0000-0000-000048360000}"/>
    <cellStyle name="_Data_Brewery Performance_Demand" xfId="13906" xr:uid="{00000000-0005-0000-0000-000049360000}"/>
    <cellStyle name="_Data_Brewery Performance_Demand 2" xfId="13907" xr:uid="{00000000-0005-0000-0000-00004A360000}"/>
    <cellStyle name="_Data_Brewery Performance_Demand_Sheet1" xfId="13908" xr:uid="{00000000-0005-0000-0000-00004B360000}"/>
    <cellStyle name="_Data_Brewery Performance_Demand_SustainingProjectList" xfId="13909" xr:uid="{00000000-0005-0000-0000-00004C360000}"/>
    <cellStyle name="_Data_Brewery Performance_details" xfId="13910" xr:uid="{00000000-0005-0000-0000-00004D360000}"/>
    <cellStyle name="_Data_Brewery Performance_Excel sheets to support Market Program Template for Budget 09" xfId="13911" xr:uid="{00000000-0005-0000-0000-00004E360000}"/>
    <cellStyle name="_Data_Brewery Performance_Excel sheets to support Market Program Template for Budget 09 (5) (2)" xfId="13912" xr:uid="{00000000-0005-0000-0000-00004F360000}"/>
    <cellStyle name="_Data_Brewery Performance_Excel sheets to support Market Program Template for Budget 09 (5) (2) 2" xfId="13913" xr:uid="{00000000-0005-0000-0000-000050360000}"/>
    <cellStyle name="_Data_Brewery Performance_Excel sheets to support Market Program Template for Budget 09 (5) (2) 2 2" xfId="13914" xr:uid="{00000000-0005-0000-0000-000051360000}"/>
    <cellStyle name="_Data_Brewery Performance_Excel sheets to support Market Program Template for Budget 09 (5) (3)" xfId="13915" xr:uid="{00000000-0005-0000-0000-000052360000}"/>
    <cellStyle name="_Data_Brewery Performance_Excel sheets to support Market Program Template for Budget 09 (5) (3) 2" xfId="13916" xr:uid="{00000000-0005-0000-0000-000053360000}"/>
    <cellStyle name="_Data_Brewery Performance_Excel sheets to support Market Program Template for Budget 09 (5) (3) 2 2" xfId="13917" xr:uid="{00000000-0005-0000-0000-000054360000}"/>
    <cellStyle name="_Data_Brewery Performance_Excel sheets to support Market Program Template for Budget 09 10" xfId="13918" xr:uid="{00000000-0005-0000-0000-000055360000}"/>
    <cellStyle name="_Data_Brewery Performance_Excel sheets to support Market Program Template for Budget 09 11" xfId="13919" xr:uid="{00000000-0005-0000-0000-000056360000}"/>
    <cellStyle name="_Data_Brewery Performance_Excel sheets to support Market Program Template for Budget 09 11 2" xfId="13920" xr:uid="{00000000-0005-0000-0000-000057360000}"/>
    <cellStyle name="_Data_Brewery Performance_Excel sheets to support Market Program Template for Budget 09 12" xfId="13921" xr:uid="{00000000-0005-0000-0000-000058360000}"/>
    <cellStyle name="_Data_Brewery Performance_Excel sheets to support Market Program Template for Budget 09 12 2" xfId="13922" xr:uid="{00000000-0005-0000-0000-000059360000}"/>
    <cellStyle name="_Data_Brewery Performance_Excel sheets to support Market Program Template for Budget 09 13" xfId="13923" xr:uid="{00000000-0005-0000-0000-00005A360000}"/>
    <cellStyle name="_Data_Brewery Performance_Excel sheets to support Market Program Template for Budget 09 13 2" xfId="13924" xr:uid="{00000000-0005-0000-0000-00005B360000}"/>
    <cellStyle name="_Data_Brewery Performance_Excel sheets to support Market Program Template for Budget 09 14" xfId="13925" xr:uid="{00000000-0005-0000-0000-00005C360000}"/>
    <cellStyle name="_Data_Brewery Performance_Excel sheets to support Market Program Template for Budget 09 14 2" xfId="13926" xr:uid="{00000000-0005-0000-0000-00005D360000}"/>
    <cellStyle name="_Data_Brewery Performance_Excel sheets to support Market Program Template for Budget 09 2" xfId="13927" xr:uid="{00000000-0005-0000-0000-00005E360000}"/>
    <cellStyle name="_Data_Brewery Performance_Excel sheets to support Market Program Template for Budget 09 2 2" xfId="13928" xr:uid="{00000000-0005-0000-0000-00005F360000}"/>
    <cellStyle name="_Data_Brewery Performance_Excel sheets to support Market Program Template for Budget 09 3" xfId="13929" xr:uid="{00000000-0005-0000-0000-000060360000}"/>
    <cellStyle name="_Data_Brewery Performance_Excel sheets to support Market Program Template for Budget 09 3 2" xfId="13930" xr:uid="{00000000-0005-0000-0000-000061360000}"/>
    <cellStyle name="_Data_Brewery Performance_Excel sheets to support Market Program Template for Budget 09 4" xfId="13931" xr:uid="{00000000-0005-0000-0000-000062360000}"/>
    <cellStyle name="_Data_Brewery Performance_Excel sheets to support Market Program Template for Budget 09 5" xfId="13932" xr:uid="{00000000-0005-0000-0000-000063360000}"/>
    <cellStyle name="_Data_Brewery Performance_Excel sheets to support Market Program Template for Budget 09 5 2" xfId="13933" xr:uid="{00000000-0005-0000-0000-000064360000}"/>
    <cellStyle name="_Data_Brewery Performance_Excel sheets to support Market Program Template for Budget 09 5 3" xfId="13934" xr:uid="{00000000-0005-0000-0000-000065360000}"/>
    <cellStyle name="_Data_Brewery Performance_Excel sheets to support Market Program Template for Budget 09 5 3 2" xfId="13935" xr:uid="{00000000-0005-0000-0000-000066360000}"/>
    <cellStyle name="_Data_Brewery Performance_Excel sheets to support Market Program Template for Budget 09 6" xfId="13936" xr:uid="{00000000-0005-0000-0000-000067360000}"/>
    <cellStyle name="_Data_Brewery Performance_Excel sheets to support Market Program Template for Budget 09 6 2" xfId="13937" xr:uid="{00000000-0005-0000-0000-000068360000}"/>
    <cellStyle name="_Data_Brewery Performance_Excel sheets to support Market Program Template for Budget 09 6 3" xfId="13938" xr:uid="{00000000-0005-0000-0000-000069360000}"/>
    <cellStyle name="_Data_Brewery Performance_Excel sheets to support Market Program Template for Budget 09 6 3 2" xfId="13939" xr:uid="{00000000-0005-0000-0000-00006A360000}"/>
    <cellStyle name="_Data_Brewery Performance_Excel sheets to support Market Program Template for Budget 09 7" xfId="13940" xr:uid="{00000000-0005-0000-0000-00006B360000}"/>
    <cellStyle name="_Data_Brewery Performance_Excel sheets to support Market Program Template for Budget 09 8" xfId="13941" xr:uid="{00000000-0005-0000-0000-00006C360000}"/>
    <cellStyle name="_Data_Brewery Performance_Excel sheets to support Market Program Template for Budget 09 9" xfId="13942" xr:uid="{00000000-0005-0000-0000-00006D360000}"/>
    <cellStyle name="_Data_Brewery Performance_Franz Ist" xfId="13943" xr:uid="{00000000-0005-0000-0000-00006E360000}"/>
    <cellStyle name="_Data_Brewery Performance_Franz Ist 2" xfId="13944" xr:uid="{00000000-0005-0000-0000-00006F360000}"/>
    <cellStyle name="_Data_Brewery Performance_Franz Ist_Sheet1" xfId="13945" xr:uid="{00000000-0005-0000-0000-000070360000}"/>
    <cellStyle name="_Data_Brewery Performance_Franz Ist_SustainingProjectList" xfId="13946" xr:uid="{00000000-0005-0000-0000-000071360000}"/>
    <cellStyle name="_Data_Brewery Performance_Free Worksheet" xfId="13947" xr:uid="{00000000-0005-0000-0000-000072360000}"/>
    <cellStyle name="_Data_Brewery Performance_GH Budget 2007 volumes per month-SKU-Cost Center" xfId="13948" xr:uid="{00000000-0005-0000-0000-000073360000}"/>
    <cellStyle name="_Data_Brewery Performance_GLY per filling line" xfId="13949" xr:uid="{00000000-0005-0000-0000-000074360000}"/>
    <cellStyle name="_Data_Brewery Performance_GLY per filling line_packaging" xfId="13950" xr:uid="{00000000-0005-0000-0000-000075360000}"/>
    <cellStyle name="_Data_Brewery Performance_hlN aktuell ab 1-04" xfId="13951" xr:uid="{00000000-0005-0000-0000-000076360000}"/>
    <cellStyle name="_Data_Brewery Performance_hlN aktuell ab 1-04_packaging" xfId="13952" xr:uid="{00000000-0005-0000-0000-000077360000}"/>
    <cellStyle name="_Data_Brewery Performance_hlN aktuell ab 2-03" xfId="13953" xr:uid="{00000000-0005-0000-0000-000078360000}"/>
    <cellStyle name="_Data_Brewery Performance_hlN aktuell ab 2-03_packaging" xfId="13954" xr:uid="{00000000-0005-0000-0000-000079360000}"/>
    <cellStyle name="_Data_Brewery Performance_Ist 05" xfId="13955" xr:uid="{00000000-0005-0000-0000-00007A360000}"/>
    <cellStyle name="_Data_Brewery Performance_Ist 05 2" xfId="13956" xr:uid="{00000000-0005-0000-0000-00007B360000}"/>
    <cellStyle name="_Data_Brewery Performance_Ist 05_Sheet1" xfId="13957" xr:uid="{00000000-0005-0000-0000-00007C360000}"/>
    <cellStyle name="_Data_Brewery Performance_Ist 05_SustainingProjectList" xfId="13958" xr:uid="{00000000-0005-0000-0000-00007D360000}"/>
    <cellStyle name="_Data_Brewery Performance_Ist 06" xfId="13959" xr:uid="{00000000-0005-0000-0000-00007E360000}"/>
    <cellStyle name="_Data_Brewery Performance_Ist 06 2" xfId="13960" xr:uid="{00000000-0005-0000-0000-00007F360000}"/>
    <cellStyle name="_Data_Brewery Performance_Ist 06_Sheet1" xfId="13961" xr:uid="{00000000-0005-0000-0000-000080360000}"/>
    <cellStyle name="_Data_Brewery Performance_Ist 06_SustainingProjectList" xfId="13962" xr:uid="{00000000-0005-0000-0000-000081360000}"/>
    <cellStyle name="_Data_Brewery Performance_Keg Dynamische Bedarfsplanung Budget 2008 2.8.2007" xfId="13963" xr:uid="{00000000-0005-0000-0000-000082360000}"/>
    <cellStyle name="_Data_Brewery Performance_KPI-Dez02-Bremen Vorbereitungsdatei" xfId="13964" xr:uid="{00000000-0005-0000-0000-000083360000}"/>
    <cellStyle name="_Data_Brewery Performance_KPI-Dez02-Bremen Vorbereitungsdatei 2" xfId="13965" xr:uid="{00000000-0005-0000-0000-000084360000}"/>
    <cellStyle name="_Data_Brewery Performance_KPI-Dez02-Bremen Vorbereitungsdatei 2 2" xfId="13966" xr:uid="{00000000-0005-0000-0000-000085360000}"/>
    <cellStyle name="_Data_Brewery Performance_KPI-Dez02-Bremen Vorbereitungsdatei_Accident frequency" xfId="13967" xr:uid="{00000000-0005-0000-0000-000086360000}"/>
    <cellStyle name="_Data_Brewery Performance_KPI-Dez02-Bremen Vorbereitungsdatei_Basis" xfId="13968" xr:uid="{00000000-0005-0000-0000-000087360000}"/>
    <cellStyle name="_Data_Brewery Performance_KPI-Dez02-Bremen Vorbereitungsdatei_Basis 2" xfId="13969" xr:uid="{00000000-0005-0000-0000-000088360000}"/>
    <cellStyle name="_Data_Brewery Performance_KPI-Dez02-Bremen Vorbereitungsdatei_Basis 2 2" xfId="13970" xr:uid="{00000000-0005-0000-0000-000089360000}"/>
    <cellStyle name="_Data_Brewery Performance_KPI-Dez02-Bremen Vorbereitungsdatei_Basis_packaging" xfId="13971" xr:uid="{00000000-0005-0000-0000-00008A360000}"/>
    <cellStyle name="_Data_Brewery Performance_KPI-Dez02-Bremen Vorbereitungsdatei_Basis_packaging_Sheet5" xfId="13972" xr:uid="{00000000-0005-0000-0000-00008B360000}"/>
    <cellStyle name="_Data_Brewery Performance_KPI-Dez02-Bremen Vorbereitungsdatei_Basis_RFFS SUBMISSION TO VPs" xfId="13973" xr:uid="{00000000-0005-0000-0000-00008C360000}"/>
    <cellStyle name="_Data_Brewery Performance_KPI-Dez02-Bremen Vorbereitungsdatei_Basis_RFFS SUBMISSION TO VPs 2" xfId="13974" xr:uid="{00000000-0005-0000-0000-00008D360000}"/>
    <cellStyle name="_Data_Brewery Performance_KPI-Dez02-Bremen Vorbereitungsdatei_Basis_RFFS_SUBMISSION_TO_VPs _v2" xfId="13975" xr:uid="{00000000-0005-0000-0000-00008E360000}"/>
    <cellStyle name="_Data_Brewery Performance_KPI-Dez02-Bremen Vorbereitungsdatei_Basis_RFFS_SUBMISSION_TO_VPs _v2 2" xfId="13976" xr:uid="{00000000-0005-0000-0000-00008F360000}"/>
    <cellStyle name="_Data_Brewery Performance_KPI-Dez02-Bremen Vorbereitungsdatei_Basis_Sheet1" xfId="13977" xr:uid="{00000000-0005-0000-0000-000090360000}"/>
    <cellStyle name="_Data_Brewery Performance_KPI-Dez02-Bremen Vorbereitungsdatei_Basis_Sheet5" xfId="13978" xr:uid="{00000000-0005-0000-0000-000091360000}"/>
    <cellStyle name="_Data_Brewery Performance_KPI-Dez02-Bremen Vorbereitungsdatei_Basis_Sm Proj Cash Flow" xfId="13979" xr:uid="{00000000-0005-0000-0000-000092360000}"/>
    <cellStyle name="_Data_Brewery Performance_KPI-Dez02-Bremen Vorbereitungsdatei_Basis_Spend Detail" xfId="13980" xr:uid="{00000000-0005-0000-0000-000093360000}"/>
    <cellStyle name="_Data_Brewery Performance_KPI-Dez02-Bremen Vorbereitungsdatei_Basis_SustainingProjectList" xfId="13981" xr:uid="{00000000-0005-0000-0000-000094360000}"/>
    <cellStyle name="_Data_Brewery Performance_KPI-Dez02-Bremen Vorbereitungsdatei_Copy of 081027 ZBB Budget 2009 Decks - People_Cherry_V4" xfId="13982" xr:uid="{00000000-0005-0000-0000-000095360000}"/>
    <cellStyle name="_Data_Brewery Performance_KPI-Dez02-Bremen Vorbereitungsdatei_Copy of 081027 ZBB Budget 2009 Decks - People_Cherry_V4 2" xfId="13983" xr:uid="{00000000-0005-0000-0000-000096360000}"/>
    <cellStyle name="_Data_Brewery Performance_KPI-Dez02-Bremen Vorbereitungsdatei_Copy of 081027 ZBB Budget 2009 Decks - People_Cherry_V4 2 2" xfId="13984" xr:uid="{00000000-0005-0000-0000-000097360000}"/>
    <cellStyle name="_Data_Brewery Performance_KPI-Dez02-Bremen Vorbereitungsdatei_Dominican Rep" xfId="13985" xr:uid="{00000000-0005-0000-0000-000098360000}"/>
    <cellStyle name="_Data_Brewery Performance_KPI-Dez02-Bremen Vorbereitungsdatei_packaging" xfId="13986" xr:uid="{00000000-0005-0000-0000-000099360000}"/>
    <cellStyle name="_Data_Brewery Performance_KPI-Dez02-Bremen Vorbereitungsdatei_RB&amp;JW_Produktionsplanung_LE1_2006 sortiert" xfId="13987" xr:uid="{00000000-0005-0000-0000-00009A360000}"/>
    <cellStyle name="_Data_Brewery Performance_KPI-Dez02-Bremen Vorbereitungsdatei_RB&amp;JW_Produktionsplanung_LE1_2006 sortiert 2" xfId="13988" xr:uid="{00000000-0005-0000-0000-00009B360000}"/>
    <cellStyle name="_Data_Brewery Performance_KPI-Dez02-Bremen Vorbereitungsdatei_RB&amp;JW_Produktionsplanung_LE1_2006 sortiert 2 2" xfId="13989" xr:uid="{00000000-0005-0000-0000-00009C360000}"/>
    <cellStyle name="_Data_Brewery Performance_KPI-Dez02-Bremen Vorbereitungsdatei_RB&amp;JW_Produktionsplanung_LE1_2006 sortiert_packaging" xfId="13990" xr:uid="{00000000-0005-0000-0000-00009D360000}"/>
    <cellStyle name="_Data_Brewery Performance_KPI-Dez02-Bremen Vorbereitungsdatei_RB&amp;JW_Produktionsplanung_LE1_2006 sortiert_packaging_Sheet5" xfId="13991" xr:uid="{00000000-0005-0000-0000-00009E360000}"/>
    <cellStyle name="_Data_Brewery Performance_KPI-Dez02-Bremen Vorbereitungsdatei_RB&amp;JW_Produktionsplanung_LE1_2006 sortiert_RFFS SUBMISSION TO VPs" xfId="13992" xr:uid="{00000000-0005-0000-0000-00009F360000}"/>
    <cellStyle name="_Data_Brewery Performance_KPI-Dez02-Bremen Vorbereitungsdatei_RB&amp;JW_Produktionsplanung_LE1_2006 sortiert_RFFS SUBMISSION TO VPs 2" xfId="13993" xr:uid="{00000000-0005-0000-0000-0000A0360000}"/>
    <cellStyle name="_Data_Brewery Performance_KPI-Dez02-Bremen Vorbereitungsdatei_RB&amp;JW_Produktionsplanung_LE1_2006 sortiert_RFFS_SUBMISSION_TO_VPs _v2" xfId="13994" xr:uid="{00000000-0005-0000-0000-0000A1360000}"/>
    <cellStyle name="_Data_Brewery Performance_KPI-Dez02-Bremen Vorbereitungsdatei_RB&amp;JW_Produktionsplanung_LE1_2006 sortiert_RFFS_SUBMISSION_TO_VPs _v2 2" xfId="13995" xr:uid="{00000000-0005-0000-0000-0000A2360000}"/>
    <cellStyle name="_Data_Brewery Performance_KPI-Dez02-Bremen Vorbereitungsdatei_RB&amp;JW_Produktionsplanung_LE1_2006 sortiert_Sheet1" xfId="13996" xr:uid="{00000000-0005-0000-0000-0000A3360000}"/>
    <cellStyle name="_Data_Brewery Performance_KPI-Dez02-Bremen Vorbereitungsdatei_RB&amp;JW_Produktionsplanung_LE1_2006 sortiert_Sheet5" xfId="13997" xr:uid="{00000000-0005-0000-0000-0000A4360000}"/>
    <cellStyle name="_Data_Brewery Performance_KPI-Dez02-Bremen Vorbereitungsdatei_RB&amp;JW_Produktionsplanung_LE1_2006 sortiert_Sm Proj Cash Flow" xfId="13998" xr:uid="{00000000-0005-0000-0000-0000A5360000}"/>
    <cellStyle name="_Data_Brewery Performance_KPI-Dez02-Bremen Vorbereitungsdatei_RB&amp;JW_Produktionsplanung_LE1_2006 sortiert_Spend Detail" xfId="13999" xr:uid="{00000000-0005-0000-0000-0000A6360000}"/>
    <cellStyle name="_Data_Brewery Performance_KPI-Dez02-Bremen Vorbereitungsdatei_RB&amp;JW_Produktionsplanung_LE1_2006 sortiert_SustainingProjectList" xfId="14000" xr:uid="{00000000-0005-0000-0000-0000A7360000}"/>
    <cellStyle name="_Data_Brewery Performance_KPI-Dez02-Bremen Vorbereitungsdatei_RFFS SUBMISSION TO VPs" xfId="14001" xr:uid="{00000000-0005-0000-0000-0000A8360000}"/>
    <cellStyle name="_Data_Brewery Performance_KPI-Dez02-Bremen Vorbereitungsdatei_RFFS SUBMISSION TO VPs 2" xfId="14002" xr:uid="{00000000-0005-0000-0000-0000A9360000}"/>
    <cellStyle name="_Data_Brewery Performance_KPI-Dez02-Bremen Vorbereitungsdatei_RFFS_SUBMISSION_TO_VPs _v2" xfId="14003" xr:uid="{00000000-0005-0000-0000-0000AA360000}"/>
    <cellStyle name="_Data_Brewery Performance_KPI-Dez02-Bremen Vorbereitungsdatei_RFFS_SUBMISSION_TO_VPs _v2 2" xfId="14004" xr:uid="{00000000-0005-0000-0000-0000AB360000}"/>
    <cellStyle name="_Data_Brewery Performance_KPI-Dez02-Bremen Vorbereitungsdatei_Sheet1" xfId="14005" xr:uid="{00000000-0005-0000-0000-0000AC360000}"/>
    <cellStyle name="_Data_Brewery Performance_KPI-Dez02-Bremen Vorbereitungsdatei_Sheet5" xfId="14006" xr:uid="{00000000-0005-0000-0000-0000AD360000}"/>
    <cellStyle name="_Data_Brewery Performance_KPI-Dez02-Bremen Vorbereitungsdatei_SKU Volumen" xfId="14007" xr:uid="{00000000-0005-0000-0000-0000AE360000}"/>
    <cellStyle name="_Data_Brewery Performance_KPI-Dez02-Bremen Vorbereitungsdatei_SKU Volumen 2" xfId="14008" xr:uid="{00000000-0005-0000-0000-0000AF360000}"/>
    <cellStyle name="_Data_Brewery Performance_KPI-Dez02-Bremen Vorbereitungsdatei_SKU Volumen_RFFS SUBMISSION TO VPs" xfId="14009" xr:uid="{00000000-0005-0000-0000-0000B0360000}"/>
    <cellStyle name="_Data_Brewery Performance_KPI-Dez02-Bremen Vorbereitungsdatei_SKU Volumen_RFFS SUBMISSION TO VPs 2" xfId="14010" xr:uid="{00000000-0005-0000-0000-0000B1360000}"/>
    <cellStyle name="_Data_Brewery Performance_KPI-Dez02-Bremen Vorbereitungsdatei_SKU Volumen_RFFS_SUBMISSION_TO_VPs _v2" xfId="14011" xr:uid="{00000000-0005-0000-0000-0000B2360000}"/>
    <cellStyle name="_Data_Brewery Performance_KPI-Dez02-Bremen Vorbereitungsdatei_SKU Volumen_RFFS_SUBMISSION_TO_VPs _v2 2" xfId="14012" xr:uid="{00000000-0005-0000-0000-0000B3360000}"/>
    <cellStyle name="_Data_Brewery Performance_KPI-Dez02-Bremen Vorbereitungsdatei_SKU Volumen_Sheet1" xfId="14013" xr:uid="{00000000-0005-0000-0000-0000B4360000}"/>
    <cellStyle name="_Data_Brewery Performance_KPI-Dez02-Bremen Vorbereitungsdatei_SKU Volumen_Sm Proj Cash Flow" xfId="14014" xr:uid="{00000000-0005-0000-0000-0000B5360000}"/>
    <cellStyle name="_Data_Brewery Performance_KPI-Dez02-Bremen Vorbereitungsdatei_SKU Volumen_Spend Detail" xfId="14015" xr:uid="{00000000-0005-0000-0000-0000B6360000}"/>
    <cellStyle name="_Data_Brewery Performance_KPI-Dez02-Bremen Vorbereitungsdatei_SKU Volumen_SustainingProjectList" xfId="14016" xr:uid="{00000000-0005-0000-0000-0000B7360000}"/>
    <cellStyle name="_Data_Brewery Performance_KPI-Dez02-Bremen Vorbereitungsdatei_SustainingProjectList" xfId="14017" xr:uid="{00000000-0005-0000-0000-0000B8360000}"/>
    <cellStyle name="_Data_Brewery Performance_KPI-Dez02-Bremen Vorbereitungsdatei_Tabelle1" xfId="14018" xr:uid="{00000000-0005-0000-0000-0000B9360000}"/>
    <cellStyle name="_Data_Brewery Performance_KPI-Dez02-Bremen Vorbereitungsdatei_Tabelle1 2" xfId="14019" xr:uid="{00000000-0005-0000-0000-0000BA360000}"/>
    <cellStyle name="_Data_Brewery Performance_KPI-Dez02-Bremen Vorbereitungsdatei_Tabelle1_RFFS SUBMISSION TO VPs" xfId="14020" xr:uid="{00000000-0005-0000-0000-0000BB360000}"/>
    <cellStyle name="_Data_Brewery Performance_KPI-Dez02-Bremen Vorbereitungsdatei_Tabelle1_RFFS SUBMISSION TO VPs 2" xfId="14021" xr:uid="{00000000-0005-0000-0000-0000BC360000}"/>
    <cellStyle name="_Data_Brewery Performance_KPI-Dez02-Bremen Vorbereitungsdatei_Tabelle1_RFFS_SUBMISSION_TO_VPs _v2" xfId="14022" xr:uid="{00000000-0005-0000-0000-0000BD360000}"/>
    <cellStyle name="_Data_Brewery Performance_KPI-Dez02-Bremen Vorbereitungsdatei_Tabelle1_RFFS_SUBMISSION_TO_VPs _v2 2" xfId="14023" xr:uid="{00000000-0005-0000-0000-0000BE360000}"/>
    <cellStyle name="_Data_Brewery Performance_KPI-Dez02-Bremen Vorbereitungsdatei_Tabelle1_Sheet1" xfId="14024" xr:uid="{00000000-0005-0000-0000-0000BF360000}"/>
    <cellStyle name="_Data_Brewery Performance_KPI-Dez02-Bremen Vorbereitungsdatei_Tabelle1_Sm Proj Cash Flow" xfId="14025" xr:uid="{00000000-0005-0000-0000-0000C0360000}"/>
    <cellStyle name="_Data_Brewery Performance_KPI-Dez02-Bremen Vorbereitungsdatei_Tabelle1_Spend Detail" xfId="14026" xr:uid="{00000000-0005-0000-0000-0000C1360000}"/>
    <cellStyle name="_Data_Brewery Performance_KPI-Dez02-Bremen Vorbereitungsdatei_Tabelle1_SustainingProjectList" xfId="14027" xr:uid="{00000000-0005-0000-0000-0000C2360000}"/>
    <cellStyle name="_Data_Brewery Performance_KPI-Dez02-Bremen Vorbereitungsdatei_TP_IC_2013" xfId="14028" xr:uid="{00000000-0005-0000-0000-0000C3360000}"/>
    <cellStyle name="_Data_Brewery Performance_KPI-Dez02-Bremen Vorbereitungsdatei_ZBB Budget 2009 Decks" xfId="14029" xr:uid="{00000000-0005-0000-0000-0000C4360000}"/>
    <cellStyle name="_Data_Brewery Performance_KPI-Dez02-Bremen Vorbereitungsdatei_ZBB Budget 2009 Decks 2" xfId="14030" xr:uid="{00000000-0005-0000-0000-0000C5360000}"/>
    <cellStyle name="_Data_Brewery Performance_KPI-Dez02-Bremen Vorbereitungsdatei_ZBB Budget 2009 Decks 2 2" xfId="14031" xr:uid="{00000000-0005-0000-0000-0000C6360000}"/>
    <cellStyle name="_Data_Brewery Performance_KPI-Dez02-Bremen Vorbereitungsdatei_ZBB Budget 2009 Decks_with Korea Scope in (Only LE)" xfId="14032" xr:uid="{00000000-0005-0000-0000-0000C7360000}"/>
    <cellStyle name="_Data_Brewery Performance_KPI-Dez02-Bremen Vorbereitungsdatei_ZBB Budget 2009 Decks_with Korea Scope in (Only LE) (2)" xfId="14033" xr:uid="{00000000-0005-0000-0000-0000C8360000}"/>
    <cellStyle name="_Data_Brewery Performance_KPI-Dez02-Bremen Vorbereitungsdatei_ZBB Budget 2009 Decks_with Korea Scope in (Only LE) (2) 2" xfId="14034" xr:uid="{00000000-0005-0000-0000-0000C9360000}"/>
    <cellStyle name="_Data_Brewery Performance_KPI-Dez02-Bremen Vorbereitungsdatei_ZBB Budget 2009 Decks_with Korea Scope in (Only LE) (2) 2 2" xfId="14035" xr:uid="{00000000-0005-0000-0000-0000CA360000}"/>
    <cellStyle name="_Data_Brewery Performance_KPI-Dez02-Bremen Vorbereitungsdatei_ZBB Budget 2009 Decks_with Korea Scope in (Only LE) 2" xfId="14036" xr:uid="{00000000-0005-0000-0000-0000CB360000}"/>
    <cellStyle name="_Data_Brewery Performance_KPI-Dez02-Bremen Vorbereitungsdatei_ZBB Budget 2009 Decks_with Korea Scope in (Only LE) 2 2" xfId="14037" xr:uid="{00000000-0005-0000-0000-0000CC360000}"/>
    <cellStyle name="_Data_Brewery Performance_KPI-Dez02-Bremen Vorbereitungsdatei_ZBB Budget 2009 Decks_with Korea Scope in (Only LE) 3" xfId="14038" xr:uid="{00000000-0005-0000-0000-0000CD360000}"/>
    <cellStyle name="_Data_Brewery Performance_KPI-Dez02-Bremen Vorbereitungsdatei_ZBB Budget 2009 Decks_with Korea Scope in (Only LE) 3 2" xfId="14039" xr:uid="{00000000-0005-0000-0000-0000CE360000}"/>
    <cellStyle name="_Data_Brewery Performance_KPI-Dez02-Bremen Vorbereitungsdatei_ZBB Budget 2009 Decks_with Korea Scope in (Only LE) 4" xfId="14040" xr:uid="{00000000-0005-0000-0000-0000CF360000}"/>
    <cellStyle name="_Data_Brewery Performance_KPI-Dez02-Bremen Vorbereitungsdatei_ZBB Budget 2009 Decks_with Korea Scope in (Only LE) 5" xfId="14041" xr:uid="{00000000-0005-0000-0000-0000D0360000}"/>
    <cellStyle name="_Data_Brewery Performance_LE Ebitda RD Feb-10 v2" xfId="14042" xr:uid="{00000000-0005-0000-0000-0000D1360000}"/>
    <cellStyle name="_Data_Brewery Performance_LE Ebitda RD Feb-10 v2 2" xfId="14043" xr:uid="{00000000-0005-0000-0000-0000D2360000}"/>
    <cellStyle name="_Data_Brewery Performance_LE Ebitda RD Feb-10 v2 2 2" xfId="14044" xr:uid="{00000000-0005-0000-0000-0000D3360000}"/>
    <cellStyle name="_Data_Brewery Performance_LE1 2007" xfId="14045" xr:uid="{00000000-0005-0000-0000-0000D4360000}"/>
    <cellStyle name="_Data_Brewery Performance_MF Personal 2004 bis 2007" xfId="14046" xr:uid="{00000000-0005-0000-0000-0000D5360000}"/>
    <cellStyle name="_Data_Brewery Performance_MF Personal 2004 bis 2007 2" xfId="14047" xr:uid="{00000000-0005-0000-0000-0000D6360000}"/>
    <cellStyle name="_Data_Brewery Performance_MF Personal 2004 bis 2007_packaging" xfId="14048" xr:uid="{00000000-0005-0000-0000-0000D7360000}"/>
    <cellStyle name="_Data_Brewery Performance_MF Personal 2004 bis 2007_Sheet1" xfId="14049" xr:uid="{00000000-0005-0000-0000-0000D8360000}"/>
    <cellStyle name="_Data_Brewery Performance_MF Personal 2004 bis 2007_Sheet5" xfId="14050" xr:uid="{00000000-0005-0000-0000-0000D9360000}"/>
    <cellStyle name="_Data_Brewery Performance_MF Personal 2004 bis 2007_TP_IC_2013" xfId="14051" xr:uid="{00000000-0005-0000-0000-0000DA360000}"/>
    <cellStyle name="_Data_Brewery Performance_Neu" xfId="14052" xr:uid="{00000000-0005-0000-0000-0000DB360000}"/>
    <cellStyle name="_Data_Brewery Performance_Neu_packaging" xfId="14053" xr:uid="{00000000-0005-0000-0000-0000DC360000}"/>
    <cellStyle name="_Data_Brewery Performance_NNT_LE'08_1605vsBGT'09_1713" xfId="14054" xr:uid="{00000000-0005-0000-0000-0000DD360000}"/>
    <cellStyle name="_Data_Brewery Performance_NNT_LE'08_1605vsBGT'09_1713 2" xfId="14055" xr:uid="{00000000-0005-0000-0000-0000DE360000}"/>
    <cellStyle name="_Data_Brewery Performance_NNT_LE'08_1605vsBGT'09_1713 3" xfId="14056" xr:uid="{00000000-0005-0000-0000-0000DF360000}"/>
    <cellStyle name="_Data_Brewery Performance_NNT_LE'08_1605vsBGT'09_1713 3 2" xfId="14057" xr:uid="{00000000-0005-0000-0000-0000E0360000}"/>
    <cellStyle name="_Data_Brewery Performance_NNT_LE'08_1605vsBGT'09_1713 3 3" xfId="14058" xr:uid="{00000000-0005-0000-0000-0000E1360000}"/>
    <cellStyle name="_Data_Brewery Performance_NNT_LE'08_1605vsBGT'09_1713 3 3 2" xfId="14059" xr:uid="{00000000-0005-0000-0000-0000E2360000}"/>
    <cellStyle name="_Data_Brewery Performance_NNT_LE'08_1605vsBGT'09_1713 4" xfId="14060" xr:uid="{00000000-0005-0000-0000-0000E3360000}"/>
    <cellStyle name="_Data_Brewery Performance_NNT_LE'08_1605vsBGT'09_1713 4 2" xfId="14061" xr:uid="{00000000-0005-0000-0000-0000E4360000}"/>
    <cellStyle name="_Data_Brewery Performance_packaging" xfId="14062" xr:uid="{00000000-0005-0000-0000-0000E5360000}"/>
    <cellStyle name="_Data_Brewery Performance_People Package" xfId="14063" xr:uid="{00000000-0005-0000-0000-0000E6360000}"/>
    <cellStyle name="_Data_Brewery Performance_People Package (2)" xfId="14064" xr:uid="{00000000-0005-0000-0000-0000E7360000}"/>
    <cellStyle name="_Data_Brewery Performance_People Package (2) 2" xfId="14065" xr:uid="{00000000-0005-0000-0000-0000E8360000}"/>
    <cellStyle name="_Data_Brewery Performance_People Package (2) 2 2" xfId="14066" xr:uid="{00000000-0005-0000-0000-0000E9360000}"/>
    <cellStyle name="_Data_Brewery Performance_People Package 2" xfId="14067" xr:uid="{00000000-0005-0000-0000-0000EA360000}"/>
    <cellStyle name="_Data_Brewery Performance_People Package 2 2" xfId="14068" xr:uid="{00000000-0005-0000-0000-0000EB360000}"/>
    <cellStyle name="_Data_Brewery Performance_People Package 3" xfId="14069" xr:uid="{00000000-0005-0000-0000-0000EC360000}"/>
    <cellStyle name="_Data_Brewery Performance_People Package 3 2" xfId="14070" xr:uid="{00000000-0005-0000-0000-0000ED360000}"/>
    <cellStyle name="_Data_Brewery Performance_People Package 4" xfId="14071" xr:uid="{00000000-0005-0000-0000-0000EE360000}"/>
    <cellStyle name="_Data_Brewery Performance_People Package 5" xfId="14072" xr:uid="{00000000-0005-0000-0000-0000EF360000}"/>
    <cellStyle name="_Data_Brewery Performance_Prodhier Deutschland" xfId="14073" xr:uid="{00000000-0005-0000-0000-0000F0360000}"/>
    <cellStyle name="_Data_Brewery Performance_RB&amp;JW_Produktionsplanung_LE1_2006 sortiert" xfId="14074" xr:uid="{00000000-0005-0000-0000-0000F1360000}"/>
    <cellStyle name="_Data_Brewery Performance_RB&amp;JW_Produktionsplanung_LE1_2006 sortiert 2" xfId="14075" xr:uid="{00000000-0005-0000-0000-0000F2360000}"/>
    <cellStyle name="_Data_Brewery Performance_RB&amp;JW_Produktionsplanung_LE1_2006 sortiert 2 2" xfId="14076" xr:uid="{00000000-0005-0000-0000-0000F3360000}"/>
    <cellStyle name="_Data_Brewery Performance_RB&amp;JW_Produktionsplanung_LE1_2006 sortiert_packaging" xfId="14077" xr:uid="{00000000-0005-0000-0000-0000F4360000}"/>
    <cellStyle name="_Data_Brewery Performance_RB&amp;JW_Produktionsplanung_LE1_2006 sortiert_packaging_Sheet5" xfId="14078" xr:uid="{00000000-0005-0000-0000-0000F5360000}"/>
    <cellStyle name="_Data_Brewery Performance_RB&amp;JW_Produktionsplanung_LE1_2006 sortiert_RFFS SUBMISSION TO VPs" xfId="14079" xr:uid="{00000000-0005-0000-0000-0000F6360000}"/>
    <cellStyle name="_Data_Brewery Performance_RB&amp;JW_Produktionsplanung_LE1_2006 sortiert_RFFS SUBMISSION TO VPs 2" xfId="14080" xr:uid="{00000000-0005-0000-0000-0000F7360000}"/>
    <cellStyle name="_Data_Brewery Performance_RB&amp;JW_Produktionsplanung_LE1_2006 sortiert_RFFS_SUBMISSION_TO_VPs _v2" xfId="14081" xr:uid="{00000000-0005-0000-0000-0000F8360000}"/>
    <cellStyle name="_Data_Brewery Performance_RB&amp;JW_Produktionsplanung_LE1_2006 sortiert_RFFS_SUBMISSION_TO_VPs _v2 2" xfId="14082" xr:uid="{00000000-0005-0000-0000-0000F9360000}"/>
    <cellStyle name="_Data_Brewery Performance_RB&amp;JW_Produktionsplanung_LE1_2006 sortiert_Sheet1" xfId="14083" xr:uid="{00000000-0005-0000-0000-0000FA360000}"/>
    <cellStyle name="_Data_Brewery Performance_RB&amp;JW_Produktionsplanung_LE1_2006 sortiert_Sheet5" xfId="14084" xr:uid="{00000000-0005-0000-0000-0000FB360000}"/>
    <cellStyle name="_Data_Brewery Performance_RB&amp;JW_Produktionsplanung_LE1_2006 sortiert_Sm Proj Cash Flow" xfId="14085" xr:uid="{00000000-0005-0000-0000-0000FC360000}"/>
    <cellStyle name="_Data_Brewery Performance_RB&amp;JW_Produktionsplanung_LE1_2006 sortiert_Spend Detail" xfId="14086" xr:uid="{00000000-0005-0000-0000-0000FD360000}"/>
    <cellStyle name="_Data_Brewery Performance_RB&amp;JW_Produktionsplanung_LE1_2006 sortiert_SustainingProjectList" xfId="14087" xr:uid="{00000000-0005-0000-0000-0000FE360000}"/>
    <cellStyle name="_Data_Brewery Performance_Rest" xfId="14088" xr:uid="{00000000-0005-0000-0000-0000FF360000}"/>
    <cellStyle name="_Data_Brewery Performance_Rest 2" xfId="14089" xr:uid="{00000000-0005-0000-0000-000000370000}"/>
    <cellStyle name="_Data_Brewery Performance_Rest 2 2" xfId="14090" xr:uid="{00000000-0005-0000-0000-000001370000}"/>
    <cellStyle name="_Data_Brewery Performance_Rest_Accident frequency" xfId="14091" xr:uid="{00000000-0005-0000-0000-000002370000}"/>
    <cellStyle name="_Data_Brewery Performance_Rest_Basis" xfId="14092" xr:uid="{00000000-0005-0000-0000-000003370000}"/>
    <cellStyle name="_Data_Brewery Performance_Rest_Basis 2" xfId="14093" xr:uid="{00000000-0005-0000-0000-000004370000}"/>
    <cellStyle name="_Data_Brewery Performance_Rest_Basis 2 2" xfId="14094" xr:uid="{00000000-0005-0000-0000-000005370000}"/>
    <cellStyle name="_Data_Brewery Performance_Rest_Basis_packaging" xfId="14095" xr:uid="{00000000-0005-0000-0000-000006370000}"/>
    <cellStyle name="_Data_Brewery Performance_Rest_Basis_packaging_Sheet5" xfId="14096" xr:uid="{00000000-0005-0000-0000-000007370000}"/>
    <cellStyle name="_Data_Brewery Performance_Rest_Basis_RFFS SUBMISSION TO VPs" xfId="14097" xr:uid="{00000000-0005-0000-0000-000008370000}"/>
    <cellStyle name="_Data_Brewery Performance_Rest_Basis_RFFS SUBMISSION TO VPs 2" xfId="14098" xr:uid="{00000000-0005-0000-0000-000009370000}"/>
    <cellStyle name="_Data_Brewery Performance_Rest_Basis_RFFS_SUBMISSION_TO_VPs _v2" xfId="14099" xr:uid="{00000000-0005-0000-0000-00000A370000}"/>
    <cellStyle name="_Data_Brewery Performance_Rest_Basis_RFFS_SUBMISSION_TO_VPs _v2 2" xfId="14100" xr:uid="{00000000-0005-0000-0000-00000B370000}"/>
    <cellStyle name="_Data_Brewery Performance_Rest_Basis_Sheet1" xfId="14101" xr:uid="{00000000-0005-0000-0000-00000C370000}"/>
    <cellStyle name="_Data_Brewery Performance_Rest_Basis_Sheet5" xfId="14102" xr:uid="{00000000-0005-0000-0000-00000D370000}"/>
    <cellStyle name="_Data_Brewery Performance_Rest_Basis_Sm Proj Cash Flow" xfId="14103" xr:uid="{00000000-0005-0000-0000-00000E370000}"/>
    <cellStyle name="_Data_Brewery Performance_Rest_Basis_Spend Detail" xfId="14104" xr:uid="{00000000-0005-0000-0000-00000F370000}"/>
    <cellStyle name="_Data_Brewery Performance_Rest_Basis_SustainingProjectList" xfId="14105" xr:uid="{00000000-0005-0000-0000-000010370000}"/>
    <cellStyle name="_Data_Brewery Performance_Rest_Copy of 081027 ZBB Budget 2009 Decks - People_Cherry_V4" xfId="14106" xr:uid="{00000000-0005-0000-0000-000011370000}"/>
    <cellStyle name="_Data_Brewery Performance_Rest_Copy of 081027 ZBB Budget 2009 Decks - People_Cherry_V4 2" xfId="14107" xr:uid="{00000000-0005-0000-0000-000012370000}"/>
    <cellStyle name="_Data_Brewery Performance_Rest_Copy of 081027 ZBB Budget 2009 Decks - People_Cherry_V4 2 2" xfId="14108" xr:uid="{00000000-0005-0000-0000-000013370000}"/>
    <cellStyle name="_Data_Brewery Performance_Rest_Dominican Rep" xfId="14109" xr:uid="{00000000-0005-0000-0000-000014370000}"/>
    <cellStyle name="_Data_Brewery Performance_Rest_packaging" xfId="14110" xr:uid="{00000000-0005-0000-0000-000015370000}"/>
    <cellStyle name="_Data_Brewery Performance_Rest_RB&amp;JW_Produktionsplanung_LE1_2006 sortiert" xfId="14111" xr:uid="{00000000-0005-0000-0000-000016370000}"/>
    <cellStyle name="_Data_Brewery Performance_Rest_RB&amp;JW_Produktionsplanung_LE1_2006 sortiert 2" xfId="14112" xr:uid="{00000000-0005-0000-0000-000017370000}"/>
    <cellStyle name="_Data_Brewery Performance_Rest_RB&amp;JW_Produktionsplanung_LE1_2006 sortiert 2 2" xfId="14113" xr:uid="{00000000-0005-0000-0000-000018370000}"/>
    <cellStyle name="_Data_Brewery Performance_Rest_RB&amp;JW_Produktionsplanung_LE1_2006 sortiert_packaging" xfId="14114" xr:uid="{00000000-0005-0000-0000-000019370000}"/>
    <cellStyle name="_Data_Brewery Performance_Rest_RB&amp;JW_Produktionsplanung_LE1_2006 sortiert_packaging_Sheet5" xfId="14115" xr:uid="{00000000-0005-0000-0000-00001A370000}"/>
    <cellStyle name="_Data_Brewery Performance_Rest_RB&amp;JW_Produktionsplanung_LE1_2006 sortiert_RFFS SUBMISSION TO VPs" xfId="14116" xr:uid="{00000000-0005-0000-0000-00001B370000}"/>
    <cellStyle name="_Data_Brewery Performance_Rest_RB&amp;JW_Produktionsplanung_LE1_2006 sortiert_RFFS SUBMISSION TO VPs 2" xfId="14117" xr:uid="{00000000-0005-0000-0000-00001C370000}"/>
    <cellStyle name="_Data_Brewery Performance_Rest_RB&amp;JW_Produktionsplanung_LE1_2006 sortiert_RFFS_SUBMISSION_TO_VPs _v2" xfId="14118" xr:uid="{00000000-0005-0000-0000-00001D370000}"/>
    <cellStyle name="_Data_Brewery Performance_Rest_RB&amp;JW_Produktionsplanung_LE1_2006 sortiert_RFFS_SUBMISSION_TO_VPs _v2 2" xfId="14119" xr:uid="{00000000-0005-0000-0000-00001E370000}"/>
    <cellStyle name="_Data_Brewery Performance_Rest_RB&amp;JW_Produktionsplanung_LE1_2006 sortiert_Sheet1" xfId="14120" xr:uid="{00000000-0005-0000-0000-00001F370000}"/>
    <cellStyle name="_Data_Brewery Performance_Rest_RB&amp;JW_Produktionsplanung_LE1_2006 sortiert_Sheet5" xfId="14121" xr:uid="{00000000-0005-0000-0000-000020370000}"/>
    <cellStyle name="_Data_Brewery Performance_Rest_RB&amp;JW_Produktionsplanung_LE1_2006 sortiert_Sm Proj Cash Flow" xfId="14122" xr:uid="{00000000-0005-0000-0000-000021370000}"/>
    <cellStyle name="_Data_Brewery Performance_Rest_RB&amp;JW_Produktionsplanung_LE1_2006 sortiert_Spend Detail" xfId="14123" xr:uid="{00000000-0005-0000-0000-000022370000}"/>
    <cellStyle name="_Data_Brewery Performance_Rest_RB&amp;JW_Produktionsplanung_LE1_2006 sortiert_SustainingProjectList" xfId="14124" xr:uid="{00000000-0005-0000-0000-000023370000}"/>
    <cellStyle name="_Data_Brewery Performance_Rest_RFFS SUBMISSION TO VPs" xfId="14125" xr:uid="{00000000-0005-0000-0000-000024370000}"/>
    <cellStyle name="_Data_Brewery Performance_Rest_RFFS SUBMISSION TO VPs 2" xfId="14126" xr:uid="{00000000-0005-0000-0000-000025370000}"/>
    <cellStyle name="_Data_Brewery Performance_Rest_RFFS_SUBMISSION_TO_VPs _v2" xfId="14127" xr:uid="{00000000-0005-0000-0000-000026370000}"/>
    <cellStyle name="_Data_Brewery Performance_Rest_RFFS_SUBMISSION_TO_VPs _v2 2" xfId="14128" xr:uid="{00000000-0005-0000-0000-000027370000}"/>
    <cellStyle name="_Data_Brewery Performance_Rest_Sheet1" xfId="14129" xr:uid="{00000000-0005-0000-0000-000028370000}"/>
    <cellStyle name="_Data_Brewery Performance_Rest_Sheet5" xfId="14130" xr:uid="{00000000-0005-0000-0000-000029370000}"/>
    <cellStyle name="_Data_Brewery Performance_Rest_SKU Volumen" xfId="14131" xr:uid="{00000000-0005-0000-0000-00002A370000}"/>
    <cellStyle name="_Data_Brewery Performance_Rest_SKU Volumen 2" xfId="14132" xr:uid="{00000000-0005-0000-0000-00002B370000}"/>
    <cellStyle name="_Data_Brewery Performance_Rest_SKU Volumen_RFFS SUBMISSION TO VPs" xfId="14133" xr:uid="{00000000-0005-0000-0000-00002C370000}"/>
    <cellStyle name="_Data_Brewery Performance_Rest_SKU Volumen_RFFS SUBMISSION TO VPs 2" xfId="14134" xr:uid="{00000000-0005-0000-0000-00002D370000}"/>
    <cellStyle name="_Data_Brewery Performance_Rest_SKU Volumen_RFFS_SUBMISSION_TO_VPs _v2" xfId="14135" xr:uid="{00000000-0005-0000-0000-00002E370000}"/>
    <cellStyle name="_Data_Brewery Performance_Rest_SKU Volumen_RFFS_SUBMISSION_TO_VPs _v2 2" xfId="14136" xr:uid="{00000000-0005-0000-0000-00002F370000}"/>
    <cellStyle name="_Data_Brewery Performance_Rest_SKU Volumen_Sheet1" xfId="14137" xr:uid="{00000000-0005-0000-0000-000030370000}"/>
    <cellStyle name="_Data_Brewery Performance_Rest_SKU Volumen_Sm Proj Cash Flow" xfId="14138" xr:uid="{00000000-0005-0000-0000-000031370000}"/>
    <cellStyle name="_Data_Brewery Performance_Rest_SKU Volumen_Spend Detail" xfId="14139" xr:uid="{00000000-0005-0000-0000-000032370000}"/>
    <cellStyle name="_Data_Brewery Performance_Rest_SKU Volumen_SustainingProjectList" xfId="14140" xr:uid="{00000000-0005-0000-0000-000033370000}"/>
    <cellStyle name="_Data_Brewery Performance_Rest_SustainingProjectList" xfId="14141" xr:uid="{00000000-0005-0000-0000-000034370000}"/>
    <cellStyle name="_Data_Brewery Performance_Rest_Tabelle1" xfId="14142" xr:uid="{00000000-0005-0000-0000-000035370000}"/>
    <cellStyle name="_Data_Brewery Performance_Rest_Tabelle1 2" xfId="14143" xr:uid="{00000000-0005-0000-0000-000036370000}"/>
    <cellStyle name="_Data_Brewery Performance_Rest_Tabelle1_RFFS SUBMISSION TO VPs" xfId="14144" xr:uid="{00000000-0005-0000-0000-000037370000}"/>
    <cellStyle name="_Data_Brewery Performance_Rest_Tabelle1_RFFS SUBMISSION TO VPs 2" xfId="14145" xr:uid="{00000000-0005-0000-0000-000038370000}"/>
    <cellStyle name="_Data_Brewery Performance_Rest_Tabelle1_RFFS_SUBMISSION_TO_VPs _v2" xfId="14146" xr:uid="{00000000-0005-0000-0000-000039370000}"/>
    <cellStyle name="_Data_Brewery Performance_Rest_Tabelle1_RFFS_SUBMISSION_TO_VPs _v2 2" xfId="14147" xr:uid="{00000000-0005-0000-0000-00003A370000}"/>
    <cellStyle name="_Data_Brewery Performance_Rest_Tabelle1_Sheet1" xfId="14148" xr:uid="{00000000-0005-0000-0000-00003B370000}"/>
    <cellStyle name="_Data_Brewery Performance_Rest_Tabelle1_Sm Proj Cash Flow" xfId="14149" xr:uid="{00000000-0005-0000-0000-00003C370000}"/>
    <cellStyle name="_Data_Brewery Performance_Rest_Tabelle1_Spend Detail" xfId="14150" xr:uid="{00000000-0005-0000-0000-00003D370000}"/>
    <cellStyle name="_Data_Brewery Performance_Rest_Tabelle1_SustainingProjectList" xfId="14151" xr:uid="{00000000-0005-0000-0000-00003E370000}"/>
    <cellStyle name="_Data_Brewery Performance_Rest_TP_IC_2013" xfId="14152" xr:uid="{00000000-0005-0000-0000-00003F370000}"/>
    <cellStyle name="_Data_Brewery Performance_Rest_ZBB Budget 2009 Decks" xfId="14153" xr:uid="{00000000-0005-0000-0000-000040370000}"/>
    <cellStyle name="_Data_Brewery Performance_Rest_ZBB Budget 2009 Decks 2" xfId="14154" xr:uid="{00000000-0005-0000-0000-000041370000}"/>
    <cellStyle name="_Data_Brewery Performance_Rest_ZBB Budget 2009 Decks 2 2" xfId="14155" xr:uid="{00000000-0005-0000-0000-000042370000}"/>
    <cellStyle name="_Data_Brewery Performance_Rest_ZBB Budget 2009 Decks_with Korea Scope in (Only LE)" xfId="14156" xr:uid="{00000000-0005-0000-0000-000043370000}"/>
    <cellStyle name="_Data_Brewery Performance_Rest_ZBB Budget 2009 Decks_with Korea Scope in (Only LE) (2)" xfId="14157" xr:uid="{00000000-0005-0000-0000-000044370000}"/>
    <cellStyle name="_Data_Brewery Performance_Rest_ZBB Budget 2009 Decks_with Korea Scope in (Only LE) (2) 2" xfId="14158" xr:uid="{00000000-0005-0000-0000-000045370000}"/>
    <cellStyle name="_Data_Brewery Performance_Rest_ZBB Budget 2009 Decks_with Korea Scope in (Only LE) (2) 2 2" xfId="14159" xr:uid="{00000000-0005-0000-0000-000046370000}"/>
    <cellStyle name="_Data_Brewery Performance_Rest_ZBB Budget 2009 Decks_with Korea Scope in (Only LE) 2" xfId="14160" xr:uid="{00000000-0005-0000-0000-000047370000}"/>
    <cellStyle name="_Data_Brewery Performance_Rest_ZBB Budget 2009 Decks_with Korea Scope in (Only LE) 2 2" xfId="14161" xr:uid="{00000000-0005-0000-0000-000048370000}"/>
    <cellStyle name="_Data_Brewery Performance_Rest_ZBB Budget 2009 Decks_with Korea Scope in (Only LE) 3" xfId="14162" xr:uid="{00000000-0005-0000-0000-000049370000}"/>
    <cellStyle name="_Data_Brewery Performance_Rest_ZBB Budget 2009 Decks_with Korea Scope in (Only LE) 3 2" xfId="14163" xr:uid="{00000000-0005-0000-0000-00004A370000}"/>
    <cellStyle name="_Data_Brewery Performance_Rest_ZBB Budget 2009 Decks_with Korea Scope in (Only LE) 4" xfId="14164" xr:uid="{00000000-0005-0000-0000-00004B370000}"/>
    <cellStyle name="_Data_Brewery Performance_Rest_ZBB Budget 2009 Decks_with Korea Scope in (Only LE) 5" xfId="14165" xr:uid="{00000000-0005-0000-0000-00004C370000}"/>
    <cellStyle name="_Data_Brewery Performance_RFFS SUBMISSION TO VPs" xfId="14166" xr:uid="{00000000-0005-0000-0000-00004D370000}"/>
    <cellStyle name="_Data_Brewery Performance_RFFS_SUBMISSION_TO_VPs _v2" xfId="14167" xr:uid="{00000000-0005-0000-0000-00004E370000}"/>
    <cellStyle name="_Data_Brewery Performance_Sales and Marketing - revised" xfId="14168" xr:uid="{00000000-0005-0000-0000-00004F370000}"/>
    <cellStyle name="_Data_Brewery Performance_Sales and Marketing - revised 2" xfId="14169" xr:uid="{00000000-0005-0000-0000-000050370000}"/>
    <cellStyle name="_Data_Brewery Performance_Sales and Marketing - revised 2 2" xfId="14170" xr:uid="{00000000-0005-0000-0000-000051370000}"/>
    <cellStyle name="_Data_Brewery Performance_Sim Ebitda LE 0909 v4" xfId="14171" xr:uid="{00000000-0005-0000-0000-000052370000}"/>
    <cellStyle name="_Data_Brewery Performance_Sim Ebitda LE 0909 v4 2" xfId="14172" xr:uid="{00000000-0005-0000-0000-000053370000}"/>
    <cellStyle name="_Data_Brewery Performance_Sim Ebitda LE 0909 v4 2 2" xfId="14173" xr:uid="{00000000-0005-0000-0000-000054370000}"/>
    <cellStyle name="_Data_Brewery Performance_SKU Volumen" xfId="14174" xr:uid="{00000000-0005-0000-0000-000055370000}"/>
    <cellStyle name="_Data_Brewery Performance_SKU Volumen 2" xfId="14175" xr:uid="{00000000-0005-0000-0000-000056370000}"/>
    <cellStyle name="_Data_Brewery Performance_SKU Volumen_RFFS SUBMISSION TO VPs" xfId="14176" xr:uid="{00000000-0005-0000-0000-000057370000}"/>
    <cellStyle name="_Data_Brewery Performance_SKU Volumen_RFFS SUBMISSION TO VPs 2" xfId="14177" xr:uid="{00000000-0005-0000-0000-000058370000}"/>
    <cellStyle name="_Data_Brewery Performance_SKU Volumen_RFFS_SUBMISSION_TO_VPs _v2" xfId="14178" xr:uid="{00000000-0005-0000-0000-000059370000}"/>
    <cellStyle name="_Data_Brewery Performance_SKU Volumen_RFFS_SUBMISSION_TO_VPs _v2 2" xfId="14179" xr:uid="{00000000-0005-0000-0000-00005A370000}"/>
    <cellStyle name="_Data_Brewery Performance_SKU Volumen_Sheet1" xfId="14180" xr:uid="{00000000-0005-0000-0000-00005B370000}"/>
    <cellStyle name="_Data_Brewery Performance_SKU Volumen_Sm Proj Cash Flow" xfId="14181" xr:uid="{00000000-0005-0000-0000-00005C370000}"/>
    <cellStyle name="_Data_Brewery Performance_SKU Volumen_Spend Detail" xfId="14182" xr:uid="{00000000-0005-0000-0000-00005D370000}"/>
    <cellStyle name="_Data_Brewery Performance_SKU Volumen_SustainingProjectList" xfId="14183" xr:uid="{00000000-0005-0000-0000-00005E370000}"/>
    <cellStyle name="_Data_Brewery Performance_Slide for initiatives (2)" xfId="14184" xr:uid="{00000000-0005-0000-0000-00005F370000}"/>
    <cellStyle name="_Data_Brewery Performance_Slide for initiatives (2) 2" xfId="14185" xr:uid="{00000000-0005-0000-0000-000060370000}"/>
    <cellStyle name="_Data_Brewery Performance_Slide for initiatives (2) 3" xfId="14186" xr:uid="{00000000-0005-0000-0000-000061370000}"/>
    <cellStyle name="_Data_Brewery Performance_Slide for initiatives (2) 3 2" xfId="14187" xr:uid="{00000000-0005-0000-0000-000062370000}"/>
    <cellStyle name="_Data_Brewery Performance_Slide for initiatives (2) 3 3" xfId="14188" xr:uid="{00000000-0005-0000-0000-000063370000}"/>
    <cellStyle name="_Data_Brewery Performance_Slide for initiatives (2) 3 3 2" xfId="14189" xr:uid="{00000000-0005-0000-0000-000064370000}"/>
    <cellStyle name="_Data_Brewery Performance_Slide for initiatives (2) 4" xfId="14190" xr:uid="{00000000-0005-0000-0000-000065370000}"/>
    <cellStyle name="_Data_Brewery Performance_Slide for initiatives (2) 4 2" xfId="14191" xr:uid="{00000000-0005-0000-0000-000066370000}"/>
    <cellStyle name="_Data_Brewery Performance_Strom" xfId="14192" xr:uid="{00000000-0005-0000-0000-000067370000}"/>
    <cellStyle name="_Data_Brewery Performance_Strom 2" xfId="14193" xr:uid="{00000000-0005-0000-0000-000068370000}"/>
    <cellStyle name="_Data_Brewery Performance_Strom 2 2" xfId="14194" xr:uid="{00000000-0005-0000-0000-000069370000}"/>
    <cellStyle name="_Data_Brewery Performance_Strom_Accident frequency" xfId="14195" xr:uid="{00000000-0005-0000-0000-00006A370000}"/>
    <cellStyle name="_Data_Brewery Performance_Strom_Copy of 081027 ZBB Budget 2009 Decks - People_Cherry_V4" xfId="14196" xr:uid="{00000000-0005-0000-0000-00006B370000}"/>
    <cellStyle name="_Data_Brewery Performance_Strom_Copy of 081027 ZBB Budget 2009 Decks - People_Cherry_V4 2" xfId="14197" xr:uid="{00000000-0005-0000-0000-00006C370000}"/>
    <cellStyle name="_Data_Brewery Performance_Strom_Copy of 081027 ZBB Budget 2009 Decks - People_Cherry_V4 2 2" xfId="14198" xr:uid="{00000000-0005-0000-0000-00006D370000}"/>
    <cellStyle name="_Data_Brewery Performance_Strom_Dominican Rep" xfId="14199" xr:uid="{00000000-0005-0000-0000-00006E370000}"/>
    <cellStyle name="_Data_Brewery Performance_Strom_packaging" xfId="14200" xr:uid="{00000000-0005-0000-0000-00006F370000}"/>
    <cellStyle name="_Data_Brewery Performance_Strom_RFFS SUBMISSION TO VPs" xfId="14201" xr:uid="{00000000-0005-0000-0000-000070370000}"/>
    <cellStyle name="_Data_Brewery Performance_Strom_RFFS SUBMISSION TO VPs 2" xfId="14202" xr:uid="{00000000-0005-0000-0000-000071370000}"/>
    <cellStyle name="_Data_Brewery Performance_Strom_RFFS_SUBMISSION_TO_VPs _v2" xfId="14203" xr:uid="{00000000-0005-0000-0000-000072370000}"/>
    <cellStyle name="_Data_Brewery Performance_Strom_RFFS_SUBMISSION_TO_VPs _v2 2" xfId="14204" xr:uid="{00000000-0005-0000-0000-000073370000}"/>
    <cellStyle name="_Data_Brewery Performance_Strom_Sheet1" xfId="14205" xr:uid="{00000000-0005-0000-0000-000074370000}"/>
    <cellStyle name="_Data_Brewery Performance_Strom_Sheet5" xfId="14206" xr:uid="{00000000-0005-0000-0000-000075370000}"/>
    <cellStyle name="_Data_Brewery Performance_Strom_SustainingProjectList" xfId="14207" xr:uid="{00000000-0005-0000-0000-000076370000}"/>
    <cellStyle name="_Data_Brewery Performance_Strom_TP_IC_2013" xfId="14208" xr:uid="{00000000-0005-0000-0000-000077370000}"/>
    <cellStyle name="_Data_Brewery Performance_Strom_ZBB Budget 2009 Decks" xfId="14209" xr:uid="{00000000-0005-0000-0000-000078370000}"/>
    <cellStyle name="_Data_Brewery Performance_Strom_ZBB Budget 2009 Decks 2" xfId="14210" xr:uid="{00000000-0005-0000-0000-000079370000}"/>
    <cellStyle name="_Data_Brewery Performance_Strom_ZBB Budget 2009 Decks 2 2" xfId="14211" xr:uid="{00000000-0005-0000-0000-00007A370000}"/>
    <cellStyle name="_Data_Brewery Performance_Strom_ZBB Budget 2009 Decks_with Korea Scope in (Only LE)" xfId="14212" xr:uid="{00000000-0005-0000-0000-00007B370000}"/>
    <cellStyle name="_Data_Brewery Performance_Strom_ZBB Budget 2009 Decks_with Korea Scope in (Only LE) (2)" xfId="14213" xr:uid="{00000000-0005-0000-0000-00007C370000}"/>
    <cellStyle name="_Data_Brewery Performance_Strom_ZBB Budget 2009 Decks_with Korea Scope in (Only LE) (2) 2" xfId="14214" xr:uid="{00000000-0005-0000-0000-00007D370000}"/>
    <cellStyle name="_Data_Brewery Performance_Strom_ZBB Budget 2009 Decks_with Korea Scope in (Only LE) (2) 2 2" xfId="14215" xr:uid="{00000000-0005-0000-0000-00007E370000}"/>
    <cellStyle name="_Data_Brewery Performance_Strom_ZBB Budget 2009 Decks_with Korea Scope in (Only LE) 2" xfId="14216" xr:uid="{00000000-0005-0000-0000-00007F370000}"/>
    <cellStyle name="_Data_Brewery Performance_Strom_ZBB Budget 2009 Decks_with Korea Scope in (Only LE) 2 2" xfId="14217" xr:uid="{00000000-0005-0000-0000-000080370000}"/>
    <cellStyle name="_Data_Brewery Performance_Strom_ZBB Budget 2009 Decks_with Korea Scope in (Only LE) 3" xfId="14218" xr:uid="{00000000-0005-0000-0000-000081370000}"/>
    <cellStyle name="_Data_Brewery Performance_Strom_ZBB Budget 2009 Decks_with Korea Scope in (Only LE) 3 2" xfId="14219" xr:uid="{00000000-0005-0000-0000-000082370000}"/>
    <cellStyle name="_Data_Brewery Performance_Strom_ZBB Budget 2009 Decks_with Korea Scope in (Only LE) 4" xfId="14220" xr:uid="{00000000-0005-0000-0000-000083370000}"/>
    <cellStyle name="_Data_Brewery Performance_Strom_ZBB Budget 2009 Decks_with Korea Scope in (Only LE) 5" xfId="14221" xr:uid="{00000000-0005-0000-0000-000084370000}"/>
    <cellStyle name="_Data_Brewery Performance_Tabelle1" xfId="14222" xr:uid="{00000000-0005-0000-0000-000085370000}"/>
    <cellStyle name="_Data_Brewery Performance_Tabelle1 2" xfId="14223" xr:uid="{00000000-0005-0000-0000-000086370000}"/>
    <cellStyle name="_Data_Brewery Performance_Tabelle1_1" xfId="14224" xr:uid="{00000000-0005-0000-0000-000087370000}"/>
    <cellStyle name="_Data_Brewery Performance_Tabelle1_1 2" xfId="14225" xr:uid="{00000000-0005-0000-0000-000088370000}"/>
    <cellStyle name="_Data_Brewery Performance_Tabelle1_1_Sheet1" xfId="14226" xr:uid="{00000000-0005-0000-0000-000089370000}"/>
    <cellStyle name="_Data_Brewery Performance_Tabelle1_1_SustainingProjectList" xfId="14227" xr:uid="{00000000-0005-0000-0000-00008A370000}"/>
    <cellStyle name="_Data_Brewery Performance_Tabelle1_RFFS SUBMISSION TO VPs" xfId="14228" xr:uid="{00000000-0005-0000-0000-00008B370000}"/>
    <cellStyle name="_Data_Brewery Performance_Tabelle1_RFFS SUBMISSION TO VPs 2" xfId="14229" xr:uid="{00000000-0005-0000-0000-00008C370000}"/>
    <cellStyle name="_Data_Brewery Performance_Tabelle1_RFFS_SUBMISSION_TO_VPs _v2" xfId="14230" xr:uid="{00000000-0005-0000-0000-00008D370000}"/>
    <cellStyle name="_Data_Brewery Performance_Tabelle1_RFFS_SUBMISSION_TO_VPs _v2 2" xfId="14231" xr:uid="{00000000-0005-0000-0000-00008E370000}"/>
    <cellStyle name="_Data_Brewery Performance_Tabelle1_Sheet1" xfId="14232" xr:uid="{00000000-0005-0000-0000-00008F370000}"/>
    <cellStyle name="_Data_Brewery Performance_Tabelle1_Sm Proj Cash Flow" xfId="14233" xr:uid="{00000000-0005-0000-0000-000090370000}"/>
    <cellStyle name="_Data_Brewery Performance_Tabelle1_Spend Detail" xfId="14234" xr:uid="{00000000-0005-0000-0000-000091370000}"/>
    <cellStyle name="_Data_Brewery Performance_Tabelle1_SustainingProjectList" xfId="14235" xr:uid="{00000000-0005-0000-0000-000092370000}"/>
    <cellStyle name="_Data_Brewery Performance_Tabelle2" xfId="14236" xr:uid="{00000000-0005-0000-0000-000093370000}"/>
    <cellStyle name="_Data_Brewery Performance_Tabelle2 2" xfId="14237" xr:uid="{00000000-0005-0000-0000-000094370000}"/>
    <cellStyle name="_Data_Brewery Performance_Tabelle2_Sheet1" xfId="14238" xr:uid="{00000000-0005-0000-0000-000095370000}"/>
    <cellStyle name="_Data_Brewery Performance_Tabelle2_SustainingProjectList" xfId="14239" xr:uid="{00000000-0005-0000-0000-000096370000}"/>
    <cellStyle name="_Data_Brewery Performance_Tabelle3" xfId="14240" xr:uid="{00000000-0005-0000-0000-000097370000}"/>
    <cellStyle name="_Data_Brewery Performance_Tabelle3_1" xfId="14241" xr:uid="{00000000-0005-0000-0000-000098370000}"/>
    <cellStyle name="_Data_Brewery Performance_Tabelle3_1 2" xfId="14242" xr:uid="{00000000-0005-0000-0000-000099370000}"/>
    <cellStyle name="_Data_Brewery Performance_Tabelle3_1_Sheet1" xfId="14243" xr:uid="{00000000-0005-0000-0000-00009A370000}"/>
    <cellStyle name="_Data_Brewery Performance_Tabelle3_1_SustainingProjectList" xfId="14244" xr:uid="{00000000-0005-0000-0000-00009B370000}"/>
    <cellStyle name="_Data_Brewery Performance_Template Capex budget 2010 Supply WE" xfId="14245" xr:uid="{00000000-0005-0000-0000-00009C370000}"/>
    <cellStyle name="_Data_Brewery Performance_Template Capex budget 2010 Supply WE 2" xfId="14246" xr:uid="{00000000-0005-0000-0000-00009D370000}"/>
    <cellStyle name="_Data_Brewery Performance_Werte 33cl" xfId="14247" xr:uid="{00000000-0005-0000-0000-00009E370000}"/>
    <cellStyle name="_Data_Brewery Performance_WF Ebitda RD Abr-10" xfId="14248" xr:uid="{00000000-0005-0000-0000-00009F370000}"/>
    <cellStyle name="_Data_Brewery Performance_WF Ebitda RD Abr-10 2" xfId="14249" xr:uid="{00000000-0005-0000-0000-0000A0370000}"/>
    <cellStyle name="_Data_Brewery Performance_WF Ebitda RD Abr-10 2 2" xfId="14250" xr:uid="{00000000-0005-0000-0000-0000A1370000}"/>
    <cellStyle name="_Data_Brewery Performance_WF Ebitda Sep09" xfId="14251" xr:uid="{00000000-0005-0000-0000-0000A2370000}"/>
    <cellStyle name="_Data_Brewery Performance_WF Ebitda Sep09 2" xfId="14252" xr:uid="{00000000-0005-0000-0000-0000A3370000}"/>
    <cellStyle name="_Data_Brewery Performance_WF Ebitda Sep09 2 2" xfId="14253" xr:uid="{00000000-0005-0000-0000-0000A4370000}"/>
    <cellStyle name="_Data_Brewery Performance_ZBB" xfId="14254" xr:uid="{00000000-0005-0000-0000-0000A5370000}"/>
    <cellStyle name="_Data_Brewery Performance_ZBB 2" xfId="14255" xr:uid="{00000000-0005-0000-0000-0000A6370000}"/>
    <cellStyle name="_Data_Brewery Performance_ZBB 2 2" xfId="14256" xr:uid="{00000000-0005-0000-0000-0000A7370000}"/>
    <cellStyle name="_Data_BS" xfId="14257" xr:uid="{00000000-0005-0000-0000-0000A8370000}"/>
    <cellStyle name="_Data_BS ABF" xfId="14258" xr:uid="{00000000-0005-0000-0000-0000A9370000}"/>
    <cellStyle name="_Data_BS ABF 2" xfId="14259" xr:uid="{00000000-0005-0000-0000-0000AA370000}"/>
    <cellStyle name="_Data_BS ABF 2 2" xfId="14260" xr:uid="{00000000-0005-0000-0000-0000AB370000}"/>
    <cellStyle name="_Data_BS ABF_Basis" xfId="14261" xr:uid="{00000000-0005-0000-0000-0000AC370000}"/>
    <cellStyle name="_Data_BS ABF_Basis 2" xfId="14262" xr:uid="{00000000-0005-0000-0000-0000AD370000}"/>
    <cellStyle name="_Data_BS ABF_Basis 2 2" xfId="14263" xr:uid="{00000000-0005-0000-0000-0000AE370000}"/>
    <cellStyle name="_Data_BS ABF_Basis_Sheet1" xfId="14264" xr:uid="{00000000-0005-0000-0000-0000AF370000}"/>
    <cellStyle name="_Data_BS ABF_Basis_Sheet5" xfId="14265" xr:uid="{00000000-0005-0000-0000-0000B0370000}"/>
    <cellStyle name="_Data_BS ABF_Basis_Sm Proj Cash Flow" xfId="14266" xr:uid="{00000000-0005-0000-0000-0000B1370000}"/>
    <cellStyle name="_Data_BS ABF_Basis_Spend Detail" xfId="14267" xr:uid="{00000000-0005-0000-0000-0000B2370000}"/>
    <cellStyle name="_Data_BS ABF_Basis_SustainingProjectList" xfId="14268" xr:uid="{00000000-0005-0000-0000-0000B3370000}"/>
    <cellStyle name="_Data_BS ABF_Sheet1" xfId="14269" xr:uid="{00000000-0005-0000-0000-0000B4370000}"/>
    <cellStyle name="_Data_BS ABF_Sheet5" xfId="14270" xr:uid="{00000000-0005-0000-0000-0000B5370000}"/>
    <cellStyle name="_Data_BS ABF_SKU Volumen" xfId="14271" xr:uid="{00000000-0005-0000-0000-0000B6370000}"/>
    <cellStyle name="_Data_BS ABF_SKU Volumen 2" xfId="14272" xr:uid="{00000000-0005-0000-0000-0000B7370000}"/>
    <cellStyle name="_Data_BS ABF_SKU Volumen_Sheet1" xfId="14273" xr:uid="{00000000-0005-0000-0000-0000B8370000}"/>
    <cellStyle name="_Data_BS ABF_SKU Volumen_Sm Proj Cash Flow" xfId="14274" xr:uid="{00000000-0005-0000-0000-0000B9370000}"/>
    <cellStyle name="_Data_BS ABF_SKU Volumen_Spend Detail" xfId="14275" xr:uid="{00000000-0005-0000-0000-0000BA370000}"/>
    <cellStyle name="_Data_BS ABF_SKU Volumen_SustainingProjectList" xfId="14276" xr:uid="{00000000-0005-0000-0000-0000BB370000}"/>
    <cellStyle name="_Data_BS ABF_Sm Proj Cash Flow" xfId="14277" xr:uid="{00000000-0005-0000-0000-0000BC370000}"/>
    <cellStyle name="_Data_BS ABF_Spend Detail" xfId="14278" xr:uid="{00000000-0005-0000-0000-0000BD370000}"/>
    <cellStyle name="_Data_BS ABF_SustainingProjectList" xfId="14279" xr:uid="{00000000-0005-0000-0000-0000BE370000}"/>
    <cellStyle name="_Data_BS ABF_Tabelle1" xfId="14280" xr:uid="{00000000-0005-0000-0000-0000BF370000}"/>
    <cellStyle name="_Data_BS ABF_Tabelle1 2" xfId="14281" xr:uid="{00000000-0005-0000-0000-0000C0370000}"/>
    <cellStyle name="_Data_BS ABF_Tabelle1_Sheet1" xfId="14282" xr:uid="{00000000-0005-0000-0000-0000C1370000}"/>
    <cellStyle name="_Data_BS ABF_Tabelle1_Sm Proj Cash Flow" xfId="14283" xr:uid="{00000000-0005-0000-0000-0000C2370000}"/>
    <cellStyle name="_Data_BS ABF_Tabelle1_Spend Detail" xfId="14284" xr:uid="{00000000-0005-0000-0000-0000C3370000}"/>
    <cellStyle name="_Data_BS ABF_Tabelle1_SustainingProjectList" xfId="14285" xr:uid="{00000000-0005-0000-0000-0000C4370000}"/>
    <cellStyle name="_Data_BU1112 TP database - REGULAR VOLUMES" xfId="14286" xr:uid="{00000000-0005-0000-0000-0000C5370000}"/>
    <cellStyle name="_Data_BU1112 TP database - REGULAR VOLUMES NATB" xfId="14287" xr:uid="{00000000-0005-0000-0000-0000C6370000}"/>
    <cellStyle name="_Data_Budget 2005" xfId="14288" xr:uid="{00000000-0005-0000-0000-0000C7370000}"/>
    <cellStyle name="_Data_Budget 2005 2" xfId="14289" xr:uid="{00000000-0005-0000-0000-0000C8370000}"/>
    <cellStyle name="_Data_Budget 2005_Sheet1" xfId="14290" xr:uid="{00000000-0005-0000-0000-0000C9370000}"/>
    <cellStyle name="_Data_Budget 2005_SustainingProjectList" xfId="14291" xr:uid="{00000000-0005-0000-0000-0000CA370000}"/>
    <cellStyle name="_Data_Budget 2007 (2)" xfId="14292" xr:uid="{00000000-0005-0000-0000-0000CB370000}"/>
    <cellStyle name="_Data_Budget 2007 (2) 2" xfId="14293" xr:uid="{00000000-0005-0000-0000-0000CC370000}"/>
    <cellStyle name="_Data_Budget 2007 (2)_RFFS SUBMISSION TO VPs" xfId="14294" xr:uid="{00000000-0005-0000-0000-0000CD370000}"/>
    <cellStyle name="_Data_Budget 2007 (2)_RFFS SUBMISSION TO VPs 2" xfId="14295" xr:uid="{00000000-0005-0000-0000-0000CE370000}"/>
    <cellStyle name="_Data_Budget 2007 (2)_RFFS_SUBMISSION_TO_VPs _v2" xfId="14296" xr:uid="{00000000-0005-0000-0000-0000CF370000}"/>
    <cellStyle name="_Data_Budget 2007 (2)_RFFS_SUBMISSION_TO_VPs _v2 2" xfId="14297" xr:uid="{00000000-0005-0000-0000-0000D0370000}"/>
    <cellStyle name="_Data_Budget monthly" xfId="14298" xr:uid="{00000000-0005-0000-0000-0000D1370000}"/>
    <cellStyle name="_Data_Budget monthly 2" xfId="14299" xr:uid="{00000000-0005-0000-0000-0000D2370000}"/>
    <cellStyle name="_Data_Budget monthly_packaging" xfId="14300" xr:uid="{00000000-0005-0000-0000-0000D3370000}"/>
    <cellStyle name="_Data_Budget monthly_Sheet1" xfId="14301" xr:uid="{00000000-0005-0000-0000-0000D4370000}"/>
    <cellStyle name="_Data_Budget monthly_Sheet5" xfId="14302" xr:uid="{00000000-0005-0000-0000-0000D5370000}"/>
    <cellStyle name="_Data_Budget monthly_TP_IC_2013" xfId="14303" xr:uid="{00000000-0005-0000-0000-0000D6370000}"/>
    <cellStyle name="_Data_CA ML" xfId="14304" xr:uid="{00000000-0005-0000-0000-0000D7370000}"/>
    <cellStyle name="_Data_CA ML 2" xfId="14305" xr:uid="{00000000-0005-0000-0000-0000D8370000}"/>
    <cellStyle name="_Data_CA ML 2 2" xfId="14306" xr:uid="{00000000-0005-0000-0000-0000D9370000}"/>
    <cellStyle name="_Data_CA USD" xfId="14307" xr:uid="{00000000-0005-0000-0000-0000DA370000}"/>
    <cellStyle name="_Data_CA USD 2" xfId="14308" xr:uid="{00000000-0005-0000-0000-0000DB370000}"/>
    <cellStyle name="_Data_CA USD 2 2" xfId="14309" xr:uid="{00000000-0005-0000-0000-0000DC370000}"/>
    <cellStyle name="_Data_Capacity B.IV.j Interbrew Germany Grond" xfId="14310" xr:uid="{00000000-0005-0000-0000-0000DD370000}"/>
    <cellStyle name="_Data_Capacity B.IV.j Interbrew Germany Grond 2" xfId="14311" xr:uid="{00000000-0005-0000-0000-0000DE370000}"/>
    <cellStyle name="_Data_Capacity B.IV.j Interbrew Germany Grond_packaging" xfId="14312" xr:uid="{00000000-0005-0000-0000-0000DF370000}"/>
    <cellStyle name="_Data_Capacity B.IV.j Interbrew Germany Grond_RFFS SUBMISSION TO VPs" xfId="14313" xr:uid="{00000000-0005-0000-0000-0000E0370000}"/>
    <cellStyle name="_Data_Capacity B.IV.j Interbrew Germany Grond_RFFS SUBMISSION TO VPs 2" xfId="14314" xr:uid="{00000000-0005-0000-0000-0000E1370000}"/>
    <cellStyle name="_Data_Capacity B.IV.j Interbrew Germany Grond_RFFS_SUBMISSION_TO_VPs _v2" xfId="14315" xr:uid="{00000000-0005-0000-0000-0000E2370000}"/>
    <cellStyle name="_Data_Capacity B.IV.j Interbrew Germany Grond_RFFS_SUBMISSION_TO_VPs _v2 2" xfId="14316" xr:uid="{00000000-0005-0000-0000-0000E3370000}"/>
    <cellStyle name="_Data_Capacity B.IV.j Interbrew Germany Grond_Sheet1" xfId="14317" xr:uid="{00000000-0005-0000-0000-0000E4370000}"/>
    <cellStyle name="_Data_Capacity B.IV.j Interbrew Germany Grond_Sheet5" xfId="14318" xr:uid="{00000000-0005-0000-0000-0000E5370000}"/>
    <cellStyle name="_Data_Capacity B.IV.j Interbrew Germany Grond_SustainingProjectList" xfId="14319" xr:uid="{00000000-0005-0000-0000-0000E6370000}"/>
    <cellStyle name="_Data_Capacity B.IV.j Interbrew Germany Grond_TP_IC_2013" xfId="14320" xr:uid="{00000000-0005-0000-0000-0000E7370000}"/>
    <cellStyle name="_Data_Capacity Model - Braunschweig - Budget 2005 - 7D" xfId="14321" xr:uid="{00000000-0005-0000-0000-0000E8370000}"/>
    <cellStyle name="_Data_Capacity Model - Braunschweig - Budget 2005 - 7D 2" xfId="14322" xr:uid="{00000000-0005-0000-0000-0000E9370000}"/>
    <cellStyle name="_Data_Capacity Model - Braunschweig - Budget 2005 - 7D_Sheet1" xfId="14323" xr:uid="{00000000-0005-0000-0000-0000EA370000}"/>
    <cellStyle name="_Data_Capacity Model - Braunschweig - Budget 2005 - 7D_SustainingProjectList" xfId="14324" xr:uid="{00000000-0005-0000-0000-0000EB370000}"/>
    <cellStyle name="_Data_Capacity Model  Hannover - Budget 2005 - 7D" xfId="14325" xr:uid="{00000000-0005-0000-0000-0000EC370000}"/>
    <cellStyle name="_Data_Capacity Model  Hannover - Budget 2005 - 7D 2" xfId="14326" xr:uid="{00000000-0005-0000-0000-0000ED370000}"/>
    <cellStyle name="_Data_Capacity Model  Hannover - Budget 2005 - 7D_packaging" xfId="14327" xr:uid="{00000000-0005-0000-0000-0000EE370000}"/>
    <cellStyle name="_Data_Capacity Model  Hannover - Budget 2005 - 7D_RFFS SUBMISSION TO VPs" xfId="14328" xr:uid="{00000000-0005-0000-0000-0000EF370000}"/>
    <cellStyle name="_Data_Capacity Model  Hannover - Budget 2005 - 7D_RFFS SUBMISSION TO VPs 2" xfId="14329" xr:uid="{00000000-0005-0000-0000-0000F0370000}"/>
    <cellStyle name="_Data_Capacity Model  Hannover - Budget 2005 - 7D_RFFS_SUBMISSION_TO_VPs _v2" xfId="14330" xr:uid="{00000000-0005-0000-0000-0000F1370000}"/>
    <cellStyle name="_Data_Capacity Model  Hannover - Budget 2005 - 7D_RFFS_SUBMISSION_TO_VPs _v2 2" xfId="14331" xr:uid="{00000000-0005-0000-0000-0000F2370000}"/>
    <cellStyle name="_Data_Capacity Model  Hannover - Budget 2005 - 7D_Sheet1" xfId="14332" xr:uid="{00000000-0005-0000-0000-0000F3370000}"/>
    <cellStyle name="_Data_Capacity Model  Hannover - Budget 2005 - 7D_SustainingProjectList" xfId="14333" xr:uid="{00000000-0005-0000-0000-0000F4370000}"/>
    <cellStyle name="_Data_Capacity Util. Hannover ORII-Bgt05" xfId="14334" xr:uid="{00000000-0005-0000-0000-0000F5370000}"/>
    <cellStyle name="_Data_Capacity Util. Hannover ORII-Bgt05 2" xfId="14335" xr:uid="{00000000-0005-0000-0000-0000F6370000}"/>
    <cellStyle name="_Data_Capacity Util. Hannover ORII-Bgt05_Sheet1" xfId="14336" xr:uid="{00000000-0005-0000-0000-0000F7370000}"/>
    <cellStyle name="_Data_Capacity Util. Hannover ORII-Bgt05_SustainingProjectList" xfId="14337" xr:uid="{00000000-0005-0000-0000-0000F8370000}"/>
    <cellStyle name="_Data_Capacity Util. Issum ORII-Bgt05" xfId="14338" xr:uid="{00000000-0005-0000-0000-0000F9370000}"/>
    <cellStyle name="_Data_Capacity Util. Issum ORII-Bgt05 2" xfId="14339" xr:uid="{00000000-0005-0000-0000-0000FA370000}"/>
    <cellStyle name="_Data_Capacity Util. Issum ORII-Bgt05_Sheet1" xfId="14340" xr:uid="{00000000-0005-0000-0000-0000FB370000}"/>
    <cellStyle name="_Data_Capacity Util. Issum ORII-Bgt05_SustainingProjectList" xfId="14341" xr:uid="{00000000-0005-0000-0000-0000FC370000}"/>
    <cellStyle name="_Data_Capex x AnnaC (2)" xfId="14342" xr:uid="{00000000-0005-0000-0000-0000FD370000}"/>
    <cellStyle name="_Data_Capex_view" xfId="14343" xr:uid="{00000000-0005-0000-0000-0000FE370000}"/>
    <cellStyle name="_Data_Capex_view 2" xfId="14344" xr:uid="{00000000-0005-0000-0000-0000FF370000}"/>
    <cellStyle name="_Data_Cartel1" xfId="14345" xr:uid="{00000000-0005-0000-0000-000000380000}"/>
    <cellStyle name="_DATA_CC_ZBB_profiled_costsTM" xfId="14346" xr:uid="{00000000-0005-0000-0000-000001380000}"/>
    <cellStyle name="_Data_CE da Alea" xfId="14347" xr:uid="{00000000-0005-0000-0000-000002380000}"/>
    <cellStyle name="_Data_CF" xfId="14348" xr:uid="{00000000-0005-0000-0000-000003380000}"/>
    <cellStyle name="_Data_Challenge" xfId="14349" xr:uid="{00000000-0005-0000-0000-000004380000}"/>
    <cellStyle name="_Data_Challenge 2" xfId="14350" xr:uid="{00000000-0005-0000-0000-000005380000}"/>
    <cellStyle name="_Data_Challenge_Sheet1" xfId="14351" xr:uid="{00000000-0005-0000-0000-000006380000}"/>
    <cellStyle name="_Data_Challenge_SustainingProjectList" xfId="14352" xr:uid="{00000000-0005-0000-0000-000007380000}"/>
    <cellStyle name="_Data_check fehlende Transportkosten 082006" xfId="14353" xr:uid="{00000000-0005-0000-0000-000008380000}"/>
    <cellStyle name="_Data_check fehlende Transportkosten 082006 2" xfId="14354" xr:uid="{00000000-0005-0000-0000-000009380000}"/>
    <cellStyle name="_Data_check fehlende Transportkosten 082006_packaging" xfId="14355" xr:uid="{00000000-0005-0000-0000-00000A380000}"/>
    <cellStyle name="_Data_check fehlende Transportkosten 082006_Sheet1" xfId="14356" xr:uid="{00000000-0005-0000-0000-00000B380000}"/>
    <cellStyle name="_Data_check fehlende Transportkosten 082006_Sheet5" xfId="14357" xr:uid="{00000000-0005-0000-0000-00000C380000}"/>
    <cellStyle name="_Data_check fehlende Transportkosten 082006_TP_IC_2013" xfId="14358" xr:uid="{00000000-0005-0000-0000-00000D380000}"/>
    <cellStyle name="_Data_Chi2 1" xfId="14359" xr:uid="{00000000-0005-0000-0000-00000E380000}"/>
    <cellStyle name="_Data_Chi2 1 2" xfId="14360" xr:uid="{00000000-0005-0000-0000-00000F380000}"/>
    <cellStyle name="_Data_Chi2 1_Sheet1" xfId="14361" xr:uid="{00000000-0005-0000-0000-000010380000}"/>
    <cellStyle name="_Data_Chi2 1_SustainingProjectList" xfId="14362" xr:uid="{00000000-0005-0000-0000-000011380000}"/>
    <cellStyle name="_Data_Chi2 HEX" xfId="14363" xr:uid="{00000000-0005-0000-0000-000012380000}"/>
    <cellStyle name="_Data_Chi2 HEX 2" xfId="14364" xr:uid="{00000000-0005-0000-0000-000013380000}"/>
    <cellStyle name="_Data_Chi2 HEX_Sheet1" xfId="14365" xr:uid="{00000000-0005-0000-0000-000014380000}"/>
    <cellStyle name="_Data_Chi2 HEX_SustainingProjectList" xfId="14366" xr:uid="{00000000-0005-0000-0000-000015380000}"/>
    <cellStyle name="_Data_Comm Agreem Distr" xfId="14367" xr:uid="{00000000-0005-0000-0000-000016380000}"/>
    <cellStyle name="_Data_Comm Agreem On Trade" xfId="14368" xr:uid="{00000000-0005-0000-0000-000017380000}"/>
    <cellStyle name="_Data_Copia di MACO BU'07 Total Italy new" xfId="14369" xr:uid="{00000000-0005-0000-0000-000018380000}"/>
    <cellStyle name="_Data_Copy of 081027 ZBB Budget 2009 Decks - People_Cherry_V4" xfId="14370" xr:uid="{00000000-0005-0000-0000-000019380000}"/>
    <cellStyle name="_Data_Copy of 081027 ZBB Budget 2009 Decks - People_Cherry_V4 2" xfId="14371" xr:uid="{00000000-0005-0000-0000-00001A380000}"/>
    <cellStyle name="_Data_Copy of 081027 ZBB Budget 2009 Decks - People_Cherry_V4 2 2" xfId="14372" xr:uid="{00000000-0005-0000-0000-00001B380000}"/>
    <cellStyle name="_Data_Copy of BGT 08 Templates Sales  Marketing - final (revised)" xfId="14373" xr:uid="{00000000-0005-0000-0000-00001C380000}"/>
    <cellStyle name="_Data_Copy of BGT 08 Templates Sales  Marketing - final (revised) 2" xfId="14374" xr:uid="{00000000-0005-0000-0000-00001D380000}"/>
    <cellStyle name="_Data_Copy of BGT 08 Templates Sales  Marketing - final (revised) 2 2" xfId="14375" xr:uid="{00000000-0005-0000-0000-00001E380000}"/>
    <cellStyle name="_Data_Copy of BGT 08 templates Sales  Marketing (2)" xfId="14376" xr:uid="{00000000-0005-0000-0000-00001F380000}"/>
    <cellStyle name="_Data_Copy of BGT 08 templates Sales  Marketing (2) 2" xfId="14377" xr:uid="{00000000-0005-0000-0000-000020380000}"/>
    <cellStyle name="_Data_Copy of Calculation WS compensation template BGT'09" xfId="14378" xr:uid="{00000000-0005-0000-0000-000021380000}"/>
    <cellStyle name="_Data_Copy of Calculation WS compensation template BGT'09 2" xfId="14379" xr:uid="{00000000-0005-0000-0000-000022380000}"/>
    <cellStyle name="_Data_Copy of ZBB cost analysis B08 _fintm04092007v2 04.09.07" xfId="14380" xr:uid="{00000000-0005-0000-0000-000023380000}"/>
    <cellStyle name="_Data_Copy of ZBB cost analysis B08 _fintm04092007v2 04.09.07 2" xfId="14381" xr:uid="{00000000-0005-0000-0000-000024380000}"/>
    <cellStyle name="_Data_Copy of ZBB cost analysis B08 _fintm04092007v2 04.09.07_Dominican Rep" xfId="14382" xr:uid="{00000000-0005-0000-0000-000025380000}"/>
    <cellStyle name="_Data_Copy of ZBB costs P&amp;L od Slavice 04.09.2007" xfId="14383" xr:uid="{00000000-0005-0000-0000-000026380000}"/>
    <cellStyle name="_Data_Copy of ZBB costs P&amp;L od Slavice 04.09.2007 2" xfId="14384" xr:uid="{00000000-0005-0000-0000-000027380000}"/>
    <cellStyle name="_Data_Copy of ZBB costs P&amp;L od Slavice 04.09.2007_Dominican Rep" xfId="14385" xr:uid="{00000000-0005-0000-0000-000028380000}"/>
    <cellStyle name="_Data_Costo vend new sku" xfId="14386" xr:uid="{00000000-0005-0000-0000-000029380000}"/>
    <cellStyle name="_Data_Cro_Template 3YP 08-10 - Update (2)" xfId="14387" xr:uid="{00000000-0005-0000-0000-00002A380000}"/>
    <cellStyle name="_Data_Cro_Template 3YP 08-10 - Update (2) 2" xfId="14388" xr:uid="{00000000-0005-0000-0000-00002B380000}"/>
    <cellStyle name="_Data_Cro_Template 3YP 08-10 - Update (2)_Dominican Rep" xfId="14389" xr:uid="{00000000-0005-0000-0000-00002C380000}"/>
    <cellStyle name="_Data_Daten" xfId="14390" xr:uid="{00000000-0005-0000-0000-00002D380000}"/>
    <cellStyle name="_Data_Daten 2" xfId="14391" xr:uid="{00000000-0005-0000-0000-00002E380000}"/>
    <cellStyle name="_Data_Daten 2 2" xfId="14392" xr:uid="{00000000-0005-0000-0000-00002F380000}"/>
    <cellStyle name="_Data_Daten 2 2 2" xfId="14393" xr:uid="{00000000-0005-0000-0000-000030380000}"/>
    <cellStyle name="_Data_Daten 2 3" xfId="14394" xr:uid="{00000000-0005-0000-0000-000031380000}"/>
    <cellStyle name="_Data_Daten 2 4" xfId="14395" xr:uid="{00000000-0005-0000-0000-000032380000}"/>
    <cellStyle name="_Data_Daten 3" xfId="14396" xr:uid="{00000000-0005-0000-0000-000033380000}"/>
    <cellStyle name="_Data_Daten 3 2" xfId="14397" xr:uid="{00000000-0005-0000-0000-000034380000}"/>
    <cellStyle name="_Data_Daten f?r Reporting" xfId="14398" xr:uid="{00000000-0005-0000-0000-000035380000}"/>
    <cellStyle name="_Data_Daten für Reporting" xfId="14399" xr:uid="{00000000-0005-0000-0000-000036380000}"/>
    <cellStyle name="_Data_Daten für Reporting 2" xfId="14400" xr:uid="{00000000-0005-0000-0000-000037380000}"/>
    <cellStyle name="_Data_Daten für Reporting 2 2" xfId="14401" xr:uid="{00000000-0005-0000-0000-000038380000}"/>
    <cellStyle name="_Data_Daten für Reporting 2 2 2" xfId="14402" xr:uid="{00000000-0005-0000-0000-000039380000}"/>
    <cellStyle name="_Data_Daten für Reporting 2 3" xfId="14403" xr:uid="{00000000-0005-0000-0000-00003A380000}"/>
    <cellStyle name="_Data_Daten für Reporting 2 4" xfId="14404" xr:uid="{00000000-0005-0000-0000-00003B380000}"/>
    <cellStyle name="_Data_Daten für Reporting 3" xfId="14405" xr:uid="{00000000-0005-0000-0000-00003C380000}"/>
    <cellStyle name="_Data_Daten für Reporting 3 2" xfId="14406" xr:uid="{00000000-0005-0000-0000-00003D380000}"/>
    <cellStyle name="_Data_Daten für Reporting_010808 Market Programs  for Budget Deck" xfId="14407" xr:uid="{00000000-0005-0000-0000-00003E380000}"/>
    <cellStyle name="_Data_Daten für Reporting_010808 Market Programs  for Budget Deck 2" xfId="14408" xr:uid="{00000000-0005-0000-0000-00003F380000}"/>
    <cellStyle name="_Data_Daten für Reporting_010808 Market Programs  for Budget Deck 2 2" xfId="14409" xr:uid="{00000000-0005-0000-0000-000040380000}"/>
    <cellStyle name="_Data_Daten für Reporting_0908 Gabarito exchange rate" xfId="14410" xr:uid="{00000000-0005-0000-0000-000041380000}"/>
    <cellStyle name="_Data_Daten für Reporting_0908 Gabarito exchange rate 2" xfId="14411" xr:uid="{00000000-0005-0000-0000-000042380000}"/>
    <cellStyle name="_Data_Daten für Reporting_0908 Gabarito exchange rate 2 2" xfId="14412" xr:uid="{00000000-0005-0000-0000-000043380000}"/>
    <cellStyle name="_Data_Daten für Reporting_0908 Gabarito exchange rate 3" xfId="14413" xr:uid="{00000000-0005-0000-0000-000044380000}"/>
    <cellStyle name="_Data_Daten für Reporting_0908 Gabarito exchange rate 4" xfId="14414" xr:uid="{00000000-0005-0000-0000-000045380000}"/>
    <cellStyle name="_Data_Daten für Reporting_Additional Templates" xfId="14415" xr:uid="{00000000-0005-0000-0000-000046380000}"/>
    <cellStyle name="_Data_Daten für Reporting_Additional Templates (2)" xfId="14416" xr:uid="{00000000-0005-0000-0000-000047380000}"/>
    <cellStyle name="_Data_Daten für Reporting_BGT 08 Templates Sales  Marketing - final (revised)" xfId="14417" xr:uid="{00000000-0005-0000-0000-000048380000}"/>
    <cellStyle name="_Data_Daten für Reporting_BGT 08 Templates Sales  Marketing - final (revised) 2" xfId="14418" xr:uid="{00000000-0005-0000-0000-000049380000}"/>
    <cellStyle name="_Data_Daten für Reporting_BGT 08 Templates Sales  Marketing - final (revised) 2 2" xfId="14419" xr:uid="{00000000-0005-0000-0000-00004A380000}"/>
    <cellStyle name="_Data_Daten für Reporting_BGT 08 Templates Sales  Marketing - final (revised) 3" xfId="14420" xr:uid="{00000000-0005-0000-0000-00004B380000}"/>
    <cellStyle name="_Data_Daten für Reporting_BGT 08 Templates Sales  Marketing - final (revised) 4" xfId="14421" xr:uid="{00000000-0005-0000-0000-00004C380000}"/>
    <cellStyle name="_Data_Daten für Reporting_BGT 08 templates, Sales &amp; Marketing - draft com alterações" xfId="14422" xr:uid="{00000000-0005-0000-0000-00004D380000}"/>
    <cellStyle name="_Data_Daten für Reporting_BGT 08 templates, Sales &amp; Marketing - draft com alterações 2" xfId="14423" xr:uid="{00000000-0005-0000-0000-00004E380000}"/>
    <cellStyle name="_Data_Daten für Reporting_BGT 08 templates, Sales &amp; Marketing - draft com alterações 2 2" xfId="14424" xr:uid="{00000000-0005-0000-0000-00004F380000}"/>
    <cellStyle name="_Data_Daten für Reporting_BGT 08 templates, Sales &amp; Marketing - draft com alterações 3" xfId="14425" xr:uid="{00000000-0005-0000-0000-000050380000}"/>
    <cellStyle name="_Data_Daten für Reporting_BGT 08 templates, Sales &amp; Marketing - draft com alterações 4" xfId="14426" xr:uid="{00000000-0005-0000-0000-000051380000}"/>
    <cellStyle name="_Data_Daten für Reporting_Book5" xfId="14427" xr:uid="{00000000-0005-0000-0000-000052380000}"/>
    <cellStyle name="_Data_Daten für Reporting_Book5 2" xfId="14428" xr:uid="{00000000-0005-0000-0000-000053380000}"/>
    <cellStyle name="_Data_Daten für Reporting_Book5 2 2" xfId="14429" xr:uid="{00000000-0005-0000-0000-000054380000}"/>
    <cellStyle name="_Data_Daten für Reporting_Book5 3" xfId="14430" xr:uid="{00000000-0005-0000-0000-000055380000}"/>
    <cellStyle name="_Data_Daten für Reporting_Book5 4" xfId="14431" xr:uid="{00000000-0005-0000-0000-000056380000}"/>
    <cellStyle name="_Data_Daten für Reporting_Bplan RD 1001" xfId="14432" xr:uid="{00000000-0005-0000-0000-000057380000}"/>
    <cellStyle name="_Data_Daten für Reporting_Bplan RD 1001 2" xfId="14433" xr:uid="{00000000-0005-0000-0000-000058380000}"/>
    <cellStyle name="_Data_Daten für Reporting_Bplan RD 1001 2 2" xfId="14434" xr:uid="{00000000-0005-0000-0000-000059380000}"/>
    <cellStyle name="_Data_Daten für Reporting_Bplan RD 1001 3" xfId="14435" xr:uid="{00000000-0005-0000-0000-00005A380000}"/>
    <cellStyle name="_Data_Daten für Reporting_Bplan RD 1001 4" xfId="14436" xr:uid="{00000000-0005-0000-0000-00005B380000}"/>
    <cellStyle name="_Data_Daten für Reporting_Copy of 081027 ZBB Budget 2009 Decks - People_Cherry_V4" xfId="14437" xr:uid="{00000000-0005-0000-0000-00005C380000}"/>
    <cellStyle name="_Data_Daten für Reporting_Copy of 081027 ZBB Budget 2009 Decks - People_Cherry_V4 2" xfId="14438" xr:uid="{00000000-0005-0000-0000-00005D380000}"/>
    <cellStyle name="_Data_Daten für Reporting_Copy of 081027 ZBB Budget 2009 Decks - People_Cherry_V4 2 2" xfId="14439" xr:uid="{00000000-0005-0000-0000-00005E380000}"/>
    <cellStyle name="_Data_Daten für Reporting_Copy of BGT 08 Templates Sales  Marketing - final (revised)" xfId="14440" xr:uid="{00000000-0005-0000-0000-00005F380000}"/>
    <cellStyle name="_Data_Daten für Reporting_Copy of BGT 08 Templates Sales  Marketing - final (revised) 2" xfId="14441" xr:uid="{00000000-0005-0000-0000-000060380000}"/>
    <cellStyle name="_Data_Daten für Reporting_Copy of BGT 08 Templates Sales  Marketing - final (revised) 2 2" xfId="14442" xr:uid="{00000000-0005-0000-0000-000061380000}"/>
    <cellStyle name="_Data_Daten für Reporting_Copy of BGT 08 Templates Sales  Marketing - final (revised) 3" xfId="14443" xr:uid="{00000000-0005-0000-0000-000062380000}"/>
    <cellStyle name="_Data_Daten für Reporting_Copy of BGT 08 Templates Sales  Marketing - final (revised) 4" xfId="14444" xr:uid="{00000000-0005-0000-0000-000063380000}"/>
    <cellStyle name="_Data_Daten für Reporting_Excel sheets to support Market Program Template for Budget 09 (5) (2)" xfId="14445" xr:uid="{00000000-0005-0000-0000-000064380000}"/>
    <cellStyle name="_Data_Daten für Reporting_Excel sheets to support Market Program Template for Budget 09 (5) (2) 2" xfId="14446" xr:uid="{00000000-0005-0000-0000-000065380000}"/>
    <cellStyle name="_Data_Daten für Reporting_Excel sheets to support Market Program Template for Budget 09 (5) (2) 2 2" xfId="14447" xr:uid="{00000000-0005-0000-0000-000066380000}"/>
    <cellStyle name="_Data_Daten für Reporting_Excel sheets to support Market Program Template for Budget 09 (5) (3)" xfId="14448" xr:uid="{00000000-0005-0000-0000-000067380000}"/>
    <cellStyle name="_Data_Daten für Reporting_Excel sheets to support Market Program Template for Budget 09 (5) (3) 2" xfId="14449" xr:uid="{00000000-0005-0000-0000-000068380000}"/>
    <cellStyle name="_Data_Daten für Reporting_Excel sheets to support Market Program Template for Budget 09 (5) (3) 2 2" xfId="14450" xr:uid="{00000000-0005-0000-0000-000069380000}"/>
    <cellStyle name="_Data_Daten für Reporting_LE Ebitda RD Feb-10 v2" xfId="14451" xr:uid="{00000000-0005-0000-0000-00006A380000}"/>
    <cellStyle name="_Data_Daten für Reporting_LE Ebitda RD Feb-10 v2 2" xfId="14452" xr:uid="{00000000-0005-0000-0000-00006B380000}"/>
    <cellStyle name="_Data_Daten für Reporting_LE Ebitda RD Feb-10 v2 2 2" xfId="14453" xr:uid="{00000000-0005-0000-0000-00006C380000}"/>
    <cellStyle name="_Data_Daten für Reporting_People Package" xfId="14454" xr:uid="{00000000-0005-0000-0000-00006D380000}"/>
    <cellStyle name="_Data_Daten für Reporting_People Package (2)" xfId="14455" xr:uid="{00000000-0005-0000-0000-00006E380000}"/>
    <cellStyle name="_Data_Daten für Reporting_People Package (2) 2" xfId="14456" xr:uid="{00000000-0005-0000-0000-00006F380000}"/>
    <cellStyle name="_Data_Daten für Reporting_People Package (2) 2 2" xfId="14457" xr:uid="{00000000-0005-0000-0000-000070380000}"/>
    <cellStyle name="_Data_Daten für Reporting_People Package 2" xfId="14458" xr:uid="{00000000-0005-0000-0000-000071380000}"/>
    <cellStyle name="_Data_Daten für Reporting_People Package 2 2" xfId="14459" xr:uid="{00000000-0005-0000-0000-000072380000}"/>
    <cellStyle name="_Data_Daten für Reporting_People Package 3" xfId="14460" xr:uid="{00000000-0005-0000-0000-000073380000}"/>
    <cellStyle name="_Data_Daten für Reporting_People Package 3 2" xfId="14461" xr:uid="{00000000-0005-0000-0000-000074380000}"/>
    <cellStyle name="_Data_Daten für Reporting_People Package 4" xfId="14462" xr:uid="{00000000-0005-0000-0000-000075380000}"/>
    <cellStyle name="_Data_Daten für Reporting_People Package 5" xfId="14463" xr:uid="{00000000-0005-0000-0000-000076380000}"/>
    <cellStyle name="_Data_Daten für Reporting_Sales and Marketing - revised" xfId="14464" xr:uid="{00000000-0005-0000-0000-000077380000}"/>
    <cellStyle name="_Data_Daten für Reporting_Sales and Marketing - revised 2" xfId="14465" xr:uid="{00000000-0005-0000-0000-000078380000}"/>
    <cellStyle name="_Data_Daten für Reporting_Sales and Marketing - revised 2 2" xfId="14466" xr:uid="{00000000-0005-0000-0000-000079380000}"/>
    <cellStyle name="_Data_Daten für Reporting_Sales and Marketing - revised 3" xfId="14467" xr:uid="{00000000-0005-0000-0000-00007A380000}"/>
    <cellStyle name="_Data_Daten für Reporting_Sales and Marketing - revised 4" xfId="14468" xr:uid="{00000000-0005-0000-0000-00007B380000}"/>
    <cellStyle name="_Data_Daten für Reporting_Sim Ebitda LE 0909 v4" xfId="14469" xr:uid="{00000000-0005-0000-0000-00007C380000}"/>
    <cellStyle name="_Data_Daten für Reporting_Sim Ebitda LE 0909 v4 2" xfId="14470" xr:uid="{00000000-0005-0000-0000-00007D380000}"/>
    <cellStyle name="_Data_Daten für Reporting_Sim Ebitda LE 0909 v4 2 2" xfId="14471" xr:uid="{00000000-0005-0000-0000-00007E380000}"/>
    <cellStyle name="_Data_Daten für Reporting_Sim Ebitda LE 0909 v4 3" xfId="14472" xr:uid="{00000000-0005-0000-0000-00007F380000}"/>
    <cellStyle name="_Data_Daten für Reporting_Sim Ebitda LE 0909 v4 4" xfId="14473" xr:uid="{00000000-0005-0000-0000-000080380000}"/>
    <cellStyle name="_Data_Daten für Reporting_WF Ebitda RD Abr-10" xfId="14474" xr:uid="{00000000-0005-0000-0000-000081380000}"/>
    <cellStyle name="_Data_Daten für Reporting_WF Ebitda RD Abr-10 2" xfId="14475" xr:uid="{00000000-0005-0000-0000-000082380000}"/>
    <cellStyle name="_Data_Daten für Reporting_WF Ebitda RD Abr-10 2 2" xfId="14476" xr:uid="{00000000-0005-0000-0000-000083380000}"/>
    <cellStyle name="_Data_Daten für Reporting_WF Ebitda Sep09" xfId="14477" xr:uid="{00000000-0005-0000-0000-000084380000}"/>
    <cellStyle name="_Data_Daten für Reporting_WF Ebitda Sep09 2" xfId="14478" xr:uid="{00000000-0005-0000-0000-000085380000}"/>
    <cellStyle name="_Data_Daten für Reporting_WF Ebitda Sep09 2 2" xfId="14479" xr:uid="{00000000-0005-0000-0000-000086380000}"/>
    <cellStyle name="_Data_Daten für Reporting_ZBB" xfId="14480" xr:uid="{00000000-0005-0000-0000-000087380000}"/>
    <cellStyle name="_Data_Daten für Reporting_ZBB 2" xfId="14481" xr:uid="{00000000-0005-0000-0000-000088380000}"/>
    <cellStyle name="_Data_Daten für Reporting_ZBB 2 2" xfId="14482" xr:uid="{00000000-0005-0000-0000-000089380000}"/>
    <cellStyle name="_Data_Daten für Reporting_ZBB Budget 2009 Decks" xfId="14483" xr:uid="{00000000-0005-0000-0000-00008A380000}"/>
    <cellStyle name="_Data_Daten für Reporting_ZBB Budget 2009 Decks 2" xfId="14484" xr:uid="{00000000-0005-0000-0000-00008B380000}"/>
    <cellStyle name="_Data_Daten für Reporting_ZBB Budget 2009 Decks 2 2" xfId="14485" xr:uid="{00000000-0005-0000-0000-00008C380000}"/>
    <cellStyle name="_Data_Daten für Reporting_ZBB Budget 2009 Decks_with Korea Scope in (Only LE)" xfId="14486" xr:uid="{00000000-0005-0000-0000-00008D380000}"/>
    <cellStyle name="_Data_Daten für Reporting_ZBB Budget 2009 Decks_with Korea Scope in (Only LE) (2)" xfId="14487" xr:uid="{00000000-0005-0000-0000-00008E380000}"/>
    <cellStyle name="_Data_Daten für Reporting_ZBB Budget 2009 Decks_with Korea Scope in (Only LE) (2) 2" xfId="14488" xr:uid="{00000000-0005-0000-0000-00008F380000}"/>
    <cellStyle name="_Data_Daten für Reporting_ZBB Budget 2009 Decks_with Korea Scope in (Only LE) (2) 2 2" xfId="14489" xr:uid="{00000000-0005-0000-0000-000090380000}"/>
    <cellStyle name="_Data_Daten für Reporting_ZBB Budget 2009 Decks_with Korea Scope in (Only LE) 2" xfId="14490" xr:uid="{00000000-0005-0000-0000-000091380000}"/>
    <cellStyle name="_Data_Daten für Reporting_ZBB Budget 2009 Decks_with Korea Scope in (Only LE) 2 2" xfId="14491" xr:uid="{00000000-0005-0000-0000-000092380000}"/>
    <cellStyle name="_Data_Daten für Reporting_ZBB Budget 2009 Decks_with Korea Scope in (Only LE) 3" xfId="14492" xr:uid="{00000000-0005-0000-0000-000093380000}"/>
    <cellStyle name="_Data_Daten für Reporting_ZBB Budget 2009 Decks_with Korea Scope in (Only LE) 3 2" xfId="14493" xr:uid="{00000000-0005-0000-0000-000094380000}"/>
    <cellStyle name="_Data_Daten für Reporting_ZBB Budget 2009 Decks_with Korea Scope in (Only LE) 4" xfId="14494" xr:uid="{00000000-0005-0000-0000-000095380000}"/>
    <cellStyle name="_Data_Daten für Reporting_ZBB Budget 2009 Decks_with Korea Scope in (Only LE) 5" xfId="14495" xr:uid="{00000000-0005-0000-0000-000096380000}"/>
    <cellStyle name="_Data_Daten_010808 Market Programs  for Budget Deck" xfId="14496" xr:uid="{00000000-0005-0000-0000-000097380000}"/>
    <cellStyle name="_Data_Daten_010808 Market Programs  for Budget Deck 2" xfId="14497" xr:uid="{00000000-0005-0000-0000-000098380000}"/>
    <cellStyle name="_Data_Daten_010808 Market Programs  for Budget Deck 2 2" xfId="14498" xr:uid="{00000000-0005-0000-0000-000099380000}"/>
    <cellStyle name="_Data_Daten_0908 Gabarito exchange rate" xfId="14499" xr:uid="{00000000-0005-0000-0000-00009A380000}"/>
    <cellStyle name="_Data_Daten_0908 Gabarito exchange rate 2" xfId="14500" xr:uid="{00000000-0005-0000-0000-00009B380000}"/>
    <cellStyle name="_Data_Daten_0908 Gabarito exchange rate 2 2" xfId="14501" xr:uid="{00000000-0005-0000-0000-00009C380000}"/>
    <cellStyle name="_Data_Daten_0908 Gabarito exchange rate 3" xfId="14502" xr:uid="{00000000-0005-0000-0000-00009D380000}"/>
    <cellStyle name="_Data_Daten_0908 Gabarito exchange rate 4" xfId="14503" xr:uid="{00000000-0005-0000-0000-00009E380000}"/>
    <cellStyle name="_Data_Daten_1" xfId="14504" xr:uid="{00000000-0005-0000-0000-00009F380000}"/>
    <cellStyle name="_Data_Daten_1 2" xfId="14505" xr:uid="{00000000-0005-0000-0000-0000A0380000}"/>
    <cellStyle name="_Data_Daten_1 2 2" xfId="14506" xr:uid="{00000000-0005-0000-0000-0000A1380000}"/>
    <cellStyle name="_Data_Daten_1 2 2 2" xfId="14507" xr:uid="{00000000-0005-0000-0000-0000A2380000}"/>
    <cellStyle name="_Data_Daten_1 2 3" xfId="14508" xr:uid="{00000000-0005-0000-0000-0000A3380000}"/>
    <cellStyle name="_Data_Daten_1 2 4" xfId="14509" xr:uid="{00000000-0005-0000-0000-0000A4380000}"/>
    <cellStyle name="_Data_Daten_1 3" xfId="14510" xr:uid="{00000000-0005-0000-0000-0000A5380000}"/>
    <cellStyle name="_Data_Daten_1 3 2" xfId="14511" xr:uid="{00000000-0005-0000-0000-0000A6380000}"/>
    <cellStyle name="_Data_Daten_1_010808 Market Programs  for Budget Deck" xfId="14512" xr:uid="{00000000-0005-0000-0000-0000A7380000}"/>
    <cellStyle name="_Data_Daten_1_010808 Market Programs  for Budget Deck 2" xfId="14513" xr:uid="{00000000-0005-0000-0000-0000A8380000}"/>
    <cellStyle name="_Data_Daten_1_010808 Market Programs  for Budget Deck 2 2" xfId="14514" xr:uid="{00000000-0005-0000-0000-0000A9380000}"/>
    <cellStyle name="_Data_Daten_1_0908 Gabarito exchange rate" xfId="14515" xr:uid="{00000000-0005-0000-0000-0000AA380000}"/>
    <cellStyle name="_Data_Daten_1_0908 Gabarito exchange rate 2" xfId="14516" xr:uid="{00000000-0005-0000-0000-0000AB380000}"/>
    <cellStyle name="_Data_Daten_1_0908 Gabarito exchange rate 2 2" xfId="14517" xr:uid="{00000000-0005-0000-0000-0000AC380000}"/>
    <cellStyle name="_Data_Daten_1_0908 Gabarito exchange rate 3" xfId="14518" xr:uid="{00000000-0005-0000-0000-0000AD380000}"/>
    <cellStyle name="_Data_Daten_1_0908 Gabarito exchange rate 4" xfId="14519" xr:uid="{00000000-0005-0000-0000-0000AE380000}"/>
    <cellStyle name="_Data_Daten_1_BGT 08 Templates Sales  Marketing - final (revised)" xfId="14520" xr:uid="{00000000-0005-0000-0000-0000AF380000}"/>
    <cellStyle name="_Data_Daten_1_BGT 08 Templates Sales  Marketing - final (revised) 2" xfId="14521" xr:uid="{00000000-0005-0000-0000-0000B0380000}"/>
    <cellStyle name="_Data_Daten_1_BGT 08 Templates Sales  Marketing - final (revised) 2 2" xfId="14522" xr:uid="{00000000-0005-0000-0000-0000B1380000}"/>
    <cellStyle name="_Data_Daten_1_BGT 08 Templates Sales  Marketing - final (revised) 3" xfId="14523" xr:uid="{00000000-0005-0000-0000-0000B2380000}"/>
    <cellStyle name="_Data_Daten_1_BGT 08 Templates Sales  Marketing - final (revised) 4" xfId="14524" xr:uid="{00000000-0005-0000-0000-0000B3380000}"/>
    <cellStyle name="_Data_Daten_1_BGT 08 templates, Sales &amp; Marketing - draft com alterações" xfId="14525" xr:uid="{00000000-0005-0000-0000-0000B4380000}"/>
    <cellStyle name="_Data_Daten_1_BGT 08 templates, Sales &amp; Marketing - draft com alterações 2" xfId="14526" xr:uid="{00000000-0005-0000-0000-0000B5380000}"/>
    <cellStyle name="_Data_Daten_1_BGT 08 templates, Sales &amp; Marketing - draft com alterações 2 2" xfId="14527" xr:uid="{00000000-0005-0000-0000-0000B6380000}"/>
    <cellStyle name="_Data_Daten_1_BGT 08 templates, Sales &amp; Marketing - draft com alterações 3" xfId="14528" xr:uid="{00000000-0005-0000-0000-0000B7380000}"/>
    <cellStyle name="_Data_Daten_1_BGT 08 templates, Sales &amp; Marketing - draft com alterações 4" xfId="14529" xr:uid="{00000000-0005-0000-0000-0000B8380000}"/>
    <cellStyle name="_Data_Daten_1_Book5" xfId="14530" xr:uid="{00000000-0005-0000-0000-0000B9380000}"/>
    <cellStyle name="_Data_Daten_1_Book5 2" xfId="14531" xr:uid="{00000000-0005-0000-0000-0000BA380000}"/>
    <cellStyle name="_Data_Daten_1_Book5 2 2" xfId="14532" xr:uid="{00000000-0005-0000-0000-0000BB380000}"/>
    <cellStyle name="_Data_Daten_1_Book5 3" xfId="14533" xr:uid="{00000000-0005-0000-0000-0000BC380000}"/>
    <cellStyle name="_Data_Daten_1_Book5 4" xfId="14534" xr:uid="{00000000-0005-0000-0000-0000BD380000}"/>
    <cellStyle name="_Data_Daten_1_Bplan RD 1001" xfId="14535" xr:uid="{00000000-0005-0000-0000-0000BE380000}"/>
    <cellStyle name="_Data_Daten_1_Bplan RD 1001 2" xfId="14536" xr:uid="{00000000-0005-0000-0000-0000BF380000}"/>
    <cellStyle name="_Data_Daten_1_Bplan RD 1001 2 2" xfId="14537" xr:uid="{00000000-0005-0000-0000-0000C0380000}"/>
    <cellStyle name="_Data_Daten_1_Bplan RD 1001 3" xfId="14538" xr:uid="{00000000-0005-0000-0000-0000C1380000}"/>
    <cellStyle name="_Data_Daten_1_Bplan RD 1001 4" xfId="14539" xr:uid="{00000000-0005-0000-0000-0000C2380000}"/>
    <cellStyle name="_Data_Daten_1_Copy of 081027 ZBB Budget 2009 Decks - People_Cherry_V4" xfId="14540" xr:uid="{00000000-0005-0000-0000-0000C3380000}"/>
    <cellStyle name="_Data_Daten_1_Copy of 081027 ZBB Budget 2009 Decks - People_Cherry_V4 2" xfId="14541" xr:uid="{00000000-0005-0000-0000-0000C4380000}"/>
    <cellStyle name="_Data_Daten_1_Copy of 081027 ZBB Budget 2009 Decks - People_Cherry_V4 2 2" xfId="14542" xr:uid="{00000000-0005-0000-0000-0000C5380000}"/>
    <cellStyle name="_Data_Daten_1_Copy of BGT 08 Templates Sales  Marketing - final (revised)" xfId="14543" xr:uid="{00000000-0005-0000-0000-0000C6380000}"/>
    <cellStyle name="_Data_Daten_1_Copy of BGT 08 Templates Sales  Marketing - final (revised) 2" xfId="14544" xr:uid="{00000000-0005-0000-0000-0000C7380000}"/>
    <cellStyle name="_Data_Daten_1_Copy of BGT 08 Templates Sales  Marketing - final (revised) 2 2" xfId="14545" xr:uid="{00000000-0005-0000-0000-0000C8380000}"/>
    <cellStyle name="_Data_Daten_1_Copy of BGT 08 Templates Sales  Marketing - final (revised) 3" xfId="14546" xr:uid="{00000000-0005-0000-0000-0000C9380000}"/>
    <cellStyle name="_Data_Daten_1_Copy of BGT 08 Templates Sales  Marketing - final (revised) 4" xfId="14547" xr:uid="{00000000-0005-0000-0000-0000CA380000}"/>
    <cellStyle name="_Data_Daten_1_Excel sheets to support Market Program Template for Budget 09 (5) (2)" xfId="14548" xr:uid="{00000000-0005-0000-0000-0000CB380000}"/>
    <cellStyle name="_Data_Daten_1_Excel sheets to support Market Program Template for Budget 09 (5) (2) 2" xfId="14549" xr:uid="{00000000-0005-0000-0000-0000CC380000}"/>
    <cellStyle name="_Data_Daten_1_Excel sheets to support Market Program Template for Budget 09 (5) (2) 2 2" xfId="14550" xr:uid="{00000000-0005-0000-0000-0000CD380000}"/>
    <cellStyle name="_Data_Daten_1_Excel sheets to support Market Program Template for Budget 09 (5) (3)" xfId="14551" xr:uid="{00000000-0005-0000-0000-0000CE380000}"/>
    <cellStyle name="_Data_Daten_1_Excel sheets to support Market Program Template for Budget 09 (5) (3) 2" xfId="14552" xr:uid="{00000000-0005-0000-0000-0000CF380000}"/>
    <cellStyle name="_Data_Daten_1_Excel sheets to support Market Program Template for Budget 09 (5) (3) 2 2" xfId="14553" xr:uid="{00000000-0005-0000-0000-0000D0380000}"/>
    <cellStyle name="_Data_Daten_1_LE Ebitda RD Feb-10 v2" xfId="14554" xr:uid="{00000000-0005-0000-0000-0000D1380000}"/>
    <cellStyle name="_Data_Daten_1_LE Ebitda RD Feb-10 v2 2" xfId="14555" xr:uid="{00000000-0005-0000-0000-0000D2380000}"/>
    <cellStyle name="_Data_Daten_1_LE Ebitda RD Feb-10 v2 2 2" xfId="14556" xr:uid="{00000000-0005-0000-0000-0000D3380000}"/>
    <cellStyle name="_Data_Daten_1_People Package" xfId="14557" xr:uid="{00000000-0005-0000-0000-0000D4380000}"/>
    <cellStyle name="_Data_Daten_1_People Package (2)" xfId="14558" xr:uid="{00000000-0005-0000-0000-0000D5380000}"/>
    <cellStyle name="_Data_Daten_1_People Package (2) 2" xfId="14559" xr:uid="{00000000-0005-0000-0000-0000D6380000}"/>
    <cellStyle name="_Data_Daten_1_People Package (2) 2 2" xfId="14560" xr:uid="{00000000-0005-0000-0000-0000D7380000}"/>
    <cellStyle name="_Data_Daten_1_People Package 2" xfId="14561" xr:uid="{00000000-0005-0000-0000-0000D8380000}"/>
    <cellStyle name="_Data_Daten_1_People Package 2 2" xfId="14562" xr:uid="{00000000-0005-0000-0000-0000D9380000}"/>
    <cellStyle name="_Data_Daten_1_People Package 3" xfId="14563" xr:uid="{00000000-0005-0000-0000-0000DA380000}"/>
    <cellStyle name="_Data_Daten_1_People Package 3 2" xfId="14564" xr:uid="{00000000-0005-0000-0000-0000DB380000}"/>
    <cellStyle name="_Data_Daten_1_People Package 4" xfId="14565" xr:uid="{00000000-0005-0000-0000-0000DC380000}"/>
    <cellStyle name="_Data_Daten_1_People Package 5" xfId="14566" xr:uid="{00000000-0005-0000-0000-0000DD380000}"/>
    <cellStyle name="_Data_Daten_1_Sales and Marketing - revised" xfId="14567" xr:uid="{00000000-0005-0000-0000-0000DE380000}"/>
    <cellStyle name="_Data_Daten_1_Sales and Marketing - revised 2" xfId="14568" xr:uid="{00000000-0005-0000-0000-0000DF380000}"/>
    <cellStyle name="_Data_Daten_1_Sales and Marketing - revised 2 2" xfId="14569" xr:uid="{00000000-0005-0000-0000-0000E0380000}"/>
    <cellStyle name="_Data_Daten_1_Sales and Marketing - revised 3" xfId="14570" xr:uid="{00000000-0005-0000-0000-0000E1380000}"/>
    <cellStyle name="_Data_Daten_1_Sales and Marketing - revised 4" xfId="14571" xr:uid="{00000000-0005-0000-0000-0000E2380000}"/>
    <cellStyle name="_Data_Daten_1_Sim Ebitda LE 0909 v4" xfId="14572" xr:uid="{00000000-0005-0000-0000-0000E3380000}"/>
    <cellStyle name="_Data_Daten_1_Sim Ebitda LE 0909 v4 2" xfId="14573" xr:uid="{00000000-0005-0000-0000-0000E4380000}"/>
    <cellStyle name="_Data_Daten_1_Sim Ebitda LE 0909 v4 2 2" xfId="14574" xr:uid="{00000000-0005-0000-0000-0000E5380000}"/>
    <cellStyle name="_Data_Daten_1_Sim Ebitda LE 0909 v4 3" xfId="14575" xr:uid="{00000000-0005-0000-0000-0000E6380000}"/>
    <cellStyle name="_Data_Daten_1_Sim Ebitda LE 0909 v4 4" xfId="14576" xr:uid="{00000000-0005-0000-0000-0000E7380000}"/>
    <cellStyle name="_Data_Daten_1_WF Ebitda RD Abr-10" xfId="14577" xr:uid="{00000000-0005-0000-0000-0000E8380000}"/>
    <cellStyle name="_Data_Daten_1_WF Ebitda RD Abr-10 2" xfId="14578" xr:uid="{00000000-0005-0000-0000-0000E9380000}"/>
    <cellStyle name="_Data_Daten_1_WF Ebitda RD Abr-10 2 2" xfId="14579" xr:uid="{00000000-0005-0000-0000-0000EA380000}"/>
    <cellStyle name="_Data_Daten_1_WF Ebitda Sep09" xfId="14580" xr:uid="{00000000-0005-0000-0000-0000EB380000}"/>
    <cellStyle name="_Data_Daten_1_WF Ebitda Sep09 2" xfId="14581" xr:uid="{00000000-0005-0000-0000-0000EC380000}"/>
    <cellStyle name="_Data_Daten_1_WF Ebitda Sep09 2 2" xfId="14582" xr:uid="{00000000-0005-0000-0000-0000ED380000}"/>
    <cellStyle name="_Data_Daten_1_ZBB" xfId="14583" xr:uid="{00000000-0005-0000-0000-0000EE380000}"/>
    <cellStyle name="_Data_Daten_1_ZBB 2" xfId="14584" xr:uid="{00000000-0005-0000-0000-0000EF380000}"/>
    <cellStyle name="_Data_Daten_1_ZBB 2 2" xfId="14585" xr:uid="{00000000-0005-0000-0000-0000F0380000}"/>
    <cellStyle name="_Data_Daten_1_ZBB Budget 2009 Decks" xfId="14586" xr:uid="{00000000-0005-0000-0000-0000F1380000}"/>
    <cellStyle name="_Data_Daten_1_ZBB Budget 2009 Decks 2" xfId="14587" xr:uid="{00000000-0005-0000-0000-0000F2380000}"/>
    <cellStyle name="_Data_Daten_1_ZBB Budget 2009 Decks 2 2" xfId="14588" xr:uid="{00000000-0005-0000-0000-0000F3380000}"/>
    <cellStyle name="_Data_Daten_1_ZBB Budget 2009 Decks_with Korea Scope in (Only LE)" xfId="14589" xr:uid="{00000000-0005-0000-0000-0000F4380000}"/>
    <cellStyle name="_Data_Daten_1_ZBB Budget 2009 Decks_with Korea Scope in (Only LE) (2)" xfId="14590" xr:uid="{00000000-0005-0000-0000-0000F5380000}"/>
    <cellStyle name="_Data_Daten_1_ZBB Budget 2009 Decks_with Korea Scope in (Only LE) (2) 2" xfId="14591" xr:uid="{00000000-0005-0000-0000-0000F6380000}"/>
    <cellStyle name="_Data_Daten_1_ZBB Budget 2009 Decks_with Korea Scope in (Only LE) (2) 2 2" xfId="14592" xr:uid="{00000000-0005-0000-0000-0000F7380000}"/>
    <cellStyle name="_Data_Daten_1_ZBB Budget 2009 Decks_with Korea Scope in (Only LE) 2" xfId="14593" xr:uid="{00000000-0005-0000-0000-0000F8380000}"/>
    <cellStyle name="_Data_Daten_1_ZBB Budget 2009 Decks_with Korea Scope in (Only LE) 2 2" xfId="14594" xr:uid="{00000000-0005-0000-0000-0000F9380000}"/>
    <cellStyle name="_Data_Daten_1_ZBB Budget 2009 Decks_with Korea Scope in (Only LE) 3" xfId="14595" xr:uid="{00000000-0005-0000-0000-0000FA380000}"/>
    <cellStyle name="_Data_Daten_1_ZBB Budget 2009 Decks_with Korea Scope in (Only LE) 3 2" xfId="14596" xr:uid="{00000000-0005-0000-0000-0000FB380000}"/>
    <cellStyle name="_Data_Daten_1_ZBB Budget 2009 Decks_with Korea Scope in (Only LE) 4" xfId="14597" xr:uid="{00000000-0005-0000-0000-0000FC380000}"/>
    <cellStyle name="_Data_Daten_1_ZBB Budget 2009 Decks_with Korea Scope in (Only LE) 5" xfId="14598" xr:uid="{00000000-0005-0000-0000-0000FD380000}"/>
    <cellStyle name="_Data_Daten_B.IV.r" xfId="14599" xr:uid="{00000000-0005-0000-0000-0000FE380000}"/>
    <cellStyle name="_Data_Daten_B.IV.r 2" xfId="14600" xr:uid="{00000000-0005-0000-0000-0000FF380000}"/>
    <cellStyle name="_Data_Daten_B.IV.r 2 2" xfId="14601" xr:uid="{00000000-0005-0000-0000-000000390000}"/>
    <cellStyle name="_Data_Daten_B.IV.r 2 2 2" xfId="14602" xr:uid="{00000000-0005-0000-0000-000001390000}"/>
    <cellStyle name="_Data_Daten_B.IV.r 2 3" xfId="14603" xr:uid="{00000000-0005-0000-0000-000002390000}"/>
    <cellStyle name="_Data_Daten_B.IV.r 2 4" xfId="14604" xr:uid="{00000000-0005-0000-0000-000003390000}"/>
    <cellStyle name="_Data_Daten_B.IV.r 3" xfId="14605" xr:uid="{00000000-0005-0000-0000-000004390000}"/>
    <cellStyle name="_Data_Daten_B.IV.r 3 2" xfId="14606" xr:uid="{00000000-0005-0000-0000-000005390000}"/>
    <cellStyle name="_Data_Daten_B.IV.r_010808 Market Programs  for Budget Deck" xfId="14607" xr:uid="{00000000-0005-0000-0000-000006390000}"/>
    <cellStyle name="_Data_Daten_B.IV.r_010808 Market Programs  for Budget Deck 2" xfId="14608" xr:uid="{00000000-0005-0000-0000-000007390000}"/>
    <cellStyle name="_Data_Daten_B.IV.r_010808 Market Programs  for Budget Deck 2 2" xfId="14609" xr:uid="{00000000-0005-0000-0000-000008390000}"/>
    <cellStyle name="_Data_Daten_B.IV.r_0908 Gabarito exchange rate" xfId="14610" xr:uid="{00000000-0005-0000-0000-000009390000}"/>
    <cellStyle name="_Data_Daten_B.IV.r_0908 Gabarito exchange rate 2" xfId="14611" xr:uid="{00000000-0005-0000-0000-00000A390000}"/>
    <cellStyle name="_Data_Daten_B.IV.r_0908 Gabarito exchange rate 2 2" xfId="14612" xr:uid="{00000000-0005-0000-0000-00000B390000}"/>
    <cellStyle name="_Data_Daten_B.IV.r_0908 Gabarito exchange rate 3" xfId="14613" xr:uid="{00000000-0005-0000-0000-00000C390000}"/>
    <cellStyle name="_Data_Daten_B.IV.r_0908 Gabarito exchange rate 4" xfId="14614" xr:uid="{00000000-0005-0000-0000-00000D390000}"/>
    <cellStyle name="_Data_Daten_B.IV.r_BGT 08 Templates Sales  Marketing - final (revised)" xfId="14615" xr:uid="{00000000-0005-0000-0000-00000E390000}"/>
    <cellStyle name="_Data_Daten_B.IV.r_BGT 08 Templates Sales  Marketing - final (revised) 2" xfId="14616" xr:uid="{00000000-0005-0000-0000-00000F390000}"/>
    <cellStyle name="_Data_Daten_B.IV.r_BGT 08 Templates Sales  Marketing - final (revised) 2 2" xfId="14617" xr:uid="{00000000-0005-0000-0000-000010390000}"/>
    <cellStyle name="_Data_Daten_B.IV.r_BGT 08 Templates Sales  Marketing - final (revised) 3" xfId="14618" xr:uid="{00000000-0005-0000-0000-000011390000}"/>
    <cellStyle name="_Data_Daten_B.IV.r_BGT 08 Templates Sales  Marketing - final (revised) 4" xfId="14619" xr:uid="{00000000-0005-0000-0000-000012390000}"/>
    <cellStyle name="_Data_Daten_B.IV.r_BGT 08 templates, Sales &amp; Marketing - draft com alterações" xfId="14620" xr:uid="{00000000-0005-0000-0000-000013390000}"/>
    <cellStyle name="_Data_Daten_B.IV.r_BGT 08 templates, Sales &amp; Marketing - draft com alterações 2" xfId="14621" xr:uid="{00000000-0005-0000-0000-000014390000}"/>
    <cellStyle name="_Data_Daten_B.IV.r_BGT 08 templates, Sales &amp; Marketing - draft com alterações 2 2" xfId="14622" xr:uid="{00000000-0005-0000-0000-000015390000}"/>
    <cellStyle name="_Data_Daten_B.IV.r_BGT 08 templates, Sales &amp; Marketing - draft com alterações 3" xfId="14623" xr:uid="{00000000-0005-0000-0000-000016390000}"/>
    <cellStyle name="_Data_Daten_B.IV.r_BGT 08 templates, Sales &amp; Marketing - draft com alterações 4" xfId="14624" xr:uid="{00000000-0005-0000-0000-000017390000}"/>
    <cellStyle name="_Data_Daten_B.IV.r_Book5" xfId="14625" xr:uid="{00000000-0005-0000-0000-000018390000}"/>
    <cellStyle name="_Data_Daten_B.IV.r_Book5 2" xfId="14626" xr:uid="{00000000-0005-0000-0000-000019390000}"/>
    <cellStyle name="_Data_Daten_B.IV.r_Book5 2 2" xfId="14627" xr:uid="{00000000-0005-0000-0000-00001A390000}"/>
    <cellStyle name="_Data_Daten_B.IV.r_Book5 3" xfId="14628" xr:uid="{00000000-0005-0000-0000-00001B390000}"/>
    <cellStyle name="_Data_Daten_B.IV.r_Book5 4" xfId="14629" xr:uid="{00000000-0005-0000-0000-00001C390000}"/>
    <cellStyle name="_Data_Daten_B.IV.r_Bplan RD 1001" xfId="14630" xr:uid="{00000000-0005-0000-0000-00001D390000}"/>
    <cellStyle name="_Data_Daten_B.IV.r_Bplan RD 1001 2" xfId="14631" xr:uid="{00000000-0005-0000-0000-00001E390000}"/>
    <cellStyle name="_Data_Daten_B.IV.r_Bplan RD 1001 2 2" xfId="14632" xr:uid="{00000000-0005-0000-0000-00001F390000}"/>
    <cellStyle name="_Data_Daten_B.IV.r_Bplan RD 1001 3" xfId="14633" xr:uid="{00000000-0005-0000-0000-000020390000}"/>
    <cellStyle name="_Data_Daten_B.IV.r_Bplan RD 1001 4" xfId="14634" xr:uid="{00000000-0005-0000-0000-000021390000}"/>
    <cellStyle name="_Data_Daten_B.IV.r_Copy of 081027 ZBB Budget 2009 Decks - People_Cherry_V4" xfId="14635" xr:uid="{00000000-0005-0000-0000-000022390000}"/>
    <cellStyle name="_Data_Daten_B.IV.r_Copy of 081027 ZBB Budget 2009 Decks - People_Cherry_V4 2" xfId="14636" xr:uid="{00000000-0005-0000-0000-000023390000}"/>
    <cellStyle name="_Data_Daten_B.IV.r_Copy of 081027 ZBB Budget 2009 Decks - People_Cherry_V4 2 2" xfId="14637" xr:uid="{00000000-0005-0000-0000-000024390000}"/>
    <cellStyle name="_Data_Daten_B.IV.r_Copy of BGT 08 Templates Sales  Marketing - final (revised)" xfId="14638" xr:uid="{00000000-0005-0000-0000-000025390000}"/>
    <cellStyle name="_Data_Daten_B.IV.r_Copy of BGT 08 Templates Sales  Marketing - final (revised) 2" xfId="14639" xr:uid="{00000000-0005-0000-0000-000026390000}"/>
    <cellStyle name="_Data_Daten_B.IV.r_Copy of BGT 08 Templates Sales  Marketing - final (revised) 2 2" xfId="14640" xr:uid="{00000000-0005-0000-0000-000027390000}"/>
    <cellStyle name="_Data_Daten_B.IV.r_Copy of BGT 08 Templates Sales  Marketing - final (revised) 3" xfId="14641" xr:uid="{00000000-0005-0000-0000-000028390000}"/>
    <cellStyle name="_Data_Daten_B.IV.r_Copy of BGT 08 Templates Sales  Marketing - final (revised) 4" xfId="14642" xr:uid="{00000000-0005-0000-0000-000029390000}"/>
    <cellStyle name="_Data_Daten_B.IV.r_Excel sheets to support Market Program Template for Budget 09 (5) (2)" xfId="14643" xr:uid="{00000000-0005-0000-0000-00002A390000}"/>
    <cellStyle name="_Data_Daten_B.IV.r_Excel sheets to support Market Program Template for Budget 09 (5) (2) 2" xfId="14644" xr:uid="{00000000-0005-0000-0000-00002B390000}"/>
    <cellStyle name="_Data_Daten_B.IV.r_Excel sheets to support Market Program Template for Budget 09 (5) (2) 2 2" xfId="14645" xr:uid="{00000000-0005-0000-0000-00002C390000}"/>
    <cellStyle name="_Data_Daten_B.IV.r_Excel sheets to support Market Program Template for Budget 09 (5) (3)" xfId="14646" xr:uid="{00000000-0005-0000-0000-00002D390000}"/>
    <cellStyle name="_Data_Daten_B.IV.r_Excel sheets to support Market Program Template for Budget 09 (5) (3) 2" xfId="14647" xr:uid="{00000000-0005-0000-0000-00002E390000}"/>
    <cellStyle name="_Data_Daten_B.IV.r_Excel sheets to support Market Program Template for Budget 09 (5) (3) 2 2" xfId="14648" xr:uid="{00000000-0005-0000-0000-00002F390000}"/>
    <cellStyle name="_Data_Daten_B.IV.r_LE Ebitda RD Feb-10 v2" xfId="14649" xr:uid="{00000000-0005-0000-0000-000030390000}"/>
    <cellStyle name="_Data_Daten_B.IV.r_LE Ebitda RD Feb-10 v2 2" xfId="14650" xr:uid="{00000000-0005-0000-0000-000031390000}"/>
    <cellStyle name="_Data_Daten_B.IV.r_LE Ebitda RD Feb-10 v2 2 2" xfId="14651" xr:uid="{00000000-0005-0000-0000-000032390000}"/>
    <cellStyle name="_Data_Daten_B.IV.r_People Package" xfId="14652" xr:uid="{00000000-0005-0000-0000-000033390000}"/>
    <cellStyle name="_Data_Daten_B.IV.r_People Package (2)" xfId="14653" xr:uid="{00000000-0005-0000-0000-000034390000}"/>
    <cellStyle name="_Data_Daten_B.IV.r_People Package (2) 2" xfId="14654" xr:uid="{00000000-0005-0000-0000-000035390000}"/>
    <cellStyle name="_Data_Daten_B.IV.r_People Package (2) 2 2" xfId="14655" xr:uid="{00000000-0005-0000-0000-000036390000}"/>
    <cellStyle name="_Data_Daten_B.IV.r_People Package 2" xfId="14656" xr:uid="{00000000-0005-0000-0000-000037390000}"/>
    <cellStyle name="_Data_Daten_B.IV.r_People Package 2 2" xfId="14657" xr:uid="{00000000-0005-0000-0000-000038390000}"/>
    <cellStyle name="_Data_Daten_B.IV.r_People Package 3" xfId="14658" xr:uid="{00000000-0005-0000-0000-000039390000}"/>
    <cellStyle name="_Data_Daten_B.IV.r_People Package 3 2" xfId="14659" xr:uid="{00000000-0005-0000-0000-00003A390000}"/>
    <cellStyle name="_Data_Daten_B.IV.r_People Package 4" xfId="14660" xr:uid="{00000000-0005-0000-0000-00003B390000}"/>
    <cellStyle name="_Data_Daten_B.IV.r_People Package 5" xfId="14661" xr:uid="{00000000-0005-0000-0000-00003C390000}"/>
    <cellStyle name="_Data_Daten_B.IV.r_Sales and Marketing - revised" xfId="14662" xr:uid="{00000000-0005-0000-0000-00003D390000}"/>
    <cellStyle name="_Data_Daten_B.IV.r_Sales and Marketing - revised 2" xfId="14663" xr:uid="{00000000-0005-0000-0000-00003E390000}"/>
    <cellStyle name="_Data_Daten_B.IV.r_Sales and Marketing - revised 2 2" xfId="14664" xr:uid="{00000000-0005-0000-0000-00003F390000}"/>
    <cellStyle name="_Data_Daten_B.IV.r_Sales and Marketing - revised 3" xfId="14665" xr:uid="{00000000-0005-0000-0000-000040390000}"/>
    <cellStyle name="_Data_Daten_B.IV.r_Sales and Marketing - revised 4" xfId="14666" xr:uid="{00000000-0005-0000-0000-000041390000}"/>
    <cellStyle name="_Data_Daten_B.IV.r_Sim Ebitda LE 0909 v4" xfId="14667" xr:uid="{00000000-0005-0000-0000-000042390000}"/>
    <cellStyle name="_Data_Daten_B.IV.r_Sim Ebitda LE 0909 v4 2" xfId="14668" xr:uid="{00000000-0005-0000-0000-000043390000}"/>
    <cellStyle name="_Data_Daten_B.IV.r_Sim Ebitda LE 0909 v4 2 2" xfId="14669" xr:uid="{00000000-0005-0000-0000-000044390000}"/>
    <cellStyle name="_Data_Daten_B.IV.r_Sim Ebitda LE 0909 v4 3" xfId="14670" xr:uid="{00000000-0005-0000-0000-000045390000}"/>
    <cellStyle name="_Data_Daten_B.IV.r_Sim Ebitda LE 0909 v4 4" xfId="14671" xr:uid="{00000000-0005-0000-0000-000046390000}"/>
    <cellStyle name="_Data_Daten_B.IV.r_WF Ebitda RD Abr-10" xfId="14672" xr:uid="{00000000-0005-0000-0000-000047390000}"/>
    <cellStyle name="_Data_Daten_B.IV.r_WF Ebitda RD Abr-10 2" xfId="14673" xr:uid="{00000000-0005-0000-0000-000048390000}"/>
    <cellStyle name="_Data_Daten_B.IV.r_WF Ebitda RD Abr-10 2 2" xfId="14674" xr:uid="{00000000-0005-0000-0000-000049390000}"/>
    <cellStyle name="_Data_Daten_B.IV.r_WF Ebitda Sep09" xfId="14675" xr:uid="{00000000-0005-0000-0000-00004A390000}"/>
    <cellStyle name="_Data_Daten_B.IV.r_WF Ebitda Sep09 2" xfId="14676" xr:uid="{00000000-0005-0000-0000-00004B390000}"/>
    <cellStyle name="_Data_Daten_B.IV.r_WF Ebitda Sep09 2 2" xfId="14677" xr:uid="{00000000-0005-0000-0000-00004C390000}"/>
    <cellStyle name="_Data_Daten_B.IV.r_ZBB" xfId="14678" xr:uid="{00000000-0005-0000-0000-00004D390000}"/>
    <cellStyle name="_Data_Daten_B.IV.r_ZBB 2" xfId="14679" xr:uid="{00000000-0005-0000-0000-00004E390000}"/>
    <cellStyle name="_Data_Daten_B.IV.r_ZBB 2 2" xfId="14680" xr:uid="{00000000-0005-0000-0000-00004F390000}"/>
    <cellStyle name="_Data_Daten_B.IV.r_ZBB Budget 2009 Decks" xfId="14681" xr:uid="{00000000-0005-0000-0000-000050390000}"/>
    <cellStyle name="_Data_Daten_B.IV.r_ZBB Budget 2009 Decks 2" xfId="14682" xr:uid="{00000000-0005-0000-0000-000051390000}"/>
    <cellStyle name="_Data_Daten_B.IV.r_ZBB Budget 2009 Decks 2 2" xfId="14683" xr:uid="{00000000-0005-0000-0000-000052390000}"/>
    <cellStyle name="_Data_Daten_B.IV.r_ZBB Budget 2009 Decks_with Korea Scope in (Only LE)" xfId="14684" xr:uid="{00000000-0005-0000-0000-000053390000}"/>
    <cellStyle name="_Data_Daten_B.IV.r_ZBB Budget 2009 Decks_with Korea Scope in (Only LE) (2)" xfId="14685" xr:uid="{00000000-0005-0000-0000-000054390000}"/>
    <cellStyle name="_Data_Daten_B.IV.r_ZBB Budget 2009 Decks_with Korea Scope in (Only LE) (2) 2" xfId="14686" xr:uid="{00000000-0005-0000-0000-000055390000}"/>
    <cellStyle name="_Data_Daten_B.IV.r_ZBB Budget 2009 Decks_with Korea Scope in (Only LE) (2) 2 2" xfId="14687" xr:uid="{00000000-0005-0000-0000-000056390000}"/>
    <cellStyle name="_Data_Daten_B.IV.r_ZBB Budget 2009 Decks_with Korea Scope in (Only LE) 2" xfId="14688" xr:uid="{00000000-0005-0000-0000-000057390000}"/>
    <cellStyle name="_Data_Daten_B.IV.r_ZBB Budget 2009 Decks_with Korea Scope in (Only LE) 2 2" xfId="14689" xr:uid="{00000000-0005-0000-0000-000058390000}"/>
    <cellStyle name="_Data_Daten_B.IV.r_ZBB Budget 2009 Decks_with Korea Scope in (Only LE) 3" xfId="14690" xr:uid="{00000000-0005-0000-0000-000059390000}"/>
    <cellStyle name="_Data_Daten_B.IV.r_ZBB Budget 2009 Decks_with Korea Scope in (Only LE) 3 2" xfId="14691" xr:uid="{00000000-0005-0000-0000-00005A390000}"/>
    <cellStyle name="_Data_Daten_B.IV.r_ZBB Budget 2009 Decks_with Korea Scope in (Only LE) 4" xfId="14692" xr:uid="{00000000-0005-0000-0000-00005B390000}"/>
    <cellStyle name="_Data_Daten_B.IV.r_ZBB Budget 2009 Decks_with Korea Scope in (Only LE) 5" xfId="14693" xr:uid="{00000000-0005-0000-0000-00005C390000}"/>
    <cellStyle name="_Data_Daten_BGT 08 Templates Sales  Marketing - final (revised)" xfId="14694" xr:uid="{00000000-0005-0000-0000-00005D390000}"/>
    <cellStyle name="_Data_Daten_BGT 08 Templates Sales  Marketing - final (revised) 2" xfId="14695" xr:uid="{00000000-0005-0000-0000-00005E390000}"/>
    <cellStyle name="_Data_Daten_BGT 08 Templates Sales  Marketing - final (revised) 2 2" xfId="14696" xr:uid="{00000000-0005-0000-0000-00005F390000}"/>
    <cellStyle name="_Data_Daten_BGT 08 Templates Sales  Marketing - final (revised) 3" xfId="14697" xr:uid="{00000000-0005-0000-0000-000060390000}"/>
    <cellStyle name="_Data_Daten_BGT 08 Templates Sales  Marketing - final (revised) 4" xfId="14698" xr:uid="{00000000-0005-0000-0000-000061390000}"/>
    <cellStyle name="_Data_Daten_Book5" xfId="14699" xr:uid="{00000000-0005-0000-0000-000062390000}"/>
    <cellStyle name="_Data_Daten_Book5 2" xfId="14700" xr:uid="{00000000-0005-0000-0000-000063390000}"/>
    <cellStyle name="_Data_Daten_Book5 2 2" xfId="14701" xr:uid="{00000000-0005-0000-0000-000064390000}"/>
    <cellStyle name="_Data_Daten_Book5 3" xfId="14702" xr:uid="{00000000-0005-0000-0000-000065390000}"/>
    <cellStyle name="_Data_Daten_Book5 4" xfId="14703" xr:uid="{00000000-0005-0000-0000-000066390000}"/>
    <cellStyle name="_Data_Daten_Bplan RD 1001" xfId="14704" xr:uid="{00000000-0005-0000-0000-000067390000}"/>
    <cellStyle name="_Data_Daten_Bplan RD 1001 2" xfId="14705" xr:uid="{00000000-0005-0000-0000-000068390000}"/>
    <cellStyle name="_Data_Daten_Bplan RD 1001 2 2" xfId="14706" xr:uid="{00000000-0005-0000-0000-000069390000}"/>
    <cellStyle name="_Data_Daten_Bplan RD 1001 3" xfId="14707" xr:uid="{00000000-0005-0000-0000-00006A390000}"/>
    <cellStyle name="_Data_Daten_Bplan RD 1001 4" xfId="14708" xr:uid="{00000000-0005-0000-0000-00006B390000}"/>
    <cellStyle name="_Data_Daten_Copy of BGT 08 Templates Sales  Marketing - final (revised)" xfId="14709" xr:uid="{00000000-0005-0000-0000-00006C390000}"/>
    <cellStyle name="_Data_Daten_Copy of BGT 08 Templates Sales  Marketing - final (revised) 2" xfId="14710" xr:uid="{00000000-0005-0000-0000-00006D390000}"/>
    <cellStyle name="_Data_Daten_Copy of BGT 08 Templates Sales  Marketing - final (revised) 2 2" xfId="14711" xr:uid="{00000000-0005-0000-0000-00006E390000}"/>
    <cellStyle name="_Data_Daten_Copy of BGT 08 Templates Sales  Marketing - final (revised) 3" xfId="14712" xr:uid="{00000000-0005-0000-0000-00006F390000}"/>
    <cellStyle name="_Data_Daten_Copy of BGT 08 Templates Sales  Marketing - final (revised) 4" xfId="14713" xr:uid="{00000000-0005-0000-0000-000070390000}"/>
    <cellStyle name="_Data_Daten_Excel sheets to support Market Program Template for Budget 09" xfId="14714" xr:uid="{00000000-0005-0000-0000-000071390000}"/>
    <cellStyle name="_Data_Daten_Excel sheets to support Market Program Template for Budget 09 (5) (2)" xfId="14715" xr:uid="{00000000-0005-0000-0000-000072390000}"/>
    <cellStyle name="_Data_Daten_Excel sheets to support Market Program Template for Budget 09 (5) (2) 2" xfId="14716" xr:uid="{00000000-0005-0000-0000-000073390000}"/>
    <cellStyle name="_Data_Daten_Excel sheets to support Market Program Template for Budget 09 (5) (2) 2 2" xfId="14717" xr:uid="{00000000-0005-0000-0000-000074390000}"/>
    <cellStyle name="_Data_Daten_Excel sheets to support Market Program Template for Budget 09 (5) (3)" xfId="14718" xr:uid="{00000000-0005-0000-0000-000075390000}"/>
    <cellStyle name="_Data_Daten_Excel sheets to support Market Program Template for Budget 09 (5) (3) 2" xfId="14719" xr:uid="{00000000-0005-0000-0000-000076390000}"/>
    <cellStyle name="_Data_Daten_Excel sheets to support Market Program Template for Budget 09 (5) (3) 2 2" xfId="14720" xr:uid="{00000000-0005-0000-0000-000077390000}"/>
    <cellStyle name="_Data_Daten_Excel sheets to support Market Program Template for Budget 09 2" xfId="14721" xr:uid="{00000000-0005-0000-0000-000078390000}"/>
    <cellStyle name="_Data_Daten_Excel sheets to support Market Program Template for Budget 09 2 2" xfId="14722" xr:uid="{00000000-0005-0000-0000-000079390000}"/>
    <cellStyle name="_Data_Daten_Excel sheets to support Market Program Template for Budget 09 3" xfId="14723" xr:uid="{00000000-0005-0000-0000-00007A390000}"/>
    <cellStyle name="_Data_Daten_Excel sheets to support Market Program Template for Budget 09 3 2" xfId="14724" xr:uid="{00000000-0005-0000-0000-00007B390000}"/>
    <cellStyle name="_Data_Daten_Excel sheets to support Market Program Template for Budget 09 4" xfId="14725" xr:uid="{00000000-0005-0000-0000-00007C390000}"/>
    <cellStyle name="_Data_Daten_Excel sheets to support Market Program Template for Budget 09 5" xfId="14726" xr:uid="{00000000-0005-0000-0000-00007D390000}"/>
    <cellStyle name="_Data_Daten_Excel sheets to support Market Program Template for Budget 09 6" xfId="14727" xr:uid="{00000000-0005-0000-0000-00007E390000}"/>
    <cellStyle name="_Data_Daten_Forecast Summary July v1" xfId="14728" xr:uid="{00000000-0005-0000-0000-00007F390000}"/>
    <cellStyle name="_Data_Daten_Forecast Summary July v1 2" xfId="14729" xr:uid="{00000000-0005-0000-0000-000080390000}"/>
    <cellStyle name="_Data_Daten_Forecast Summary July v1 2 2" xfId="14730" xr:uid="{00000000-0005-0000-0000-000081390000}"/>
    <cellStyle name="_Data_Daten_KPI-Dez02-Bremen Vorbereitungsdatei" xfId="14731" xr:uid="{00000000-0005-0000-0000-000082390000}"/>
    <cellStyle name="_Data_Daten_KPI-Dez02-Bremen Vorbereitungsdatei 2" xfId="14732" xr:uid="{00000000-0005-0000-0000-000083390000}"/>
    <cellStyle name="_Data_Daten_KPI-Dez02-Bremen Vorbereitungsdatei 2 2" xfId="14733" xr:uid="{00000000-0005-0000-0000-000084390000}"/>
    <cellStyle name="_Data_Daten_KPI-Dez02-Bremen Vorbereitungsdatei 2 2 2" xfId="14734" xr:uid="{00000000-0005-0000-0000-000085390000}"/>
    <cellStyle name="_Data_Daten_KPI-Dez02-Bremen Vorbereitungsdatei 2 3" xfId="14735" xr:uid="{00000000-0005-0000-0000-000086390000}"/>
    <cellStyle name="_Data_Daten_KPI-Dez02-Bremen Vorbereitungsdatei 2 4" xfId="14736" xr:uid="{00000000-0005-0000-0000-000087390000}"/>
    <cellStyle name="_Data_Daten_KPI-Dez02-Bremen Vorbereitungsdatei 3" xfId="14737" xr:uid="{00000000-0005-0000-0000-000088390000}"/>
    <cellStyle name="_Data_Daten_KPI-Dez02-Bremen Vorbereitungsdatei 3 2" xfId="14738" xr:uid="{00000000-0005-0000-0000-000089390000}"/>
    <cellStyle name="_Data_Daten_KPI-Dez02-Bremen Vorbereitungsdatei_010808 Market Programs  for Budget Deck" xfId="14739" xr:uid="{00000000-0005-0000-0000-00008A390000}"/>
    <cellStyle name="_Data_Daten_KPI-Dez02-Bremen Vorbereitungsdatei_010808 Market Programs  for Budget Deck 2" xfId="14740" xr:uid="{00000000-0005-0000-0000-00008B390000}"/>
    <cellStyle name="_Data_Daten_KPI-Dez02-Bremen Vorbereitungsdatei_010808 Market Programs  for Budget Deck 2 2" xfId="14741" xr:uid="{00000000-0005-0000-0000-00008C390000}"/>
    <cellStyle name="_Data_Daten_KPI-Dez02-Bremen Vorbereitungsdatei_0908 Gabarito exchange rate" xfId="14742" xr:uid="{00000000-0005-0000-0000-00008D390000}"/>
    <cellStyle name="_Data_Daten_KPI-Dez02-Bremen Vorbereitungsdatei_0908 Gabarito exchange rate 2" xfId="14743" xr:uid="{00000000-0005-0000-0000-00008E390000}"/>
    <cellStyle name="_Data_Daten_KPI-Dez02-Bremen Vorbereitungsdatei_0908 Gabarito exchange rate 2 2" xfId="14744" xr:uid="{00000000-0005-0000-0000-00008F390000}"/>
    <cellStyle name="_Data_Daten_KPI-Dez02-Bremen Vorbereitungsdatei_0908 Gabarito exchange rate 3" xfId="14745" xr:uid="{00000000-0005-0000-0000-000090390000}"/>
    <cellStyle name="_Data_Daten_KPI-Dez02-Bremen Vorbereitungsdatei_0908 Gabarito exchange rate 4" xfId="14746" xr:uid="{00000000-0005-0000-0000-000091390000}"/>
    <cellStyle name="_Data_Daten_KPI-Dez02-Bremen Vorbereitungsdatei_BGT 08 Templates Sales  Marketing - final (revised)" xfId="14747" xr:uid="{00000000-0005-0000-0000-000092390000}"/>
    <cellStyle name="_Data_Daten_KPI-Dez02-Bremen Vorbereitungsdatei_BGT 08 Templates Sales  Marketing - final (revised) 2" xfId="14748" xr:uid="{00000000-0005-0000-0000-000093390000}"/>
    <cellStyle name="_Data_Daten_KPI-Dez02-Bremen Vorbereitungsdatei_BGT 08 Templates Sales  Marketing - final (revised) 2 2" xfId="14749" xr:uid="{00000000-0005-0000-0000-000094390000}"/>
    <cellStyle name="_Data_Daten_KPI-Dez02-Bremen Vorbereitungsdatei_BGT 08 Templates Sales  Marketing - final (revised) 3" xfId="14750" xr:uid="{00000000-0005-0000-0000-000095390000}"/>
    <cellStyle name="_Data_Daten_KPI-Dez02-Bremen Vorbereitungsdatei_BGT 08 Templates Sales  Marketing - final (revised) 4" xfId="14751" xr:uid="{00000000-0005-0000-0000-000096390000}"/>
    <cellStyle name="_Data_Daten_KPI-Dez02-Bremen Vorbereitungsdatei_BGT 08 templates, Sales &amp; Marketing - draft com alterações" xfId="14752" xr:uid="{00000000-0005-0000-0000-000097390000}"/>
    <cellStyle name="_Data_Daten_KPI-Dez02-Bremen Vorbereitungsdatei_BGT 08 templates, Sales &amp; Marketing - draft com alterações 2" xfId="14753" xr:uid="{00000000-0005-0000-0000-000098390000}"/>
    <cellStyle name="_Data_Daten_KPI-Dez02-Bremen Vorbereitungsdatei_BGT 08 templates, Sales &amp; Marketing - draft com alterações 2 2" xfId="14754" xr:uid="{00000000-0005-0000-0000-000099390000}"/>
    <cellStyle name="_Data_Daten_KPI-Dez02-Bremen Vorbereitungsdatei_BGT 08 templates, Sales &amp; Marketing - draft com alterações 3" xfId="14755" xr:uid="{00000000-0005-0000-0000-00009A390000}"/>
    <cellStyle name="_Data_Daten_KPI-Dez02-Bremen Vorbereitungsdatei_BGT 08 templates, Sales &amp; Marketing - draft com alterações 4" xfId="14756" xr:uid="{00000000-0005-0000-0000-00009B390000}"/>
    <cellStyle name="_Data_Daten_KPI-Dez02-Bremen Vorbereitungsdatei_Book5" xfId="14757" xr:uid="{00000000-0005-0000-0000-00009C390000}"/>
    <cellStyle name="_Data_Daten_KPI-Dez02-Bremen Vorbereitungsdatei_Book5 2" xfId="14758" xr:uid="{00000000-0005-0000-0000-00009D390000}"/>
    <cellStyle name="_Data_Daten_KPI-Dez02-Bremen Vorbereitungsdatei_Book5 2 2" xfId="14759" xr:uid="{00000000-0005-0000-0000-00009E390000}"/>
    <cellStyle name="_Data_Daten_KPI-Dez02-Bremen Vorbereitungsdatei_Book5 3" xfId="14760" xr:uid="{00000000-0005-0000-0000-00009F390000}"/>
    <cellStyle name="_Data_Daten_KPI-Dez02-Bremen Vorbereitungsdatei_Book5 4" xfId="14761" xr:uid="{00000000-0005-0000-0000-0000A0390000}"/>
    <cellStyle name="_Data_Daten_KPI-Dez02-Bremen Vorbereitungsdatei_Bplan RD 1001" xfId="14762" xr:uid="{00000000-0005-0000-0000-0000A1390000}"/>
    <cellStyle name="_Data_Daten_KPI-Dez02-Bremen Vorbereitungsdatei_Bplan RD 1001 2" xfId="14763" xr:uid="{00000000-0005-0000-0000-0000A2390000}"/>
    <cellStyle name="_Data_Daten_KPI-Dez02-Bremen Vorbereitungsdatei_Bplan RD 1001 2 2" xfId="14764" xr:uid="{00000000-0005-0000-0000-0000A3390000}"/>
    <cellStyle name="_Data_Daten_KPI-Dez02-Bremen Vorbereitungsdatei_Bplan RD 1001 3" xfId="14765" xr:uid="{00000000-0005-0000-0000-0000A4390000}"/>
    <cellStyle name="_Data_Daten_KPI-Dez02-Bremen Vorbereitungsdatei_Bplan RD 1001 4" xfId="14766" xr:uid="{00000000-0005-0000-0000-0000A5390000}"/>
    <cellStyle name="_Data_Daten_KPI-Dez02-Bremen Vorbereitungsdatei_Copy of 081027 ZBB Budget 2009 Decks - People_Cherry_V4" xfId="14767" xr:uid="{00000000-0005-0000-0000-0000A6390000}"/>
    <cellStyle name="_Data_Daten_KPI-Dez02-Bremen Vorbereitungsdatei_Copy of 081027 ZBB Budget 2009 Decks - People_Cherry_V4 2" xfId="14768" xr:uid="{00000000-0005-0000-0000-0000A7390000}"/>
    <cellStyle name="_Data_Daten_KPI-Dez02-Bremen Vorbereitungsdatei_Copy of 081027 ZBB Budget 2009 Decks - People_Cherry_V4 2 2" xfId="14769" xr:uid="{00000000-0005-0000-0000-0000A8390000}"/>
    <cellStyle name="_Data_Daten_KPI-Dez02-Bremen Vorbereitungsdatei_Copy of BGT 08 Templates Sales  Marketing - final (revised)" xfId="14770" xr:uid="{00000000-0005-0000-0000-0000A9390000}"/>
    <cellStyle name="_Data_Daten_KPI-Dez02-Bremen Vorbereitungsdatei_Copy of BGT 08 Templates Sales  Marketing - final (revised) 2" xfId="14771" xr:uid="{00000000-0005-0000-0000-0000AA390000}"/>
    <cellStyle name="_Data_Daten_KPI-Dez02-Bremen Vorbereitungsdatei_Copy of BGT 08 Templates Sales  Marketing - final (revised) 2 2" xfId="14772" xr:uid="{00000000-0005-0000-0000-0000AB390000}"/>
    <cellStyle name="_Data_Daten_KPI-Dez02-Bremen Vorbereitungsdatei_Copy of BGT 08 Templates Sales  Marketing - final (revised) 3" xfId="14773" xr:uid="{00000000-0005-0000-0000-0000AC390000}"/>
    <cellStyle name="_Data_Daten_KPI-Dez02-Bremen Vorbereitungsdatei_Copy of BGT 08 Templates Sales  Marketing - final (revised) 4" xfId="14774" xr:uid="{00000000-0005-0000-0000-0000AD390000}"/>
    <cellStyle name="_Data_Daten_KPI-Dez02-Bremen Vorbereitungsdatei_Excel sheets to support Market Program Template for Budget 09 (5) (2)" xfId="14775" xr:uid="{00000000-0005-0000-0000-0000AE390000}"/>
    <cellStyle name="_Data_Daten_KPI-Dez02-Bremen Vorbereitungsdatei_Excel sheets to support Market Program Template for Budget 09 (5) (2) 2" xfId="14776" xr:uid="{00000000-0005-0000-0000-0000AF390000}"/>
    <cellStyle name="_Data_Daten_KPI-Dez02-Bremen Vorbereitungsdatei_Excel sheets to support Market Program Template for Budget 09 (5) (2) 2 2" xfId="14777" xr:uid="{00000000-0005-0000-0000-0000B0390000}"/>
    <cellStyle name="_Data_Daten_KPI-Dez02-Bremen Vorbereitungsdatei_Excel sheets to support Market Program Template for Budget 09 (5) (3)" xfId="14778" xr:uid="{00000000-0005-0000-0000-0000B1390000}"/>
    <cellStyle name="_Data_Daten_KPI-Dez02-Bremen Vorbereitungsdatei_Excel sheets to support Market Program Template for Budget 09 (5) (3) 2" xfId="14779" xr:uid="{00000000-0005-0000-0000-0000B2390000}"/>
    <cellStyle name="_Data_Daten_KPI-Dez02-Bremen Vorbereitungsdatei_Excel sheets to support Market Program Template for Budget 09 (5) (3) 2 2" xfId="14780" xr:uid="{00000000-0005-0000-0000-0000B3390000}"/>
    <cellStyle name="_Data_Daten_KPI-Dez02-Bremen Vorbereitungsdatei_LE Ebitda RD Feb-10 v2" xfId="14781" xr:uid="{00000000-0005-0000-0000-0000B4390000}"/>
    <cellStyle name="_Data_Daten_KPI-Dez02-Bremen Vorbereitungsdatei_LE Ebitda RD Feb-10 v2 2" xfId="14782" xr:uid="{00000000-0005-0000-0000-0000B5390000}"/>
    <cellStyle name="_Data_Daten_KPI-Dez02-Bremen Vorbereitungsdatei_LE Ebitda RD Feb-10 v2 2 2" xfId="14783" xr:uid="{00000000-0005-0000-0000-0000B6390000}"/>
    <cellStyle name="_Data_Daten_KPI-Dez02-Bremen Vorbereitungsdatei_People Package" xfId="14784" xr:uid="{00000000-0005-0000-0000-0000B7390000}"/>
    <cellStyle name="_Data_Daten_KPI-Dez02-Bremen Vorbereitungsdatei_People Package (2)" xfId="14785" xr:uid="{00000000-0005-0000-0000-0000B8390000}"/>
    <cellStyle name="_Data_Daten_KPI-Dez02-Bremen Vorbereitungsdatei_People Package (2) 2" xfId="14786" xr:uid="{00000000-0005-0000-0000-0000B9390000}"/>
    <cellStyle name="_Data_Daten_KPI-Dez02-Bremen Vorbereitungsdatei_People Package (2) 2 2" xfId="14787" xr:uid="{00000000-0005-0000-0000-0000BA390000}"/>
    <cellStyle name="_Data_Daten_KPI-Dez02-Bremen Vorbereitungsdatei_People Package 2" xfId="14788" xr:uid="{00000000-0005-0000-0000-0000BB390000}"/>
    <cellStyle name="_Data_Daten_KPI-Dez02-Bremen Vorbereitungsdatei_People Package 2 2" xfId="14789" xr:uid="{00000000-0005-0000-0000-0000BC390000}"/>
    <cellStyle name="_Data_Daten_KPI-Dez02-Bremen Vorbereitungsdatei_People Package 3" xfId="14790" xr:uid="{00000000-0005-0000-0000-0000BD390000}"/>
    <cellStyle name="_Data_Daten_KPI-Dez02-Bremen Vorbereitungsdatei_People Package 3 2" xfId="14791" xr:uid="{00000000-0005-0000-0000-0000BE390000}"/>
    <cellStyle name="_Data_Daten_KPI-Dez02-Bremen Vorbereitungsdatei_People Package 4" xfId="14792" xr:uid="{00000000-0005-0000-0000-0000BF390000}"/>
    <cellStyle name="_Data_Daten_KPI-Dez02-Bremen Vorbereitungsdatei_People Package 5" xfId="14793" xr:uid="{00000000-0005-0000-0000-0000C0390000}"/>
    <cellStyle name="_Data_Daten_KPI-Dez02-Bremen Vorbereitungsdatei_Sales and Marketing - revised" xfId="14794" xr:uid="{00000000-0005-0000-0000-0000C1390000}"/>
    <cellStyle name="_Data_Daten_KPI-Dez02-Bremen Vorbereitungsdatei_Sales and Marketing - revised 2" xfId="14795" xr:uid="{00000000-0005-0000-0000-0000C2390000}"/>
    <cellStyle name="_Data_Daten_KPI-Dez02-Bremen Vorbereitungsdatei_Sales and Marketing - revised 2 2" xfId="14796" xr:uid="{00000000-0005-0000-0000-0000C3390000}"/>
    <cellStyle name="_Data_Daten_KPI-Dez02-Bremen Vorbereitungsdatei_Sales and Marketing - revised 3" xfId="14797" xr:uid="{00000000-0005-0000-0000-0000C4390000}"/>
    <cellStyle name="_Data_Daten_KPI-Dez02-Bremen Vorbereitungsdatei_Sales and Marketing - revised 4" xfId="14798" xr:uid="{00000000-0005-0000-0000-0000C5390000}"/>
    <cellStyle name="_Data_Daten_KPI-Dez02-Bremen Vorbereitungsdatei_Sim Ebitda LE 0909 v4" xfId="14799" xr:uid="{00000000-0005-0000-0000-0000C6390000}"/>
    <cellStyle name="_Data_Daten_KPI-Dez02-Bremen Vorbereitungsdatei_Sim Ebitda LE 0909 v4 2" xfId="14800" xr:uid="{00000000-0005-0000-0000-0000C7390000}"/>
    <cellStyle name="_Data_Daten_KPI-Dez02-Bremen Vorbereitungsdatei_Sim Ebitda LE 0909 v4 2 2" xfId="14801" xr:uid="{00000000-0005-0000-0000-0000C8390000}"/>
    <cellStyle name="_Data_Daten_KPI-Dez02-Bremen Vorbereitungsdatei_Sim Ebitda LE 0909 v4 3" xfId="14802" xr:uid="{00000000-0005-0000-0000-0000C9390000}"/>
    <cellStyle name="_Data_Daten_KPI-Dez02-Bremen Vorbereitungsdatei_Sim Ebitda LE 0909 v4 4" xfId="14803" xr:uid="{00000000-0005-0000-0000-0000CA390000}"/>
    <cellStyle name="_Data_Daten_KPI-Dez02-Bremen Vorbereitungsdatei_WF Ebitda RD Abr-10" xfId="14804" xr:uid="{00000000-0005-0000-0000-0000CB390000}"/>
    <cellStyle name="_Data_Daten_KPI-Dez02-Bremen Vorbereitungsdatei_WF Ebitda RD Abr-10 2" xfId="14805" xr:uid="{00000000-0005-0000-0000-0000CC390000}"/>
    <cellStyle name="_Data_Daten_KPI-Dez02-Bremen Vorbereitungsdatei_WF Ebitda RD Abr-10 2 2" xfId="14806" xr:uid="{00000000-0005-0000-0000-0000CD390000}"/>
    <cellStyle name="_Data_Daten_KPI-Dez02-Bremen Vorbereitungsdatei_WF Ebitda Sep09" xfId="14807" xr:uid="{00000000-0005-0000-0000-0000CE390000}"/>
    <cellStyle name="_Data_Daten_KPI-Dez02-Bremen Vorbereitungsdatei_WF Ebitda Sep09 2" xfId="14808" xr:uid="{00000000-0005-0000-0000-0000CF390000}"/>
    <cellStyle name="_Data_Daten_KPI-Dez02-Bremen Vorbereitungsdatei_WF Ebitda Sep09 2 2" xfId="14809" xr:uid="{00000000-0005-0000-0000-0000D0390000}"/>
    <cellStyle name="_Data_Daten_KPI-Dez02-Bremen Vorbereitungsdatei_ZBB" xfId="14810" xr:uid="{00000000-0005-0000-0000-0000D1390000}"/>
    <cellStyle name="_Data_Daten_KPI-Dez02-Bremen Vorbereitungsdatei_ZBB 2" xfId="14811" xr:uid="{00000000-0005-0000-0000-0000D2390000}"/>
    <cellStyle name="_Data_Daten_KPI-Dez02-Bremen Vorbereitungsdatei_ZBB 2 2" xfId="14812" xr:uid="{00000000-0005-0000-0000-0000D3390000}"/>
    <cellStyle name="_Data_Daten_KPI-Dez02-Bremen Vorbereitungsdatei_ZBB Budget 2009 Decks" xfId="14813" xr:uid="{00000000-0005-0000-0000-0000D4390000}"/>
    <cellStyle name="_Data_Daten_KPI-Dez02-Bremen Vorbereitungsdatei_ZBB Budget 2009 Decks 2" xfId="14814" xr:uid="{00000000-0005-0000-0000-0000D5390000}"/>
    <cellStyle name="_Data_Daten_KPI-Dez02-Bremen Vorbereitungsdatei_ZBB Budget 2009 Decks 2 2" xfId="14815" xr:uid="{00000000-0005-0000-0000-0000D6390000}"/>
    <cellStyle name="_Data_Daten_KPI-Dez02-Bremen Vorbereitungsdatei_ZBB Budget 2009 Decks_with Korea Scope in (Only LE)" xfId="14816" xr:uid="{00000000-0005-0000-0000-0000D7390000}"/>
    <cellStyle name="_Data_Daten_KPI-Dez02-Bremen Vorbereitungsdatei_ZBB Budget 2009 Decks_with Korea Scope in (Only LE) (2)" xfId="14817" xr:uid="{00000000-0005-0000-0000-0000D8390000}"/>
    <cellStyle name="_Data_Daten_KPI-Dez02-Bremen Vorbereitungsdatei_ZBB Budget 2009 Decks_with Korea Scope in (Only LE) (2) 2" xfId="14818" xr:uid="{00000000-0005-0000-0000-0000D9390000}"/>
    <cellStyle name="_Data_Daten_KPI-Dez02-Bremen Vorbereitungsdatei_ZBB Budget 2009 Decks_with Korea Scope in (Only LE) (2) 2 2" xfId="14819" xr:uid="{00000000-0005-0000-0000-0000DA390000}"/>
    <cellStyle name="_Data_Daten_KPI-Dez02-Bremen Vorbereitungsdatei_ZBB Budget 2009 Decks_with Korea Scope in (Only LE) 2" xfId="14820" xr:uid="{00000000-0005-0000-0000-0000DB390000}"/>
    <cellStyle name="_Data_Daten_KPI-Dez02-Bremen Vorbereitungsdatei_ZBB Budget 2009 Decks_with Korea Scope in (Only LE) 2 2" xfId="14821" xr:uid="{00000000-0005-0000-0000-0000DC390000}"/>
    <cellStyle name="_Data_Daten_KPI-Dez02-Bremen Vorbereitungsdatei_ZBB Budget 2009 Decks_with Korea Scope in (Only LE) 3" xfId="14822" xr:uid="{00000000-0005-0000-0000-0000DD390000}"/>
    <cellStyle name="_Data_Daten_KPI-Dez02-Bremen Vorbereitungsdatei_ZBB Budget 2009 Decks_with Korea Scope in (Only LE) 3 2" xfId="14823" xr:uid="{00000000-0005-0000-0000-0000DE390000}"/>
    <cellStyle name="_Data_Daten_KPI-Dez02-Bremen Vorbereitungsdatei_ZBB Budget 2009 Decks_with Korea Scope in (Only LE) 4" xfId="14824" xr:uid="{00000000-0005-0000-0000-0000DF390000}"/>
    <cellStyle name="_Data_Daten_KPI-Dez02-Bremen Vorbereitungsdatei_ZBB Budget 2009 Decks_with Korea Scope in (Only LE) 5" xfId="14825" xr:uid="{00000000-0005-0000-0000-0000E0390000}"/>
    <cellStyle name="_Data_Daten_LE Ebitda RD Feb-10 v2" xfId="14826" xr:uid="{00000000-0005-0000-0000-0000E1390000}"/>
    <cellStyle name="_Data_Daten_LE Ebitda RD Feb-10 v2 2" xfId="14827" xr:uid="{00000000-0005-0000-0000-0000E2390000}"/>
    <cellStyle name="_Data_Daten_LE Ebitda RD Feb-10 v2 2 2" xfId="14828" xr:uid="{00000000-0005-0000-0000-0000E3390000}"/>
    <cellStyle name="_Data_Daten_People Package" xfId="14829" xr:uid="{00000000-0005-0000-0000-0000E4390000}"/>
    <cellStyle name="_Data_Daten_People Package (2)" xfId="14830" xr:uid="{00000000-0005-0000-0000-0000E5390000}"/>
    <cellStyle name="_Data_Daten_People Package (2) 2" xfId="14831" xr:uid="{00000000-0005-0000-0000-0000E6390000}"/>
    <cellStyle name="_Data_Daten_People Package (2) 2 2" xfId="14832" xr:uid="{00000000-0005-0000-0000-0000E7390000}"/>
    <cellStyle name="_Data_Daten_People Package 2" xfId="14833" xr:uid="{00000000-0005-0000-0000-0000E8390000}"/>
    <cellStyle name="_Data_Daten_People Package 2 2" xfId="14834" xr:uid="{00000000-0005-0000-0000-0000E9390000}"/>
    <cellStyle name="_Data_Daten_People Package 3" xfId="14835" xr:uid="{00000000-0005-0000-0000-0000EA390000}"/>
    <cellStyle name="_Data_Daten_People Package 3 2" xfId="14836" xr:uid="{00000000-0005-0000-0000-0000EB390000}"/>
    <cellStyle name="_Data_Daten_People Package 4" xfId="14837" xr:uid="{00000000-0005-0000-0000-0000EC390000}"/>
    <cellStyle name="_Data_Daten_People Package 5" xfId="14838" xr:uid="{00000000-0005-0000-0000-0000ED390000}"/>
    <cellStyle name="_Data_Daten_Rest" xfId="14839" xr:uid="{00000000-0005-0000-0000-0000EE390000}"/>
    <cellStyle name="_Data_Daten_Rest 2" xfId="14840" xr:uid="{00000000-0005-0000-0000-0000EF390000}"/>
    <cellStyle name="_Data_Daten_Rest 2 2" xfId="14841" xr:uid="{00000000-0005-0000-0000-0000F0390000}"/>
    <cellStyle name="_Data_Daten_Rest 2 2 2" xfId="14842" xr:uid="{00000000-0005-0000-0000-0000F1390000}"/>
    <cellStyle name="_Data_Daten_Rest 2 3" xfId="14843" xr:uid="{00000000-0005-0000-0000-0000F2390000}"/>
    <cellStyle name="_Data_Daten_Rest 2 4" xfId="14844" xr:uid="{00000000-0005-0000-0000-0000F3390000}"/>
    <cellStyle name="_Data_Daten_Rest 3" xfId="14845" xr:uid="{00000000-0005-0000-0000-0000F4390000}"/>
    <cellStyle name="_Data_Daten_Rest 3 2" xfId="14846" xr:uid="{00000000-0005-0000-0000-0000F5390000}"/>
    <cellStyle name="_Data_Daten_Rest_010808 Market Programs  for Budget Deck" xfId="14847" xr:uid="{00000000-0005-0000-0000-0000F6390000}"/>
    <cellStyle name="_Data_Daten_Rest_010808 Market Programs  for Budget Deck 2" xfId="14848" xr:uid="{00000000-0005-0000-0000-0000F7390000}"/>
    <cellStyle name="_Data_Daten_Rest_010808 Market Programs  for Budget Deck 2 2" xfId="14849" xr:uid="{00000000-0005-0000-0000-0000F8390000}"/>
    <cellStyle name="_Data_Daten_Rest_0908 Gabarito exchange rate" xfId="14850" xr:uid="{00000000-0005-0000-0000-0000F9390000}"/>
    <cellStyle name="_Data_Daten_Rest_0908 Gabarito exchange rate 2" xfId="14851" xr:uid="{00000000-0005-0000-0000-0000FA390000}"/>
    <cellStyle name="_Data_Daten_Rest_0908 Gabarito exchange rate 2 2" xfId="14852" xr:uid="{00000000-0005-0000-0000-0000FB390000}"/>
    <cellStyle name="_Data_Daten_Rest_0908 Gabarito exchange rate 3" xfId="14853" xr:uid="{00000000-0005-0000-0000-0000FC390000}"/>
    <cellStyle name="_Data_Daten_Rest_0908 Gabarito exchange rate 4" xfId="14854" xr:uid="{00000000-0005-0000-0000-0000FD390000}"/>
    <cellStyle name="_Data_Daten_Rest_BGT 08 Templates Sales  Marketing - final (revised)" xfId="14855" xr:uid="{00000000-0005-0000-0000-0000FE390000}"/>
    <cellStyle name="_Data_Daten_Rest_BGT 08 Templates Sales  Marketing - final (revised) 2" xfId="14856" xr:uid="{00000000-0005-0000-0000-0000FF390000}"/>
    <cellStyle name="_Data_Daten_Rest_BGT 08 Templates Sales  Marketing - final (revised) 2 2" xfId="14857" xr:uid="{00000000-0005-0000-0000-0000003A0000}"/>
    <cellStyle name="_Data_Daten_Rest_BGT 08 Templates Sales  Marketing - final (revised) 3" xfId="14858" xr:uid="{00000000-0005-0000-0000-0000013A0000}"/>
    <cellStyle name="_Data_Daten_Rest_BGT 08 Templates Sales  Marketing - final (revised) 4" xfId="14859" xr:uid="{00000000-0005-0000-0000-0000023A0000}"/>
    <cellStyle name="_Data_Daten_Rest_BGT 08 templates, Sales &amp; Marketing - draft com alterações" xfId="14860" xr:uid="{00000000-0005-0000-0000-0000033A0000}"/>
    <cellStyle name="_Data_Daten_Rest_BGT 08 templates, Sales &amp; Marketing - draft com alterações 2" xfId="14861" xr:uid="{00000000-0005-0000-0000-0000043A0000}"/>
    <cellStyle name="_Data_Daten_Rest_BGT 08 templates, Sales &amp; Marketing - draft com alterações 2 2" xfId="14862" xr:uid="{00000000-0005-0000-0000-0000053A0000}"/>
    <cellStyle name="_Data_Daten_Rest_BGT 08 templates, Sales &amp; Marketing - draft com alterações 3" xfId="14863" xr:uid="{00000000-0005-0000-0000-0000063A0000}"/>
    <cellStyle name="_Data_Daten_Rest_BGT 08 templates, Sales &amp; Marketing - draft com alterações 4" xfId="14864" xr:uid="{00000000-0005-0000-0000-0000073A0000}"/>
    <cellStyle name="_Data_Daten_Rest_Book5" xfId="14865" xr:uid="{00000000-0005-0000-0000-0000083A0000}"/>
    <cellStyle name="_Data_Daten_Rest_Book5 2" xfId="14866" xr:uid="{00000000-0005-0000-0000-0000093A0000}"/>
    <cellStyle name="_Data_Daten_Rest_Book5 2 2" xfId="14867" xr:uid="{00000000-0005-0000-0000-00000A3A0000}"/>
    <cellStyle name="_Data_Daten_Rest_Book5 3" xfId="14868" xr:uid="{00000000-0005-0000-0000-00000B3A0000}"/>
    <cellStyle name="_Data_Daten_Rest_Book5 4" xfId="14869" xr:uid="{00000000-0005-0000-0000-00000C3A0000}"/>
    <cellStyle name="_Data_Daten_Rest_Bplan RD 1001" xfId="14870" xr:uid="{00000000-0005-0000-0000-00000D3A0000}"/>
    <cellStyle name="_Data_Daten_Rest_Bplan RD 1001 2" xfId="14871" xr:uid="{00000000-0005-0000-0000-00000E3A0000}"/>
    <cellStyle name="_Data_Daten_Rest_Bplan RD 1001 2 2" xfId="14872" xr:uid="{00000000-0005-0000-0000-00000F3A0000}"/>
    <cellStyle name="_Data_Daten_Rest_Bplan RD 1001 3" xfId="14873" xr:uid="{00000000-0005-0000-0000-0000103A0000}"/>
    <cellStyle name="_Data_Daten_Rest_Bplan RD 1001 4" xfId="14874" xr:uid="{00000000-0005-0000-0000-0000113A0000}"/>
    <cellStyle name="_Data_Daten_Rest_Copy of 081027 ZBB Budget 2009 Decks - People_Cherry_V4" xfId="14875" xr:uid="{00000000-0005-0000-0000-0000123A0000}"/>
    <cellStyle name="_Data_Daten_Rest_Copy of 081027 ZBB Budget 2009 Decks - People_Cherry_V4 2" xfId="14876" xr:uid="{00000000-0005-0000-0000-0000133A0000}"/>
    <cellStyle name="_Data_Daten_Rest_Copy of 081027 ZBB Budget 2009 Decks - People_Cherry_V4 2 2" xfId="14877" xr:uid="{00000000-0005-0000-0000-0000143A0000}"/>
    <cellStyle name="_Data_Daten_Rest_Copy of BGT 08 Templates Sales  Marketing - final (revised)" xfId="14878" xr:uid="{00000000-0005-0000-0000-0000153A0000}"/>
    <cellStyle name="_Data_Daten_Rest_Copy of BGT 08 Templates Sales  Marketing - final (revised) 2" xfId="14879" xr:uid="{00000000-0005-0000-0000-0000163A0000}"/>
    <cellStyle name="_Data_Daten_Rest_Copy of BGT 08 Templates Sales  Marketing - final (revised) 2 2" xfId="14880" xr:uid="{00000000-0005-0000-0000-0000173A0000}"/>
    <cellStyle name="_Data_Daten_Rest_Copy of BGT 08 Templates Sales  Marketing - final (revised) 3" xfId="14881" xr:uid="{00000000-0005-0000-0000-0000183A0000}"/>
    <cellStyle name="_Data_Daten_Rest_Copy of BGT 08 Templates Sales  Marketing - final (revised) 4" xfId="14882" xr:uid="{00000000-0005-0000-0000-0000193A0000}"/>
    <cellStyle name="_Data_Daten_Rest_Excel sheets to support Market Program Template for Budget 09 (5) (2)" xfId="14883" xr:uid="{00000000-0005-0000-0000-00001A3A0000}"/>
    <cellStyle name="_Data_Daten_Rest_Excel sheets to support Market Program Template for Budget 09 (5) (2) 2" xfId="14884" xr:uid="{00000000-0005-0000-0000-00001B3A0000}"/>
    <cellStyle name="_Data_Daten_Rest_Excel sheets to support Market Program Template for Budget 09 (5) (2) 2 2" xfId="14885" xr:uid="{00000000-0005-0000-0000-00001C3A0000}"/>
    <cellStyle name="_Data_Daten_Rest_Excel sheets to support Market Program Template for Budget 09 (5) (3)" xfId="14886" xr:uid="{00000000-0005-0000-0000-00001D3A0000}"/>
    <cellStyle name="_Data_Daten_Rest_Excel sheets to support Market Program Template for Budget 09 (5) (3) 2" xfId="14887" xr:uid="{00000000-0005-0000-0000-00001E3A0000}"/>
    <cellStyle name="_Data_Daten_Rest_Excel sheets to support Market Program Template for Budget 09 (5) (3) 2 2" xfId="14888" xr:uid="{00000000-0005-0000-0000-00001F3A0000}"/>
    <cellStyle name="_Data_Daten_Rest_LE Ebitda RD Feb-10 v2" xfId="14889" xr:uid="{00000000-0005-0000-0000-0000203A0000}"/>
    <cellStyle name="_Data_Daten_Rest_LE Ebitda RD Feb-10 v2 2" xfId="14890" xr:uid="{00000000-0005-0000-0000-0000213A0000}"/>
    <cellStyle name="_Data_Daten_Rest_LE Ebitda RD Feb-10 v2 2 2" xfId="14891" xr:uid="{00000000-0005-0000-0000-0000223A0000}"/>
    <cellStyle name="_Data_Daten_Rest_People Package" xfId="14892" xr:uid="{00000000-0005-0000-0000-0000233A0000}"/>
    <cellStyle name="_Data_Daten_Rest_People Package (2)" xfId="14893" xr:uid="{00000000-0005-0000-0000-0000243A0000}"/>
    <cellStyle name="_Data_Daten_Rest_People Package (2) 2" xfId="14894" xr:uid="{00000000-0005-0000-0000-0000253A0000}"/>
    <cellStyle name="_Data_Daten_Rest_People Package (2) 2 2" xfId="14895" xr:uid="{00000000-0005-0000-0000-0000263A0000}"/>
    <cellStyle name="_Data_Daten_Rest_People Package 2" xfId="14896" xr:uid="{00000000-0005-0000-0000-0000273A0000}"/>
    <cellStyle name="_Data_Daten_Rest_People Package 2 2" xfId="14897" xr:uid="{00000000-0005-0000-0000-0000283A0000}"/>
    <cellStyle name="_Data_Daten_Rest_People Package 3" xfId="14898" xr:uid="{00000000-0005-0000-0000-0000293A0000}"/>
    <cellStyle name="_Data_Daten_Rest_People Package 3 2" xfId="14899" xr:uid="{00000000-0005-0000-0000-00002A3A0000}"/>
    <cellStyle name="_Data_Daten_Rest_People Package 4" xfId="14900" xr:uid="{00000000-0005-0000-0000-00002B3A0000}"/>
    <cellStyle name="_Data_Daten_Rest_People Package 5" xfId="14901" xr:uid="{00000000-0005-0000-0000-00002C3A0000}"/>
    <cellStyle name="_Data_Daten_Rest_Sales and Marketing - revised" xfId="14902" xr:uid="{00000000-0005-0000-0000-00002D3A0000}"/>
    <cellStyle name="_Data_Daten_Rest_Sales and Marketing - revised 2" xfId="14903" xr:uid="{00000000-0005-0000-0000-00002E3A0000}"/>
    <cellStyle name="_Data_Daten_Rest_Sales and Marketing - revised 2 2" xfId="14904" xr:uid="{00000000-0005-0000-0000-00002F3A0000}"/>
    <cellStyle name="_Data_Daten_Rest_Sales and Marketing - revised 3" xfId="14905" xr:uid="{00000000-0005-0000-0000-0000303A0000}"/>
    <cellStyle name="_Data_Daten_Rest_Sales and Marketing - revised 4" xfId="14906" xr:uid="{00000000-0005-0000-0000-0000313A0000}"/>
    <cellStyle name="_Data_Daten_Rest_Sim Ebitda LE 0909 v4" xfId="14907" xr:uid="{00000000-0005-0000-0000-0000323A0000}"/>
    <cellStyle name="_Data_Daten_Rest_Sim Ebitda LE 0909 v4 2" xfId="14908" xr:uid="{00000000-0005-0000-0000-0000333A0000}"/>
    <cellStyle name="_Data_Daten_Rest_Sim Ebitda LE 0909 v4 2 2" xfId="14909" xr:uid="{00000000-0005-0000-0000-0000343A0000}"/>
    <cellStyle name="_Data_Daten_Rest_Sim Ebitda LE 0909 v4 3" xfId="14910" xr:uid="{00000000-0005-0000-0000-0000353A0000}"/>
    <cellStyle name="_Data_Daten_Rest_Sim Ebitda LE 0909 v4 4" xfId="14911" xr:uid="{00000000-0005-0000-0000-0000363A0000}"/>
    <cellStyle name="_Data_Daten_Rest_WF Ebitda RD Abr-10" xfId="14912" xr:uid="{00000000-0005-0000-0000-0000373A0000}"/>
    <cellStyle name="_Data_Daten_Rest_WF Ebitda RD Abr-10 2" xfId="14913" xr:uid="{00000000-0005-0000-0000-0000383A0000}"/>
    <cellStyle name="_Data_Daten_Rest_WF Ebitda RD Abr-10 2 2" xfId="14914" xr:uid="{00000000-0005-0000-0000-0000393A0000}"/>
    <cellStyle name="_Data_Daten_Rest_WF Ebitda Sep09" xfId="14915" xr:uid="{00000000-0005-0000-0000-00003A3A0000}"/>
    <cellStyle name="_Data_Daten_Rest_WF Ebitda Sep09 2" xfId="14916" xr:uid="{00000000-0005-0000-0000-00003B3A0000}"/>
    <cellStyle name="_Data_Daten_Rest_WF Ebitda Sep09 2 2" xfId="14917" xr:uid="{00000000-0005-0000-0000-00003C3A0000}"/>
    <cellStyle name="_Data_Daten_Rest_ZBB" xfId="14918" xr:uid="{00000000-0005-0000-0000-00003D3A0000}"/>
    <cellStyle name="_Data_Daten_Rest_ZBB 2" xfId="14919" xr:uid="{00000000-0005-0000-0000-00003E3A0000}"/>
    <cellStyle name="_Data_Daten_Rest_ZBB 2 2" xfId="14920" xr:uid="{00000000-0005-0000-0000-00003F3A0000}"/>
    <cellStyle name="_Data_Daten_Rest_ZBB Budget 2009 Decks" xfId="14921" xr:uid="{00000000-0005-0000-0000-0000403A0000}"/>
    <cellStyle name="_Data_Daten_Rest_ZBB Budget 2009 Decks 2" xfId="14922" xr:uid="{00000000-0005-0000-0000-0000413A0000}"/>
    <cellStyle name="_Data_Daten_Rest_ZBB Budget 2009 Decks 2 2" xfId="14923" xr:uid="{00000000-0005-0000-0000-0000423A0000}"/>
    <cellStyle name="_Data_Daten_Rest_ZBB Budget 2009 Decks_with Korea Scope in (Only LE)" xfId="14924" xr:uid="{00000000-0005-0000-0000-0000433A0000}"/>
    <cellStyle name="_Data_Daten_Rest_ZBB Budget 2009 Decks_with Korea Scope in (Only LE) (2)" xfId="14925" xr:uid="{00000000-0005-0000-0000-0000443A0000}"/>
    <cellStyle name="_Data_Daten_Rest_ZBB Budget 2009 Decks_with Korea Scope in (Only LE) (2) 2" xfId="14926" xr:uid="{00000000-0005-0000-0000-0000453A0000}"/>
    <cellStyle name="_Data_Daten_Rest_ZBB Budget 2009 Decks_with Korea Scope in (Only LE) (2) 2 2" xfId="14927" xr:uid="{00000000-0005-0000-0000-0000463A0000}"/>
    <cellStyle name="_Data_Daten_Rest_ZBB Budget 2009 Decks_with Korea Scope in (Only LE) 2" xfId="14928" xr:uid="{00000000-0005-0000-0000-0000473A0000}"/>
    <cellStyle name="_Data_Daten_Rest_ZBB Budget 2009 Decks_with Korea Scope in (Only LE) 2 2" xfId="14929" xr:uid="{00000000-0005-0000-0000-0000483A0000}"/>
    <cellStyle name="_Data_Daten_Rest_ZBB Budget 2009 Decks_with Korea Scope in (Only LE) 3" xfId="14930" xr:uid="{00000000-0005-0000-0000-0000493A0000}"/>
    <cellStyle name="_Data_Daten_Rest_ZBB Budget 2009 Decks_with Korea Scope in (Only LE) 3 2" xfId="14931" xr:uid="{00000000-0005-0000-0000-00004A3A0000}"/>
    <cellStyle name="_Data_Daten_Rest_ZBB Budget 2009 Decks_with Korea Scope in (Only LE) 4" xfId="14932" xr:uid="{00000000-0005-0000-0000-00004B3A0000}"/>
    <cellStyle name="_Data_Daten_Rest_ZBB Budget 2009 Decks_with Korea Scope in (Only LE) 5" xfId="14933" xr:uid="{00000000-0005-0000-0000-00004C3A0000}"/>
    <cellStyle name="_Data_Daten_Sales and Marketing - revised" xfId="14934" xr:uid="{00000000-0005-0000-0000-00004D3A0000}"/>
    <cellStyle name="_Data_Daten_Sales and Marketing - revised 2" xfId="14935" xr:uid="{00000000-0005-0000-0000-00004E3A0000}"/>
    <cellStyle name="_Data_Daten_Sales and Marketing - revised 2 2" xfId="14936" xr:uid="{00000000-0005-0000-0000-00004F3A0000}"/>
    <cellStyle name="_Data_Daten_Sales and Marketing - revised 3" xfId="14937" xr:uid="{00000000-0005-0000-0000-0000503A0000}"/>
    <cellStyle name="_Data_Daten_Sales and Marketing - revised 4" xfId="14938" xr:uid="{00000000-0005-0000-0000-0000513A0000}"/>
    <cellStyle name="_Data_Daten_Sim Ebitda LE 0909 v4" xfId="14939" xr:uid="{00000000-0005-0000-0000-0000523A0000}"/>
    <cellStyle name="_Data_Daten_Sim Ebitda LE 0909 v4 2" xfId="14940" xr:uid="{00000000-0005-0000-0000-0000533A0000}"/>
    <cellStyle name="_Data_Daten_Sim Ebitda LE 0909 v4 2 2" xfId="14941" xr:uid="{00000000-0005-0000-0000-0000543A0000}"/>
    <cellStyle name="_Data_Daten_Sim Ebitda LE 0909 v4 3" xfId="14942" xr:uid="{00000000-0005-0000-0000-0000553A0000}"/>
    <cellStyle name="_Data_Daten_Sim Ebitda LE 0909 v4 4" xfId="14943" xr:uid="{00000000-0005-0000-0000-0000563A0000}"/>
    <cellStyle name="_Data_Daten_Strom" xfId="14944" xr:uid="{00000000-0005-0000-0000-0000573A0000}"/>
    <cellStyle name="_Data_Daten_Strom 2" xfId="14945" xr:uid="{00000000-0005-0000-0000-0000583A0000}"/>
    <cellStyle name="_Data_Daten_Strom 2 2" xfId="14946" xr:uid="{00000000-0005-0000-0000-0000593A0000}"/>
    <cellStyle name="_Data_Daten_Strom 2 2 2" xfId="14947" xr:uid="{00000000-0005-0000-0000-00005A3A0000}"/>
    <cellStyle name="_Data_Daten_Strom 2 3" xfId="14948" xr:uid="{00000000-0005-0000-0000-00005B3A0000}"/>
    <cellStyle name="_Data_Daten_Strom 2 4" xfId="14949" xr:uid="{00000000-0005-0000-0000-00005C3A0000}"/>
    <cellStyle name="_Data_Daten_Strom 3" xfId="14950" xr:uid="{00000000-0005-0000-0000-00005D3A0000}"/>
    <cellStyle name="_Data_Daten_Strom 3 2" xfId="14951" xr:uid="{00000000-0005-0000-0000-00005E3A0000}"/>
    <cellStyle name="_Data_Daten_Strom_010808 Market Programs  for Budget Deck" xfId="14952" xr:uid="{00000000-0005-0000-0000-00005F3A0000}"/>
    <cellStyle name="_Data_Daten_Strom_010808 Market Programs  for Budget Deck 2" xfId="14953" xr:uid="{00000000-0005-0000-0000-0000603A0000}"/>
    <cellStyle name="_Data_Daten_Strom_010808 Market Programs  for Budget Deck 2 2" xfId="14954" xr:uid="{00000000-0005-0000-0000-0000613A0000}"/>
    <cellStyle name="_Data_Daten_Strom_0908 Gabarito exchange rate" xfId="14955" xr:uid="{00000000-0005-0000-0000-0000623A0000}"/>
    <cellStyle name="_Data_Daten_Strom_0908 Gabarito exchange rate 2" xfId="14956" xr:uid="{00000000-0005-0000-0000-0000633A0000}"/>
    <cellStyle name="_Data_Daten_Strom_0908 Gabarito exchange rate 2 2" xfId="14957" xr:uid="{00000000-0005-0000-0000-0000643A0000}"/>
    <cellStyle name="_Data_Daten_Strom_0908 Gabarito exchange rate 3" xfId="14958" xr:uid="{00000000-0005-0000-0000-0000653A0000}"/>
    <cellStyle name="_Data_Daten_Strom_0908 Gabarito exchange rate 4" xfId="14959" xr:uid="{00000000-0005-0000-0000-0000663A0000}"/>
    <cellStyle name="_Data_Daten_Strom_BGT 08 Templates Sales  Marketing - final (revised)" xfId="14960" xr:uid="{00000000-0005-0000-0000-0000673A0000}"/>
    <cellStyle name="_Data_Daten_Strom_BGT 08 Templates Sales  Marketing - final (revised) 2" xfId="14961" xr:uid="{00000000-0005-0000-0000-0000683A0000}"/>
    <cellStyle name="_Data_Daten_Strom_BGT 08 Templates Sales  Marketing - final (revised) 2 2" xfId="14962" xr:uid="{00000000-0005-0000-0000-0000693A0000}"/>
    <cellStyle name="_Data_Daten_Strom_BGT 08 Templates Sales  Marketing - final (revised) 3" xfId="14963" xr:uid="{00000000-0005-0000-0000-00006A3A0000}"/>
    <cellStyle name="_Data_Daten_Strom_BGT 08 Templates Sales  Marketing - final (revised) 4" xfId="14964" xr:uid="{00000000-0005-0000-0000-00006B3A0000}"/>
    <cellStyle name="_Data_Daten_Strom_BGT 08 templates, Sales &amp; Marketing - draft com alterações" xfId="14965" xr:uid="{00000000-0005-0000-0000-00006C3A0000}"/>
    <cellStyle name="_Data_Daten_Strom_BGT 08 templates, Sales &amp; Marketing - draft com alterações 2" xfId="14966" xr:uid="{00000000-0005-0000-0000-00006D3A0000}"/>
    <cellStyle name="_Data_Daten_Strom_BGT 08 templates, Sales &amp; Marketing - draft com alterações 2 2" xfId="14967" xr:uid="{00000000-0005-0000-0000-00006E3A0000}"/>
    <cellStyle name="_Data_Daten_Strom_BGT 08 templates, Sales &amp; Marketing - draft com alterações 3" xfId="14968" xr:uid="{00000000-0005-0000-0000-00006F3A0000}"/>
    <cellStyle name="_Data_Daten_Strom_BGT 08 templates, Sales &amp; Marketing - draft com alterações 4" xfId="14969" xr:uid="{00000000-0005-0000-0000-0000703A0000}"/>
    <cellStyle name="_Data_Daten_Strom_Book5" xfId="14970" xr:uid="{00000000-0005-0000-0000-0000713A0000}"/>
    <cellStyle name="_Data_Daten_Strom_Book5 2" xfId="14971" xr:uid="{00000000-0005-0000-0000-0000723A0000}"/>
    <cellStyle name="_Data_Daten_Strom_Book5 2 2" xfId="14972" xr:uid="{00000000-0005-0000-0000-0000733A0000}"/>
    <cellStyle name="_Data_Daten_Strom_Book5 3" xfId="14973" xr:uid="{00000000-0005-0000-0000-0000743A0000}"/>
    <cellStyle name="_Data_Daten_Strom_Book5 4" xfId="14974" xr:uid="{00000000-0005-0000-0000-0000753A0000}"/>
    <cellStyle name="_Data_Daten_Strom_Bplan RD 1001" xfId="14975" xr:uid="{00000000-0005-0000-0000-0000763A0000}"/>
    <cellStyle name="_Data_Daten_Strom_Bplan RD 1001 2" xfId="14976" xr:uid="{00000000-0005-0000-0000-0000773A0000}"/>
    <cellStyle name="_Data_Daten_Strom_Bplan RD 1001 2 2" xfId="14977" xr:uid="{00000000-0005-0000-0000-0000783A0000}"/>
    <cellStyle name="_Data_Daten_Strom_Bplan RD 1001 3" xfId="14978" xr:uid="{00000000-0005-0000-0000-0000793A0000}"/>
    <cellStyle name="_Data_Daten_Strom_Bplan RD 1001 4" xfId="14979" xr:uid="{00000000-0005-0000-0000-00007A3A0000}"/>
    <cellStyle name="_Data_Daten_Strom_Copy of 081027 ZBB Budget 2009 Decks - People_Cherry_V4" xfId="14980" xr:uid="{00000000-0005-0000-0000-00007B3A0000}"/>
    <cellStyle name="_Data_Daten_Strom_Copy of 081027 ZBB Budget 2009 Decks - People_Cherry_V4 2" xfId="14981" xr:uid="{00000000-0005-0000-0000-00007C3A0000}"/>
    <cellStyle name="_Data_Daten_Strom_Copy of 081027 ZBB Budget 2009 Decks - People_Cherry_V4 2 2" xfId="14982" xr:uid="{00000000-0005-0000-0000-00007D3A0000}"/>
    <cellStyle name="_Data_Daten_Strom_Copy of BGT 08 Templates Sales  Marketing - final (revised)" xfId="14983" xr:uid="{00000000-0005-0000-0000-00007E3A0000}"/>
    <cellStyle name="_Data_Daten_Strom_Copy of BGT 08 Templates Sales  Marketing - final (revised) 2" xfId="14984" xr:uid="{00000000-0005-0000-0000-00007F3A0000}"/>
    <cellStyle name="_Data_Daten_Strom_Copy of BGT 08 Templates Sales  Marketing - final (revised) 2 2" xfId="14985" xr:uid="{00000000-0005-0000-0000-0000803A0000}"/>
    <cellStyle name="_Data_Daten_Strom_Copy of BGT 08 Templates Sales  Marketing - final (revised) 3" xfId="14986" xr:uid="{00000000-0005-0000-0000-0000813A0000}"/>
    <cellStyle name="_Data_Daten_Strom_Copy of BGT 08 Templates Sales  Marketing - final (revised) 4" xfId="14987" xr:uid="{00000000-0005-0000-0000-0000823A0000}"/>
    <cellStyle name="_Data_Daten_Strom_Excel sheets to support Market Program Template for Budget 09 (5) (2)" xfId="14988" xr:uid="{00000000-0005-0000-0000-0000833A0000}"/>
    <cellStyle name="_Data_Daten_Strom_Excel sheets to support Market Program Template for Budget 09 (5) (2) 2" xfId="14989" xr:uid="{00000000-0005-0000-0000-0000843A0000}"/>
    <cellStyle name="_Data_Daten_Strom_Excel sheets to support Market Program Template for Budget 09 (5) (2) 2 2" xfId="14990" xr:uid="{00000000-0005-0000-0000-0000853A0000}"/>
    <cellStyle name="_Data_Daten_Strom_Excel sheets to support Market Program Template for Budget 09 (5) (3)" xfId="14991" xr:uid="{00000000-0005-0000-0000-0000863A0000}"/>
    <cellStyle name="_Data_Daten_Strom_Excel sheets to support Market Program Template for Budget 09 (5) (3) 2" xfId="14992" xr:uid="{00000000-0005-0000-0000-0000873A0000}"/>
    <cellStyle name="_Data_Daten_Strom_Excel sheets to support Market Program Template for Budget 09 (5) (3) 2 2" xfId="14993" xr:uid="{00000000-0005-0000-0000-0000883A0000}"/>
    <cellStyle name="_Data_Daten_Strom_LE Ebitda RD Feb-10 v2" xfId="14994" xr:uid="{00000000-0005-0000-0000-0000893A0000}"/>
    <cellStyle name="_Data_Daten_Strom_LE Ebitda RD Feb-10 v2 2" xfId="14995" xr:uid="{00000000-0005-0000-0000-00008A3A0000}"/>
    <cellStyle name="_Data_Daten_Strom_LE Ebitda RD Feb-10 v2 2 2" xfId="14996" xr:uid="{00000000-0005-0000-0000-00008B3A0000}"/>
    <cellStyle name="_Data_Daten_Strom_People Package" xfId="14997" xr:uid="{00000000-0005-0000-0000-00008C3A0000}"/>
    <cellStyle name="_Data_Daten_Strom_People Package (2)" xfId="14998" xr:uid="{00000000-0005-0000-0000-00008D3A0000}"/>
    <cellStyle name="_Data_Daten_Strom_People Package (2) 2" xfId="14999" xr:uid="{00000000-0005-0000-0000-00008E3A0000}"/>
    <cellStyle name="_Data_Daten_Strom_People Package (2) 2 2" xfId="15000" xr:uid="{00000000-0005-0000-0000-00008F3A0000}"/>
    <cellStyle name="_Data_Daten_Strom_People Package 2" xfId="15001" xr:uid="{00000000-0005-0000-0000-0000903A0000}"/>
    <cellStyle name="_Data_Daten_Strom_People Package 2 2" xfId="15002" xr:uid="{00000000-0005-0000-0000-0000913A0000}"/>
    <cellStyle name="_Data_Daten_Strom_People Package 3" xfId="15003" xr:uid="{00000000-0005-0000-0000-0000923A0000}"/>
    <cellStyle name="_Data_Daten_Strom_People Package 3 2" xfId="15004" xr:uid="{00000000-0005-0000-0000-0000933A0000}"/>
    <cellStyle name="_Data_Daten_Strom_People Package 4" xfId="15005" xr:uid="{00000000-0005-0000-0000-0000943A0000}"/>
    <cellStyle name="_Data_Daten_Strom_People Package 5" xfId="15006" xr:uid="{00000000-0005-0000-0000-0000953A0000}"/>
    <cellStyle name="_Data_Daten_Strom_Sales and Marketing - revised" xfId="15007" xr:uid="{00000000-0005-0000-0000-0000963A0000}"/>
    <cellStyle name="_Data_Daten_Strom_Sales and Marketing - revised 2" xfId="15008" xr:uid="{00000000-0005-0000-0000-0000973A0000}"/>
    <cellStyle name="_Data_Daten_Strom_Sales and Marketing - revised 2 2" xfId="15009" xr:uid="{00000000-0005-0000-0000-0000983A0000}"/>
    <cellStyle name="_Data_Daten_Strom_Sales and Marketing - revised 3" xfId="15010" xr:uid="{00000000-0005-0000-0000-0000993A0000}"/>
    <cellStyle name="_Data_Daten_Strom_Sales and Marketing - revised 4" xfId="15011" xr:uid="{00000000-0005-0000-0000-00009A3A0000}"/>
    <cellStyle name="_Data_Daten_Strom_Sim Ebitda LE 0909 v4" xfId="15012" xr:uid="{00000000-0005-0000-0000-00009B3A0000}"/>
    <cellStyle name="_Data_Daten_Strom_Sim Ebitda LE 0909 v4 2" xfId="15013" xr:uid="{00000000-0005-0000-0000-00009C3A0000}"/>
    <cellStyle name="_Data_Daten_Strom_Sim Ebitda LE 0909 v4 2 2" xfId="15014" xr:uid="{00000000-0005-0000-0000-00009D3A0000}"/>
    <cellStyle name="_Data_Daten_Strom_Sim Ebitda LE 0909 v4 3" xfId="15015" xr:uid="{00000000-0005-0000-0000-00009E3A0000}"/>
    <cellStyle name="_Data_Daten_Strom_Sim Ebitda LE 0909 v4 4" xfId="15016" xr:uid="{00000000-0005-0000-0000-00009F3A0000}"/>
    <cellStyle name="_Data_Daten_Strom_WF Ebitda RD Abr-10" xfId="15017" xr:uid="{00000000-0005-0000-0000-0000A03A0000}"/>
    <cellStyle name="_Data_Daten_Strom_WF Ebitda RD Abr-10 2" xfId="15018" xr:uid="{00000000-0005-0000-0000-0000A13A0000}"/>
    <cellStyle name="_Data_Daten_Strom_WF Ebitda RD Abr-10 2 2" xfId="15019" xr:uid="{00000000-0005-0000-0000-0000A23A0000}"/>
    <cellStyle name="_Data_Daten_Strom_WF Ebitda Sep09" xfId="15020" xr:uid="{00000000-0005-0000-0000-0000A33A0000}"/>
    <cellStyle name="_Data_Daten_Strom_WF Ebitda Sep09 2" xfId="15021" xr:uid="{00000000-0005-0000-0000-0000A43A0000}"/>
    <cellStyle name="_Data_Daten_Strom_WF Ebitda Sep09 2 2" xfId="15022" xr:uid="{00000000-0005-0000-0000-0000A53A0000}"/>
    <cellStyle name="_Data_Daten_Strom_ZBB" xfId="15023" xr:uid="{00000000-0005-0000-0000-0000A63A0000}"/>
    <cellStyle name="_Data_Daten_Strom_ZBB 2" xfId="15024" xr:uid="{00000000-0005-0000-0000-0000A73A0000}"/>
    <cellStyle name="_Data_Daten_Strom_ZBB 2 2" xfId="15025" xr:uid="{00000000-0005-0000-0000-0000A83A0000}"/>
    <cellStyle name="_Data_Daten_Strom_ZBB Budget 2009 Decks" xfId="15026" xr:uid="{00000000-0005-0000-0000-0000A93A0000}"/>
    <cellStyle name="_Data_Daten_Strom_ZBB Budget 2009 Decks 2" xfId="15027" xr:uid="{00000000-0005-0000-0000-0000AA3A0000}"/>
    <cellStyle name="_Data_Daten_Strom_ZBB Budget 2009 Decks 2 2" xfId="15028" xr:uid="{00000000-0005-0000-0000-0000AB3A0000}"/>
    <cellStyle name="_Data_Daten_Strom_ZBB Budget 2009 Decks_with Korea Scope in (Only LE)" xfId="15029" xr:uid="{00000000-0005-0000-0000-0000AC3A0000}"/>
    <cellStyle name="_Data_Daten_Strom_ZBB Budget 2009 Decks_with Korea Scope in (Only LE) (2)" xfId="15030" xr:uid="{00000000-0005-0000-0000-0000AD3A0000}"/>
    <cellStyle name="_Data_Daten_Strom_ZBB Budget 2009 Decks_with Korea Scope in (Only LE) (2) 2" xfId="15031" xr:uid="{00000000-0005-0000-0000-0000AE3A0000}"/>
    <cellStyle name="_Data_Daten_Strom_ZBB Budget 2009 Decks_with Korea Scope in (Only LE) (2) 2 2" xfId="15032" xr:uid="{00000000-0005-0000-0000-0000AF3A0000}"/>
    <cellStyle name="_Data_Daten_Strom_ZBB Budget 2009 Decks_with Korea Scope in (Only LE) 2" xfId="15033" xr:uid="{00000000-0005-0000-0000-0000B03A0000}"/>
    <cellStyle name="_Data_Daten_Strom_ZBB Budget 2009 Decks_with Korea Scope in (Only LE) 2 2" xfId="15034" xr:uid="{00000000-0005-0000-0000-0000B13A0000}"/>
    <cellStyle name="_Data_Daten_Strom_ZBB Budget 2009 Decks_with Korea Scope in (Only LE) 3" xfId="15035" xr:uid="{00000000-0005-0000-0000-0000B23A0000}"/>
    <cellStyle name="_Data_Daten_Strom_ZBB Budget 2009 Decks_with Korea Scope in (Only LE) 3 2" xfId="15036" xr:uid="{00000000-0005-0000-0000-0000B33A0000}"/>
    <cellStyle name="_Data_Daten_Strom_ZBB Budget 2009 Decks_with Korea Scope in (Only LE) 4" xfId="15037" xr:uid="{00000000-0005-0000-0000-0000B43A0000}"/>
    <cellStyle name="_Data_Daten_Strom_ZBB Budget 2009 Decks_with Korea Scope in (Only LE) 5" xfId="15038" xr:uid="{00000000-0005-0000-0000-0000B53A0000}"/>
    <cellStyle name="_Data_Daten_WF Ebitda RD Abr-10" xfId="15039" xr:uid="{00000000-0005-0000-0000-0000B63A0000}"/>
    <cellStyle name="_Data_Daten_WF Ebitda RD Abr-10 2" xfId="15040" xr:uid="{00000000-0005-0000-0000-0000B73A0000}"/>
    <cellStyle name="_Data_Daten_WF Ebitda RD Abr-10 2 2" xfId="15041" xr:uid="{00000000-0005-0000-0000-0000B83A0000}"/>
    <cellStyle name="_Data_Daten_WF Ebitda Sep09" xfId="15042" xr:uid="{00000000-0005-0000-0000-0000B93A0000}"/>
    <cellStyle name="_Data_Daten_WF Ebitda Sep09 2" xfId="15043" xr:uid="{00000000-0005-0000-0000-0000BA3A0000}"/>
    <cellStyle name="_Data_Daten_WF Ebitda Sep09 2 2" xfId="15044" xr:uid="{00000000-0005-0000-0000-0000BB3A0000}"/>
    <cellStyle name="_Data_Daten_ZBB" xfId="15045" xr:uid="{00000000-0005-0000-0000-0000BC3A0000}"/>
    <cellStyle name="_Data_Daten_ZBB 2" xfId="15046" xr:uid="{00000000-0005-0000-0000-0000BD3A0000}"/>
    <cellStyle name="_Data_Daten_ZBB 2 2" xfId="15047" xr:uid="{00000000-0005-0000-0000-0000BE3A0000}"/>
    <cellStyle name="_Data_EC" xfId="15048" xr:uid="{00000000-0005-0000-0000-0000BF3A0000}"/>
    <cellStyle name="_Data_EC 2" xfId="15049" xr:uid="{00000000-0005-0000-0000-0000C03A0000}"/>
    <cellStyle name="_Data_EC 2 2" xfId="15050" xr:uid="{00000000-0005-0000-0000-0000C13A0000}"/>
    <cellStyle name="_Data_EC ML" xfId="15051" xr:uid="{00000000-0005-0000-0000-0000C23A0000}"/>
    <cellStyle name="_Data_EC ML 2" xfId="15052" xr:uid="{00000000-0005-0000-0000-0000C33A0000}"/>
    <cellStyle name="_Data_EC ML 2 2" xfId="15053" xr:uid="{00000000-0005-0000-0000-0000C43A0000}"/>
    <cellStyle name="_Data_EC USD" xfId="15054" xr:uid="{00000000-0005-0000-0000-0000C53A0000}"/>
    <cellStyle name="_Data_EC USD 2" xfId="15055" xr:uid="{00000000-0005-0000-0000-0000C63A0000}"/>
    <cellStyle name="_Data_EC USD 2 2" xfId="15056" xr:uid="{00000000-0005-0000-0000-0000C73A0000}"/>
    <cellStyle name="_Data_Erdgas" xfId="15057" xr:uid="{00000000-0005-0000-0000-0000C83A0000}"/>
    <cellStyle name="_Data_Erdgas 2" xfId="15058" xr:uid="{00000000-0005-0000-0000-0000C93A0000}"/>
    <cellStyle name="_Data_Erdgas 2 2" xfId="15059" xr:uid="{00000000-0005-0000-0000-0000CA3A0000}"/>
    <cellStyle name="_Data_Erdgas_Copy of 081027 ZBB Budget 2009 Decks - People_Cherry_V4" xfId="15060" xr:uid="{00000000-0005-0000-0000-0000CB3A0000}"/>
    <cellStyle name="_Data_Erdgas_Copy of 081027 ZBB Budget 2009 Decks - People_Cherry_V4 2" xfId="15061" xr:uid="{00000000-0005-0000-0000-0000CC3A0000}"/>
    <cellStyle name="_Data_Erdgas_Copy of 081027 ZBB Budget 2009 Decks - People_Cherry_V4 2 2" xfId="15062" xr:uid="{00000000-0005-0000-0000-0000CD3A0000}"/>
    <cellStyle name="_Data_Erdgas_ZBB Budget 2009 Decks" xfId="15063" xr:uid="{00000000-0005-0000-0000-0000CE3A0000}"/>
    <cellStyle name="_Data_Erdgas_ZBB Budget 2009 Decks 2" xfId="15064" xr:uid="{00000000-0005-0000-0000-0000CF3A0000}"/>
    <cellStyle name="_Data_Erdgas_ZBB Budget 2009 Decks 2 2" xfId="15065" xr:uid="{00000000-0005-0000-0000-0000D03A0000}"/>
    <cellStyle name="_Data_Erdgas_ZBB Budget 2009 Decks_with Korea Scope in (Only LE)" xfId="15066" xr:uid="{00000000-0005-0000-0000-0000D13A0000}"/>
    <cellStyle name="_Data_Erdgas_ZBB Budget 2009 Decks_with Korea Scope in (Only LE) (2)" xfId="15067" xr:uid="{00000000-0005-0000-0000-0000D23A0000}"/>
    <cellStyle name="_Data_Erdgas_ZBB Budget 2009 Decks_with Korea Scope in (Only LE) (2) 2" xfId="15068" xr:uid="{00000000-0005-0000-0000-0000D33A0000}"/>
    <cellStyle name="_Data_Erdgas_ZBB Budget 2009 Decks_with Korea Scope in (Only LE) (2) 2 2" xfId="15069" xr:uid="{00000000-0005-0000-0000-0000D43A0000}"/>
    <cellStyle name="_Data_Erdgas_ZBB Budget 2009 Decks_with Korea Scope in (Only LE) 2" xfId="15070" xr:uid="{00000000-0005-0000-0000-0000D53A0000}"/>
    <cellStyle name="_Data_Erdgas_ZBB Budget 2009 Decks_with Korea Scope in (Only LE) 2 2" xfId="15071" xr:uid="{00000000-0005-0000-0000-0000D63A0000}"/>
    <cellStyle name="_Data_Erdgas_ZBB Budget 2009 Decks_with Korea Scope in (Only LE) 3" xfId="15072" xr:uid="{00000000-0005-0000-0000-0000D73A0000}"/>
    <cellStyle name="_Data_Erdgas_ZBB Budget 2009 Decks_with Korea Scope in (Only LE) 3 2" xfId="15073" xr:uid="{00000000-0005-0000-0000-0000D83A0000}"/>
    <cellStyle name="_Data_Erdgas_ZBB Budget 2009 Decks_with Korea Scope in (Only LE) 4" xfId="15074" xr:uid="{00000000-0005-0000-0000-0000D93A0000}"/>
    <cellStyle name="_Data_Erdgas_ZBB Budget 2009 Decks_with Korea Scope in (Only LE) 5" xfId="15075" xr:uid="{00000000-0005-0000-0000-0000DA3A0000}"/>
    <cellStyle name="_Data_Excel sheets to support Market Program Template for Budget 09" xfId="15076" xr:uid="{00000000-0005-0000-0000-0000DB3A0000}"/>
    <cellStyle name="_Data_Excel sheets to support Market Program Template for Budget 09 (5) (2)" xfId="15077" xr:uid="{00000000-0005-0000-0000-0000DC3A0000}"/>
    <cellStyle name="_Data_Excel sheets to support Market Program Template for Budget 09 (5) (2) 2" xfId="15078" xr:uid="{00000000-0005-0000-0000-0000DD3A0000}"/>
    <cellStyle name="_Data_Excel sheets to support Market Program Template for Budget 09 (5) (2) 2 2" xfId="15079" xr:uid="{00000000-0005-0000-0000-0000DE3A0000}"/>
    <cellStyle name="_Data_Excel sheets to support Market Program Template for Budget 09 (5) (3)" xfId="15080" xr:uid="{00000000-0005-0000-0000-0000DF3A0000}"/>
    <cellStyle name="_Data_Excel sheets to support Market Program Template for Budget 09 (5) (3) 2" xfId="15081" xr:uid="{00000000-0005-0000-0000-0000E03A0000}"/>
    <cellStyle name="_Data_Excel sheets to support Market Program Template for Budget 09 (5) (3) 2 2" xfId="15082" xr:uid="{00000000-0005-0000-0000-0000E13A0000}"/>
    <cellStyle name="_Data_Excel sheets to support Market Program Template for Budget 09 2" xfId="15083" xr:uid="{00000000-0005-0000-0000-0000E23A0000}"/>
    <cellStyle name="_Data_Excel sheets to support Market Program Template for Budget 09 2 2" xfId="15084" xr:uid="{00000000-0005-0000-0000-0000E33A0000}"/>
    <cellStyle name="_Data_Excel sheets to support Market Program Template for Budget 09 3" xfId="15085" xr:uid="{00000000-0005-0000-0000-0000E43A0000}"/>
    <cellStyle name="_Data_Excel sheets to support Market Program Template for Budget 09 3 2" xfId="15086" xr:uid="{00000000-0005-0000-0000-0000E53A0000}"/>
    <cellStyle name="_Data_Excel sheets to support Market Program Template for Budget 09 4" xfId="15087" xr:uid="{00000000-0005-0000-0000-0000E63A0000}"/>
    <cellStyle name="_Data_Excel sheets to support Market Program Template for Budget 09 5" xfId="15088" xr:uid="{00000000-0005-0000-0000-0000E73A0000}"/>
    <cellStyle name="_Data_Excel sheets to support Market Program Template for Budget 09 6" xfId="15089" xr:uid="{00000000-0005-0000-0000-0000E83A0000}"/>
    <cellStyle name="_Data_filling - utilities" xfId="15090" xr:uid="{00000000-0005-0000-0000-0000E93A0000}"/>
    <cellStyle name="_Data_filling - utilities 2" xfId="15091" xr:uid="{00000000-0005-0000-0000-0000EA3A0000}"/>
    <cellStyle name="_Data_filling - utilities 2 2" xfId="15092" xr:uid="{00000000-0005-0000-0000-0000EB3A0000}"/>
    <cellStyle name="_Data_filling - utilities 2 2 2" xfId="15093" xr:uid="{00000000-0005-0000-0000-0000EC3A0000}"/>
    <cellStyle name="_Data_filling - utilities 2 3" xfId="15094" xr:uid="{00000000-0005-0000-0000-0000ED3A0000}"/>
    <cellStyle name="_Data_filling - utilities 2 4" xfId="15095" xr:uid="{00000000-0005-0000-0000-0000EE3A0000}"/>
    <cellStyle name="_Data_filling - utilities 3" xfId="15096" xr:uid="{00000000-0005-0000-0000-0000EF3A0000}"/>
    <cellStyle name="_Data_filling - utilities 3 2" xfId="15097" xr:uid="{00000000-0005-0000-0000-0000F03A0000}"/>
    <cellStyle name="_Data_filling - utilities_010808 Market Programs  for Budget Deck" xfId="15098" xr:uid="{00000000-0005-0000-0000-0000F13A0000}"/>
    <cellStyle name="_Data_filling - utilities_010808 Market Programs  for Budget Deck 2" xfId="15099" xr:uid="{00000000-0005-0000-0000-0000F23A0000}"/>
    <cellStyle name="_Data_filling - utilities_010808 Market Programs  for Budget Deck 2 2" xfId="15100" xr:uid="{00000000-0005-0000-0000-0000F33A0000}"/>
    <cellStyle name="_Data_filling - utilities_0908 Gabarito exchange rate" xfId="15101" xr:uid="{00000000-0005-0000-0000-0000F43A0000}"/>
    <cellStyle name="_Data_filling - utilities_0908 Gabarito exchange rate 2" xfId="15102" xr:uid="{00000000-0005-0000-0000-0000F53A0000}"/>
    <cellStyle name="_Data_filling - utilities_0908 Gabarito exchange rate 2 2" xfId="15103" xr:uid="{00000000-0005-0000-0000-0000F63A0000}"/>
    <cellStyle name="_Data_filling - utilities_0908 Gabarito exchange rate 3" xfId="15104" xr:uid="{00000000-0005-0000-0000-0000F73A0000}"/>
    <cellStyle name="_Data_filling - utilities_0908 Gabarito exchange rate 4" xfId="15105" xr:uid="{00000000-0005-0000-0000-0000F83A0000}"/>
    <cellStyle name="_Data_filling - utilities_BGT 08 Templates Sales  Marketing - final (revised)" xfId="15106" xr:uid="{00000000-0005-0000-0000-0000F93A0000}"/>
    <cellStyle name="_Data_filling - utilities_BGT 08 Templates Sales  Marketing - final (revised) 2" xfId="15107" xr:uid="{00000000-0005-0000-0000-0000FA3A0000}"/>
    <cellStyle name="_Data_filling - utilities_BGT 08 Templates Sales  Marketing - final (revised) 2 2" xfId="15108" xr:uid="{00000000-0005-0000-0000-0000FB3A0000}"/>
    <cellStyle name="_Data_filling - utilities_BGT 08 Templates Sales  Marketing - final (revised) 3" xfId="15109" xr:uid="{00000000-0005-0000-0000-0000FC3A0000}"/>
    <cellStyle name="_Data_filling - utilities_BGT 08 Templates Sales  Marketing - final (revised) 4" xfId="15110" xr:uid="{00000000-0005-0000-0000-0000FD3A0000}"/>
    <cellStyle name="_Data_filling - utilities_BGT 08 templates, Sales &amp; Marketing - draft com alterações" xfId="15111" xr:uid="{00000000-0005-0000-0000-0000FE3A0000}"/>
    <cellStyle name="_Data_filling - utilities_BGT 08 templates, Sales &amp; Marketing - draft com alterações 2" xfId="15112" xr:uid="{00000000-0005-0000-0000-0000FF3A0000}"/>
    <cellStyle name="_Data_filling - utilities_BGT 08 templates, Sales &amp; Marketing - draft com alterações 2 2" xfId="15113" xr:uid="{00000000-0005-0000-0000-0000003B0000}"/>
    <cellStyle name="_Data_filling - utilities_BGT 08 templates, Sales &amp; Marketing - draft com alterações 3" xfId="15114" xr:uid="{00000000-0005-0000-0000-0000013B0000}"/>
    <cellStyle name="_Data_filling - utilities_BGT 08 templates, Sales &amp; Marketing - draft com alterações 4" xfId="15115" xr:uid="{00000000-0005-0000-0000-0000023B0000}"/>
    <cellStyle name="_Data_filling - utilities_Book5" xfId="15116" xr:uid="{00000000-0005-0000-0000-0000033B0000}"/>
    <cellStyle name="_Data_filling - utilities_Book5 2" xfId="15117" xr:uid="{00000000-0005-0000-0000-0000043B0000}"/>
    <cellStyle name="_Data_filling - utilities_Book5 2 2" xfId="15118" xr:uid="{00000000-0005-0000-0000-0000053B0000}"/>
    <cellStyle name="_Data_filling - utilities_Book5 3" xfId="15119" xr:uid="{00000000-0005-0000-0000-0000063B0000}"/>
    <cellStyle name="_Data_filling - utilities_Book5 4" xfId="15120" xr:uid="{00000000-0005-0000-0000-0000073B0000}"/>
    <cellStyle name="_Data_filling - utilities_Bplan RD 1001" xfId="15121" xr:uid="{00000000-0005-0000-0000-0000083B0000}"/>
    <cellStyle name="_Data_filling - utilities_Bplan RD 1001 2" xfId="15122" xr:uid="{00000000-0005-0000-0000-0000093B0000}"/>
    <cellStyle name="_Data_filling - utilities_Bplan RD 1001 2 2" xfId="15123" xr:uid="{00000000-0005-0000-0000-00000A3B0000}"/>
    <cellStyle name="_Data_filling - utilities_Bplan RD 1001 3" xfId="15124" xr:uid="{00000000-0005-0000-0000-00000B3B0000}"/>
    <cellStyle name="_Data_filling - utilities_Bplan RD 1001 4" xfId="15125" xr:uid="{00000000-0005-0000-0000-00000C3B0000}"/>
    <cellStyle name="_Data_filling - utilities_Copy of 081027 ZBB Budget 2009 Decks - People_Cherry_V4" xfId="15126" xr:uid="{00000000-0005-0000-0000-00000D3B0000}"/>
    <cellStyle name="_Data_filling - utilities_Copy of 081027 ZBB Budget 2009 Decks - People_Cherry_V4 2" xfId="15127" xr:uid="{00000000-0005-0000-0000-00000E3B0000}"/>
    <cellStyle name="_Data_filling - utilities_Copy of 081027 ZBB Budget 2009 Decks - People_Cherry_V4 2 2" xfId="15128" xr:uid="{00000000-0005-0000-0000-00000F3B0000}"/>
    <cellStyle name="_Data_filling - utilities_Copy of BGT 08 Templates Sales  Marketing - final (revised)" xfId="15129" xr:uid="{00000000-0005-0000-0000-0000103B0000}"/>
    <cellStyle name="_Data_filling - utilities_Copy of BGT 08 Templates Sales  Marketing - final (revised) 2" xfId="15130" xr:uid="{00000000-0005-0000-0000-0000113B0000}"/>
    <cellStyle name="_Data_filling - utilities_Copy of BGT 08 Templates Sales  Marketing - final (revised) 2 2" xfId="15131" xr:uid="{00000000-0005-0000-0000-0000123B0000}"/>
    <cellStyle name="_Data_filling - utilities_Copy of BGT 08 Templates Sales  Marketing - final (revised) 3" xfId="15132" xr:uid="{00000000-0005-0000-0000-0000133B0000}"/>
    <cellStyle name="_Data_filling - utilities_Copy of BGT 08 Templates Sales  Marketing - final (revised) 4" xfId="15133" xr:uid="{00000000-0005-0000-0000-0000143B0000}"/>
    <cellStyle name="_Data_filling - utilities_Excel sheets to support Market Program Template for Budget 09 (5) (2)" xfId="15134" xr:uid="{00000000-0005-0000-0000-0000153B0000}"/>
    <cellStyle name="_Data_filling - utilities_Excel sheets to support Market Program Template for Budget 09 (5) (2) 2" xfId="15135" xr:uid="{00000000-0005-0000-0000-0000163B0000}"/>
    <cellStyle name="_Data_filling - utilities_Excel sheets to support Market Program Template for Budget 09 (5) (2) 2 2" xfId="15136" xr:uid="{00000000-0005-0000-0000-0000173B0000}"/>
    <cellStyle name="_Data_filling - utilities_Excel sheets to support Market Program Template for Budget 09 (5) (3)" xfId="15137" xr:uid="{00000000-0005-0000-0000-0000183B0000}"/>
    <cellStyle name="_Data_filling - utilities_Excel sheets to support Market Program Template for Budget 09 (5) (3) 2" xfId="15138" xr:uid="{00000000-0005-0000-0000-0000193B0000}"/>
    <cellStyle name="_Data_filling - utilities_Excel sheets to support Market Program Template for Budget 09 (5) (3) 2 2" xfId="15139" xr:uid="{00000000-0005-0000-0000-00001A3B0000}"/>
    <cellStyle name="_Data_filling - utilities_LE Ebitda RD Feb-10 v2" xfId="15140" xr:uid="{00000000-0005-0000-0000-00001B3B0000}"/>
    <cellStyle name="_Data_filling - utilities_LE Ebitda RD Feb-10 v2 2" xfId="15141" xr:uid="{00000000-0005-0000-0000-00001C3B0000}"/>
    <cellStyle name="_Data_filling - utilities_LE Ebitda RD Feb-10 v2 2 2" xfId="15142" xr:uid="{00000000-0005-0000-0000-00001D3B0000}"/>
    <cellStyle name="_Data_filling - utilities_People Package" xfId="15143" xr:uid="{00000000-0005-0000-0000-00001E3B0000}"/>
    <cellStyle name="_Data_filling - utilities_People Package (2)" xfId="15144" xr:uid="{00000000-0005-0000-0000-00001F3B0000}"/>
    <cellStyle name="_Data_filling - utilities_People Package (2) 2" xfId="15145" xr:uid="{00000000-0005-0000-0000-0000203B0000}"/>
    <cellStyle name="_Data_filling - utilities_People Package (2) 2 2" xfId="15146" xr:uid="{00000000-0005-0000-0000-0000213B0000}"/>
    <cellStyle name="_Data_filling - utilities_People Package 2" xfId="15147" xr:uid="{00000000-0005-0000-0000-0000223B0000}"/>
    <cellStyle name="_Data_filling - utilities_People Package 2 2" xfId="15148" xr:uid="{00000000-0005-0000-0000-0000233B0000}"/>
    <cellStyle name="_Data_filling - utilities_People Package 3" xfId="15149" xr:uid="{00000000-0005-0000-0000-0000243B0000}"/>
    <cellStyle name="_Data_filling - utilities_People Package 3 2" xfId="15150" xr:uid="{00000000-0005-0000-0000-0000253B0000}"/>
    <cellStyle name="_Data_filling - utilities_People Package 4" xfId="15151" xr:uid="{00000000-0005-0000-0000-0000263B0000}"/>
    <cellStyle name="_Data_filling - utilities_People Package 5" xfId="15152" xr:uid="{00000000-0005-0000-0000-0000273B0000}"/>
    <cellStyle name="_Data_filling - utilities_Sales and Marketing - revised" xfId="15153" xr:uid="{00000000-0005-0000-0000-0000283B0000}"/>
    <cellStyle name="_Data_filling - utilities_Sales and Marketing - revised 2" xfId="15154" xr:uid="{00000000-0005-0000-0000-0000293B0000}"/>
    <cellStyle name="_Data_filling - utilities_Sales and Marketing - revised 2 2" xfId="15155" xr:uid="{00000000-0005-0000-0000-00002A3B0000}"/>
    <cellStyle name="_Data_filling - utilities_Sales and Marketing - revised 3" xfId="15156" xr:uid="{00000000-0005-0000-0000-00002B3B0000}"/>
    <cellStyle name="_Data_filling - utilities_Sales and Marketing - revised 4" xfId="15157" xr:uid="{00000000-0005-0000-0000-00002C3B0000}"/>
    <cellStyle name="_Data_filling - utilities_Sim Ebitda LE 0909 v4" xfId="15158" xr:uid="{00000000-0005-0000-0000-00002D3B0000}"/>
    <cellStyle name="_Data_filling - utilities_Sim Ebitda LE 0909 v4 2" xfId="15159" xr:uid="{00000000-0005-0000-0000-00002E3B0000}"/>
    <cellStyle name="_Data_filling - utilities_Sim Ebitda LE 0909 v4 2 2" xfId="15160" xr:uid="{00000000-0005-0000-0000-00002F3B0000}"/>
    <cellStyle name="_Data_filling - utilities_Sim Ebitda LE 0909 v4 3" xfId="15161" xr:uid="{00000000-0005-0000-0000-0000303B0000}"/>
    <cellStyle name="_Data_filling - utilities_Sim Ebitda LE 0909 v4 4" xfId="15162" xr:uid="{00000000-0005-0000-0000-0000313B0000}"/>
    <cellStyle name="_Data_filling - utilities_Strategic Diagnostic Templates Technik" xfId="15163" xr:uid="{00000000-0005-0000-0000-0000323B0000}"/>
    <cellStyle name="_Data_filling - utilities_Strategic Diagnostic Templates Technik 2" xfId="15164" xr:uid="{00000000-0005-0000-0000-0000333B0000}"/>
    <cellStyle name="_Data_filling - utilities_Strategic Diagnostic Templates Technik 2 2" xfId="15165" xr:uid="{00000000-0005-0000-0000-0000343B0000}"/>
    <cellStyle name="_Data_filling - utilities_Strategic Diagnostic Templates Technik 2 2 2" xfId="15166" xr:uid="{00000000-0005-0000-0000-0000353B0000}"/>
    <cellStyle name="_Data_filling - utilities_Strategic Diagnostic Templates Technik 2 3" xfId="15167" xr:uid="{00000000-0005-0000-0000-0000363B0000}"/>
    <cellStyle name="_Data_filling - utilities_Strategic Diagnostic Templates Technik 2 4" xfId="15168" xr:uid="{00000000-0005-0000-0000-0000373B0000}"/>
    <cellStyle name="_Data_filling - utilities_Strategic Diagnostic Templates Technik 3" xfId="15169" xr:uid="{00000000-0005-0000-0000-0000383B0000}"/>
    <cellStyle name="_Data_filling - utilities_Strategic Diagnostic Templates Technik 3 2" xfId="15170" xr:uid="{00000000-0005-0000-0000-0000393B0000}"/>
    <cellStyle name="_Data_filling - utilities_Strategic Diagnostic Templates Technik_010808 Market Programs  for Budget Deck" xfId="15171" xr:uid="{00000000-0005-0000-0000-00003A3B0000}"/>
    <cellStyle name="_Data_filling - utilities_Strategic Diagnostic Templates Technik_010808 Market Programs  for Budget Deck 2" xfId="15172" xr:uid="{00000000-0005-0000-0000-00003B3B0000}"/>
    <cellStyle name="_Data_filling - utilities_Strategic Diagnostic Templates Technik_010808 Market Programs  for Budget Deck 2 2" xfId="15173" xr:uid="{00000000-0005-0000-0000-00003C3B0000}"/>
    <cellStyle name="_Data_filling - utilities_Strategic Diagnostic Templates Technik_0908 Gabarito exchange rate" xfId="15174" xr:uid="{00000000-0005-0000-0000-00003D3B0000}"/>
    <cellStyle name="_Data_filling - utilities_Strategic Diagnostic Templates Technik_0908 Gabarito exchange rate 2" xfId="15175" xr:uid="{00000000-0005-0000-0000-00003E3B0000}"/>
    <cellStyle name="_Data_filling - utilities_Strategic Diagnostic Templates Technik_0908 Gabarito exchange rate 2 2" xfId="15176" xr:uid="{00000000-0005-0000-0000-00003F3B0000}"/>
    <cellStyle name="_Data_filling - utilities_Strategic Diagnostic Templates Technik_0908 Gabarito exchange rate 3" xfId="15177" xr:uid="{00000000-0005-0000-0000-0000403B0000}"/>
    <cellStyle name="_Data_filling - utilities_Strategic Diagnostic Templates Technik_0908 Gabarito exchange rate 4" xfId="15178" xr:uid="{00000000-0005-0000-0000-0000413B0000}"/>
    <cellStyle name="_Data_filling - utilities_Strategic Diagnostic Templates Technik_BGT 08 Templates Sales  Marketing - final (revised)" xfId="15179" xr:uid="{00000000-0005-0000-0000-0000423B0000}"/>
    <cellStyle name="_Data_filling - utilities_Strategic Diagnostic Templates Technik_BGT 08 Templates Sales  Marketing - final (revised) 2" xfId="15180" xr:uid="{00000000-0005-0000-0000-0000433B0000}"/>
    <cellStyle name="_Data_filling - utilities_Strategic Diagnostic Templates Technik_BGT 08 Templates Sales  Marketing - final (revised) 2 2" xfId="15181" xr:uid="{00000000-0005-0000-0000-0000443B0000}"/>
    <cellStyle name="_Data_filling - utilities_Strategic Diagnostic Templates Technik_BGT 08 Templates Sales  Marketing - final (revised) 3" xfId="15182" xr:uid="{00000000-0005-0000-0000-0000453B0000}"/>
    <cellStyle name="_Data_filling - utilities_Strategic Diagnostic Templates Technik_BGT 08 Templates Sales  Marketing - final (revised) 4" xfId="15183" xr:uid="{00000000-0005-0000-0000-0000463B0000}"/>
    <cellStyle name="_Data_filling - utilities_Strategic Diagnostic Templates Technik_Book5" xfId="15184" xr:uid="{00000000-0005-0000-0000-0000473B0000}"/>
    <cellStyle name="_Data_filling - utilities_Strategic Diagnostic Templates Technik_Book5 2" xfId="15185" xr:uid="{00000000-0005-0000-0000-0000483B0000}"/>
    <cellStyle name="_Data_filling - utilities_Strategic Diagnostic Templates Technik_Book5 2 2" xfId="15186" xr:uid="{00000000-0005-0000-0000-0000493B0000}"/>
    <cellStyle name="_Data_filling - utilities_Strategic Diagnostic Templates Technik_Book5 3" xfId="15187" xr:uid="{00000000-0005-0000-0000-00004A3B0000}"/>
    <cellStyle name="_Data_filling - utilities_Strategic Diagnostic Templates Technik_Book5 4" xfId="15188" xr:uid="{00000000-0005-0000-0000-00004B3B0000}"/>
    <cellStyle name="_Data_filling - utilities_Strategic Diagnostic Templates Technik_Bplan RD 1001" xfId="15189" xr:uid="{00000000-0005-0000-0000-00004C3B0000}"/>
    <cellStyle name="_Data_filling - utilities_Strategic Diagnostic Templates Technik_Bplan RD 1001 2" xfId="15190" xr:uid="{00000000-0005-0000-0000-00004D3B0000}"/>
    <cellStyle name="_Data_filling - utilities_Strategic Diagnostic Templates Technik_Bplan RD 1001 2 2" xfId="15191" xr:uid="{00000000-0005-0000-0000-00004E3B0000}"/>
    <cellStyle name="_Data_filling - utilities_Strategic Diagnostic Templates Technik_Bplan RD 1001 3" xfId="15192" xr:uid="{00000000-0005-0000-0000-00004F3B0000}"/>
    <cellStyle name="_Data_filling - utilities_Strategic Diagnostic Templates Technik_Bplan RD 1001 4" xfId="15193" xr:uid="{00000000-0005-0000-0000-0000503B0000}"/>
    <cellStyle name="_Data_filling - utilities_Strategic Diagnostic Templates Technik_Copy of BGT 08 Templates Sales  Marketing - final (revised)" xfId="15194" xr:uid="{00000000-0005-0000-0000-0000513B0000}"/>
    <cellStyle name="_Data_filling - utilities_Strategic Diagnostic Templates Technik_Copy of BGT 08 Templates Sales  Marketing - final (revised) 2" xfId="15195" xr:uid="{00000000-0005-0000-0000-0000523B0000}"/>
    <cellStyle name="_Data_filling - utilities_Strategic Diagnostic Templates Technik_Copy of BGT 08 Templates Sales  Marketing - final (revised) 2 2" xfId="15196" xr:uid="{00000000-0005-0000-0000-0000533B0000}"/>
    <cellStyle name="_Data_filling - utilities_Strategic Diagnostic Templates Technik_Copy of BGT 08 Templates Sales  Marketing - final (revised) 3" xfId="15197" xr:uid="{00000000-0005-0000-0000-0000543B0000}"/>
    <cellStyle name="_Data_filling - utilities_Strategic Diagnostic Templates Technik_Copy of BGT 08 Templates Sales  Marketing - final (revised) 4" xfId="15198" xr:uid="{00000000-0005-0000-0000-0000553B0000}"/>
    <cellStyle name="_Data_filling - utilities_Strategic Diagnostic Templates Technik_Excel sheets to support Market Program Template for Budget 09" xfId="15199" xr:uid="{00000000-0005-0000-0000-0000563B0000}"/>
    <cellStyle name="_Data_filling - utilities_Strategic Diagnostic Templates Technik_Excel sheets to support Market Program Template for Budget 09 (5) (2)" xfId="15200" xr:uid="{00000000-0005-0000-0000-0000573B0000}"/>
    <cellStyle name="_Data_filling - utilities_Strategic Diagnostic Templates Technik_Excel sheets to support Market Program Template for Budget 09 (5) (2) 2" xfId="15201" xr:uid="{00000000-0005-0000-0000-0000583B0000}"/>
    <cellStyle name="_Data_filling - utilities_Strategic Diagnostic Templates Technik_Excel sheets to support Market Program Template for Budget 09 (5) (2) 2 2" xfId="15202" xr:uid="{00000000-0005-0000-0000-0000593B0000}"/>
    <cellStyle name="_Data_filling - utilities_Strategic Diagnostic Templates Technik_Excel sheets to support Market Program Template for Budget 09 (5) (3)" xfId="15203" xr:uid="{00000000-0005-0000-0000-00005A3B0000}"/>
    <cellStyle name="_Data_filling - utilities_Strategic Diagnostic Templates Technik_Excel sheets to support Market Program Template for Budget 09 (5) (3) 2" xfId="15204" xr:uid="{00000000-0005-0000-0000-00005B3B0000}"/>
    <cellStyle name="_Data_filling - utilities_Strategic Diagnostic Templates Technik_Excel sheets to support Market Program Template for Budget 09 (5) (3) 2 2" xfId="15205" xr:uid="{00000000-0005-0000-0000-00005C3B0000}"/>
    <cellStyle name="_Data_filling - utilities_Strategic Diagnostic Templates Technik_Excel sheets to support Market Program Template for Budget 09 2" xfId="15206" xr:uid="{00000000-0005-0000-0000-00005D3B0000}"/>
    <cellStyle name="_Data_filling - utilities_Strategic Diagnostic Templates Technik_Excel sheets to support Market Program Template for Budget 09 2 2" xfId="15207" xr:uid="{00000000-0005-0000-0000-00005E3B0000}"/>
    <cellStyle name="_Data_filling - utilities_Strategic Diagnostic Templates Technik_Excel sheets to support Market Program Template for Budget 09 3" xfId="15208" xr:uid="{00000000-0005-0000-0000-00005F3B0000}"/>
    <cellStyle name="_Data_filling - utilities_Strategic Diagnostic Templates Technik_Excel sheets to support Market Program Template for Budget 09 3 2" xfId="15209" xr:uid="{00000000-0005-0000-0000-0000603B0000}"/>
    <cellStyle name="_Data_filling - utilities_Strategic Diagnostic Templates Technik_Excel sheets to support Market Program Template for Budget 09 4" xfId="15210" xr:uid="{00000000-0005-0000-0000-0000613B0000}"/>
    <cellStyle name="_Data_filling - utilities_Strategic Diagnostic Templates Technik_Excel sheets to support Market Program Template for Budget 09 5" xfId="15211" xr:uid="{00000000-0005-0000-0000-0000623B0000}"/>
    <cellStyle name="_Data_filling - utilities_Strategic Diagnostic Templates Technik_Excel sheets to support Market Program Template for Budget 09 6" xfId="15212" xr:uid="{00000000-0005-0000-0000-0000633B0000}"/>
    <cellStyle name="_Data_filling - utilities_Strategic Diagnostic Templates Technik_LE Ebitda RD Feb-10 v2" xfId="15213" xr:uid="{00000000-0005-0000-0000-0000643B0000}"/>
    <cellStyle name="_Data_filling - utilities_Strategic Diagnostic Templates Technik_LE Ebitda RD Feb-10 v2 2" xfId="15214" xr:uid="{00000000-0005-0000-0000-0000653B0000}"/>
    <cellStyle name="_Data_filling - utilities_Strategic Diagnostic Templates Technik_LE Ebitda RD Feb-10 v2 2 2" xfId="15215" xr:uid="{00000000-0005-0000-0000-0000663B0000}"/>
    <cellStyle name="_Data_filling - utilities_Strategic Diagnostic Templates Technik_People Package" xfId="15216" xr:uid="{00000000-0005-0000-0000-0000673B0000}"/>
    <cellStyle name="_Data_filling - utilities_Strategic Diagnostic Templates Technik_People Package (2)" xfId="15217" xr:uid="{00000000-0005-0000-0000-0000683B0000}"/>
    <cellStyle name="_Data_filling - utilities_Strategic Diagnostic Templates Technik_People Package (2) 2" xfId="15218" xr:uid="{00000000-0005-0000-0000-0000693B0000}"/>
    <cellStyle name="_Data_filling - utilities_Strategic Diagnostic Templates Technik_People Package (2) 2 2" xfId="15219" xr:uid="{00000000-0005-0000-0000-00006A3B0000}"/>
    <cellStyle name="_Data_filling - utilities_Strategic Diagnostic Templates Technik_People Package 2" xfId="15220" xr:uid="{00000000-0005-0000-0000-00006B3B0000}"/>
    <cellStyle name="_Data_filling - utilities_Strategic Diagnostic Templates Technik_People Package 2 2" xfId="15221" xr:uid="{00000000-0005-0000-0000-00006C3B0000}"/>
    <cellStyle name="_Data_filling - utilities_Strategic Diagnostic Templates Technik_People Package 3" xfId="15222" xr:uid="{00000000-0005-0000-0000-00006D3B0000}"/>
    <cellStyle name="_Data_filling - utilities_Strategic Diagnostic Templates Technik_People Package 3 2" xfId="15223" xr:uid="{00000000-0005-0000-0000-00006E3B0000}"/>
    <cellStyle name="_Data_filling - utilities_Strategic Diagnostic Templates Technik_People Package 4" xfId="15224" xr:uid="{00000000-0005-0000-0000-00006F3B0000}"/>
    <cellStyle name="_Data_filling - utilities_Strategic Diagnostic Templates Technik_People Package 5" xfId="15225" xr:uid="{00000000-0005-0000-0000-0000703B0000}"/>
    <cellStyle name="_Data_filling - utilities_Strategic Diagnostic Templates Technik_Sales and Marketing - revised" xfId="15226" xr:uid="{00000000-0005-0000-0000-0000713B0000}"/>
    <cellStyle name="_Data_filling - utilities_Strategic Diagnostic Templates Technik_Sales and Marketing - revised 2" xfId="15227" xr:uid="{00000000-0005-0000-0000-0000723B0000}"/>
    <cellStyle name="_Data_filling - utilities_Strategic Diagnostic Templates Technik_Sales and Marketing - revised 2 2" xfId="15228" xr:uid="{00000000-0005-0000-0000-0000733B0000}"/>
    <cellStyle name="_Data_filling - utilities_Strategic Diagnostic Templates Technik_Sales and Marketing - revised 3" xfId="15229" xr:uid="{00000000-0005-0000-0000-0000743B0000}"/>
    <cellStyle name="_Data_filling - utilities_Strategic Diagnostic Templates Technik_Sales and Marketing - revised 4" xfId="15230" xr:uid="{00000000-0005-0000-0000-0000753B0000}"/>
    <cellStyle name="_Data_filling - utilities_Strategic Diagnostic Templates Technik_Sim Ebitda LE 0909 v4" xfId="15231" xr:uid="{00000000-0005-0000-0000-0000763B0000}"/>
    <cellStyle name="_Data_filling - utilities_Strategic Diagnostic Templates Technik_Sim Ebitda LE 0909 v4 2" xfId="15232" xr:uid="{00000000-0005-0000-0000-0000773B0000}"/>
    <cellStyle name="_Data_filling - utilities_Strategic Diagnostic Templates Technik_Sim Ebitda LE 0909 v4 2 2" xfId="15233" xr:uid="{00000000-0005-0000-0000-0000783B0000}"/>
    <cellStyle name="_Data_filling - utilities_Strategic Diagnostic Templates Technik_Sim Ebitda LE 0909 v4 3" xfId="15234" xr:uid="{00000000-0005-0000-0000-0000793B0000}"/>
    <cellStyle name="_Data_filling - utilities_Strategic Diagnostic Templates Technik_Sim Ebitda LE 0909 v4 4" xfId="15235" xr:uid="{00000000-0005-0000-0000-00007A3B0000}"/>
    <cellStyle name="_Data_filling - utilities_Strategic Diagnostic Templates Technik_WF Ebitda RD Abr-10" xfId="15236" xr:uid="{00000000-0005-0000-0000-00007B3B0000}"/>
    <cellStyle name="_Data_filling - utilities_Strategic Diagnostic Templates Technik_WF Ebitda RD Abr-10 2" xfId="15237" xr:uid="{00000000-0005-0000-0000-00007C3B0000}"/>
    <cellStyle name="_Data_filling - utilities_Strategic Diagnostic Templates Technik_WF Ebitda RD Abr-10 2 2" xfId="15238" xr:uid="{00000000-0005-0000-0000-00007D3B0000}"/>
    <cellStyle name="_Data_filling - utilities_Strategic Diagnostic Templates Technik_WF Ebitda Sep09" xfId="15239" xr:uid="{00000000-0005-0000-0000-00007E3B0000}"/>
    <cellStyle name="_Data_filling - utilities_Strategic Diagnostic Templates Technik_WF Ebitda Sep09 2" xfId="15240" xr:uid="{00000000-0005-0000-0000-00007F3B0000}"/>
    <cellStyle name="_Data_filling - utilities_Strategic Diagnostic Templates Technik_WF Ebitda Sep09 2 2" xfId="15241" xr:uid="{00000000-0005-0000-0000-0000803B0000}"/>
    <cellStyle name="_Data_filling - utilities_Strategic Diagnostic Templates Technik_ZBB" xfId="15242" xr:uid="{00000000-0005-0000-0000-0000813B0000}"/>
    <cellStyle name="_Data_filling - utilities_Strategic Diagnostic Templates Technik_ZBB 2" xfId="15243" xr:uid="{00000000-0005-0000-0000-0000823B0000}"/>
    <cellStyle name="_Data_filling - utilities_Strategic Diagnostic Templates Technik_ZBB 2 2" xfId="15244" xr:uid="{00000000-0005-0000-0000-0000833B0000}"/>
    <cellStyle name="_Data_filling - utilities_WF Ebitda RD Abr-10" xfId="15245" xr:uid="{00000000-0005-0000-0000-0000843B0000}"/>
    <cellStyle name="_Data_filling - utilities_WF Ebitda RD Abr-10 2" xfId="15246" xr:uid="{00000000-0005-0000-0000-0000853B0000}"/>
    <cellStyle name="_Data_filling - utilities_WF Ebitda RD Abr-10 2 2" xfId="15247" xr:uid="{00000000-0005-0000-0000-0000863B0000}"/>
    <cellStyle name="_Data_filling - utilities_WF Ebitda Sep09" xfId="15248" xr:uid="{00000000-0005-0000-0000-0000873B0000}"/>
    <cellStyle name="_Data_filling - utilities_WF Ebitda Sep09 2" xfId="15249" xr:uid="{00000000-0005-0000-0000-0000883B0000}"/>
    <cellStyle name="_Data_filling - utilities_WF Ebitda Sep09 2 2" xfId="15250" xr:uid="{00000000-0005-0000-0000-0000893B0000}"/>
    <cellStyle name="_Data_filling - utilities_ZBB" xfId="15251" xr:uid="{00000000-0005-0000-0000-00008A3B0000}"/>
    <cellStyle name="_Data_filling - utilities_ZBB 2" xfId="15252" xr:uid="{00000000-0005-0000-0000-00008B3B0000}"/>
    <cellStyle name="_Data_filling - utilities_ZBB 2 2" xfId="15253" xr:uid="{00000000-0005-0000-0000-00008C3B0000}"/>
    <cellStyle name="_Data_filling - utilities_ZBB Budget 2009 Decks" xfId="15254" xr:uid="{00000000-0005-0000-0000-00008D3B0000}"/>
    <cellStyle name="_Data_filling - utilities_ZBB Budget 2009 Decks 2" xfId="15255" xr:uid="{00000000-0005-0000-0000-00008E3B0000}"/>
    <cellStyle name="_Data_filling - utilities_ZBB Budget 2009 Decks 2 2" xfId="15256" xr:uid="{00000000-0005-0000-0000-00008F3B0000}"/>
    <cellStyle name="_Data_filling - utilities_ZBB Budget 2009 Decks_with Korea Scope in (Only LE)" xfId="15257" xr:uid="{00000000-0005-0000-0000-0000903B0000}"/>
    <cellStyle name="_Data_filling - utilities_ZBB Budget 2009 Decks_with Korea Scope in (Only LE) (2)" xfId="15258" xr:uid="{00000000-0005-0000-0000-0000913B0000}"/>
    <cellStyle name="_Data_filling - utilities_ZBB Budget 2009 Decks_with Korea Scope in (Only LE) (2) 2" xfId="15259" xr:uid="{00000000-0005-0000-0000-0000923B0000}"/>
    <cellStyle name="_Data_filling - utilities_ZBB Budget 2009 Decks_with Korea Scope in (Only LE) (2) 2 2" xfId="15260" xr:uid="{00000000-0005-0000-0000-0000933B0000}"/>
    <cellStyle name="_Data_filling - utilities_ZBB Budget 2009 Decks_with Korea Scope in (Only LE) 2" xfId="15261" xr:uid="{00000000-0005-0000-0000-0000943B0000}"/>
    <cellStyle name="_Data_filling - utilities_ZBB Budget 2009 Decks_with Korea Scope in (Only LE) 2 2" xfId="15262" xr:uid="{00000000-0005-0000-0000-0000953B0000}"/>
    <cellStyle name="_Data_filling - utilities_ZBB Budget 2009 Decks_with Korea Scope in (Only LE) 3" xfId="15263" xr:uid="{00000000-0005-0000-0000-0000963B0000}"/>
    <cellStyle name="_Data_filling - utilities_ZBB Budget 2009 Decks_with Korea Scope in (Only LE) 3 2" xfId="15264" xr:uid="{00000000-0005-0000-0000-0000973B0000}"/>
    <cellStyle name="_Data_filling - utilities_ZBB Budget 2009 Decks_with Korea Scope in (Only LE) 4" xfId="15265" xr:uid="{00000000-0005-0000-0000-0000983B0000}"/>
    <cellStyle name="_Data_filling - utilities_ZBB Budget 2009 Decks_with Korea Scope in (Only LE) 5" xfId="15266" xr:uid="{00000000-0005-0000-0000-0000993B0000}"/>
    <cellStyle name="_Data_filling lines" xfId="15267" xr:uid="{00000000-0005-0000-0000-00009A3B0000}"/>
    <cellStyle name="_Data_filling lines 2" xfId="15268" xr:uid="{00000000-0005-0000-0000-00009B3B0000}"/>
    <cellStyle name="_Data_filling lines 2 2" xfId="15269" xr:uid="{00000000-0005-0000-0000-00009C3B0000}"/>
    <cellStyle name="_Data_filling lines 2 2 2" xfId="15270" xr:uid="{00000000-0005-0000-0000-00009D3B0000}"/>
    <cellStyle name="_Data_filling lines 2 3" xfId="15271" xr:uid="{00000000-0005-0000-0000-00009E3B0000}"/>
    <cellStyle name="_Data_filling lines 2 4" xfId="15272" xr:uid="{00000000-0005-0000-0000-00009F3B0000}"/>
    <cellStyle name="_Data_filling lines 3" xfId="15273" xr:uid="{00000000-0005-0000-0000-0000A03B0000}"/>
    <cellStyle name="_Data_filling lines 3 2" xfId="15274" xr:uid="{00000000-0005-0000-0000-0000A13B0000}"/>
    <cellStyle name="_Data_filling lines_010808 Market Programs  for Budget Deck" xfId="15275" xr:uid="{00000000-0005-0000-0000-0000A23B0000}"/>
    <cellStyle name="_Data_filling lines_010808 Market Programs  for Budget Deck 2" xfId="15276" xr:uid="{00000000-0005-0000-0000-0000A33B0000}"/>
    <cellStyle name="_Data_filling lines_010808 Market Programs  for Budget Deck 2 2" xfId="15277" xr:uid="{00000000-0005-0000-0000-0000A43B0000}"/>
    <cellStyle name="_Data_filling lines_0908 Gabarito exchange rate" xfId="15278" xr:uid="{00000000-0005-0000-0000-0000A53B0000}"/>
    <cellStyle name="_Data_filling lines_0908 Gabarito exchange rate 2" xfId="15279" xr:uid="{00000000-0005-0000-0000-0000A63B0000}"/>
    <cellStyle name="_Data_filling lines_0908 Gabarito exchange rate 2 2" xfId="15280" xr:uid="{00000000-0005-0000-0000-0000A73B0000}"/>
    <cellStyle name="_Data_filling lines_0908 Gabarito exchange rate 3" xfId="15281" xr:uid="{00000000-0005-0000-0000-0000A83B0000}"/>
    <cellStyle name="_Data_filling lines_0908 Gabarito exchange rate 4" xfId="15282" xr:uid="{00000000-0005-0000-0000-0000A93B0000}"/>
    <cellStyle name="_Data_filling lines_BGT 08 Templates Sales  Marketing - final (revised)" xfId="15283" xr:uid="{00000000-0005-0000-0000-0000AA3B0000}"/>
    <cellStyle name="_Data_filling lines_BGT 08 Templates Sales  Marketing - final (revised) 2" xfId="15284" xr:uid="{00000000-0005-0000-0000-0000AB3B0000}"/>
    <cellStyle name="_Data_filling lines_BGT 08 Templates Sales  Marketing - final (revised) 2 2" xfId="15285" xr:uid="{00000000-0005-0000-0000-0000AC3B0000}"/>
    <cellStyle name="_Data_filling lines_BGT 08 Templates Sales  Marketing - final (revised) 3" xfId="15286" xr:uid="{00000000-0005-0000-0000-0000AD3B0000}"/>
    <cellStyle name="_Data_filling lines_BGT 08 Templates Sales  Marketing - final (revised) 4" xfId="15287" xr:uid="{00000000-0005-0000-0000-0000AE3B0000}"/>
    <cellStyle name="_Data_filling lines_BGT 08 templates, Sales &amp; Marketing - draft com alterações" xfId="15288" xr:uid="{00000000-0005-0000-0000-0000AF3B0000}"/>
    <cellStyle name="_Data_filling lines_BGT 08 templates, Sales &amp; Marketing - draft com alterações 2" xfId="15289" xr:uid="{00000000-0005-0000-0000-0000B03B0000}"/>
    <cellStyle name="_Data_filling lines_BGT 08 templates, Sales &amp; Marketing - draft com alterações 2 2" xfId="15290" xr:uid="{00000000-0005-0000-0000-0000B13B0000}"/>
    <cellStyle name="_Data_filling lines_BGT 08 templates, Sales &amp; Marketing - draft com alterações 3" xfId="15291" xr:uid="{00000000-0005-0000-0000-0000B23B0000}"/>
    <cellStyle name="_Data_filling lines_BGT 08 templates, Sales &amp; Marketing - draft com alterações 4" xfId="15292" xr:uid="{00000000-0005-0000-0000-0000B33B0000}"/>
    <cellStyle name="_Data_filling lines_Book5" xfId="15293" xr:uid="{00000000-0005-0000-0000-0000B43B0000}"/>
    <cellStyle name="_Data_filling lines_Book5 2" xfId="15294" xr:uid="{00000000-0005-0000-0000-0000B53B0000}"/>
    <cellStyle name="_Data_filling lines_Book5 2 2" xfId="15295" xr:uid="{00000000-0005-0000-0000-0000B63B0000}"/>
    <cellStyle name="_Data_filling lines_Book5 3" xfId="15296" xr:uid="{00000000-0005-0000-0000-0000B73B0000}"/>
    <cellStyle name="_Data_filling lines_Book5 4" xfId="15297" xr:uid="{00000000-0005-0000-0000-0000B83B0000}"/>
    <cellStyle name="_Data_filling lines_Bplan RD 1001" xfId="15298" xr:uid="{00000000-0005-0000-0000-0000B93B0000}"/>
    <cellStyle name="_Data_filling lines_Bplan RD 1001 2" xfId="15299" xr:uid="{00000000-0005-0000-0000-0000BA3B0000}"/>
    <cellStyle name="_Data_filling lines_Bplan RD 1001 2 2" xfId="15300" xr:uid="{00000000-0005-0000-0000-0000BB3B0000}"/>
    <cellStyle name="_Data_filling lines_Bplan RD 1001 3" xfId="15301" xr:uid="{00000000-0005-0000-0000-0000BC3B0000}"/>
    <cellStyle name="_Data_filling lines_Bplan RD 1001 4" xfId="15302" xr:uid="{00000000-0005-0000-0000-0000BD3B0000}"/>
    <cellStyle name="_Data_filling lines_Copy of 081027 ZBB Budget 2009 Decks - People_Cherry_V4" xfId="15303" xr:uid="{00000000-0005-0000-0000-0000BE3B0000}"/>
    <cellStyle name="_Data_filling lines_Copy of 081027 ZBB Budget 2009 Decks - People_Cherry_V4 2" xfId="15304" xr:uid="{00000000-0005-0000-0000-0000BF3B0000}"/>
    <cellStyle name="_Data_filling lines_Copy of 081027 ZBB Budget 2009 Decks - People_Cherry_V4 2 2" xfId="15305" xr:uid="{00000000-0005-0000-0000-0000C03B0000}"/>
    <cellStyle name="_Data_filling lines_Copy of BGT 08 Templates Sales  Marketing - final (revised)" xfId="15306" xr:uid="{00000000-0005-0000-0000-0000C13B0000}"/>
    <cellStyle name="_Data_filling lines_Copy of BGT 08 Templates Sales  Marketing - final (revised) 2" xfId="15307" xr:uid="{00000000-0005-0000-0000-0000C23B0000}"/>
    <cellStyle name="_Data_filling lines_Copy of BGT 08 Templates Sales  Marketing - final (revised) 2 2" xfId="15308" xr:uid="{00000000-0005-0000-0000-0000C33B0000}"/>
    <cellStyle name="_Data_filling lines_Copy of BGT 08 Templates Sales  Marketing - final (revised) 3" xfId="15309" xr:uid="{00000000-0005-0000-0000-0000C43B0000}"/>
    <cellStyle name="_Data_filling lines_Copy of BGT 08 Templates Sales  Marketing - final (revised) 4" xfId="15310" xr:uid="{00000000-0005-0000-0000-0000C53B0000}"/>
    <cellStyle name="_Data_filling lines_Excel sheets to support Market Program Template for Budget 09 (5) (2)" xfId="15311" xr:uid="{00000000-0005-0000-0000-0000C63B0000}"/>
    <cellStyle name="_Data_filling lines_Excel sheets to support Market Program Template for Budget 09 (5) (2) 2" xfId="15312" xr:uid="{00000000-0005-0000-0000-0000C73B0000}"/>
    <cellStyle name="_Data_filling lines_Excel sheets to support Market Program Template for Budget 09 (5) (2) 2 2" xfId="15313" xr:uid="{00000000-0005-0000-0000-0000C83B0000}"/>
    <cellStyle name="_Data_filling lines_Excel sheets to support Market Program Template for Budget 09 (5) (3)" xfId="15314" xr:uid="{00000000-0005-0000-0000-0000C93B0000}"/>
    <cellStyle name="_Data_filling lines_Excel sheets to support Market Program Template for Budget 09 (5) (3) 2" xfId="15315" xr:uid="{00000000-0005-0000-0000-0000CA3B0000}"/>
    <cellStyle name="_Data_filling lines_Excel sheets to support Market Program Template for Budget 09 (5) (3) 2 2" xfId="15316" xr:uid="{00000000-0005-0000-0000-0000CB3B0000}"/>
    <cellStyle name="_Data_filling lines_LE Ebitda RD Feb-10 v2" xfId="15317" xr:uid="{00000000-0005-0000-0000-0000CC3B0000}"/>
    <cellStyle name="_Data_filling lines_LE Ebitda RD Feb-10 v2 2" xfId="15318" xr:uid="{00000000-0005-0000-0000-0000CD3B0000}"/>
    <cellStyle name="_Data_filling lines_LE Ebitda RD Feb-10 v2 2 2" xfId="15319" xr:uid="{00000000-0005-0000-0000-0000CE3B0000}"/>
    <cellStyle name="_Data_filling lines_People Package" xfId="15320" xr:uid="{00000000-0005-0000-0000-0000CF3B0000}"/>
    <cellStyle name="_Data_filling lines_People Package (2)" xfId="15321" xr:uid="{00000000-0005-0000-0000-0000D03B0000}"/>
    <cellStyle name="_Data_filling lines_People Package (2) 2" xfId="15322" xr:uid="{00000000-0005-0000-0000-0000D13B0000}"/>
    <cellStyle name="_Data_filling lines_People Package (2) 2 2" xfId="15323" xr:uid="{00000000-0005-0000-0000-0000D23B0000}"/>
    <cellStyle name="_Data_filling lines_People Package 2" xfId="15324" xr:uid="{00000000-0005-0000-0000-0000D33B0000}"/>
    <cellStyle name="_Data_filling lines_People Package 2 2" xfId="15325" xr:uid="{00000000-0005-0000-0000-0000D43B0000}"/>
    <cellStyle name="_Data_filling lines_People Package 3" xfId="15326" xr:uid="{00000000-0005-0000-0000-0000D53B0000}"/>
    <cellStyle name="_Data_filling lines_People Package 3 2" xfId="15327" xr:uid="{00000000-0005-0000-0000-0000D63B0000}"/>
    <cellStyle name="_Data_filling lines_People Package 4" xfId="15328" xr:uid="{00000000-0005-0000-0000-0000D73B0000}"/>
    <cellStyle name="_Data_filling lines_People Package 5" xfId="15329" xr:uid="{00000000-0005-0000-0000-0000D83B0000}"/>
    <cellStyle name="_Data_filling lines_Sales and Marketing - revised" xfId="15330" xr:uid="{00000000-0005-0000-0000-0000D93B0000}"/>
    <cellStyle name="_Data_filling lines_Sales and Marketing - revised 2" xfId="15331" xr:uid="{00000000-0005-0000-0000-0000DA3B0000}"/>
    <cellStyle name="_Data_filling lines_Sales and Marketing - revised 2 2" xfId="15332" xr:uid="{00000000-0005-0000-0000-0000DB3B0000}"/>
    <cellStyle name="_Data_filling lines_Sales and Marketing - revised 3" xfId="15333" xr:uid="{00000000-0005-0000-0000-0000DC3B0000}"/>
    <cellStyle name="_Data_filling lines_Sales and Marketing - revised 4" xfId="15334" xr:uid="{00000000-0005-0000-0000-0000DD3B0000}"/>
    <cellStyle name="_Data_filling lines_Sim Ebitda LE 0909 v4" xfId="15335" xr:uid="{00000000-0005-0000-0000-0000DE3B0000}"/>
    <cellStyle name="_Data_filling lines_Sim Ebitda LE 0909 v4 2" xfId="15336" xr:uid="{00000000-0005-0000-0000-0000DF3B0000}"/>
    <cellStyle name="_Data_filling lines_Sim Ebitda LE 0909 v4 2 2" xfId="15337" xr:uid="{00000000-0005-0000-0000-0000E03B0000}"/>
    <cellStyle name="_Data_filling lines_Sim Ebitda LE 0909 v4 3" xfId="15338" xr:uid="{00000000-0005-0000-0000-0000E13B0000}"/>
    <cellStyle name="_Data_filling lines_Sim Ebitda LE 0909 v4 4" xfId="15339" xr:uid="{00000000-0005-0000-0000-0000E23B0000}"/>
    <cellStyle name="_Data_filling lines_Strategic Diagnostic Templates Technik" xfId="15340" xr:uid="{00000000-0005-0000-0000-0000E33B0000}"/>
    <cellStyle name="_Data_filling lines_Strategic Diagnostic Templates Technik 2" xfId="15341" xr:uid="{00000000-0005-0000-0000-0000E43B0000}"/>
    <cellStyle name="_Data_filling lines_Strategic Diagnostic Templates Technik 2 2" xfId="15342" xr:uid="{00000000-0005-0000-0000-0000E53B0000}"/>
    <cellStyle name="_Data_filling lines_Strategic Diagnostic Templates Technik 2 2 2" xfId="15343" xr:uid="{00000000-0005-0000-0000-0000E63B0000}"/>
    <cellStyle name="_Data_filling lines_Strategic Diagnostic Templates Technik 2 3" xfId="15344" xr:uid="{00000000-0005-0000-0000-0000E73B0000}"/>
    <cellStyle name="_Data_filling lines_Strategic Diagnostic Templates Technik 2 4" xfId="15345" xr:uid="{00000000-0005-0000-0000-0000E83B0000}"/>
    <cellStyle name="_Data_filling lines_Strategic Diagnostic Templates Technik 3" xfId="15346" xr:uid="{00000000-0005-0000-0000-0000E93B0000}"/>
    <cellStyle name="_Data_filling lines_Strategic Diagnostic Templates Technik 3 2" xfId="15347" xr:uid="{00000000-0005-0000-0000-0000EA3B0000}"/>
    <cellStyle name="_Data_filling lines_Strategic Diagnostic Templates Technik_010808 Market Programs  for Budget Deck" xfId="15348" xr:uid="{00000000-0005-0000-0000-0000EB3B0000}"/>
    <cellStyle name="_Data_filling lines_Strategic Diagnostic Templates Technik_010808 Market Programs  for Budget Deck 2" xfId="15349" xr:uid="{00000000-0005-0000-0000-0000EC3B0000}"/>
    <cellStyle name="_Data_filling lines_Strategic Diagnostic Templates Technik_010808 Market Programs  for Budget Deck 2 2" xfId="15350" xr:uid="{00000000-0005-0000-0000-0000ED3B0000}"/>
    <cellStyle name="_Data_filling lines_Strategic Diagnostic Templates Technik_0908 Gabarito exchange rate" xfId="15351" xr:uid="{00000000-0005-0000-0000-0000EE3B0000}"/>
    <cellStyle name="_Data_filling lines_Strategic Diagnostic Templates Technik_0908 Gabarito exchange rate 2" xfId="15352" xr:uid="{00000000-0005-0000-0000-0000EF3B0000}"/>
    <cellStyle name="_Data_filling lines_Strategic Diagnostic Templates Technik_0908 Gabarito exchange rate 2 2" xfId="15353" xr:uid="{00000000-0005-0000-0000-0000F03B0000}"/>
    <cellStyle name="_Data_filling lines_Strategic Diagnostic Templates Technik_0908 Gabarito exchange rate 3" xfId="15354" xr:uid="{00000000-0005-0000-0000-0000F13B0000}"/>
    <cellStyle name="_Data_filling lines_Strategic Diagnostic Templates Technik_0908 Gabarito exchange rate 4" xfId="15355" xr:uid="{00000000-0005-0000-0000-0000F23B0000}"/>
    <cellStyle name="_Data_filling lines_Strategic Diagnostic Templates Technik_BGT 08 Templates Sales  Marketing - final (revised)" xfId="15356" xr:uid="{00000000-0005-0000-0000-0000F33B0000}"/>
    <cellStyle name="_Data_filling lines_Strategic Diagnostic Templates Technik_BGT 08 Templates Sales  Marketing - final (revised) 2" xfId="15357" xr:uid="{00000000-0005-0000-0000-0000F43B0000}"/>
    <cellStyle name="_Data_filling lines_Strategic Diagnostic Templates Technik_BGT 08 Templates Sales  Marketing - final (revised) 2 2" xfId="15358" xr:uid="{00000000-0005-0000-0000-0000F53B0000}"/>
    <cellStyle name="_Data_filling lines_Strategic Diagnostic Templates Technik_BGT 08 Templates Sales  Marketing - final (revised) 3" xfId="15359" xr:uid="{00000000-0005-0000-0000-0000F63B0000}"/>
    <cellStyle name="_Data_filling lines_Strategic Diagnostic Templates Technik_BGT 08 Templates Sales  Marketing - final (revised) 4" xfId="15360" xr:uid="{00000000-0005-0000-0000-0000F73B0000}"/>
    <cellStyle name="_Data_filling lines_Strategic Diagnostic Templates Technik_Book5" xfId="15361" xr:uid="{00000000-0005-0000-0000-0000F83B0000}"/>
    <cellStyle name="_Data_filling lines_Strategic Diagnostic Templates Technik_Book5 2" xfId="15362" xr:uid="{00000000-0005-0000-0000-0000F93B0000}"/>
    <cellStyle name="_Data_filling lines_Strategic Diagnostic Templates Technik_Book5 2 2" xfId="15363" xr:uid="{00000000-0005-0000-0000-0000FA3B0000}"/>
    <cellStyle name="_Data_filling lines_Strategic Diagnostic Templates Technik_Book5 3" xfId="15364" xr:uid="{00000000-0005-0000-0000-0000FB3B0000}"/>
    <cellStyle name="_Data_filling lines_Strategic Diagnostic Templates Technik_Book5 4" xfId="15365" xr:uid="{00000000-0005-0000-0000-0000FC3B0000}"/>
    <cellStyle name="_Data_filling lines_Strategic Diagnostic Templates Technik_Bplan RD 1001" xfId="15366" xr:uid="{00000000-0005-0000-0000-0000FD3B0000}"/>
    <cellStyle name="_Data_filling lines_Strategic Diagnostic Templates Technik_Bplan RD 1001 2" xfId="15367" xr:uid="{00000000-0005-0000-0000-0000FE3B0000}"/>
    <cellStyle name="_Data_filling lines_Strategic Diagnostic Templates Technik_Bplan RD 1001 2 2" xfId="15368" xr:uid="{00000000-0005-0000-0000-0000FF3B0000}"/>
    <cellStyle name="_Data_filling lines_Strategic Diagnostic Templates Technik_Bplan RD 1001 3" xfId="15369" xr:uid="{00000000-0005-0000-0000-0000003C0000}"/>
    <cellStyle name="_Data_filling lines_Strategic Diagnostic Templates Technik_Bplan RD 1001 4" xfId="15370" xr:uid="{00000000-0005-0000-0000-0000013C0000}"/>
    <cellStyle name="_Data_filling lines_Strategic Diagnostic Templates Technik_Copy of BGT 08 Templates Sales  Marketing - final (revised)" xfId="15371" xr:uid="{00000000-0005-0000-0000-0000023C0000}"/>
    <cellStyle name="_Data_filling lines_Strategic Diagnostic Templates Technik_Copy of BGT 08 Templates Sales  Marketing - final (revised) 2" xfId="15372" xr:uid="{00000000-0005-0000-0000-0000033C0000}"/>
    <cellStyle name="_Data_filling lines_Strategic Diagnostic Templates Technik_Copy of BGT 08 Templates Sales  Marketing - final (revised) 2 2" xfId="15373" xr:uid="{00000000-0005-0000-0000-0000043C0000}"/>
    <cellStyle name="_Data_filling lines_Strategic Diagnostic Templates Technik_Copy of BGT 08 Templates Sales  Marketing - final (revised) 3" xfId="15374" xr:uid="{00000000-0005-0000-0000-0000053C0000}"/>
    <cellStyle name="_Data_filling lines_Strategic Diagnostic Templates Technik_Copy of BGT 08 Templates Sales  Marketing - final (revised) 4" xfId="15375" xr:uid="{00000000-0005-0000-0000-0000063C0000}"/>
    <cellStyle name="_Data_filling lines_Strategic Diagnostic Templates Technik_Excel sheets to support Market Program Template for Budget 09" xfId="15376" xr:uid="{00000000-0005-0000-0000-0000073C0000}"/>
    <cellStyle name="_Data_filling lines_Strategic Diagnostic Templates Technik_Excel sheets to support Market Program Template for Budget 09 (5) (2)" xfId="15377" xr:uid="{00000000-0005-0000-0000-0000083C0000}"/>
    <cellStyle name="_Data_filling lines_Strategic Diagnostic Templates Technik_Excel sheets to support Market Program Template for Budget 09 (5) (2) 2" xfId="15378" xr:uid="{00000000-0005-0000-0000-0000093C0000}"/>
    <cellStyle name="_Data_filling lines_Strategic Diagnostic Templates Technik_Excel sheets to support Market Program Template for Budget 09 (5) (2) 2 2" xfId="15379" xr:uid="{00000000-0005-0000-0000-00000A3C0000}"/>
    <cellStyle name="_Data_filling lines_Strategic Diagnostic Templates Technik_Excel sheets to support Market Program Template for Budget 09 (5) (3)" xfId="15380" xr:uid="{00000000-0005-0000-0000-00000B3C0000}"/>
    <cellStyle name="_Data_filling lines_Strategic Diagnostic Templates Technik_Excel sheets to support Market Program Template for Budget 09 (5) (3) 2" xfId="15381" xr:uid="{00000000-0005-0000-0000-00000C3C0000}"/>
    <cellStyle name="_Data_filling lines_Strategic Diagnostic Templates Technik_Excel sheets to support Market Program Template for Budget 09 (5) (3) 2 2" xfId="15382" xr:uid="{00000000-0005-0000-0000-00000D3C0000}"/>
    <cellStyle name="_Data_filling lines_Strategic Diagnostic Templates Technik_Excel sheets to support Market Program Template for Budget 09 2" xfId="15383" xr:uid="{00000000-0005-0000-0000-00000E3C0000}"/>
    <cellStyle name="_Data_filling lines_Strategic Diagnostic Templates Technik_Excel sheets to support Market Program Template for Budget 09 2 2" xfId="15384" xr:uid="{00000000-0005-0000-0000-00000F3C0000}"/>
    <cellStyle name="_Data_filling lines_Strategic Diagnostic Templates Technik_Excel sheets to support Market Program Template for Budget 09 3" xfId="15385" xr:uid="{00000000-0005-0000-0000-0000103C0000}"/>
    <cellStyle name="_Data_filling lines_Strategic Diagnostic Templates Technik_Excel sheets to support Market Program Template for Budget 09 3 2" xfId="15386" xr:uid="{00000000-0005-0000-0000-0000113C0000}"/>
    <cellStyle name="_Data_filling lines_Strategic Diagnostic Templates Technik_Excel sheets to support Market Program Template for Budget 09 4" xfId="15387" xr:uid="{00000000-0005-0000-0000-0000123C0000}"/>
    <cellStyle name="_Data_filling lines_Strategic Diagnostic Templates Technik_Excel sheets to support Market Program Template for Budget 09 5" xfId="15388" xr:uid="{00000000-0005-0000-0000-0000133C0000}"/>
    <cellStyle name="_Data_filling lines_Strategic Diagnostic Templates Technik_Excel sheets to support Market Program Template for Budget 09 6" xfId="15389" xr:uid="{00000000-0005-0000-0000-0000143C0000}"/>
    <cellStyle name="_Data_filling lines_Strategic Diagnostic Templates Technik_LE Ebitda RD Feb-10 v2" xfId="15390" xr:uid="{00000000-0005-0000-0000-0000153C0000}"/>
    <cellStyle name="_Data_filling lines_Strategic Diagnostic Templates Technik_LE Ebitda RD Feb-10 v2 2" xfId="15391" xr:uid="{00000000-0005-0000-0000-0000163C0000}"/>
    <cellStyle name="_Data_filling lines_Strategic Diagnostic Templates Technik_LE Ebitda RD Feb-10 v2 2 2" xfId="15392" xr:uid="{00000000-0005-0000-0000-0000173C0000}"/>
    <cellStyle name="_Data_filling lines_Strategic Diagnostic Templates Technik_People Package" xfId="15393" xr:uid="{00000000-0005-0000-0000-0000183C0000}"/>
    <cellStyle name="_Data_filling lines_Strategic Diagnostic Templates Technik_People Package (2)" xfId="15394" xr:uid="{00000000-0005-0000-0000-0000193C0000}"/>
    <cellStyle name="_Data_filling lines_Strategic Diagnostic Templates Technik_People Package (2) 2" xfId="15395" xr:uid="{00000000-0005-0000-0000-00001A3C0000}"/>
    <cellStyle name="_Data_filling lines_Strategic Diagnostic Templates Technik_People Package (2) 2 2" xfId="15396" xr:uid="{00000000-0005-0000-0000-00001B3C0000}"/>
    <cellStyle name="_Data_filling lines_Strategic Diagnostic Templates Technik_People Package 2" xfId="15397" xr:uid="{00000000-0005-0000-0000-00001C3C0000}"/>
    <cellStyle name="_Data_filling lines_Strategic Diagnostic Templates Technik_People Package 2 2" xfId="15398" xr:uid="{00000000-0005-0000-0000-00001D3C0000}"/>
    <cellStyle name="_Data_filling lines_Strategic Diagnostic Templates Technik_People Package 3" xfId="15399" xr:uid="{00000000-0005-0000-0000-00001E3C0000}"/>
    <cellStyle name="_Data_filling lines_Strategic Diagnostic Templates Technik_People Package 3 2" xfId="15400" xr:uid="{00000000-0005-0000-0000-00001F3C0000}"/>
    <cellStyle name="_Data_filling lines_Strategic Diagnostic Templates Technik_People Package 4" xfId="15401" xr:uid="{00000000-0005-0000-0000-0000203C0000}"/>
    <cellStyle name="_Data_filling lines_Strategic Diagnostic Templates Technik_People Package 5" xfId="15402" xr:uid="{00000000-0005-0000-0000-0000213C0000}"/>
    <cellStyle name="_Data_filling lines_Strategic Diagnostic Templates Technik_Sales and Marketing - revised" xfId="15403" xr:uid="{00000000-0005-0000-0000-0000223C0000}"/>
    <cellStyle name="_Data_filling lines_Strategic Diagnostic Templates Technik_Sales and Marketing - revised 2" xfId="15404" xr:uid="{00000000-0005-0000-0000-0000233C0000}"/>
    <cellStyle name="_Data_filling lines_Strategic Diagnostic Templates Technik_Sales and Marketing - revised 2 2" xfId="15405" xr:uid="{00000000-0005-0000-0000-0000243C0000}"/>
    <cellStyle name="_Data_filling lines_Strategic Diagnostic Templates Technik_Sales and Marketing - revised 3" xfId="15406" xr:uid="{00000000-0005-0000-0000-0000253C0000}"/>
    <cellStyle name="_Data_filling lines_Strategic Diagnostic Templates Technik_Sales and Marketing - revised 4" xfId="15407" xr:uid="{00000000-0005-0000-0000-0000263C0000}"/>
    <cellStyle name="_Data_filling lines_Strategic Diagnostic Templates Technik_Sim Ebitda LE 0909 v4" xfId="15408" xr:uid="{00000000-0005-0000-0000-0000273C0000}"/>
    <cellStyle name="_Data_filling lines_Strategic Diagnostic Templates Technik_Sim Ebitda LE 0909 v4 2" xfId="15409" xr:uid="{00000000-0005-0000-0000-0000283C0000}"/>
    <cellStyle name="_Data_filling lines_Strategic Diagnostic Templates Technik_Sim Ebitda LE 0909 v4 2 2" xfId="15410" xr:uid="{00000000-0005-0000-0000-0000293C0000}"/>
    <cellStyle name="_Data_filling lines_Strategic Diagnostic Templates Technik_Sim Ebitda LE 0909 v4 3" xfId="15411" xr:uid="{00000000-0005-0000-0000-00002A3C0000}"/>
    <cellStyle name="_Data_filling lines_Strategic Diagnostic Templates Technik_Sim Ebitda LE 0909 v4 4" xfId="15412" xr:uid="{00000000-0005-0000-0000-00002B3C0000}"/>
    <cellStyle name="_Data_filling lines_Strategic Diagnostic Templates Technik_WF Ebitda RD Abr-10" xfId="15413" xr:uid="{00000000-0005-0000-0000-00002C3C0000}"/>
    <cellStyle name="_Data_filling lines_Strategic Diagnostic Templates Technik_WF Ebitda RD Abr-10 2" xfId="15414" xr:uid="{00000000-0005-0000-0000-00002D3C0000}"/>
    <cellStyle name="_Data_filling lines_Strategic Diagnostic Templates Technik_WF Ebitda RD Abr-10 2 2" xfId="15415" xr:uid="{00000000-0005-0000-0000-00002E3C0000}"/>
    <cellStyle name="_Data_filling lines_Strategic Diagnostic Templates Technik_WF Ebitda Sep09" xfId="15416" xr:uid="{00000000-0005-0000-0000-00002F3C0000}"/>
    <cellStyle name="_Data_filling lines_Strategic Diagnostic Templates Technik_WF Ebitda Sep09 2" xfId="15417" xr:uid="{00000000-0005-0000-0000-0000303C0000}"/>
    <cellStyle name="_Data_filling lines_Strategic Diagnostic Templates Technik_WF Ebitda Sep09 2 2" xfId="15418" xr:uid="{00000000-0005-0000-0000-0000313C0000}"/>
    <cellStyle name="_Data_filling lines_Strategic Diagnostic Templates Technik_ZBB" xfId="15419" xr:uid="{00000000-0005-0000-0000-0000323C0000}"/>
    <cellStyle name="_Data_filling lines_Strategic Diagnostic Templates Technik_ZBB 2" xfId="15420" xr:uid="{00000000-0005-0000-0000-0000333C0000}"/>
    <cellStyle name="_Data_filling lines_Strategic Diagnostic Templates Technik_ZBB 2 2" xfId="15421" xr:uid="{00000000-0005-0000-0000-0000343C0000}"/>
    <cellStyle name="_Data_filling lines_WF Ebitda RD Abr-10" xfId="15422" xr:uid="{00000000-0005-0000-0000-0000353C0000}"/>
    <cellStyle name="_Data_filling lines_WF Ebitda RD Abr-10 2" xfId="15423" xr:uid="{00000000-0005-0000-0000-0000363C0000}"/>
    <cellStyle name="_Data_filling lines_WF Ebitda RD Abr-10 2 2" xfId="15424" xr:uid="{00000000-0005-0000-0000-0000373C0000}"/>
    <cellStyle name="_Data_filling lines_WF Ebitda Sep09" xfId="15425" xr:uid="{00000000-0005-0000-0000-0000383C0000}"/>
    <cellStyle name="_Data_filling lines_WF Ebitda Sep09 2" xfId="15426" xr:uid="{00000000-0005-0000-0000-0000393C0000}"/>
    <cellStyle name="_Data_filling lines_WF Ebitda Sep09 2 2" xfId="15427" xr:uid="{00000000-0005-0000-0000-00003A3C0000}"/>
    <cellStyle name="_Data_filling lines_ZBB" xfId="15428" xr:uid="{00000000-0005-0000-0000-00003B3C0000}"/>
    <cellStyle name="_Data_filling lines_ZBB 2" xfId="15429" xr:uid="{00000000-0005-0000-0000-00003C3C0000}"/>
    <cellStyle name="_Data_filling lines_ZBB 2 2" xfId="15430" xr:uid="{00000000-0005-0000-0000-00003D3C0000}"/>
    <cellStyle name="_Data_filling lines_ZBB Budget 2009 Decks" xfId="15431" xr:uid="{00000000-0005-0000-0000-00003E3C0000}"/>
    <cellStyle name="_Data_filling lines_ZBB Budget 2009 Decks 2" xfId="15432" xr:uid="{00000000-0005-0000-0000-00003F3C0000}"/>
    <cellStyle name="_Data_filling lines_ZBB Budget 2009 Decks 2 2" xfId="15433" xr:uid="{00000000-0005-0000-0000-0000403C0000}"/>
    <cellStyle name="_Data_filling lines_ZBB Budget 2009 Decks_with Korea Scope in (Only LE)" xfId="15434" xr:uid="{00000000-0005-0000-0000-0000413C0000}"/>
    <cellStyle name="_Data_filling lines_ZBB Budget 2009 Decks_with Korea Scope in (Only LE) (2)" xfId="15435" xr:uid="{00000000-0005-0000-0000-0000423C0000}"/>
    <cellStyle name="_Data_filling lines_ZBB Budget 2009 Decks_with Korea Scope in (Only LE) (2) 2" xfId="15436" xr:uid="{00000000-0005-0000-0000-0000433C0000}"/>
    <cellStyle name="_Data_filling lines_ZBB Budget 2009 Decks_with Korea Scope in (Only LE) (2) 2 2" xfId="15437" xr:uid="{00000000-0005-0000-0000-0000443C0000}"/>
    <cellStyle name="_Data_filling lines_ZBB Budget 2009 Decks_with Korea Scope in (Only LE) 2" xfId="15438" xr:uid="{00000000-0005-0000-0000-0000453C0000}"/>
    <cellStyle name="_Data_filling lines_ZBB Budget 2009 Decks_with Korea Scope in (Only LE) 2 2" xfId="15439" xr:uid="{00000000-0005-0000-0000-0000463C0000}"/>
    <cellStyle name="_Data_filling lines_ZBB Budget 2009 Decks_with Korea Scope in (Only LE) 3" xfId="15440" xr:uid="{00000000-0005-0000-0000-0000473C0000}"/>
    <cellStyle name="_Data_filling lines_ZBB Budget 2009 Decks_with Korea Scope in (Only LE) 3 2" xfId="15441" xr:uid="{00000000-0005-0000-0000-0000483C0000}"/>
    <cellStyle name="_Data_filling lines_ZBB Budget 2009 Decks_with Korea Scope in (Only LE) 4" xfId="15442" xr:uid="{00000000-0005-0000-0000-0000493C0000}"/>
    <cellStyle name="_Data_filling lines_ZBB Budget 2009 Decks_with Korea Scope in (Only LE) 5" xfId="15443" xr:uid="{00000000-0005-0000-0000-00004A3C0000}"/>
    <cellStyle name="_Data_Finance Templates - Final" xfId="15444" xr:uid="{00000000-0005-0000-0000-00004B3C0000}"/>
    <cellStyle name="_Data_Finance Templates - Final 2" xfId="15445" xr:uid="{00000000-0005-0000-0000-00004C3C0000}"/>
    <cellStyle name="_Data_Finance Templates - Final 2 2" xfId="15446" xr:uid="{00000000-0005-0000-0000-00004D3C0000}"/>
    <cellStyle name="_Data_Forecast Summary July v1" xfId="15447" xr:uid="{00000000-0005-0000-0000-00004E3C0000}"/>
    <cellStyle name="_Data_Forecast Summary July v1 2" xfId="15448" xr:uid="{00000000-0005-0000-0000-00004F3C0000}"/>
    <cellStyle name="_Data_Forecast Summary July v1 2 2" xfId="15449" xr:uid="{00000000-0005-0000-0000-0000503C0000}"/>
    <cellStyle name="_Data_fx" xfId="15450" xr:uid="{00000000-0005-0000-0000-0000513C0000}"/>
    <cellStyle name="_Data_fx 2" xfId="15451" xr:uid="{00000000-0005-0000-0000-0000523C0000}"/>
    <cellStyle name="_Data_fx 2 2" xfId="15452" xr:uid="{00000000-0005-0000-0000-0000533C0000}"/>
    <cellStyle name="_Data_GCoA final version" xfId="15453" xr:uid="{00000000-0005-0000-0000-0000543C0000}"/>
    <cellStyle name="_Data_GCoA final version 2" xfId="15454" xr:uid="{00000000-0005-0000-0000-0000553C0000}"/>
    <cellStyle name="_Data_GCoA final version 2 2" xfId="15455" xr:uid="{00000000-0005-0000-0000-0000563C0000}"/>
    <cellStyle name="_Data_GCoA final version_Copy of 081027 ZBB Budget 2009 Decks - People_Cherry_V4" xfId="15456" xr:uid="{00000000-0005-0000-0000-0000573C0000}"/>
    <cellStyle name="_Data_GCoA final version_Copy of 081027 ZBB Budget 2009 Decks - People_Cherry_V4 2" xfId="15457" xr:uid="{00000000-0005-0000-0000-0000583C0000}"/>
    <cellStyle name="_Data_GCoA final version_Copy of 081027 ZBB Budget 2009 Decks - People_Cherry_V4 2 2" xfId="15458" xr:uid="{00000000-0005-0000-0000-0000593C0000}"/>
    <cellStyle name="_Data_GCoA final version_ZBB Budget 2009 Decks" xfId="15459" xr:uid="{00000000-0005-0000-0000-00005A3C0000}"/>
    <cellStyle name="_Data_GCoA final version_ZBB Budget 2009 Decks 2" xfId="15460" xr:uid="{00000000-0005-0000-0000-00005B3C0000}"/>
    <cellStyle name="_Data_GCoA final version_ZBB Budget 2009 Decks 2 2" xfId="15461" xr:uid="{00000000-0005-0000-0000-00005C3C0000}"/>
    <cellStyle name="_Data_GCoA final version_ZBB Budget 2009 Decks_with Korea Scope in (Only LE)" xfId="15462" xr:uid="{00000000-0005-0000-0000-00005D3C0000}"/>
    <cellStyle name="_Data_GCoA final version_ZBB Budget 2009 Decks_with Korea Scope in (Only LE) (2)" xfId="15463" xr:uid="{00000000-0005-0000-0000-00005E3C0000}"/>
    <cellStyle name="_Data_GCoA final version_ZBB Budget 2009 Decks_with Korea Scope in (Only LE) (2) 2" xfId="15464" xr:uid="{00000000-0005-0000-0000-00005F3C0000}"/>
    <cellStyle name="_Data_GCoA final version_ZBB Budget 2009 Decks_with Korea Scope in (Only LE) (2) 2 2" xfId="15465" xr:uid="{00000000-0005-0000-0000-0000603C0000}"/>
    <cellStyle name="_Data_GCoA final version_ZBB Budget 2009 Decks_with Korea Scope in (Only LE) 2" xfId="15466" xr:uid="{00000000-0005-0000-0000-0000613C0000}"/>
    <cellStyle name="_Data_GCoA final version_ZBB Budget 2009 Decks_with Korea Scope in (Only LE) 2 2" xfId="15467" xr:uid="{00000000-0005-0000-0000-0000623C0000}"/>
    <cellStyle name="_Data_GCoA final version_ZBB Budget 2009 Decks_with Korea Scope in (Only LE) 3" xfId="15468" xr:uid="{00000000-0005-0000-0000-0000633C0000}"/>
    <cellStyle name="_Data_GCoA final version_ZBB Budget 2009 Decks_with Korea Scope in (Only LE) 3 2" xfId="15469" xr:uid="{00000000-0005-0000-0000-0000643C0000}"/>
    <cellStyle name="_Data_GCoA final version_ZBB Budget 2009 Decks_with Korea Scope in (Only LE) 4" xfId="15470" xr:uid="{00000000-0005-0000-0000-0000653C0000}"/>
    <cellStyle name="_Data_GCoA final version_ZBB Budget 2009 Decks_with Korea Scope in (Only LE) 5" xfId="15471" xr:uid="{00000000-0005-0000-0000-0000663C0000}"/>
    <cellStyle name="_Data_GCOA PL regarding ZBB accounts" xfId="15472" xr:uid="{00000000-0005-0000-0000-0000673C0000}"/>
    <cellStyle name="_Data_GCOA PL regarding ZBB accounts 2" xfId="15473" xr:uid="{00000000-0005-0000-0000-0000683C0000}"/>
    <cellStyle name="_Data_GCOA PL regarding ZBB accounts 2 2" xfId="15474" xr:uid="{00000000-0005-0000-0000-0000693C0000}"/>
    <cellStyle name="_Data_GCOA PL regarding ZBB accounts_Copy of 081027 ZBB Budget 2009 Decks - People_Cherry_V4" xfId="15475" xr:uid="{00000000-0005-0000-0000-00006A3C0000}"/>
    <cellStyle name="_Data_GCOA PL regarding ZBB accounts_Copy of 081027 ZBB Budget 2009 Decks - People_Cherry_V4 2" xfId="15476" xr:uid="{00000000-0005-0000-0000-00006B3C0000}"/>
    <cellStyle name="_Data_GCOA PL regarding ZBB accounts_Copy of 081027 ZBB Budget 2009 Decks - People_Cherry_V4 2 2" xfId="15477" xr:uid="{00000000-0005-0000-0000-00006C3C0000}"/>
    <cellStyle name="_Data_GCOA PL regarding ZBB accounts_ZBB Budget 2009 Decks" xfId="15478" xr:uid="{00000000-0005-0000-0000-00006D3C0000}"/>
    <cellStyle name="_Data_GCOA PL regarding ZBB accounts_ZBB Budget 2009 Decks 2" xfId="15479" xr:uid="{00000000-0005-0000-0000-00006E3C0000}"/>
    <cellStyle name="_Data_GCOA PL regarding ZBB accounts_ZBB Budget 2009 Decks 2 2" xfId="15480" xr:uid="{00000000-0005-0000-0000-00006F3C0000}"/>
    <cellStyle name="_Data_GCOA PL regarding ZBB accounts_ZBB Budget 2009 Decks_with Korea Scope in (Only LE)" xfId="15481" xr:uid="{00000000-0005-0000-0000-0000703C0000}"/>
    <cellStyle name="_Data_GCOA PL regarding ZBB accounts_ZBB Budget 2009 Decks_with Korea Scope in (Only LE) (2)" xfId="15482" xr:uid="{00000000-0005-0000-0000-0000713C0000}"/>
    <cellStyle name="_Data_GCOA PL regarding ZBB accounts_ZBB Budget 2009 Decks_with Korea Scope in (Only LE) (2) 2" xfId="15483" xr:uid="{00000000-0005-0000-0000-0000723C0000}"/>
    <cellStyle name="_Data_GCOA PL regarding ZBB accounts_ZBB Budget 2009 Decks_with Korea Scope in (Only LE) (2) 2 2" xfId="15484" xr:uid="{00000000-0005-0000-0000-0000733C0000}"/>
    <cellStyle name="_Data_GCOA PL regarding ZBB accounts_ZBB Budget 2009 Decks_with Korea Scope in (Only LE) 2" xfId="15485" xr:uid="{00000000-0005-0000-0000-0000743C0000}"/>
    <cellStyle name="_Data_GCOA PL regarding ZBB accounts_ZBB Budget 2009 Decks_with Korea Scope in (Only LE) 2 2" xfId="15486" xr:uid="{00000000-0005-0000-0000-0000753C0000}"/>
    <cellStyle name="_Data_GCOA PL regarding ZBB accounts_ZBB Budget 2009 Decks_with Korea Scope in (Only LE) 3" xfId="15487" xr:uid="{00000000-0005-0000-0000-0000763C0000}"/>
    <cellStyle name="_Data_GCOA PL regarding ZBB accounts_ZBB Budget 2009 Decks_with Korea Scope in (Only LE) 3 2" xfId="15488" xr:uid="{00000000-0005-0000-0000-0000773C0000}"/>
    <cellStyle name="_Data_GCOA PL regarding ZBB accounts_ZBB Budget 2009 Decks_with Korea Scope in (Only LE) 4" xfId="15489" xr:uid="{00000000-0005-0000-0000-0000783C0000}"/>
    <cellStyle name="_Data_GCOA PL regarding ZBB accounts_ZBB Budget 2009 Decks_with Korea Scope in (Only LE) 5" xfId="15490" xr:uid="{00000000-0005-0000-0000-0000793C0000}"/>
    <cellStyle name="_Data_GT" xfId="15491" xr:uid="{00000000-0005-0000-0000-00007A3C0000}"/>
    <cellStyle name="_Data_GT 2" xfId="15492" xr:uid="{00000000-0005-0000-0000-00007B3C0000}"/>
    <cellStyle name="_Data_GT 2 2" xfId="15493" xr:uid="{00000000-0005-0000-0000-00007C3C0000}"/>
    <cellStyle name="_Data_IB Capa Model" xfId="15494" xr:uid="{00000000-0005-0000-0000-00007D3C0000}"/>
    <cellStyle name="_Data_IB Capa Model 2" xfId="15495" xr:uid="{00000000-0005-0000-0000-00007E3C0000}"/>
    <cellStyle name="_Data_IB Capa Model 2 2" xfId="15496" xr:uid="{00000000-0005-0000-0000-00007F3C0000}"/>
    <cellStyle name="_Data_IB Capa Model_Copy of 081027 ZBB Budget 2009 Decks - People_Cherry_V4" xfId="15497" xr:uid="{00000000-0005-0000-0000-0000803C0000}"/>
    <cellStyle name="_Data_IB Capa Model_Copy of 081027 ZBB Budget 2009 Decks - People_Cherry_V4 2" xfId="15498" xr:uid="{00000000-0005-0000-0000-0000813C0000}"/>
    <cellStyle name="_Data_IB Capa Model_Copy of 081027 ZBB Budget 2009 Decks - People_Cherry_V4 2 2" xfId="15499" xr:uid="{00000000-0005-0000-0000-0000823C0000}"/>
    <cellStyle name="_Data_IB Capa Model_Strategic Diagnostic Templates Technik" xfId="15500" xr:uid="{00000000-0005-0000-0000-0000833C0000}"/>
    <cellStyle name="_Data_IB Capa Model_Strategic Diagnostic Templates Technik 2" xfId="15501" xr:uid="{00000000-0005-0000-0000-0000843C0000}"/>
    <cellStyle name="_Data_IB Capa Model_Strategic Diagnostic Templates Technik 2 2" xfId="15502" xr:uid="{00000000-0005-0000-0000-0000853C0000}"/>
    <cellStyle name="_Data_IB Capa Model_Strategic Diagnostic Templates Technik 2 2 2" xfId="15503" xr:uid="{00000000-0005-0000-0000-0000863C0000}"/>
    <cellStyle name="_Data_IB Capa Model_Strategic Diagnostic Templates Technik 2 3" xfId="15504" xr:uid="{00000000-0005-0000-0000-0000873C0000}"/>
    <cellStyle name="_Data_IB Capa Model_Strategic Diagnostic Templates Technik 3" xfId="15505" xr:uid="{00000000-0005-0000-0000-0000883C0000}"/>
    <cellStyle name="_Data_IB Capa Model_Strategic Diagnostic Templates Technik 3 2" xfId="15506" xr:uid="{00000000-0005-0000-0000-0000893C0000}"/>
    <cellStyle name="_Data_IB Capa Model_Strategic Diagnostic Templates Technik_010808 Market Programs  for Budget Deck" xfId="15507" xr:uid="{00000000-0005-0000-0000-00008A3C0000}"/>
    <cellStyle name="_Data_IB Capa Model_Strategic Diagnostic Templates Technik_010808 Market Programs  for Budget Deck 2" xfId="15508" xr:uid="{00000000-0005-0000-0000-00008B3C0000}"/>
    <cellStyle name="_Data_IB Capa Model_Strategic Diagnostic Templates Technik_010808 Market Programs  for Budget Deck 2 2" xfId="15509" xr:uid="{00000000-0005-0000-0000-00008C3C0000}"/>
    <cellStyle name="_Data_IB Capa Model_Strategic Diagnostic Templates Technik_0908 Gabarito exchange rate" xfId="15510" xr:uid="{00000000-0005-0000-0000-00008D3C0000}"/>
    <cellStyle name="_Data_IB Capa Model_Strategic Diagnostic Templates Technik_0908 Gabarito exchange rate 2" xfId="15511" xr:uid="{00000000-0005-0000-0000-00008E3C0000}"/>
    <cellStyle name="_Data_IB Capa Model_Strategic Diagnostic Templates Technik_0908 Gabarito exchange rate 2 2" xfId="15512" xr:uid="{00000000-0005-0000-0000-00008F3C0000}"/>
    <cellStyle name="_Data_IB Capa Model_Strategic Diagnostic Templates Technik_BGT 08 Templates Sales  Marketing - final (revised)" xfId="15513" xr:uid="{00000000-0005-0000-0000-0000903C0000}"/>
    <cellStyle name="_Data_IB Capa Model_Strategic Diagnostic Templates Technik_BGT 08 Templates Sales  Marketing - final (revised) 2" xfId="15514" xr:uid="{00000000-0005-0000-0000-0000913C0000}"/>
    <cellStyle name="_Data_IB Capa Model_Strategic Diagnostic Templates Technik_BGT 08 Templates Sales  Marketing - final (revised) 2 2" xfId="15515" xr:uid="{00000000-0005-0000-0000-0000923C0000}"/>
    <cellStyle name="_Data_IB Capa Model_Strategic Diagnostic Templates Technik_Book5" xfId="15516" xr:uid="{00000000-0005-0000-0000-0000933C0000}"/>
    <cellStyle name="_Data_IB Capa Model_Strategic Diagnostic Templates Technik_Book5 2" xfId="15517" xr:uid="{00000000-0005-0000-0000-0000943C0000}"/>
    <cellStyle name="_Data_IB Capa Model_Strategic Diagnostic Templates Technik_Book5 2 2" xfId="15518" xr:uid="{00000000-0005-0000-0000-0000953C0000}"/>
    <cellStyle name="_Data_IB Capa Model_Strategic Diagnostic Templates Technik_Bplan RD 1001" xfId="15519" xr:uid="{00000000-0005-0000-0000-0000963C0000}"/>
    <cellStyle name="_Data_IB Capa Model_Strategic Diagnostic Templates Technik_Bplan RD 1001 2" xfId="15520" xr:uid="{00000000-0005-0000-0000-0000973C0000}"/>
    <cellStyle name="_Data_IB Capa Model_Strategic Diagnostic Templates Technik_Bplan RD 1001 2 2" xfId="15521" xr:uid="{00000000-0005-0000-0000-0000983C0000}"/>
    <cellStyle name="_Data_IB Capa Model_Strategic Diagnostic Templates Technik_Copy of BGT 08 Templates Sales  Marketing - final (revised)" xfId="15522" xr:uid="{00000000-0005-0000-0000-0000993C0000}"/>
    <cellStyle name="_Data_IB Capa Model_Strategic Diagnostic Templates Technik_Copy of BGT 08 Templates Sales  Marketing - final (revised) 2" xfId="15523" xr:uid="{00000000-0005-0000-0000-00009A3C0000}"/>
    <cellStyle name="_Data_IB Capa Model_Strategic Diagnostic Templates Technik_Copy of BGT 08 Templates Sales  Marketing - final (revised) 2 2" xfId="15524" xr:uid="{00000000-0005-0000-0000-00009B3C0000}"/>
    <cellStyle name="_Data_IB Capa Model_Strategic Diagnostic Templates Technik_Excel sheets to support Market Program Template for Budget 09" xfId="15525" xr:uid="{00000000-0005-0000-0000-00009C3C0000}"/>
    <cellStyle name="_Data_IB Capa Model_Strategic Diagnostic Templates Technik_Excel sheets to support Market Program Template for Budget 09 (5) (2)" xfId="15526" xr:uid="{00000000-0005-0000-0000-00009D3C0000}"/>
    <cellStyle name="_Data_IB Capa Model_Strategic Diagnostic Templates Technik_Excel sheets to support Market Program Template for Budget 09 (5) (2) 2" xfId="15527" xr:uid="{00000000-0005-0000-0000-00009E3C0000}"/>
    <cellStyle name="_Data_IB Capa Model_Strategic Diagnostic Templates Technik_Excel sheets to support Market Program Template for Budget 09 (5) (2) 2 2" xfId="15528" xr:uid="{00000000-0005-0000-0000-00009F3C0000}"/>
    <cellStyle name="_Data_IB Capa Model_Strategic Diagnostic Templates Technik_Excel sheets to support Market Program Template for Budget 09 (5) (3)" xfId="15529" xr:uid="{00000000-0005-0000-0000-0000A03C0000}"/>
    <cellStyle name="_Data_IB Capa Model_Strategic Diagnostic Templates Technik_Excel sheets to support Market Program Template for Budget 09 (5) (3) 2" xfId="15530" xr:uid="{00000000-0005-0000-0000-0000A13C0000}"/>
    <cellStyle name="_Data_IB Capa Model_Strategic Diagnostic Templates Technik_Excel sheets to support Market Program Template for Budget 09 (5) (3) 2 2" xfId="15531" xr:uid="{00000000-0005-0000-0000-0000A23C0000}"/>
    <cellStyle name="_Data_IB Capa Model_Strategic Diagnostic Templates Technik_Excel sheets to support Market Program Template for Budget 09 2" xfId="15532" xr:uid="{00000000-0005-0000-0000-0000A33C0000}"/>
    <cellStyle name="_Data_IB Capa Model_Strategic Diagnostic Templates Technik_Excel sheets to support Market Program Template for Budget 09 2 2" xfId="15533" xr:uid="{00000000-0005-0000-0000-0000A43C0000}"/>
    <cellStyle name="_Data_IB Capa Model_Strategic Diagnostic Templates Technik_Excel sheets to support Market Program Template for Budget 09 3" xfId="15534" xr:uid="{00000000-0005-0000-0000-0000A53C0000}"/>
    <cellStyle name="_Data_IB Capa Model_Strategic Diagnostic Templates Technik_Excel sheets to support Market Program Template for Budget 09 3 2" xfId="15535" xr:uid="{00000000-0005-0000-0000-0000A63C0000}"/>
    <cellStyle name="_Data_IB Capa Model_Strategic Diagnostic Templates Technik_Excel sheets to support Market Program Template for Budget 09 4" xfId="15536" xr:uid="{00000000-0005-0000-0000-0000A73C0000}"/>
    <cellStyle name="_Data_IB Capa Model_Strategic Diagnostic Templates Technik_Excel sheets to support Market Program Template for Budget 09 5" xfId="15537" xr:uid="{00000000-0005-0000-0000-0000A83C0000}"/>
    <cellStyle name="_Data_IB Capa Model_Strategic Diagnostic Templates Technik_LE Ebitda RD Feb-10 v2" xfId="15538" xr:uid="{00000000-0005-0000-0000-0000A93C0000}"/>
    <cellStyle name="_Data_IB Capa Model_Strategic Diagnostic Templates Technik_LE Ebitda RD Feb-10 v2 2" xfId="15539" xr:uid="{00000000-0005-0000-0000-0000AA3C0000}"/>
    <cellStyle name="_Data_IB Capa Model_Strategic Diagnostic Templates Technik_LE Ebitda RD Feb-10 v2 2 2" xfId="15540" xr:uid="{00000000-0005-0000-0000-0000AB3C0000}"/>
    <cellStyle name="_Data_IB Capa Model_Strategic Diagnostic Templates Technik_People Package" xfId="15541" xr:uid="{00000000-0005-0000-0000-0000AC3C0000}"/>
    <cellStyle name="_Data_IB Capa Model_Strategic Diagnostic Templates Technik_People Package (2)" xfId="15542" xr:uid="{00000000-0005-0000-0000-0000AD3C0000}"/>
    <cellStyle name="_Data_IB Capa Model_Strategic Diagnostic Templates Technik_People Package (2) 2" xfId="15543" xr:uid="{00000000-0005-0000-0000-0000AE3C0000}"/>
    <cellStyle name="_Data_IB Capa Model_Strategic Diagnostic Templates Technik_People Package (2) 2 2" xfId="15544" xr:uid="{00000000-0005-0000-0000-0000AF3C0000}"/>
    <cellStyle name="_Data_IB Capa Model_Strategic Diagnostic Templates Technik_People Package 2" xfId="15545" xr:uid="{00000000-0005-0000-0000-0000B03C0000}"/>
    <cellStyle name="_Data_IB Capa Model_Strategic Diagnostic Templates Technik_People Package 2 2" xfId="15546" xr:uid="{00000000-0005-0000-0000-0000B13C0000}"/>
    <cellStyle name="_Data_IB Capa Model_Strategic Diagnostic Templates Technik_People Package 3" xfId="15547" xr:uid="{00000000-0005-0000-0000-0000B23C0000}"/>
    <cellStyle name="_Data_IB Capa Model_Strategic Diagnostic Templates Technik_People Package 3 2" xfId="15548" xr:uid="{00000000-0005-0000-0000-0000B33C0000}"/>
    <cellStyle name="_Data_IB Capa Model_Strategic Diagnostic Templates Technik_People Package 4" xfId="15549" xr:uid="{00000000-0005-0000-0000-0000B43C0000}"/>
    <cellStyle name="_Data_IB Capa Model_Strategic Diagnostic Templates Technik_People Package 5" xfId="15550" xr:uid="{00000000-0005-0000-0000-0000B53C0000}"/>
    <cellStyle name="_Data_IB Capa Model_Strategic Diagnostic Templates Technik_Sales and Marketing - revised" xfId="15551" xr:uid="{00000000-0005-0000-0000-0000B63C0000}"/>
    <cellStyle name="_Data_IB Capa Model_Strategic Diagnostic Templates Technik_Sales and Marketing - revised 2" xfId="15552" xr:uid="{00000000-0005-0000-0000-0000B73C0000}"/>
    <cellStyle name="_Data_IB Capa Model_Strategic Diagnostic Templates Technik_Sales and Marketing - revised 2 2" xfId="15553" xr:uid="{00000000-0005-0000-0000-0000B83C0000}"/>
    <cellStyle name="_Data_IB Capa Model_Strategic Diagnostic Templates Technik_Sim Ebitda LE 0909 v4" xfId="15554" xr:uid="{00000000-0005-0000-0000-0000B93C0000}"/>
    <cellStyle name="_Data_IB Capa Model_Strategic Diagnostic Templates Technik_Sim Ebitda LE 0909 v4 2" xfId="15555" xr:uid="{00000000-0005-0000-0000-0000BA3C0000}"/>
    <cellStyle name="_Data_IB Capa Model_Strategic Diagnostic Templates Technik_Sim Ebitda LE 0909 v4 2 2" xfId="15556" xr:uid="{00000000-0005-0000-0000-0000BB3C0000}"/>
    <cellStyle name="_Data_IB Capa Model_Strategic Diagnostic Templates Technik_WF Ebitda RD Abr-10" xfId="15557" xr:uid="{00000000-0005-0000-0000-0000BC3C0000}"/>
    <cellStyle name="_Data_IB Capa Model_Strategic Diagnostic Templates Technik_WF Ebitda RD Abr-10 2" xfId="15558" xr:uid="{00000000-0005-0000-0000-0000BD3C0000}"/>
    <cellStyle name="_Data_IB Capa Model_Strategic Diagnostic Templates Technik_WF Ebitda RD Abr-10 2 2" xfId="15559" xr:uid="{00000000-0005-0000-0000-0000BE3C0000}"/>
    <cellStyle name="_Data_IB Capa Model_Strategic Diagnostic Templates Technik_WF Ebitda Sep09" xfId="15560" xr:uid="{00000000-0005-0000-0000-0000BF3C0000}"/>
    <cellStyle name="_Data_IB Capa Model_Strategic Diagnostic Templates Technik_WF Ebitda Sep09 2" xfId="15561" xr:uid="{00000000-0005-0000-0000-0000C03C0000}"/>
    <cellStyle name="_Data_IB Capa Model_Strategic Diagnostic Templates Technik_WF Ebitda Sep09 2 2" xfId="15562" xr:uid="{00000000-0005-0000-0000-0000C13C0000}"/>
    <cellStyle name="_Data_IB Capa Model_Strategic Diagnostic Templates Technik_ZBB" xfId="15563" xr:uid="{00000000-0005-0000-0000-0000C23C0000}"/>
    <cellStyle name="_Data_IB Capa Model_Strategic Diagnostic Templates Technik_ZBB 2" xfId="15564" xr:uid="{00000000-0005-0000-0000-0000C33C0000}"/>
    <cellStyle name="_Data_IB Capa Model_Strategic Diagnostic Templates Technik_ZBB 2 2" xfId="15565" xr:uid="{00000000-0005-0000-0000-0000C43C0000}"/>
    <cellStyle name="_Data_IB Capa Model_ZBB Budget 2009 Decks" xfId="15566" xr:uid="{00000000-0005-0000-0000-0000C53C0000}"/>
    <cellStyle name="_Data_IB Capa Model_ZBB Budget 2009 Decks 2" xfId="15567" xr:uid="{00000000-0005-0000-0000-0000C63C0000}"/>
    <cellStyle name="_Data_IB Capa Model_ZBB Budget 2009 Decks 2 2" xfId="15568" xr:uid="{00000000-0005-0000-0000-0000C73C0000}"/>
    <cellStyle name="_Data_IB Capa Model_ZBB Budget 2009 Decks_with Korea Scope in (Only LE)" xfId="15569" xr:uid="{00000000-0005-0000-0000-0000C83C0000}"/>
    <cellStyle name="_Data_IB Capa Model_ZBB Budget 2009 Decks_with Korea Scope in (Only LE) (2)" xfId="15570" xr:uid="{00000000-0005-0000-0000-0000C93C0000}"/>
    <cellStyle name="_Data_IB Capa Model_ZBB Budget 2009 Decks_with Korea Scope in (Only LE) (2) 2" xfId="15571" xr:uid="{00000000-0005-0000-0000-0000CA3C0000}"/>
    <cellStyle name="_Data_IB Capa Model_ZBB Budget 2009 Decks_with Korea Scope in (Only LE) (2) 2 2" xfId="15572" xr:uid="{00000000-0005-0000-0000-0000CB3C0000}"/>
    <cellStyle name="_Data_IB Capa Model_ZBB Budget 2009 Decks_with Korea Scope in (Only LE) 2" xfId="15573" xr:uid="{00000000-0005-0000-0000-0000CC3C0000}"/>
    <cellStyle name="_Data_IB Capa Model_ZBB Budget 2009 Decks_with Korea Scope in (Only LE) 2 2" xfId="15574" xr:uid="{00000000-0005-0000-0000-0000CD3C0000}"/>
    <cellStyle name="_Data_IB Capa Model_ZBB Budget 2009 Decks_with Korea Scope in (Only LE) 3" xfId="15575" xr:uid="{00000000-0005-0000-0000-0000CE3C0000}"/>
    <cellStyle name="_Data_IB Capa Model_ZBB Budget 2009 Decks_with Korea Scope in (Only LE) 3 2" xfId="15576" xr:uid="{00000000-0005-0000-0000-0000CF3C0000}"/>
    <cellStyle name="_Data_IB Capa Model_ZBB Budget 2009 Decks_with Korea Scope in (Only LE) 4" xfId="15577" xr:uid="{00000000-0005-0000-0000-0000D03C0000}"/>
    <cellStyle name="_Data_IB Capa Model_ZBB Budget 2009 Decks_with Korea Scope in (Only LE) 5" xfId="15578" xr:uid="{00000000-0005-0000-0000-0000D13C0000}"/>
    <cellStyle name="_Data_Industry Volumes" xfId="15579" xr:uid="{00000000-0005-0000-0000-0000D23C0000}"/>
    <cellStyle name="_Data_Industry Volumes 2" xfId="15580" xr:uid="{00000000-0005-0000-0000-0000D33C0000}"/>
    <cellStyle name="_Data_Industry Volumes 2 2" xfId="15581" xr:uid="{00000000-0005-0000-0000-0000D43C0000}"/>
    <cellStyle name="_Data_Industry Volumes 2 2 2" xfId="15582" xr:uid="{00000000-0005-0000-0000-0000D53C0000}"/>
    <cellStyle name="_Data_Industry Volumes 2 3" xfId="15583" xr:uid="{00000000-0005-0000-0000-0000D63C0000}"/>
    <cellStyle name="_Data_Industry Volumes 2 3 2" xfId="15584" xr:uid="{00000000-0005-0000-0000-0000D73C0000}"/>
    <cellStyle name="_Data_Industry Volumes 2 3 3" xfId="15585" xr:uid="{00000000-0005-0000-0000-0000D83C0000}"/>
    <cellStyle name="_Data_Industry Volumes 2 4" xfId="15586" xr:uid="{00000000-0005-0000-0000-0000D93C0000}"/>
    <cellStyle name="_Data_Industry Volumes 2 5" xfId="15587" xr:uid="{00000000-0005-0000-0000-0000DA3C0000}"/>
    <cellStyle name="_Data_Industry Volumes 3" xfId="15588" xr:uid="{00000000-0005-0000-0000-0000DB3C0000}"/>
    <cellStyle name="_Data_Industry Volumes 3 2" xfId="15589" xr:uid="{00000000-0005-0000-0000-0000DC3C0000}"/>
    <cellStyle name="_Data_Industry Volumes 3 2 2" xfId="15590" xr:uid="{00000000-0005-0000-0000-0000DD3C0000}"/>
    <cellStyle name="_Data_Industry Volumes 3 2 3" xfId="15591" xr:uid="{00000000-0005-0000-0000-0000DE3C0000}"/>
    <cellStyle name="_Data_Industry Volumes 3 3" xfId="15592" xr:uid="{00000000-0005-0000-0000-0000DF3C0000}"/>
    <cellStyle name="_Data_Industry Volumes 4" xfId="15593" xr:uid="{00000000-0005-0000-0000-0000E03C0000}"/>
    <cellStyle name="_Data_Industry Volumes 4 2" xfId="15594" xr:uid="{00000000-0005-0000-0000-0000E13C0000}"/>
    <cellStyle name="_Data_Industry Volumes 4 3" xfId="15595" xr:uid="{00000000-0005-0000-0000-0000E23C0000}"/>
    <cellStyle name="_Data_Industry Volumes 5" xfId="15596" xr:uid="{00000000-0005-0000-0000-0000E33C0000}"/>
    <cellStyle name="_Data_Industry Volumes 6" xfId="15597" xr:uid="{00000000-0005-0000-0000-0000E43C0000}"/>
    <cellStyle name="_Data_Iniciativas P3A GPV &amp; CSD HILA '10" xfId="15598" xr:uid="{00000000-0005-0000-0000-0000E53C0000}"/>
    <cellStyle name="_Data_Iniciativas P3A GPV &amp; CSD HILA '10 2" xfId="15599" xr:uid="{00000000-0005-0000-0000-0000E63C0000}"/>
    <cellStyle name="_Data_Iniciativas P3A GPV &amp; CSD HILA '10 2 2" xfId="15600" xr:uid="{00000000-0005-0000-0000-0000E73C0000}"/>
    <cellStyle name="_Data_Iniciativas P3A GPV &amp; CSD HILA '10 3" xfId="15601" xr:uid="{00000000-0005-0000-0000-0000E83C0000}"/>
    <cellStyle name="_Data_KK_3YP Model S&amp;D Stand 3.7.07" xfId="15602" xr:uid="{00000000-0005-0000-0000-0000E93C0000}"/>
    <cellStyle name="_Data_KK_3YP Model S&amp;D Stand 3.7.07 2" xfId="15603" xr:uid="{00000000-0005-0000-0000-0000EA3C0000}"/>
    <cellStyle name="_Data_KK_3YP Model S&amp;D Stand 3.7.07 2 2" xfId="15604" xr:uid="{00000000-0005-0000-0000-0000EB3C0000}"/>
    <cellStyle name="_Data_KK_3YP Model S&amp;D Stand 3.7.07 2 2 2" xfId="15605" xr:uid="{00000000-0005-0000-0000-0000EC3C0000}"/>
    <cellStyle name="_Data_KK_3YP Model S&amp;D Stand 3.7.07 2 3" xfId="15606" xr:uid="{00000000-0005-0000-0000-0000ED3C0000}"/>
    <cellStyle name="_Data_KK_3YP Model S&amp;D Stand 3.7.07 2 3 2" xfId="15607" xr:uid="{00000000-0005-0000-0000-0000EE3C0000}"/>
    <cellStyle name="_Data_KK_3YP Model S&amp;D Stand 3.7.07 2 3 3" xfId="15608" xr:uid="{00000000-0005-0000-0000-0000EF3C0000}"/>
    <cellStyle name="_Data_KK_3YP Model S&amp;D Stand 3.7.07 2 4" xfId="15609" xr:uid="{00000000-0005-0000-0000-0000F03C0000}"/>
    <cellStyle name="_Data_KK_3YP Model S&amp;D Stand 3.7.07 2 5" xfId="15610" xr:uid="{00000000-0005-0000-0000-0000F13C0000}"/>
    <cellStyle name="_Data_KK_3YP Model S&amp;D Stand 3.7.07 3" xfId="15611" xr:uid="{00000000-0005-0000-0000-0000F23C0000}"/>
    <cellStyle name="_Data_KK_3YP Model S&amp;D Stand 3.7.07 3 2" xfId="15612" xr:uid="{00000000-0005-0000-0000-0000F33C0000}"/>
    <cellStyle name="_Data_KK_3YP Model S&amp;D Stand 3.7.07 3 2 2" xfId="15613" xr:uid="{00000000-0005-0000-0000-0000F43C0000}"/>
    <cellStyle name="_Data_KK_3YP Model S&amp;D Stand 3.7.07 3 2 3" xfId="15614" xr:uid="{00000000-0005-0000-0000-0000F53C0000}"/>
    <cellStyle name="_Data_KK_3YP Model S&amp;D Stand 3.7.07 3 3" xfId="15615" xr:uid="{00000000-0005-0000-0000-0000F63C0000}"/>
    <cellStyle name="_Data_KK_3YP Model S&amp;D Stand 3.7.07 4" xfId="15616" xr:uid="{00000000-0005-0000-0000-0000F73C0000}"/>
    <cellStyle name="_Data_KK_3YP Model S&amp;D Stand 3.7.07 4 2" xfId="15617" xr:uid="{00000000-0005-0000-0000-0000F83C0000}"/>
    <cellStyle name="_Data_KK_3YP Model S&amp;D Stand 3.7.07 4 3" xfId="15618" xr:uid="{00000000-0005-0000-0000-0000F93C0000}"/>
    <cellStyle name="_Data_KK_3YP Model S&amp;D Stand 3.7.07 5" xfId="15619" xr:uid="{00000000-0005-0000-0000-0000FA3C0000}"/>
    <cellStyle name="_Data_KK_3YP Model S&amp;D Stand 3.7.07 6" xfId="15620" xr:uid="{00000000-0005-0000-0000-0000FB3C0000}"/>
    <cellStyle name="_Data_KK_Hilfsstoffe_neu_010206" xfId="15621" xr:uid="{00000000-0005-0000-0000-0000FC3C0000}"/>
    <cellStyle name="_Data_KK_Hilfsstoffe_neu_010206 2" xfId="15622" xr:uid="{00000000-0005-0000-0000-0000FD3C0000}"/>
    <cellStyle name="_Data_KK_Hilfsstoffe_neu_010206 2 2" xfId="15623" xr:uid="{00000000-0005-0000-0000-0000FE3C0000}"/>
    <cellStyle name="_Data_KK_Hilfsstoffe_neu_010206 3" xfId="15624" xr:uid="{00000000-0005-0000-0000-0000FF3C0000}"/>
    <cellStyle name="_Data_KK_Hilfsstoffe_neu_010206 4" xfId="15625" xr:uid="{00000000-0005-0000-0000-0000003D0000}"/>
    <cellStyle name="_Data_KK_Hilfsstoffe_neu_010206_Copy of 081027 ZBB Budget 2009 Decks - People_Cherry_V4" xfId="15626" xr:uid="{00000000-0005-0000-0000-0000013D0000}"/>
    <cellStyle name="_Data_KK_Hilfsstoffe_neu_010206_Copy of 081027 ZBB Budget 2009 Decks - People_Cherry_V4 2" xfId="15627" xr:uid="{00000000-0005-0000-0000-0000023D0000}"/>
    <cellStyle name="_Data_KK_Hilfsstoffe_neu_010206_Copy of 081027 ZBB Budget 2009 Decks - People_Cherry_V4 2 2" xfId="15628" xr:uid="{00000000-0005-0000-0000-0000033D0000}"/>
    <cellStyle name="_Data_KK_Hilfsstoffe_neu_010206_Copy of 081027 ZBB Budget 2009 Decks - People_Cherry_V4 3" xfId="15629" xr:uid="{00000000-0005-0000-0000-0000043D0000}"/>
    <cellStyle name="_Data_KK_Hilfsstoffe_neu_010206_Copy of 081027 ZBB Budget 2009 Decks - People_Cherry_V4 4" xfId="15630" xr:uid="{00000000-0005-0000-0000-0000053D0000}"/>
    <cellStyle name="_Data_KK_Hilfsstoffe_neu_010206_ZBB Budget 2009 Decks" xfId="15631" xr:uid="{00000000-0005-0000-0000-0000063D0000}"/>
    <cellStyle name="_Data_KK_Hilfsstoffe_neu_010206_ZBB Budget 2009 Decks 2" xfId="15632" xr:uid="{00000000-0005-0000-0000-0000073D0000}"/>
    <cellStyle name="_Data_KK_Hilfsstoffe_neu_010206_ZBB Budget 2009 Decks 2 2" xfId="15633" xr:uid="{00000000-0005-0000-0000-0000083D0000}"/>
    <cellStyle name="_Data_KK_Hilfsstoffe_neu_010206_ZBB Budget 2009 Decks 3" xfId="15634" xr:uid="{00000000-0005-0000-0000-0000093D0000}"/>
    <cellStyle name="_Data_KK_Hilfsstoffe_neu_010206_ZBB Budget 2009 Decks 4" xfId="15635" xr:uid="{00000000-0005-0000-0000-00000A3D0000}"/>
    <cellStyle name="_Data_KK_Hilfsstoffe_neu_010206_ZBB Budget 2009 Decks_with Korea Scope in (Only LE)" xfId="15636" xr:uid="{00000000-0005-0000-0000-00000B3D0000}"/>
    <cellStyle name="_Data_KK_Hilfsstoffe_neu_010206_ZBB Budget 2009 Decks_with Korea Scope in (Only LE) (2)" xfId="15637" xr:uid="{00000000-0005-0000-0000-00000C3D0000}"/>
    <cellStyle name="_Data_KK_Hilfsstoffe_neu_010206_ZBB Budget 2009 Decks_with Korea Scope in (Only LE) (2) 2" xfId="15638" xr:uid="{00000000-0005-0000-0000-00000D3D0000}"/>
    <cellStyle name="_Data_KK_Hilfsstoffe_neu_010206_ZBB Budget 2009 Decks_with Korea Scope in (Only LE) (2) 2 2" xfId="15639" xr:uid="{00000000-0005-0000-0000-00000E3D0000}"/>
    <cellStyle name="_Data_KK_Hilfsstoffe_neu_010206_ZBB Budget 2009 Decks_with Korea Scope in (Only LE) (2) 3" xfId="15640" xr:uid="{00000000-0005-0000-0000-00000F3D0000}"/>
    <cellStyle name="_Data_KK_Hilfsstoffe_neu_010206_ZBB Budget 2009 Decks_with Korea Scope in (Only LE) (2) 4" xfId="15641" xr:uid="{00000000-0005-0000-0000-0000103D0000}"/>
    <cellStyle name="_Data_KK_Hilfsstoffe_neu_010206_ZBB Budget 2009 Decks_with Korea Scope in (Only LE) 2" xfId="15642" xr:uid="{00000000-0005-0000-0000-0000113D0000}"/>
    <cellStyle name="_Data_KK_Hilfsstoffe_neu_010206_ZBB Budget 2009 Decks_with Korea Scope in (Only LE) 2 2" xfId="15643" xr:uid="{00000000-0005-0000-0000-0000123D0000}"/>
    <cellStyle name="_Data_KK_Hilfsstoffe_neu_010206_ZBB Budget 2009 Decks_with Korea Scope in (Only LE) 3" xfId="15644" xr:uid="{00000000-0005-0000-0000-0000133D0000}"/>
    <cellStyle name="_Data_KK_Hilfsstoffe_neu_010206_ZBB Budget 2009 Decks_with Korea Scope in (Only LE) 3 2" xfId="15645" xr:uid="{00000000-0005-0000-0000-0000143D0000}"/>
    <cellStyle name="_Data_KK_Hilfsstoffe_neu_010206_ZBB Budget 2009 Decks_with Korea Scope in (Only LE) 4" xfId="15646" xr:uid="{00000000-0005-0000-0000-0000153D0000}"/>
    <cellStyle name="_Data_KK_Hilfsstoffe_neu_010206_ZBB Budget 2009 Decks_with Korea Scope in (Only LE) 5" xfId="15647" xr:uid="{00000000-0005-0000-0000-0000163D0000}"/>
    <cellStyle name="_Data_KK_Hilfsstoffe_neu_010206_ZBB Budget 2009 Decks_with Korea Scope in (Only LE) 6" xfId="15648" xr:uid="{00000000-0005-0000-0000-0000173D0000}"/>
    <cellStyle name="_Data_KK_OR_RHB" xfId="15649" xr:uid="{00000000-0005-0000-0000-0000183D0000}"/>
    <cellStyle name="_Data_KK_OR_RHB 2" xfId="15650" xr:uid="{00000000-0005-0000-0000-0000193D0000}"/>
    <cellStyle name="_Data_KK_OR_RHB 2 2" xfId="15651" xr:uid="{00000000-0005-0000-0000-00001A3D0000}"/>
    <cellStyle name="_Data_KK_OR_RHB 2 2 2" xfId="15652" xr:uid="{00000000-0005-0000-0000-00001B3D0000}"/>
    <cellStyle name="_Data_KK_OR_RHB 2 3" xfId="15653" xr:uid="{00000000-0005-0000-0000-00001C3D0000}"/>
    <cellStyle name="_Data_KK_OR_RHB 2 4" xfId="15654" xr:uid="{00000000-0005-0000-0000-00001D3D0000}"/>
    <cellStyle name="_Data_KK_OR_RHB 3" xfId="15655" xr:uid="{00000000-0005-0000-0000-00001E3D0000}"/>
    <cellStyle name="_Data_KK_OR_RHB 3 2" xfId="15656" xr:uid="{00000000-0005-0000-0000-00001F3D0000}"/>
    <cellStyle name="_Data_KK_OR_RHB_010808 Market Programs  for Budget Deck" xfId="15657" xr:uid="{00000000-0005-0000-0000-0000203D0000}"/>
    <cellStyle name="_Data_KK_OR_RHB_010808 Market Programs  for Budget Deck 2" xfId="15658" xr:uid="{00000000-0005-0000-0000-0000213D0000}"/>
    <cellStyle name="_Data_KK_OR_RHB_010808 Market Programs  for Budget Deck 2 2" xfId="15659" xr:uid="{00000000-0005-0000-0000-0000223D0000}"/>
    <cellStyle name="_Data_KK_OR_RHB_0908 Gabarito exchange rate" xfId="15660" xr:uid="{00000000-0005-0000-0000-0000233D0000}"/>
    <cellStyle name="_Data_KK_OR_RHB_0908 Gabarito exchange rate 2" xfId="15661" xr:uid="{00000000-0005-0000-0000-0000243D0000}"/>
    <cellStyle name="_Data_KK_OR_RHB_0908 Gabarito exchange rate 2 2" xfId="15662" xr:uid="{00000000-0005-0000-0000-0000253D0000}"/>
    <cellStyle name="_Data_KK_OR_RHB_0908 Gabarito exchange rate 3" xfId="15663" xr:uid="{00000000-0005-0000-0000-0000263D0000}"/>
    <cellStyle name="_Data_KK_OR_RHB_0908 Gabarito exchange rate 4" xfId="15664" xr:uid="{00000000-0005-0000-0000-0000273D0000}"/>
    <cellStyle name="_Data_KK_OR_RHB_BGT 08 Templates Sales  Marketing - final (revised)" xfId="15665" xr:uid="{00000000-0005-0000-0000-0000283D0000}"/>
    <cellStyle name="_Data_KK_OR_RHB_BGT 08 Templates Sales  Marketing - final (revised) 2" xfId="15666" xr:uid="{00000000-0005-0000-0000-0000293D0000}"/>
    <cellStyle name="_Data_KK_OR_RHB_BGT 08 Templates Sales  Marketing - final (revised) 2 2" xfId="15667" xr:uid="{00000000-0005-0000-0000-00002A3D0000}"/>
    <cellStyle name="_Data_KK_OR_RHB_BGT 08 Templates Sales  Marketing - final (revised) 3" xfId="15668" xr:uid="{00000000-0005-0000-0000-00002B3D0000}"/>
    <cellStyle name="_Data_KK_OR_RHB_BGT 08 Templates Sales  Marketing - final (revised) 4" xfId="15669" xr:uid="{00000000-0005-0000-0000-00002C3D0000}"/>
    <cellStyle name="_Data_KK_OR_RHB_BGT 08 templates, Sales &amp; Marketing - draft com alterações" xfId="15670" xr:uid="{00000000-0005-0000-0000-00002D3D0000}"/>
    <cellStyle name="_Data_KK_OR_RHB_BGT 08 templates, Sales &amp; Marketing - draft com alterações 2" xfId="15671" xr:uid="{00000000-0005-0000-0000-00002E3D0000}"/>
    <cellStyle name="_Data_KK_OR_RHB_BGT 08 templates, Sales &amp; Marketing - draft com alterações 2 2" xfId="15672" xr:uid="{00000000-0005-0000-0000-00002F3D0000}"/>
    <cellStyle name="_Data_KK_OR_RHB_BGT 08 templates, Sales &amp; Marketing - draft com alterações 3" xfId="15673" xr:uid="{00000000-0005-0000-0000-0000303D0000}"/>
    <cellStyle name="_Data_KK_OR_RHB_BGT 08 templates, Sales &amp; Marketing - draft com alterações 4" xfId="15674" xr:uid="{00000000-0005-0000-0000-0000313D0000}"/>
    <cellStyle name="_Data_KK_OR_RHB_Book5" xfId="15675" xr:uid="{00000000-0005-0000-0000-0000323D0000}"/>
    <cellStyle name="_Data_KK_OR_RHB_Book5 2" xfId="15676" xr:uid="{00000000-0005-0000-0000-0000333D0000}"/>
    <cellStyle name="_Data_KK_OR_RHB_Book5 2 2" xfId="15677" xr:uid="{00000000-0005-0000-0000-0000343D0000}"/>
    <cellStyle name="_Data_KK_OR_RHB_Book5 3" xfId="15678" xr:uid="{00000000-0005-0000-0000-0000353D0000}"/>
    <cellStyle name="_Data_KK_OR_RHB_Book5 4" xfId="15679" xr:uid="{00000000-0005-0000-0000-0000363D0000}"/>
    <cellStyle name="_Data_KK_OR_RHB_Bplan RD 1001" xfId="15680" xr:uid="{00000000-0005-0000-0000-0000373D0000}"/>
    <cellStyle name="_Data_KK_OR_RHB_Bplan RD 1001 2" xfId="15681" xr:uid="{00000000-0005-0000-0000-0000383D0000}"/>
    <cellStyle name="_Data_KK_OR_RHB_Bplan RD 1001 2 2" xfId="15682" xr:uid="{00000000-0005-0000-0000-0000393D0000}"/>
    <cellStyle name="_Data_KK_OR_RHB_Bplan RD 1001 3" xfId="15683" xr:uid="{00000000-0005-0000-0000-00003A3D0000}"/>
    <cellStyle name="_Data_KK_OR_RHB_Bplan RD 1001 4" xfId="15684" xr:uid="{00000000-0005-0000-0000-00003B3D0000}"/>
    <cellStyle name="_Data_KK_OR_RHB_Copy of 081027 ZBB Budget 2009 Decks - People_Cherry_V4" xfId="15685" xr:uid="{00000000-0005-0000-0000-00003C3D0000}"/>
    <cellStyle name="_Data_KK_OR_RHB_Copy of 081027 ZBB Budget 2009 Decks - People_Cherry_V4 2" xfId="15686" xr:uid="{00000000-0005-0000-0000-00003D3D0000}"/>
    <cellStyle name="_Data_KK_OR_RHB_Copy of 081027 ZBB Budget 2009 Decks - People_Cherry_V4 2 2" xfId="15687" xr:uid="{00000000-0005-0000-0000-00003E3D0000}"/>
    <cellStyle name="_Data_KK_OR_RHB_Copy of BGT 08 Templates Sales  Marketing - final (revised)" xfId="15688" xr:uid="{00000000-0005-0000-0000-00003F3D0000}"/>
    <cellStyle name="_Data_KK_OR_RHB_Copy of BGT 08 Templates Sales  Marketing - final (revised) 2" xfId="15689" xr:uid="{00000000-0005-0000-0000-0000403D0000}"/>
    <cellStyle name="_Data_KK_OR_RHB_Copy of BGT 08 Templates Sales  Marketing - final (revised) 2 2" xfId="15690" xr:uid="{00000000-0005-0000-0000-0000413D0000}"/>
    <cellStyle name="_Data_KK_OR_RHB_Copy of BGT 08 Templates Sales  Marketing - final (revised) 3" xfId="15691" xr:uid="{00000000-0005-0000-0000-0000423D0000}"/>
    <cellStyle name="_Data_KK_OR_RHB_Copy of BGT 08 Templates Sales  Marketing - final (revised) 4" xfId="15692" xr:uid="{00000000-0005-0000-0000-0000433D0000}"/>
    <cellStyle name="_Data_KK_OR_RHB_Excel sheets to support Market Program Template for Budget 09 (5) (2)" xfId="15693" xr:uid="{00000000-0005-0000-0000-0000443D0000}"/>
    <cellStyle name="_Data_KK_OR_RHB_Excel sheets to support Market Program Template for Budget 09 (5) (2) 2" xfId="15694" xr:uid="{00000000-0005-0000-0000-0000453D0000}"/>
    <cellStyle name="_Data_KK_OR_RHB_Excel sheets to support Market Program Template for Budget 09 (5) (2) 2 2" xfId="15695" xr:uid="{00000000-0005-0000-0000-0000463D0000}"/>
    <cellStyle name="_Data_KK_OR_RHB_Excel sheets to support Market Program Template for Budget 09 (5) (3)" xfId="15696" xr:uid="{00000000-0005-0000-0000-0000473D0000}"/>
    <cellStyle name="_Data_KK_OR_RHB_Excel sheets to support Market Program Template for Budget 09 (5) (3) 2" xfId="15697" xr:uid="{00000000-0005-0000-0000-0000483D0000}"/>
    <cellStyle name="_Data_KK_OR_RHB_Excel sheets to support Market Program Template for Budget 09 (5) (3) 2 2" xfId="15698" xr:uid="{00000000-0005-0000-0000-0000493D0000}"/>
    <cellStyle name="_Data_KK_OR_RHB_LE Ebitda RD Feb-10 v2" xfId="15699" xr:uid="{00000000-0005-0000-0000-00004A3D0000}"/>
    <cellStyle name="_Data_KK_OR_RHB_LE Ebitda RD Feb-10 v2 2" xfId="15700" xr:uid="{00000000-0005-0000-0000-00004B3D0000}"/>
    <cellStyle name="_Data_KK_OR_RHB_LE Ebitda RD Feb-10 v2 2 2" xfId="15701" xr:uid="{00000000-0005-0000-0000-00004C3D0000}"/>
    <cellStyle name="_Data_KK_OR_RHB_People Package" xfId="15702" xr:uid="{00000000-0005-0000-0000-00004D3D0000}"/>
    <cellStyle name="_Data_KK_OR_RHB_People Package (2)" xfId="15703" xr:uid="{00000000-0005-0000-0000-00004E3D0000}"/>
    <cellStyle name="_Data_KK_OR_RHB_People Package (2) 2" xfId="15704" xr:uid="{00000000-0005-0000-0000-00004F3D0000}"/>
    <cellStyle name="_Data_KK_OR_RHB_People Package (2) 2 2" xfId="15705" xr:uid="{00000000-0005-0000-0000-0000503D0000}"/>
    <cellStyle name="_Data_KK_OR_RHB_People Package 2" xfId="15706" xr:uid="{00000000-0005-0000-0000-0000513D0000}"/>
    <cellStyle name="_Data_KK_OR_RHB_People Package 2 2" xfId="15707" xr:uid="{00000000-0005-0000-0000-0000523D0000}"/>
    <cellStyle name="_Data_KK_OR_RHB_People Package 3" xfId="15708" xr:uid="{00000000-0005-0000-0000-0000533D0000}"/>
    <cellStyle name="_Data_KK_OR_RHB_People Package 3 2" xfId="15709" xr:uid="{00000000-0005-0000-0000-0000543D0000}"/>
    <cellStyle name="_Data_KK_OR_RHB_People Package 4" xfId="15710" xr:uid="{00000000-0005-0000-0000-0000553D0000}"/>
    <cellStyle name="_Data_KK_OR_RHB_People Package 5" xfId="15711" xr:uid="{00000000-0005-0000-0000-0000563D0000}"/>
    <cellStyle name="_Data_KK_OR_RHB_Sales and Marketing - revised" xfId="15712" xr:uid="{00000000-0005-0000-0000-0000573D0000}"/>
    <cellStyle name="_Data_KK_OR_RHB_Sales and Marketing - revised 2" xfId="15713" xr:uid="{00000000-0005-0000-0000-0000583D0000}"/>
    <cellStyle name="_Data_KK_OR_RHB_Sales and Marketing - revised 2 2" xfId="15714" xr:uid="{00000000-0005-0000-0000-0000593D0000}"/>
    <cellStyle name="_Data_KK_OR_RHB_Sales and Marketing - revised 3" xfId="15715" xr:uid="{00000000-0005-0000-0000-00005A3D0000}"/>
    <cellStyle name="_Data_KK_OR_RHB_Sales and Marketing - revised 4" xfId="15716" xr:uid="{00000000-0005-0000-0000-00005B3D0000}"/>
    <cellStyle name="_Data_KK_OR_RHB_Sim Ebitda LE 0909 v4" xfId="15717" xr:uid="{00000000-0005-0000-0000-00005C3D0000}"/>
    <cellStyle name="_Data_KK_OR_RHB_Sim Ebitda LE 0909 v4 2" xfId="15718" xr:uid="{00000000-0005-0000-0000-00005D3D0000}"/>
    <cellStyle name="_Data_KK_OR_RHB_Sim Ebitda LE 0909 v4 2 2" xfId="15719" xr:uid="{00000000-0005-0000-0000-00005E3D0000}"/>
    <cellStyle name="_Data_KK_OR_RHB_Sim Ebitda LE 0909 v4 3" xfId="15720" xr:uid="{00000000-0005-0000-0000-00005F3D0000}"/>
    <cellStyle name="_Data_KK_OR_RHB_Sim Ebitda LE 0909 v4 4" xfId="15721" xr:uid="{00000000-0005-0000-0000-0000603D0000}"/>
    <cellStyle name="_Data_KK_OR_RHB_Test" xfId="15722" xr:uid="{00000000-0005-0000-0000-0000613D0000}"/>
    <cellStyle name="_Data_KK_OR_RHB_Test 2" xfId="15723" xr:uid="{00000000-0005-0000-0000-0000623D0000}"/>
    <cellStyle name="_Data_KK_OR_RHB_Test 2 2" xfId="15724" xr:uid="{00000000-0005-0000-0000-0000633D0000}"/>
    <cellStyle name="_Data_KK_OR_RHB_Test 2 2 2" xfId="15725" xr:uid="{00000000-0005-0000-0000-0000643D0000}"/>
    <cellStyle name="_Data_KK_OR_RHB_Test 2 3" xfId="15726" xr:uid="{00000000-0005-0000-0000-0000653D0000}"/>
    <cellStyle name="_Data_KK_OR_RHB_Test 2 4" xfId="15727" xr:uid="{00000000-0005-0000-0000-0000663D0000}"/>
    <cellStyle name="_Data_KK_OR_RHB_Test 3" xfId="15728" xr:uid="{00000000-0005-0000-0000-0000673D0000}"/>
    <cellStyle name="_Data_KK_OR_RHB_Test 3 2" xfId="15729" xr:uid="{00000000-0005-0000-0000-0000683D0000}"/>
    <cellStyle name="_Data_KK_OR_RHB_Test_010808 Market Programs  for Budget Deck" xfId="15730" xr:uid="{00000000-0005-0000-0000-0000693D0000}"/>
    <cellStyle name="_Data_KK_OR_RHB_Test_010808 Market Programs  for Budget Deck 2" xfId="15731" xr:uid="{00000000-0005-0000-0000-00006A3D0000}"/>
    <cellStyle name="_Data_KK_OR_RHB_Test_010808 Market Programs  for Budget Deck 2 2" xfId="15732" xr:uid="{00000000-0005-0000-0000-00006B3D0000}"/>
    <cellStyle name="_Data_KK_OR_RHB_Test_0908 Gabarito exchange rate" xfId="15733" xr:uid="{00000000-0005-0000-0000-00006C3D0000}"/>
    <cellStyle name="_Data_KK_OR_RHB_Test_0908 Gabarito exchange rate 2" xfId="15734" xr:uid="{00000000-0005-0000-0000-00006D3D0000}"/>
    <cellStyle name="_Data_KK_OR_RHB_Test_0908 Gabarito exchange rate 2 2" xfId="15735" xr:uid="{00000000-0005-0000-0000-00006E3D0000}"/>
    <cellStyle name="_Data_KK_OR_RHB_Test_0908 Gabarito exchange rate 3" xfId="15736" xr:uid="{00000000-0005-0000-0000-00006F3D0000}"/>
    <cellStyle name="_Data_KK_OR_RHB_Test_0908 Gabarito exchange rate 4" xfId="15737" xr:uid="{00000000-0005-0000-0000-0000703D0000}"/>
    <cellStyle name="_Data_KK_OR_RHB_Test_BGT 08 Templates Sales  Marketing - final (revised)" xfId="15738" xr:uid="{00000000-0005-0000-0000-0000713D0000}"/>
    <cellStyle name="_Data_KK_OR_RHB_Test_BGT 08 Templates Sales  Marketing - final (revised) 2" xfId="15739" xr:uid="{00000000-0005-0000-0000-0000723D0000}"/>
    <cellStyle name="_Data_KK_OR_RHB_Test_BGT 08 Templates Sales  Marketing - final (revised) 2 2" xfId="15740" xr:uid="{00000000-0005-0000-0000-0000733D0000}"/>
    <cellStyle name="_Data_KK_OR_RHB_Test_BGT 08 Templates Sales  Marketing - final (revised) 3" xfId="15741" xr:uid="{00000000-0005-0000-0000-0000743D0000}"/>
    <cellStyle name="_Data_KK_OR_RHB_Test_BGT 08 Templates Sales  Marketing - final (revised) 4" xfId="15742" xr:uid="{00000000-0005-0000-0000-0000753D0000}"/>
    <cellStyle name="_Data_KK_OR_RHB_Test_BGT 08 templates, Sales &amp; Marketing - draft com alterações" xfId="15743" xr:uid="{00000000-0005-0000-0000-0000763D0000}"/>
    <cellStyle name="_Data_KK_OR_RHB_Test_BGT 08 templates, Sales &amp; Marketing - draft com alterações 2" xfId="15744" xr:uid="{00000000-0005-0000-0000-0000773D0000}"/>
    <cellStyle name="_Data_KK_OR_RHB_Test_BGT 08 templates, Sales &amp; Marketing - draft com alterações 2 2" xfId="15745" xr:uid="{00000000-0005-0000-0000-0000783D0000}"/>
    <cellStyle name="_Data_KK_OR_RHB_Test_BGT 08 templates, Sales &amp; Marketing - draft com alterações 3" xfId="15746" xr:uid="{00000000-0005-0000-0000-0000793D0000}"/>
    <cellStyle name="_Data_KK_OR_RHB_Test_BGT 08 templates, Sales &amp; Marketing - draft com alterações 4" xfId="15747" xr:uid="{00000000-0005-0000-0000-00007A3D0000}"/>
    <cellStyle name="_Data_KK_OR_RHB_Test_Book5" xfId="15748" xr:uid="{00000000-0005-0000-0000-00007B3D0000}"/>
    <cellStyle name="_Data_KK_OR_RHB_Test_Book5 2" xfId="15749" xr:uid="{00000000-0005-0000-0000-00007C3D0000}"/>
    <cellStyle name="_Data_KK_OR_RHB_Test_Book5 2 2" xfId="15750" xr:uid="{00000000-0005-0000-0000-00007D3D0000}"/>
    <cellStyle name="_Data_KK_OR_RHB_Test_Book5 3" xfId="15751" xr:uid="{00000000-0005-0000-0000-00007E3D0000}"/>
    <cellStyle name="_Data_KK_OR_RHB_Test_Book5 4" xfId="15752" xr:uid="{00000000-0005-0000-0000-00007F3D0000}"/>
    <cellStyle name="_Data_KK_OR_RHB_Test_Bplan RD 1001" xfId="15753" xr:uid="{00000000-0005-0000-0000-0000803D0000}"/>
    <cellStyle name="_Data_KK_OR_RHB_Test_Bplan RD 1001 2" xfId="15754" xr:uid="{00000000-0005-0000-0000-0000813D0000}"/>
    <cellStyle name="_Data_KK_OR_RHB_Test_Bplan RD 1001 2 2" xfId="15755" xr:uid="{00000000-0005-0000-0000-0000823D0000}"/>
    <cellStyle name="_Data_KK_OR_RHB_Test_Bplan RD 1001 3" xfId="15756" xr:uid="{00000000-0005-0000-0000-0000833D0000}"/>
    <cellStyle name="_Data_KK_OR_RHB_Test_Bplan RD 1001 4" xfId="15757" xr:uid="{00000000-0005-0000-0000-0000843D0000}"/>
    <cellStyle name="_Data_KK_OR_RHB_Test_Copy of 081027 ZBB Budget 2009 Decks - People_Cherry_V4" xfId="15758" xr:uid="{00000000-0005-0000-0000-0000853D0000}"/>
    <cellStyle name="_Data_KK_OR_RHB_Test_Copy of 081027 ZBB Budget 2009 Decks - People_Cherry_V4 2" xfId="15759" xr:uid="{00000000-0005-0000-0000-0000863D0000}"/>
    <cellStyle name="_Data_KK_OR_RHB_Test_Copy of 081027 ZBB Budget 2009 Decks - People_Cherry_V4 2 2" xfId="15760" xr:uid="{00000000-0005-0000-0000-0000873D0000}"/>
    <cellStyle name="_Data_KK_OR_RHB_Test_Copy of BGT 08 Templates Sales  Marketing - final (revised)" xfId="15761" xr:uid="{00000000-0005-0000-0000-0000883D0000}"/>
    <cellStyle name="_Data_KK_OR_RHB_Test_Copy of BGT 08 Templates Sales  Marketing - final (revised) 2" xfId="15762" xr:uid="{00000000-0005-0000-0000-0000893D0000}"/>
    <cellStyle name="_Data_KK_OR_RHB_Test_Copy of BGT 08 Templates Sales  Marketing - final (revised) 2 2" xfId="15763" xr:uid="{00000000-0005-0000-0000-00008A3D0000}"/>
    <cellStyle name="_Data_KK_OR_RHB_Test_Copy of BGT 08 Templates Sales  Marketing - final (revised) 3" xfId="15764" xr:uid="{00000000-0005-0000-0000-00008B3D0000}"/>
    <cellStyle name="_Data_KK_OR_RHB_Test_Copy of BGT 08 Templates Sales  Marketing - final (revised) 4" xfId="15765" xr:uid="{00000000-0005-0000-0000-00008C3D0000}"/>
    <cellStyle name="_Data_KK_OR_RHB_Test_Excel sheets to support Market Program Template for Budget 09 (5) (2)" xfId="15766" xr:uid="{00000000-0005-0000-0000-00008D3D0000}"/>
    <cellStyle name="_Data_KK_OR_RHB_Test_Excel sheets to support Market Program Template for Budget 09 (5) (2) 2" xfId="15767" xr:uid="{00000000-0005-0000-0000-00008E3D0000}"/>
    <cellStyle name="_Data_KK_OR_RHB_Test_Excel sheets to support Market Program Template for Budget 09 (5) (2) 2 2" xfId="15768" xr:uid="{00000000-0005-0000-0000-00008F3D0000}"/>
    <cellStyle name="_Data_KK_OR_RHB_Test_Excel sheets to support Market Program Template for Budget 09 (5) (3)" xfId="15769" xr:uid="{00000000-0005-0000-0000-0000903D0000}"/>
    <cellStyle name="_Data_KK_OR_RHB_Test_Excel sheets to support Market Program Template for Budget 09 (5) (3) 2" xfId="15770" xr:uid="{00000000-0005-0000-0000-0000913D0000}"/>
    <cellStyle name="_Data_KK_OR_RHB_Test_Excel sheets to support Market Program Template for Budget 09 (5) (3) 2 2" xfId="15771" xr:uid="{00000000-0005-0000-0000-0000923D0000}"/>
    <cellStyle name="_Data_KK_OR_RHB_Test_LE Ebitda RD Feb-10 v2" xfId="15772" xr:uid="{00000000-0005-0000-0000-0000933D0000}"/>
    <cellStyle name="_Data_KK_OR_RHB_Test_LE Ebitda RD Feb-10 v2 2" xfId="15773" xr:uid="{00000000-0005-0000-0000-0000943D0000}"/>
    <cellStyle name="_Data_KK_OR_RHB_Test_LE Ebitda RD Feb-10 v2 2 2" xfId="15774" xr:uid="{00000000-0005-0000-0000-0000953D0000}"/>
    <cellStyle name="_Data_KK_OR_RHB_Test_People Package" xfId="15775" xr:uid="{00000000-0005-0000-0000-0000963D0000}"/>
    <cellStyle name="_Data_KK_OR_RHB_Test_People Package (2)" xfId="15776" xr:uid="{00000000-0005-0000-0000-0000973D0000}"/>
    <cellStyle name="_Data_KK_OR_RHB_Test_People Package (2) 2" xfId="15777" xr:uid="{00000000-0005-0000-0000-0000983D0000}"/>
    <cellStyle name="_Data_KK_OR_RHB_Test_People Package (2) 2 2" xfId="15778" xr:uid="{00000000-0005-0000-0000-0000993D0000}"/>
    <cellStyle name="_Data_KK_OR_RHB_Test_People Package 2" xfId="15779" xr:uid="{00000000-0005-0000-0000-00009A3D0000}"/>
    <cellStyle name="_Data_KK_OR_RHB_Test_People Package 2 2" xfId="15780" xr:uid="{00000000-0005-0000-0000-00009B3D0000}"/>
    <cellStyle name="_Data_KK_OR_RHB_Test_People Package 3" xfId="15781" xr:uid="{00000000-0005-0000-0000-00009C3D0000}"/>
    <cellStyle name="_Data_KK_OR_RHB_Test_People Package 3 2" xfId="15782" xr:uid="{00000000-0005-0000-0000-00009D3D0000}"/>
    <cellStyle name="_Data_KK_OR_RHB_Test_People Package 4" xfId="15783" xr:uid="{00000000-0005-0000-0000-00009E3D0000}"/>
    <cellStyle name="_Data_KK_OR_RHB_Test_People Package 5" xfId="15784" xr:uid="{00000000-0005-0000-0000-00009F3D0000}"/>
    <cellStyle name="_Data_KK_OR_RHB_Test_Sales and Marketing - revised" xfId="15785" xr:uid="{00000000-0005-0000-0000-0000A03D0000}"/>
    <cellStyle name="_Data_KK_OR_RHB_Test_Sales and Marketing - revised 2" xfId="15786" xr:uid="{00000000-0005-0000-0000-0000A13D0000}"/>
    <cellStyle name="_Data_KK_OR_RHB_Test_Sales and Marketing - revised 2 2" xfId="15787" xr:uid="{00000000-0005-0000-0000-0000A23D0000}"/>
    <cellStyle name="_Data_KK_OR_RHB_Test_Sales and Marketing - revised 3" xfId="15788" xr:uid="{00000000-0005-0000-0000-0000A33D0000}"/>
    <cellStyle name="_Data_KK_OR_RHB_Test_Sales and Marketing - revised 4" xfId="15789" xr:uid="{00000000-0005-0000-0000-0000A43D0000}"/>
    <cellStyle name="_Data_KK_OR_RHB_Test_Sim Ebitda LE 0909 v4" xfId="15790" xr:uid="{00000000-0005-0000-0000-0000A53D0000}"/>
    <cellStyle name="_Data_KK_OR_RHB_Test_Sim Ebitda LE 0909 v4 2" xfId="15791" xr:uid="{00000000-0005-0000-0000-0000A63D0000}"/>
    <cellStyle name="_Data_KK_OR_RHB_Test_Sim Ebitda LE 0909 v4 2 2" xfId="15792" xr:uid="{00000000-0005-0000-0000-0000A73D0000}"/>
    <cellStyle name="_Data_KK_OR_RHB_Test_Sim Ebitda LE 0909 v4 3" xfId="15793" xr:uid="{00000000-0005-0000-0000-0000A83D0000}"/>
    <cellStyle name="_Data_KK_OR_RHB_Test_Sim Ebitda LE 0909 v4 4" xfId="15794" xr:uid="{00000000-0005-0000-0000-0000A93D0000}"/>
    <cellStyle name="_Data_KK_OR_RHB_Test_WF Ebitda RD Abr-10" xfId="15795" xr:uid="{00000000-0005-0000-0000-0000AA3D0000}"/>
    <cellStyle name="_Data_KK_OR_RHB_Test_WF Ebitda RD Abr-10 2" xfId="15796" xr:uid="{00000000-0005-0000-0000-0000AB3D0000}"/>
    <cellStyle name="_Data_KK_OR_RHB_Test_WF Ebitda RD Abr-10 2 2" xfId="15797" xr:uid="{00000000-0005-0000-0000-0000AC3D0000}"/>
    <cellStyle name="_Data_KK_OR_RHB_Test_WF Ebitda Sep09" xfId="15798" xr:uid="{00000000-0005-0000-0000-0000AD3D0000}"/>
    <cellStyle name="_Data_KK_OR_RHB_Test_WF Ebitda Sep09 2" xfId="15799" xr:uid="{00000000-0005-0000-0000-0000AE3D0000}"/>
    <cellStyle name="_Data_KK_OR_RHB_Test_WF Ebitda Sep09 2 2" xfId="15800" xr:uid="{00000000-0005-0000-0000-0000AF3D0000}"/>
    <cellStyle name="_Data_KK_OR_RHB_Test_ZBB" xfId="15801" xr:uid="{00000000-0005-0000-0000-0000B03D0000}"/>
    <cellStyle name="_Data_KK_OR_RHB_Test_ZBB 2" xfId="15802" xr:uid="{00000000-0005-0000-0000-0000B13D0000}"/>
    <cellStyle name="_Data_KK_OR_RHB_Test_ZBB 2 2" xfId="15803" xr:uid="{00000000-0005-0000-0000-0000B23D0000}"/>
    <cellStyle name="_Data_KK_OR_RHB_Test_ZBB Budget 2009 Decks" xfId="15804" xr:uid="{00000000-0005-0000-0000-0000B33D0000}"/>
    <cellStyle name="_Data_KK_OR_RHB_Test_ZBB Budget 2009 Decks 2" xfId="15805" xr:uid="{00000000-0005-0000-0000-0000B43D0000}"/>
    <cellStyle name="_Data_KK_OR_RHB_Test_ZBB Budget 2009 Decks 2 2" xfId="15806" xr:uid="{00000000-0005-0000-0000-0000B53D0000}"/>
    <cellStyle name="_Data_KK_OR_RHB_Test_ZBB Budget 2009 Decks_with Korea Scope in (Only LE)" xfId="15807" xr:uid="{00000000-0005-0000-0000-0000B63D0000}"/>
    <cellStyle name="_Data_KK_OR_RHB_Test_ZBB Budget 2009 Decks_with Korea Scope in (Only LE) (2)" xfId="15808" xr:uid="{00000000-0005-0000-0000-0000B73D0000}"/>
    <cellStyle name="_Data_KK_OR_RHB_Test_ZBB Budget 2009 Decks_with Korea Scope in (Only LE) (2) 2" xfId="15809" xr:uid="{00000000-0005-0000-0000-0000B83D0000}"/>
    <cellStyle name="_Data_KK_OR_RHB_Test_ZBB Budget 2009 Decks_with Korea Scope in (Only LE) (2) 2 2" xfId="15810" xr:uid="{00000000-0005-0000-0000-0000B93D0000}"/>
    <cellStyle name="_Data_KK_OR_RHB_Test_ZBB Budget 2009 Decks_with Korea Scope in (Only LE) 2" xfId="15811" xr:uid="{00000000-0005-0000-0000-0000BA3D0000}"/>
    <cellStyle name="_Data_KK_OR_RHB_Test_ZBB Budget 2009 Decks_with Korea Scope in (Only LE) 2 2" xfId="15812" xr:uid="{00000000-0005-0000-0000-0000BB3D0000}"/>
    <cellStyle name="_Data_KK_OR_RHB_Test_ZBB Budget 2009 Decks_with Korea Scope in (Only LE) 3" xfId="15813" xr:uid="{00000000-0005-0000-0000-0000BC3D0000}"/>
    <cellStyle name="_Data_KK_OR_RHB_Test_ZBB Budget 2009 Decks_with Korea Scope in (Only LE) 3 2" xfId="15814" xr:uid="{00000000-0005-0000-0000-0000BD3D0000}"/>
    <cellStyle name="_Data_KK_OR_RHB_Test_ZBB Budget 2009 Decks_with Korea Scope in (Only LE) 4" xfId="15815" xr:uid="{00000000-0005-0000-0000-0000BE3D0000}"/>
    <cellStyle name="_Data_KK_OR_RHB_Test_ZBB Budget 2009 Decks_with Korea Scope in (Only LE) 5" xfId="15816" xr:uid="{00000000-0005-0000-0000-0000BF3D0000}"/>
    <cellStyle name="_Data_KK_OR_RHB_WF Ebitda RD Abr-10" xfId="15817" xr:uid="{00000000-0005-0000-0000-0000C03D0000}"/>
    <cellStyle name="_Data_KK_OR_RHB_WF Ebitda RD Abr-10 2" xfId="15818" xr:uid="{00000000-0005-0000-0000-0000C13D0000}"/>
    <cellStyle name="_Data_KK_OR_RHB_WF Ebitda RD Abr-10 2 2" xfId="15819" xr:uid="{00000000-0005-0000-0000-0000C23D0000}"/>
    <cellStyle name="_Data_KK_OR_RHB_WF Ebitda Sep09" xfId="15820" xr:uid="{00000000-0005-0000-0000-0000C33D0000}"/>
    <cellStyle name="_Data_KK_OR_RHB_WF Ebitda Sep09 2" xfId="15821" xr:uid="{00000000-0005-0000-0000-0000C43D0000}"/>
    <cellStyle name="_Data_KK_OR_RHB_WF Ebitda Sep09 2 2" xfId="15822" xr:uid="{00000000-0005-0000-0000-0000C53D0000}"/>
    <cellStyle name="_Data_KK_OR_RHB_ZBB" xfId="15823" xr:uid="{00000000-0005-0000-0000-0000C63D0000}"/>
    <cellStyle name="_Data_KK_OR_RHB_ZBB 2" xfId="15824" xr:uid="{00000000-0005-0000-0000-0000C73D0000}"/>
    <cellStyle name="_Data_KK_OR_RHB_ZBB 2 2" xfId="15825" xr:uid="{00000000-0005-0000-0000-0000C83D0000}"/>
    <cellStyle name="_Data_KK_OR_RHB_ZBB Budget 2009 Decks" xfId="15826" xr:uid="{00000000-0005-0000-0000-0000C93D0000}"/>
    <cellStyle name="_Data_KK_OR_RHB_ZBB Budget 2009 Decks 2" xfId="15827" xr:uid="{00000000-0005-0000-0000-0000CA3D0000}"/>
    <cellStyle name="_Data_KK_OR_RHB_ZBB Budget 2009 Decks 2 2" xfId="15828" xr:uid="{00000000-0005-0000-0000-0000CB3D0000}"/>
    <cellStyle name="_Data_KK_OR_RHB_ZBB Budget 2009 Decks_with Korea Scope in (Only LE)" xfId="15829" xr:uid="{00000000-0005-0000-0000-0000CC3D0000}"/>
    <cellStyle name="_Data_KK_OR_RHB_ZBB Budget 2009 Decks_with Korea Scope in (Only LE) (2)" xfId="15830" xr:uid="{00000000-0005-0000-0000-0000CD3D0000}"/>
    <cellStyle name="_Data_KK_OR_RHB_ZBB Budget 2009 Decks_with Korea Scope in (Only LE) (2) 2" xfId="15831" xr:uid="{00000000-0005-0000-0000-0000CE3D0000}"/>
    <cellStyle name="_Data_KK_OR_RHB_ZBB Budget 2009 Decks_with Korea Scope in (Only LE) (2) 2 2" xfId="15832" xr:uid="{00000000-0005-0000-0000-0000CF3D0000}"/>
    <cellStyle name="_Data_KK_OR_RHB_ZBB Budget 2009 Decks_with Korea Scope in (Only LE) 2" xfId="15833" xr:uid="{00000000-0005-0000-0000-0000D03D0000}"/>
    <cellStyle name="_Data_KK_OR_RHB_ZBB Budget 2009 Decks_with Korea Scope in (Only LE) 2 2" xfId="15834" xr:uid="{00000000-0005-0000-0000-0000D13D0000}"/>
    <cellStyle name="_Data_KK_OR_RHB_ZBB Budget 2009 Decks_with Korea Scope in (Only LE) 3" xfId="15835" xr:uid="{00000000-0005-0000-0000-0000D23D0000}"/>
    <cellStyle name="_Data_KK_OR_RHB_ZBB Budget 2009 Decks_with Korea Scope in (Only LE) 3 2" xfId="15836" xr:uid="{00000000-0005-0000-0000-0000D33D0000}"/>
    <cellStyle name="_Data_KK_OR_RHB_ZBB Budget 2009 Decks_with Korea Scope in (Only LE) 4" xfId="15837" xr:uid="{00000000-0005-0000-0000-0000D43D0000}"/>
    <cellStyle name="_Data_KK_OR_RHB_ZBB Budget 2009 Decks_with Korea Scope in (Only LE) 5" xfId="15838" xr:uid="{00000000-0005-0000-0000-0000D53D0000}"/>
    <cellStyle name="_Data_KK_RHB_Plan_Ist_001211" xfId="15839" xr:uid="{00000000-0005-0000-0000-0000D63D0000}"/>
    <cellStyle name="_Data_KK_RHB_Plan_Ist_001211 2" xfId="15840" xr:uid="{00000000-0005-0000-0000-0000D73D0000}"/>
    <cellStyle name="_Data_KK_RHB_Plan_Ist_001211 2 2" xfId="15841" xr:uid="{00000000-0005-0000-0000-0000D83D0000}"/>
    <cellStyle name="_Data_KK_RHB_Plan_Ist_001211 2 2 2" xfId="15842" xr:uid="{00000000-0005-0000-0000-0000D93D0000}"/>
    <cellStyle name="_Data_KK_RHB_Plan_Ist_001211 2 3" xfId="15843" xr:uid="{00000000-0005-0000-0000-0000DA3D0000}"/>
    <cellStyle name="_Data_KK_RHB_Plan_Ist_001211 2 4" xfId="15844" xr:uid="{00000000-0005-0000-0000-0000DB3D0000}"/>
    <cellStyle name="_Data_KK_RHB_Plan_Ist_001211 3" xfId="15845" xr:uid="{00000000-0005-0000-0000-0000DC3D0000}"/>
    <cellStyle name="_Data_KK_RHB_Plan_Ist_001211 3 2" xfId="15846" xr:uid="{00000000-0005-0000-0000-0000DD3D0000}"/>
    <cellStyle name="_Data_KK_RHB_Plan_Ist_001211_010808 Market Programs  for Budget Deck" xfId="15847" xr:uid="{00000000-0005-0000-0000-0000DE3D0000}"/>
    <cellStyle name="_Data_KK_RHB_Plan_Ist_001211_010808 Market Programs  for Budget Deck 2" xfId="15848" xr:uid="{00000000-0005-0000-0000-0000DF3D0000}"/>
    <cellStyle name="_Data_KK_RHB_Plan_Ist_001211_010808 Market Programs  for Budget Deck 2 2" xfId="15849" xr:uid="{00000000-0005-0000-0000-0000E03D0000}"/>
    <cellStyle name="_Data_KK_RHB_Plan_Ist_001211_0908 Gabarito exchange rate" xfId="15850" xr:uid="{00000000-0005-0000-0000-0000E13D0000}"/>
    <cellStyle name="_Data_KK_RHB_Plan_Ist_001211_0908 Gabarito exchange rate 2" xfId="15851" xr:uid="{00000000-0005-0000-0000-0000E23D0000}"/>
    <cellStyle name="_Data_KK_RHB_Plan_Ist_001211_0908 Gabarito exchange rate 2 2" xfId="15852" xr:uid="{00000000-0005-0000-0000-0000E33D0000}"/>
    <cellStyle name="_Data_KK_RHB_Plan_Ist_001211_0908 Gabarito exchange rate 3" xfId="15853" xr:uid="{00000000-0005-0000-0000-0000E43D0000}"/>
    <cellStyle name="_Data_KK_RHB_Plan_Ist_001211_0908 Gabarito exchange rate 4" xfId="15854" xr:uid="{00000000-0005-0000-0000-0000E53D0000}"/>
    <cellStyle name="_Data_KK_RHB_Plan_Ist_001211_BGT 08 Templates Sales  Marketing - final (revised)" xfId="15855" xr:uid="{00000000-0005-0000-0000-0000E63D0000}"/>
    <cellStyle name="_Data_KK_RHB_Plan_Ist_001211_BGT 08 Templates Sales  Marketing - final (revised) 2" xfId="15856" xr:uid="{00000000-0005-0000-0000-0000E73D0000}"/>
    <cellStyle name="_Data_KK_RHB_Plan_Ist_001211_BGT 08 Templates Sales  Marketing - final (revised) 2 2" xfId="15857" xr:uid="{00000000-0005-0000-0000-0000E83D0000}"/>
    <cellStyle name="_Data_KK_RHB_Plan_Ist_001211_BGT 08 Templates Sales  Marketing - final (revised) 3" xfId="15858" xr:uid="{00000000-0005-0000-0000-0000E93D0000}"/>
    <cellStyle name="_Data_KK_RHB_Plan_Ist_001211_BGT 08 Templates Sales  Marketing - final (revised) 4" xfId="15859" xr:uid="{00000000-0005-0000-0000-0000EA3D0000}"/>
    <cellStyle name="_Data_KK_RHB_Plan_Ist_001211_BGT 08 templates, Sales &amp; Marketing - draft com alterações" xfId="15860" xr:uid="{00000000-0005-0000-0000-0000EB3D0000}"/>
    <cellStyle name="_Data_KK_RHB_Plan_Ist_001211_BGT 08 templates, Sales &amp; Marketing - draft com alterações 2" xfId="15861" xr:uid="{00000000-0005-0000-0000-0000EC3D0000}"/>
    <cellStyle name="_Data_KK_RHB_Plan_Ist_001211_BGT 08 templates, Sales &amp; Marketing - draft com alterações 2 2" xfId="15862" xr:uid="{00000000-0005-0000-0000-0000ED3D0000}"/>
    <cellStyle name="_Data_KK_RHB_Plan_Ist_001211_BGT 08 templates, Sales &amp; Marketing - draft com alterações 3" xfId="15863" xr:uid="{00000000-0005-0000-0000-0000EE3D0000}"/>
    <cellStyle name="_Data_KK_RHB_Plan_Ist_001211_BGT 08 templates, Sales &amp; Marketing - draft com alterações 4" xfId="15864" xr:uid="{00000000-0005-0000-0000-0000EF3D0000}"/>
    <cellStyle name="_Data_KK_RHB_Plan_Ist_001211_Book5" xfId="15865" xr:uid="{00000000-0005-0000-0000-0000F03D0000}"/>
    <cellStyle name="_Data_KK_RHB_Plan_Ist_001211_Book5 2" xfId="15866" xr:uid="{00000000-0005-0000-0000-0000F13D0000}"/>
    <cellStyle name="_Data_KK_RHB_Plan_Ist_001211_Book5 2 2" xfId="15867" xr:uid="{00000000-0005-0000-0000-0000F23D0000}"/>
    <cellStyle name="_Data_KK_RHB_Plan_Ist_001211_Book5 3" xfId="15868" xr:uid="{00000000-0005-0000-0000-0000F33D0000}"/>
    <cellStyle name="_Data_KK_RHB_Plan_Ist_001211_Book5 4" xfId="15869" xr:uid="{00000000-0005-0000-0000-0000F43D0000}"/>
    <cellStyle name="_Data_KK_RHB_Plan_Ist_001211_Bplan RD 1001" xfId="15870" xr:uid="{00000000-0005-0000-0000-0000F53D0000}"/>
    <cellStyle name="_Data_KK_RHB_Plan_Ist_001211_Bplan RD 1001 2" xfId="15871" xr:uid="{00000000-0005-0000-0000-0000F63D0000}"/>
    <cellStyle name="_Data_KK_RHB_Plan_Ist_001211_Bplan RD 1001 2 2" xfId="15872" xr:uid="{00000000-0005-0000-0000-0000F73D0000}"/>
    <cellStyle name="_Data_KK_RHB_Plan_Ist_001211_Bplan RD 1001 3" xfId="15873" xr:uid="{00000000-0005-0000-0000-0000F83D0000}"/>
    <cellStyle name="_Data_KK_RHB_Plan_Ist_001211_Bplan RD 1001 4" xfId="15874" xr:uid="{00000000-0005-0000-0000-0000F93D0000}"/>
    <cellStyle name="_Data_KK_RHB_Plan_Ist_001211_Copy of 081027 ZBB Budget 2009 Decks - People_Cherry_V4" xfId="15875" xr:uid="{00000000-0005-0000-0000-0000FA3D0000}"/>
    <cellStyle name="_Data_KK_RHB_Plan_Ist_001211_Copy of 081027 ZBB Budget 2009 Decks - People_Cherry_V4 2" xfId="15876" xr:uid="{00000000-0005-0000-0000-0000FB3D0000}"/>
    <cellStyle name="_Data_KK_RHB_Plan_Ist_001211_Copy of 081027 ZBB Budget 2009 Decks - People_Cherry_V4 2 2" xfId="15877" xr:uid="{00000000-0005-0000-0000-0000FC3D0000}"/>
    <cellStyle name="_Data_KK_RHB_Plan_Ist_001211_Copy of BGT 08 Templates Sales  Marketing - final (revised)" xfId="15878" xr:uid="{00000000-0005-0000-0000-0000FD3D0000}"/>
    <cellStyle name="_Data_KK_RHB_Plan_Ist_001211_Copy of BGT 08 Templates Sales  Marketing - final (revised) 2" xfId="15879" xr:uid="{00000000-0005-0000-0000-0000FE3D0000}"/>
    <cellStyle name="_Data_KK_RHB_Plan_Ist_001211_Copy of BGT 08 Templates Sales  Marketing - final (revised) 2 2" xfId="15880" xr:uid="{00000000-0005-0000-0000-0000FF3D0000}"/>
    <cellStyle name="_Data_KK_RHB_Plan_Ist_001211_Copy of BGT 08 Templates Sales  Marketing - final (revised) 3" xfId="15881" xr:uid="{00000000-0005-0000-0000-0000003E0000}"/>
    <cellStyle name="_Data_KK_RHB_Plan_Ist_001211_Copy of BGT 08 Templates Sales  Marketing - final (revised) 4" xfId="15882" xr:uid="{00000000-0005-0000-0000-0000013E0000}"/>
    <cellStyle name="_Data_KK_RHB_Plan_Ist_001211_Excel sheets to support Market Program Template for Budget 09 (5) (2)" xfId="15883" xr:uid="{00000000-0005-0000-0000-0000023E0000}"/>
    <cellStyle name="_Data_KK_RHB_Plan_Ist_001211_Excel sheets to support Market Program Template for Budget 09 (5) (2) 2" xfId="15884" xr:uid="{00000000-0005-0000-0000-0000033E0000}"/>
    <cellStyle name="_Data_KK_RHB_Plan_Ist_001211_Excel sheets to support Market Program Template for Budget 09 (5) (2) 2 2" xfId="15885" xr:uid="{00000000-0005-0000-0000-0000043E0000}"/>
    <cellStyle name="_Data_KK_RHB_Plan_Ist_001211_Excel sheets to support Market Program Template for Budget 09 (5) (3)" xfId="15886" xr:uid="{00000000-0005-0000-0000-0000053E0000}"/>
    <cellStyle name="_Data_KK_RHB_Plan_Ist_001211_Excel sheets to support Market Program Template for Budget 09 (5) (3) 2" xfId="15887" xr:uid="{00000000-0005-0000-0000-0000063E0000}"/>
    <cellStyle name="_Data_KK_RHB_Plan_Ist_001211_Excel sheets to support Market Program Template for Budget 09 (5) (3) 2 2" xfId="15888" xr:uid="{00000000-0005-0000-0000-0000073E0000}"/>
    <cellStyle name="_Data_KK_RHB_Plan_Ist_001211_LE Ebitda RD Feb-10 v2" xfId="15889" xr:uid="{00000000-0005-0000-0000-0000083E0000}"/>
    <cellStyle name="_Data_KK_RHB_Plan_Ist_001211_LE Ebitda RD Feb-10 v2 2" xfId="15890" xr:uid="{00000000-0005-0000-0000-0000093E0000}"/>
    <cellStyle name="_Data_KK_RHB_Plan_Ist_001211_LE Ebitda RD Feb-10 v2 2 2" xfId="15891" xr:uid="{00000000-0005-0000-0000-00000A3E0000}"/>
    <cellStyle name="_Data_KK_RHB_Plan_Ist_001211_People Package" xfId="15892" xr:uid="{00000000-0005-0000-0000-00000B3E0000}"/>
    <cellStyle name="_Data_KK_RHB_Plan_Ist_001211_People Package (2)" xfId="15893" xr:uid="{00000000-0005-0000-0000-00000C3E0000}"/>
    <cellStyle name="_Data_KK_RHB_Plan_Ist_001211_People Package (2) 2" xfId="15894" xr:uid="{00000000-0005-0000-0000-00000D3E0000}"/>
    <cellStyle name="_Data_KK_RHB_Plan_Ist_001211_People Package (2) 2 2" xfId="15895" xr:uid="{00000000-0005-0000-0000-00000E3E0000}"/>
    <cellStyle name="_Data_KK_RHB_Plan_Ist_001211_People Package 2" xfId="15896" xr:uid="{00000000-0005-0000-0000-00000F3E0000}"/>
    <cellStyle name="_Data_KK_RHB_Plan_Ist_001211_People Package 2 2" xfId="15897" xr:uid="{00000000-0005-0000-0000-0000103E0000}"/>
    <cellStyle name="_Data_KK_RHB_Plan_Ist_001211_People Package 3" xfId="15898" xr:uid="{00000000-0005-0000-0000-0000113E0000}"/>
    <cellStyle name="_Data_KK_RHB_Plan_Ist_001211_People Package 3 2" xfId="15899" xr:uid="{00000000-0005-0000-0000-0000123E0000}"/>
    <cellStyle name="_Data_KK_RHB_Plan_Ist_001211_People Package 4" xfId="15900" xr:uid="{00000000-0005-0000-0000-0000133E0000}"/>
    <cellStyle name="_Data_KK_RHB_Plan_Ist_001211_People Package 5" xfId="15901" xr:uid="{00000000-0005-0000-0000-0000143E0000}"/>
    <cellStyle name="_Data_KK_RHB_Plan_Ist_001211_Sales and Marketing - revised" xfId="15902" xr:uid="{00000000-0005-0000-0000-0000153E0000}"/>
    <cellStyle name="_Data_KK_RHB_Plan_Ist_001211_Sales and Marketing - revised 2" xfId="15903" xr:uid="{00000000-0005-0000-0000-0000163E0000}"/>
    <cellStyle name="_Data_KK_RHB_Plan_Ist_001211_Sales and Marketing - revised 2 2" xfId="15904" xr:uid="{00000000-0005-0000-0000-0000173E0000}"/>
    <cellStyle name="_Data_KK_RHB_Plan_Ist_001211_Sales and Marketing - revised 3" xfId="15905" xr:uid="{00000000-0005-0000-0000-0000183E0000}"/>
    <cellStyle name="_Data_KK_RHB_Plan_Ist_001211_Sales and Marketing - revised 4" xfId="15906" xr:uid="{00000000-0005-0000-0000-0000193E0000}"/>
    <cellStyle name="_Data_KK_RHB_Plan_Ist_001211_Sim Ebitda LE 0909 v4" xfId="15907" xr:uid="{00000000-0005-0000-0000-00001A3E0000}"/>
    <cellStyle name="_Data_KK_RHB_Plan_Ist_001211_Sim Ebitda LE 0909 v4 2" xfId="15908" xr:uid="{00000000-0005-0000-0000-00001B3E0000}"/>
    <cellStyle name="_Data_KK_RHB_Plan_Ist_001211_Sim Ebitda LE 0909 v4 2 2" xfId="15909" xr:uid="{00000000-0005-0000-0000-00001C3E0000}"/>
    <cellStyle name="_Data_KK_RHB_Plan_Ist_001211_Sim Ebitda LE 0909 v4 3" xfId="15910" xr:uid="{00000000-0005-0000-0000-00001D3E0000}"/>
    <cellStyle name="_Data_KK_RHB_Plan_Ist_001211_Sim Ebitda LE 0909 v4 4" xfId="15911" xr:uid="{00000000-0005-0000-0000-00001E3E0000}"/>
    <cellStyle name="_Data_KK_RHB_Plan_Ist_001211_WF Ebitda RD Abr-10" xfId="15912" xr:uid="{00000000-0005-0000-0000-00001F3E0000}"/>
    <cellStyle name="_Data_KK_RHB_Plan_Ist_001211_WF Ebitda RD Abr-10 2" xfId="15913" xr:uid="{00000000-0005-0000-0000-0000203E0000}"/>
    <cellStyle name="_Data_KK_RHB_Plan_Ist_001211_WF Ebitda RD Abr-10 2 2" xfId="15914" xr:uid="{00000000-0005-0000-0000-0000213E0000}"/>
    <cellStyle name="_Data_KK_RHB_Plan_Ist_001211_WF Ebitda Sep09" xfId="15915" xr:uid="{00000000-0005-0000-0000-0000223E0000}"/>
    <cellStyle name="_Data_KK_RHB_Plan_Ist_001211_WF Ebitda Sep09 2" xfId="15916" xr:uid="{00000000-0005-0000-0000-0000233E0000}"/>
    <cellStyle name="_Data_KK_RHB_Plan_Ist_001211_WF Ebitda Sep09 2 2" xfId="15917" xr:uid="{00000000-0005-0000-0000-0000243E0000}"/>
    <cellStyle name="_Data_KK_RHB_Plan_Ist_001211_ZBB" xfId="15918" xr:uid="{00000000-0005-0000-0000-0000253E0000}"/>
    <cellStyle name="_Data_KK_RHB_Plan_Ist_001211_ZBB 2" xfId="15919" xr:uid="{00000000-0005-0000-0000-0000263E0000}"/>
    <cellStyle name="_Data_KK_RHB_Plan_Ist_001211_ZBB 2 2" xfId="15920" xr:uid="{00000000-0005-0000-0000-0000273E0000}"/>
    <cellStyle name="_Data_KK_RHB_Plan_Ist_001211_ZBB Budget 2009 Decks" xfId="15921" xr:uid="{00000000-0005-0000-0000-0000283E0000}"/>
    <cellStyle name="_Data_KK_RHB_Plan_Ist_001211_ZBB Budget 2009 Decks 2" xfId="15922" xr:uid="{00000000-0005-0000-0000-0000293E0000}"/>
    <cellStyle name="_Data_KK_RHB_Plan_Ist_001211_ZBB Budget 2009 Decks 2 2" xfId="15923" xr:uid="{00000000-0005-0000-0000-00002A3E0000}"/>
    <cellStyle name="_Data_KK_RHB_Plan_Ist_001211_ZBB Budget 2009 Decks_with Korea Scope in (Only LE)" xfId="15924" xr:uid="{00000000-0005-0000-0000-00002B3E0000}"/>
    <cellStyle name="_Data_KK_RHB_Plan_Ist_001211_ZBB Budget 2009 Decks_with Korea Scope in (Only LE) (2)" xfId="15925" xr:uid="{00000000-0005-0000-0000-00002C3E0000}"/>
    <cellStyle name="_Data_KK_RHB_Plan_Ist_001211_ZBB Budget 2009 Decks_with Korea Scope in (Only LE) (2) 2" xfId="15926" xr:uid="{00000000-0005-0000-0000-00002D3E0000}"/>
    <cellStyle name="_Data_KK_RHB_Plan_Ist_001211_ZBB Budget 2009 Decks_with Korea Scope in (Only LE) (2) 2 2" xfId="15927" xr:uid="{00000000-0005-0000-0000-00002E3E0000}"/>
    <cellStyle name="_Data_KK_RHB_Plan_Ist_001211_ZBB Budget 2009 Decks_with Korea Scope in (Only LE) 2" xfId="15928" xr:uid="{00000000-0005-0000-0000-00002F3E0000}"/>
    <cellStyle name="_Data_KK_RHB_Plan_Ist_001211_ZBB Budget 2009 Decks_with Korea Scope in (Only LE) 2 2" xfId="15929" xr:uid="{00000000-0005-0000-0000-0000303E0000}"/>
    <cellStyle name="_Data_KK_RHB_Plan_Ist_001211_ZBB Budget 2009 Decks_with Korea Scope in (Only LE) 3" xfId="15930" xr:uid="{00000000-0005-0000-0000-0000313E0000}"/>
    <cellStyle name="_Data_KK_RHB_Plan_Ist_001211_ZBB Budget 2009 Decks_with Korea Scope in (Only LE) 3 2" xfId="15931" xr:uid="{00000000-0005-0000-0000-0000323E0000}"/>
    <cellStyle name="_Data_KK_RHB_Plan_Ist_001211_ZBB Budget 2009 Decks_with Korea Scope in (Only LE) 4" xfId="15932" xr:uid="{00000000-0005-0000-0000-0000333E0000}"/>
    <cellStyle name="_Data_KK_RHB_Plan_Ist_001211_ZBB Budget 2009 Decks_with Korea Scope in (Only LE) 5" xfId="15933" xr:uid="{00000000-0005-0000-0000-0000343E0000}"/>
    <cellStyle name="_Data_KPI-Dez02-Bremen Vorbereitungsdatei" xfId="15934" xr:uid="{00000000-0005-0000-0000-0000353E0000}"/>
    <cellStyle name="_Data_KPI-Dez02-Bremen Vorbereitungsdatei 2" xfId="15935" xr:uid="{00000000-0005-0000-0000-0000363E0000}"/>
    <cellStyle name="_Data_KPI-Dez02-Bremen Vorbereitungsdatei 2 2" xfId="15936" xr:uid="{00000000-0005-0000-0000-0000373E0000}"/>
    <cellStyle name="_Data_KPI-Dez02-Bremen Vorbereitungsdatei 2 2 2" xfId="15937" xr:uid="{00000000-0005-0000-0000-0000383E0000}"/>
    <cellStyle name="_Data_KPI-Dez02-Bremen Vorbereitungsdatei 2 3" xfId="15938" xr:uid="{00000000-0005-0000-0000-0000393E0000}"/>
    <cellStyle name="_Data_KPI-Dez02-Bremen Vorbereitungsdatei 2 4" xfId="15939" xr:uid="{00000000-0005-0000-0000-00003A3E0000}"/>
    <cellStyle name="_Data_KPI-Dez02-Bremen Vorbereitungsdatei 3" xfId="15940" xr:uid="{00000000-0005-0000-0000-00003B3E0000}"/>
    <cellStyle name="_Data_KPI-Dez02-Bremen Vorbereitungsdatei 3 2" xfId="15941" xr:uid="{00000000-0005-0000-0000-00003C3E0000}"/>
    <cellStyle name="_Data_KPI-Dez02-Bremen Vorbereitungsdatei_010808 Market Programs  for Budget Deck" xfId="15942" xr:uid="{00000000-0005-0000-0000-00003D3E0000}"/>
    <cellStyle name="_Data_KPI-Dez02-Bremen Vorbereitungsdatei_010808 Market Programs  for Budget Deck 2" xfId="15943" xr:uid="{00000000-0005-0000-0000-00003E3E0000}"/>
    <cellStyle name="_Data_KPI-Dez02-Bremen Vorbereitungsdatei_010808 Market Programs  for Budget Deck 2 2" xfId="15944" xr:uid="{00000000-0005-0000-0000-00003F3E0000}"/>
    <cellStyle name="_Data_KPI-Dez02-Bremen Vorbereitungsdatei_0908 Gabarito exchange rate" xfId="15945" xr:uid="{00000000-0005-0000-0000-0000403E0000}"/>
    <cellStyle name="_Data_KPI-Dez02-Bremen Vorbereitungsdatei_0908 Gabarito exchange rate 2" xfId="15946" xr:uid="{00000000-0005-0000-0000-0000413E0000}"/>
    <cellStyle name="_Data_KPI-Dez02-Bremen Vorbereitungsdatei_0908 Gabarito exchange rate 2 2" xfId="15947" xr:uid="{00000000-0005-0000-0000-0000423E0000}"/>
    <cellStyle name="_Data_KPI-Dez02-Bremen Vorbereitungsdatei_0908 Gabarito exchange rate 3" xfId="15948" xr:uid="{00000000-0005-0000-0000-0000433E0000}"/>
    <cellStyle name="_Data_KPI-Dez02-Bremen Vorbereitungsdatei_0908 Gabarito exchange rate 4" xfId="15949" xr:uid="{00000000-0005-0000-0000-0000443E0000}"/>
    <cellStyle name="_Data_KPI-Dez02-Bremen Vorbereitungsdatei_BGT 08 Templates Sales  Marketing - final (revised)" xfId="15950" xr:uid="{00000000-0005-0000-0000-0000453E0000}"/>
    <cellStyle name="_Data_KPI-Dez02-Bremen Vorbereitungsdatei_BGT 08 Templates Sales  Marketing - final (revised) 2" xfId="15951" xr:uid="{00000000-0005-0000-0000-0000463E0000}"/>
    <cellStyle name="_Data_KPI-Dez02-Bremen Vorbereitungsdatei_BGT 08 Templates Sales  Marketing - final (revised) 2 2" xfId="15952" xr:uid="{00000000-0005-0000-0000-0000473E0000}"/>
    <cellStyle name="_Data_KPI-Dez02-Bremen Vorbereitungsdatei_BGT 08 Templates Sales  Marketing - final (revised) 3" xfId="15953" xr:uid="{00000000-0005-0000-0000-0000483E0000}"/>
    <cellStyle name="_Data_KPI-Dez02-Bremen Vorbereitungsdatei_BGT 08 Templates Sales  Marketing - final (revised) 4" xfId="15954" xr:uid="{00000000-0005-0000-0000-0000493E0000}"/>
    <cellStyle name="_Data_KPI-Dez02-Bremen Vorbereitungsdatei_BGT 08 templates, Sales &amp; Marketing - draft com alterações" xfId="15955" xr:uid="{00000000-0005-0000-0000-00004A3E0000}"/>
    <cellStyle name="_Data_KPI-Dez02-Bremen Vorbereitungsdatei_BGT 08 templates, Sales &amp; Marketing - draft com alterações 2" xfId="15956" xr:uid="{00000000-0005-0000-0000-00004B3E0000}"/>
    <cellStyle name="_Data_KPI-Dez02-Bremen Vorbereitungsdatei_BGT 08 templates, Sales &amp; Marketing - draft com alterações 2 2" xfId="15957" xr:uid="{00000000-0005-0000-0000-00004C3E0000}"/>
    <cellStyle name="_Data_KPI-Dez02-Bremen Vorbereitungsdatei_BGT 08 templates, Sales &amp; Marketing - draft com alterações 3" xfId="15958" xr:uid="{00000000-0005-0000-0000-00004D3E0000}"/>
    <cellStyle name="_Data_KPI-Dez02-Bremen Vorbereitungsdatei_BGT 08 templates, Sales &amp; Marketing - draft com alterações 4" xfId="15959" xr:uid="{00000000-0005-0000-0000-00004E3E0000}"/>
    <cellStyle name="_Data_KPI-Dez02-Bremen Vorbereitungsdatei_Book5" xfId="15960" xr:uid="{00000000-0005-0000-0000-00004F3E0000}"/>
    <cellStyle name="_Data_KPI-Dez02-Bremen Vorbereitungsdatei_Book5 2" xfId="15961" xr:uid="{00000000-0005-0000-0000-0000503E0000}"/>
    <cellStyle name="_Data_KPI-Dez02-Bremen Vorbereitungsdatei_Book5 2 2" xfId="15962" xr:uid="{00000000-0005-0000-0000-0000513E0000}"/>
    <cellStyle name="_Data_KPI-Dez02-Bremen Vorbereitungsdatei_Book5 3" xfId="15963" xr:uid="{00000000-0005-0000-0000-0000523E0000}"/>
    <cellStyle name="_Data_KPI-Dez02-Bremen Vorbereitungsdatei_Book5 4" xfId="15964" xr:uid="{00000000-0005-0000-0000-0000533E0000}"/>
    <cellStyle name="_Data_KPI-Dez02-Bremen Vorbereitungsdatei_Bplan RD 1001" xfId="15965" xr:uid="{00000000-0005-0000-0000-0000543E0000}"/>
    <cellStyle name="_Data_KPI-Dez02-Bremen Vorbereitungsdatei_Bplan RD 1001 2" xfId="15966" xr:uid="{00000000-0005-0000-0000-0000553E0000}"/>
    <cellStyle name="_Data_KPI-Dez02-Bremen Vorbereitungsdatei_Bplan RD 1001 2 2" xfId="15967" xr:uid="{00000000-0005-0000-0000-0000563E0000}"/>
    <cellStyle name="_Data_KPI-Dez02-Bremen Vorbereitungsdatei_Bplan RD 1001 3" xfId="15968" xr:uid="{00000000-0005-0000-0000-0000573E0000}"/>
    <cellStyle name="_Data_KPI-Dez02-Bremen Vorbereitungsdatei_Bplan RD 1001 4" xfId="15969" xr:uid="{00000000-0005-0000-0000-0000583E0000}"/>
    <cellStyle name="_Data_KPI-Dez02-Bremen Vorbereitungsdatei_Copy of 081027 ZBB Budget 2009 Decks - People_Cherry_V4" xfId="15970" xr:uid="{00000000-0005-0000-0000-0000593E0000}"/>
    <cellStyle name="_Data_KPI-Dez02-Bremen Vorbereitungsdatei_Copy of 081027 ZBB Budget 2009 Decks - People_Cherry_V4 2" xfId="15971" xr:uid="{00000000-0005-0000-0000-00005A3E0000}"/>
    <cellStyle name="_Data_KPI-Dez02-Bremen Vorbereitungsdatei_Copy of 081027 ZBB Budget 2009 Decks - People_Cherry_V4 2 2" xfId="15972" xr:uid="{00000000-0005-0000-0000-00005B3E0000}"/>
    <cellStyle name="_Data_KPI-Dez02-Bremen Vorbereitungsdatei_Copy of BGT 08 Templates Sales  Marketing - final (revised)" xfId="15973" xr:uid="{00000000-0005-0000-0000-00005C3E0000}"/>
    <cellStyle name="_Data_KPI-Dez02-Bremen Vorbereitungsdatei_Copy of BGT 08 Templates Sales  Marketing - final (revised) 2" xfId="15974" xr:uid="{00000000-0005-0000-0000-00005D3E0000}"/>
    <cellStyle name="_Data_KPI-Dez02-Bremen Vorbereitungsdatei_Copy of BGT 08 Templates Sales  Marketing - final (revised) 2 2" xfId="15975" xr:uid="{00000000-0005-0000-0000-00005E3E0000}"/>
    <cellStyle name="_Data_KPI-Dez02-Bremen Vorbereitungsdatei_Copy of BGT 08 Templates Sales  Marketing - final (revised) 3" xfId="15976" xr:uid="{00000000-0005-0000-0000-00005F3E0000}"/>
    <cellStyle name="_Data_KPI-Dez02-Bremen Vorbereitungsdatei_Copy of BGT 08 Templates Sales  Marketing - final (revised) 4" xfId="15977" xr:uid="{00000000-0005-0000-0000-0000603E0000}"/>
    <cellStyle name="_Data_KPI-Dez02-Bremen Vorbereitungsdatei_Excel sheets to support Market Program Template for Budget 09 (5) (2)" xfId="15978" xr:uid="{00000000-0005-0000-0000-0000613E0000}"/>
    <cellStyle name="_Data_KPI-Dez02-Bremen Vorbereitungsdatei_Excel sheets to support Market Program Template for Budget 09 (5) (2) 2" xfId="15979" xr:uid="{00000000-0005-0000-0000-0000623E0000}"/>
    <cellStyle name="_Data_KPI-Dez02-Bremen Vorbereitungsdatei_Excel sheets to support Market Program Template for Budget 09 (5) (2) 2 2" xfId="15980" xr:uid="{00000000-0005-0000-0000-0000633E0000}"/>
    <cellStyle name="_Data_KPI-Dez02-Bremen Vorbereitungsdatei_Excel sheets to support Market Program Template for Budget 09 (5) (3)" xfId="15981" xr:uid="{00000000-0005-0000-0000-0000643E0000}"/>
    <cellStyle name="_Data_KPI-Dez02-Bremen Vorbereitungsdatei_Excel sheets to support Market Program Template for Budget 09 (5) (3) 2" xfId="15982" xr:uid="{00000000-0005-0000-0000-0000653E0000}"/>
    <cellStyle name="_Data_KPI-Dez02-Bremen Vorbereitungsdatei_Excel sheets to support Market Program Template for Budget 09 (5) (3) 2 2" xfId="15983" xr:uid="{00000000-0005-0000-0000-0000663E0000}"/>
    <cellStyle name="_Data_KPI-Dez02-Bremen Vorbereitungsdatei_LE Ebitda RD Feb-10 v2" xfId="15984" xr:uid="{00000000-0005-0000-0000-0000673E0000}"/>
    <cellStyle name="_Data_KPI-Dez02-Bremen Vorbereitungsdatei_LE Ebitda RD Feb-10 v2 2" xfId="15985" xr:uid="{00000000-0005-0000-0000-0000683E0000}"/>
    <cellStyle name="_Data_KPI-Dez02-Bremen Vorbereitungsdatei_LE Ebitda RD Feb-10 v2 2 2" xfId="15986" xr:uid="{00000000-0005-0000-0000-0000693E0000}"/>
    <cellStyle name="_Data_KPI-Dez02-Bremen Vorbereitungsdatei_People Package" xfId="15987" xr:uid="{00000000-0005-0000-0000-00006A3E0000}"/>
    <cellStyle name="_Data_KPI-Dez02-Bremen Vorbereitungsdatei_People Package (2)" xfId="15988" xr:uid="{00000000-0005-0000-0000-00006B3E0000}"/>
    <cellStyle name="_Data_KPI-Dez02-Bremen Vorbereitungsdatei_People Package (2) 2" xfId="15989" xr:uid="{00000000-0005-0000-0000-00006C3E0000}"/>
    <cellStyle name="_Data_KPI-Dez02-Bremen Vorbereitungsdatei_People Package (2) 2 2" xfId="15990" xr:uid="{00000000-0005-0000-0000-00006D3E0000}"/>
    <cellStyle name="_Data_KPI-Dez02-Bremen Vorbereitungsdatei_People Package 2" xfId="15991" xr:uid="{00000000-0005-0000-0000-00006E3E0000}"/>
    <cellStyle name="_Data_KPI-Dez02-Bremen Vorbereitungsdatei_People Package 2 2" xfId="15992" xr:uid="{00000000-0005-0000-0000-00006F3E0000}"/>
    <cellStyle name="_Data_KPI-Dez02-Bremen Vorbereitungsdatei_People Package 3" xfId="15993" xr:uid="{00000000-0005-0000-0000-0000703E0000}"/>
    <cellStyle name="_Data_KPI-Dez02-Bremen Vorbereitungsdatei_People Package 3 2" xfId="15994" xr:uid="{00000000-0005-0000-0000-0000713E0000}"/>
    <cellStyle name="_Data_KPI-Dez02-Bremen Vorbereitungsdatei_People Package 4" xfId="15995" xr:uid="{00000000-0005-0000-0000-0000723E0000}"/>
    <cellStyle name="_Data_KPI-Dez02-Bremen Vorbereitungsdatei_People Package 5" xfId="15996" xr:uid="{00000000-0005-0000-0000-0000733E0000}"/>
    <cellStyle name="_Data_KPI-Dez02-Bremen Vorbereitungsdatei_Sales and Marketing - revised" xfId="15997" xr:uid="{00000000-0005-0000-0000-0000743E0000}"/>
    <cellStyle name="_Data_KPI-Dez02-Bremen Vorbereitungsdatei_Sales and Marketing - revised 2" xfId="15998" xr:uid="{00000000-0005-0000-0000-0000753E0000}"/>
    <cellStyle name="_Data_KPI-Dez02-Bremen Vorbereitungsdatei_Sales and Marketing - revised 2 2" xfId="15999" xr:uid="{00000000-0005-0000-0000-0000763E0000}"/>
    <cellStyle name="_Data_KPI-Dez02-Bremen Vorbereitungsdatei_Sales and Marketing - revised 3" xfId="16000" xr:uid="{00000000-0005-0000-0000-0000773E0000}"/>
    <cellStyle name="_Data_KPI-Dez02-Bremen Vorbereitungsdatei_Sales and Marketing - revised 4" xfId="16001" xr:uid="{00000000-0005-0000-0000-0000783E0000}"/>
    <cellStyle name="_Data_KPI-Dez02-Bremen Vorbereitungsdatei_Sim Ebitda LE 0909 v4" xfId="16002" xr:uid="{00000000-0005-0000-0000-0000793E0000}"/>
    <cellStyle name="_Data_KPI-Dez02-Bremen Vorbereitungsdatei_Sim Ebitda LE 0909 v4 2" xfId="16003" xr:uid="{00000000-0005-0000-0000-00007A3E0000}"/>
    <cellStyle name="_Data_KPI-Dez02-Bremen Vorbereitungsdatei_Sim Ebitda LE 0909 v4 2 2" xfId="16004" xr:uid="{00000000-0005-0000-0000-00007B3E0000}"/>
    <cellStyle name="_Data_KPI-Dez02-Bremen Vorbereitungsdatei_Sim Ebitda LE 0909 v4 3" xfId="16005" xr:uid="{00000000-0005-0000-0000-00007C3E0000}"/>
    <cellStyle name="_Data_KPI-Dez02-Bremen Vorbereitungsdatei_Sim Ebitda LE 0909 v4 4" xfId="16006" xr:uid="{00000000-0005-0000-0000-00007D3E0000}"/>
    <cellStyle name="_Data_KPI-Dez02-Bremen Vorbereitungsdatei_WF Ebitda RD Abr-10" xfId="16007" xr:uid="{00000000-0005-0000-0000-00007E3E0000}"/>
    <cellStyle name="_Data_KPI-Dez02-Bremen Vorbereitungsdatei_WF Ebitda RD Abr-10 2" xfId="16008" xr:uid="{00000000-0005-0000-0000-00007F3E0000}"/>
    <cellStyle name="_Data_KPI-Dez02-Bremen Vorbereitungsdatei_WF Ebitda RD Abr-10 2 2" xfId="16009" xr:uid="{00000000-0005-0000-0000-0000803E0000}"/>
    <cellStyle name="_Data_KPI-Dez02-Bremen Vorbereitungsdatei_WF Ebitda Sep09" xfId="16010" xr:uid="{00000000-0005-0000-0000-0000813E0000}"/>
    <cellStyle name="_Data_KPI-Dez02-Bremen Vorbereitungsdatei_WF Ebitda Sep09 2" xfId="16011" xr:uid="{00000000-0005-0000-0000-0000823E0000}"/>
    <cellStyle name="_Data_KPI-Dez02-Bremen Vorbereitungsdatei_WF Ebitda Sep09 2 2" xfId="16012" xr:uid="{00000000-0005-0000-0000-0000833E0000}"/>
    <cellStyle name="_Data_KPI-Dez02-Bremen Vorbereitungsdatei_ZBB" xfId="16013" xr:uid="{00000000-0005-0000-0000-0000843E0000}"/>
    <cellStyle name="_Data_KPI-Dez02-Bremen Vorbereitungsdatei_ZBB 2" xfId="16014" xr:uid="{00000000-0005-0000-0000-0000853E0000}"/>
    <cellStyle name="_Data_KPI-Dez02-Bremen Vorbereitungsdatei_ZBB 2 2" xfId="16015" xr:uid="{00000000-0005-0000-0000-0000863E0000}"/>
    <cellStyle name="_Data_KPI-Dez02-Bremen Vorbereitungsdatei_ZBB Budget 2009 Decks" xfId="16016" xr:uid="{00000000-0005-0000-0000-0000873E0000}"/>
    <cellStyle name="_Data_KPI-Dez02-Bremen Vorbereitungsdatei_ZBB Budget 2009 Decks 2" xfId="16017" xr:uid="{00000000-0005-0000-0000-0000883E0000}"/>
    <cellStyle name="_Data_KPI-Dez02-Bremen Vorbereitungsdatei_ZBB Budget 2009 Decks 2 2" xfId="16018" xr:uid="{00000000-0005-0000-0000-0000893E0000}"/>
    <cellStyle name="_Data_KPI-Dez02-Bremen Vorbereitungsdatei_ZBB Budget 2009 Decks_with Korea Scope in (Only LE)" xfId="16019" xr:uid="{00000000-0005-0000-0000-00008A3E0000}"/>
    <cellStyle name="_Data_KPI-Dez02-Bremen Vorbereitungsdatei_ZBB Budget 2009 Decks_with Korea Scope in (Only LE) (2)" xfId="16020" xr:uid="{00000000-0005-0000-0000-00008B3E0000}"/>
    <cellStyle name="_Data_KPI-Dez02-Bremen Vorbereitungsdatei_ZBB Budget 2009 Decks_with Korea Scope in (Only LE) (2) 2" xfId="16021" xr:uid="{00000000-0005-0000-0000-00008C3E0000}"/>
    <cellStyle name="_Data_KPI-Dez02-Bremen Vorbereitungsdatei_ZBB Budget 2009 Decks_with Korea Scope in (Only LE) (2) 2 2" xfId="16022" xr:uid="{00000000-0005-0000-0000-00008D3E0000}"/>
    <cellStyle name="_Data_KPI-Dez02-Bremen Vorbereitungsdatei_ZBB Budget 2009 Decks_with Korea Scope in (Only LE) 2" xfId="16023" xr:uid="{00000000-0005-0000-0000-00008E3E0000}"/>
    <cellStyle name="_Data_KPI-Dez02-Bremen Vorbereitungsdatei_ZBB Budget 2009 Decks_with Korea Scope in (Only LE) 2 2" xfId="16024" xr:uid="{00000000-0005-0000-0000-00008F3E0000}"/>
    <cellStyle name="_Data_KPI-Dez02-Bremen Vorbereitungsdatei_ZBB Budget 2009 Decks_with Korea Scope in (Only LE) 3" xfId="16025" xr:uid="{00000000-0005-0000-0000-0000903E0000}"/>
    <cellStyle name="_Data_KPI-Dez02-Bremen Vorbereitungsdatei_ZBB Budget 2009 Decks_with Korea Scope in (Only LE) 3 2" xfId="16026" xr:uid="{00000000-0005-0000-0000-0000913E0000}"/>
    <cellStyle name="_Data_KPI-Dez02-Bremen Vorbereitungsdatei_ZBB Budget 2009 Decks_with Korea Scope in (Only LE) 4" xfId="16027" xr:uid="{00000000-0005-0000-0000-0000923E0000}"/>
    <cellStyle name="_Data_KPI-Dez02-Bremen Vorbereitungsdatei_ZBB Budget 2009 Decks_with Korea Scope in (Only LE) 5" xfId="16028" xr:uid="{00000000-0005-0000-0000-0000933E0000}"/>
    <cellStyle name="_Data_KST_KSTArt_Bericht" xfId="16029" xr:uid="{00000000-0005-0000-0000-0000943E0000}"/>
    <cellStyle name="_Data_KST_KSTArt_Bericht 2" xfId="16030" xr:uid="{00000000-0005-0000-0000-0000953E0000}"/>
    <cellStyle name="_Data_KST_KSTArt_Bericht 2 2" xfId="16031" xr:uid="{00000000-0005-0000-0000-0000963E0000}"/>
    <cellStyle name="_Data_KST_KSTArt_Bericht 2 2 2" xfId="16032" xr:uid="{00000000-0005-0000-0000-0000973E0000}"/>
    <cellStyle name="_Data_KST_KSTArt_Bericht 2 3" xfId="16033" xr:uid="{00000000-0005-0000-0000-0000983E0000}"/>
    <cellStyle name="_Data_KST_KSTArt_Bericht 2 4" xfId="16034" xr:uid="{00000000-0005-0000-0000-0000993E0000}"/>
    <cellStyle name="_Data_KST_KSTArt_Bericht 3" xfId="16035" xr:uid="{00000000-0005-0000-0000-00009A3E0000}"/>
    <cellStyle name="_Data_KST_KSTArt_Bericht 3 2" xfId="16036" xr:uid="{00000000-0005-0000-0000-00009B3E0000}"/>
    <cellStyle name="_Data_KST_KSTArt_Bericht_010808 Market Programs  for Budget Deck" xfId="16037" xr:uid="{00000000-0005-0000-0000-00009C3E0000}"/>
    <cellStyle name="_Data_KST_KSTArt_Bericht_010808 Market Programs  for Budget Deck 2" xfId="16038" xr:uid="{00000000-0005-0000-0000-00009D3E0000}"/>
    <cellStyle name="_Data_KST_KSTArt_Bericht_010808 Market Programs  for Budget Deck 2 2" xfId="16039" xr:uid="{00000000-0005-0000-0000-00009E3E0000}"/>
    <cellStyle name="_Data_KST_KSTArt_Bericht_0908 Gabarito exchange rate" xfId="16040" xr:uid="{00000000-0005-0000-0000-00009F3E0000}"/>
    <cellStyle name="_Data_KST_KSTArt_Bericht_0908 Gabarito exchange rate 2" xfId="16041" xr:uid="{00000000-0005-0000-0000-0000A03E0000}"/>
    <cellStyle name="_Data_KST_KSTArt_Bericht_0908 Gabarito exchange rate 2 2" xfId="16042" xr:uid="{00000000-0005-0000-0000-0000A13E0000}"/>
    <cellStyle name="_Data_KST_KSTArt_Bericht_0908 Gabarito exchange rate 3" xfId="16043" xr:uid="{00000000-0005-0000-0000-0000A23E0000}"/>
    <cellStyle name="_Data_KST_KSTArt_Bericht_0908 Gabarito exchange rate 4" xfId="16044" xr:uid="{00000000-0005-0000-0000-0000A33E0000}"/>
    <cellStyle name="_Data_KST_KSTArt_Bericht_BGT 08 Templates Sales  Marketing - final (revised)" xfId="16045" xr:uid="{00000000-0005-0000-0000-0000A43E0000}"/>
    <cellStyle name="_Data_KST_KSTArt_Bericht_BGT 08 Templates Sales  Marketing - final (revised) 2" xfId="16046" xr:uid="{00000000-0005-0000-0000-0000A53E0000}"/>
    <cellStyle name="_Data_KST_KSTArt_Bericht_BGT 08 Templates Sales  Marketing - final (revised) 2 2" xfId="16047" xr:uid="{00000000-0005-0000-0000-0000A63E0000}"/>
    <cellStyle name="_Data_KST_KSTArt_Bericht_BGT 08 Templates Sales  Marketing - final (revised) 3" xfId="16048" xr:uid="{00000000-0005-0000-0000-0000A73E0000}"/>
    <cellStyle name="_Data_KST_KSTArt_Bericht_BGT 08 Templates Sales  Marketing - final (revised) 4" xfId="16049" xr:uid="{00000000-0005-0000-0000-0000A83E0000}"/>
    <cellStyle name="_Data_KST_KSTArt_Bericht_BGT 08 templates, Sales &amp; Marketing - draft com alterações" xfId="16050" xr:uid="{00000000-0005-0000-0000-0000A93E0000}"/>
    <cellStyle name="_Data_KST_KSTArt_Bericht_BGT 08 templates, Sales &amp; Marketing - draft com alterações 2" xfId="16051" xr:uid="{00000000-0005-0000-0000-0000AA3E0000}"/>
    <cellStyle name="_Data_KST_KSTArt_Bericht_BGT 08 templates, Sales &amp; Marketing - draft com alterações 2 2" xfId="16052" xr:uid="{00000000-0005-0000-0000-0000AB3E0000}"/>
    <cellStyle name="_Data_KST_KSTArt_Bericht_BGT 08 templates, Sales &amp; Marketing - draft com alterações 3" xfId="16053" xr:uid="{00000000-0005-0000-0000-0000AC3E0000}"/>
    <cellStyle name="_Data_KST_KSTArt_Bericht_BGT 08 templates, Sales &amp; Marketing - draft com alterações 4" xfId="16054" xr:uid="{00000000-0005-0000-0000-0000AD3E0000}"/>
    <cellStyle name="_Data_KST_KSTArt_Bericht_Book5" xfId="16055" xr:uid="{00000000-0005-0000-0000-0000AE3E0000}"/>
    <cellStyle name="_Data_KST_KSTArt_Bericht_Book5 2" xfId="16056" xr:uid="{00000000-0005-0000-0000-0000AF3E0000}"/>
    <cellStyle name="_Data_KST_KSTArt_Bericht_Book5 2 2" xfId="16057" xr:uid="{00000000-0005-0000-0000-0000B03E0000}"/>
    <cellStyle name="_Data_KST_KSTArt_Bericht_Book5 3" xfId="16058" xr:uid="{00000000-0005-0000-0000-0000B13E0000}"/>
    <cellStyle name="_Data_KST_KSTArt_Bericht_Book5 4" xfId="16059" xr:uid="{00000000-0005-0000-0000-0000B23E0000}"/>
    <cellStyle name="_Data_KST_KSTArt_Bericht_Bplan RD 1001" xfId="16060" xr:uid="{00000000-0005-0000-0000-0000B33E0000}"/>
    <cellStyle name="_Data_KST_KSTArt_Bericht_Bplan RD 1001 2" xfId="16061" xr:uid="{00000000-0005-0000-0000-0000B43E0000}"/>
    <cellStyle name="_Data_KST_KSTArt_Bericht_Bplan RD 1001 2 2" xfId="16062" xr:uid="{00000000-0005-0000-0000-0000B53E0000}"/>
    <cellStyle name="_Data_KST_KSTArt_Bericht_Bplan RD 1001 3" xfId="16063" xr:uid="{00000000-0005-0000-0000-0000B63E0000}"/>
    <cellStyle name="_Data_KST_KSTArt_Bericht_Bplan RD 1001 4" xfId="16064" xr:uid="{00000000-0005-0000-0000-0000B73E0000}"/>
    <cellStyle name="_Data_KST_KSTArt_Bericht_Copy of 081027 ZBB Budget 2009 Decks - People_Cherry_V4" xfId="16065" xr:uid="{00000000-0005-0000-0000-0000B83E0000}"/>
    <cellStyle name="_Data_KST_KSTArt_Bericht_Copy of 081027 ZBB Budget 2009 Decks - People_Cherry_V4 2" xfId="16066" xr:uid="{00000000-0005-0000-0000-0000B93E0000}"/>
    <cellStyle name="_Data_KST_KSTArt_Bericht_Copy of 081027 ZBB Budget 2009 Decks - People_Cherry_V4 2 2" xfId="16067" xr:uid="{00000000-0005-0000-0000-0000BA3E0000}"/>
    <cellStyle name="_Data_KST_KSTArt_Bericht_Copy of BGT 08 Templates Sales  Marketing - final (revised)" xfId="16068" xr:uid="{00000000-0005-0000-0000-0000BB3E0000}"/>
    <cellStyle name="_Data_KST_KSTArt_Bericht_Copy of BGT 08 Templates Sales  Marketing - final (revised) 2" xfId="16069" xr:uid="{00000000-0005-0000-0000-0000BC3E0000}"/>
    <cellStyle name="_Data_KST_KSTArt_Bericht_Copy of BGT 08 Templates Sales  Marketing - final (revised) 2 2" xfId="16070" xr:uid="{00000000-0005-0000-0000-0000BD3E0000}"/>
    <cellStyle name="_Data_KST_KSTArt_Bericht_Copy of BGT 08 Templates Sales  Marketing - final (revised) 3" xfId="16071" xr:uid="{00000000-0005-0000-0000-0000BE3E0000}"/>
    <cellStyle name="_Data_KST_KSTArt_Bericht_Copy of BGT 08 Templates Sales  Marketing - final (revised) 4" xfId="16072" xr:uid="{00000000-0005-0000-0000-0000BF3E0000}"/>
    <cellStyle name="_Data_KST_KSTArt_Bericht_Excel sheets to support Market Program Template for Budget 09 (5) (2)" xfId="16073" xr:uid="{00000000-0005-0000-0000-0000C03E0000}"/>
    <cellStyle name="_Data_KST_KSTArt_Bericht_Excel sheets to support Market Program Template for Budget 09 (5) (2) 2" xfId="16074" xr:uid="{00000000-0005-0000-0000-0000C13E0000}"/>
    <cellStyle name="_Data_KST_KSTArt_Bericht_Excel sheets to support Market Program Template for Budget 09 (5) (2) 2 2" xfId="16075" xr:uid="{00000000-0005-0000-0000-0000C23E0000}"/>
    <cellStyle name="_Data_KST_KSTArt_Bericht_Excel sheets to support Market Program Template for Budget 09 (5) (3)" xfId="16076" xr:uid="{00000000-0005-0000-0000-0000C33E0000}"/>
    <cellStyle name="_Data_KST_KSTArt_Bericht_Excel sheets to support Market Program Template for Budget 09 (5) (3) 2" xfId="16077" xr:uid="{00000000-0005-0000-0000-0000C43E0000}"/>
    <cellStyle name="_Data_KST_KSTArt_Bericht_Excel sheets to support Market Program Template for Budget 09 (5) (3) 2 2" xfId="16078" xr:uid="{00000000-0005-0000-0000-0000C53E0000}"/>
    <cellStyle name="_Data_KST_KSTArt_Bericht_LE Ebitda RD Feb-10 v2" xfId="16079" xr:uid="{00000000-0005-0000-0000-0000C63E0000}"/>
    <cellStyle name="_Data_KST_KSTArt_Bericht_LE Ebitda RD Feb-10 v2 2" xfId="16080" xr:uid="{00000000-0005-0000-0000-0000C73E0000}"/>
    <cellStyle name="_Data_KST_KSTArt_Bericht_LE Ebitda RD Feb-10 v2 2 2" xfId="16081" xr:uid="{00000000-0005-0000-0000-0000C83E0000}"/>
    <cellStyle name="_Data_KST_KSTArt_Bericht_People Package" xfId="16082" xr:uid="{00000000-0005-0000-0000-0000C93E0000}"/>
    <cellStyle name="_Data_KST_KSTArt_Bericht_People Package (2)" xfId="16083" xr:uid="{00000000-0005-0000-0000-0000CA3E0000}"/>
    <cellStyle name="_Data_KST_KSTArt_Bericht_People Package (2) 2" xfId="16084" xr:uid="{00000000-0005-0000-0000-0000CB3E0000}"/>
    <cellStyle name="_Data_KST_KSTArt_Bericht_People Package (2) 2 2" xfId="16085" xr:uid="{00000000-0005-0000-0000-0000CC3E0000}"/>
    <cellStyle name="_Data_KST_KSTArt_Bericht_People Package 2" xfId="16086" xr:uid="{00000000-0005-0000-0000-0000CD3E0000}"/>
    <cellStyle name="_Data_KST_KSTArt_Bericht_People Package 2 2" xfId="16087" xr:uid="{00000000-0005-0000-0000-0000CE3E0000}"/>
    <cellStyle name="_Data_KST_KSTArt_Bericht_People Package 3" xfId="16088" xr:uid="{00000000-0005-0000-0000-0000CF3E0000}"/>
    <cellStyle name="_Data_KST_KSTArt_Bericht_People Package 3 2" xfId="16089" xr:uid="{00000000-0005-0000-0000-0000D03E0000}"/>
    <cellStyle name="_Data_KST_KSTArt_Bericht_People Package 4" xfId="16090" xr:uid="{00000000-0005-0000-0000-0000D13E0000}"/>
    <cellStyle name="_Data_KST_KSTArt_Bericht_People Package 5" xfId="16091" xr:uid="{00000000-0005-0000-0000-0000D23E0000}"/>
    <cellStyle name="_Data_KST_KSTArt_Bericht_Sales and Marketing - revised" xfId="16092" xr:uid="{00000000-0005-0000-0000-0000D33E0000}"/>
    <cellStyle name="_Data_KST_KSTArt_Bericht_Sales and Marketing - revised 2" xfId="16093" xr:uid="{00000000-0005-0000-0000-0000D43E0000}"/>
    <cellStyle name="_Data_KST_KSTArt_Bericht_Sales and Marketing - revised 2 2" xfId="16094" xr:uid="{00000000-0005-0000-0000-0000D53E0000}"/>
    <cellStyle name="_Data_KST_KSTArt_Bericht_Sales and Marketing - revised 3" xfId="16095" xr:uid="{00000000-0005-0000-0000-0000D63E0000}"/>
    <cellStyle name="_Data_KST_KSTArt_Bericht_Sales and Marketing - revised 4" xfId="16096" xr:uid="{00000000-0005-0000-0000-0000D73E0000}"/>
    <cellStyle name="_Data_KST_KSTArt_Bericht_Sim Ebitda LE 0909 v4" xfId="16097" xr:uid="{00000000-0005-0000-0000-0000D83E0000}"/>
    <cellStyle name="_Data_KST_KSTArt_Bericht_Sim Ebitda LE 0909 v4 2" xfId="16098" xr:uid="{00000000-0005-0000-0000-0000D93E0000}"/>
    <cellStyle name="_Data_KST_KSTArt_Bericht_Sim Ebitda LE 0909 v4 2 2" xfId="16099" xr:uid="{00000000-0005-0000-0000-0000DA3E0000}"/>
    <cellStyle name="_Data_KST_KSTArt_Bericht_Sim Ebitda LE 0909 v4 3" xfId="16100" xr:uid="{00000000-0005-0000-0000-0000DB3E0000}"/>
    <cellStyle name="_Data_KST_KSTArt_Bericht_Sim Ebitda LE 0909 v4 4" xfId="16101" xr:uid="{00000000-0005-0000-0000-0000DC3E0000}"/>
    <cellStyle name="_Data_KST_KSTArt_Bericht_WF Ebitda RD Abr-10" xfId="16102" xr:uid="{00000000-0005-0000-0000-0000DD3E0000}"/>
    <cellStyle name="_Data_KST_KSTArt_Bericht_WF Ebitda RD Abr-10 2" xfId="16103" xr:uid="{00000000-0005-0000-0000-0000DE3E0000}"/>
    <cellStyle name="_Data_KST_KSTArt_Bericht_WF Ebitda RD Abr-10 2 2" xfId="16104" xr:uid="{00000000-0005-0000-0000-0000DF3E0000}"/>
    <cellStyle name="_Data_KST_KSTArt_Bericht_WF Ebitda Sep09" xfId="16105" xr:uid="{00000000-0005-0000-0000-0000E03E0000}"/>
    <cellStyle name="_Data_KST_KSTArt_Bericht_WF Ebitda Sep09 2" xfId="16106" xr:uid="{00000000-0005-0000-0000-0000E13E0000}"/>
    <cellStyle name="_Data_KST_KSTArt_Bericht_WF Ebitda Sep09 2 2" xfId="16107" xr:uid="{00000000-0005-0000-0000-0000E23E0000}"/>
    <cellStyle name="_Data_KST_KSTArt_Bericht_ZBB" xfId="16108" xr:uid="{00000000-0005-0000-0000-0000E33E0000}"/>
    <cellStyle name="_Data_KST_KSTArt_Bericht_ZBB 2" xfId="16109" xr:uid="{00000000-0005-0000-0000-0000E43E0000}"/>
    <cellStyle name="_Data_KST_KSTArt_Bericht_ZBB 2 2" xfId="16110" xr:uid="{00000000-0005-0000-0000-0000E53E0000}"/>
    <cellStyle name="_Data_KST_KSTArt_Bericht_ZBB Budget 2009 Decks" xfId="16111" xr:uid="{00000000-0005-0000-0000-0000E63E0000}"/>
    <cellStyle name="_Data_KST_KSTArt_Bericht_ZBB Budget 2009 Decks 2" xfId="16112" xr:uid="{00000000-0005-0000-0000-0000E73E0000}"/>
    <cellStyle name="_Data_KST_KSTArt_Bericht_ZBB Budget 2009 Decks 2 2" xfId="16113" xr:uid="{00000000-0005-0000-0000-0000E83E0000}"/>
    <cellStyle name="_Data_KST_KSTArt_Bericht_ZBB Budget 2009 Decks_with Korea Scope in (Only LE)" xfId="16114" xr:uid="{00000000-0005-0000-0000-0000E93E0000}"/>
    <cellStyle name="_Data_KST_KSTArt_Bericht_ZBB Budget 2009 Decks_with Korea Scope in (Only LE) (2)" xfId="16115" xr:uid="{00000000-0005-0000-0000-0000EA3E0000}"/>
    <cellStyle name="_Data_KST_KSTArt_Bericht_ZBB Budget 2009 Decks_with Korea Scope in (Only LE) (2) 2" xfId="16116" xr:uid="{00000000-0005-0000-0000-0000EB3E0000}"/>
    <cellStyle name="_Data_KST_KSTArt_Bericht_ZBB Budget 2009 Decks_with Korea Scope in (Only LE) (2) 2 2" xfId="16117" xr:uid="{00000000-0005-0000-0000-0000EC3E0000}"/>
    <cellStyle name="_Data_KST_KSTArt_Bericht_ZBB Budget 2009 Decks_with Korea Scope in (Only LE) 2" xfId="16118" xr:uid="{00000000-0005-0000-0000-0000ED3E0000}"/>
    <cellStyle name="_Data_KST_KSTArt_Bericht_ZBB Budget 2009 Decks_with Korea Scope in (Only LE) 2 2" xfId="16119" xr:uid="{00000000-0005-0000-0000-0000EE3E0000}"/>
    <cellStyle name="_Data_KST_KSTArt_Bericht_ZBB Budget 2009 Decks_with Korea Scope in (Only LE) 3" xfId="16120" xr:uid="{00000000-0005-0000-0000-0000EF3E0000}"/>
    <cellStyle name="_Data_KST_KSTArt_Bericht_ZBB Budget 2009 Decks_with Korea Scope in (Only LE) 3 2" xfId="16121" xr:uid="{00000000-0005-0000-0000-0000F03E0000}"/>
    <cellStyle name="_Data_KST_KSTArt_Bericht_ZBB Budget 2009 Decks_with Korea Scope in (Only LE) 4" xfId="16122" xr:uid="{00000000-0005-0000-0000-0000F13E0000}"/>
    <cellStyle name="_Data_KST_KSTArt_Bericht_ZBB Budget 2009 Decks_with Korea Scope in (Only LE) 5" xfId="16123" xr:uid="{00000000-0005-0000-0000-0000F23E0000}"/>
    <cellStyle name="_Data_LRP-SUPCC(loc)" xfId="16124" xr:uid="{00000000-0005-0000-0000-0000F33E0000}"/>
    <cellStyle name="_Data_LRP-SUPCC(loc) 2" xfId="16125" xr:uid="{00000000-0005-0000-0000-0000F43E0000}"/>
    <cellStyle name="_Data_LRP-SUPCC(loc) 2 2" xfId="16126" xr:uid="{00000000-0005-0000-0000-0000F53E0000}"/>
    <cellStyle name="_Data_LRP-SUPCC(loc) 2 2 2" xfId="16127" xr:uid="{00000000-0005-0000-0000-0000F63E0000}"/>
    <cellStyle name="_Data_LRP-SUPCC(loc) 2 3" xfId="16128" xr:uid="{00000000-0005-0000-0000-0000F73E0000}"/>
    <cellStyle name="_Data_LRP-SUPCC(loc) 3" xfId="16129" xr:uid="{00000000-0005-0000-0000-0000F83E0000}"/>
    <cellStyle name="_Data_LRP-SUPCC(loc) 3 2" xfId="16130" xr:uid="{00000000-0005-0000-0000-0000F93E0000}"/>
    <cellStyle name="_Data_LRP-SUPCC(loc)_010808 Market Programs  for Budget Deck" xfId="16131" xr:uid="{00000000-0005-0000-0000-0000FA3E0000}"/>
    <cellStyle name="_Data_LRP-SUPCC(loc)_010808 Market Programs  for Budget Deck 2" xfId="16132" xr:uid="{00000000-0005-0000-0000-0000FB3E0000}"/>
    <cellStyle name="_Data_LRP-SUPCC(loc)_010808 Market Programs  for Budget Deck 2 2" xfId="16133" xr:uid="{00000000-0005-0000-0000-0000FC3E0000}"/>
    <cellStyle name="_Data_LRP-SUPCC(loc)_0908 Gabarito exchange rate" xfId="16134" xr:uid="{00000000-0005-0000-0000-0000FD3E0000}"/>
    <cellStyle name="_Data_LRP-SUPCC(loc)_0908 Gabarito exchange rate 2" xfId="16135" xr:uid="{00000000-0005-0000-0000-0000FE3E0000}"/>
    <cellStyle name="_Data_LRP-SUPCC(loc)_0908 Gabarito exchange rate 2 2" xfId="16136" xr:uid="{00000000-0005-0000-0000-0000FF3E0000}"/>
    <cellStyle name="_Data_LRP-SUPCC(loc)_BGT 08 Templates Sales  Marketing - final (revised)" xfId="16137" xr:uid="{00000000-0005-0000-0000-0000003F0000}"/>
    <cellStyle name="_Data_LRP-SUPCC(loc)_BGT 08 Templates Sales  Marketing - final (revised) 2" xfId="16138" xr:uid="{00000000-0005-0000-0000-0000013F0000}"/>
    <cellStyle name="_Data_LRP-SUPCC(loc)_BGT 08 Templates Sales  Marketing - final (revised) 2 2" xfId="16139" xr:uid="{00000000-0005-0000-0000-0000023F0000}"/>
    <cellStyle name="_Data_LRP-SUPCC(loc)_Book5" xfId="16140" xr:uid="{00000000-0005-0000-0000-0000033F0000}"/>
    <cellStyle name="_Data_LRP-SUPCC(loc)_Book5 2" xfId="16141" xr:uid="{00000000-0005-0000-0000-0000043F0000}"/>
    <cellStyle name="_Data_LRP-SUPCC(loc)_Book5 2 2" xfId="16142" xr:uid="{00000000-0005-0000-0000-0000053F0000}"/>
    <cellStyle name="_Data_LRP-SUPCC(loc)_Bplan RD 1001" xfId="16143" xr:uid="{00000000-0005-0000-0000-0000063F0000}"/>
    <cellStyle name="_Data_LRP-SUPCC(loc)_Bplan RD 1001 2" xfId="16144" xr:uid="{00000000-0005-0000-0000-0000073F0000}"/>
    <cellStyle name="_Data_LRP-SUPCC(loc)_Bplan RD 1001 2 2" xfId="16145" xr:uid="{00000000-0005-0000-0000-0000083F0000}"/>
    <cellStyle name="_Data_LRP-SUPCC(loc)_Copy of BGT 08 Templates Sales  Marketing - final (revised)" xfId="16146" xr:uid="{00000000-0005-0000-0000-0000093F0000}"/>
    <cellStyle name="_Data_LRP-SUPCC(loc)_Copy of BGT 08 Templates Sales  Marketing - final (revised) 2" xfId="16147" xr:uid="{00000000-0005-0000-0000-00000A3F0000}"/>
    <cellStyle name="_Data_LRP-SUPCC(loc)_Copy of BGT 08 Templates Sales  Marketing - final (revised) 2 2" xfId="16148" xr:uid="{00000000-0005-0000-0000-00000B3F0000}"/>
    <cellStyle name="_Data_LRP-SUPCC(loc)_Excel sheets to support Market Program Template for Budget 09" xfId="16149" xr:uid="{00000000-0005-0000-0000-00000C3F0000}"/>
    <cellStyle name="_Data_LRP-SUPCC(loc)_Excel sheets to support Market Program Template for Budget 09 (5) (2)" xfId="16150" xr:uid="{00000000-0005-0000-0000-00000D3F0000}"/>
    <cellStyle name="_Data_LRP-SUPCC(loc)_Excel sheets to support Market Program Template for Budget 09 (5) (2) 2" xfId="16151" xr:uid="{00000000-0005-0000-0000-00000E3F0000}"/>
    <cellStyle name="_Data_LRP-SUPCC(loc)_Excel sheets to support Market Program Template for Budget 09 (5) (2) 2 2" xfId="16152" xr:uid="{00000000-0005-0000-0000-00000F3F0000}"/>
    <cellStyle name="_Data_LRP-SUPCC(loc)_Excel sheets to support Market Program Template for Budget 09 (5) (3)" xfId="16153" xr:uid="{00000000-0005-0000-0000-0000103F0000}"/>
    <cellStyle name="_Data_LRP-SUPCC(loc)_Excel sheets to support Market Program Template for Budget 09 (5) (3) 2" xfId="16154" xr:uid="{00000000-0005-0000-0000-0000113F0000}"/>
    <cellStyle name="_Data_LRP-SUPCC(loc)_Excel sheets to support Market Program Template for Budget 09 (5) (3) 2 2" xfId="16155" xr:uid="{00000000-0005-0000-0000-0000123F0000}"/>
    <cellStyle name="_Data_LRP-SUPCC(loc)_Excel sheets to support Market Program Template for Budget 09 2" xfId="16156" xr:uid="{00000000-0005-0000-0000-0000133F0000}"/>
    <cellStyle name="_Data_LRP-SUPCC(loc)_Excel sheets to support Market Program Template for Budget 09 2 2" xfId="16157" xr:uid="{00000000-0005-0000-0000-0000143F0000}"/>
    <cellStyle name="_Data_LRP-SUPCC(loc)_Excel sheets to support Market Program Template for Budget 09 3" xfId="16158" xr:uid="{00000000-0005-0000-0000-0000153F0000}"/>
    <cellStyle name="_Data_LRP-SUPCC(loc)_Excel sheets to support Market Program Template for Budget 09 3 2" xfId="16159" xr:uid="{00000000-0005-0000-0000-0000163F0000}"/>
    <cellStyle name="_Data_LRP-SUPCC(loc)_Excel sheets to support Market Program Template for Budget 09 4" xfId="16160" xr:uid="{00000000-0005-0000-0000-0000173F0000}"/>
    <cellStyle name="_Data_LRP-SUPCC(loc)_Excel sheets to support Market Program Template for Budget 09 5" xfId="16161" xr:uid="{00000000-0005-0000-0000-0000183F0000}"/>
    <cellStyle name="_Data_LRP-SUPCC(loc)_LE Ebitda RD Feb-10 v2" xfId="16162" xr:uid="{00000000-0005-0000-0000-0000193F0000}"/>
    <cellStyle name="_Data_LRP-SUPCC(loc)_LE Ebitda RD Feb-10 v2 2" xfId="16163" xr:uid="{00000000-0005-0000-0000-00001A3F0000}"/>
    <cellStyle name="_Data_LRP-SUPCC(loc)_LE Ebitda RD Feb-10 v2 2 2" xfId="16164" xr:uid="{00000000-0005-0000-0000-00001B3F0000}"/>
    <cellStyle name="_Data_LRP-SUPCC(loc)_People Package" xfId="16165" xr:uid="{00000000-0005-0000-0000-00001C3F0000}"/>
    <cellStyle name="_Data_LRP-SUPCC(loc)_People Package (2)" xfId="16166" xr:uid="{00000000-0005-0000-0000-00001D3F0000}"/>
    <cellStyle name="_Data_LRP-SUPCC(loc)_People Package (2) 2" xfId="16167" xr:uid="{00000000-0005-0000-0000-00001E3F0000}"/>
    <cellStyle name="_Data_LRP-SUPCC(loc)_People Package (2) 2 2" xfId="16168" xr:uid="{00000000-0005-0000-0000-00001F3F0000}"/>
    <cellStyle name="_Data_LRP-SUPCC(loc)_People Package 2" xfId="16169" xr:uid="{00000000-0005-0000-0000-0000203F0000}"/>
    <cellStyle name="_Data_LRP-SUPCC(loc)_People Package 2 2" xfId="16170" xr:uid="{00000000-0005-0000-0000-0000213F0000}"/>
    <cellStyle name="_Data_LRP-SUPCC(loc)_People Package 3" xfId="16171" xr:uid="{00000000-0005-0000-0000-0000223F0000}"/>
    <cellStyle name="_Data_LRP-SUPCC(loc)_People Package 3 2" xfId="16172" xr:uid="{00000000-0005-0000-0000-0000233F0000}"/>
    <cellStyle name="_Data_LRP-SUPCC(loc)_People Package 4" xfId="16173" xr:uid="{00000000-0005-0000-0000-0000243F0000}"/>
    <cellStyle name="_Data_LRP-SUPCC(loc)_People Package 5" xfId="16174" xr:uid="{00000000-0005-0000-0000-0000253F0000}"/>
    <cellStyle name="_Data_LRP-SUPCC(loc)_Sales and Marketing - revised" xfId="16175" xr:uid="{00000000-0005-0000-0000-0000263F0000}"/>
    <cellStyle name="_Data_LRP-SUPCC(loc)_Sales and Marketing - revised 2" xfId="16176" xr:uid="{00000000-0005-0000-0000-0000273F0000}"/>
    <cellStyle name="_Data_LRP-SUPCC(loc)_Sales and Marketing - revised 2 2" xfId="16177" xr:uid="{00000000-0005-0000-0000-0000283F0000}"/>
    <cellStyle name="_Data_LRP-SUPCC(loc)_Sim Ebitda LE 0909 v4" xfId="16178" xr:uid="{00000000-0005-0000-0000-0000293F0000}"/>
    <cellStyle name="_Data_LRP-SUPCC(loc)_Sim Ebitda LE 0909 v4 2" xfId="16179" xr:uid="{00000000-0005-0000-0000-00002A3F0000}"/>
    <cellStyle name="_Data_LRP-SUPCC(loc)_Sim Ebitda LE 0909 v4 2 2" xfId="16180" xr:uid="{00000000-0005-0000-0000-00002B3F0000}"/>
    <cellStyle name="_Data_LRP-SUPCC(loc)_WF Ebitda RD Abr-10" xfId="16181" xr:uid="{00000000-0005-0000-0000-00002C3F0000}"/>
    <cellStyle name="_Data_LRP-SUPCC(loc)_WF Ebitda RD Abr-10 2" xfId="16182" xr:uid="{00000000-0005-0000-0000-00002D3F0000}"/>
    <cellStyle name="_Data_LRP-SUPCC(loc)_WF Ebitda RD Abr-10 2 2" xfId="16183" xr:uid="{00000000-0005-0000-0000-00002E3F0000}"/>
    <cellStyle name="_Data_LRP-SUPCC(loc)_WF Ebitda Sep09" xfId="16184" xr:uid="{00000000-0005-0000-0000-00002F3F0000}"/>
    <cellStyle name="_Data_LRP-SUPCC(loc)_WF Ebitda Sep09 2" xfId="16185" xr:uid="{00000000-0005-0000-0000-0000303F0000}"/>
    <cellStyle name="_Data_LRP-SUPCC(loc)_WF Ebitda Sep09 2 2" xfId="16186" xr:uid="{00000000-0005-0000-0000-0000313F0000}"/>
    <cellStyle name="_Data_LRP-SUPCC(loc)_ZBB" xfId="16187" xr:uid="{00000000-0005-0000-0000-0000323F0000}"/>
    <cellStyle name="_Data_LRP-SUPCC(loc)_ZBB 2" xfId="16188" xr:uid="{00000000-0005-0000-0000-0000333F0000}"/>
    <cellStyle name="_Data_LRP-SUPCC(loc)_ZBB 2 2" xfId="16189" xr:uid="{00000000-0005-0000-0000-0000343F0000}"/>
    <cellStyle name="_Data_MF Arbeitspläne für KK" xfId="16190" xr:uid="{00000000-0005-0000-0000-0000353F0000}"/>
    <cellStyle name="_Data_MF Arbeitspläne für KK 2" xfId="16191" xr:uid="{00000000-0005-0000-0000-0000363F0000}"/>
    <cellStyle name="_Data_MF Arbeitspläne für KK 2 2" xfId="16192" xr:uid="{00000000-0005-0000-0000-0000373F0000}"/>
    <cellStyle name="_Data_MF Arbeitspläne für KK_Copy of 081027 ZBB Budget 2009 Decks - People_Cherry_V4" xfId="16193" xr:uid="{00000000-0005-0000-0000-0000383F0000}"/>
    <cellStyle name="_Data_MF Arbeitspläne für KK_Copy of 081027 ZBB Budget 2009 Decks - People_Cherry_V4 2" xfId="16194" xr:uid="{00000000-0005-0000-0000-0000393F0000}"/>
    <cellStyle name="_Data_MF Arbeitspläne für KK_Copy of 081027 ZBB Budget 2009 Decks - People_Cherry_V4 2 2" xfId="16195" xr:uid="{00000000-0005-0000-0000-00003A3F0000}"/>
    <cellStyle name="_Data_MF Arbeitspläne für KK_ZBB Budget 2009 Decks" xfId="16196" xr:uid="{00000000-0005-0000-0000-00003B3F0000}"/>
    <cellStyle name="_Data_MF Arbeitspläne für KK_ZBB Budget 2009 Decks 2" xfId="16197" xr:uid="{00000000-0005-0000-0000-00003C3F0000}"/>
    <cellStyle name="_Data_MF Arbeitspläne für KK_ZBB Budget 2009 Decks 2 2" xfId="16198" xr:uid="{00000000-0005-0000-0000-00003D3F0000}"/>
    <cellStyle name="_Data_MF Arbeitspläne für KK_ZBB Budget 2009 Decks_with Korea Scope in (Only LE)" xfId="16199" xr:uid="{00000000-0005-0000-0000-00003E3F0000}"/>
    <cellStyle name="_Data_MF Arbeitspläne für KK_ZBB Budget 2009 Decks_with Korea Scope in (Only LE) (2)" xfId="16200" xr:uid="{00000000-0005-0000-0000-00003F3F0000}"/>
    <cellStyle name="_Data_MF Arbeitspläne für KK_ZBB Budget 2009 Decks_with Korea Scope in (Only LE) (2) 2" xfId="16201" xr:uid="{00000000-0005-0000-0000-0000403F0000}"/>
    <cellStyle name="_Data_MF Arbeitspläne für KK_ZBB Budget 2009 Decks_with Korea Scope in (Only LE) (2) 2 2" xfId="16202" xr:uid="{00000000-0005-0000-0000-0000413F0000}"/>
    <cellStyle name="_Data_MF Arbeitspläne für KK_ZBB Budget 2009 Decks_with Korea Scope in (Only LE) 2" xfId="16203" xr:uid="{00000000-0005-0000-0000-0000423F0000}"/>
    <cellStyle name="_Data_MF Arbeitspläne für KK_ZBB Budget 2009 Decks_with Korea Scope in (Only LE) 2 2" xfId="16204" xr:uid="{00000000-0005-0000-0000-0000433F0000}"/>
    <cellStyle name="_Data_MF Arbeitspläne für KK_ZBB Budget 2009 Decks_with Korea Scope in (Only LE) 3" xfId="16205" xr:uid="{00000000-0005-0000-0000-0000443F0000}"/>
    <cellStyle name="_Data_MF Arbeitspläne für KK_ZBB Budget 2009 Decks_with Korea Scope in (Only LE) 3 2" xfId="16206" xr:uid="{00000000-0005-0000-0000-0000453F0000}"/>
    <cellStyle name="_Data_MF Arbeitspläne für KK_ZBB Budget 2009 Decks_with Korea Scope in (Only LE) 4" xfId="16207" xr:uid="{00000000-0005-0000-0000-0000463F0000}"/>
    <cellStyle name="_Data_MF Arbeitspläne für KK_ZBB Budget 2009 Decks_with Korea Scope in (Only LE) 5" xfId="16208" xr:uid="{00000000-0005-0000-0000-0000473F0000}"/>
    <cellStyle name="_Data_MIS2" xfId="16209" xr:uid="{00000000-0005-0000-0000-0000483F0000}"/>
    <cellStyle name="_Data_MIS2 2" xfId="16210" xr:uid="{00000000-0005-0000-0000-0000493F0000}"/>
    <cellStyle name="_Data_MIS2 2 2" xfId="16211" xr:uid="{00000000-0005-0000-0000-00004A3F0000}"/>
    <cellStyle name="_Data_MIS2 3" xfId="16212" xr:uid="{00000000-0005-0000-0000-00004B3F0000}"/>
    <cellStyle name="_Data_MIS2 3 2" xfId="16213" xr:uid="{00000000-0005-0000-0000-00004C3F0000}"/>
    <cellStyle name="_Data_MIS2 3 2 2" xfId="16214" xr:uid="{00000000-0005-0000-0000-00004D3F0000}"/>
    <cellStyle name="_Data_Mis24" xfId="16215" xr:uid="{00000000-0005-0000-0000-00004E3F0000}"/>
    <cellStyle name="_Data_Mis24 2" xfId="16216" xr:uid="{00000000-0005-0000-0000-00004F3F0000}"/>
    <cellStyle name="_Data_Mis24 2 2" xfId="16217" xr:uid="{00000000-0005-0000-0000-0000503F0000}"/>
    <cellStyle name="_Data_Mis24_CA ML" xfId="16218" xr:uid="{00000000-0005-0000-0000-0000513F0000}"/>
    <cellStyle name="_Data_Mis24_CA ML 2" xfId="16219" xr:uid="{00000000-0005-0000-0000-0000523F0000}"/>
    <cellStyle name="_Data_Mis24_CA ML 2 2" xfId="16220" xr:uid="{00000000-0005-0000-0000-0000533F0000}"/>
    <cellStyle name="_Data_Mis24_CA USD" xfId="16221" xr:uid="{00000000-0005-0000-0000-0000543F0000}"/>
    <cellStyle name="_Data_Mis24_CA USD 2" xfId="16222" xr:uid="{00000000-0005-0000-0000-0000553F0000}"/>
    <cellStyle name="_Data_Mis24_CA USD 2 2" xfId="16223" xr:uid="{00000000-0005-0000-0000-0000563F0000}"/>
    <cellStyle name="_Data_Mis24_EC ML" xfId="16224" xr:uid="{00000000-0005-0000-0000-0000573F0000}"/>
    <cellStyle name="_Data_Mis24_EC ML 2" xfId="16225" xr:uid="{00000000-0005-0000-0000-0000583F0000}"/>
    <cellStyle name="_Data_Mis24_EC ML 2 2" xfId="16226" xr:uid="{00000000-0005-0000-0000-0000593F0000}"/>
    <cellStyle name="_Data_Mis24_EC USD" xfId="16227" xr:uid="{00000000-0005-0000-0000-00005A3F0000}"/>
    <cellStyle name="_Data_Mis24_EC USD 2" xfId="16228" xr:uid="{00000000-0005-0000-0000-00005B3F0000}"/>
    <cellStyle name="_Data_Mis24_EC USD 2 2" xfId="16229" xr:uid="{00000000-0005-0000-0000-00005C3F0000}"/>
    <cellStyle name="_Data_Mis24_fx" xfId="16230" xr:uid="{00000000-0005-0000-0000-00005D3F0000}"/>
    <cellStyle name="_Data_Mis24_fx 2" xfId="16231" xr:uid="{00000000-0005-0000-0000-00005E3F0000}"/>
    <cellStyle name="_Data_Mis24_fx 2 2" xfId="16232" xr:uid="{00000000-0005-0000-0000-00005F3F0000}"/>
    <cellStyle name="_Data_Mis24_PE ML" xfId="16233" xr:uid="{00000000-0005-0000-0000-0000603F0000}"/>
    <cellStyle name="_Data_Mis24_PE ML 2" xfId="16234" xr:uid="{00000000-0005-0000-0000-0000613F0000}"/>
    <cellStyle name="_Data_Mis24_PE ML 2 2" xfId="16235" xr:uid="{00000000-0005-0000-0000-0000623F0000}"/>
    <cellStyle name="_Data_Mis24_PE USD" xfId="16236" xr:uid="{00000000-0005-0000-0000-0000633F0000}"/>
    <cellStyle name="_Data_Mis24_PE USD 2" xfId="16237" xr:uid="{00000000-0005-0000-0000-0000643F0000}"/>
    <cellStyle name="_Data_Mis24_PE USD 2 2" xfId="16238" xr:uid="{00000000-0005-0000-0000-0000653F0000}"/>
    <cellStyle name="_Data_Mis24_RD ML" xfId="16239" xr:uid="{00000000-0005-0000-0000-0000663F0000}"/>
    <cellStyle name="_Data_Mis24_RD ML 2" xfId="16240" xr:uid="{00000000-0005-0000-0000-0000673F0000}"/>
    <cellStyle name="_Data_Mis24_RD ML 2 2" xfId="16241" xr:uid="{00000000-0005-0000-0000-0000683F0000}"/>
    <cellStyle name="_Data_Mis24_RD USD" xfId="16242" xr:uid="{00000000-0005-0000-0000-0000693F0000}"/>
    <cellStyle name="_Data_Mis24_RD USD 2" xfId="16243" xr:uid="{00000000-0005-0000-0000-00006A3F0000}"/>
    <cellStyle name="_Data_Mis24_RD USD 2 2" xfId="16244" xr:uid="{00000000-0005-0000-0000-00006B3F0000}"/>
    <cellStyle name="_Data_MIS3" xfId="16245" xr:uid="{00000000-0005-0000-0000-00006C3F0000}"/>
    <cellStyle name="_Data_MIS3 2" xfId="16246" xr:uid="{00000000-0005-0000-0000-00006D3F0000}"/>
    <cellStyle name="_Data_MIS3 2 2" xfId="16247" xr:uid="{00000000-0005-0000-0000-00006E3F0000}"/>
    <cellStyle name="_Data_MIS3 2 2 2" xfId="16248" xr:uid="{00000000-0005-0000-0000-00006F3F0000}"/>
    <cellStyle name="_Data_MIS3 2 3" xfId="16249" xr:uid="{00000000-0005-0000-0000-0000703F0000}"/>
    <cellStyle name="_Data_MIS3 2 4" xfId="16250" xr:uid="{00000000-0005-0000-0000-0000713F0000}"/>
    <cellStyle name="_Data_MIS3 3" xfId="16251" xr:uid="{00000000-0005-0000-0000-0000723F0000}"/>
    <cellStyle name="_Data_MIS3 3 2" xfId="16252" xr:uid="{00000000-0005-0000-0000-0000733F0000}"/>
    <cellStyle name="_Data_MIS3_010808 Market Programs  for Budget Deck" xfId="16253" xr:uid="{00000000-0005-0000-0000-0000743F0000}"/>
    <cellStyle name="_Data_MIS3_010808 Market Programs  for Budget Deck 2" xfId="16254" xr:uid="{00000000-0005-0000-0000-0000753F0000}"/>
    <cellStyle name="_Data_MIS3_010808 Market Programs  for Budget Deck 2 2" xfId="16255" xr:uid="{00000000-0005-0000-0000-0000763F0000}"/>
    <cellStyle name="_Data_MIS3_0908 Gabarito exchange rate" xfId="16256" xr:uid="{00000000-0005-0000-0000-0000773F0000}"/>
    <cellStyle name="_Data_MIS3_0908 Gabarito exchange rate 2" xfId="16257" xr:uid="{00000000-0005-0000-0000-0000783F0000}"/>
    <cellStyle name="_Data_MIS3_0908 Gabarito exchange rate 2 2" xfId="16258" xr:uid="{00000000-0005-0000-0000-0000793F0000}"/>
    <cellStyle name="_Data_MIS3_0908 Gabarito exchange rate 3" xfId="16259" xr:uid="{00000000-0005-0000-0000-00007A3F0000}"/>
    <cellStyle name="_Data_MIS3_0908 Gabarito exchange rate 4" xfId="16260" xr:uid="{00000000-0005-0000-0000-00007B3F0000}"/>
    <cellStyle name="_Data_MIS3_1" xfId="16261" xr:uid="{00000000-0005-0000-0000-00007C3F0000}"/>
    <cellStyle name="_Data_MIS3_1 2" xfId="16262" xr:uid="{00000000-0005-0000-0000-00007D3F0000}"/>
    <cellStyle name="_Data_MIS3_1 2 2" xfId="16263" xr:uid="{00000000-0005-0000-0000-00007E3F0000}"/>
    <cellStyle name="_Data_MIS3_1 2 2 2" xfId="16264" xr:uid="{00000000-0005-0000-0000-00007F3F0000}"/>
    <cellStyle name="_Data_MIS3_1 2 3" xfId="16265" xr:uid="{00000000-0005-0000-0000-0000803F0000}"/>
    <cellStyle name="_Data_MIS3_1 2 3 2" xfId="16266" xr:uid="{00000000-0005-0000-0000-0000813F0000}"/>
    <cellStyle name="_Data_MIS3_1 2 3 3" xfId="16267" xr:uid="{00000000-0005-0000-0000-0000823F0000}"/>
    <cellStyle name="_Data_MIS3_1 2 4" xfId="16268" xr:uid="{00000000-0005-0000-0000-0000833F0000}"/>
    <cellStyle name="_Data_MIS3_1 2 5" xfId="16269" xr:uid="{00000000-0005-0000-0000-0000843F0000}"/>
    <cellStyle name="_Data_MIS3_1 3" xfId="16270" xr:uid="{00000000-0005-0000-0000-0000853F0000}"/>
    <cellStyle name="_Data_MIS3_1 3 2" xfId="16271" xr:uid="{00000000-0005-0000-0000-0000863F0000}"/>
    <cellStyle name="_Data_MIS3_1 3 2 2" xfId="16272" xr:uid="{00000000-0005-0000-0000-0000873F0000}"/>
    <cellStyle name="_Data_MIS3_1 3 2 3" xfId="16273" xr:uid="{00000000-0005-0000-0000-0000883F0000}"/>
    <cellStyle name="_Data_MIS3_1 3 3" xfId="16274" xr:uid="{00000000-0005-0000-0000-0000893F0000}"/>
    <cellStyle name="_Data_MIS3_1 4" xfId="16275" xr:uid="{00000000-0005-0000-0000-00008A3F0000}"/>
    <cellStyle name="_Data_MIS3_1 4 2" xfId="16276" xr:uid="{00000000-0005-0000-0000-00008B3F0000}"/>
    <cellStyle name="_Data_MIS3_1 4 3" xfId="16277" xr:uid="{00000000-0005-0000-0000-00008C3F0000}"/>
    <cellStyle name="_Data_MIS3_1 5" xfId="16278" xr:uid="{00000000-0005-0000-0000-00008D3F0000}"/>
    <cellStyle name="_Data_MIS3_1 6" xfId="16279" xr:uid="{00000000-0005-0000-0000-00008E3F0000}"/>
    <cellStyle name="_Data_MIS3_BGT 08 Templates Sales  Marketing - final (revised)" xfId="16280" xr:uid="{00000000-0005-0000-0000-00008F3F0000}"/>
    <cellStyle name="_Data_MIS3_BGT 08 Templates Sales  Marketing - final (revised) 2" xfId="16281" xr:uid="{00000000-0005-0000-0000-0000903F0000}"/>
    <cellStyle name="_Data_MIS3_BGT 08 Templates Sales  Marketing - final (revised) 2 2" xfId="16282" xr:uid="{00000000-0005-0000-0000-0000913F0000}"/>
    <cellStyle name="_Data_MIS3_BGT 08 Templates Sales  Marketing - final (revised) 3" xfId="16283" xr:uid="{00000000-0005-0000-0000-0000923F0000}"/>
    <cellStyle name="_Data_MIS3_BGT 08 Templates Sales  Marketing - final (revised) 4" xfId="16284" xr:uid="{00000000-0005-0000-0000-0000933F0000}"/>
    <cellStyle name="_Data_MIS3_BGT 08 templates, Sales &amp; Marketing - draft com alterações" xfId="16285" xr:uid="{00000000-0005-0000-0000-0000943F0000}"/>
    <cellStyle name="_Data_MIS3_BGT 08 templates, Sales &amp; Marketing - draft com alterações 2" xfId="16286" xr:uid="{00000000-0005-0000-0000-0000953F0000}"/>
    <cellStyle name="_Data_MIS3_BGT 08 templates, Sales &amp; Marketing - draft com alterações 2 2" xfId="16287" xr:uid="{00000000-0005-0000-0000-0000963F0000}"/>
    <cellStyle name="_Data_MIS3_BGT 08 templates, Sales &amp; Marketing - draft com alterações 3" xfId="16288" xr:uid="{00000000-0005-0000-0000-0000973F0000}"/>
    <cellStyle name="_Data_MIS3_BGT 08 templates, Sales &amp; Marketing - draft com alterações 4" xfId="16289" xr:uid="{00000000-0005-0000-0000-0000983F0000}"/>
    <cellStyle name="_Data_MIS3_Book5" xfId="16290" xr:uid="{00000000-0005-0000-0000-0000993F0000}"/>
    <cellStyle name="_Data_MIS3_Book5 2" xfId="16291" xr:uid="{00000000-0005-0000-0000-00009A3F0000}"/>
    <cellStyle name="_Data_MIS3_Book5 2 2" xfId="16292" xr:uid="{00000000-0005-0000-0000-00009B3F0000}"/>
    <cellStyle name="_Data_MIS3_Book5 3" xfId="16293" xr:uid="{00000000-0005-0000-0000-00009C3F0000}"/>
    <cellStyle name="_Data_MIS3_Book5 4" xfId="16294" xr:uid="{00000000-0005-0000-0000-00009D3F0000}"/>
    <cellStyle name="_Data_MIS3_Bplan RD 1001" xfId="16295" xr:uid="{00000000-0005-0000-0000-00009E3F0000}"/>
    <cellStyle name="_Data_MIS3_Bplan RD 1001 2" xfId="16296" xr:uid="{00000000-0005-0000-0000-00009F3F0000}"/>
    <cellStyle name="_Data_MIS3_Bplan RD 1001 2 2" xfId="16297" xr:uid="{00000000-0005-0000-0000-0000A03F0000}"/>
    <cellStyle name="_Data_MIS3_Bplan RD 1001 3" xfId="16298" xr:uid="{00000000-0005-0000-0000-0000A13F0000}"/>
    <cellStyle name="_Data_MIS3_Bplan RD 1001 4" xfId="16299" xr:uid="{00000000-0005-0000-0000-0000A23F0000}"/>
    <cellStyle name="_Data_MIS3_Copy of 081027 ZBB Budget 2009 Decks - People_Cherry_V4" xfId="16300" xr:uid="{00000000-0005-0000-0000-0000A33F0000}"/>
    <cellStyle name="_Data_MIS3_Copy of 081027 ZBB Budget 2009 Decks - People_Cherry_V4 2" xfId="16301" xr:uid="{00000000-0005-0000-0000-0000A43F0000}"/>
    <cellStyle name="_Data_MIS3_Copy of 081027 ZBB Budget 2009 Decks - People_Cherry_V4 2 2" xfId="16302" xr:uid="{00000000-0005-0000-0000-0000A53F0000}"/>
    <cellStyle name="_Data_MIS3_Copy of BGT 08 Templates Sales  Marketing - final (revised)" xfId="16303" xr:uid="{00000000-0005-0000-0000-0000A63F0000}"/>
    <cellStyle name="_Data_MIS3_Copy of BGT 08 Templates Sales  Marketing - final (revised) 2" xfId="16304" xr:uid="{00000000-0005-0000-0000-0000A73F0000}"/>
    <cellStyle name="_Data_MIS3_Copy of BGT 08 Templates Sales  Marketing - final (revised) 2 2" xfId="16305" xr:uid="{00000000-0005-0000-0000-0000A83F0000}"/>
    <cellStyle name="_Data_MIS3_Copy of BGT 08 Templates Sales  Marketing - final (revised) 3" xfId="16306" xr:uid="{00000000-0005-0000-0000-0000A93F0000}"/>
    <cellStyle name="_Data_MIS3_Copy of BGT 08 Templates Sales  Marketing - final (revised) 4" xfId="16307" xr:uid="{00000000-0005-0000-0000-0000AA3F0000}"/>
    <cellStyle name="_Data_MIS3_Excel sheets to support Market Program Template for Budget 09 (5) (2)" xfId="16308" xr:uid="{00000000-0005-0000-0000-0000AB3F0000}"/>
    <cellStyle name="_Data_MIS3_Excel sheets to support Market Program Template for Budget 09 (5) (2) 2" xfId="16309" xr:uid="{00000000-0005-0000-0000-0000AC3F0000}"/>
    <cellStyle name="_Data_MIS3_Excel sheets to support Market Program Template for Budget 09 (5) (2) 2 2" xfId="16310" xr:uid="{00000000-0005-0000-0000-0000AD3F0000}"/>
    <cellStyle name="_Data_MIS3_Excel sheets to support Market Program Template for Budget 09 (5) (3)" xfId="16311" xr:uid="{00000000-0005-0000-0000-0000AE3F0000}"/>
    <cellStyle name="_Data_MIS3_Excel sheets to support Market Program Template for Budget 09 (5) (3) 2" xfId="16312" xr:uid="{00000000-0005-0000-0000-0000AF3F0000}"/>
    <cellStyle name="_Data_MIS3_Excel sheets to support Market Program Template for Budget 09 (5) (3) 2 2" xfId="16313" xr:uid="{00000000-0005-0000-0000-0000B03F0000}"/>
    <cellStyle name="_Data_MIS3_Forecast Summary July v1" xfId="16314" xr:uid="{00000000-0005-0000-0000-0000B13F0000}"/>
    <cellStyle name="_Data_MIS3_Forecast Summary July v1 2" xfId="16315" xr:uid="{00000000-0005-0000-0000-0000B23F0000}"/>
    <cellStyle name="_Data_MIS3_Forecast Summary July v1 2 2" xfId="16316" xr:uid="{00000000-0005-0000-0000-0000B33F0000}"/>
    <cellStyle name="_Data_MIS3_LE Ebitda RD Feb-10 v2" xfId="16317" xr:uid="{00000000-0005-0000-0000-0000B43F0000}"/>
    <cellStyle name="_Data_MIS3_LE Ebitda RD Feb-10 v2 2" xfId="16318" xr:uid="{00000000-0005-0000-0000-0000B53F0000}"/>
    <cellStyle name="_Data_MIS3_LE Ebitda RD Feb-10 v2 2 2" xfId="16319" xr:uid="{00000000-0005-0000-0000-0000B63F0000}"/>
    <cellStyle name="_Data_MIS3_People Package" xfId="16320" xr:uid="{00000000-0005-0000-0000-0000B73F0000}"/>
    <cellStyle name="_Data_MIS3_People Package (2)" xfId="16321" xr:uid="{00000000-0005-0000-0000-0000B83F0000}"/>
    <cellStyle name="_Data_MIS3_People Package (2) 2" xfId="16322" xr:uid="{00000000-0005-0000-0000-0000B93F0000}"/>
    <cellStyle name="_Data_MIS3_People Package (2) 2 2" xfId="16323" xr:uid="{00000000-0005-0000-0000-0000BA3F0000}"/>
    <cellStyle name="_Data_MIS3_People Package 2" xfId="16324" xr:uid="{00000000-0005-0000-0000-0000BB3F0000}"/>
    <cellStyle name="_Data_MIS3_People Package 2 2" xfId="16325" xr:uid="{00000000-0005-0000-0000-0000BC3F0000}"/>
    <cellStyle name="_Data_MIS3_People Package 3" xfId="16326" xr:uid="{00000000-0005-0000-0000-0000BD3F0000}"/>
    <cellStyle name="_Data_MIS3_People Package 3 2" xfId="16327" xr:uid="{00000000-0005-0000-0000-0000BE3F0000}"/>
    <cellStyle name="_Data_MIS3_People Package 4" xfId="16328" xr:uid="{00000000-0005-0000-0000-0000BF3F0000}"/>
    <cellStyle name="_Data_MIS3_People Package 5" xfId="16329" xr:uid="{00000000-0005-0000-0000-0000C03F0000}"/>
    <cellStyle name="_Data_MIS3_Sales and Marketing - revised" xfId="16330" xr:uid="{00000000-0005-0000-0000-0000C13F0000}"/>
    <cellStyle name="_Data_MIS3_Sales and Marketing - revised 2" xfId="16331" xr:uid="{00000000-0005-0000-0000-0000C23F0000}"/>
    <cellStyle name="_Data_MIS3_Sales and Marketing - revised 2 2" xfId="16332" xr:uid="{00000000-0005-0000-0000-0000C33F0000}"/>
    <cellStyle name="_Data_MIS3_Sales and Marketing - revised 3" xfId="16333" xr:uid="{00000000-0005-0000-0000-0000C43F0000}"/>
    <cellStyle name="_Data_MIS3_Sales and Marketing - revised 4" xfId="16334" xr:uid="{00000000-0005-0000-0000-0000C53F0000}"/>
    <cellStyle name="_Data_MIS3_Sim Ebitda LE 0909 v4" xfId="16335" xr:uid="{00000000-0005-0000-0000-0000C63F0000}"/>
    <cellStyle name="_Data_MIS3_Sim Ebitda LE 0909 v4 2" xfId="16336" xr:uid="{00000000-0005-0000-0000-0000C73F0000}"/>
    <cellStyle name="_Data_MIS3_Sim Ebitda LE 0909 v4 2 2" xfId="16337" xr:uid="{00000000-0005-0000-0000-0000C83F0000}"/>
    <cellStyle name="_Data_MIS3_Sim Ebitda LE 0909 v4 3" xfId="16338" xr:uid="{00000000-0005-0000-0000-0000C93F0000}"/>
    <cellStyle name="_Data_MIS3_Sim Ebitda LE 0909 v4 4" xfId="16339" xr:uid="{00000000-0005-0000-0000-0000CA3F0000}"/>
    <cellStyle name="_Data_MIS3_Strategic Diagnostic Templates Technik" xfId="16340" xr:uid="{00000000-0005-0000-0000-0000CB3F0000}"/>
    <cellStyle name="_Data_MIS3_Strategic Diagnostic Templates Technik 2" xfId="16341" xr:uid="{00000000-0005-0000-0000-0000CC3F0000}"/>
    <cellStyle name="_Data_MIS3_Strategic Diagnostic Templates Technik 2 2" xfId="16342" xr:uid="{00000000-0005-0000-0000-0000CD3F0000}"/>
    <cellStyle name="_Data_MIS3_Strategic Diagnostic Templates Technik 2 2 2" xfId="16343" xr:uid="{00000000-0005-0000-0000-0000CE3F0000}"/>
    <cellStyle name="_Data_MIS3_Strategic Diagnostic Templates Technik 2 3" xfId="16344" xr:uid="{00000000-0005-0000-0000-0000CF3F0000}"/>
    <cellStyle name="_Data_MIS3_Strategic Diagnostic Templates Technik 2 4" xfId="16345" xr:uid="{00000000-0005-0000-0000-0000D03F0000}"/>
    <cellStyle name="_Data_MIS3_Strategic Diagnostic Templates Technik 3" xfId="16346" xr:uid="{00000000-0005-0000-0000-0000D13F0000}"/>
    <cellStyle name="_Data_MIS3_Strategic Diagnostic Templates Technik 3 2" xfId="16347" xr:uid="{00000000-0005-0000-0000-0000D23F0000}"/>
    <cellStyle name="_Data_MIS3_Strategic Diagnostic Templates Technik_010808 Market Programs  for Budget Deck" xfId="16348" xr:uid="{00000000-0005-0000-0000-0000D33F0000}"/>
    <cellStyle name="_Data_MIS3_Strategic Diagnostic Templates Technik_010808 Market Programs  for Budget Deck 2" xfId="16349" xr:uid="{00000000-0005-0000-0000-0000D43F0000}"/>
    <cellStyle name="_Data_MIS3_Strategic Diagnostic Templates Technik_010808 Market Programs  for Budget Deck 2 2" xfId="16350" xr:uid="{00000000-0005-0000-0000-0000D53F0000}"/>
    <cellStyle name="_Data_MIS3_Strategic Diagnostic Templates Technik_0908 Gabarito exchange rate" xfId="16351" xr:uid="{00000000-0005-0000-0000-0000D63F0000}"/>
    <cellStyle name="_Data_MIS3_Strategic Diagnostic Templates Technik_0908 Gabarito exchange rate 2" xfId="16352" xr:uid="{00000000-0005-0000-0000-0000D73F0000}"/>
    <cellStyle name="_Data_MIS3_Strategic Diagnostic Templates Technik_0908 Gabarito exchange rate 2 2" xfId="16353" xr:uid="{00000000-0005-0000-0000-0000D83F0000}"/>
    <cellStyle name="_Data_MIS3_Strategic Diagnostic Templates Technik_0908 Gabarito exchange rate 3" xfId="16354" xr:uid="{00000000-0005-0000-0000-0000D93F0000}"/>
    <cellStyle name="_Data_MIS3_Strategic Diagnostic Templates Technik_0908 Gabarito exchange rate 4" xfId="16355" xr:uid="{00000000-0005-0000-0000-0000DA3F0000}"/>
    <cellStyle name="_Data_MIS3_Strategic Diagnostic Templates Technik_BGT 08 Templates Sales  Marketing - final (revised)" xfId="16356" xr:uid="{00000000-0005-0000-0000-0000DB3F0000}"/>
    <cellStyle name="_Data_MIS3_Strategic Diagnostic Templates Technik_BGT 08 Templates Sales  Marketing - final (revised) 2" xfId="16357" xr:uid="{00000000-0005-0000-0000-0000DC3F0000}"/>
    <cellStyle name="_Data_MIS3_Strategic Diagnostic Templates Technik_BGT 08 Templates Sales  Marketing - final (revised) 2 2" xfId="16358" xr:uid="{00000000-0005-0000-0000-0000DD3F0000}"/>
    <cellStyle name="_Data_MIS3_Strategic Diagnostic Templates Technik_BGT 08 Templates Sales  Marketing - final (revised) 3" xfId="16359" xr:uid="{00000000-0005-0000-0000-0000DE3F0000}"/>
    <cellStyle name="_Data_MIS3_Strategic Diagnostic Templates Technik_BGT 08 Templates Sales  Marketing - final (revised) 4" xfId="16360" xr:uid="{00000000-0005-0000-0000-0000DF3F0000}"/>
    <cellStyle name="_Data_MIS3_Strategic Diagnostic Templates Technik_Book5" xfId="16361" xr:uid="{00000000-0005-0000-0000-0000E03F0000}"/>
    <cellStyle name="_Data_MIS3_Strategic Diagnostic Templates Technik_Book5 2" xfId="16362" xr:uid="{00000000-0005-0000-0000-0000E13F0000}"/>
    <cellStyle name="_Data_MIS3_Strategic Diagnostic Templates Technik_Book5 2 2" xfId="16363" xr:uid="{00000000-0005-0000-0000-0000E23F0000}"/>
    <cellStyle name="_Data_MIS3_Strategic Diagnostic Templates Technik_Book5 3" xfId="16364" xr:uid="{00000000-0005-0000-0000-0000E33F0000}"/>
    <cellStyle name="_Data_MIS3_Strategic Diagnostic Templates Technik_Book5 4" xfId="16365" xr:uid="{00000000-0005-0000-0000-0000E43F0000}"/>
    <cellStyle name="_Data_MIS3_Strategic Diagnostic Templates Technik_Bplan RD 1001" xfId="16366" xr:uid="{00000000-0005-0000-0000-0000E53F0000}"/>
    <cellStyle name="_Data_MIS3_Strategic Diagnostic Templates Technik_Bplan RD 1001 2" xfId="16367" xr:uid="{00000000-0005-0000-0000-0000E63F0000}"/>
    <cellStyle name="_Data_MIS3_Strategic Diagnostic Templates Technik_Bplan RD 1001 2 2" xfId="16368" xr:uid="{00000000-0005-0000-0000-0000E73F0000}"/>
    <cellStyle name="_Data_MIS3_Strategic Diagnostic Templates Technik_Bplan RD 1001 3" xfId="16369" xr:uid="{00000000-0005-0000-0000-0000E83F0000}"/>
    <cellStyle name="_Data_MIS3_Strategic Diagnostic Templates Technik_Bplan RD 1001 4" xfId="16370" xr:uid="{00000000-0005-0000-0000-0000E93F0000}"/>
    <cellStyle name="_Data_MIS3_Strategic Diagnostic Templates Technik_Copy of BGT 08 Templates Sales  Marketing - final (revised)" xfId="16371" xr:uid="{00000000-0005-0000-0000-0000EA3F0000}"/>
    <cellStyle name="_Data_MIS3_Strategic Diagnostic Templates Technik_Copy of BGT 08 Templates Sales  Marketing - final (revised) 2" xfId="16372" xr:uid="{00000000-0005-0000-0000-0000EB3F0000}"/>
    <cellStyle name="_Data_MIS3_Strategic Diagnostic Templates Technik_Copy of BGT 08 Templates Sales  Marketing - final (revised) 2 2" xfId="16373" xr:uid="{00000000-0005-0000-0000-0000EC3F0000}"/>
    <cellStyle name="_Data_MIS3_Strategic Diagnostic Templates Technik_Copy of BGT 08 Templates Sales  Marketing - final (revised) 3" xfId="16374" xr:uid="{00000000-0005-0000-0000-0000ED3F0000}"/>
    <cellStyle name="_Data_MIS3_Strategic Diagnostic Templates Technik_Copy of BGT 08 Templates Sales  Marketing - final (revised) 4" xfId="16375" xr:uid="{00000000-0005-0000-0000-0000EE3F0000}"/>
    <cellStyle name="_Data_MIS3_Strategic Diagnostic Templates Technik_Excel sheets to support Market Program Template for Budget 09" xfId="16376" xr:uid="{00000000-0005-0000-0000-0000EF3F0000}"/>
    <cellStyle name="_Data_MIS3_Strategic Diagnostic Templates Technik_Excel sheets to support Market Program Template for Budget 09 (5) (2)" xfId="16377" xr:uid="{00000000-0005-0000-0000-0000F03F0000}"/>
    <cellStyle name="_Data_MIS3_Strategic Diagnostic Templates Technik_Excel sheets to support Market Program Template for Budget 09 (5) (2) 2" xfId="16378" xr:uid="{00000000-0005-0000-0000-0000F13F0000}"/>
    <cellStyle name="_Data_MIS3_Strategic Diagnostic Templates Technik_Excel sheets to support Market Program Template for Budget 09 (5) (2) 2 2" xfId="16379" xr:uid="{00000000-0005-0000-0000-0000F23F0000}"/>
    <cellStyle name="_Data_MIS3_Strategic Diagnostic Templates Technik_Excel sheets to support Market Program Template for Budget 09 (5) (3)" xfId="16380" xr:uid="{00000000-0005-0000-0000-0000F33F0000}"/>
    <cellStyle name="_Data_MIS3_Strategic Diagnostic Templates Technik_Excel sheets to support Market Program Template for Budget 09 (5) (3) 2" xfId="16381" xr:uid="{00000000-0005-0000-0000-0000F43F0000}"/>
    <cellStyle name="_Data_MIS3_Strategic Diagnostic Templates Technik_Excel sheets to support Market Program Template for Budget 09 (5) (3) 2 2" xfId="16382" xr:uid="{00000000-0005-0000-0000-0000F53F0000}"/>
    <cellStyle name="_Data_MIS3_Strategic Diagnostic Templates Technik_Excel sheets to support Market Program Template for Budget 09 2" xfId="16383" xr:uid="{00000000-0005-0000-0000-0000F63F0000}"/>
    <cellStyle name="_Data_MIS3_Strategic Diagnostic Templates Technik_Excel sheets to support Market Program Template for Budget 09 2 2" xfId="16384" xr:uid="{00000000-0005-0000-0000-0000F73F0000}"/>
    <cellStyle name="_Data_MIS3_Strategic Diagnostic Templates Technik_Excel sheets to support Market Program Template for Budget 09 3" xfId="16385" xr:uid="{00000000-0005-0000-0000-0000F83F0000}"/>
    <cellStyle name="_Data_MIS3_Strategic Diagnostic Templates Technik_Excel sheets to support Market Program Template for Budget 09 3 2" xfId="16386" xr:uid="{00000000-0005-0000-0000-0000F93F0000}"/>
    <cellStyle name="_Data_MIS3_Strategic Diagnostic Templates Technik_Excel sheets to support Market Program Template for Budget 09 4" xfId="16387" xr:uid="{00000000-0005-0000-0000-0000FA3F0000}"/>
    <cellStyle name="_Data_MIS3_Strategic Diagnostic Templates Technik_Excel sheets to support Market Program Template for Budget 09 5" xfId="16388" xr:uid="{00000000-0005-0000-0000-0000FB3F0000}"/>
    <cellStyle name="_Data_MIS3_Strategic Diagnostic Templates Technik_Excel sheets to support Market Program Template for Budget 09 6" xfId="16389" xr:uid="{00000000-0005-0000-0000-0000FC3F0000}"/>
    <cellStyle name="_Data_MIS3_Strategic Diagnostic Templates Technik_LE Ebitda RD Feb-10 v2" xfId="16390" xr:uid="{00000000-0005-0000-0000-0000FD3F0000}"/>
    <cellStyle name="_Data_MIS3_Strategic Diagnostic Templates Technik_LE Ebitda RD Feb-10 v2 2" xfId="16391" xr:uid="{00000000-0005-0000-0000-0000FE3F0000}"/>
    <cellStyle name="_Data_MIS3_Strategic Diagnostic Templates Technik_LE Ebitda RD Feb-10 v2 2 2" xfId="16392" xr:uid="{00000000-0005-0000-0000-0000FF3F0000}"/>
    <cellStyle name="_Data_MIS3_Strategic Diagnostic Templates Technik_People Package" xfId="16393" xr:uid="{00000000-0005-0000-0000-000000400000}"/>
    <cellStyle name="_Data_MIS3_Strategic Diagnostic Templates Technik_People Package (2)" xfId="16394" xr:uid="{00000000-0005-0000-0000-000001400000}"/>
    <cellStyle name="_Data_MIS3_Strategic Diagnostic Templates Technik_People Package (2) 2" xfId="16395" xr:uid="{00000000-0005-0000-0000-000002400000}"/>
    <cellStyle name="_Data_MIS3_Strategic Diagnostic Templates Technik_People Package (2) 2 2" xfId="16396" xr:uid="{00000000-0005-0000-0000-000003400000}"/>
    <cellStyle name="_Data_MIS3_Strategic Diagnostic Templates Technik_People Package 2" xfId="16397" xr:uid="{00000000-0005-0000-0000-000004400000}"/>
    <cellStyle name="_Data_MIS3_Strategic Diagnostic Templates Technik_People Package 2 2" xfId="16398" xr:uid="{00000000-0005-0000-0000-000005400000}"/>
    <cellStyle name="_Data_MIS3_Strategic Diagnostic Templates Technik_People Package 3" xfId="16399" xr:uid="{00000000-0005-0000-0000-000006400000}"/>
    <cellStyle name="_Data_MIS3_Strategic Diagnostic Templates Technik_People Package 3 2" xfId="16400" xr:uid="{00000000-0005-0000-0000-000007400000}"/>
    <cellStyle name="_Data_MIS3_Strategic Diagnostic Templates Technik_People Package 4" xfId="16401" xr:uid="{00000000-0005-0000-0000-000008400000}"/>
    <cellStyle name="_Data_MIS3_Strategic Diagnostic Templates Technik_People Package 5" xfId="16402" xr:uid="{00000000-0005-0000-0000-000009400000}"/>
    <cellStyle name="_Data_MIS3_Strategic Diagnostic Templates Technik_Sales and Marketing - revised" xfId="16403" xr:uid="{00000000-0005-0000-0000-00000A400000}"/>
    <cellStyle name="_Data_MIS3_Strategic Diagnostic Templates Technik_Sales and Marketing - revised 2" xfId="16404" xr:uid="{00000000-0005-0000-0000-00000B400000}"/>
    <cellStyle name="_Data_MIS3_Strategic Diagnostic Templates Technik_Sales and Marketing - revised 2 2" xfId="16405" xr:uid="{00000000-0005-0000-0000-00000C400000}"/>
    <cellStyle name="_Data_MIS3_Strategic Diagnostic Templates Technik_Sales and Marketing - revised 3" xfId="16406" xr:uid="{00000000-0005-0000-0000-00000D400000}"/>
    <cellStyle name="_Data_MIS3_Strategic Diagnostic Templates Technik_Sales and Marketing - revised 4" xfId="16407" xr:uid="{00000000-0005-0000-0000-00000E400000}"/>
    <cellStyle name="_Data_MIS3_Strategic Diagnostic Templates Technik_Sim Ebitda LE 0909 v4" xfId="16408" xr:uid="{00000000-0005-0000-0000-00000F400000}"/>
    <cellStyle name="_Data_MIS3_Strategic Diagnostic Templates Technik_Sim Ebitda LE 0909 v4 2" xfId="16409" xr:uid="{00000000-0005-0000-0000-000010400000}"/>
    <cellStyle name="_Data_MIS3_Strategic Diagnostic Templates Technik_Sim Ebitda LE 0909 v4 2 2" xfId="16410" xr:uid="{00000000-0005-0000-0000-000011400000}"/>
    <cellStyle name="_Data_MIS3_Strategic Diagnostic Templates Technik_Sim Ebitda LE 0909 v4 3" xfId="16411" xr:uid="{00000000-0005-0000-0000-000012400000}"/>
    <cellStyle name="_Data_MIS3_Strategic Diagnostic Templates Technik_Sim Ebitda LE 0909 v4 4" xfId="16412" xr:uid="{00000000-0005-0000-0000-000013400000}"/>
    <cellStyle name="_Data_MIS3_Strategic Diagnostic Templates Technik_WF Ebitda RD Abr-10" xfId="16413" xr:uid="{00000000-0005-0000-0000-000014400000}"/>
    <cellStyle name="_Data_MIS3_Strategic Diagnostic Templates Technik_WF Ebitda RD Abr-10 2" xfId="16414" xr:uid="{00000000-0005-0000-0000-000015400000}"/>
    <cellStyle name="_Data_MIS3_Strategic Diagnostic Templates Technik_WF Ebitda RD Abr-10 2 2" xfId="16415" xr:uid="{00000000-0005-0000-0000-000016400000}"/>
    <cellStyle name="_Data_MIS3_Strategic Diagnostic Templates Technik_WF Ebitda Sep09" xfId="16416" xr:uid="{00000000-0005-0000-0000-000017400000}"/>
    <cellStyle name="_Data_MIS3_Strategic Diagnostic Templates Technik_WF Ebitda Sep09 2" xfId="16417" xr:uid="{00000000-0005-0000-0000-000018400000}"/>
    <cellStyle name="_Data_MIS3_Strategic Diagnostic Templates Technik_WF Ebitda Sep09 2 2" xfId="16418" xr:uid="{00000000-0005-0000-0000-000019400000}"/>
    <cellStyle name="_Data_MIS3_Strategic Diagnostic Templates Technik_ZBB" xfId="16419" xr:uid="{00000000-0005-0000-0000-00001A400000}"/>
    <cellStyle name="_Data_MIS3_Strategic Diagnostic Templates Technik_ZBB 2" xfId="16420" xr:uid="{00000000-0005-0000-0000-00001B400000}"/>
    <cellStyle name="_Data_MIS3_Strategic Diagnostic Templates Technik_ZBB 2 2" xfId="16421" xr:uid="{00000000-0005-0000-0000-00001C400000}"/>
    <cellStyle name="_Data_MIS3_WF Ebitda RD Abr-10" xfId="16422" xr:uid="{00000000-0005-0000-0000-00001D400000}"/>
    <cellStyle name="_Data_MIS3_WF Ebitda RD Abr-10 2" xfId="16423" xr:uid="{00000000-0005-0000-0000-00001E400000}"/>
    <cellStyle name="_Data_MIS3_WF Ebitda RD Abr-10 2 2" xfId="16424" xr:uid="{00000000-0005-0000-0000-00001F400000}"/>
    <cellStyle name="_Data_MIS3_WF Ebitda Sep09" xfId="16425" xr:uid="{00000000-0005-0000-0000-000020400000}"/>
    <cellStyle name="_Data_MIS3_WF Ebitda Sep09 2" xfId="16426" xr:uid="{00000000-0005-0000-0000-000021400000}"/>
    <cellStyle name="_Data_MIS3_WF Ebitda Sep09 2 2" xfId="16427" xr:uid="{00000000-0005-0000-0000-000022400000}"/>
    <cellStyle name="_Data_MIS3_ZBB" xfId="16428" xr:uid="{00000000-0005-0000-0000-000023400000}"/>
    <cellStyle name="_Data_MIS3_ZBB 2" xfId="16429" xr:uid="{00000000-0005-0000-0000-000024400000}"/>
    <cellStyle name="_Data_MIS3_ZBB 2 2" xfId="16430" xr:uid="{00000000-0005-0000-0000-000025400000}"/>
    <cellStyle name="_Data_MIS3_ZBB Budget 2009 Decks" xfId="16431" xr:uid="{00000000-0005-0000-0000-000026400000}"/>
    <cellStyle name="_Data_MIS3_ZBB Budget 2009 Decks 2" xfId="16432" xr:uid="{00000000-0005-0000-0000-000027400000}"/>
    <cellStyle name="_Data_MIS3_ZBB Budget 2009 Decks 2 2" xfId="16433" xr:uid="{00000000-0005-0000-0000-000028400000}"/>
    <cellStyle name="_Data_MIS3_ZBB Budget 2009 Decks_with Korea Scope in (Only LE)" xfId="16434" xr:uid="{00000000-0005-0000-0000-000029400000}"/>
    <cellStyle name="_Data_MIS3_ZBB Budget 2009 Decks_with Korea Scope in (Only LE) (2)" xfId="16435" xr:uid="{00000000-0005-0000-0000-00002A400000}"/>
    <cellStyle name="_Data_MIS3_ZBB Budget 2009 Decks_with Korea Scope in (Only LE) (2) 2" xfId="16436" xr:uid="{00000000-0005-0000-0000-00002B400000}"/>
    <cellStyle name="_Data_MIS3_ZBB Budget 2009 Decks_with Korea Scope in (Only LE) (2) 2 2" xfId="16437" xr:uid="{00000000-0005-0000-0000-00002C400000}"/>
    <cellStyle name="_Data_MIS3_ZBB Budget 2009 Decks_with Korea Scope in (Only LE) 2" xfId="16438" xr:uid="{00000000-0005-0000-0000-00002D400000}"/>
    <cellStyle name="_Data_MIS3_ZBB Budget 2009 Decks_with Korea Scope in (Only LE) 2 2" xfId="16439" xr:uid="{00000000-0005-0000-0000-00002E400000}"/>
    <cellStyle name="_Data_MIS3_ZBB Budget 2009 Decks_with Korea Scope in (Only LE) 3" xfId="16440" xr:uid="{00000000-0005-0000-0000-00002F400000}"/>
    <cellStyle name="_Data_MIS3_ZBB Budget 2009 Decks_with Korea Scope in (Only LE) 3 2" xfId="16441" xr:uid="{00000000-0005-0000-0000-000030400000}"/>
    <cellStyle name="_Data_MIS3_ZBB Budget 2009 Decks_with Korea Scope in (Only LE) 4" xfId="16442" xr:uid="{00000000-0005-0000-0000-000031400000}"/>
    <cellStyle name="_Data_MIS3_ZBB Budget 2009 Decks_with Korea Scope in (Only LE) 5" xfId="16443" xr:uid="{00000000-0005-0000-0000-000032400000}"/>
    <cellStyle name="_Data_PE" xfId="16444" xr:uid="{00000000-0005-0000-0000-000033400000}"/>
    <cellStyle name="_Data_PE 2" xfId="16445" xr:uid="{00000000-0005-0000-0000-000034400000}"/>
    <cellStyle name="_Data_PE 2 2" xfId="16446" xr:uid="{00000000-0005-0000-0000-000035400000}"/>
    <cellStyle name="_Data_PE ML" xfId="16447" xr:uid="{00000000-0005-0000-0000-000036400000}"/>
    <cellStyle name="_Data_PE ML 2" xfId="16448" xr:uid="{00000000-0005-0000-0000-000037400000}"/>
    <cellStyle name="_Data_PE ML 2 2" xfId="16449" xr:uid="{00000000-0005-0000-0000-000038400000}"/>
    <cellStyle name="_Data_PE USD" xfId="16450" xr:uid="{00000000-0005-0000-0000-000039400000}"/>
    <cellStyle name="_Data_PE USD 2" xfId="16451" xr:uid="{00000000-0005-0000-0000-00003A400000}"/>
    <cellStyle name="_Data_PE USD 2 2" xfId="16452" xr:uid="{00000000-0005-0000-0000-00003B400000}"/>
    <cellStyle name="_Data_People Package" xfId="16453" xr:uid="{00000000-0005-0000-0000-00003C400000}"/>
    <cellStyle name="_Data_People Package (2)" xfId="16454" xr:uid="{00000000-0005-0000-0000-00003D400000}"/>
    <cellStyle name="_Data_People Package (2) 2" xfId="16455" xr:uid="{00000000-0005-0000-0000-00003E400000}"/>
    <cellStyle name="_Data_People Package (2) 2 2" xfId="16456" xr:uid="{00000000-0005-0000-0000-00003F400000}"/>
    <cellStyle name="_Data_People Package 2" xfId="16457" xr:uid="{00000000-0005-0000-0000-000040400000}"/>
    <cellStyle name="_Data_People Package 2 2" xfId="16458" xr:uid="{00000000-0005-0000-0000-000041400000}"/>
    <cellStyle name="_Data_People Package 3" xfId="16459" xr:uid="{00000000-0005-0000-0000-000042400000}"/>
    <cellStyle name="_Data_People Package 3 2" xfId="16460" xr:uid="{00000000-0005-0000-0000-000043400000}"/>
    <cellStyle name="_Data_People Package 4" xfId="16461" xr:uid="{00000000-0005-0000-0000-000044400000}"/>
    <cellStyle name="_Data_People Package 5" xfId="16462" xr:uid="{00000000-0005-0000-0000-000045400000}"/>
    <cellStyle name="_Data_Personal (2)" xfId="16463" xr:uid="{00000000-0005-0000-0000-000046400000}"/>
    <cellStyle name="_Data_Personal (2) 2" xfId="16464" xr:uid="{00000000-0005-0000-0000-000047400000}"/>
    <cellStyle name="_Data_Personal (2) 2 2" xfId="16465" xr:uid="{00000000-0005-0000-0000-000048400000}"/>
    <cellStyle name="_Data_Personal (2)_Copy of 081027 ZBB Budget 2009 Decks - People_Cherry_V4" xfId="16466" xr:uid="{00000000-0005-0000-0000-000049400000}"/>
    <cellStyle name="_Data_Personal (2)_Copy of 081027 ZBB Budget 2009 Decks - People_Cherry_V4 2" xfId="16467" xr:uid="{00000000-0005-0000-0000-00004A400000}"/>
    <cellStyle name="_Data_Personal (2)_Copy of 081027 ZBB Budget 2009 Decks - People_Cherry_V4 2 2" xfId="16468" xr:uid="{00000000-0005-0000-0000-00004B400000}"/>
    <cellStyle name="_Data_Personal (2)_ZBB Budget 2009 Decks" xfId="16469" xr:uid="{00000000-0005-0000-0000-00004C400000}"/>
    <cellStyle name="_Data_Personal (2)_ZBB Budget 2009 Decks 2" xfId="16470" xr:uid="{00000000-0005-0000-0000-00004D400000}"/>
    <cellStyle name="_Data_Personal (2)_ZBB Budget 2009 Decks 2 2" xfId="16471" xr:uid="{00000000-0005-0000-0000-00004E400000}"/>
    <cellStyle name="_Data_Personal (2)_ZBB Budget 2009 Decks_with Korea Scope in (Only LE)" xfId="16472" xr:uid="{00000000-0005-0000-0000-00004F400000}"/>
    <cellStyle name="_Data_Personal (2)_ZBB Budget 2009 Decks_with Korea Scope in (Only LE) (2)" xfId="16473" xr:uid="{00000000-0005-0000-0000-000050400000}"/>
    <cellStyle name="_Data_Personal (2)_ZBB Budget 2009 Decks_with Korea Scope in (Only LE) (2) 2" xfId="16474" xr:uid="{00000000-0005-0000-0000-000051400000}"/>
    <cellStyle name="_Data_Personal (2)_ZBB Budget 2009 Decks_with Korea Scope in (Only LE) (2) 2 2" xfId="16475" xr:uid="{00000000-0005-0000-0000-000052400000}"/>
    <cellStyle name="_Data_Personal (2)_ZBB Budget 2009 Decks_with Korea Scope in (Only LE) 2" xfId="16476" xr:uid="{00000000-0005-0000-0000-000053400000}"/>
    <cellStyle name="_Data_Personal (2)_ZBB Budget 2009 Decks_with Korea Scope in (Only LE) 2 2" xfId="16477" xr:uid="{00000000-0005-0000-0000-000054400000}"/>
    <cellStyle name="_Data_Personal (2)_ZBB Budget 2009 Decks_with Korea Scope in (Only LE) 3" xfId="16478" xr:uid="{00000000-0005-0000-0000-000055400000}"/>
    <cellStyle name="_Data_Personal (2)_ZBB Budget 2009 Decks_with Korea Scope in (Only LE) 3 2" xfId="16479" xr:uid="{00000000-0005-0000-0000-000056400000}"/>
    <cellStyle name="_Data_Personal (2)_ZBB Budget 2009 Decks_with Korea Scope in (Only LE) 4" xfId="16480" xr:uid="{00000000-0005-0000-0000-000057400000}"/>
    <cellStyle name="_Data_Personal (2)_ZBB Budget 2009 Decks_with Korea Scope in (Only LE) 5" xfId="16481" xr:uid="{00000000-0005-0000-0000-000058400000}"/>
    <cellStyle name="_Data_Personalkostenplanung SP" xfId="16482" xr:uid="{00000000-0005-0000-0000-000059400000}"/>
    <cellStyle name="_Data_Personalkostenplanung SP 2" xfId="16483" xr:uid="{00000000-0005-0000-0000-00005A400000}"/>
    <cellStyle name="_Data_Personalkostenplanung SP 2 2" xfId="16484" xr:uid="{00000000-0005-0000-0000-00005B400000}"/>
    <cellStyle name="_Data_Personalkostenplanung SP 2 2 2" xfId="16485" xr:uid="{00000000-0005-0000-0000-00005C400000}"/>
    <cellStyle name="_Data_Personalkostenplanung SP 2 3" xfId="16486" xr:uid="{00000000-0005-0000-0000-00005D400000}"/>
    <cellStyle name="_Data_Personalkostenplanung SP 2 4" xfId="16487" xr:uid="{00000000-0005-0000-0000-00005E400000}"/>
    <cellStyle name="_Data_Personalkostenplanung SP 3" xfId="16488" xr:uid="{00000000-0005-0000-0000-00005F400000}"/>
    <cellStyle name="_Data_Personalkostenplanung SP 3 2" xfId="16489" xr:uid="{00000000-0005-0000-0000-000060400000}"/>
    <cellStyle name="_Data_Personalkostenplanung SP_010808 Market Programs  for Budget Deck" xfId="16490" xr:uid="{00000000-0005-0000-0000-000061400000}"/>
    <cellStyle name="_Data_Personalkostenplanung SP_010808 Market Programs  for Budget Deck 2" xfId="16491" xr:uid="{00000000-0005-0000-0000-000062400000}"/>
    <cellStyle name="_Data_Personalkostenplanung SP_010808 Market Programs  for Budget Deck 2 2" xfId="16492" xr:uid="{00000000-0005-0000-0000-000063400000}"/>
    <cellStyle name="_Data_Personalkostenplanung SP_0908 Gabarito exchange rate" xfId="16493" xr:uid="{00000000-0005-0000-0000-000064400000}"/>
    <cellStyle name="_Data_Personalkostenplanung SP_0908 Gabarito exchange rate 2" xfId="16494" xr:uid="{00000000-0005-0000-0000-000065400000}"/>
    <cellStyle name="_Data_Personalkostenplanung SP_0908 Gabarito exchange rate 2 2" xfId="16495" xr:uid="{00000000-0005-0000-0000-000066400000}"/>
    <cellStyle name="_Data_Personalkostenplanung SP_0908 Gabarito exchange rate 3" xfId="16496" xr:uid="{00000000-0005-0000-0000-000067400000}"/>
    <cellStyle name="_Data_Personalkostenplanung SP_0908 Gabarito exchange rate 4" xfId="16497" xr:uid="{00000000-0005-0000-0000-000068400000}"/>
    <cellStyle name="_Data_Personalkostenplanung SP_BGT 08 Templates Sales  Marketing - final (revised)" xfId="16498" xr:uid="{00000000-0005-0000-0000-000069400000}"/>
    <cellStyle name="_Data_Personalkostenplanung SP_BGT 08 Templates Sales  Marketing - final (revised) 2" xfId="16499" xr:uid="{00000000-0005-0000-0000-00006A400000}"/>
    <cellStyle name="_Data_Personalkostenplanung SP_BGT 08 Templates Sales  Marketing - final (revised) 2 2" xfId="16500" xr:uid="{00000000-0005-0000-0000-00006B400000}"/>
    <cellStyle name="_Data_Personalkostenplanung SP_BGT 08 Templates Sales  Marketing - final (revised) 3" xfId="16501" xr:uid="{00000000-0005-0000-0000-00006C400000}"/>
    <cellStyle name="_Data_Personalkostenplanung SP_BGT 08 Templates Sales  Marketing - final (revised) 4" xfId="16502" xr:uid="{00000000-0005-0000-0000-00006D400000}"/>
    <cellStyle name="_Data_Personalkostenplanung SP_BGT 08 templates, Sales &amp; Marketing - draft com alterações" xfId="16503" xr:uid="{00000000-0005-0000-0000-00006E400000}"/>
    <cellStyle name="_Data_Personalkostenplanung SP_BGT 08 templates, Sales &amp; Marketing - draft com alterações 2" xfId="16504" xr:uid="{00000000-0005-0000-0000-00006F400000}"/>
    <cellStyle name="_Data_Personalkostenplanung SP_BGT 08 templates, Sales &amp; Marketing - draft com alterações 2 2" xfId="16505" xr:uid="{00000000-0005-0000-0000-000070400000}"/>
    <cellStyle name="_Data_Personalkostenplanung SP_BGT 08 templates, Sales &amp; Marketing - draft com alterações 3" xfId="16506" xr:uid="{00000000-0005-0000-0000-000071400000}"/>
    <cellStyle name="_Data_Personalkostenplanung SP_BGT 08 templates, Sales &amp; Marketing - draft com alterações 4" xfId="16507" xr:uid="{00000000-0005-0000-0000-000072400000}"/>
    <cellStyle name="_Data_Personalkostenplanung SP_Book5" xfId="16508" xr:uid="{00000000-0005-0000-0000-000073400000}"/>
    <cellStyle name="_Data_Personalkostenplanung SP_Book5 2" xfId="16509" xr:uid="{00000000-0005-0000-0000-000074400000}"/>
    <cellStyle name="_Data_Personalkostenplanung SP_Book5 2 2" xfId="16510" xr:uid="{00000000-0005-0000-0000-000075400000}"/>
    <cellStyle name="_Data_Personalkostenplanung SP_Book5 3" xfId="16511" xr:uid="{00000000-0005-0000-0000-000076400000}"/>
    <cellStyle name="_Data_Personalkostenplanung SP_Book5 4" xfId="16512" xr:uid="{00000000-0005-0000-0000-000077400000}"/>
    <cellStyle name="_Data_Personalkostenplanung SP_Bplan RD 1001" xfId="16513" xr:uid="{00000000-0005-0000-0000-000078400000}"/>
    <cellStyle name="_Data_Personalkostenplanung SP_Bplan RD 1001 2" xfId="16514" xr:uid="{00000000-0005-0000-0000-000079400000}"/>
    <cellStyle name="_Data_Personalkostenplanung SP_Bplan RD 1001 2 2" xfId="16515" xr:uid="{00000000-0005-0000-0000-00007A400000}"/>
    <cellStyle name="_Data_Personalkostenplanung SP_Bplan RD 1001 3" xfId="16516" xr:uid="{00000000-0005-0000-0000-00007B400000}"/>
    <cellStyle name="_Data_Personalkostenplanung SP_Bplan RD 1001 4" xfId="16517" xr:uid="{00000000-0005-0000-0000-00007C400000}"/>
    <cellStyle name="_Data_Personalkostenplanung SP_Copy of 081027 ZBB Budget 2009 Decks - People_Cherry_V4" xfId="16518" xr:uid="{00000000-0005-0000-0000-00007D400000}"/>
    <cellStyle name="_Data_Personalkostenplanung SP_Copy of 081027 ZBB Budget 2009 Decks - People_Cherry_V4 2" xfId="16519" xr:uid="{00000000-0005-0000-0000-00007E400000}"/>
    <cellStyle name="_Data_Personalkostenplanung SP_Copy of 081027 ZBB Budget 2009 Decks - People_Cherry_V4 2 2" xfId="16520" xr:uid="{00000000-0005-0000-0000-00007F400000}"/>
    <cellStyle name="_Data_Personalkostenplanung SP_Copy of BGT 08 Templates Sales  Marketing - final (revised)" xfId="16521" xr:uid="{00000000-0005-0000-0000-000080400000}"/>
    <cellStyle name="_Data_Personalkostenplanung SP_Copy of BGT 08 Templates Sales  Marketing - final (revised) 2" xfId="16522" xr:uid="{00000000-0005-0000-0000-000081400000}"/>
    <cellStyle name="_Data_Personalkostenplanung SP_Copy of BGT 08 Templates Sales  Marketing - final (revised) 2 2" xfId="16523" xr:uid="{00000000-0005-0000-0000-000082400000}"/>
    <cellStyle name="_Data_Personalkostenplanung SP_Copy of BGT 08 Templates Sales  Marketing - final (revised) 3" xfId="16524" xr:uid="{00000000-0005-0000-0000-000083400000}"/>
    <cellStyle name="_Data_Personalkostenplanung SP_Copy of BGT 08 Templates Sales  Marketing - final (revised) 4" xfId="16525" xr:uid="{00000000-0005-0000-0000-000084400000}"/>
    <cellStyle name="_Data_Personalkostenplanung SP_Excel sheets to support Market Program Template for Budget 09 (5) (2)" xfId="16526" xr:uid="{00000000-0005-0000-0000-000085400000}"/>
    <cellStyle name="_Data_Personalkostenplanung SP_Excel sheets to support Market Program Template for Budget 09 (5) (2) 2" xfId="16527" xr:uid="{00000000-0005-0000-0000-000086400000}"/>
    <cellStyle name="_Data_Personalkostenplanung SP_Excel sheets to support Market Program Template for Budget 09 (5) (2) 2 2" xfId="16528" xr:uid="{00000000-0005-0000-0000-000087400000}"/>
    <cellStyle name="_Data_Personalkostenplanung SP_Excel sheets to support Market Program Template for Budget 09 (5) (3)" xfId="16529" xr:uid="{00000000-0005-0000-0000-000088400000}"/>
    <cellStyle name="_Data_Personalkostenplanung SP_Excel sheets to support Market Program Template for Budget 09 (5) (3) 2" xfId="16530" xr:uid="{00000000-0005-0000-0000-000089400000}"/>
    <cellStyle name="_Data_Personalkostenplanung SP_Excel sheets to support Market Program Template for Budget 09 (5) (3) 2 2" xfId="16531" xr:uid="{00000000-0005-0000-0000-00008A400000}"/>
    <cellStyle name="_Data_Personalkostenplanung SP_LE Ebitda RD Feb-10 v2" xfId="16532" xr:uid="{00000000-0005-0000-0000-00008B400000}"/>
    <cellStyle name="_Data_Personalkostenplanung SP_LE Ebitda RD Feb-10 v2 2" xfId="16533" xr:uid="{00000000-0005-0000-0000-00008C400000}"/>
    <cellStyle name="_Data_Personalkostenplanung SP_LE Ebitda RD Feb-10 v2 2 2" xfId="16534" xr:uid="{00000000-0005-0000-0000-00008D400000}"/>
    <cellStyle name="_Data_Personalkostenplanung SP_People Package" xfId="16535" xr:uid="{00000000-0005-0000-0000-00008E400000}"/>
    <cellStyle name="_Data_Personalkostenplanung SP_People Package (2)" xfId="16536" xr:uid="{00000000-0005-0000-0000-00008F400000}"/>
    <cellStyle name="_Data_Personalkostenplanung SP_People Package (2) 2" xfId="16537" xr:uid="{00000000-0005-0000-0000-000090400000}"/>
    <cellStyle name="_Data_Personalkostenplanung SP_People Package (2) 2 2" xfId="16538" xr:uid="{00000000-0005-0000-0000-000091400000}"/>
    <cellStyle name="_Data_Personalkostenplanung SP_People Package 2" xfId="16539" xr:uid="{00000000-0005-0000-0000-000092400000}"/>
    <cellStyle name="_Data_Personalkostenplanung SP_People Package 2 2" xfId="16540" xr:uid="{00000000-0005-0000-0000-000093400000}"/>
    <cellStyle name="_Data_Personalkostenplanung SP_People Package 3" xfId="16541" xr:uid="{00000000-0005-0000-0000-000094400000}"/>
    <cellStyle name="_Data_Personalkostenplanung SP_People Package 3 2" xfId="16542" xr:uid="{00000000-0005-0000-0000-000095400000}"/>
    <cellStyle name="_Data_Personalkostenplanung SP_People Package 4" xfId="16543" xr:uid="{00000000-0005-0000-0000-000096400000}"/>
    <cellStyle name="_Data_Personalkostenplanung SP_People Package 5" xfId="16544" xr:uid="{00000000-0005-0000-0000-000097400000}"/>
    <cellStyle name="_Data_Personalkostenplanung SP_Sales and Marketing - revised" xfId="16545" xr:uid="{00000000-0005-0000-0000-000098400000}"/>
    <cellStyle name="_Data_Personalkostenplanung SP_Sales and Marketing - revised 2" xfId="16546" xr:uid="{00000000-0005-0000-0000-000099400000}"/>
    <cellStyle name="_Data_Personalkostenplanung SP_Sales and Marketing - revised 2 2" xfId="16547" xr:uid="{00000000-0005-0000-0000-00009A400000}"/>
    <cellStyle name="_Data_Personalkostenplanung SP_Sales and Marketing - revised 3" xfId="16548" xr:uid="{00000000-0005-0000-0000-00009B400000}"/>
    <cellStyle name="_Data_Personalkostenplanung SP_Sales and Marketing - revised 4" xfId="16549" xr:uid="{00000000-0005-0000-0000-00009C400000}"/>
    <cellStyle name="_Data_Personalkostenplanung SP_Sim Ebitda LE 0909 v4" xfId="16550" xr:uid="{00000000-0005-0000-0000-00009D400000}"/>
    <cellStyle name="_Data_Personalkostenplanung SP_Sim Ebitda LE 0909 v4 2" xfId="16551" xr:uid="{00000000-0005-0000-0000-00009E400000}"/>
    <cellStyle name="_Data_Personalkostenplanung SP_Sim Ebitda LE 0909 v4 2 2" xfId="16552" xr:uid="{00000000-0005-0000-0000-00009F400000}"/>
    <cellStyle name="_Data_Personalkostenplanung SP_Sim Ebitda LE 0909 v4 3" xfId="16553" xr:uid="{00000000-0005-0000-0000-0000A0400000}"/>
    <cellStyle name="_Data_Personalkostenplanung SP_Sim Ebitda LE 0909 v4 4" xfId="16554" xr:uid="{00000000-0005-0000-0000-0000A1400000}"/>
    <cellStyle name="_Data_Personalkostenplanung SP_WF Ebitda RD Abr-10" xfId="16555" xr:uid="{00000000-0005-0000-0000-0000A2400000}"/>
    <cellStyle name="_Data_Personalkostenplanung SP_WF Ebitda RD Abr-10 2" xfId="16556" xr:uid="{00000000-0005-0000-0000-0000A3400000}"/>
    <cellStyle name="_Data_Personalkostenplanung SP_WF Ebitda RD Abr-10 2 2" xfId="16557" xr:uid="{00000000-0005-0000-0000-0000A4400000}"/>
    <cellStyle name="_Data_Personalkostenplanung SP_WF Ebitda Sep09" xfId="16558" xr:uid="{00000000-0005-0000-0000-0000A5400000}"/>
    <cellStyle name="_Data_Personalkostenplanung SP_WF Ebitda Sep09 2" xfId="16559" xr:uid="{00000000-0005-0000-0000-0000A6400000}"/>
    <cellStyle name="_Data_Personalkostenplanung SP_WF Ebitda Sep09 2 2" xfId="16560" xr:uid="{00000000-0005-0000-0000-0000A7400000}"/>
    <cellStyle name="_Data_Personalkostenplanung SP_ZBB" xfId="16561" xr:uid="{00000000-0005-0000-0000-0000A8400000}"/>
    <cellStyle name="_Data_Personalkostenplanung SP_ZBB 2" xfId="16562" xr:uid="{00000000-0005-0000-0000-0000A9400000}"/>
    <cellStyle name="_Data_Personalkostenplanung SP_ZBB 2 2" xfId="16563" xr:uid="{00000000-0005-0000-0000-0000AA400000}"/>
    <cellStyle name="_Data_Personalkostenplanung SP_ZBB Budget 2009 Decks" xfId="16564" xr:uid="{00000000-0005-0000-0000-0000AB400000}"/>
    <cellStyle name="_Data_Personalkostenplanung SP_ZBB Budget 2009 Decks 2" xfId="16565" xr:uid="{00000000-0005-0000-0000-0000AC400000}"/>
    <cellStyle name="_Data_Personalkostenplanung SP_ZBB Budget 2009 Decks 2 2" xfId="16566" xr:uid="{00000000-0005-0000-0000-0000AD400000}"/>
    <cellStyle name="_Data_Personalkostenplanung SP_ZBB Budget 2009 Decks_with Korea Scope in (Only LE)" xfId="16567" xr:uid="{00000000-0005-0000-0000-0000AE400000}"/>
    <cellStyle name="_Data_Personalkostenplanung SP_ZBB Budget 2009 Decks_with Korea Scope in (Only LE) (2)" xfId="16568" xr:uid="{00000000-0005-0000-0000-0000AF400000}"/>
    <cellStyle name="_Data_Personalkostenplanung SP_ZBB Budget 2009 Decks_with Korea Scope in (Only LE) (2) 2" xfId="16569" xr:uid="{00000000-0005-0000-0000-0000B0400000}"/>
    <cellStyle name="_Data_Personalkostenplanung SP_ZBB Budget 2009 Decks_with Korea Scope in (Only LE) (2) 2 2" xfId="16570" xr:uid="{00000000-0005-0000-0000-0000B1400000}"/>
    <cellStyle name="_Data_Personalkostenplanung SP_ZBB Budget 2009 Decks_with Korea Scope in (Only LE) 2" xfId="16571" xr:uid="{00000000-0005-0000-0000-0000B2400000}"/>
    <cellStyle name="_Data_Personalkostenplanung SP_ZBB Budget 2009 Decks_with Korea Scope in (Only LE) 2 2" xfId="16572" xr:uid="{00000000-0005-0000-0000-0000B3400000}"/>
    <cellStyle name="_Data_Personalkostenplanung SP_ZBB Budget 2009 Decks_with Korea Scope in (Only LE) 3" xfId="16573" xr:uid="{00000000-0005-0000-0000-0000B4400000}"/>
    <cellStyle name="_Data_Personalkostenplanung SP_ZBB Budget 2009 Decks_with Korea Scope in (Only LE) 3 2" xfId="16574" xr:uid="{00000000-0005-0000-0000-0000B5400000}"/>
    <cellStyle name="_Data_Personalkostenplanung SP_ZBB Budget 2009 Decks_with Korea Scope in (Only LE) 4" xfId="16575" xr:uid="{00000000-0005-0000-0000-0000B6400000}"/>
    <cellStyle name="_Data_Personalkostenplanung SP_ZBB Budget 2009 Decks_with Korea Scope in (Only LE) 5" xfId="16576" xr:uid="{00000000-0005-0000-0000-0000B7400000}"/>
    <cellStyle name="_Data_Personalplanung" xfId="16577" xr:uid="{00000000-0005-0000-0000-0000B8400000}"/>
    <cellStyle name="_Data_Personalplanung 2" xfId="16578" xr:uid="{00000000-0005-0000-0000-0000B9400000}"/>
    <cellStyle name="_Data_Personalplanung 2 2" xfId="16579" xr:uid="{00000000-0005-0000-0000-0000BA400000}"/>
    <cellStyle name="_Data_Personalplanung 2 2 2" xfId="16580" xr:uid="{00000000-0005-0000-0000-0000BB400000}"/>
    <cellStyle name="_Data_Personalplanung 2 3" xfId="16581" xr:uid="{00000000-0005-0000-0000-0000BC400000}"/>
    <cellStyle name="_Data_Personalplanung 3" xfId="16582" xr:uid="{00000000-0005-0000-0000-0000BD400000}"/>
    <cellStyle name="_Data_Personalplanung 3 2" xfId="16583" xr:uid="{00000000-0005-0000-0000-0000BE400000}"/>
    <cellStyle name="_Data_Personalplanung_010808 Market Programs  for Budget Deck" xfId="16584" xr:uid="{00000000-0005-0000-0000-0000BF400000}"/>
    <cellStyle name="_Data_Personalplanung_010808 Market Programs  for Budget Deck 2" xfId="16585" xr:uid="{00000000-0005-0000-0000-0000C0400000}"/>
    <cellStyle name="_Data_Personalplanung_010808 Market Programs  for Budget Deck 2 2" xfId="16586" xr:uid="{00000000-0005-0000-0000-0000C1400000}"/>
    <cellStyle name="_Data_Personalplanung_0908 Gabarito exchange rate" xfId="16587" xr:uid="{00000000-0005-0000-0000-0000C2400000}"/>
    <cellStyle name="_Data_Personalplanung_0908 Gabarito exchange rate 2" xfId="16588" xr:uid="{00000000-0005-0000-0000-0000C3400000}"/>
    <cellStyle name="_Data_Personalplanung_0908 Gabarito exchange rate 2 2" xfId="16589" xr:uid="{00000000-0005-0000-0000-0000C4400000}"/>
    <cellStyle name="_Data_Personalplanung_B.IV.r" xfId="16590" xr:uid="{00000000-0005-0000-0000-0000C5400000}"/>
    <cellStyle name="_Data_Personalplanung_B.IV.r 2" xfId="16591" xr:uid="{00000000-0005-0000-0000-0000C6400000}"/>
    <cellStyle name="_Data_Personalplanung_B.IV.r 2 2" xfId="16592" xr:uid="{00000000-0005-0000-0000-0000C7400000}"/>
    <cellStyle name="_Data_Personalplanung_B.IV.r_Copy of 081027 ZBB Budget 2009 Decks - People_Cherry_V4" xfId="16593" xr:uid="{00000000-0005-0000-0000-0000C8400000}"/>
    <cellStyle name="_Data_Personalplanung_B.IV.r_Copy of 081027 ZBB Budget 2009 Decks - People_Cherry_V4 2" xfId="16594" xr:uid="{00000000-0005-0000-0000-0000C9400000}"/>
    <cellStyle name="_Data_Personalplanung_B.IV.r_Copy of 081027 ZBB Budget 2009 Decks - People_Cherry_V4 2 2" xfId="16595" xr:uid="{00000000-0005-0000-0000-0000CA400000}"/>
    <cellStyle name="_Data_Personalplanung_B.IV.r_ZBB Budget 2009 Decks" xfId="16596" xr:uid="{00000000-0005-0000-0000-0000CB400000}"/>
    <cellStyle name="_Data_Personalplanung_B.IV.r_ZBB Budget 2009 Decks 2" xfId="16597" xr:uid="{00000000-0005-0000-0000-0000CC400000}"/>
    <cellStyle name="_Data_Personalplanung_B.IV.r_ZBB Budget 2009 Decks 2 2" xfId="16598" xr:uid="{00000000-0005-0000-0000-0000CD400000}"/>
    <cellStyle name="_Data_Personalplanung_B.IV.r_ZBB Budget 2009 Decks_with Korea Scope in (Only LE)" xfId="16599" xr:uid="{00000000-0005-0000-0000-0000CE400000}"/>
    <cellStyle name="_Data_Personalplanung_B.IV.r_ZBB Budget 2009 Decks_with Korea Scope in (Only LE) (2)" xfId="16600" xr:uid="{00000000-0005-0000-0000-0000CF400000}"/>
    <cellStyle name="_Data_Personalplanung_B.IV.r_ZBB Budget 2009 Decks_with Korea Scope in (Only LE) (2) 2" xfId="16601" xr:uid="{00000000-0005-0000-0000-0000D0400000}"/>
    <cellStyle name="_Data_Personalplanung_B.IV.r_ZBB Budget 2009 Decks_with Korea Scope in (Only LE) (2) 2 2" xfId="16602" xr:uid="{00000000-0005-0000-0000-0000D1400000}"/>
    <cellStyle name="_Data_Personalplanung_B.IV.r_ZBB Budget 2009 Decks_with Korea Scope in (Only LE) 2" xfId="16603" xr:uid="{00000000-0005-0000-0000-0000D2400000}"/>
    <cellStyle name="_Data_Personalplanung_B.IV.r_ZBB Budget 2009 Decks_with Korea Scope in (Only LE) 2 2" xfId="16604" xr:uid="{00000000-0005-0000-0000-0000D3400000}"/>
    <cellStyle name="_Data_Personalplanung_B.IV.r_ZBB Budget 2009 Decks_with Korea Scope in (Only LE) 3" xfId="16605" xr:uid="{00000000-0005-0000-0000-0000D4400000}"/>
    <cellStyle name="_Data_Personalplanung_B.IV.r_ZBB Budget 2009 Decks_with Korea Scope in (Only LE) 3 2" xfId="16606" xr:uid="{00000000-0005-0000-0000-0000D5400000}"/>
    <cellStyle name="_Data_Personalplanung_B.IV.r_ZBB Budget 2009 Decks_with Korea Scope in (Only LE) 4" xfId="16607" xr:uid="{00000000-0005-0000-0000-0000D6400000}"/>
    <cellStyle name="_Data_Personalplanung_B.IV.r_ZBB Budget 2009 Decks_with Korea Scope in (Only LE) 5" xfId="16608" xr:uid="{00000000-0005-0000-0000-0000D7400000}"/>
    <cellStyle name="_Data_Personalplanung_BGT 08 Templates Sales  Marketing - final (revised)" xfId="16609" xr:uid="{00000000-0005-0000-0000-0000D8400000}"/>
    <cellStyle name="_Data_Personalplanung_BGT 08 Templates Sales  Marketing - final (revised) 2" xfId="16610" xr:uid="{00000000-0005-0000-0000-0000D9400000}"/>
    <cellStyle name="_Data_Personalplanung_BGT 08 Templates Sales  Marketing - final (revised) 2 2" xfId="16611" xr:uid="{00000000-0005-0000-0000-0000DA400000}"/>
    <cellStyle name="_Data_Personalplanung_Book5" xfId="16612" xr:uid="{00000000-0005-0000-0000-0000DB400000}"/>
    <cellStyle name="_Data_Personalplanung_Book5 2" xfId="16613" xr:uid="{00000000-0005-0000-0000-0000DC400000}"/>
    <cellStyle name="_Data_Personalplanung_Book5 2 2" xfId="16614" xr:uid="{00000000-0005-0000-0000-0000DD400000}"/>
    <cellStyle name="_Data_Personalplanung_Bplan RD 1001" xfId="16615" xr:uid="{00000000-0005-0000-0000-0000DE400000}"/>
    <cellStyle name="_Data_Personalplanung_Bplan RD 1001 2" xfId="16616" xr:uid="{00000000-0005-0000-0000-0000DF400000}"/>
    <cellStyle name="_Data_Personalplanung_Bplan RD 1001 2 2" xfId="16617" xr:uid="{00000000-0005-0000-0000-0000E0400000}"/>
    <cellStyle name="_Data_Personalplanung_Copy of BGT 08 Templates Sales  Marketing - final (revised)" xfId="16618" xr:uid="{00000000-0005-0000-0000-0000E1400000}"/>
    <cellStyle name="_Data_Personalplanung_Copy of BGT 08 Templates Sales  Marketing - final (revised) 2" xfId="16619" xr:uid="{00000000-0005-0000-0000-0000E2400000}"/>
    <cellStyle name="_Data_Personalplanung_Copy of BGT 08 Templates Sales  Marketing - final (revised) 2 2" xfId="16620" xr:uid="{00000000-0005-0000-0000-0000E3400000}"/>
    <cellStyle name="_Data_Personalplanung_Excel sheets to support Market Program Template for Budget 09" xfId="16621" xr:uid="{00000000-0005-0000-0000-0000E4400000}"/>
    <cellStyle name="_Data_Personalplanung_Excel sheets to support Market Program Template for Budget 09 (5) (2)" xfId="16622" xr:uid="{00000000-0005-0000-0000-0000E5400000}"/>
    <cellStyle name="_Data_Personalplanung_Excel sheets to support Market Program Template for Budget 09 (5) (2) 2" xfId="16623" xr:uid="{00000000-0005-0000-0000-0000E6400000}"/>
    <cellStyle name="_Data_Personalplanung_Excel sheets to support Market Program Template for Budget 09 (5) (2) 2 2" xfId="16624" xr:uid="{00000000-0005-0000-0000-0000E7400000}"/>
    <cellStyle name="_Data_Personalplanung_Excel sheets to support Market Program Template for Budget 09 (5) (3)" xfId="16625" xr:uid="{00000000-0005-0000-0000-0000E8400000}"/>
    <cellStyle name="_Data_Personalplanung_Excel sheets to support Market Program Template for Budget 09 (5) (3) 2" xfId="16626" xr:uid="{00000000-0005-0000-0000-0000E9400000}"/>
    <cellStyle name="_Data_Personalplanung_Excel sheets to support Market Program Template for Budget 09 (5) (3) 2 2" xfId="16627" xr:uid="{00000000-0005-0000-0000-0000EA400000}"/>
    <cellStyle name="_Data_Personalplanung_Excel sheets to support Market Program Template for Budget 09 2" xfId="16628" xr:uid="{00000000-0005-0000-0000-0000EB400000}"/>
    <cellStyle name="_Data_Personalplanung_Excel sheets to support Market Program Template for Budget 09 2 2" xfId="16629" xr:uid="{00000000-0005-0000-0000-0000EC400000}"/>
    <cellStyle name="_Data_Personalplanung_Excel sheets to support Market Program Template for Budget 09 3" xfId="16630" xr:uid="{00000000-0005-0000-0000-0000ED400000}"/>
    <cellStyle name="_Data_Personalplanung_Excel sheets to support Market Program Template for Budget 09 3 2" xfId="16631" xr:uid="{00000000-0005-0000-0000-0000EE400000}"/>
    <cellStyle name="_Data_Personalplanung_Excel sheets to support Market Program Template for Budget 09 4" xfId="16632" xr:uid="{00000000-0005-0000-0000-0000EF400000}"/>
    <cellStyle name="_Data_Personalplanung_Excel sheets to support Market Program Template for Budget 09 5" xfId="16633" xr:uid="{00000000-0005-0000-0000-0000F0400000}"/>
    <cellStyle name="_Data_Personalplanung_Forecast Summary July v1" xfId="16634" xr:uid="{00000000-0005-0000-0000-0000F1400000}"/>
    <cellStyle name="_Data_Personalplanung_Forecast Summary July v1 2" xfId="16635" xr:uid="{00000000-0005-0000-0000-0000F2400000}"/>
    <cellStyle name="_Data_Personalplanung_Forecast Summary July v1 2 2" xfId="16636" xr:uid="{00000000-0005-0000-0000-0000F3400000}"/>
    <cellStyle name="_Data_Personalplanung_KPI-Dez02-Bremen Vorbereitungsdatei" xfId="16637" xr:uid="{00000000-0005-0000-0000-0000F4400000}"/>
    <cellStyle name="_Data_Personalplanung_KPI-Dez02-Bremen Vorbereitungsdatei 2" xfId="16638" xr:uid="{00000000-0005-0000-0000-0000F5400000}"/>
    <cellStyle name="_Data_Personalplanung_KPI-Dez02-Bremen Vorbereitungsdatei 2 2" xfId="16639" xr:uid="{00000000-0005-0000-0000-0000F6400000}"/>
    <cellStyle name="_Data_Personalplanung_KPI-Dez02-Bremen Vorbereitungsdatei_Copy of 081027 ZBB Budget 2009 Decks - People_Cherry_V4" xfId="16640" xr:uid="{00000000-0005-0000-0000-0000F7400000}"/>
    <cellStyle name="_Data_Personalplanung_KPI-Dez02-Bremen Vorbereitungsdatei_Copy of 081027 ZBB Budget 2009 Decks - People_Cherry_V4 2" xfId="16641" xr:uid="{00000000-0005-0000-0000-0000F8400000}"/>
    <cellStyle name="_Data_Personalplanung_KPI-Dez02-Bremen Vorbereitungsdatei_Copy of 081027 ZBB Budget 2009 Decks - People_Cherry_V4 2 2" xfId="16642" xr:uid="{00000000-0005-0000-0000-0000F9400000}"/>
    <cellStyle name="_Data_Personalplanung_KPI-Dez02-Bremen Vorbereitungsdatei_ZBB Budget 2009 Decks" xfId="16643" xr:uid="{00000000-0005-0000-0000-0000FA400000}"/>
    <cellStyle name="_Data_Personalplanung_KPI-Dez02-Bremen Vorbereitungsdatei_ZBB Budget 2009 Decks 2" xfId="16644" xr:uid="{00000000-0005-0000-0000-0000FB400000}"/>
    <cellStyle name="_Data_Personalplanung_KPI-Dez02-Bremen Vorbereitungsdatei_ZBB Budget 2009 Decks 2 2" xfId="16645" xr:uid="{00000000-0005-0000-0000-0000FC400000}"/>
    <cellStyle name="_Data_Personalplanung_KPI-Dez02-Bremen Vorbereitungsdatei_ZBB Budget 2009 Decks_with Korea Scope in (Only LE)" xfId="16646" xr:uid="{00000000-0005-0000-0000-0000FD400000}"/>
    <cellStyle name="_Data_Personalplanung_KPI-Dez02-Bremen Vorbereitungsdatei_ZBB Budget 2009 Decks_with Korea Scope in (Only LE) (2)" xfId="16647" xr:uid="{00000000-0005-0000-0000-0000FE400000}"/>
    <cellStyle name="_Data_Personalplanung_KPI-Dez02-Bremen Vorbereitungsdatei_ZBB Budget 2009 Decks_with Korea Scope in (Only LE) (2) 2" xfId="16648" xr:uid="{00000000-0005-0000-0000-0000FF400000}"/>
    <cellStyle name="_Data_Personalplanung_KPI-Dez02-Bremen Vorbereitungsdatei_ZBB Budget 2009 Decks_with Korea Scope in (Only LE) (2) 2 2" xfId="16649" xr:uid="{00000000-0005-0000-0000-000000410000}"/>
    <cellStyle name="_Data_Personalplanung_KPI-Dez02-Bremen Vorbereitungsdatei_ZBB Budget 2009 Decks_with Korea Scope in (Only LE) 2" xfId="16650" xr:uid="{00000000-0005-0000-0000-000001410000}"/>
    <cellStyle name="_Data_Personalplanung_KPI-Dez02-Bremen Vorbereitungsdatei_ZBB Budget 2009 Decks_with Korea Scope in (Only LE) 2 2" xfId="16651" xr:uid="{00000000-0005-0000-0000-000002410000}"/>
    <cellStyle name="_Data_Personalplanung_KPI-Dez02-Bremen Vorbereitungsdatei_ZBB Budget 2009 Decks_with Korea Scope in (Only LE) 3" xfId="16652" xr:uid="{00000000-0005-0000-0000-000003410000}"/>
    <cellStyle name="_Data_Personalplanung_KPI-Dez02-Bremen Vorbereitungsdatei_ZBB Budget 2009 Decks_with Korea Scope in (Only LE) 3 2" xfId="16653" xr:uid="{00000000-0005-0000-0000-000004410000}"/>
    <cellStyle name="_Data_Personalplanung_KPI-Dez02-Bremen Vorbereitungsdatei_ZBB Budget 2009 Decks_with Korea Scope in (Only LE) 4" xfId="16654" xr:uid="{00000000-0005-0000-0000-000005410000}"/>
    <cellStyle name="_Data_Personalplanung_KPI-Dez02-Bremen Vorbereitungsdatei_ZBB Budget 2009 Decks_with Korea Scope in (Only LE) 5" xfId="16655" xr:uid="{00000000-0005-0000-0000-000006410000}"/>
    <cellStyle name="_Data_Personalplanung_LE Ebitda RD Feb-10 v2" xfId="16656" xr:uid="{00000000-0005-0000-0000-000007410000}"/>
    <cellStyle name="_Data_Personalplanung_LE Ebitda RD Feb-10 v2 2" xfId="16657" xr:uid="{00000000-0005-0000-0000-000008410000}"/>
    <cellStyle name="_Data_Personalplanung_LE Ebitda RD Feb-10 v2 2 2" xfId="16658" xr:uid="{00000000-0005-0000-0000-000009410000}"/>
    <cellStyle name="_Data_Personalplanung_People Package" xfId="16659" xr:uid="{00000000-0005-0000-0000-00000A410000}"/>
    <cellStyle name="_Data_Personalplanung_People Package (2)" xfId="16660" xr:uid="{00000000-0005-0000-0000-00000B410000}"/>
    <cellStyle name="_Data_Personalplanung_People Package (2) 2" xfId="16661" xr:uid="{00000000-0005-0000-0000-00000C410000}"/>
    <cellStyle name="_Data_Personalplanung_People Package (2) 2 2" xfId="16662" xr:uid="{00000000-0005-0000-0000-00000D410000}"/>
    <cellStyle name="_Data_Personalplanung_People Package 2" xfId="16663" xr:uid="{00000000-0005-0000-0000-00000E410000}"/>
    <cellStyle name="_Data_Personalplanung_People Package 2 2" xfId="16664" xr:uid="{00000000-0005-0000-0000-00000F410000}"/>
    <cellStyle name="_Data_Personalplanung_People Package 3" xfId="16665" xr:uid="{00000000-0005-0000-0000-000010410000}"/>
    <cellStyle name="_Data_Personalplanung_People Package 3 2" xfId="16666" xr:uid="{00000000-0005-0000-0000-000011410000}"/>
    <cellStyle name="_Data_Personalplanung_People Package 4" xfId="16667" xr:uid="{00000000-0005-0000-0000-000012410000}"/>
    <cellStyle name="_Data_Personalplanung_People Package 5" xfId="16668" xr:uid="{00000000-0005-0000-0000-000013410000}"/>
    <cellStyle name="_Data_Personalplanung_Rest" xfId="16669" xr:uid="{00000000-0005-0000-0000-000014410000}"/>
    <cellStyle name="_Data_Personalplanung_Rest 2" xfId="16670" xr:uid="{00000000-0005-0000-0000-000015410000}"/>
    <cellStyle name="_Data_Personalplanung_Rest 2 2" xfId="16671" xr:uid="{00000000-0005-0000-0000-000016410000}"/>
    <cellStyle name="_Data_Personalplanung_Rest_Copy of 081027 ZBB Budget 2009 Decks - People_Cherry_V4" xfId="16672" xr:uid="{00000000-0005-0000-0000-000017410000}"/>
    <cellStyle name="_Data_Personalplanung_Rest_Copy of 081027 ZBB Budget 2009 Decks - People_Cherry_V4 2" xfId="16673" xr:uid="{00000000-0005-0000-0000-000018410000}"/>
    <cellStyle name="_Data_Personalplanung_Rest_Copy of 081027 ZBB Budget 2009 Decks - People_Cherry_V4 2 2" xfId="16674" xr:uid="{00000000-0005-0000-0000-000019410000}"/>
    <cellStyle name="_Data_Personalplanung_Rest_ZBB Budget 2009 Decks" xfId="16675" xr:uid="{00000000-0005-0000-0000-00001A410000}"/>
    <cellStyle name="_Data_Personalplanung_Rest_ZBB Budget 2009 Decks 2" xfId="16676" xr:uid="{00000000-0005-0000-0000-00001B410000}"/>
    <cellStyle name="_Data_Personalplanung_Rest_ZBB Budget 2009 Decks 2 2" xfId="16677" xr:uid="{00000000-0005-0000-0000-00001C410000}"/>
    <cellStyle name="_Data_Personalplanung_Rest_ZBB Budget 2009 Decks_with Korea Scope in (Only LE)" xfId="16678" xr:uid="{00000000-0005-0000-0000-00001D410000}"/>
    <cellStyle name="_Data_Personalplanung_Rest_ZBB Budget 2009 Decks_with Korea Scope in (Only LE) (2)" xfId="16679" xr:uid="{00000000-0005-0000-0000-00001E410000}"/>
    <cellStyle name="_Data_Personalplanung_Rest_ZBB Budget 2009 Decks_with Korea Scope in (Only LE) (2) 2" xfId="16680" xr:uid="{00000000-0005-0000-0000-00001F410000}"/>
    <cellStyle name="_Data_Personalplanung_Rest_ZBB Budget 2009 Decks_with Korea Scope in (Only LE) (2) 2 2" xfId="16681" xr:uid="{00000000-0005-0000-0000-000020410000}"/>
    <cellStyle name="_Data_Personalplanung_Rest_ZBB Budget 2009 Decks_with Korea Scope in (Only LE) 2" xfId="16682" xr:uid="{00000000-0005-0000-0000-000021410000}"/>
    <cellStyle name="_Data_Personalplanung_Rest_ZBB Budget 2009 Decks_with Korea Scope in (Only LE) 2 2" xfId="16683" xr:uid="{00000000-0005-0000-0000-000022410000}"/>
    <cellStyle name="_Data_Personalplanung_Rest_ZBB Budget 2009 Decks_with Korea Scope in (Only LE) 3" xfId="16684" xr:uid="{00000000-0005-0000-0000-000023410000}"/>
    <cellStyle name="_Data_Personalplanung_Rest_ZBB Budget 2009 Decks_with Korea Scope in (Only LE) 3 2" xfId="16685" xr:uid="{00000000-0005-0000-0000-000024410000}"/>
    <cellStyle name="_Data_Personalplanung_Rest_ZBB Budget 2009 Decks_with Korea Scope in (Only LE) 4" xfId="16686" xr:uid="{00000000-0005-0000-0000-000025410000}"/>
    <cellStyle name="_Data_Personalplanung_Rest_ZBB Budget 2009 Decks_with Korea Scope in (Only LE) 5" xfId="16687" xr:uid="{00000000-0005-0000-0000-000026410000}"/>
    <cellStyle name="_Data_Personalplanung_Sales and Marketing - revised" xfId="16688" xr:uid="{00000000-0005-0000-0000-000027410000}"/>
    <cellStyle name="_Data_Personalplanung_Sales and Marketing - revised 2" xfId="16689" xr:uid="{00000000-0005-0000-0000-000028410000}"/>
    <cellStyle name="_Data_Personalplanung_Sales and Marketing - revised 2 2" xfId="16690" xr:uid="{00000000-0005-0000-0000-000029410000}"/>
    <cellStyle name="_Data_Personalplanung_Sim Ebitda LE 0909 v4" xfId="16691" xr:uid="{00000000-0005-0000-0000-00002A410000}"/>
    <cellStyle name="_Data_Personalplanung_Sim Ebitda LE 0909 v4 2" xfId="16692" xr:uid="{00000000-0005-0000-0000-00002B410000}"/>
    <cellStyle name="_Data_Personalplanung_Sim Ebitda LE 0909 v4 2 2" xfId="16693" xr:uid="{00000000-0005-0000-0000-00002C410000}"/>
    <cellStyle name="_Data_Personalplanung_Strom" xfId="16694" xr:uid="{00000000-0005-0000-0000-00002D410000}"/>
    <cellStyle name="_Data_Personalplanung_Strom 2" xfId="16695" xr:uid="{00000000-0005-0000-0000-00002E410000}"/>
    <cellStyle name="_Data_Personalplanung_Strom 2 2" xfId="16696" xr:uid="{00000000-0005-0000-0000-00002F410000}"/>
    <cellStyle name="_Data_Personalplanung_Strom_Copy of 081027 ZBB Budget 2009 Decks - People_Cherry_V4" xfId="16697" xr:uid="{00000000-0005-0000-0000-000030410000}"/>
    <cellStyle name="_Data_Personalplanung_Strom_Copy of 081027 ZBB Budget 2009 Decks - People_Cherry_V4 2" xfId="16698" xr:uid="{00000000-0005-0000-0000-000031410000}"/>
    <cellStyle name="_Data_Personalplanung_Strom_Copy of 081027 ZBB Budget 2009 Decks - People_Cherry_V4 2 2" xfId="16699" xr:uid="{00000000-0005-0000-0000-000032410000}"/>
    <cellStyle name="_Data_Personalplanung_Strom_ZBB Budget 2009 Decks" xfId="16700" xr:uid="{00000000-0005-0000-0000-000033410000}"/>
    <cellStyle name="_Data_Personalplanung_Strom_ZBB Budget 2009 Decks 2" xfId="16701" xr:uid="{00000000-0005-0000-0000-000034410000}"/>
    <cellStyle name="_Data_Personalplanung_Strom_ZBB Budget 2009 Decks 2 2" xfId="16702" xr:uid="{00000000-0005-0000-0000-000035410000}"/>
    <cellStyle name="_Data_Personalplanung_Strom_ZBB Budget 2009 Decks_with Korea Scope in (Only LE)" xfId="16703" xr:uid="{00000000-0005-0000-0000-000036410000}"/>
    <cellStyle name="_Data_Personalplanung_Strom_ZBB Budget 2009 Decks_with Korea Scope in (Only LE) (2)" xfId="16704" xr:uid="{00000000-0005-0000-0000-000037410000}"/>
    <cellStyle name="_Data_Personalplanung_Strom_ZBB Budget 2009 Decks_with Korea Scope in (Only LE) (2) 2" xfId="16705" xr:uid="{00000000-0005-0000-0000-000038410000}"/>
    <cellStyle name="_Data_Personalplanung_Strom_ZBB Budget 2009 Decks_with Korea Scope in (Only LE) (2) 2 2" xfId="16706" xr:uid="{00000000-0005-0000-0000-000039410000}"/>
    <cellStyle name="_Data_Personalplanung_Strom_ZBB Budget 2009 Decks_with Korea Scope in (Only LE) 2" xfId="16707" xr:uid="{00000000-0005-0000-0000-00003A410000}"/>
    <cellStyle name="_Data_Personalplanung_Strom_ZBB Budget 2009 Decks_with Korea Scope in (Only LE) 2 2" xfId="16708" xr:uid="{00000000-0005-0000-0000-00003B410000}"/>
    <cellStyle name="_Data_Personalplanung_Strom_ZBB Budget 2009 Decks_with Korea Scope in (Only LE) 3" xfId="16709" xr:uid="{00000000-0005-0000-0000-00003C410000}"/>
    <cellStyle name="_Data_Personalplanung_Strom_ZBB Budget 2009 Decks_with Korea Scope in (Only LE) 3 2" xfId="16710" xr:uid="{00000000-0005-0000-0000-00003D410000}"/>
    <cellStyle name="_Data_Personalplanung_Strom_ZBB Budget 2009 Decks_with Korea Scope in (Only LE) 4" xfId="16711" xr:uid="{00000000-0005-0000-0000-00003E410000}"/>
    <cellStyle name="_Data_Personalplanung_Strom_ZBB Budget 2009 Decks_with Korea Scope in (Only LE) 5" xfId="16712" xr:uid="{00000000-0005-0000-0000-00003F410000}"/>
    <cellStyle name="_Data_Personalplanung_WF Ebitda RD Abr-10" xfId="16713" xr:uid="{00000000-0005-0000-0000-000040410000}"/>
    <cellStyle name="_Data_Personalplanung_WF Ebitda RD Abr-10 2" xfId="16714" xr:uid="{00000000-0005-0000-0000-000041410000}"/>
    <cellStyle name="_Data_Personalplanung_WF Ebitda RD Abr-10 2 2" xfId="16715" xr:uid="{00000000-0005-0000-0000-000042410000}"/>
    <cellStyle name="_Data_Personalplanung_WF Ebitda Sep09" xfId="16716" xr:uid="{00000000-0005-0000-0000-000043410000}"/>
    <cellStyle name="_Data_Personalplanung_WF Ebitda Sep09 2" xfId="16717" xr:uid="{00000000-0005-0000-0000-000044410000}"/>
    <cellStyle name="_Data_Personalplanung_WF Ebitda Sep09 2 2" xfId="16718" xr:uid="{00000000-0005-0000-0000-000045410000}"/>
    <cellStyle name="_Data_Personalplanung_ZBB" xfId="16719" xr:uid="{00000000-0005-0000-0000-000046410000}"/>
    <cellStyle name="_Data_Personalplanung_ZBB 2" xfId="16720" xr:uid="{00000000-0005-0000-0000-000047410000}"/>
    <cellStyle name="_Data_Personalplanung_ZBB 2 2" xfId="16721" xr:uid="{00000000-0005-0000-0000-000048410000}"/>
    <cellStyle name="_Data_RD" xfId="16722" xr:uid="{00000000-0005-0000-0000-000049410000}"/>
    <cellStyle name="_Data_RD 2" xfId="16723" xr:uid="{00000000-0005-0000-0000-00004A410000}"/>
    <cellStyle name="_Data_RD 2 2" xfId="16724" xr:uid="{00000000-0005-0000-0000-00004B410000}"/>
    <cellStyle name="_Data_RD ML" xfId="16725" xr:uid="{00000000-0005-0000-0000-00004C410000}"/>
    <cellStyle name="_Data_RD ML 2" xfId="16726" xr:uid="{00000000-0005-0000-0000-00004D410000}"/>
    <cellStyle name="_Data_RD ML 2 2" xfId="16727" xr:uid="{00000000-0005-0000-0000-00004E410000}"/>
    <cellStyle name="_Data_RD USD" xfId="16728" xr:uid="{00000000-0005-0000-0000-00004F410000}"/>
    <cellStyle name="_Data_RD USD 2" xfId="16729" xr:uid="{00000000-0005-0000-0000-000050410000}"/>
    <cellStyle name="_Data_RD USD 2 2" xfId="16730" xr:uid="{00000000-0005-0000-0000-000051410000}"/>
    <cellStyle name="_DATA_Reference salaries CEE 2007" xfId="16731" xr:uid="{00000000-0005-0000-0000-000052410000}"/>
    <cellStyle name="_DATA_Reference salaries CEE 2007 2" xfId="16732" xr:uid="{00000000-0005-0000-0000-000053410000}"/>
    <cellStyle name="_DATA_Reference salaries CEE 2007 2 2" xfId="16733" xr:uid="{00000000-0005-0000-0000-000054410000}"/>
    <cellStyle name="_DATA_Reference salaries CEE 2007 3" xfId="16734" xr:uid="{00000000-0005-0000-0000-000055410000}"/>
    <cellStyle name="_DATA_Reference salaries CEE 2007_ZBB Budget 2009 Decks v2 china" xfId="16735" xr:uid="{00000000-0005-0000-0000-000056410000}"/>
    <cellStyle name="_DATA_Reference salaries CEE 2007_ZBB Budget 2009 Decks v2 china 2" xfId="16736" xr:uid="{00000000-0005-0000-0000-000057410000}"/>
    <cellStyle name="_DATA_Reference salaries CEE 2007_ZBB Budget 2009 Decks v2 china 2 2" xfId="16737" xr:uid="{00000000-0005-0000-0000-000058410000}"/>
    <cellStyle name="_DATA_Reference salaries CEE 2007_ZBB Budget 2009 Decks v2 china 2 2 2" xfId="16738" xr:uid="{00000000-0005-0000-0000-000059410000}"/>
    <cellStyle name="_DATA_Reference salaries CEE 2007_ZBB Budget 2009 Decks v2 china 2 3" xfId="16739" xr:uid="{00000000-0005-0000-0000-00005A410000}"/>
    <cellStyle name="_DATA_Reference salaries CEE 2007_ZBB Budget 2009 Decks v2 china 3" xfId="16740" xr:uid="{00000000-0005-0000-0000-00005B410000}"/>
    <cellStyle name="_DATA_Reference salaries CEE 2007_ZBB Budget 2009 Decks v2 china 3 2" xfId="16741" xr:uid="{00000000-0005-0000-0000-00005C410000}"/>
    <cellStyle name="_DATA_Reference salaries CEE 2007_ZBB Budget 2009 Decks v2 china 4" xfId="16742" xr:uid="{00000000-0005-0000-0000-00005D410000}"/>
    <cellStyle name="_DATA_Reference salaries CEE 2007_ZBB standard Template Korea_081105" xfId="16743" xr:uid="{00000000-0005-0000-0000-00005E410000}"/>
    <cellStyle name="_DATA_Reference salaries CEE 2007_ZBB standard Template Korea_081105 2" xfId="16744" xr:uid="{00000000-0005-0000-0000-00005F410000}"/>
    <cellStyle name="_DATA_Reference salaries CEE 2007_ZBB standard Template Korea_081105 2 2" xfId="16745" xr:uid="{00000000-0005-0000-0000-000060410000}"/>
    <cellStyle name="_DATA_Reference salaries CEE 2007_ZBB standard Template Korea_081105 2 2 2" xfId="16746" xr:uid="{00000000-0005-0000-0000-000061410000}"/>
    <cellStyle name="_DATA_Reference salaries CEE 2007_ZBB standard Template Korea_081105 2 3" xfId="16747" xr:uid="{00000000-0005-0000-0000-000062410000}"/>
    <cellStyle name="_DATA_Reference salaries CEE 2007_ZBB standard Template Korea_081105 3" xfId="16748" xr:uid="{00000000-0005-0000-0000-000063410000}"/>
    <cellStyle name="_DATA_Reference salaries CEE 2007_ZBB standard Template Korea_081105 3 2" xfId="16749" xr:uid="{00000000-0005-0000-0000-000064410000}"/>
    <cellStyle name="_DATA_Reference salaries CEE 2007_ZBB standard Template Korea_081105 4" xfId="16750" xr:uid="{00000000-0005-0000-0000-000065410000}"/>
    <cellStyle name="_Data_Rohstoffverbr. Stand 12-00" xfId="16751" xr:uid="{00000000-0005-0000-0000-000066410000}"/>
    <cellStyle name="_Data_Rohstoffverbr. Stand 12-00 2" xfId="16752" xr:uid="{00000000-0005-0000-0000-000067410000}"/>
    <cellStyle name="_Data_Rohstoffverbr. Stand 12-00 2 2" xfId="16753" xr:uid="{00000000-0005-0000-0000-000068410000}"/>
    <cellStyle name="_Data_Rohstoffverbr. Stand 12-00 2 2 2" xfId="16754" xr:uid="{00000000-0005-0000-0000-000069410000}"/>
    <cellStyle name="_Data_Rohstoffverbr. Stand 12-00 2 3" xfId="16755" xr:uid="{00000000-0005-0000-0000-00006A410000}"/>
    <cellStyle name="_Data_Rohstoffverbr. Stand 12-00 2 4" xfId="16756" xr:uid="{00000000-0005-0000-0000-00006B410000}"/>
    <cellStyle name="_Data_Rohstoffverbr. Stand 12-00 3" xfId="16757" xr:uid="{00000000-0005-0000-0000-00006C410000}"/>
    <cellStyle name="_Data_Rohstoffverbr. Stand 12-00 3 2" xfId="16758" xr:uid="{00000000-0005-0000-0000-00006D410000}"/>
    <cellStyle name="_Data_Rohstoffverbr. Stand 12-00_010808 Market Programs  for Budget Deck" xfId="16759" xr:uid="{00000000-0005-0000-0000-00006E410000}"/>
    <cellStyle name="_Data_Rohstoffverbr. Stand 12-00_010808 Market Programs  for Budget Deck 2" xfId="16760" xr:uid="{00000000-0005-0000-0000-00006F410000}"/>
    <cellStyle name="_Data_Rohstoffverbr. Stand 12-00_010808 Market Programs  for Budget Deck 2 2" xfId="16761" xr:uid="{00000000-0005-0000-0000-000070410000}"/>
    <cellStyle name="_Data_Rohstoffverbr. Stand 12-00_0908 Gabarito exchange rate" xfId="16762" xr:uid="{00000000-0005-0000-0000-000071410000}"/>
    <cellStyle name="_Data_Rohstoffverbr. Stand 12-00_0908 Gabarito exchange rate 2" xfId="16763" xr:uid="{00000000-0005-0000-0000-000072410000}"/>
    <cellStyle name="_Data_Rohstoffverbr. Stand 12-00_0908 Gabarito exchange rate 2 2" xfId="16764" xr:uid="{00000000-0005-0000-0000-000073410000}"/>
    <cellStyle name="_Data_Rohstoffverbr. Stand 12-00_0908 Gabarito exchange rate 3" xfId="16765" xr:uid="{00000000-0005-0000-0000-000074410000}"/>
    <cellStyle name="_Data_Rohstoffverbr. Stand 12-00_0908 Gabarito exchange rate 4" xfId="16766" xr:uid="{00000000-0005-0000-0000-000075410000}"/>
    <cellStyle name="_Data_Rohstoffverbr. Stand 12-00_BGT 08 Templates Sales  Marketing - final (revised)" xfId="16767" xr:uid="{00000000-0005-0000-0000-000076410000}"/>
    <cellStyle name="_Data_Rohstoffverbr. Stand 12-00_BGT 08 Templates Sales  Marketing - final (revised) 2" xfId="16768" xr:uid="{00000000-0005-0000-0000-000077410000}"/>
    <cellStyle name="_Data_Rohstoffverbr. Stand 12-00_BGT 08 Templates Sales  Marketing - final (revised) 2 2" xfId="16769" xr:uid="{00000000-0005-0000-0000-000078410000}"/>
    <cellStyle name="_Data_Rohstoffverbr. Stand 12-00_BGT 08 Templates Sales  Marketing - final (revised) 3" xfId="16770" xr:uid="{00000000-0005-0000-0000-000079410000}"/>
    <cellStyle name="_Data_Rohstoffverbr. Stand 12-00_BGT 08 Templates Sales  Marketing - final (revised) 4" xfId="16771" xr:uid="{00000000-0005-0000-0000-00007A410000}"/>
    <cellStyle name="_Data_Rohstoffverbr. Stand 12-00_BGT 08 templates, Sales &amp; Marketing - draft com alterações" xfId="16772" xr:uid="{00000000-0005-0000-0000-00007B410000}"/>
    <cellStyle name="_Data_Rohstoffverbr. Stand 12-00_BGT 08 templates, Sales &amp; Marketing - draft com alterações 2" xfId="16773" xr:uid="{00000000-0005-0000-0000-00007C410000}"/>
    <cellStyle name="_Data_Rohstoffverbr. Stand 12-00_BGT 08 templates, Sales &amp; Marketing - draft com alterações 2 2" xfId="16774" xr:uid="{00000000-0005-0000-0000-00007D410000}"/>
    <cellStyle name="_Data_Rohstoffverbr. Stand 12-00_BGT 08 templates, Sales &amp; Marketing - draft com alterações 3" xfId="16775" xr:uid="{00000000-0005-0000-0000-00007E410000}"/>
    <cellStyle name="_Data_Rohstoffverbr. Stand 12-00_BGT 08 templates, Sales &amp; Marketing - draft com alterações 4" xfId="16776" xr:uid="{00000000-0005-0000-0000-00007F410000}"/>
    <cellStyle name="_Data_Rohstoffverbr. Stand 12-00_Book5" xfId="16777" xr:uid="{00000000-0005-0000-0000-000080410000}"/>
    <cellStyle name="_Data_Rohstoffverbr. Stand 12-00_Book5 2" xfId="16778" xr:uid="{00000000-0005-0000-0000-000081410000}"/>
    <cellStyle name="_Data_Rohstoffverbr. Stand 12-00_Book5 2 2" xfId="16779" xr:uid="{00000000-0005-0000-0000-000082410000}"/>
    <cellStyle name="_Data_Rohstoffverbr. Stand 12-00_Book5 3" xfId="16780" xr:uid="{00000000-0005-0000-0000-000083410000}"/>
    <cellStyle name="_Data_Rohstoffverbr. Stand 12-00_Book5 4" xfId="16781" xr:uid="{00000000-0005-0000-0000-000084410000}"/>
    <cellStyle name="_Data_Rohstoffverbr. Stand 12-00_Bplan RD 1001" xfId="16782" xr:uid="{00000000-0005-0000-0000-000085410000}"/>
    <cellStyle name="_Data_Rohstoffverbr. Stand 12-00_Bplan RD 1001 2" xfId="16783" xr:uid="{00000000-0005-0000-0000-000086410000}"/>
    <cellStyle name="_Data_Rohstoffverbr. Stand 12-00_Bplan RD 1001 2 2" xfId="16784" xr:uid="{00000000-0005-0000-0000-000087410000}"/>
    <cellStyle name="_Data_Rohstoffverbr. Stand 12-00_Bplan RD 1001 3" xfId="16785" xr:uid="{00000000-0005-0000-0000-000088410000}"/>
    <cellStyle name="_Data_Rohstoffverbr. Stand 12-00_Bplan RD 1001 4" xfId="16786" xr:uid="{00000000-0005-0000-0000-000089410000}"/>
    <cellStyle name="_Data_Rohstoffverbr. Stand 12-00_Copy of 081027 ZBB Budget 2009 Decks - People_Cherry_V4" xfId="16787" xr:uid="{00000000-0005-0000-0000-00008A410000}"/>
    <cellStyle name="_Data_Rohstoffverbr. Stand 12-00_Copy of 081027 ZBB Budget 2009 Decks - People_Cherry_V4 2" xfId="16788" xr:uid="{00000000-0005-0000-0000-00008B410000}"/>
    <cellStyle name="_Data_Rohstoffverbr. Stand 12-00_Copy of 081027 ZBB Budget 2009 Decks - People_Cherry_V4 2 2" xfId="16789" xr:uid="{00000000-0005-0000-0000-00008C410000}"/>
    <cellStyle name="_Data_Rohstoffverbr. Stand 12-00_Copy of BGT 08 Templates Sales  Marketing - final (revised)" xfId="16790" xr:uid="{00000000-0005-0000-0000-00008D410000}"/>
    <cellStyle name="_Data_Rohstoffverbr. Stand 12-00_Copy of BGT 08 Templates Sales  Marketing - final (revised) 2" xfId="16791" xr:uid="{00000000-0005-0000-0000-00008E410000}"/>
    <cellStyle name="_Data_Rohstoffverbr. Stand 12-00_Copy of BGT 08 Templates Sales  Marketing - final (revised) 2 2" xfId="16792" xr:uid="{00000000-0005-0000-0000-00008F410000}"/>
    <cellStyle name="_Data_Rohstoffverbr. Stand 12-00_Copy of BGT 08 Templates Sales  Marketing - final (revised) 3" xfId="16793" xr:uid="{00000000-0005-0000-0000-000090410000}"/>
    <cellStyle name="_Data_Rohstoffverbr. Stand 12-00_Copy of BGT 08 Templates Sales  Marketing - final (revised) 4" xfId="16794" xr:uid="{00000000-0005-0000-0000-000091410000}"/>
    <cellStyle name="_Data_Rohstoffverbr. Stand 12-00_Excel sheets to support Market Program Template for Budget 09 (5) (2)" xfId="16795" xr:uid="{00000000-0005-0000-0000-000092410000}"/>
    <cellStyle name="_Data_Rohstoffverbr. Stand 12-00_Excel sheets to support Market Program Template for Budget 09 (5) (2) 2" xfId="16796" xr:uid="{00000000-0005-0000-0000-000093410000}"/>
    <cellStyle name="_Data_Rohstoffverbr. Stand 12-00_Excel sheets to support Market Program Template for Budget 09 (5) (2) 2 2" xfId="16797" xr:uid="{00000000-0005-0000-0000-000094410000}"/>
    <cellStyle name="_Data_Rohstoffverbr. Stand 12-00_Excel sheets to support Market Program Template for Budget 09 (5) (3)" xfId="16798" xr:uid="{00000000-0005-0000-0000-000095410000}"/>
    <cellStyle name="_Data_Rohstoffverbr. Stand 12-00_Excel sheets to support Market Program Template for Budget 09 (5) (3) 2" xfId="16799" xr:uid="{00000000-0005-0000-0000-000096410000}"/>
    <cellStyle name="_Data_Rohstoffverbr. Stand 12-00_Excel sheets to support Market Program Template for Budget 09 (5) (3) 2 2" xfId="16800" xr:uid="{00000000-0005-0000-0000-000097410000}"/>
    <cellStyle name="_Data_Rohstoffverbr. Stand 12-00_LE Ebitda RD Feb-10 v2" xfId="16801" xr:uid="{00000000-0005-0000-0000-000098410000}"/>
    <cellStyle name="_Data_Rohstoffverbr. Stand 12-00_LE Ebitda RD Feb-10 v2 2" xfId="16802" xr:uid="{00000000-0005-0000-0000-000099410000}"/>
    <cellStyle name="_Data_Rohstoffverbr. Stand 12-00_LE Ebitda RD Feb-10 v2 2 2" xfId="16803" xr:uid="{00000000-0005-0000-0000-00009A410000}"/>
    <cellStyle name="_Data_Rohstoffverbr. Stand 12-00_People Package" xfId="16804" xr:uid="{00000000-0005-0000-0000-00009B410000}"/>
    <cellStyle name="_Data_Rohstoffverbr. Stand 12-00_People Package (2)" xfId="16805" xr:uid="{00000000-0005-0000-0000-00009C410000}"/>
    <cellStyle name="_Data_Rohstoffverbr. Stand 12-00_People Package (2) 2" xfId="16806" xr:uid="{00000000-0005-0000-0000-00009D410000}"/>
    <cellStyle name="_Data_Rohstoffverbr. Stand 12-00_People Package (2) 2 2" xfId="16807" xr:uid="{00000000-0005-0000-0000-00009E410000}"/>
    <cellStyle name="_Data_Rohstoffverbr. Stand 12-00_People Package 2" xfId="16808" xr:uid="{00000000-0005-0000-0000-00009F410000}"/>
    <cellStyle name="_Data_Rohstoffverbr. Stand 12-00_People Package 2 2" xfId="16809" xr:uid="{00000000-0005-0000-0000-0000A0410000}"/>
    <cellStyle name="_Data_Rohstoffverbr. Stand 12-00_People Package 3" xfId="16810" xr:uid="{00000000-0005-0000-0000-0000A1410000}"/>
    <cellStyle name="_Data_Rohstoffverbr. Stand 12-00_People Package 3 2" xfId="16811" xr:uid="{00000000-0005-0000-0000-0000A2410000}"/>
    <cellStyle name="_Data_Rohstoffverbr. Stand 12-00_People Package 4" xfId="16812" xr:uid="{00000000-0005-0000-0000-0000A3410000}"/>
    <cellStyle name="_Data_Rohstoffverbr. Stand 12-00_People Package 5" xfId="16813" xr:uid="{00000000-0005-0000-0000-0000A4410000}"/>
    <cellStyle name="_Data_Rohstoffverbr. Stand 12-00_Sales and Marketing - revised" xfId="16814" xr:uid="{00000000-0005-0000-0000-0000A5410000}"/>
    <cellStyle name="_Data_Rohstoffverbr. Stand 12-00_Sales and Marketing - revised 2" xfId="16815" xr:uid="{00000000-0005-0000-0000-0000A6410000}"/>
    <cellStyle name="_Data_Rohstoffverbr. Stand 12-00_Sales and Marketing - revised 2 2" xfId="16816" xr:uid="{00000000-0005-0000-0000-0000A7410000}"/>
    <cellStyle name="_Data_Rohstoffverbr. Stand 12-00_Sales and Marketing - revised 3" xfId="16817" xr:uid="{00000000-0005-0000-0000-0000A8410000}"/>
    <cellStyle name="_Data_Rohstoffverbr. Stand 12-00_Sales and Marketing - revised 4" xfId="16818" xr:uid="{00000000-0005-0000-0000-0000A9410000}"/>
    <cellStyle name="_Data_Rohstoffverbr. Stand 12-00_Sim Ebitda LE 0909 v4" xfId="16819" xr:uid="{00000000-0005-0000-0000-0000AA410000}"/>
    <cellStyle name="_Data_Rohstoffverbr. Stand 12-00_Sim Ebitda LE 0909 v4 2" xfId="16820" xr:uid="{00000000-0005-0000-0000-0000AB410000}"/>
    <cellStyle name="_Data_Rohstoffverbr. Stand 12-00_Sim Ebitda LE 0909 v4 2 2" xfId="16821" xr:uid="{00000000-0005-0000-0000-0000AC410000}"/>
    <cellStyle name="_Data_Rohstoffverbr. Stand 12-00_Sim Ebitda LE 0909 v4 3" xfId="16822" xr:uid="{00000000-0005-0000-0000-0000AD410000}"/>
    <cellStyle name="_Data_Rohstoffverbr. Stand 12-00_Sim Ebitda LE 0909 v4 4" xfId="16823" xr:uid="{00000000-0005-0000-0000-0000AE410000}"/>
    <cellStyle name="_Data_Rohstoffverbr. Stand 12-00_WF Ebitda RD Abr-10" xfId="16824" xr:uid="{00000000-0005-0000-0000-0000AF410000}"/>
    <cellStyle name="_Data_Rohstoffverbr. Stand 12-00_WF Ebitda RD Abr-10 2" xfId="16825" xr:uid="{00000000-0005-0000-0000-0000B0410000}"/>
    <cellStyle name="_Data_Rohstoffverbr. Stand 12-00_WF Ebitda RD Abr-10 2 2" xfId="16826" xr:uid="{00000000-0005-0000-0000-0000B1410000}"/>
    <cellStyle name="_Data_Rohstoffverbr. Stand 12-00_WF Ebitda Sep09" xfId="16827" xr:uid="{00000000-0005-0000-0000-0000B2410000}"/>
    <cellStyle name="_Data_Rohstoffverbr. Stand 12-00_WF Ebitda Sep09 2" xfId="16828" xr:uid="{00000000-0005-0000-0000-0000B3410000}"/>
    <cellStyle name="_Data_Rohstoffverbr. Stand 12-00_WF Ebitda Sep09 2 2" xfId="16829" xr:uid="{00000000-0005-0000-0000-0000B4410000}"/>
    <cellStyle name="_Data_Rohstoffverbr. Stand 12-00_ZBB" xfId="16830" xr:uid="{00000000-0005-0000-0000-0000B5410000}"/>
    <cellStyle name="_Data_Rohstoffverbr. Stand 12-00_ZBB 2" xfId="16831" xr:uid="{00000000-0005-0000-0000-0000B6410000}"/>
    <cellStyle name="_Data_Rohstoffverbr. Stand 12-00_ZBB 2 2" xfId="16832" xr:uid="{00000000-0005-0000-0000-0000B7410000}"/>
    <cellStyle name="_Data_Rohstoffverbr. Stand 12-00_ZBB Budget 2009 Decks" xfId="16833" xr:uid="{00000000-0005-0000-0000-0000B8410000}"/>
    <cellStyle name="_Data_Rohstoffverbr. Stand 12-00_ZBB Budget 2009 Decks 2" xfId="16834" xr:uid="{00000000-0005-0000-0000-0000B9410000}"/>
    <cellStyle name="_Data_Rohstoffverbr. Stand 12-00_ZBB Budget 2009 Decks 2 2" xfId="16835" xr:uid="{00000000-0005-0000-0000-0000BA410000}"/>
    <cellStyle name="_Data_Rohstoffverbr. Stand 12-00_ZBB Budget 2009 Decks_with Korea Scope in (Only LE)" xfId="16836" xr:uid="{00000000-0005-0000-0000-0000BB410000}"/>
    <cellStyle name="_Data_Rohstoffverbr. Stand 12-00_ZBB Budget 2009 Decks_with Korea Scope in (Only LE) (2)" xfId="16837" xr:uid="{00000000-0005-0000-0000-0000BC410000}"/>
    <cellStyle name="_Data_Rohstoffverbr. Stand 12-00_ZBB Budget 2009 Decks_with Korea Scope in (Only LE) (2) 2" xfId="16838" xr:uid="{00000000-0005-0000-0000-0000BD410000}"/>
    <cellStyle name="_Data_Rohstoffverbr. Stand 12-00_ZBB Budget 2009 Decks_with Korea Scope in (Only LE) (2) 2 2" xfId="16839" xr:uid="{00000000-0005-0000-0000-0000BE410000}"/>
    <cellStyle name="_Data_Rohstoffverbr. Stand 12-00_ZBB Budget 2009 Decks_with Korea Scope in (Only LE) 2" xfId="16840" xr:uid="{00000000-0005-0000-0000-0000BF410000}"/>
    <cellStyle name="_Data_Rohstoffverbr. Stand 12-00_ZBB Budget 2009 Decks_with Korea Scope in (Only LE) 2 2" xfId="16841" xr:uid="{00000000-0005-0000-0000-0000C0410000}"/>
    <cellStyle name="_Data_Rohstoffverbr. Stand 12-00_ZBB Budget 2009 Decks_with Korea Scope in (Only LE) 3" xfId="16842" xr:uid="{00000000-0005-0000-0000-0000C1410000}"/>
    <cellStyle name="_Data_Rohstoffverbr. Stand 12-00_ZBB Budget 2009 Decks_with Korea Scope in (Only LE) 3 2" xfId="16843" xr:uid="{00000000-0005-0000-0000-0000C2410000}"/>
    <cellStyle name="_Data_Rohstoffverbr. Stand 12-00_ZBB Budget 2009 Decks_with Korea Scope in (Only LE) 4" xfId="16844" xr:uid="{00000000-0005-0000-0000-0000C3410000}"/>
    <cellStyle name="_Data_Rohstoffverbr. Stand 12-00_ZBB Budget 2009 Decks_with Korea Scope in (Only LE) 5" xfId="16845" xr:uid="{00000000-0005-0000-0000-0000C4410000}"/>
    <cellStyle name="_Data_RW_Alea_Überleitung_IS_ohne AFA_021105" xfId="16846" xr:uid="{00000000-0005-0000-0000-0000C5410000}"/>
    <cellStyle name="_Data_RW_Alea_Überleitung_IS_ohne AFA_021105 2" xfId="16847" xr:uid="{00000000-0005-0000-0000-0000C6410000}"/>
    <cellStyle name="_Data_RW_Alea_Überleitung_IS_ohne AFA_021105 2 2" xfId="16848" xr:uid="{00000000-0005-0000-0000-0000C7410000}"/>
    <cellStyle name="_Data_RW_Alea_Überleitung_IS_ohne AFA_021105_Copy of 081027 ZBB Budget 2009 Decks - People_Cherry_V4" xfId="16849" xr:uid="{00000000-0005-0000-0000-0000C8410000}"/>
    <cellStyle name="_Data_RW_Alea_Überleitung_IS_ohne AFA_021105_Copy of 081027 ZBB Budget 2009 Decks - People_Cherry_V4 2" xfId="16850" xr:uid="{00000000-0005-0000-0000-0000C9410000}"/>
    <cellStyle name="_Data_RW_Alea_Überleitung_IS_ohne AFA_021105_Copy of 081027 ZBB Budget 2009 Decks - People_Cherry_V4 2 2" xfId="16851" xr:uid="{00000000-0005-0000-0000-0000CA410000}"/>
    <cellStyle name="_Data_RW_Alea_Überleitung_IS_ohne AFA_021105_GCoA final version" xfId="16852" xr:uid="{00000000-0005-0000-0000-0000CB410000}"/>
    <cellStyle name="_Data_RW_Alea_Überleitung_IS_ohne AFA_021105_GCoA final version 2" xfId="16853" xr:uid="{00000000-0005-0000-0000-0000CC410000}"/>
    <cellStyle name="_Data_RW_Alea_Überleitung_IS_ohne AFA_021105_GCoA final version 2 2" xfId="16854" xr:uid="{00000000-0005-0000-0000-0000CD410000}"/>
    <cellStyle name="_Data_RW_Alea_Überleitung_IS_ohne AFA_021105_GCoA final version_Copy of 081027 ZBB Budget 2009 Decks - People_Cherry_V4" xfId="16855" xr:uid="{00000000-0005-0000-0000-0000CE410000}"/>
    <cellStyle name="_Data_RW_Alea_Überleitung_IS_ohne AFA_021105_GCoA final version_Copy of 081027 ZBB Budget 2009 Decks - People_Cherry_V4 2" xfId="16856" xr:uid="{00000000-0005-0000-0000-0000CF410000}"/>
    <cellStyle name="_Data_RW_Alea_Überleitung_IS_ohne AFA_021105_GCoA final version_Copy of 081027 ZBB Budget 2009 Decks - People_Cherry_V4 2 2" xfId="16857" xr:uid="{00000000-0005-0000-0000-0000D0410000}"/>
    <cellStyle name="_Data_RW_Alea_Überleitung_IS_ohne AFA_021105_GCoA final version_ZBB Budget 2009 Decks" xfId="16858" xr:uid="{00000000-0005-0000-0000-0000D1410000}"/>
    <cellStyle name="_Data_RW_Alea_Überleitung_IS_ohne AFA_021105_GCoA final version_ZBB Budget 2009 Decks 2" xfId="16859" xr:uid="{00000000-0005-0000-0000-0000D2410000}"/>
    <cellStyle name="_Data_RW_Alea_Überleitung_IS_ohne AFA_021105_GCoA final version_ZBB Budget 2009 Decks 2 2" xfId="16860" xr:uid="{00000000-0005-0000-0000-0000D3410000}"/>
    <cellStyle name="_Data_RW_Alea_Überleitung_IS_ohne AFA_021105_GCoA final version_ZBB Budget 2009 Decks_with Korea Scope in (Only LE)" xfId="16861" xr:uid="{00000000-0005-0000-0000-0000D4410000}"/>
    <cellStyle name="_Data_RW_Alea_Überleitung_IS_ohne AFA_021105_GCoA final version_ZBB Budget 2009 Decks_with Korea Scope in (Only LE) (2)" xfId="16862" xr:uid="{00000000-0005-0000-0000-0000D5410000}"/>
    <cellStyle name="_Data_RW_Alea_Überleitung_IS_ohne AFA_021105_GCoA final version_ZBB Budget 2009 Decks_with Korea Scope in (Only LE) (2) 2" xfId="16863" xr:uid="{00000000-0005-0000-0000-0000D6410000}"/>
    <cellStyle name="_Data_RW_Alea_Überleitung_IS_ohne AFA_021105_GCoA final version_ZBB Budget 2009 Decks_with Korea Scope in (Only LE) (2) 2 2" xfId="16864" xr:uid="{00000000-0005-0000-0000-0000D7410000}"/>
    <cellStyle name="_Data_RW_Alea_Überleitung_IS_ohne AFA_021105_GCoA final version_ZBB Budget 2009 Decks_with Korea Scope in (Only LE) 2" xfId="16865" xr:uid="{00000000-0005-0000-0000-0000D8410000}"/>
    <cellStyle name="_Data_RW_Alea_Überleitung_IS_ohne AFA_021105_GCoA final version_ZBB Budget 2009 Decks_with Korea Scope in (Only LE) 2 2" xfId="16866" xr:uid="{00000000-0005-0000-0000-0000D9410000}"/>
    <cellStyle name="_Data_RW_Alea_Überleitung_IS_ohne AFA_021105_GCoA final version_ZBB Budget 2009 Decks_with Korea Scope in (Only LE) 3" xfId="16867" xr:uid="{00000000-0005-0000-0000-0000DA410000}"/>
    <cellStyle name="_Data_RW_Alea_Überleitung_IS_ohne AFA_021105_GCoA final version_ZBB Budget 2009 Decks_with Korea Scope in (Only LE) 3 2" xfId="16868" xr:uid="{00000000-0005-0000-0000-0000DB410000}"/>
    <cellStyle name="_Data_RW_Alea_Überleitung_IS_ohne AFA_021105_GCoA final version_ZBB Budget 2009 Decks_with Korea Scope in (Only LE) 4" xfId="16869" xr:uid="{00000000-0005-0000-0000-0000DC410000}"/>
    <cellStyle name="_Data_RW_Alea_Überleitung_IS_ohne AFA_021105_GCoA final version_ZBB Budget 2009 Decks_with Korea Scope in (Only LE) 5" xfId="16870" xr:uid="{00000000-0005-0000-0000-0000DD410000}"/>
    <cellStyle name="_Data_RW_Alea_Überleitung_IS_ohne AFA_021105_GCOA PL regarding ZBB accounts" xfId="16871" xr:uid="{00000000-0005-0000-0000-0000DE410000}"/>
    <cellStyle name="_Data_RW_Alea_Überleitung_IS_ohne AFA_021105_GCOA PL regarding ZBB accounts 2" xfId="16872" xr:uid="{00000000-0005-0000-0000-0000DF410000}"/>
    <cellStyle name="_Data_RW_Alea_Überleitung_IS_ohne AFA_021105_GCOA PL regarding ZBB accounts 2 2" xfId="16873" xr:uid="{00000000-0005-0000-0000-0000E0410000}"/>
    <cellStyle name="_Data_RW_Alea_Überleitung_IS_ohne AFA_021105_GCOA PL regarding ZBB accounts_Copy of 081027 ZBB Budget 2009 Decks - People_Cherry_V4" xfId="16874" xr:uid="{00000000-0005-0000-0000-0000E1410000}"/>
    <cellStyle name="_Data_RW_Alea_Überleitung_IS_ohne AFA_021105_GCOA PL regarding ZBB accounts_Copy of 081027 ZBB Budget 2009 Decks - People_Cherry_V4 2" xfId="16875" xr:uid="{00000000-0005-0000-0000-0000E2410000}"/>
    <cellStyle name="_Data_RW_Alea_Überleitung_IS_ohne AFA_021105_GCOA PL regarding ZBB accounts_Copy of 081027 ZBB Budget 2009 Decks - People_Cherry_V4 2 2" xfId="16876" xr:uid="{00000000-0005-0000-0000-0000E3410000}"/>
    <cellStyle name="_Data_RW_Alea_Überleitung_IS_ohne AFA_021105_GCOA PL regarding ZBB accounts_ZBB Budget 2009 Decks" xfId="16877" xr:uid="{00000000-0005-0000-0000-0000E4410000}"/>
    <cellStyle name="_Data_RW_Alea_Überleitung_IS_ohne AFA_021105_GCOA PL regarding ZBB accounts_ZBB Budget 2009 Decks 2" xfId="16878" xr:uid="{00000000-0005-0000-0000-0000E5410000}"/>
    <cellStyle name="_Data_RW_Alea_Überleitung_IS_ohne AFA_021105_GCOA PL regarding ZBB accounts_ZBB Budget 2009 Decks 2 2" xfId="16879" xr:uid="{00000000-0005-0000-0000-0000E6410000}"/>
    <cellStyle name="_Data_RW_Alea_Überleitung_IS_ohne AFA_021105_GCOA PL regarding ZBB accounts_ZBB Budget 2009 Decks_with Korea Scope in (Only LE)" xfId="16880" xr:uid="{00000000-0005-0000-0000-0000E7410000}"/>
    <cellStyle name="_Data_RW_Alea_Überleitung_IS_ohne AFA_021105_GCOA PL regarding ZBB accounts_ZBB Budget 2009 Decks_with Korea Scope in (Only LE) (2)" xfId="16881" xr:uid="{00000000-0005-0000-0000-0000E8410000}"/>
    <cellStyle name="_Data_RW_Alea_Überleitung_IS_ohne AFA_021105_GCOA PL regarding ZBB accounts_ZBB Budget 2009 Decks_with Korea Scope in (Only LE) (2) 2" xfId="16882" xr:uid="{00000000-0005-0000-0000-0000E9410000}"/>
    <cellStyle name="_Data_RW_Alea_Überleitung_IS_ohne AFA_021105_GCOA PL regarding ZBB accounts_ZBB Budget 2009 Decks_with Korea Scope in (Only LE) (2) 2 2" xfId="16883" xr:uid="{00000000-0005-0000-0000-0000EA410000}"/>
    <cellStyle name="_Data_RW_Alea_Überleitung_IS_ohne AFA_021105_GCOA PL regarding ZBB accounts_ZBB Budget 2009 Decks_with Korea Scope in (Only LE) 2" xfId="16884" xr:uid="{00000000-0005-0000-0000-0000EB410000}"/>
    <cellStyle name="_Data_RW_Alea_Überleitung_IS_ohne AFA_021105_GCOA PL regarding ZBB accounts_ZBB Budget 2009 Decks_with Korea Scope in (Only LE) 2 2" xfId="16885" xr:uid="{00000000-0005-0000-0000-0000EC410000}"/>
    <cellStyle name="_Data_RW_Alea_Überleitung_IS_ohne AFA_021105_GCOA PL regarding ZBB accounts_ZBB Budget 2009 Decks_with Korea Scope in (Only LE) 3" xfId="16886" xr:uid="{00000000-0005-0000-0000-0000ED410000}"/>
    <cellStyle name="_Data_RW_Alea_Überleitung_IS_ohne AFA_021105_GCOA PL regarding ZBB accounts_ZBB Budget 2009 Decks_with Korea Scope in (Only LE) 3 2" xfId="16887" xr:uid="{00000000-0005-0000-0000-0000EE410000}"/>
    <cellStyle name="_Data_RW_Alea_Überleitung_IS_ohne AFA_021105_GCOA PL regarding ZBB accounts_ZBB Budget 2009 Decks_with Korea Scope in (Only LE) 4" xfId="16888" xr:uid="{00000000-0005-0000-0000-0000EF410000}"/>
    <cellStyle name="_Data_RW_Alea_Überleitung_IS_ohne AFA_021105_GCOA PL regarding ZBB accounts_ZBB Budget 2009 Decks_with Korea Scope in (Only LE) 5" xfId="16889" xr:uid="{00000000-0005-0000-0000-0000F0410000}"/>
    <cellStyle name="_Data_RW_Alea_Überleitung_IS_ohne AFA_021105_ZBB Budget 2009 Decks" xfId="16890" xr:uid="{00000000-0005-0000-0000-0000F1410000}"/>
    <cellStyle name="_Data_RW_Alea_Überleitung_IS_ohne AFA_021105_ZBB Budget 2009 Decks 2" xfId="16891" xr:uid="{00000000-0005-0000-0000-0000F2410000}"/>
    <cellStyle name="_Data_RW_Alea_Überleitung_IS_ohne AFA_021105_ZBB Budget 2009 Decks 2 2" xfId="16892" xr:uid="{00000000-0005-0000-0000-0000F3410000}"/>
    <cellStyle name="_Data_RW_Alea_Überleitung_IS_ohne AFA_021105_ZBB Budget 2009 Decks_with Korea Scope in (Only LE)" xfId="16893" xr:uid="{00000000-0005-0000-0000-0000F4410000}"/>
    <cellStyle name="_Data_RW_Alea_Überleitung_IS_ohne AFA_021105_ZBB Budget 2009 Decks_with Korea Scope in (Only LE) (2)" xfId="16894" xr:uid="{00000000-0005-0000-0000-0000F5410000}"/>
    <cellStyle name="_Data_RW_Alea_Überleitung_IS_ohne AFA_021105_ZBB Budget 2009 Decks_with Korea Scope in (Only LE) (2) 2" xfId="16895" xr:uid="{00000000-0005-0000-0000-0000F6410000}"/>
    <cellStyle name="_Data_RW_Alea_Überleitung_IS_ohne AFA_021105_ZBB Budget 2009 Decks_with Korea Scope in (Only LE) (2) 2 2" xfId="16896" xr:uid="{00000000-0005-0000-0000-0000F7410000}"/>
    <cellStyle name="_Data_RW_Alea_Überleitung_IS_ohne AFA_021105_ZBB Budget 2009 Decks_with Korea Scope in (Only LE) 2" xfId="16897" xr:uid="{00000000-0005-0000-0000-0000F8410000}"/>
    <cellStyle name="_Data_RW_Alea_Überleitung_IS_ohne AFA_021105_ZBB Budget 2009 Decks_with Korea Scope in (Only LE) 2 2" xfId="16898" xr:uid="{00000000-0005-0000-0000-0000F9410000}"/>
    <cellStyle name="_Data_RW_Alea_Überleitung_IS_ohne AFA_021105_ZBB Budget 2009 Decks_with Korea Scope in (Only LE) 3" xfId="16899" xr:uid="{00000000-0005-0000-0000-0000FA410000}"/>
    <cellStyle name="_Data_RW_Alea_Überleitung_IS_ohne AFA_021105_ZBB Budget 2009 Decks_with Korea Scope in (Only LE) 3 2" xfId="16900" xr:uid="{00000000-0005-0000-0000-0000FB410000}"/>
    <cellStyle name="_Data_RW_Alea_Überleitung_IS_ohne AFA_021105_ZBB Budget 2009 Decks_with Korea Scope in (Only LE) 4" xfId="16901" xr:uid="{00000000-0005-0000-0000-0000FC410000}"/>
    <cellStyle name="_Data_RW_Alea_Überleitung_IS_ohne AFA_021105_ZBB Budget 2009 Decks_with Korea Scope in (Only LE) 5" xfId="16902" xr:uid="{00000000-0005-0000-0000-0000FD410000}"/>
    <cellStyle name="_Data_Sales and Marketing - revised" xfId="16903" xr:uid="{00000000-0005-0000-0000-0000FE410000}"/>
    <cellStyle name="_Data_Sales and Marketing - revised 2" xfId="16904" xr:uid="{00000000-0005-0000-0000-0000FF410000}"/>
    <cellStyle name="_Data_Sales and Marketing - revised 2 2" xfId="16905" xr:uid="{00000000-0005-0000-0000-000000420000}"/>
    <cellStyle name="_Data_Simplified Model Brewery" xfId="16906" xr:uid="{00000000-0005-0000-0000-000001420000}"/>
    <cellStyle name="_Data_Simplified Model Brewery 2" xfId="16907" xr:uid="{00000000-0005-0000-0000-000002420000}"/>
    <cellStyle name="_Data_Simplified Model Brewery 2 2" xfId="16908" xr:uid="{00000000-0005-0000-0000-000003420000}"/>
    <cellStyle name="_Data_Simplified Model Brewery 2 2 2" xfId="16909" xr:uid="{00000000-0005-0000-0000-000004420000}"/>
    <cellStyle name="_Data_Simplified Model Brewery 2 3" xfId="16910" xr:uid="{00000000-0005-0000-0000-000005420000}"/>
    <cellStyle name="_Data_Simplified Model Brewery 2 4" xfId="16911" xr:uid="{00000000-0005-0000-0000-000006420000}"/>
    <cellStyle name="_Data_Simplified Model Brewery 3" xfId="16912" xr:uid="{00000000-0005-0000-0000-000007420000}"/>
    <cellStyle name="_Data_Simplified Model Brewery 3 2" xfId="16913" xr:uid="{00000000-0005-0000-0000-000008420000}"/>
    <cellStyle name="_Data_Simplified Model Brewery_010808 Market Programs  for Budget Deck" xfId="16914" xr:uid="{00000000-0005-0000-0000-000009420000}"/>
    <cellStyle name="_Data_Simplified Model Brewery_010808 Market Programs  for Budget Deck 2" xfId="16915" xr:uid="{00000000-0005-0000-0000-00000A420000}"/>
    <cellStyle name="_Data_Simplified Model Brewery_010808 Market Programs  for Budget Deck 2 2" xfId="16916" xr:uid="{00000000-0005-0000-0000-00000B420000}"/>
    <cellStyle name="_Data_Simplified Model Brewery_0908 Gabarito exchange rate" xfId="16917" xr:uid="{00000000-0005-0000-0000-00000C420000}"/>
    <cellStyle name="_Data_Simplified Model Brewery_0908 Gabarito exchange rate 2" xfId="16918" xr:uid="{00000000-0005-0000-0000-00000D420000}"/>
    <cellStyle name="_Data_Simplified Model Brewery_0908 Gabarito exchange rate 2 2" xfId="16919" xr:uid="{00000000-0005-0000-0000-00000E420000}"/>
    <cellStyle name="_Data_Simplified Model Brewery_0908 Gabarito exchange rate 3" xfId="16920" xr:uid="{00000000-0005-0000-0000-00000F420000}"/>
    <cellStyle name="_Data_Simplified Model Brewery_0908 Gabarito exchange rate 4" xfId="16921" xr:uid="{00000000-0005-0000-0000-000010420000}"/>
    <cellStyle name="_Data_Simplified Model Brewery_BGT 08 Templates Sales  Marketing - final (revised)" xfId="16922" xr:uid="{00000000-0005-0000-0000-000011420000}"/>
    <cellStyle name="_Data_Simplified Model Brewery_BGT 08 Templates Sales  Marketing - final (revised) 2" xfId="16923" xr:uid="{00000000-0005-0000-0000-000012420000}"/>
    <cellStyle name="_Data_Simplified Model Brewery_BGT 08 Templates Sales  Marketing - final (revised) 2 2" xfId="16924" xr:uid="{00000000-0005-0000-0000-000013420000}"/>
    <cellStyle name="_Data_Simplified Model Brewery_BGT 08 Templates Sales  Marketing - final (revised) 3" xfId="16925" xr:uid="{00000000-0005-0000-0000-000014420000}"/>
    <cellStyle name="_Data_Simplified Model Brewery_BGT 08 Templates Sales  Marketing - final (revised) 4" xfId="16926" xr:uid="{00000000-0005-0000-0000-000015420000}"/>
    <cellStyle name="_Data_Simplified Model Brewery_BGT 08 templates, Sales &amp; Marketing - draft com alterações" xfId="16927" xr:uid="{00000000-0005-0000-0000-000016420000}"/>
    <cellStyle name="_Data_Simplified Model Brewery_BGT 08 templates, Sales &amp; Marketing - draft com alterações 2" xfId="16928" xr:uid="{00000000-0005-0000-0000-000017420000}"/>
    <cellStyle name="_Data_Simplified Model Brewery_BGT 08 templates, Sales &amp; Marketing - draft com alterações 2 2" xfId="16929" xr:uid="{00000000-0005-0000-0000-000018420000}"/>
    <cellStyle name="_Data_Simplified Model Brewery_BGT 08 templates, Sales &amp; Marketing - draft com alterações 3" xfId="16930" xr:uid="{00000000-0005-0000-0000-000019420000}"/>
    <cellStyle name="_Data_Simplified Model Brewery_BGT 08 templates, Sales &amp; Marketing - draft com alterações 4" xfId="16931" xr:uid="{00000000-0005-0000-0000-00001A420000}"/>
    <cellStyle name="_Data_Simplified Model Brewery_Book5" xfId="16932" xr:uid="{00000000-0005-0000-0000-00001B420000}"/>
    <cellStyle name="_Data_Simplified Model Brewery_Book5 2" xfId="16933" xr:uid="{00000000-0005-0000-0000-00001C420000}"/>
    <cellStyle name="_Data_Simplified Model Brewery_Book5 2 2" xfId="16934" xr:uid="{00000000-0005-0000-0000-00001D420000}"/>
    <cellStyle name="_Data_Simplified Model Brewery_Book5 3" xfId="16935" xr:uid="{00000000-0005-0000-0000-00001E420000}"/>
    <cellStyle name="_Data_Simplified Model Brewery_Book5 4" xfId="16936" xr:uid="{00000000-0005-0000-0000-00001F420000}"/>
    <cellStyle name="_Data_Simplified Model Brewery_Bplan RD 1001" xfId="16937" xr:uid="{00000000-0005-0000-0000-000020420000}"/>
    <cellStyle name="_Data_Simplified Model Brewery_Bplan RD 1001 2" xfId="16938" xr:uid="{00000000-0005-0000-0000-000021420000}"/>
    <cellStyle name="_Data_Simplified Model Brewery_Bplan RD 1001 2 2" xfId="16939" xr:uid="{00000000-0005-0000-0000-000022420000}"/>
    <cellStyle name="_Data_Simplified Model Brewery_Bplan RD 1001 3" xfId="16940" xr:uid="{00000000-0005-0000-0000-000023420000}"/>
    <cellStyle name="_Data_Simplified Model Brewery_Bplan RD 1001 4" xfId="16941" xr:uid="{00000000-0005-0000-0000-000024420000}"/>
    <cellStyle name="_Data_Simplified Model Brewery_Copy of 081027 ZBB Budget 2009 Decks - People_Cherry_V4" xfId="16942" xr:uid="{00000000-0005-0000-0000-000025420000}"/>
    <cellStyle name="_Data_Simplified Model Brewery_Copy of 081027 ZBB Budget 2009 Decks - People_Cherry_V4 2" xfId="16943" xr:uid="{00000000-0005-0000-0000-000026420000}"/>
    <cellStyle name="_Data_Simplified Model Brewery_Copy of 081027 ZBB Budget 2009 Decks - People_Cherry_V4 2 2" xfId="16944" xr:uid="{00000000-0005-0000-0000-000027420000}"/>
    <cellStyle name="_Data_Simplified Model Brewery_Copy of BGT 08 Templates Sales  Marketing - final (revised)" xfId="16945" xr:uid="{00000000-0005-0000-0000-000028420000}"/>
    <cellStyle name="_Data_Simplified Model Brewery_Copy of BGT 08 Templates Sales  Marketing - final (revised) 2" xfId="16946" xr:uid="{00000000-0005-0000-0000-000029420000}"/>
    <cellStyle name="_Data_Simplified Model Brewery_Copy of BGT 08 Templates Sales  Marketing - final (revised) 2 2" xfId="16947" xr:uid="{00000000-0005-0000-0000-00002A420000}"/>
    <cellStyle name="_Data_Simplified Model Brewery_Copy of BGT 08 Templates Sales  Marketing - final (revised) 3" xfId="16948" xr:uid="{00000000-0005-0000-0000-00002B420000}"/>
    <cellStyle name="_Data_Simplified Model Brewery_Copy of BGT 08 Templates Sales  Marketing - final (revised) 4" xfId="16949" xr:uid="{00000000-0005-0000-0000-00002C420000}"/>
    <cellStyle name="_Data_Simplified Model Brewery_Excel sheets to support Market Program Template for Budget 09 (5) (2)" xfId="16950" xr:uid="{00000000-0005-0000-0000-00002D420000}"/>
    <cellStyle name="_Data_Simplified Model Brewery_Excel sheets to support Market Program Template for Budget 09 (5) (2) 2" xfId="16951" xr:uid="{00000000-0005-0000-0000-00002E420000}"/>
    <cellStyle name="_Data_Simplified Model Brewery_Excel sheets to support Market Program Template for Budget 09 (5) (2) 2 2" xfId="16952" xr:uid="{00000000-0005-0000-0000-00002F420000}"/>
    <cellStyle name="_Data_Simplified Model Brewery_Excel sheets to support Market Program Template for Budget 09 (5) (3)" xfId="16953" xr:uid="{00000000-0005-0000-0000-000030420000}"/>
    <cellStyle name="_Data_Simplified Model Brewery_Excel sheets to support Market Program Template for Budget 09 (5) (3) 2" xfId="16954" xr:uid="{00000000-0005-0000-0000-000031420000}"/>
    <cellStyle name="_Data_Simplified Model Brewery_Excel sheets to support Market Program Template for Budget 09 (5) (3) 2 2" xfId="16955" xr:uid="{00000000-0005-0000-0000-000032420000}"/>
    <cellStyle name="_Data_Simplified Model Brewery_LE Ebitda RD Feb-10 v2" xfId="16956" xr:uid="{00000000-0005-0000-0000-000033420000}"/>
    <cellStyle name="_Data_Simplified Model Brewery_LE Ebitda RD Feb-10 v2 2" xfId="16957" xr:uid="{00000000-0005-0000-0000-000034420000}"/>
    <cellStyle name="_Data_Simplified Model Brewery_LE Ebitda RD Feb-10 v2 2 2" xfId="16958" xr:uid="{00000000-0005-0000-0000-000035420000}"/>
    <cellStyle name="_Data_Simplified Model Brewery_People Package" xfId="16959" xr:uid="{00000000-0005-0000-0000-000036420000}"/>
    <cellStyle name="_Data_Simplified Model Brewery_People Package (2)" xfId="16960" xr:uid="{00000000-0005-0000-0000-000037420000}"/>
    <cellStyle name="_Data_Simplified Model Brewery_People Package (2) 2" xfId="16961" xr:uid="{00000000-0005-0000-0000-000038420000}"/>
    <cellStyle name="_Data_Simplified Model Brewery_People Package (2) 2 2" xfId="16962" xr:uid="{00000000-0005-0000-0000-000039420000}"/>
    <cellStyle name="_Data_Simplified Model Brewery_People Package 2" xfId="16963" xr:uid="{00000000-0005-0000-0000-00003A420000}"/>
    <cellStyle name="_Data_Simplified Model Brewery_People Package 2 2" xfId="16964" xr:uid="{00000000-0005-0000-0000-00003B420000}"/>
    <cellStyle name="_Data_Simplified Model Brewery_People Package 3" xfId="16965" xr:uid="{00000000-0005-0000-0000-00003C420000}"/>
    <cellStyle name="_Data_Simplified Model Brewery_People Package 3 2" xfId="16966" xr:uid="{00000000-0005-0000-0000-00003D420000}"/>
    <cellStyle name="_Data_Simplified Model Brewery_People Package 4" xfId="16967" xr:uid="{00000000-0005-0000-0000-00003E420000}"/>
    <cellStyle name="_Data_Simplified Model Brewery_People Package 5" xfId="16968" xr:uid="{00000000-0005-0000-0000-00003F420000}"/>
    <cellStyle name="_Data_Simplified Model Brewery_Sales and Marketing - revised" xfId="16969" xr:uid="{00000000-0005-0000-0000-000040420000}"/>
    <cellStyle name="_Data_Simplified Model Brewery_Sales and Marketing - revised 2" xfId="16970" xr:uid="{00000000-0005-0000-0000-000041420000}"/>
    <cellStyle name="_Data_Simplified Model Brewery_Sales and Marketing - revised 2 2" xfId="16971" xr:uid="{00000000-0005-0000-0000-000042420000}"/>
    <cellStyle name="_Data_Simplified Model Brewery_Sales and Marketing - revised 3" xfId="16972" xr:uid="{00000000-0005-0000-0000-000043420000}"/>
    <cellStyle name="_Data_Simplified Model Brewery_Sales and Marketing - revised 4" xfId="16973" xr:uid="{00000000-0005-0000-0000-000044420000}"/>
    <cellStyle name="_Data_Simplified Model Brewery_Sim Ebitda LE 0909 v4" xfId="16974" xr:uid="{00000000-0005-0000-0000-000045420000}"/>
    <cellStyle name="_Data_Simplified Model Brewery_Sim Ebitda LE 0909 v4 2" xfId="16975" xr:uid="{00000000-0005-0000-0000-000046420000}"/>
    <cellStyle name="_Data_Simplified Model Brewery_Sim Ebitda LE 0909 v4 2 2" xfId="16976" xr:uid="{00000000-0005-0000-0000-000047420000}"/>
    <cellStyle name="_Data_Simplified Model Brewery_Sim Ebitda LE 0909 v4 3" xfId="16977" xr:uid="{00000000-0005-0000-0000-000048420000}"/>
    <cellStyle name="_Data_Simplified Model Brewery_Sim Ebitda LE 0909 v4 4" xfId="16978" xr:uid="{00000000-0005-0000-0000-000049420000}"/>
    <cellStyle name="_Data_Simplified Model Brewery_Strategic Diagnostic Templates Technik" xfId="16979" xr:uid="{00000000-0005-0000-0000-00004A420000}"/>
    <cellStyle name="_Data_Simplified Model Brewery_Strategic Diagnostic Templates Technik 2" xfId="16980" xr:uid="{00000000-0005-0000-0000-00004B420000}"/>
    <cellStyle name="_Data_Simplified Model Brewery_Strategic Diagnostic Templates Technik 2 2" xfId="16981" xr:uid="{00000000-0005-0000-0000-00004C420000}"/>
    <cellStyle name="_Data_Simplified Model Brewery_Strategic Diagnostic Templates Technik 2 2 2" xfId="16982" xr:uid="{00000000-0005-0000-0000-00004D420000}"/>
    <cellStyle name="_Data_Simplified Model Brewery_Strategic Diagnostic Templates Technik 2 3" xfId="16983" xr:uid="{00000000-0005-0000-0000-00004E420000}"/>
    <cellStyle name="_Data_Simplified Model Brewery_Strategic Diagnostic Templates Technik 2 4" xfId="16984" xr:uid="{00000000-0005-0000-0000-00004F420000}"/>
    <cellStyle name="_Data_Simplified Model Brewery_Strategic Diagnostic Templates Technik 3" xfId="16985" xr:uid="{00000000-0005-0000-0000-000050420000}"/>
    <cellStyle name="_Data_Simplified Model Brewery_Strategic Diagnostic Templates Technik 3 2" xfId="16986" xr:uid="{00000000-0005-0000-0000-000051420000}"/>
    <cellStyle name="_Data_Simplified Model Brewery_Strategic Diagnostic Templates Technik_010808 Market Programs  for Budget Deck" xfId="16987" xr:uid="{00000000-0005-0000-0000-000052420000}"/>
    <cellStyle name="_Data_Simplified Model Brewery_Strategic Diagnostic Templates Technik_010808 Market Programs  for Budget Deck 2" xfId="16988" xr:uid="{00000000-0005-0000-0000-000053420000}"/>
    <cellStyle name="_Data_Simplified Model Brewery_Strategic Diagnostic Templates Technik_010808 Market Programs  for Budget Deck 2 2" xfId="16989" xr:uid="{00000000-0005-0000-0000-000054420000}"/>
    <cellStyle name="_Data_Simplified Model Brewery_Strategic Diagnostic Templates Technik_0908 Gabarito exchange rate" xfId="16990" xr:uid="{00000000-0005-0000-0000-000055420000}"/>
    <cellStyle name="_Data_Simplified Model Brewery_Strategic Diagnostic Templates Technik_0908 Gabarito exchange rate 2" xfId="16991" xr:uid="{00000000-0005-0000-0000-000056420000}"/>
    <cellStyle name="_Data_Simplified Model Brewery_Strategic Diagnostic Templates Technik_0908 Gabarito exchange rate 2 2" xfId="16992" xr:uid="{00000000-0005-0000-0000-000057420000}"/>
    <cellStyle name="_Data_Simplified Model Brewery_Strategic Diagnostic Templates Technik_0908 Gabarito exchange rate 3" xfId="16993" xr:uid="{00000000-0005-0000-0000-000058420000}"/>
    <cellStyle name="_Data_Simplified Model Brewery_Strategic Diagnostic Templates Technik_0908 Gabarito exchange rate 4" xfId="16994" xr:uid="{00000000-0005-0000-0000-000059420000}"/>
    <cellStyle name="_Data_Simplified Model Brewery_Strategic Diagnostic Templates Technik_BGT 08 Templates Sales  Marketing - final (revised)" xfId="16995" xr:uid="{00000000-0005-0000-0000-00005A420000}"/>
    <cellStyle name="_Data_Simplified Model Brewery_Strategic Diagnostic Templates Technik_BGT 08 Templates Sales  Marketing - final (revised) 2" xfId="16996" xr:uid="{00000000-0005-0000-0000-00005B420000}"/>
    <cellStyle name="_Data_Simplified Model Brewery_Strategic Diagnostic Templates Technik_BGT 08 Templates Sales  Marketing - final (revised) 2 2" xfId="16997" xr:uid="{00000000-0005-0000-0000-00005C420000}"/>
    <cellStyle name="_Data_Simplified Model Brewery_Strategic Diagnostic Templates Technik_BGT 08 Templates Sales  Marketing - final (revised) 3" xfId="16998" xr:uid="{00000000-0005-0000-0000-00005D420000}"/>
    <cellStyle name="_Data_Simplified Model Brewery_Strategic Diagnostic Templates Technik_BGT 08 Templates Sales  Marketing - final (revised) 4" xfId="16999" xr:uid="{00000000-0005-0000-0000-00005E420000}"/>
    <cellStyle name="_Data_Simplified Model Brewery_Strategic Diagnostic Templates Technik_Book5" xfId="17000" xr:uid="{00000000-0005-0000-0000-00005F420000}"/>
    <cellStyle name="_Data_Simplified Model Brewery_Strategic Diagnostic Templates Technik_Book5 2" xfId="17001" xr:uid="{00000000-0005-0000-0000-000060420000}"/>
    <cellStyle name="_Data_Simplified Model Brewery_Strategic Diagnostic Templates Technik_Book5 2 2" xfId="17002" xr:uid="{00000000-0005-0000-0000-000061420000}"/>
    <cellStyle name="_Data_Simplified Model Brewery_Strategic Diagnostic Templates Technik_Book5 3" xfId="17003" xr:uid="{00000000-0005-0000-0000-000062420000}"/>
    <cellStyle name="_Data_Simplified Model Brewery_Strategic Diagnostic Templates Technik_Book5 4" xfId="17004" xr:uid="{00000000-0005-0000-0000-000063420000}"/>
    <cellStyle name="_Data_Simplified Model Brewery_Strategic Diagnostic Templates Technik_Bplan RD 1001" xfId="17005" xr:uid="{00000000-0005-0000-0000-000064420000}"/>
    <cellStyle name="_Data_Simplified Model Brewery_Strategic Diagnostic Templates Technik_Bplan RD 1001 2" xfId="17006" xr:uid="{00000000-0005-0000-0000-000065420000}"/>
    <cellStyle name="_Data_Simplified Model Brewery_Strategic Diagnostic Templates Technik_Bplan RD 1001 2 2" xfId="17007" xr:uid="{00000000-0005-0000-0000-000066420000}"/>
    <cellStyle name="_Data_Simplified Model Brewery_Strategic Diagnostic Templates Technik_Bplan RD 1001 3" xfId="17008" xr:uid="{00000000-0005-0000-0000-000067420000}"/>
    <cellStyle name="_Data_Simplified Model Brewery_Strategic Diagnostic Templates Technik_Bplan RD 1001 4" xfId="17009" xr:uid="{00000000-0005-0000-0000-000068420000}"/>
    <cellStyle name="_Data_Simplified Model Brewery_Strategic Diagnostic Templates Technik_Copy of BGT 08 Templates Sales  Marketing - final (revised)" xfId="17010" xr:uid="{00000000-0005-0000-0000-000069420000}"/>
    <cellStyle name="_Data_Simplified Model Brewery_Strategic Diagnostic Templates Technik_Copy of BGT 08 Templates Sales  Marketing - final (revised) 2" xfId="17011" xr:uid="{00000000-0005-0000-0000-00006A420000}"/>
    <cellStyle name="_Data_Simplified Model Brewery_Strategic Diagnostic Templates Technik_Copy of BGT 08 Templates Sales  Marketing - final (revised) 2 2" xfId="17012" xr:uid="{00000000-0005-0000-0000-00006B420000}"/>
    <cellStyle name="_Data_Simplified Model Brewery_Strategic Diagnostic Templates Technik_Copy of BGT 08 Templates Sales  Marketing - final (revised) 3" xfId="17013" xr:uid="{00000000-0005-0000-0000-00006C420000}"/>
    <cellStyle name="_Data_Simplified Model Brewery_Strategic Diagnostic Templates Technik_Copy of BGT 08 Templates Sales  Marketing - final (revised) 4" xfId="17014" xr:uid="{00000000-0005-0000-0000-00006D420000}"/>
    <cellStyle name="_Data_Simplified Model Brewery_Strategic Diagnostic Templates Technik_Excel sheets to support Market Program Template for Budget 09" xfId="17015" xr:uid="{00000000-0005-0000-0000-00006E420000}"/>
    <cellStyle name="_Data_Simplified Model Brewery_Strategic Diagnostic Templates Technik_Excel sheets to support Market Program Template for Budget 09 (5) (2)" xfId="17016" xr:uid="{00000000-0005-0000-0000-00006F420000}"/>
    <cellStyle name="_Data_Simplified Model Brewery_Strategic Diagnostic Templates Technik_Excel sheets to support Market Program Template for Budget 09 (5) (2) 2" xfId="17017" xr:uid="{00000000-0005-0000-0000-000070420000}"/>
    <cellStyle name="_Data_Simplified Model Brewery_Strategic Diagnostic Templates Technik_Excel sheets to support Market Program Template for Budget 09 (5) (2) 2 2" xfId="17018" xr:uid="{00000000-0005-0000-0000-000071420000}"/>
    <cellStyle name="_Data_Simplified Model Brewery_Strategic Diagnostic Templates Technik_Excel sheets to support Market Program Template for Budget 09 (5) (3)" xfId="17019" xr:uid="{00000000-0005-0000-0000-000072420000}"/>
    <cellStyle name="_Data_Simplified Model Brewery_Strategic Diagnostic Templates Technik_Excel sheets to support Market Program Template for Budget 09 (5) (3) 2" xfId="17020" xr:uid="{00000000-0005-0000-0000-000073420000}"/>
    <cellStyle name="_Data_Simplified Model Brewery_Strategic Diagnostic Templates Technik_Excel sheets to support Market Program Template for Budget 09 (5) (3) 2 2" xfId="17021" xr:uid="{00000000-0005-0000-0000-000074420000}"/>
    <cellStyle name="_Data_Simplified Model Brewery_Strategic Diagnostic Templates Technik_Excel sheets to support Market Program Template for Budget 09 2" xfId="17022" xr:uid="{00000000-0005-0000-0000-000075420000}"/>
    <cellStyle name="_Data_Simplified Model Brewery_Strategic Diagnostic Templates Technik_Excel sheets to support Market Program Template for Budget 09 2 2" xfId="17023" xr:uid="{00000000-0005-0000-0000-000076420000}"/>
    <cellStyle name="_Data_Simplified Model Brewery_Strategic Diagnostic Templates Technik_Excel sheets to support Market Program Template for Budget 09 3" xfId="17024" xr:uid="{00000000-0005-0000-0000-000077420000}"/>
    <cellStyle name="_Data_Simplified Model Brewery_Strategic Diagnostic Templates Technik_Excel sheets to support Market Program Template for Budget 09 3 2" xfId="17025" xr:uid="{00000000-0005-0000-0000-000078420000}"/>
    <cellStyle name="_Data_Simplified Model Brewery_Strategic Diagnostic Templates Technik_Excel sheets to support Market Program Template for Budget 09 4" xfId="17026" xr:uid="{00000000-0005-0000-0000-000079420000}"/>
    <cellStyle name="_Data_Simplified Model Brewery_Strategic Diagnostic Templates Technik_Excel sheets to support Market Program Template for Budget 09 5" xfId="17027" xr:uid="{00000000-0005-0000-0000-00007A420000}"/>
    <cellStyle name="_Data_Simplified Model Brewery_Strategic Diagnostic Templates Technik_Excel sheets to support Market Program Template for Budget 09 6" xfId="17028" xr:uid="{00000000-0005-0000-0000-00007B420000}"/>
    <cellStyle name="_Data_Simplified Model Brewery_Strategic Diagnostic Templates Technik_LE Ebitda RD Feb-10 v2" xfId="17029" xr:uid="{00000000-0005-0000-0000-00007C420000}"/>
    <cellStyle name="_Data_Simplified Model Brewery_Strategic Diagnostic Templates Technik_LE Ebitda RD Feb-10 v2 2" xfId="17030" xr:uid="{00000000-0005-0000-0000-00007D420000}"/>
    <cellStyle name="_Data_Simplified Model Brewery_Strategic Diagnostic Templates Technik_LE Ebitda RD Feb-10 v2 2 2" xfId="17031" xr:uid="{00000000-0005-0000-0000-00007E420000}"/>
    <cellStyle name="_Data_Simplified Model Brewery_Strategic Diagnostic Templates Technik_People Package" xfId="17032" xr:uid="{00000000-0005-0000-0000-00007F420000}"/>
    <cellStyle name="_Data_Simplified Model Brewery_Strategic Diagnostic Templates Technik_People Package (2)" xfId="17033" xr:uid="{00000000-0005-0000-0000-000080420000}"/>
    <cellStyle name="_Data_Simplified Model Brewery_Strategic Diagnostic Templates Technik_People Package (2) 2" xfId="17034" xr:uid="{00000000-0005-0000-0000-000081420000}"/>
    <cellStyle name="_Data_Simplified Model Brewery_Strategic Diagnostic Templates Technik_People Package (2) 2 2" xfId="17035" xr:uid="{00000000-0005-0000-0000-000082420000}"/>
    <cellStyle name="_Data_Simplified Model Brewery_Strategic Diagnostic Templates Technik_People Package 2" xfId="17036" xr:uid="{00000000-0005-0000-0000-000083420000}"/>
    <cellStyle name="_Data_Simplified Model Brewery_Strategic Diagnostic Templates Technik_People Package 2 2" xfId="17037" xr:uid="{00000000-0005-0000-0000-000084420000}"/>
    <cellStyle name="_Data_Simplified Model Brewery_Strategic Diagnostic Templates Technik_People Package 3" xfId="17038" xr:uid="{00000000-0005-0000-0000-000085420000}"/>
    <cellStyle name="_Data_Simplified Model Brewery_Strategic Diagnostic Templates Technik_People Package 3 2" xfId="17039" xr:uid="{00000000-0005-0000-0000-000086420000}"/>
    <cellStyle name="_Data_Simplified Model Brewery_Strategic Diagnostic Templates Technik_People Package 4" xfId="17040" xr:uid="{00000000-0005-0000-0000-000087420000}"/>
    <cellStyle name="_Data_Simplified Model Brewery_Strategic Diagnostic Templates Technik_People Package 5" xfId="17041" xr:uid="{00000000-0005-0000-0000-000088420000}"/>
    <cellStyle name="_Data_Simplified Model Brewery_Strategic Diagnostic Templates Technik_Sales and Marketing - revised" xfId="17042" xr:uid="{00000000-0005-0000-0000-000089420000}"/>
    <cellStyle name="_Data_Simplified Model Brewery_Strategic Diagnostic Templates Technik_Sales and Marketing - revised 2" xfId="17043" xr:uid="{00000000-0005-0000-0000-00008A420000}"/>
    <cellStyle name="_Data_Simplified Model Brewery_Strategic Diagnostic Templates Technik_Sales and Marketing - revised 2 2" xfId="17044" xr:uid="{00000000-0005-0000-0000-00008B420000}"/>
    <cellStyle name="_Data_Simplified Model Brewery_Strategic Diagnostic Templates Technik_Sales and Marketing - revised 3" xfId="17045" xr:uid="{00000000-0005-0000-0000-00008C420000}"/>
    <cellStyle name="_Data_Simplified Model Brewery_Strategic Diagnostic Templates Technik_Sales and Marketing - revised 4" xfId="17046" xr:uid="{00000000-0005-0000-0000-00008D420000}"/>
    <cellStyle name="_Data_Simplified Model Brewery_Strategic Diagnostic Templates Technik_Sim Ebitda LE 0909 v4" xfId="17047" xr:uid="{00000000-0005-0000-0000-00008E420000}"/>
    <cellStyle name="_Data_Simplified Model Brewery_Strategic Diagnostic Templates Technik_Sim Ebitda LE 0909 v4 2" xfId="17048" xr:uid="{00000000-0005-0000-0000-00008F420000}"/>
    <cellStyle name="_Data_Simplified Model Brewery_Strategic Diagnostic Templates Technik_Sim Ebitda LE 0909 v4 2 2" xfId="17049" xr:uid="{00000000-0005-0000-0000-000090420000}"/>
    <cellStyle name="_Data_Simplified Model Brewery_Strategic Diagnostic Templates Technik_Sim Ebitda LE 0909 v4 3" xfId="17050" xr:uid="{00000000-0005-0000-0000-000091420000}"/>
    <cellStyle name="_Data_Simplified Model Brewery_Strategic Diagnostic Templates Technik_Sim Ebitda LE 0909 v4 4" xfId="17051" xr:uid="{00000000-0005-0000-0000-000092420000}"/>
    <cellStyle name="_Data_Simplified Model Brewery_Strategic Diagnostic Templates Technik_WF Ebitda RD Abr-10" xfId="17052" xr:uid="{00000000-0005-0000-0000-000093420000}"/>
    <cellStyle name="_Data_Simplified Model Brewery_Strategic Diagnostic Templates Technik_WF Ebitda RD Abr-10 2" xfId="17053" xr:uid="{00000000-0005-0000-0000-000094420000}"/>
    <cellStyle name="_Data_Simplified Model Brewery_Strategic Diagnostic Templates Technik_WF Ebitda RD Abr-10 2 2" xfId="17054" xr:uid="{00000000-0005-0000-0000-000095420000}"/>
    <cellStyle name="_Data_Simplified Model Brewery_Strategic Diagnostic Templates Technik_WF Ebitda Sep09" xfId="17055" xr:uid="{00000000-0005-0000-0000-000096420000}"/>
    <cellStyle name="_Data_Simplified Model Brewery_Strategic Diagnostic Templates Technik_WF Ebitda Sep09 2" xfId="17056" xr:uid="{00000000-0005-0000-0000-000097420000}"/>
    <cellStyle name="_Data_Simplified Model Brewery_Strategic Diagnostic Templates Technik_WF Ebitda Sep09 2 2" xfId="17057" xr:uid="{00000000-0005-0000-0000-000098420000}"/>
    <cellStyle name="_Data_Simplified Model Brewery_Strategic Diagnostic Templates Technik_ZBB" xfId="17058" xr:uid="{00000000-0005-0000-0000-000099420000}"/>
    <cellStyle name="_Data_Simplified Model Brewery_Strategic Diagnostic Templates Technik_ZBB 2" xfId="17059" xr:uid="{00000000-0005-0000-0000-00009A420000}"/>
    <cellStyle name="_Data_Simplified Model Brewery_Strategic Diagnostic Templates Technik_ZBB 2 2" xfId="17060" xr:uid="{00000000-0005-0000-0000-00009B420000}"/>
    <cellStyle name="_Data_Simplified Model Brewery_WF Ebitda RD Abr-10" xfId="17061" xr:uid="{00000000-0005-0000-0000-00009C420000}"/>
    <cellStyle name="_Data_Simplified Model Brewery_WF Ebitda RD Abr-10 2" xfId="17062" xr:uid="{00000000-0005-0000-0000-00009D420000}"/>
    <cellStyle name="_Data_Simplified Model Brewery_WF Ebitda RD Abr-10 2 2" xfId="17063" xr:uid="{00000000-0005-0000-0000-00009E420000}"/>
    <cellStyle name="_Data_Simplified Model Brewery_WF Ebitda Sep09" xfId="17064" xr:uid="{00000000-0005-0000-0000-00009F420000}"/>
    <cellStyle name="_Data_Simplified Model Brewery_WF Ebitda Sep09 2" xfId="17065" xr:uid="{00000000-0005-0000-0000-0000A0420000}"/>
    <cellStyle name="_Data_Simplified Model Brewery_WF Ebitda Sep09 2 2" xfId="17066" xr:uid="{00000000-0005-0000-0000-0000A1420000}"/>
    <cellStyle name="_Data_Simplified Model Brewery_ZBB" xfId="17067" xr:uid="{00000000-0005-0000-0000-0000A2420000}"/>
    <cellStyle name="_Data_Simplified Model Brewery_ZBB 2" xfId="17068" xr:uid="{00000000-0005-0000-0000-0000A3420000}"/>
    <cellStyle name="_Data_Simplified Model Brewery_ZBB 2 2" xfId="17069" xr:uid="{00000000-0005-0000-0000-0000A4420000}"/>
    <cellStyle name="_Data_Simplified Model Brewery_ZBB Budget 2009 Decks" xfId="17070" xr:uid="{00000000-0005-0000-0000-0000A5420000}"/>
    <cellStyle name="_Data_Simplified Model Brewery_ZBB Budget 2009 Decks 2" xfId="17071" xr:uid="{00000000-0005-0000-0000-0000A6420000}"/>
    <cellStyle name="_Data_Simplified Model Brewery_ZBB Budget 2009 Decks 2 2" xfId="17072" xr:uid="{00000000-0005-0000-0000-0000A7420000}"/>
    <cellStyle name="_Data_Simplified Model Brewery_ZBB Budget 2009 Decks_with Korea Scope in (Only LE)" xfId="17073" xr:uid="{00000000-0005-0000-0000-0000A8420000}"/>
    <cellStyle name="_Data_Simplified Model Brewery_ZBB Budget 2009 Decks_with Korea Scope in (Only LE) (2)" xfId="17074" xr:uid="{00000000-0005-0000-0000-0000A9420000}"/>
    <cellStyle name="_Data_Simplified Model Brewery_ZBB Budget 2009 Decks_with Korea Scope in (Only LE) (2) 2" xfId="17075" xr:uid="{00000000-0005-0000-0000-0000AA420000}"/>
    <cellStyle name="_Data_Simplified Model Brewery_ZBB Budget 2009 Decks_with Korea Scope in (Only LE) (2) 2 2" xfId="17076" xr:uid="{00000000-0005-0000-0000-0000AB420000}"/>
    <cellStyle name="_Data_Simplified Model Brewery_ZBB Budget 2009 Decks_with Korea Scope in (Only LE) 2" xfId="17077" xr:uid="{00000000-0005-0000-0000-0000AC420000}"/>
    <cellStyle name="_Data_Simplified Model Brewery_ZBB Budget 2009 Decks_with Korea Scope in (Only LE) 2 2" xfId="17078" xr:uid="{00000000-0005-0000-0000-0000AD420000}"/>
    <cellStyle name="_Data_Simplified Model Brewery_ZBB Budget 2009 Decks_with Korea Scope in (Only LE) 3" xfId="17079" xr:uid="{00000000-0005-0000-0000-0000AE420000}"/>
    <cellStyle name="_Data_Simplified Model Brewery_ZBB Budget 2009 Decks_with Korea Scope in (Only LE) 3 2" xfId="17080" xr:uid="{00000000-0005-0000-0000-0000AF420000}"/>
    <cellStyle name="_Data_Simplified Model Brewery_ZBB Budget 2009 Decks_with Korea Scope in (Only LE) 4" xfId="17081" xr:uid="{00000000-0005-0000-0000-0000B0420000}"/>
    <cellStyle name="_Data_Simplified Model Brewery_ZBB Budget 2009 Decks_with Korea Scope in (Only LE) 5" xfId="17082" xr:uid="{00000000-0005-0000-0000-0000B1420000}"/>
    <cellStyle name="_Data_Sortiment" xfId="17083" xr:uid="{00000000-0005-0000-0000-0000B2420000}"/>
    <cellStyle name="_Data_Sortiment 2" xfId="17084" xr:uid="{00000000-0005-0000-0000-0000B3420000}"/>
    <cellStyle name="_Data_Sortiment 2 2" xfId="17085" xr:uid="{00000000-0005-0000-0000-0000B4420000}"/>
    <cellStyle name="_Data_Sortiment 2 2 2" xfId="17086" xr:uid="{00000000-0005-0000-0000-0000B5420000}"/>
    <cellStyle name="_Data_Sortiment 2 3" xfId="17087" xr:uid="{00000000-0005-0000-0000-0000B6420000}"/>
    <cellStyle name="_Data_Sortiment 2 4" xfId="17088" xr:uid="{00000000-0005-0000-0000-0000B7420000}"/>
    <cellStyle name="_Data_Sortiment 3" xfId="17089" xr:uid="{00000000-0005-0000-0000-0000B8420000}"/>
    <cellStyle name="_Data_Sortiment 3 2" xfId="17090" xr:uid="{00000000-0005-0000-0000-0000B9420000}"/>
    <cellStyle name="_Data_Sortiment_010808 Market Programs  for Budget Deck" xfId="17091" xr:uid="{00000000-0005-0000-0000-0000BA420000}"/>
    <cellStyle name="_Data_Sortiment_010808 Market Programs  for Budget Deck 2" xfId="17092" xr:uid="{00000000-0005-0000-0000-0000BB420000}"/>
    <cellStyle name="_Data_Sortiment_010808 Market Programs  for Budget Deck 2 2" xfId="17093" xr:uid="{00000000-0005-0000-0000-0000BC420000}"/>
    <cellStyle name="_Data_Sortiment_0908 Gabarito exchange rate" xfId="17094" xr:uid="{00000000-0005-0000-0000-0000BD420000}"/>
    <cellStyle name="_Data_Sortiment_0908 Gabarito exchange rate 2" xfId="17095" xr:uid="{00000000-0005-0000-0000-0000BE420000}"/>
    <cellStyle name="_Data_Sortiment_0908 Gabarito exchange rate 2 2" xfId="17096" xr:uid="{00000000-0005-0000-0000-0000BF420000}"/>
    <cellStyle name="_Data_Sortiment_0908 Gabarito exchange rate 3" xfId="17097" xr:uid="{00000000-0005-0000-0000-0000C0420000}"/>
    <cellStyle name="_Data_Sortiment_0908 Gabarito exchange rate 4" xfId="17098" xr:uid="{00000000-0005-0000-0000-0000C1420000}"/>
    <cellStyle name="_Data_Sortiment_BGT 08 Templates Sales  Marketing - final (revised)" xfId="17099" xr:uid="{00000000-0005-0000-0000-0000C2420000}"/>
    <cellStyle name="_Data_Sortiment_BGT 08 Templates Sales  Marketing - final (revised) 2" xfId="17100" xr:uid="{00000000-0005-0000-0000-0000C3420000}"/>
    <cellStyle name="_Data_Sortiment_BGT 08 Templates Sales  Marketing - final (revised) 2 2" xfId="17101" xr:uid="{00000000-0005-0000-0000-0000C4420000}"/>
    <cellStyle name="_Data_Sortiment_BGT 08 Templates Sales  Marketing - final (revised) 3" xfId="17102" xr:uid="{00000000-0005-0000-0000-0000C5420000}"/>
    <cellStyle name="_Data_Sortiment_BGT 08 Templates Sales  Marketing - final (revised) 4" xfId="17103" xr:uid="{00000000-0005-0000-0000-0000C6420000}"/>
    <cellStyle name="_Data_Sortiment_BGT 08 templates, Sales &amp; Marketing - draft com alterações" xfId="17104" xr:uid="{00000000-0005-0000-0000-0000C7420000}"/>
    <cellStyle name="_Data_Sortiment_BGT 08 templates, Sales &amp; Marketing - draft com alterações 2" xfId="17105" xr:uid="{00000000-0005-0000-0000-0000C8420000}"/>
    <cellStyle name="_Data_Sortiment_BGT 08 templates, Sales &amp; Marketing - draft com alterações 2 2" xfId="17106" xr:uid="{00000000-0005-0000-0000-0000C9420000}"/>
    <cellStyle name="_Data_Sortiment_BGT 08 templates, Sales &amp; Marketing - draft com alterações 3" xfId="17107" xr:uid="{00000000-0005-0000-0000-0000CA420000}"/>
    <cellStyle name="_Data_Sortiment_BGT 08 templates, Sales &amp; Marketing - draft com alterações 4" xfId="17108" xr:uid="{00000000-0005-0000-0000-0000CB420000}"/>
    <cellStyle name="_Data_Sortiment_Book5" xfId="17109" xr:uid="{00000000-0005-0000-0000-0000CC420000}"/>
    <cellStyle name="_Data_Sortiment_Book5 2" xfId="17110" xr:uid="{00000000-0005-0000-0000-0000CD420000}"/>
    <cellStyle name="_Data_Sortiment_Book5 2 2" xfId="17111" xr:uid="{00000000-0005-0000-0000-0000CE420000}"/>
    <cellStyle name="_Data_Sortiment_Book5 3" xfId="17112" xr:uid="{00000000-0005-0000-0000-0000CF420000}"/>
    <cellStyle name="_Data_Sortiment_Book5 4" xfId="17113" xr:uid="{00000000-0005-0000-0000-0000D0420000}"/>
    <cellStyle name="_Data_Sortiment_Bplan RD 1001" xfId="17114" xr:uid="{00000000-0005-0000-0000-0000D1420000}"/>
    <cellStyle name="_Data_Sortiment_Bplan RD 1001 2" xfId="17115" xr:uid="{00000000-0005-0000-0000-0000D2420000}"/>
    <cellStyle name="_Data_Sortiment_Bplan RD 1001 2 2" xfId="17116" xr:uid="{00000000-0005-0000-0000-0000D3420000}"/>
    <cellStyle name="_Data_Sortiment_Bplan RD 1001 3" xfId="17117" xr:uid="{00000000-0005-0000-0000-0000D4420000}"/>
    <cellStyle name="_Data_Sortiment_Bplan RD 1001 4" xfId="17118" xr:uid="{00000000-0005-0000-0000-0000D5420000}"/>
    <cellStyle name="_Data_Sortiment_Copy of 081027 ZBB Budget 2009 Decks - People_Cherry_V4" xfId="17119" xr:uid="{00000000-0005-0000-0000-0000D6420000}"/>
    <cellStyle name="_Data_Sortiment_Copy of 081027 ZBB Budget 2009 Decks - People_Cherry_V4 2" xfId="17120" xr:uid="{00000000-0005-0000-0000-0000D7420000}"/>
    <cellStyle name="_Data_Sortiment_Copy of 081027 ZBB Budget 2009 Decks - People_Cherry_V4 2 2" xfId="17121" xr:uid="{00000000-0005-0000-0000-0000D8420000}"/>
    <cellStyle name="_Data_Sortiment_Copy of BGT 08 Templates Sales  Marketing - final (revised)" xfId="17122" xr:uid="{00000000-0005-0000-0000-0000D9420000}"/>
    <cellStyle name="_Data_Sortiment_Copy of BGT 08 Templates Sales  Marketing - final (revised) 2" xfId="17123" xr:uid="{00000000-0005-0000-0000-0000DA420000}"/>
    <cellStyle name="_Data_Sortiment_Copy of BGT 08 Templates Sales  Marketing - final (revised) 2 2" xfId="17124" xr:uid="{00000000-0005-0000-0000-0000DB420000}"/>
    <cellStyle name="_Data_Sortiment_Copy of BGT 08 Templates Sales  Marketing - final (revised) 3" xfId="17125" xr:uid="{00000000-0005-0000-0000-0000DC420000}"/>
    <cellStyle name="_Data_Sortiment_Copy of BGT 08 Templates Sales  Marketing - final (revised) 4" xfId="17126" xr:uid="{00000000-0005-0000-0000-0000DD420000}"/>
    <cellStyle name="_Data_Sortiment_Excel sheets to support Market Program Template for Budget 09 (5) (2)" xfId="17127" xr:uid="{00000000-0005-0000-0000-0000DE420000}"/>
    <cellStyle name="_Data_Sortiment_Excel sheets to support Market Program Template for Budget 09 (5) (2) 2" xfId="17128" xr:uid="{00000000-0005-0000-0000-0000DF420000}"/>
    <cellStyle name="_Data_Sortiment_Excel sheets to support Market Program Template for Budget 09 (5) (2) 2 2" xfId="17129" xr:uid="{00000000-0005-0000-0000-0000E0420000}"/>
    <cellStyle name="_Data_Sortiment_Excel sheets to support Market Program Template for Budget 09 (5) (3)" xfId="17130" xr:uid="{00000000-0005-0000-0000-0000E1420000}"/>
    <cellStyle name="_Data_Sortiment_Excel sheets to support Market Program Template for Budget 09 (5) (3) 2" xfId="17131" xr:uid="{00000000-0005-0000-0000-0000E2420000}"/>
    <cellStyle name="_Data_Sortiment_Excel sheets to support Market Program Template for Budget 09 (5) (3) 2 2" xfId="17132" xr:uid="{00000000-0005-0000-0000-0000E3420000}"/>
    <cellStyle name="_Data_Sortiment_LE Ebitda RD Feb-10 v2" xfId="17133" xr:uid="{00000000-0005-0000-0000-0000E4420000}"/>
    <cellStyle name="_Data_Sortiment_LE Ebitda RD Feb-10 v2 2" xfId="17134" xr:uid="{00000000-0005-0000-0000-0000E5420000}"/>
    <cellStyle name="_Data_Sortiment_LE Ebitda RD Feb-10 v2 2 2" xfId="17135" xr:uid="{00000000-0005-0000-0000-0000E6420000}"/>
    <cellStyle name="_Data_Sortiment_People Package" xfId="17136" xr:uid="{00000000-0005-0000-0000-0000E7420000}"/>
    <cellStyle name="_Data_Sortiment_People Package (2)" xfId="17137" xr:uid="{00000000-0005-0000-0000-0000E8420000}"/>
    <cellStyle name="_Data_Sortiment_People Package (2) 2" xfId="17138" xr:uid="{00000000-0005-0000-0000-0000E9420000}"/>
    <cellStyle name="_Data_Sortiment_People Package (2) 2 2" xfId="17139" xr:uid="{00000000-0005-0000-0000-0000EA420000}"/>
    <cellStyle name="_Data_Sortiment_People Package 2" xfId="17140" xr:uid="{00000000-0005-0000-0000-0000EB420000}"/>
    <cellStyle name="_Data_Sortiment_People Package 2 2" xfId="17141" xr:uid="{00000000-0005-0000-0000-0000EC420000}"/>
    <cellStyle name="_Data_Sortiment_People Package 3" xfId="17142" xr:uid="{00000000-0005-0000-0000-0000ED420000}"/>
    <cellStyle name="_Data_Sortiment_People Package 3 2" xfId="17143" xr:uid="{00000000-0005-0000-0000-0000EE420000}"/>
    <cellStyle name="_Data_Sortiment_People Package 4" xfId="17144" xr:uid="{00000000-0005-0000-0000-0000EF420000}"/>
    <cellStyle name="_Data_Sortiment_People Package 5" xfId="17145" xr:uid="{00000000-0005-0000-0000-0000F0420000}"/>
    <cellStyle name="_Data_Sortiment_Sales and Marketing - revised" xfId="17146" xr:uid="{00000000-0005-0000-0000-0000F1420000}"/>
    <cellStyle name="_Data_Sortiment_Sales and Marketing - revised 2" xfId="17147" xr:uid="{00000000-0005-0000-0000-0000F2420000}"/>
    <cellStyle name="_Data_Sortiment_Sales and Marketing - revised 2 2" xfId="17148" xr:uid="{00000000-0005-0000-0000-0000F3420000}"/>
    <cellStyle name="_Data_Sortiment_Sales and Marketing - revised 3" xfId="17149" xr:uid="{00000000-0005-0000-0000-0000F4420000}"/>
    <cellStyle name="_Data_Sortiment_Sales and Marketing - revised 4" xfId="17150" xr:uid="{00000000-0005-0000-0000-0000F5420000}"/>
    <cellStyle name="_Data_Sortiment_Sim Ebitda LE 0909 v4" xfId="17151" xr:uid="{00000000-0005-0000-0000-0000F6420000}"/>
    <cellStyle name="_Data_Sortiment_Sim Ebitda LE 0909 v4 2" xfId="17152" xr:uid="{00000000-0005-0000-0000-0000F7420000}"/>
    <cellStyle name="_Data_Sortiment_Sim Ebitda LE 0909 v4 2 2" xfId="17153" xr:uid="{00000000-0005-0000-0000-0000F8420000}"/>
    <cellStyle name="_Data_Sortiment_Sim Ebitda LE 0909 v4 3" xfId="17154" xr:uid="{00000000-0005-0000-0000-0000F9420000}"/>
    <cellStyle name="_Data_Sortiment_Sim Ebitda LE 0909 v4 4" xfId="17155" xr:uid="{00000000-0005-0000-0000-0000FA420000}"/>
    <cellStyle name="_Data_Sortiment_Strategic Diagnostic Templates Technik" xfId="17156" xr:uid="{00000000-0005-0000-0000-0000FB420000}"/>
    <cellStyle name="_Data_Sortiment_Strategic Diagnostic Templates Technik 2" xfId="17157" xr:uid="{00000000-0005-0000-0000-0000FC420000}"/>
    <cellStyle name="_Data_Sortiment_Strategic Diagnostic Templates Technik 2 2" xfId="17158" xr:uid="{00000000-0005-0000-0000-0000FD420000}"/>
    <cellStyle name="_Data_Sortiment_Strategic Diagnostic Templates Technik 2 2 2" xfId="17159" xr:uid="{00000000-0005-0000-0000-0000FE420000}"/>
    <cellStyle name="_Data_Sortiment_Strategic Diagnostic Templates Technik 2 3" xfId="17160" xr:uid="{00000000-0005-0000-0000-0000FF420000}"/>
    <cellStyle name="_Data_Sortiment_Strategic Diagnostic Templates Technik 2 4" xfId="17161" xr:uid="{00000000-0005-0000-0000-000000430000}"/>
    <cellStyle name="_Data_Sortiment_Strategic Diagnostic Templates Technik 3" xfId="17162" xr:uid="{00000000-0005-0000-0000-000001430000}"/>
    <cellStyle name="_Data_Sortiment_Strategic Diagnostic Templates Technik 3 2" xfId="17163" xr:uid="{00000000-0005-0000-0000-000002430000}"/>
    <cellStyle name="_Data_Sortiment_Strategic Diagnostic Templates Technik_010808 Market Programs  for Budget Deck" xfId="17164" xr:uid="{00000000-0005-0000-0000-000003430000}"/>
    <cellStyle name="_Data_Sortiment_Strategic Diagnostic Templates Technik_010808 Market Programs  for Budget Deck 2" xfId="17165" xr:uid="{00000000-0005-0000-0000-000004430000}"/>
    <cellStyle name="_Data_Sortiment_Strategic Diagnostic Templates Technik_010808 Market Programs  for Budget Deck 2 2" xfId="17166" xr:uid="{00000000-0005-0000-0000-000005430000}"/>
    <cellStyle name="_Data_Sortiment_Strategic Diagnostic Templates Technik_0908 Gabarito exchange rate" xfId="17167" xr:uid="{00000000-0005-0000-0000-000006430000}"/>
    <cellStyle name="_Data_Sortiment_Strategic Diagnostic Templates Technik_0908 Gabarito exchange rate 2" xfId="17168" xr:uid="{00000000-0005-0000-0000-000007430000}"/>
    <cellStyle name="_Data_Sortiment_Strategic Diagnostic Templates Technik_0908 Gabarito exchange rate 2 2" xfId="17169" xr:uid="{00000000-0005-0000-0000-000008430000}"/>
    <cellStyle name="_Data_Sortiment_Strategic Diagnostic Templates Technik_0908 Gabarito exchange rate 3" xfId="17170" xr:uid="{00000000-0005-0000-0000-000009430000}"/>
    <cellStyle name="_Data_Sortiment_Strategic Diagnostic Templates Technik_0908 Gabarito exchange rate 4" xfId="17171" xr:uid="{00000000-0005-0000-0000-00000A430000}"/>
    <cellStyle name="_Data_Sortiment_Strategic Diagnostic Templates Technik_BGT 08 Templates Sales  Marketing - final (revised)" xfId="17172" xr:uid="{00000000-0005-0000-0000-00000B430000}"/>
    <cellStyle name="_Data_Sortiment_Strategic Diagnostic Templates Technik_BGT 08 Templates Sales  Marketing - final (revised) 2" xfId="17173" xr:uid="{00000000-0005-0000-0000-00000C430000}"/>
    <cellStyle name="_Data_Sortiment_Strategic Diagnostic Templates Technik_BGT 08 Templates Sales  Marketing - final (revised) 2 2" xfId="17174" xr:uid="{00000000-0005-0000-0000-00000D430000}"/>
    <cellStyle name="_Data_Sortiment_Strategic Diagnostic Templates Technik_BGT 08 Templates Sales  Marketing - final (revised) 3" xfId="17175" xr:uid="{00000000-0005-0000-0000-00000E430000}"/>
    <cellStyle name="_Data_Sortiment_Strategic Diagnostic Templates Technik_BGT 08 Templates Sales  Marketing - final (revised) 4" xfId="17176" xr:uid="{00000000-0005-0000-0000-00000F430000}"/>
    <cellStyle name="_Data_Sortiment_Strategic Diagnostic Templates Technik_Book5" xfId="17177" xr:uid="{00000000-0005-0000-0000-000010430000}"/>
    <cellStyle name="_Data_Sortiment_Strategic Diagnostic Templates Technik_Book5 2" xfId="17178" xr:uid="{00000000-0005-0000-0000-000011430000}"/>
    <cellStyle name="_Data_Sortiment_Strategic Diagnostic Templates Technik_Book5 2 2" xfId="17179" xr:uid="{00000000-0005-0000-0000-000012430000}"/>
    <cellStyle name="_Data_Sortiment_Strategic Diagnostic Templates Technik_Book5 3" xfId="17180" xr:uid="{00000000-0005-0000-0000-000013430000}"/>
    <cellStyle name="_Data_Sortiment_Strategic Diagnostic Templates Technik_Book5 4" xfId="17181" xr:uid="{00000000-0005-0000-0000-000014430000}"/>
    <cellStyle name="_Data_Sortiment_Strategic Diagnostic Templates Technik_Bplan RD 1001" xfId="17182" xr:uid="{00000000-0005-0000-0000-000015430000}"/>
    <cellStyle name="_Data_Sortiment_Strategic Diagnostic Templates Technik_Bplan RD 1001 2" xfId="17183" xr:uid="{00000000-0005-0000-0000-000016430000}"/>
    <cellStyle name="_Data_Sortiment_Strategic Diagnostic Templates Technik_Bplan RD 1001 2 2" xfId="17184" xr:uid="{00000000-0005-0000-0000-000017430000}"/>
    <cellStyle name="_Data_Sortiment_Strategic Diagnostic Templates Technik_Bplan RD 1001 3" xfId="17185" xr:uid="{00000000-0005-0000-0000-000018430000}"/>
    <cellStyle name="_Data_Sortiment_Strategic Diagnostic Templates Technik_Bplan RD 1001 4" xfId="17186" xr:uid="{00000000-0005-0000-0000-000019430000}"/>
    <cellStyle name="_Data_Sortiment_Strategic Diagnostic Templates Technik_Copy of BGT 08 Templates Sales  Marketing - final (revised)" xfId="17187" xr:uid="{00000000-0005-0000-0000-00001A430000}"/>
    <cellStyle name="_Data_Sortiment_Strategic Diagnostic Templates Technik_Copy of BGT 08 Templates Sales  Marketing - final (revised) 2" xfId="17188" xr:uid="{00000000-0005-0000-0000-00001B430000}"/>
    <cellStyle name="_Data_Sortiment_Strategic Diagnostic Templates Technik_Copy of BGT 08 Templates Sales  Marketing - final (revised) 2 2" xfId="17189" xr:uid="{00000000-0005-0000-0000-00001C430000}"/>
    <cellStyle name="_Data_Sortiment_Strategic Diagnostic Templates Technik_Copy of BGT 08 Templates Sales  Marketing - final (revised) 3" xfId="17190" xr:uid="{00000000-0005-0000-0000-00001D430000}"/>
    <cellStyle name="_Data_Sortiment_Strategic Diagnostic Templates Technik_Copy of BGT 08 Templates Sales  Marketing - final (revised) 4" xfId="17191" xr:uid="{00000000-0005-0000-0000-00001E430000}"/>
    <cellStyle name="_Data_Sortiment_Strategic Diagnostic Templates Technik_Excel sheets to support Market Program Template for Budget 09" xfId="17192" xr:uid="{00000000-0005-0000-0000-00001F430000}"/>
    <cellStyle name="_Data_Sortiment_Strategic Diagnostic Templates Technik_Excel sheets to support Market Program Template for Budget 09 (5) (2)" xfId="17193" xr:uid="{00000000-0005-0000-0000-000020430000}"/>
    <cellStyle name="_Data_Sortiment_Strategic Diagnostic Templates Technik_Excel sheets to support Market Program Template for Budget 09 (5) (2) 2" xfId="17194" xr:uid="{00000000-0005-0000-0000-000021430000}"/>
    <cellStyle name="_Data_Sortiment_Strategic Diagnostic Templates Technik_Excel sheets to support Market Program Template for Budget 09 (5) (2) 2 2" xfId="17195" xr:uid="{00000000-0005-0000-0000-000022430000}"/>
    <cellStyle name="_Data_Sortiment_Strategic Diagnostic Templates Technik_Excel sheets to support Market Program Template for Budget 09 (5) (3)" xfId="17196" xr:uid="{00000000-0005-0000-0000-000023430000}"/>
    <cellStyle name="_Data_Sortiment_Strategic Diagnostic Templates Technik_Excel sheets to support Market Program Template for Budget 09 (5) (3) 2" xfId="17197" xr:uid="{00000000-0005-0000-0000-000024430000}"/>
    <cellStyle name="_Data_Sortiment_Strategic Diagnostic Templates Technik_Excel sheets to support Market Program Template for Budget 09 (5) (3) 2 2" xfId="17198" xr:uid="{00000000-0005-0000-0000-000025430000}"/>
    <cellStyle name="_Data_Sortiment_Strategic Diagnostic Templates Technik_Excel sheets to support Market Program Template for Budget 09 2" xfId="17199" xr:uid="{00000000-0005-0000-0000-000026430000}"/>
    <cellStyle name="_Data_Sortiment_Strategic Diagnostic Templates Technik_Excel sheets to support Market Program Template for Budget 09 2 2" xfId="17200" xr:uid="{00000000-0005-0000-0000-000027430000}"/>
    <cellStyle name="_Data_Sortiment_Strategic Diagnostic Templates Technik_Excel sheets to support Market Program Template for Budget 09 3" xfId="17201" xr:uid="{00000000-0005-0000-0000-000028430000}"/>
    <cellStyle name="_Data_Sortiment_Strategic Diagnostic Templates Technik_Excel sheets to support Market Program Template for Budget 09 3 2" xfId="17202" xr:uid="{00000000-0005-0000-0000-000029430000}"/>
    <cellStyle name="_Data_Sortiment_Strategic Diagnostic Templates Technik_Excel sheets to support Market Program Template for Budget 09 4" xfId="17203" xr:uid="{00000000-0005-0000-0000-00002A430000}"/>
    <cellStyle name="_Data_Sortiment_Strategic Diagnostic Templates Technik_Excel sheets to support Market Program Template for Budget 09 5" xfId="17204" xr:uid="{00000000-0005-0000-0000-00002B430000}"/>
    <cellStyle name="_Data_Sortiment_Strategic Diagnostic Templates Technik_Excel sheets to support Market Program Template for Budget 09 6" xfId="17205" xr:uid="{00000000-0005-0000-0000-00002C430000}"/>
    <cellStyle name="_Data_Sortiment_Strategic Diagnostic Templates Technik_LE Ebitda RD Feb-10 v2" xfId="17206" xr:uid="{00000000-0005-0000-0000-00002D430000}"/>
    <cellStyle name="_Data_Sortiment_Strategic Diagnostic Templates Technik_LE Ebitda RD Feb-10 v2 2" xfId="17207" xr:uid="{00000000-0005-0000-0000-00002E430000}"/>
    <cellStyle name="_Data_Sortiment_Strategic Diagnostic Templates Technik_LE Ebitda RD Feb-10 v2 2 2" xfId="17208" xr:uid="{00000000-0005-0000-0000-00002F430000}"/>
    <cellStyle name="_Data_Sortiment_Strategic Diagnostic Templates Technik_People Package" xfId="17209" xr:uid="{00000000-0005-0000-0000-000030430000}"/>
    <cellStyle name="_Data_Sortiment_Strategic Diagnostic Templates Technik_People Package (2)" xfId="17210" xr:uid="{00000000-0005-0000-0000-000031430000}"/>
    <cellStyle name="_Data_Sortiment_Strategic Diagnostic Templates Technik_People Package (2) 2" xfId="17211" xr:uid="{00000000-0005-0000-0000-000032430000}"/>
    <cellStyle name="_Data_Sortiment_Strategic Diagnostic Templates Technik_People Package (2) 2 2" xfId="17212" xr:uid="{00000000-0005-0000-0000-000033430000}"/>
    <cellStyle name="_Data_Sortiment_Strategic Diagnostic Templates Technik_People Package 2" xfId="17213" xr:uid="{00000000-0005-0000-0000-000034430000}"/>
    <cellStyle name="_Data_Sortiment_Strategic Diagnostic Templates Technik_People Package 2 2" xfId="17214" xr:uid="{00000000-0005-0000-0000-000035430000}"/>
    <cellStyle name="_Data_Sortiment_Strategic Diagnostic Templates Technik_People Package 3" xfId="17215" xr:uid="{00000000-0005-0000-0000-000036430000}"/>
    <cellStyle name="_Data_Sortiment_Strategic Diagnostic Templates Technik_People Package 3 2" xfId="17216" xr:uid="{00000000-0005-0000-0000-000037430000}"/>
    <cellStyle name="_Data_Sortiment_Strategic Diagnostic Templates Technik_People Package 4" xfId="17217" xr:uid="{00000000-0005-0000-0000-000038430000}"/>
    <cellStyle name="_Data_Sortiment_Strategic Diagnostic Templates Technik_People Package 5" xfId="17218" xr:uid="{00000000-0005-0000-0000-000039430000}"/>
    <cellStyle name="_Data_Sortiment_Strategic Diagnostic Templates Technik_Sales and Marketing - revised" xfId="17219" xr:uid="{00000000-0005-0000-0000-00003A430000}"/>
    <cellStyle name="_Data_Sortiment_Strategic Diagnostic Templates Technik_Sales and Marketing - revised 2" xfId="17220" xr:uid="{00000000-0005-0000-0000-00003B430000}"/>
    <cellStyle name="_Data_Sortiment_Strategic Diagnostic Templates Technik_Sales and Marketing - revised 2 2" xfId="17221" xr:uid="{00000000-0005-0000-0000-00003C430000}"/>
    <cellStyle name="_Data_Sortiment_Strategic Diagnostic Templates Technik_Sales and Marketing - revised 3" xfId="17222" xr:uid="{00000000-0005-0000-0000-00003D430000}"/>
    <cellStyle name="_Data_Sortiment_Strategic Diagnostic Templates Technik_Sales and Marketing - revised 4" xfId="17223" xr:uid="{00000000-0005-0000-0000-00003E430000}"/>
    <cellStyle name="_Data_Sortiment_Strategic Diagnostic Templates Technik_Sim Ebitda LE 0909 v4" xfId="17224" xr:uid="{00000000-0005-0000-0000-00003F430000}"/>
    <cellStyle name="_Data_Sortiment_Strategic Diagnostic Templates Technik_Sim Ebitda LE 0909 v4 2" xfId="17225" xr:uid="{00000000-0005-0000-0000-000040430000}"/>
    <cellStyle name="_Data_Sortiment_Strategic Diagnostic Templates Technik_Sim Ebitda LE 0909 v4 2 2" xfId="17226" xr:uid="{00000000-0005-0000-0000-000041430000}"/>
    <cellStyle name="_Data_Sortiment_Strategic Diagnostic Templates Technik_Sim Ebitda LE 0909 v4 3" xfId="17227" xr:uid="{00000000-0005-0000-0000-000042430000}"/>
    <cellStyle name="_Data_Sortiment_Strategic Diagnostic Templates Technik_Sim Ebitda LE 0909 v4 4" xfId="17228" xr:uid="{00000000-0005-0000-0000-000043430000}"/>
    <cellStyle name="_Data_Sortiment_Strategic Diagnostic Templates Technik_WF Ebitda RD Abr-10" xfId="17229" xr:uid="{00000000-0005-0000-0000-000044430000}"/>
    <cellStyle name="_Data_Sortiment_Strategic Diagnostic Templates Technik_WF Ebitda RD Abr-10 2" xfId="17230" xr:uid="{00000000-0005-0000-0000-000045430000}"/>
    <cellStyle name="_Data_Sortiment_Strategic Diagnostic Templates Technik_WF Ebitda RD Abr-10 2 2" xfId="17231" xr:uid="{00000000-0005-0000-0000-000046430000}"/>
    <cellStyle name="_Data_Sortiment_Strategic Diagnostic Templates Technik_WF Ebitda Sep09" xfId="17232" xr:uid="{00000000-0005-0000-0000-000047430000}"/>
    <cellStyle name="_Data_Sortiment_Strategic Diagnostic Templates Technik_WF Ebitda Sep09 2" xfId="17233" xr:uid="{00000000-0005-0000-0000-000048430000}"/>
    <cellStyle name="_Data_Sortiment_Strategic Diagnostic Templates Technik_WF Ebitda Sep09 2 2" xfId="17234" xr:uid="{00000000-0005-0000-0000-000049430000}"/>
    <cellStyle name="_Data_Sortiment_Strategic Diagnostic Templates Technik_ZBB" xfId="17235" xr:uid="{00000000-0005-0000-0000-00004A430000}"/>
    <cellStyle name="_Data_Sortiment_Strategic Diagnostic Templates Technik_ZBB 2" xfId="17236" xr:uid="{00000000-0005-0000-0000-00004B430000}"/>
    <cellStyle name="_Data_Sortiment_Strategic Diagnostic Templates Technik_ZBB 2 2" xfId="17237" xr:uid="{00000000-0005-0000-0000-00004C430000}"/>
    <cellStyle name="_Data_Sortiment_WF Ebitda RD Abr-10" xfId="17238" xr:uid="{00000000-0005-0000-0000-00004D430000}"/>
    <cellStyle name="_Data_Sortiment_WF Ebitda RD Abr-10 2" xfId="17239" xr:uid="{00000000-0005-0000-0000-00004E430000}"/>
    <cellStyle name="_Data_Sortiment_WF Ebitda RD Abr-10 2 2" xfId="17240" xr:uid="{00000000-0005-0000-0000-00004F430000}"/>
    <cellStyle name="_Data_Sortiment_WF Ebitda Sep09" xfId="17241" xr:uid="{00000000-0005-0000-0000-000050430000}"/>
    <cellStyle name="_Data_Sortiment_WF Ebitda Sep09 2" xfId="17242" xr:uid="{00000000-0005-0000-0000-000051430000}"/>
    <cellStyle name="_Data_Sortiment_WF Ebitda Sep09 2 2" xfId="17243" xr:uid="{00000000-0005-0000-0000-000052430000}"/>
    <cellStyle name="_Data_Sortiment_ZBB" xfId="17244" xr:uid="{00000000-0005-0000-0000-000053430000}"/>
    <cellStyle name="_Data_Sortiment_ZBB 2" xfId="17245" xr:uid="{00000000-0005-0000-0000-000054430000}"/>
    <cellStyle name="_Data_Sortiment_ZBB 2 2" xfId="17246" xr:uid="{00000000-0005-0000-0000-000055430000}"/>
    <cellStyle name="_Data_Sortiment_ZBB Budget 2009 Decks" xfId="17247" xr:uid="{00000000-0005-0000-0000-000056430000}"/>
    <cellStyle name="_Data_Sortiment_ZBB Budget 2009 Decks 2" xfId="17248" xr:uid="{00000000-0005-0000-0000-000057430000}"/>
    <cellStyle name="_Data_Sortiment_ZBB Budget 2009 Decks 2 2" xfId="17249" xr:uid="{00000000-0005-0000-0000-000058430000}"/>
    <cellStyle name="_Data_Sortiment_ZBB Budget 2009 Decks_with Korea Scope in (Only LE)" xfId="17250" xr:uid="{00000000-0005-0000-0000-000059430000}"/>
    <cellStyle name="_Data_Sortiment_ZBB Budget 2009 Decks_with Korea Scope in (Only LE) (2)" xfId="17251" xr:uid="{00000000-0005-0000-0000-00005A430000}"/>
    <cellStyle name="_Data_Sortiment_ZBB Budget 2009 Decks_with Korea Scope in (Only LE) (2) 2" xfId="17252" xr:uid="{00000000-0005-0000-0000-00005B430000}"/>
    <cellStyle name="_Data_Sortiment_ZBB Budget 2009 Decks_with Korea Scope in (Only LE) (2) 2 2" xfId="17253" xr:uid="{00000000-0005-0000-0000-00005C430000}"/>
    <cellStyle name="_Data_Sortiment_ZBB Budget 2009 Decks_with Korea Scope in (Only LE) 2" xfId="17254" xr:uid="{00000000-0005-0000-0000-00005D430000}"/>
    <cellStyle name="_Data_Sortiment_ZBB Budget 2009 Decks_with Korea Scope in (Only LE) 2 2" xfId="17255" xr:uid="{00000000-0005-0000-0000-00005E430000}"/>
    <cellStyle name="_Data_Sortiment_ZBB Budget 2009 Decks_with Korea Scope in (Only LE) 3" xfId="17256" xr:uid="{00000000-0005-0000-0000-00005F430000}"/>
    <cellStyle name="_Data_Sortiment_ZBB Budget 2009 Decks_with Korea Scope in (Only LE) 3 2" xfId="17257" xr:uid="{00000000-0005-0000-0000-000060430000}"/>
    <cellStyle name="_Data_Sortiment_ZBB Budget 2009 Decks_with Korea Scope in (Only LE) 4" xfId="17258" xr:uid="{00000000-0005-0000-0000-000061430000}"/>
    <cellStyle name="_Data_Sortiment_ZBB Budget 2009 Decks_with Korea Scope in (Only LE) 5" xfId="17259" xr:uid="{00000000-0005-0000-0000-000062430000}"/>
    <cellStyle name="_Data_Steuerung" xfId="17260" xr:uid="{00000000-0005-0000-0000-000063430000}"/>
    <cellStyle name="_Data_Steuerung 2" xfId="17261" xr:uid="{00000000-0005-0000-0000-000064430000}"/>
    <cellStyle name="_Data_Steuerung 2 2" xfId="17262" xr:uid="{00000000-0005-0000-0000-000065430000}"/>
    <cellStyle name="_Data_Steuerung 3" xfId="17263" xr:uid="{00000000-0005-0000-0000-000066430000}"/>
    <cellStyle name="_Data_Steuerung 4" xfId="17264" xr:uid="{00000000-0005-0000-0000-000067430000}"/>
    <cellStyle name="_Data_Steuerung_Copy of 081027 ZBB Budget 2009 Decks - People_Cherry_V4" xfId="17265" xr:uid="{00000000-0005-0000-0000-000068430000}"/>
    <cellStyle name="_Data_Steuerung_Copy of 081027 ZBB Budget 2009 Decks - People_Cherry_V4 2" xfId="17266" xr:uid="{00000000-0005-0000-0000-000069430000}"/>
    <cellStyle name="_Data_Steuerung_Copy of 081027 ZBB Budget 2009 Decks - People_Cherry_V4 2 2" xfId="17267" xr:uid="{00000000-0005-0000-0000-00006A430000}"/>
    <cellStyle name="_Data_Steuerung_Copy of 081027 ZBB Budget 2009 Decks - People_Cherry_V4 3" xfId="17268" xr:uid="{00000000-0005-0000-0000-00006B430000}"/>
    <cellStyle name="_Data_Steuerung_Copy of 081027 ZBB Budget 2009 Decks - People_Cherry_V4 4" xfId="17269" xr:uid="{00000000-0005-0000-0000-00006C430000}"/>
    <cellStyle name="_Data_Steuerung_ZBB Budget 2009 Decks" xfId="17270" xr:uid="{00000000-0005-0000-0000-00006D430000}"/>
    <cellStyle name="_Data_Steuerung_ZBB Budget 2009 Decks 2" xfId="17271" xr:uid="{00000000-0005-0000-0000-00006E430000}"/>
    <cellStyle name="_Data_Steuerung_ZBB Budget 2009 Decks 2 2" xfId="17272" xr:uid="{00000000-0005-0000-0000-00006F430000}"/>
    <cellStyle name="_Data_Steuerung_ZBB Budget 2009 Decks 3" xfId="17273" xr:uid="{00000000-0005-0000-0000-000070430000}"/>
    <cellStyle name="_Data_Steuerung_ZBB Budget 2009 Decks 4" xfId="17274" xr:uid="{00000000-0005-0000-0000-000071430000}"/>
    <cellStyle name="_Data_Steuerung_ZBB Budget 2009 Decks_with Korea Scope in (Only LE)" xfId="17275" xr:uid="{00000000-0005-0000-0000-000072430000}"/>
    <cellStyle name="_Data_Steuerung_ZBB Budget 2009 Decks_with Korea Scope in (Only LE) (2)" xfId="17276" xr:uid="{00000000-0005-0000-0000-000073430000}"/>
    <cellStyle name="_Data_Steuerung_ZBB Budget 2009 Decks_with Korea Scope in (Only LE) (2) 2" xfId="17277" xr:uid="{00000000-0005-0000-0000-000074430000}"/>
    <cellStyle name="_Data_Steuerung_ZBB Budget 2009 Decks_with Korea Scope in (Only LE) (2) 2 2" xfId="17278" xr:uid="{00000000-0005-0000-0000-000075430000}"/>
    <cellStyle name="_Data_Steuerung_ZBB Budget 2009 Decks_with Korea Scope in (Only LE) (2) 3" xfId="17279" xr:uid="{00000000-0005-0000-0000-000076430000}"/>
    <cellStyle name="_Data_Steuerung_ZBB Budget 2009 Decks_with Korea Scope in (Only LE) (2) 4" xfId="17280" xr:uid="{00000000-0005-0000-0000-000077430000}"/>
    <cellStyle name="_Data_Steuerung_ZBB Budget 2009 Decks_with Korea Scope in (Only LE) 2" xfId="17281" xr:uid="{00000000-0005-0000-0000-000078430000}"/>
    <cellStyle name="_Data_Steuerung_ZBB Budget 2009 Decks_with Korea Scope in (Only LE) 2 2" xfId="17282" xr:uid="{00000000-0005-0000-0000-000079430000}"/>
    <cellStyle name="_Data_Steuerung_ZBB Budget 2009 Decks_with Korea Scope in (Only LE) 3" xfId="17283" xr:uid="{00000000-0005-0000-0000-00007A430000}"/>
    <cellStyle name="_Data_Steuerung_ZBB Budget 2009 Decks_with Korea Scope in (Only LE) 3 2" xfId="17284" xr:uid="{00000000-0005-0000-0000-00007B430000}"/>
    <cellStyle name="_Data_Steuerung_ZBB Budget 2009 Decks_with Korea Scope in (Only LE) 4" xfId="17285" xr:uid="{00000000-0005-0000-0000-00007C430000}"/>
    <cellStyle name="_Data_Steuerung_ZBB Budget 2009 Decks_with Korea Scope in (Only LE) 5" xfId="17286" xr:uid="{00000000-0005-0000-0000-00007D430000}"/>
    <cellStyle name="_Data_Steuerung_ZBB Budget 2009 Decks_with Korea Scope in (Only LE) 6" xfId="17287" xr:uid="{00000000-0005-0000-0000-00007E430000}"/>
    <cellStyle name="_Data_Strategic Diagnostic Templates Technik" xfId="17288" xr:uid="{00000000-0005-0000-0000-00007F430000}"/>
    <cellStyle name="_Data_Strategic Diagnostic Templates Technik 2" xfId="17289" xr:uid="{00000000-0005-0000-0000-000080430000}"/>
    <cellStyle name="_Data_Strategic Diagnostic Templates Technik 2 2" xfId="17290" xr:uid="{00000000-0005-0000-0000-000081430000}"/>
    <cellStyle name="_Data_Strategic Diagnostic Templates Technik 2 2 2" xfId="17291" xr:uid="{00000000-0005-0000-0000-000082430000}"/>
    <cellStyle name="_Data_Strategic Diagnostic Templates Technik 2 3" xfId="17292" xr:uid="{00000000-0005-0000-0000-000083430000}"/>
    <cellStyle name="_Data_Strategic Diagnostic Templates Technik 3" xfId="17293" xr:uid="{00000000-0005-0000-0000-000084430000}"/>
    <cellStyle name="_Data_Strategic Diagnostic Templates Technik 3 2" xfId="17294" xr:uid="{00000000-0005-0000-0000-000085430000}"/>
    <cellStyle name="_Data_Strategic Diagnostic Templates Technik_010808 Market Programs  for Budget Deck" xfId="17295" xr:uid="{00000000-0005-0000-0000-000086430000}"/>
    <cellStyle name="_Data_Strategic Diagnostic Templates Technik_010808 Market Programs  for Budget Deck 2" xfId="17296" xr:uid="{00000000-0005-0000-0000-000087430000}"/>
    <cellStyle name="_Data_Strategic Diagnostic Templates Technik_010808 Market Programs  for Budget Deck 2 2" xfId="17297" xr:uid="{00000000-0005-0000-0000-000088430000}"/>
    <cellStyle name="_Data_Strategic Diagnostic Templates Technik_0908 Gabarito exchange rate" xfId="17298" xr:uid="{00000000-0005-0000-0000-000089430000}"/>
    <cellStyle name="_Data_Strategic Diagnostic Templates Technik_0908 Gabarito exchange rate 2" xfId="17299" xr:uid="{00000000-0005-0000-0000-00008A430000}"/>
    <cellStyle name="_Data_Strategic Diagnostic Templates Technik_0908 Gabarito exchange rate 2 2" xfId="17300" xr:uid="{00000000-0005-0000-0000-00008B430000}"/>
    <cellStyle name="_Data_Strategic Diagnostic Templates Technik_BGT 08 Templates Sales  Marketing - final (revised)" xfId="17301" xr:uid="{00000000-0005-0000-0000-00008C430000}"/>
    <cellStyle name="_Data_Strategic Diagnostic Templates Technik_BGT 08 Templates Sales  Marketing - final (revised) 2" xfId="17302" xr:uid="{00000000-0005-0000-0000-00008D430000}"/>
    <cellStyle name="_Data_Strategic Diagnostic Templates Technik_BGT 08 Templates Sales  Marketing - final (revised) 2 2" xfId="17303" xr:uid="{00000000-0005-0000-0000-00008E430000}"/>
    <cellStyle name="_Data_Strategic Diagnostic Templates Technik_Book5" xfId="17304" xr:uid="{00000000-0005-0000-0000-00008F430000}"/>
    <cellStyle name="_Data_Strategic Diagnostic Templates Technik_Book5 2" xfId="17305" xr:uid="{00000000-0005-0000-0000-000090430000}"/>
    <cellStyle name="_Data_Strategic Diagnostic Templates Technik_Book5 2 2" xfId="17306" xr:uid="{00000000-0005-0000-0000-000091430000}"/>
    <cellStyle name="_Data_Strategic Diagnostic Templates Technik_Bplan RD 1001" xfId="17307" xr:uid="{00000000-0005-0000-0000-000092430000}"/>
    <cellStyle name="_Data_Strategic Diagnostic Templates Technik_Bplan RD 1001 2" xfId="17308" xr:uid="{00000000-0005-0000-0000-000093430000}"/>
    <cellStyle name="_Data_Strategic Diagnostic Templates Technik_Bplan RD 1001 2 2" xfId="17309" xr:uid="{00000000-0005-0000-0000-000094430000}"/>
    <cellStyle name="_Data_Strategic Diagnostic Templates Technik_Copy of BGT 08 Templates Sales  Marketing - final (revised)" xfId="17310" xr:uid="{00000000-0005-0000-0000-000095430000}"/>
    <cellStyle name="_Data_Strategic Diagnostic Templates Technik_Copy of BGT 08 Templates Sales  Marketing - final (revised) 2" xfId="17311" xr:uid="{00000000-0005-0000-0000-000096430000}"/>
    <cellStyle name="_Data_Strategic Diagnostic Templates Technik_Copy of BGT 08 Templates Sales  Marketing - final (revised) 2 2" xfId="17312" xr:uid="{00000000-0005-0000-0000-000097430000}"/>
    <cellStyle name="_Data_Strategic Diagnostic Templates Technik_Excel sheets to support Market Program Template for Budget 09" xfId="17313" xr:uid="{00000000-0005-0000-0000-000098430000}"/>
    <cellStyle name="_Data_Strategic Diagnostic Templates Technik_Excel sheets to support Market Program Template for Budget 09 (5) (2)" xfId="17314" xr:uid="{00000000-0005-0000-0000-000099430000}"/>
    <cellStyle name="_Data_Strategic Diagnostic Templates Technik_Excel sheets to support Market Program Template for Budget 09 (5) (2) 2" xfId="17315" xr:uid="{00000000-0005-0000-0000-00009A430000}"/>
    <cellStyle name="_Data_Strategic Diagnostic Templates Technik_Excel sheets to support Market Program Template for Budget 09 (5) (2) 2 2" xfId="17316" xr:uid="{00000000-0005-0000-0000-00009B430000}"/>
    <cellStyle name="_Data_Strategic Diagnostic Templates Technik_Excel sheets to support Market Program Template for Budget 09 (5) (3)" xfId="17317" xr:uid="{00000000-0005-0000-0000-00009C430000}"/>
    <cellStyle name="_Data_Strategic Diagnostic Templates Technik_Excel sheets to support Market Program Template for Budget 09 (5) (3) 2" xfId="17318" xr:uid="{00000000-0005-0000-0000-00009D430000}"/>
    <cellStyle name="_Data_Strategic Diagnostic Templates Technik_Excel sheets to support Market Program Template for Budget 09 (5) (3) 2 2" xfId="17319" xr:uid="{00000000-0005-0000-0000-00009E430000}"/>
    <cellStyle name="_Data_Strategic Diagnostic Templates Technik_Excel sheets to support Market Program Template for Budget 09 2" xfId="17320" xr:uid="{00000000-0005-0000-0000-00009F430000}"/>
    <cellStyle name="_Data_Strategic Diagnostic Templates Technik_Excel sheets to support Market Program Template for Budget 09 2 2" xfId="17321" xr:uid="{00000000-0005-0000-0000-0000A0430000}"/>
    <cellStyle name="_Data_Strategic Diagnostic Templates Technik_Excel sheets to support Market Program Template for Budget 09 3" xfId="17322" xr:uid="{00000000-0005-0000-0000-0000A1430000}"/>
    <cellStyle name="_Data_Strategic Diagnostic Templates Technik_Excel sheets to support Market Program Template for Budget 09 3 2" xfId="17323" xr:uid="{00000000-0005-0000-0000-0000A2430000}"/>
    <cellStyle name="_Data_Strategic Diagnostic Templates Technik_Excel sheets to support Market Program Template for Budget 09 4" xfId="17324" xr:uid="{00000000-0005-0000-0000-0000A3430000}"/>
    <cellStyle name="_Data_Strategic Diagnostic Templates Technik_Excel sheets to support Market Program Template for Budget 09 5" xfId="17325" xr:uid="{00000000-0005-0000-0000-0000A4430000}"/>
    <cellStyle name="_Data_Strategic Diagnostic Templates Technik_LE Ebitda RD Feb-10 v2" xfId="17326" xr:uid="{00000000-0005-0000-0000-0000A5430000}"/>
    <cellStyle name="_Data_Strategic Diagnostic Templates Technik_LE Ebitda RD Feb-10 v2 2" xfId="17327" xr:uid="{00000000-0005-0000-0000-0000A6430000}"/>
    <cellStyle name="_Data_Strategic Diagnostic Templates Technik_LE Ebitda RD Feb-10 v2 2 2" xfId="17328" xr:uid="{00000000-0005-0000-0000-0000A7430000}"/>
    <cellStyle name="_Data_Strategic Diagnostic Templates Technik_People Package" xfId="17329" xr:uid="{00000000-0005-0000-0000-0000A8430000}"/>
    <cellStyle name="_Data_Strategic Diagnostic Templates Technik_People Package (2)" xfId="17330" xr:uid="{00000000-0005-0000-0000-0000A9430000}"/>
    <cellStyle name="_Data_Strategic Diagnostic Templates Technik_People Package (2) 2" xfId="17331" xr:uid="{00000000-0005-0000-0000-0000AA430000}"/>
    <cellStyle name="_Data_Strategic Diagnostic Templates Technik_People Package (2) 2 2" xfId="17332" xr:uid="{00000000-0005-0000-0000-0000AB430000}"/>
    <cellStyle name="_Data_Strategic Diagnostic Templates Technik_People Package 2" xfId="17333" xr:uid="{00000000-0005-0000-0000-0000AC430000}"/>
    <cellStyle name="_Data_Strategic Diagnostic Templates Technik_People Package 2 2" xfId="17334" xr:uid="{00000000-0005-0000-0000-0000AD430000}"/>
    <cellStyle name="_Data_Strategic Diagnostic Templates Technik_People Package 3" xfId="17335" xr:uid="{00000000-0005-0000-0000-0000AE430000}"/>
    <cellStyle name="_Data_Strategic Diagnostic Templates Technik_People Package 3 2" xfId="17336" xr:uid="{00000000-0005-0000-0000-0000AF430000}"/>
    <cellStyle name="_Data_Strategic Diagnostic Templates Technik_People Package 4" xfId="17337" xr:uid="{00000000-0005-0000-0000-0000B0430000}"/>
    <cellStyle name="_Data_Strategic Diagnostic Templates Technik_People Package 5" xfId="17338" xr:uid="{00000000-0005-0000-0000-0000B1430000}"/>
    <cellStyle name="_Data_Strategic Diagnostic Templates Technik_Sales and Marketing - revised" xfId="17339" xr:uid="{00000000-0005-0000-0000-0000B2430000}"/>
    <cellStyle name="_Data_Strategic Diagnostic Templates Technik_Sales and Marketing - revised 2" xfId="17340" xr:uid="{00000000-0005-0000-0000-0000B3430000}"/>
    <cellStyle name="_Data_Strategic Diagnostic Templates Technik_Sales and Marketing - revised 2 2" xfId="17341" xr:uid="{00000000-0005-0000-0000-0000B4430000}"/>
    <cellStyle name="_Data_Strategic Diagnostic Templates Technik_Sim Ebitda LE 0909 v4" xfId="17342" xr:uid="{00000000-0005-0000-0000-0000B5430000}"/>
    <cellStyle name="_Data_Strategic Diagnostic Templates Technik_Sim Ebitda LE 0909 v4 2" xfId="17343" xr:uid="{00000000-0005-0000-0000-0000B6430000}"/>
    <cellStyle name="_Data_Strategic Diagnostic Templates Technik_Sim Ebitda LE 0909 v4 2 2" xfId="17344" xr:uid="{00000000-0005-0000-0000-0000B7430000}"/>
    <cellStyle name="_Data_Strategic Diagnostic Templates Technik_WF Ebitda RD Abr-10" xfId="17345" xr:uid="{00000000-0005-0000-0000-0000B8430000}"/>
    <cellStyle name="_Data_Strategic Diagnostic Templates Technik_WF Ebitda RD Abr-10 2" xfId="17346" xr:uid="{00000000-0005-0000-0000-0000B9430000}"/>
    <cellStyle name="_Data_Strategic Diagnostic Templates Technik_WF Ebitda RD Abr-10 2 2" xfId="17347" xr:uid="{00000000-0005-0000-0000-0000BA430000}"/>
    <cellStyle name="_Data_Strategic Diagnostic Templates Technik_WF Ebitda Sep09" xfId="17348" xr:uid="{00000000-0005-0000-0000-0000BB430000}"/>
    <cellStyle name="_Data_Strategic Diagnostic Templates Technik_WF Ebitda Sep09 2" xfId="17349" xr:uid="{00000000-0005-0000-0000-0000BC430000}"/>
    <cellStyle name="_Data_Strategic Diagnostic Templates Technik_WF Ebitda Sep09 2 2" xfId="17350" xr:uid="{00000000-0005-0000-0000-0000BD430000}"/>
    <cellStyle name="_Data_Strategic Diagnostic Templates Technik_ZBB" xfId="17351" xr:uid="{00000000-0005-0000-0000-0000BE430000}"/>
    <cellStyle name="_Data_Strategic Diagnostic Templates Technik_ZBB 2" xfId="17352" xr:uid="{00000000-0005-0000-0000-0000BF430000}"/>
    <cellStyle name="_Data_Strategic Diagnostic Templates Technik_ZBB 2 2" xfId="17353" xr:uid="{00000000-0005-0000-0000-0000C0430000}"/>
    <cellStyle name="_Data_Strom" xfId="17354" xr:uid="{00000000-0005-0000-0000-0000C1430000}"/>
    <cellStyle name="_Data_Strom 2" xfId="17355" xr:uid="{00000000-0005-0000-0000-0000C2430000}"/>
    <cellStyle name="_Data_Strom 2 2" xfId="17356" xr:uid="{00000000-0005-0000-0000-0000C3430000}"/>
    <cellStyle name="_Data_Strom_Copy of 081027 ZBB Budget 2009 Decks - People_Cherry_V4" xfId="17357" xr:uid="{00000000-0005-0000-0000-0000C4430000}"/>
    <cellStyle name="_Data_Strom_Copy of 081027 ZBB Budget 2009 Decks - People_Cherry_V4 2" xfId="17358" xr:uid="{00000000-0005-0000-0000-0000C5430000}"/>
    <cellStyle name="_Data_Strom_Copy of 081027 ZBB Budget 2009 Decks - People_Cherry_V4 2 2" xfId="17359" xr:uid="{00000000-0005-0000-0000-0000C6430000}"/>
    <cellStyle name="_Data_Strom_ZBB Budget 2009 Decks" xfId="17360" xr:uid="{00000000-0005-0000-0000-0000C7430000}"/>
    <cellStyle name="_Data_Strom_ZBB Budget 2009 Decks 2" xfId="17361" xr:uid="{00000000-0005-0000-0000-0000C8430000}"/>
    <cellStyle name="_Data_Strom_ZBB Budget 2009 Decks 2 2" xfId="17362" xr:uid="{00000000-0005-0000-0000-0000C9430000}"/>
    <cellStyle name="_Data_Strom_ZBB Budget 2009 Decks_with Korea Scope in (Only LE)" xfId="17363" xr:uid="{00000000-0005-0000-0000-0000CA430000}"/>
    <cellStyle name="_Data_Strom_ZBB Budget 2009 Decks_with Korea Scope in (Only LE) (2)" xfId="17364" xr:uid="{00000000-0005-0000-0000-0000CB430000}"/>
    <cellStyle name="_Data_Strom_ZBB Budget 2009 Decks_with Korea Scope in (Only LE) (2) 2" xfId="17365" xr:uid="{00000000-0005-0000-0000-0000CC430000}"/>
    <cellStyle name="_Data_Strom_ZBB Budget 2009 Decks_with Korea Scope in (Only LE) (2) 2 2" xfId="17366" xr:uid="{00000000-0005-0000-0000-0000CD430000}"/>
    <cellStyle name="_Data_Strom_ZBB Budget 2009 Decks_with Korea Scope in (Only LE) 2" xfId="17367" xr:uid="{00000000-0005-0000-0000-0000CE430000}"/>
    <cellStyle name="_Data_Strom_ZBB Budget 2009 Decks_with Korea Scope in (Only LE) 2 2" xfId="17368" xr:uid="{00000000-0005-0000-0000-0000CF430000}"/>
    <cellStyle name="_Data_Strom_ZBB Budget 2009 Decks_with Korea Scope in (Only LE) 3" xfId="17369" xr:uid="{00000000-0005-0000-0000-0000D0430000}"/>
    <cellStyle name="_Data_Strom_ZBB Budget 2009 Decks_with Korea Scope in (Only LE) 3 2" xfId="17370" xr:uid="{00000000-0005-0000-0000-0000D1430000}"/>
    <cellStyle name="_Data_Strom_ZBB Budget 2009 Decks_with Korea Scope in (Only LE) 4" xfId="17371" xr:uid="{00000000-0005-0000-0000-0000D2430000}"/>
    <cellStyle name="_Data_Strom_ZBB Budget 2009 Decks_with Korea Scope in (Only LE) 5" xfId="17372" xr:uid="{00000000-0005-0000-0000-0000D3430000}"/>
    <cellStyle name="_Data_VE" xfId="17373" xr:uid="{00000000-0005-0000-0000-0000D4430000}"/>
    <cellStyle name="_Data_VE 2" xfId="17374" xr:uid="{00000000-0005-0000-0000-0000D5430000}"/>
    <cellStyle name="_Data_VE 2 2" xfId="17375" xr:uid="{00000000-0005-0000-0000-0000D6430000}"/>
    <cellStyle name="_Data_Volumi BU'07" xfId="17376" xr:uid="{00000000-0005-0000-0000-0000D7430000}"/>
    <cellStyle name="_Data_Wasser-Abwasser" xfId="17377" xr:uid="{00000000-0005-0000-0000-0000D8430000}"/>
    <cellStyle name="_Data_Wasser-Abwasser 2" xfId="17378" xr:uid="{00000000-0005-0000-0000-0000D9430000}"/>
    <cellStyle name="_Data_Wasser-Abwasser 2 2" xfId="17379" xr:uid="{00000000-0005-0000-0000-0000DA430000}"/>
    <cellStyle name="_Data_Wasser-Abwasser_Copy of 081027 ZBB Budget 2009 Decks - People_Cherry_V4" xfId="17380" xr:uid="{00000000-0005-0000-0000-0000DB430000}"/>
    <cellStyle name="_Data_Wasser-Abwasser_Copy of 081027 ZBB Budget 2009 Decks - People_Cherry_V4 2" xfId="17381" xr:uid="{00000000-0005-0000-0000-0000DC430000}"/>
    <cellStyle name="_Data_Wasser-Abwasser_Copy of 081027 ZBB Budget 2009 Decks - People_Cherry_V4 2 2" xfId="17382" xr:uid="{00000000-0005-0000-0000-0000DD430000}"/>
    <cellStyle name="_Data_Wasser-Abwasser_ZBB Budget 2009 Decks" xfId="17383" xr:uid="{00000000-0005-0000-0000-0000DE430000}"/>
    <cellStyle name="_Data_Wasser-Abwasser_ZBB Budget 2009 Decks 2" xfId="17384" xr:uid="{00000000-0005-0000-0000-0000DF430000}"/>
    <cellStyle name="_Data_Wasser-Abwasser_ZBB Budget 2009 Decks 2 2" xfId="17385" xr:uid="{00000000-0005-0000-0000-0000E0430000}"/>
    <cellStyle name="_Data_Wasser-Abwasser_ZBB Budget 2009 Decks_with Korea Scope in (Only LE)" xfId="17386" xr:uid="{00000000-0005-0000-0000-0000E1430000}"/>
    <cellStyle name="_Data_Wasser-Abwasser_ZBB Budget 2009 Decks_with Korea Scope in (Only LE) (2)" xfId="17387" xr:uid="{00000000-0005-0000-0000-0000E2430000}"/>
    <cellStyle name="_Data_Wasser-Abwasser_ZBB Budget 2009 Decks_with Korea Scope in (Only LE) (2) 2" xfId="17388" xr:uid="{00000000-0005-0000-0000-0000E3430000}"/>
    <cellStyle name="_Data_Wasser-Abwasser_ZBB Budget 2009 Decks_with Korea Scope in (Only LE) (2) 2 2" xfId="17389" xr:uid="{00000000-0005-0000-0000-0000E4430000}"/>
    <cellStyle name="_Data_Wasser-Abwasser_ZBB Budget 2009 Decks_with Korea Scope in (Only LE) 2" xfId="17390" xr:uid="{00000000-0005-0000-0000-0000E5430000}"/>
    <cellStyle name="_Data_Wasser-Abwasser_ZBB Budget 2009 Decks_with Korea Scope in (Only LE) 2 2" xfId="17391" xr:uid="{00000000-0005-0000-0000-0000E6430000}"/>
    <cellStyle name="_Data_Wasser-Abwasser_ZBB Budget 2009 Decks_with Korea Scope in (Only LE) 3" xfId="17392" xr:uid="{00000000-0005-0000-0000-0000E7430000}"/>
    <cellStyle name="_Data_Wasser-Abwasser_ZBB Budget 2009 Decks_with Korea Scope in (Only LE) 3 2" xfId="17393" xr:uid="{00000000-0005-0000-0000-0000E8430000}"/>
    <cellStyle name="_Data_Wasser-Abwasser_ZBB Budget 2009 Decks_with Korea Scope in (Only LE) 4" xfId="17394" xr:uid="{00000000-0005-0000-0000-0000E9430000}"/>
    <cellStyle name="_Data_Wasser-Abwasser_ZBB Budget 2009 Decks_with Korea Scope in (Only LE) 5" xfId="17395" xr:uid="{00000000-0005-0000-0000-0000EA430000}"/>
    <cellStyle name="_Data_waterfall-rol" xfId="17396" xr:uid="{00000000-0005-0000-0000-0000EB430000}"/>
    <cellStyle name="_Data_waterfall-rol 2" xfId="17397" xr:uid="{00000000-0005-0000-0000-0000EC430000}"/>
    <cellStyle name="_Data_waterfall-rol 2 2" xfId="17398" xr:uid="{00000000-0005-0000-0000-0000ED430000}"/>
    <cellStyle name="_Data_ZBB" xfId="17399" xr:uid="{00000000-0005-0000-0000-0000EE430000}"/>
    <cellStyle name="_Data_ZBB 2" xfId="17400" xr:uid="{00000000-0005-0000-0000-0000EF430000}"/>
    <cellStyle name="_Data_ZBB 2 2" xfId="17401" xr:uid="{00000000-0005-0000-0000-0000F0430000}"/>
    <cellStyle name="_Data_ZBB Budget 2009 Decks" xfId="17402" xr:uid="{00000000-0005-0000-0000-0000F1430000}"/>
    <cellStyle name="_Data_ZBB Budget 2009 Decks 2" xfId="17403" xr:uid="{00000000-0005-0000-0000-0000F2430000}"/>
    <cellStyle name="_Data_ZBB Budget 2009 Decks 2 2" xfId="17404" xr:uid="{00000000-0005-0000-0000-0000F3430000}"/>
    <cellStyle name="_Data_ZBB Budget 2009 Decks_with Korea Scope in (Only LE)" xfId="17405" xr:uid="{00000000-0005-0000-0000-0000F4430000}"/>
    <cellStyle name="_Data_ZBB Budget 2009 Decks_with Korea Scope in (Only LE) (2)" xfId="17406" xr:uid="{00000000-0005-0000-0000-0000F5430000}"/>
    <cellStyle name="_Data_ZBB Budget 2009 Decks_with Korea Scope in (Only LE) (2) 2" xfId="17407" xr:uid="{00000000-0005-0000-0000-0000F6430000}"/>
    <cellStyle name="_Data_ZBB Budget 2009 Decks_with Korea Scope in (Only LE) (2) 2 2" xfId="17408" xr:uid="{00000000-0005-0000-0000-0000F7430000}"/>
    <cellStyle name="_Data_ZBB Budget 2009 Decks_with Korea Scope in (Only LE) 2" xfId="17409" xr:uid="{00000000-0005-0000-0000-0000F8430000}"/>
    <cellStyle name="_Data_ZBB Budget 2009 Decks_with Korea Scope in (Only LE) 2 2" xfId="17410" xr:uid="{00000000-0005-0000-0000-0000F9430000}"/>
    <cellStyle name="_Data_ZBB Budget 2009 Decks_with Korea Scope in (Only LE) 3" xfId="17411" xr:uid="{00000000-0005-0000-0000-0000FA430000}"/>
    <cellStyle name="_Data_ZBB Budget 2009 Decks_with Korea Scope in (Only LE) 3 2" xfId="17412" xr:uid="{00000000-0005-0000-0000-0000FB430000}"/>
    <cellStyle name="_Data_ZBB Budget 2009 Decks_with Korea Scope in (Only LE) 4" xfId="17413" xr:uid="{00000000-0005-0000-0000-0000FC430000}"/>
    <cellStyle name="_Data_ZBB Budget 2009 Decks_with Korea Scope in (Only LE) 5" xfId="17414" xr:uid="{00000000-0005-0000-0000-0000FD430000}"/>
    <cellStyle name="_DataşSortimeŮt_Strategic Diagnostic Templates Technik" xfId="17415" xr:uid="{00000000-0005-0000-0000-0000FE430000}"/>
    <cellStyle name="_DataşSortimeŮt_Strategic Diagnostic Templates Technik 2" xfId="17416" xr:uid="{00000000-0005-0000-0000-0000FF430000}"/>
    <cellStyle name="_DataşSortimeŮt_Strategic Diagnostic Templates Technik 2 2" xfId="17417" xr:uid="{00000000-0005-0000-0000-000000440000}"/>
    <cellStyle name="_DataşSortimeŮt_Strategic Diagnostic Templates Technik 3" xfId="17418" xr:uid="{00000000-0005-0000-0000-000001440000}"/>
    <cellStyle name="_DataşSortimeŮt_Strategic Diagnostic Templates Technik 4" xfId="17419" xr:uid="{00000000-0005-0000-0000-000002440000}"/>
    <cellStyle name="_DECK" xfId="17420" xr:uid="{00000000-0005-0000-0000-000003440000}"/>
    <cellStyle name="_DECK 2" xfId="17421" xr:uid="{00000000-0005-0000-0000-000004440000}"/>
    <cellStyle name="_DECK 2 2" xfId="17422" xr:uid="{00000000-0005-0000-0000-000005440000}"/>
    <cellStyle name="_DECK 3" xfId="17423" xr:uid="{00000000-0005-0000-0000-000006440000}"/>
    <cellStyle name="_DECK_ZBB Budget 2009 Decks v2 china" xfId="17424" xr:uid="{00000000-0005-0000-0000-000007440000}"/>
    <cellStyle name="_DECK_ZBB Budget 2009 Decks v2 china 2" xfId="17425" xr:uid="{00000000-0005-0000-0000-000008440000}"/>
    <cellStyle name="_DECK_ZBB Budget 2009 Decks v2 china 2 2" xfId="17426" xr:uid="{00000000-0005-0000-0000-000009440000}"/>
    <cellStyle name="_DECK_ZBB Budget 2009 Decks v2 china 2 2 2" xfId="17427" xr:uid="{00000000-0005-0000-0000-00000A440000}"/>
    <cellStyle name="_DECK_ZBB Budget 2009 Decks v2 china 2 3" xfId="17428" xr:uid="{00000000-0005-0000-0000-00000B440000}"/>
    <cellStyle name="_DECK_ZBB Budget 2009 Decks v2 china 3" xfId="17429" xr:uid="{00000000-0005-0000-0000-00000C440000}"/>
    <cellStyle name="_DECK_ZBB Budget 2009 Decks v2 china 3 2" xfId="17430" xr:uid="{00000000-0005-0000-0000-00000D440000}"/>
    <cellStyle name="_DECK_ZBB Budget 2009 Decks v2 china 4" xfId="17431" xr:uid="{00000000-0005-0000-0000-00000E440000}"/>
    <cellStyle name="_DECK_ZBB standard Template Korea_081105" xfId="17432" xr:uid="{00000000-0005-0000-0000-00000F440000}"/>
    <cellStyle name="_DECK_ZBB standard Template Korea_081105 2" xfId="17433" xr:uid="{00000000-0005-0000-0000-000010440000}"/>
    <cellStyle name="_DECK_ZBB standard Template Korea_081105 2 2" xfId="17434" xr:uid="{00000000-0005-0000-0000-000011440000}"/>
    <cellStyle name="_DECK_ZBB standard Template Korea_081105 2 2 2" xfId="17435" xr:uid="{00000000-0005-0000-0000-000012440000}"/>
    <cellStyle name="_DECK_ZBB standard Template Korea_081105 2 3" xfId="17436" xr:uid="{00000000-0005-0000-0000-000013440000}"/>
    <cellStyle name="_DECK_ZBB standard Template Korea_081105 3" xfId="17437" xr:uid="{00000000-0005-0000-0000-000014440000}"/>
    <cellStyle name="_DECK_ZBB standard Template Korea_081105 3 2" xfId="17438" xr:uid="{00000000-0005-0000-0000-000015440000}"/>
    <cellStyle name="_DECK_ZBB standard Template Korea_081105 4" xfId="17439" xr:uid="{00000000-0005-0000-0000-000016440000}"/>
    <cellStyle name="_Dispersiones de Rol - BR - Jun08" xfId="17440" xr:uid="{00000000-0005-0000-0000-000017440000}"/>
    <cellStyle name="_Dispersiones de Rol - BR - Jun08 2" xfId="17441" xr:uid="{00000000-0005-0000-0000-000018440000}"/>
    <cellStyle name="_Dispersiones de Rol - BR - Jun08 2 2" xfId="17442" xr:uid="{00000000-0005-0000-0000-000019440000}"/>
    <cellStyle name="_Dispersiones de Rol - BR - Jun08 3" xfId="17443" xr:uid="{00000000-0005-0000-0000-00001A440000}"/>
    <cellStyle name="_Ebitda 2008 Julio Real vs Plan vs LE" xfId="17444" xr:uid="{00000000-0005-0000-0000-00001B440000}"/>
    <cellStyle name="_Ebitda 2008 Julio Real vs Plan vs LE 2" xfId="17445" xr:uid="{00000000-0005-0000-0000-00001C440000}"/>
    <cellStyle name="_Ebitda 2008 Julio Real vs Plan vs LE 2 2" xfId="17446" xr:uid="{00000000-0005-0000-0000-00001D440000}"/>
    <cellStyle name="_Ebitda 2008 Julio Real vs Plan vs LE 3" xfId="17447" xr:uid="{00000000-0005-0000-0000-00001E440000}"/>
    <cellStyle name="_Ebitda 2008 Julio Real vs Plan vs LE_CA ML" xfId="17448" xr:uid="{00000000-0005-0000-0000-00001F440000}"/>
    <cellStyle name="_Ebitda 2008 Julio Real vs Plan vs LE_CA ML 2" xfId="17449" xr:uid="{00000000-0005-0000-0000-000020440000}"/>
    <cellStyle name="_Ebitda 2008 Julio Real vs Plan vs LE_CA ML 2 2" xfId="17450" xr:uid="{00000000-0005-0000-0000-000021440000}"/>
    <cellStyle name="_Ebitda 2008 Julio Real vs Plan vs LE_CA ML 3" xfId="17451" xr:uid="{00000000-0005-0000-0000-000022440000}"/>
    <cellStyle name="_Ebitda 2008 Julio Real vs Plan vs LE_CA ML_1" xfId="17452" xr:uid="{00000000-0005-0000-0000-000023440000}"/>
    <cellStyle name="_Ebitda 2008 Julio Real vs Plan vs LE_CA ML_1 2" xfId="17453" xr:uid="{00000000-0005-0000-0000-000024440000}"/>
    <cellStyle name="_Ebitda 2008 Julio Real vs Plan vs LE_CA ML_1 2 2" xfId="17454" xr:uid="{00000000-0005-0000-0000-000025440000}"/>
    <cellStyle name="_Ebitda 2008 Julio Real vs Plan vs LE_CA ML_1 3" xfId="17455" xr:uid="{00000000-0005-0000-0000-000026440000}"/>
    <cellStyle name="_Ebitda 2008 Julio Real vs Plan vs LE_CA ML_2" xfId="17456" xr:uid="{00000000-0005-0000-0000-000027440000}"/>
    <cellStyle name="_Ebitda 2008 Julio Real vs Plan vs LE_CA ML_2 2" xfId="17457" xr:uid="{00000000-0005-0000-0000-000028440000}"/>
    <cellStyle name="_Ebitda 2008 Julio Real vs Plan vs LE_CA ML_2 2 2" xfId="17458" xr:uid="{00000000-0005-0000-0000-000029440000}"/>
    <cellStyle name="_Ebitda 2008 Julio Real vs Plan vs LE_CA ML_2 3" xfId="17459" xr:uid="{00000000-0005-0000-0000-00002A440000}"/>
    <cellStyle name="_Ebitda 2008 Julio Real vs Plan vs LE_CA USD" xfId="17460" xr:uid="{00000000-0005-0000-0000-00002B440000}"/>
    <cellStyle name="_Ebitda 2008 Julio Real vs Plan vs LE_CA USD 2" xfId="17461" xr:uid="{00000000-0005-0000-0000-00002C440000}"/>
    <cellStyle name="_Ebitda 2008 Julio Real vs Plan vs LE_CA USD 2 2" xfId="17462" xr:uid="{00000000-0005-0000-0000-00002D440000}"/>
    <cellStyle name="_Ebitda 2008 Julio Real vs Plan vs LE_CA USD 3" xfId="17463" xr:uid="{00000000-0005-0000-0000-00002E440000}"/>
    <cellStyle name="_Ebitda 2008 Julio Real vs Plan vs LE_EC ML" xfId="17464" xr:uid="{00000000-0005-0000-0000-00002F440000}"/>
    <cellStyle name="_Ebitda 2008 Julio Real vs Plan vs LE_EC ML 2" xfId="17465" xr:uid="{00000000-0005-0000-0000-000030440000}"/>
    <cellStyle name="_Ebitda 2008 Julio Real vs Plan vs LE_EC ML 2 2" xfId="17466" xr:uid="{00000000-0005-0000-0000-000031440000}"/>
    <cellStyle name="_Ebitda 2008 Julio Real vs Plan vs LE_EC ML 3" xfId="17467" xr:uid="{00000000-0005-0000-0000-000032440000}"/>
    <cellStyle name="_Ebitda 2008 Julio Real vs Plan vs LE_EC ML_1" xfId="17468" xr:uid="{00000000-0005-0000-0000-000033440000}"/>
    <cellStyle name="_Ebitda 2008 Julio Real vs Plan vs LE_EC ML_1 2" xfId="17469" xr:uid="{00000000-0005-0000-0000-000034440000}"/>
    <cellStyle name="_Ebitda 2008 Julio Real vs Plan vs LE_EC ML_1 2 2" xfId="17470" xr:uid="{00000000-0005-0000-0000-000035440000}"/>
    <cellStyle name="_Ebitda 2008 Julio Real vs Plan vs LE_EC ML_1 3" xfId="17471" xr:uid="{00000000-0005-0000-0000-000036440000}"/>
    <cellStyle name="_Ebitda 2008 Julio Real vs Plan vs LE_EC USD" xfId="17472" xr:uid="{00000000-0005-0000-0000-000037440000}"/>
    <cellStyle name="_Ebitda 2008 Julio Real vs Plan vs LE_EC USD 2" xfId="17473" xr:uid="{00000000-0005-0000-0000-000038440000}"/>
    <cellStyle name="_Ebitda 2008 Julio Real vs Plan vs LE_EC USD 2 2" xfId="17474" xr:uid="{00000000-0005-0000-0000-000039440000}"/>
    <cellStyle name="_Ebitda 2008 Julio Real vs Plan vs LE_EC USD 3" xfId="17475" xr:uid="{00000000-0005-0000-0000-00003A440000}"/>
    <cellStyle name="_Ebitda 2008 Julio Real vs Plan vs LE_fx" xfId="17476" xr:uid="{00000000-0005-0000-0000-00003B440000}"/>
    <cellStyle name="_Ebitda 2008 Julio Real vs Plan vs LE_fx 2" xfId="17477" xr:uid="{00000000-0005-0000-0000-00003C440000}"/>
    <cellStyle name="_Ebitda 2008 Julio Real vs Plan vs LE_fx 2 2" xfId="17478" xr:uid="{00000000-0005-0000-0000-00003D440000}"/>
    <cellStyle name="_Ebitda 2008 Julio Real vs Plan vs LE_fx 3" xfId="17479" xr:uid="{00000000-0005-0000-0000-00003E440000}"/>
    <cellStyle name="_Ebitda 2008 Julio Real vs Plan vs LE_PE ML" xfId="17480" xr:uid="{00000000-0005-0000-0000-00003F440000}"/>
    <cellStyle name="_Ebitda 2008 Julio Real vs Plan vs LE_PE ML 2" xfId="17481" xr:uid="{00000000-0005-0000-0000-000040440000}"/>
    <cellStyle name="_Ebitda 2008 Julio Real vs Plan vs LE_PE ML 2 2" xfId="17482" xr:uid="{00000000-0005-0000-0000-000041440000}"/>
    <cellStyle name="_Ebitda 2008 Julio Real vs Plan vs LE_PE ML 3" xfId="17483" xr:uid="{00000000-0005-0000-0000-000042440000}"/>
    <cellStyle name="_Ebitda 2008 Julio Real vs Plan vs LE_PE ML_1" xfId="17484" xr:uid="{00000000-0005-0000-0000-000043440000}"/>
    <cellStyle name="_Ebitda 2008 Julio Real vs Plan vs LE_PE ML_1 2" xfId="17485" xr:uid="{00000000-0005-0000-0000-000044440000}"/>
    <cellStyle name="_Ebitda 2008 Julio Real vs Plan vs LE_PE ML_1 2 2" xfId="17486" xr:uid="{00000000-0005-0000-0000-000045440000}"/>
    <cellStyle name="_Ebitda 2008 Julio Real vs Plan vs LE_PE ML_1 3" xfId="17487" xr:uid="{00000000-0005-0000-0000-000046440000}"/>
    <cellStyle name="_Ebitda 2008 Julio Real vs Plan vs LE_PE ML_2" xfId="17488" xr:uid="{00000000-0005-0000-0000-000047440000}"/>
    <cellStyle name="_Ebitda 2008 Julio Real vs Plan vs LE_PE ML_2 2" xfId="17489" xr:uid="{00000000-0005-0000-0000-000048440000}"/>
    <cellStyle name="_Ebitda 2008 Julio Real vs Plan vs LE_PE ML_2 2 2" xfId="17490" xr:uid="{00000000-0005-0000-0000-000049440000}"/>
    <cellStyle name="_Ebitda 2008 Julio Real vs Plan vs LE_PE ML_2 3" xfId="17491" xr:uid="{00000000-0005-0000-0000-00004A440000}"/>
    <cellStyle name="_Ebitda 2008 Julio Real vs Plan vs LE_PE USD" xfId="17492" xr:uid="{00000000-0005-0000-0000-00004B440000}"/>
    <cellStyle name="_Ebitda 2008 Julio Real vs Plan vs LE_PE USD 2" xfId="17493" xr:uid="{00000000-0005-0000-0000-00004C440000}"/>
    <cellStyle name="_Ebitda 2008 Julio Real vs Plan vs LE_PE USD 2 2" xfId="17494" xr:uid="{00000000-0005-0000-0000-00004D440000}"/>
    <cellStyle name="_Ebitda 2008 Julio Real vs Plan vs LE_PE USD 3" xfId="17495" xr:uid="{00000000-0005-0000-0000-00004E440000}"/>
    <cellStyle name="_Ebitda 2008 Julio Real vs Plan vs LE_RD ML" xfId="17496" xr:uid="{00000000-0005-0000-0000-00004F440000}"/>
    <cellStyle name="_Ebitda 2008 Julio Real vs Plan vs LE_RD ML 2" xfId="17497" xr:uid="{00000000-0005-0000-0000-000050440000}"/>
    <cellStyle name="_Ebitda 2008 Julio Real vs Plan vs LE_RD ML 2 2" xfId="17498" xr:uid="{00000000-0005-0000-0000-000051440000}"/>
    <cellStyle name="_Ebitda 2008 Julio Real vs Plan vs LE_RD ML 3" xfId="17499" xr:uid="{00000000-0005-0000-0000-000052440000}"/>
    <cellStyle name="_Ebitda 2008 Julio Real vs Plan vs LE_RD ML_1" xfId="17500" xr:uid="{00000000-0005-0000-0000-000053440000}"/>
    <cellStyle name="_Ebitda 2008 Julio Real vs Plan vs LE_RD ML_1 2" xfId="17501" xr:uid="{00000000-0005-0000-0000-000054440000}"/>
    <cellStyle name="_Ebitda 2008 Julio Real vs Plan vs LE_RD ML_1 2 2" xfId="17502" xr:uid="{00000000-0005-0000-0000-000055440000}"/>
    <cellStyle name="_Ebitda 2008 Julio Real vs Plan vs LE_RD ML_1 3" xfId="17503" xr:uid="{00000000-0005-0000-0000-000056440000}"/>
    <cellStyle name="_Ebitda 2008 Julio Real vs Plan vs LE_RD ML_2" xfId="17504" xr:uid="{00000000-0005-0000-0000-000057440000}"/>
    <cellStyle name="_Ebitda 2008 Julio Real vs Plan vs LE_RD ML_2 2" xfId="17505" xr:uid="{00000000-0005-0000-0000-000058440000}"/>
    <cellStyle name="_Ebitda 2008 Julio Real vs Plan vs LE_RD ML_2 2 2" xfId="17506" xr:uid="{00000000-0005-0000-0000-000059440000}"/>
    <cellStyle name="_Ebitda 2008 Julio Real vs Plan vs LE_RD ML_2 3" xfId="17507" xr:uid="{00000000-0005-0000-0000-00005A440000}"/>
    <cellStyle name="_Ebitda 2008 Julio Real vs Plan vs LE_RD USD" xfId="17508" xr:uid="{00000000-0005-0000-0000-00005B440000}"/>
    <cellStyle name="_Ebitda 2008 Julio Real vs Plan vs LE_RD USD 2" xfId="17509" xr:uid="{00000000-0005-0000-0000-00005C440000}"/>
    <cellStyle name="_Ebitda 2008 Julio Real vs Plan vs LE_RD USD 2 2" xfId="17510" xr:uid="{00000000-0005-0000-0000-00005D440000}"/>
    <cellStyle name="_Ebitda 2008 Julio Real vs Plan vs LE_RD USD 3" xfId="17511" xr:uid="{00000000-0005-0000-0000-00005E440000}"/>
    <cellStyle name="_Efecto VIC Mes 1009_Manuel" xfId="17512" xr:uid="{00000000-0005-0000-0000-00005F440000}"/>
    <cellStyle name="_Efecto VIC Mes 1009_Manuel 2" xfId="17513" xr:uid="{00000000-0005-0000-0000-000060440000}"/>
    <cellStyle name="_Efecto VIC Mes 1009_Manuel 2 2" xfId="17514" xr:uid="{00000000-0005-0000-0000-000061440000}"/>
    <cellStyle name="_Efecto VIC Mes 1009_Manuel 3" xfId="17515" xr:uid="{00000000-0005-0000-0000-000062440000}"/>
    <cellStyle name="_Eficiencia de consumo CO2 2010" xfId="17516" xr:uid="{00000000-0005-0000-0000-000063440000}"/>
    <cellStyle name="_Eficiencia de consumo CO2 2010 2" xfId="17517" xr:uid="{00000000-0005-0000-0000-000064440000}"/>
    <cellStyle name="_Eficiencia de Consumos HILA Cierre Abril 2008 (-Ecuador)" xfId="17518" xr:uid="{00000000-0005-0000-0000-000065440000}"/>
    <cellStyle name="_Eficiencia de Consumos HILA Cierre Abril 2008 (-Ecuador) 2" xfId="17519" xr:uid="{00000000-0005-0000-0000-000066440000}"/>
    <cellStyle name="_Eficiencia de Consumos HILA Cierre Abril 2008 (-Ecuador) 2 2" xfId="17520" xr:uid="{00000000-0005-0000-0000-000067440000}"/>
    <cellStyle name="_Eficiencia de Consumos HILA Cierre Abril 2008 (-Ecuador) 3" xfId="17521" xr:uid="{00000000-0005-0000-0000-000068440000}"/>
    <cellStyle name="_Eficiência de Consumos HILA Supply" xfId="17522" xr:uid="{00000000-0005-0000-0000-000069440000}"/>
    <cellStyle name="_Eficiência de Consumos HILA Supply 2" xfId="17523" xr:uid="{00000000-0005-0000-0000-00006A440000}"/>
    <cellStyle name="_Eficiência de Consumos HILA Supply 2 2" xfId="17524" xr:uid="{00000000-0005-0000-0000-00006B440000}"/>
    <cellStyle name="_Eficiência de Consumos HILA Supply 3" xfId="17525" xr:uid="{00000000-0005-0000-0000-00006C440000}"/>
    <cellStyle name="_Eficiencia de Precio_RD2009" xfId="17526" xr:uid="{00000000-0005-0000-0000-00006D440000}"/>
    <cellStyle name="_Eficiencia de Precio_RD2009 2" xfId="17527" xr:uid="{00000000-0005-0000-0000-00006E440000}"/>
    <cellStyle name="_Eficiencia de Precio_RD2009 2 2" xfId="17528" xr:uid="{00000000-0005-0000-0000-00006F440000}"/>
    <cellStyle name="_Eficiencia de Precio_RD2009 3" xfId="17529" xr:uid="{00000000-0005-0000-0000-000070440000}"/>
    <cellStyle name="_Eficiencia de Precios HILA Cierre Abril 2008 (-Ecuador)" xfId="17530" xr:uid="{00000000-0005-0000-0000-000071440000}"/>
    <cellStyle name="_Eficiencia de Precios HILA Cierre Abril 2008 (-Ecuador) 2" xfId="17531" xr:uid="{00000000-0005-0000-0000-000072440000}"/>
    <cellStyle name="_Eficiencia de Precios HILA Cierre Abril 2008 (-Ecuador) 2 2" xfId="17532" xr:uid="{00000000-0005-0000-0000-000073440000}"/>
    <cellStyle name="_Eficiencia de Precios HILA Cierre Abril 2008 (-Ecuador) 3" xfId="17533" xr:uid="{00000000-0005-0000-0000-000074440000}"/>
    <cellStyle name="_Eficiência de Preços HILA Supply" xfId="17534" xr:uid="{00000000-0005-0000-0000-000075440000}"/>
    <cellStyle name="_Eficiência de Preços HILA Supply 2" xfId="17535" xr:uid="{00000000-0005-0000-0000-000076440000}"/>
    <cellStyle name="_Eficiência de Preços HILA Supply 2 2" xfId="17536" xr:uid="{00000000-0005-0000-0000-000077440000}"/>
    <cellStyle name="_Eficiência de Preços HILA Supply 3" xfId="17537" xr:uid="{00000000-0005-0000-0000-000078440000}"/>
    <cellStyle name="_Enero Real" xfId="17538" xr:uid="{00000000-0005-0000-0000-000079440000}"/>
    <cellStyle name="_Enero Real 2" xfId="17539" xr:uid="{00000000-0005-0000-0000-00007A440000}"/>
    <cellStyle name="_Exch rate" xfId="17540" xr:uid="{00000000-0005-0000-0000-00007B440000}"/>
    <cellStyle name="_Exch rate 2" xfId="17541" xr:uid="{00000000-0005-0000-0000-00007C440000}"/>
    <cellStyle name="_Exch rate 2 2" xfId="17542" xr:uid="{00000000-0005-0000-0000-00007D440000}"/>
    <cellStyle name="_Exch rate 3" xfId="17543" xr:uid="{00000000-0005-0000-0000-00007E440000}"/>
    <cellStyle name="_Exch rate_010808 Market Programs  for Budget Deck" xfId="17544" xr:uid="{00000000-0005-0000-0000-00007F440000}"/>
    <cellStyle name="_Exch rate_010808 Market Programs  for Budget Deck 2" xfId="17545" xr:uid="{00000000-0005-0000-0000-000080440000}"/>
    <cellStyle name="_Exch rate_010808 Market Programs  for Budget Deck 2 2" xfId="17546" xr:uid="{00000000-0005-0000-0000-000081440000}"/>
    <cellStyle name="_Exch rate_010808 Market Programs  for Budget Deck 3" xfId="17547" xr:uid="{00000000-0005-0000-0000-000082440000}"/>
    <cellStyle name="_Exch rate_BGT 08 Templates Sales  Marketing - final (revised)" xfId="17548" xr:uid="{00000000-0005-0000-0000-000083440000}"/>
    <cellStyle name="_Exch rate_BGT 08 Templates Sales  Marketing - final (revised) 2" xfId="17549" xr:uid="{00000000-0005-0000-0000-000084440000}"/>
    <cellStyle name="_Exch rate_BGT 08 Templates Sales  Marketing - final (revised) 2 2" xfId="17550" xr:uid="{00000000-0005-0000-0000-000085440000}"/>
    <cellStyle name="_Exch rate_BGT 08 Templates Sales  Marketing - final (revised) 3" xfId="17551" xr:uid="{00000000-0005-0000-0000-000086440000}"/>
    <cellStyle name="_Exch rate_Copy of BGT 08 Templates Sales  Marketing - final (revised)" xfId="17552" xr:uid="{00000000-0005-0000-0000-000087440000}"/>
    <cellStyle name="_Exch rate_Copy of BGT 08 Templates Sales  Marketing - final (revised) 2" xfId="17553" xr:uid="{00000000-0005-0000-0000-000088440000}"/>
    <cellStyle name="_Exch rate_Copy of BGT 08 Templates Sales  Marketing - final (revised) 2 2" xfId="17554" xr:uid="{00000000-0005-0000-0000-000089440000}"/>
    <cellStyle name="_Exch rate_Copy of BGT 08 Templates Sales  Marketing - final (revised) 3" xfId="17555" xr:uid="{00000000-0005-0000-0000-00008A440000}"/>
    <cellStyle name="_Exch rate_Excel sheets to support Market Program Template for Budget 09" xfId="17556" xr:uid="{00000000-0005-0000-0000-00008B440000}"/>
    <cellStyle name="_Exch rate_Excel sheets to support Market Program Template for Budget 09 (5) (2)" xfId="17557" xr:uid="{00000000-0005-0000-0000-00008C440000}"/>
    <cellStyle name="_Exch rate_Excel sheets to support Market Program Template for Budget 09 (5) (2) 2" xfId="17558" xr:uid="{00000000-0005-0000-0000-00008D440000}"/>
    <cellStyle name="_Exch rate_Excel sheets to support Market Program Template for Budget 09 (5) (2) 2 2" xfId="17559" xr:uid="{00000000-0005-0000-0000-00008E440000}"/>
    <cellStyle name="_Exch rate_Excel sheets to support Market Program Template for Budget 09 (5) (2) 3" xfId="17560" xr:uid="{00000000-0005-0000-0000-00008F440000}"/>
    <cellStyle name="_Exch rate_Excel sheets to support Market Program Template for Budget 09 (5) (3)" xfId="17561" xr:uid="{00000000-0005-0000-0000-000090440000}"/>
    <cellStyle name="_Exch rate_Excel sheets to support Market Program Template for Budget 09 (5) (3) 2" xfId="17562" xr:uid="{00000000-0005-0000-0000-000091440000}"/>
    <cellStyle name="_Exch rate_Excel sheets to support Market Program Template for Budget 09 (5) (3) 2 2" xfId="17563" xr:uid="{00000000-0005-0000-0000-000092440000}"/>
    <cellStyle name="_Exch rate_Excel sheets to support Market Program Template for Budget 09 (5) (3) 3" xfId="17564" xr:uid="{00000000-0005-0000-0000-000093440000}"/>
    <cellStyle name="_Exch rate_Excel sheets to support Market Program Template for Budget 09 2" xfId="17565" xr:uid="{00000000-0005-0000-0000-000094440000}"/>
    <cellStyle name="_Exch rate_Excel sheets to support Market Program Template for Budget 09 2 2" xfId="17566" xr:uid="{00000000-0005-0000-0000-000095440000}"/>
    <cellStyle name="_Exch rate_Excel sheets to support Market Program Template for Budget 09 3" xfId="17567" xr:uid="{00000000-0005-0000-0000-000096440000}"/>
    <cellStyle name="_Exch rate_Excel sheets to support Market Program Template for Budget 09 3 2" xfId="17568" xr:uid="{00000000-0005-0000-0000-000097440000}"/>
    <cellStyle name="_Exch rate_Excel sheets to support Market Program Template for Budget 09 4" xfId="17569" xr:uid="{00000000-0005-0000-0000-000098440000}"/>
    <cellStyle name="_Exch rate_Excel sheets to support Market Program Template for Budget 09 5" xfId="17570" xr:uid="{00000000-0005-0000-0000-000099440000}"/>
    <cellStyle name="_Finance Templates - Final" xfId="17571" xr:uid="{00000000-0005-0000-0000-00009A440000}"/>
    <cellStyle name="_Finance Templates - Final 2" xfId="17572" xr:uid="{00000000-0005-0000-0000-00009B440000}"/>
    <cellStyle name="_Finance Templates - Final 2 2" xfId="17573" xr:uid="{00000000-0005-0000-0000-00009C440000}"/>
    <cellStyle name="_Finance Templates - Final 3" xfId="17574" xr:uid="{00000000-0005-0000-0000-00009D440000}"/>
    <cellStyle name="_Financial model Feb VE 3" xfId="17575" xr:uid="{00000000-0005-0000-0000-00009E440000}"/>
    <cellStyle name="_Financial model Feb VE 3 2" xfId="17576" xr:uid="{00000000-0005-0000-0000-00009F440000}"/>
    <cellStyle name="_Financial model Feb VE 3 2 2" xfId="17577" xr:uid="{00000000-0005-0000-0000-0000A0440000}"/>
    <cellStyle name="_Financial model Feb VE 3 3" xfId="17578" xr:uid="{00000000-0005-0000-0000-0000A1440000}"/>
    <cellStyle name="_Financial model_PE (4)" xfId="17579" xr:uid="{00000000-0005-0000-0000-0000A2440000}"/>
    <cellStyle name="_Financial model_PE (4) 2" xfId="17580" xr:uid="{00000000-0005-0000-0000-0000A3440000}"/>
    <cellStyle name="_Financial model_PE (4) 2 2" xfId="17581" xr:uid="{00000000-0005-0000-0000-0000A4440000}"/>
    <cellStyle name="_Financial model_PE (4) 3" xfId="17582" xr:uid="{00000000-0005-0000-0000-0000A5440000}"/>
    <cellStyle name="_Follow LE &amp; Fato-Risco-Oport." xfId="17583" xr:uid="{00000000-0005-0000-0000-0000A6440000}"/>
    <cellStyle name="_Follow LE &amp; Fato-Risco-Oport. 2" xfId="17584" xr:uid="{00000000-0005-0000-0000-0000A7440000}"/>
    <cellStyle name="_FTE Evolution_CEE_29 july08" xfId="17585" xr:uid="{00000000-0005-0000-0000-0000A8440000}"/>
    <cellStyle name="_FTE Evolution_CEE_29 july08 2" xfId="17586" xr:uid="{00000000-0005-0000-0000-0000A9440000}"/>
    <cellStyle name="_FTE Evolution_CEE_29 july08 2 2" xfId="17587" xr:uid="{00000000-0005-0000-0000-0000AA440000}"/>
    <cellStyle name="_FTE Evolution_CEE_29 july08 2 2 2" xfId="17588" xr:uid="{00000000-0005-0000-0000-0000AB440000}"/>
    <cellStyle name="_FTE Evolution_CEE_29 july08 2 3" xfId="17589" xr:uid="{00000000-0005-0000-0000-0000AC440000}"/>
    <cellStyle name="_FTE Evolution_CEE_29 july08 3" xfId="17590" xr:uid="{00000000-0005-0000-0000-0000AD440000}"/>
    <cellStyle name="_FTE Evolution_CEE_29 july08 3 2" xfId="17591" xr:uid="{00000000-0005-0000-0000-0000AE440000}"/>
    <cellStyle name="_FTE Evolution_CEE_29 july08 4" xfId="17592" xr:uid="{00000000-0005-0000-0000-0000AF440000}"/>
    <cellStyle name="_FTE Evolution_CEE_30 sept 08_v2" xfId="17593" xr:uid="{00000000-0005-0000-0000-0000B0440000}"/>
    <cellStyle name="_FTE Evolution_CEE_30 sept 08_v2 2" xfId="17594" xr:uid="{00000000-0005-0000-0000-0000B1440000}"/>
    <cellStyle name="_FTE Evolution_CEE_30 sept 08_v2 2 2" xfId="17595" xr:uid="{00000000-0005-0000-0000-0000B2440000}"/>
    <cellStyle name="_FTE Evolution_CEE_30 sept 08_v2 2 2 2" xfId="17596" xr:uid="{00000000-0005-0000-0000-0000B3440000}"/>
    <cellStyle name="_FTE Evolution_CEE_30 sept 08_v2 2 3" xfId="17597" xr:uid="{00000000-0005-0000-0000-0000B4440000}"/>
    <cellStyle name="_FTE Evolution_CEE_30 sept 08_v2 3" xfId="17598" xr:uid="{00000000-0005-0000-0000-0000B5440000}"/>
    <cellStyle name="_FTE Evolution_CEE_30 sept 08_v2 3 2" xfId="17599" xr:uid="{00000000-0005-0000-0000-0000B6440000}"/>
    <cellStyle name="_FTE Evolution_CEE_30 sept 08_v2 4" xfId="17600" xr:uid="{00000000-0005-0000-0000-0000B7440000}"/>
    <cellStyle name="_FTE Evolution_Sizing Bold Goal_All zones" xfId="17601" xr:uid="{00000000-0005-0000-0000-0000B8440000}"/>
    <cellStyle name="_FTE Evolution_Sizing Bold Goal_All zones 2" xfId="17602" xr:uid="{00000000-0005-0000-0000-0000B9440000}"/>
    <cellStyle name="_FTE Evolution_Sizing Bold Goal_All zones 2 2" xfId="17603" xr:uid="{00000000-0005-0000-0000-0000BA440000}"/>
    <cellStyle name="_FTE Evolution_Sizing Bold Goal_All zones 2 2 2" xfId="17604" xr:uid="{00000000-0005-0000-0000-0000BB440000}"/>
    <cellStyle name="_FTE Evolution_Sizing Bold Goal_All zones 2 3" xfId="17605" xr:uid="{00000000-0005-0000-0000-0000BC440000}"/>
    <cellStyle name="_FTE Evolution_Sizing Bold Goal_All zones 3" xfId="17606" xr:uid="{00000000-0005-0000-0000-0000BD440000}"/>
    <cellStyle name="_FTE Evolution_Sizing Bold Goal_All zones 3 2" xfId="17607" xr:uid="{00000000-0005-0000-0000-0000BE440000}"/>
    <cellStyle name="_FTE Evolution_Sizing Bold Goal_All zones 4" xfId="17608" xr:uid="{00000000-0005-0000-0000-0000BF440000}"/>
    <cellStyle name="_FTE Evolution_Sizing Bold Goal_All zones_Copy of 081027 ZBB Budget 2009 Decks - People_Cherry_V4" xfId="17609" xr:uid="{00000000-0005-0000-0000-0000C0440000}"/>
    <cellStyle name="_FTE Evolution_Sizing Bold Goal_All zones_Copy of 081027 ZBB Budget 2009 Decks - People_Cherry_V4 2" xfId="17610" xr:uid="{00000000-0005-0000-0000-0000C1440000}"/>
    <cellStyle name="_FTE Evolution_Sizing Bold Goal_All zones_Copy of 081027 ZBB Budget 2009 Decks - People_Cherry_V4 2 2" xfId="17611" xr:uid="{00000000-0005-0000-0000-0000C2440000}"/>
    <cellStyle name="_FTE Evolution_Sizing Bold Goal_All zones_Copy of 081027 ZBB Budget 2009 Decks - People_Cherry_V4 2 2 2" xfId="17612" xr:uid="{00000000-0005-0000-0000-0000C3440000}"/>
    <cellStyle name="_FTE Evolution_Sizing Bold Goal_All zones_Copy of 081027 ZBB Budget 2009 Decks - People_Cherry_V4 2 3" xfId="17613" xr:uid="{00000000-0005-0000-0000-0000C4440000}"/>
    <cellStyle name="_FTE Evolution_Sizing Bold Goal_All zones_Copy of 081027 ZBB Budget 2009 Decks - People_Cherry_V4 3" xfId="17614" xr:uid="{00000000-0005-0000-0000-0000C5440000}"/>
    <cellStyle name="_FTE Evolution_Sizing Bold Goal_All zones_Copy of 081027 ZBB Budget 2009 Decks - People_Cherry_V4 3 2" xfId="17615" xr:uid="{00000000-0005-0000-0000-0000C6440000}"/>
    <cellStyle name="_FTE Evolution_Sizing Bold Goal_All zones_Copy of 081027 ZBB Budget 2009 Decks - People_Cherry_V4 4" xfId="17616" xr:uid="{00000000-0005-0000-0000-0000C7440000}"/>
    <cellStyle name="_FTE Evolution_Sizing Bold Goal_All zones_ZBB Budget 2009 Decks" xfId="17617" xr:uid="{00000000-0005-0000-0000-0000C8440000}"/>
    <cellStyle name="_FTE Evolution_Sizing Bold Goal_All zones_ZBB Budget 2009 Decks 2" xfId="17618" xr:uid="{00000000-0005-0000-0000-0000C9440000}"/>
    <cellStyle name="_FTE Evolution_Sizing Bold Goal_All zones_ZBB Budget 2009 Decks 2 2" xfId="17619" xr:uid="{00000000-0005-0000-0000-0000CA440000}"/>
    <cellStyle name="_FTE Evolution_Sizing Bold Goal_All zones_ZBB Budget 2009 Decks 2 2 2" xfId="17620" xr:uid="{00000000-0005-0000-0000-0000CB440000}"/>
    <cellStyle name="_FTE Evolution_Sizing Bold Goal_All zones_ZBB Budget 2009 Decks 2 3" xfId="17621" xr:uid="{00000000-0005-0000-0000-0000CC440000}"/>
    <cellStyle name="_FTE Evolution_Sizing Bold Goal_All zones_ZBB Budget 2009 Decks 3" xfId="17622" xr:uid="{00000000-0005-0000-0000-0000CD440000}"/>
    <cellStyle name="_FTE Evolution_Sizing Bold Goal_All zones_ZBB Budget 2009 Decks 3 2" xfId="17623" xr:uid="{00000000-0005-0000-0000-0000CE440000}"/>
    <cellStyle name="_FTE Evolution_Sizing Bold Goal_All zones_ZBB Budget 2009 Decks 4" xfId="17624" xr:uid="{00000000-0005-0000-0000-0000CF440000}"/>
    <cellStyle name="_FTE Evolution_Sizing Bold Goal_All zones_ZBB Budget 2009 Decks_with Korea Scope in (Only LE)" xfId="17625" xr:uid="{00000000-0005-0000-0000-0000D0440000}"/>
    <cellStyle name="_FTE Evolution_Sizing Bold Goal_All zones_ZBB Budget 2009 Decks_with Korea Scope in (Only LE) (2)" xfId="17626" xr:uid="{00000000-0005-0000-0000-0000D1440000}"/>
    <cellStyle name="_FTE Evolution_Sizing Bold Goal_All zones_ZBB Budget 2009 Decks_with Korea Scope in (Only LE) (2) 2" xfId="17627" xr:uid="{00000000-0005-0000-0000-0000D2440000}"/>
    <cellStyle name="_FTE Evolution_Sizing Bold Goal_All zones_ZBB Budget 2009 Decks_with Korea Scope in (Only LE) (2) 2 2" xfId="17628" xr:uid="{00000000-0005-0000-0000-0000D3440000}"/>
    <cellStyle name="_FTE Evolution_Sizing Bold Goal_All zones_ZBB Budget 2009 Decks_with Korea Scope in (Only LE) (2) 2 2 2" xfId="17629" xr:uid="{00000000-0005-0000-0000-0000D4440000}"/>
    <cellStyle name="_FTE Evolution_Sizing Bold Goal_All zones_ZBB Budget 2009 Decks_with Korea Scope in (Only LE) (2) 2 3" xfId="17630" xr:uid="{00000000-0005-0000-0000-0000D5440000}"/>
    <cellStyle name="_FTE Evolution_Sizing Bold Goal_All zones_ZBB Budget 2009 Decks_with Korea Scope in (Only LE) (2) 3" xfId="17631" xr:uid="{00000000-0005-0000-0000-0000D6440000}"/>
    <cellStyle name="_FTE Evolution_Sizing Bold Goal_All zones_ZBB Budget 2009 Decks_with Korea Scope in (Only LE) (2) 3 2" xfId="17632" xr:uid="{00000000-0005-0000-0000-0000D7440000}"/>
    <cellStyle name="_FTE Evolution_Sizing Bold Goal_All zones_ZBB Budget 2009 Decks_with Korea Scope in (Only LE) (2) 4" xfId="17633" xr:uid="{00000000-0005-0000-0000-0000D8440000}"/>
    <cellStyle name="_FTE Evolution_Sizing Bold Goal_All zones_ZBB Budget 2009 Decks_with Korea Scope in (Only LE) 2" xfId="17634" xr:uid="{00000000-0005-0000-0000-0000D9440000}"/>
    <cellStyle name="_FTE Evolution_Sizing Bold Goal_All zones_ZBB Budget 2009 Decks_with Korea Scope in (Only LE) 2 2" xfId="17635" xr:uid="{00000000-0005-0000-0000-0000DA440000}"/>
    <cellStyle name="_FTE Evolution_Sizing Bold Goal_All zones_ZBB Budget 2009 Decks_with Korea Scope in (Only LE) 2 2 2" xfId="17636" xr:uid="{00000000-0005-0000-0000-0000DB440000}"/>
    <cellStyle name="_FTE Evolution_Sizing Bold Goal_All zones_ZBB Budget 2009 Decks_with Korea Scope in (Only LE) 2 3" xfId="17637" xr:uid="{00000000-0005-0000-0000-0000DC440000}"/>
    <cellStyle name="_FTE Evolution_Sizing Bold Goal_All zones_ZBB Budget 2009 Decks_with Korea Scope in (Only LE) 3" xfId="17638" xr:uid="{00000000-0005-0000-0000-0000DD440000}"/>
    <cellStyle name="_FTE Evolution_Sizing Bold Goal_All zones_ZBB Budget 2009 Decks_with Korea Scope in (Only LE) 3 2" xfId="17639" xr:uid="{00000000-0005-0000-0000-0000DE440000}"/>
    <cellStyle name="_FTE Evolution_Sizing Bold Goal_All zones_ZBB Budget 2009 Decks_with Korea Scope in (Only LE) 4" xfId="17640" xr:uid="{00000000-0005-0000-0000-0000DF440000}"/>
    <cellStyle name="_FTE Evolution_Sizing Bold Goal_All zones_ZBB Budget 2009 Decks_with Korea Scope in (Only LE) 4 2" xfId="17641" xr:uid="{00000000-0005-0000-0000-0000E0440000}"/>
    <cellStyle name="_FTE Evolution_Sizing Bold Goal_All zones_ZBB Budget 2009 Decks_with Korea Scope in (Only LE) 5" xfId="17642" xr:uid="{00000000-0005-0000-0000-0000E1440000}"/>
    <cellStyle name="_FTE Evolution_Sizing Bold Goal_All zones_ZBB Budget 2009 Decks_with Korea Scope in (Only LE) 6" xfId="17643" xr:uid="{00000000-0005-0000-0000-0000E2440000}"/>
    <cellStyle name="_FTE Evolution_WE_29july08" xfId="17644" xr:uid="{00000000-0005-0000-0000-0000E3440000}"/>
    <cellStyle name="_FTE Evolution_WE_29july08 2" xfId="17645" xr:uid="{00000000-0005-0000-0000-0000E4440000}"/>
    <cellStyle name="_FTE Evolution_WE_29july08 2 2" xfId="17646" xr:uid="{00000000-0005-0000-0000-0000E5440000}"/>
    <cellStyle name="_FTE Evolution_WE_29july08 2 2 2" xfId="17647" xr:uid="{00000000-0005-0000-0000-0000E6440000}"/>
    <cellStyle name="_FTE Evolution_WE_29july08 2 3" xfId="17648" xr:uid="{00000000-0005-0000-0000-0000E7440000}"/>
    <cellStyle name="_FTE Evolution_WE_29july08 3" xfId="17649" xr:uid="{00000000-0005-0000-0000-0000E8440000}"/>
    <cellStyle name="_FTE Evolution_WE_29july08 3 2" xfId="17650" xr:uid="{00000000-0005-0000-0000-0000E9440000}"/>
    <cellStyle name="_FTE Evolution_WE_29july08 4" xfId="17651" xr:uid="{00000000-0005-0000-0000-0000EA440000}"/>
    <cellStyle name="_FTE Evolution_WE_okt08_v7" xfId="17652" xr:uid="{00000000-0005-0000-0000-0000EB440000}"/>
    <cellStyle name="_FTE Evolution_WE_okt08_v7 2" xfId="17653" xr:uid="{00000000-0005-0000-0000-0000EC440000}"/>
    <cellStyle name="_FTE Evolution_WE_okt08_v7 2 2" xfId="17654" xr:uid="{00000000-0005-0000-0000-0000ED440000}"/>
    <cellStyle name="_FTE Evolution_WE_okt08_v7 2 2 2" xfId="17655" xr:uid="{00000000-0005-0000-0000-0000EE440000}"/>
    <cellStyle name="_FTE Evolution_WE_okt08_v7 2 3" xfId="17656" xr:uid="{00000000-0005-0000-0000-0000EF440000}"/>
    <cellStyle name="_FTE Evolution_WE_okt08_v7 3" xfId="17657" xr:uid="{00000000-0005-0000-0000-0000F0440000}"/>
    <cellStyle name="_FTE Evolution_WE_okt08_v7 3 2" xfId="17658" xr:uid="{00000000-0005-0000-0000-0000F1440000}"/>
    <cellStyle name="_FTE Evolution_WE_okt08_v7 4" xfId="17659" xr:uid="{00000000-0005-0000-0000-0000F2440000}"/>
    <cellStyle name="_fx" xfId="17660" xr:uid="{00000000-0005-0000-0000-0000F3440000}"/>
    <cellStyle name="_fx 2" xfId="17661" xr:uid="{00000000-0005-0000-0000-0000F4440000}"/>
    <cellStyle name="_fx 2 2" xfId="17662" xr:uid="{00000000-0005-0000-0000-0000F5440000}"/>
    <cellStyle name="_fx 2 2 2" xfId="17663" xr:uid="{00000000-0005-0000-0000-0000F6440000}"/>
    <cellStyle name="_fx 2 3" xfId="17664" xr:uid="{00000000-0005-0000-0000-0000F7440000}"/>
    <cellStyle name="_fx 3" xfId="17665" xr:uid="{00000000-0005-0000-0000-0000F8440000}"/>
    <cellStyle name="_fx 3 2" xfId="17666" xr:uid="{00000000-0005-0000-0000-0000F9440000}"/>
    <cellStyle name="_fx 4" xfId="17667" xr:uid="{00000000-0005-0000-0000-0000FA440000}"/>
    <cellStyle name="_Fx HILA 09" xfId="17668" xr:uid="{00000000-0005-0000-0000-0000FB440000}"/>
    <cellStyle name="_Fx HILA 09 2" xfId="17669" xr:uid="{00000000-0005-0000-0000-0000FC440000}"/>
    <cellStyle name="_Fx HILA 09 2 2" xfId="17670" xr:uid="{00000000-0005-0000-0000-0000FD440000}"/>
    <cellStyle name="_Fx HILA 09 3" xfId="17671" xr:uid="{00000000-0005-0000-0000-0000FE440000}"/>
    <cellStyle name="_Gabarito exchange rate" xfId="17672" xr:uid="{00000000-0005-0000-0000-0000FF440000}"/>
    <cellStyle name="_Gabarito exchange rate 2" xfId="17673" xr:uid="{00000000-0005-0000-0000-000000450000}"/>
    <cellStyle name="_Gabarito exchange rate 2 2" xfId="17674" xr:uid="{00000000-0005-0000-0000-000001450000}"/>
    <cellStyle name="_Gabarito exchange rate 3" xfId="17675" xr:uid="{00000000-0005-0000-0000-000002450000}"/>
    <cellStyle name="_gg" xfId="17676" xr:uid="{00000000-0005-0000-0000-000003450000}"/>
    <cellStyle name="_gg 2" xfId="17677" xr:uid="{00000000-0005-0000-0000-000004450000}"/>
    <cellStyle name="_gg 2 2" xfId="17678" xr:uid="{00000000-0005-0000-0000-000005450000}"/>
    <cellStyle name="_gg 3" xfId="17679" xr:uid="{00000000-0005-0000-0000-000006450000}"/>
    <cellStyle name="_Graph" xfId="17680" xr:uid="{00000000-0005-0000-0000-000007450000}"/>
    <cellStyle name="_Graph 2" xfId="17681" xr:uid="{00000000-0005-0000-0000-000008450000}"/>
    <cellStyle name="_Graph 2 2" xfId="17682" xr:uid="{00000000-0005-0000-0000-000009450000}"/>
    <cellStyle name="_Graph 3" xfId="17683" xr:uid="{00000000-0005-0000-0000-00000A450000}"/>
    <cellStyle name="_Header" xfId="17684" xr:uid="{00000000-0005-0000-0000-00000B450000}"/>
    <cellStyle name="_Header 2" xfId="17685" xr:uid="{00000000-0005-0000-0000-00000C450000}"/>
    <cellStyle name="_Header 2 2" xfId="17686" xr:uid="{00000000-0005-0000-0000-00000D450000}"/>
    <cellStyle name="_Header 2 2 2" xfId="17687" xr:uid="{00000000-0005-0000-0000-00000E450000}"/>
    <cellStyle name="_Header 2 3" xfId="17688" xr:uid="{00000000-0005-0000-0000-00000F450000}"/>
    <cellStyle name="_Header 3" xfId="17689" xr:uid="{00000000-0005-0000-0000-000010450000}"/>
    <cellStyle name="_Header 3 2" xfId="17690" xr:uid="{00000000-0005-0000-0000-000011450000}"/>
    <cellStyle name="_Header 4" xfId="17691" xr:uid="{00000000-0005-0000-0000-000012450000}"/>
    <cellStyle name="_Header_010808 Market Programs  for Budget Deck" xfId="17692" xr:uid="{00000000-0005-0000-0000-000013450000}"/>
    <cellStyle name="_Header_010808 Market Programs  for Budget Deck 2" xfId="17693" xr:uid="{00000000-0005-0000-0000-000014450000}"/>
    <cellStyle name="_Header_010808 Market Programs  for Budget Deck 2 2" xfId="17694" xr:uid="{00000000-0005-0000-0000-000015450000}"/>
    <cellStyle name="_Header_010808 Market Programs  for Budget Deck 3" xfId="17695" xr:uid="{00000000-0005-0000-0000-000016450000}"/>
    <cellStyle name="_Header_BGT 08 Templates Sales  Marketing - final (revised)" xfId="17696" xr:uid="{00000000-0005-0000-0000-000017450000}"/>
    <cellStyle name="_Header_BGT 08 Templates Sales  Marketing - final (revised) 2" xfId="17697" xr:uid="{00000000-0005-0000-0000-000018450000}"/>
    <cellStyle name="_Header_BGT 08 Templates Sales  Marketing - final (revised) 2 2" xfId="17698" xr:uid="{00000000-0005-0000-0000-000019450000}"/>
    <cellStyle name="_Header_BGT 08 Templates Sales  Marketing - final (revised) 3" xfId="17699" xr:uid="{00000000-0005-0000-0000-00001A450000}"/>
    <cellStyle name="_Header_BR" xfId="17700" xr:uid="{00000000-0005-0000-0000-00001B450000}"/>
    <cellStyle name="_Header_BR 2" xfId="17701" xr:uid="{00000000-0005-0000-0000-00001C450000}"/>
    <cellStyle name="_Header_BR 2 2" xfId="17702" xr:uid="{00000000-0005-0000-0000-00001D450000}"/>
    <cellStyle name="_Header_BR 3" xfId="17703" xr:uid="{00000000-0005-0000-0000-00001E450000}"/>
    <cellStyle name="_Header_Copy of BGT 08 Templates Sales  Marketing - final (revised)" xfId="17704" xr:uid="{00000000-0005-0000-0000-00001F450000}"/>
    <cellStyle name="_Header_Copy of BGT 08 Templates Sales  Marketing - final (revised) 2" xfId="17705" xr:uid="{00000000-0005-0000-0000-000020450000}"/>
    <cellStyle name="_Header_Copy of BGT 08 Templates Sales  Marketing - final (revised) 2 2" xfId="17706" xr:uid="{00000000-0005-0000-0000-000021450000}"/>
    <cellStyle name="_Header_Copy of BGT 08 Templates Sales  Marketing - final (revised) 3" xfId="17707" xr:uid="{00000000-0005-0000-0000-000022450000}"/>
    <cellStyle name="_Header_EC" xfId="17708" xr:uid="{00000000-0005-0000-0000-000023450000}"/>
    <cellStyle name="_Header_EC 2" xfId="17709" xr:uid="{00000000-0005-0000-0000-000024450000}"/>
    <cellStyle name="_Header_EC 2 2" xfId="17710" xr:uid="{00000000-0005-0000-0000-000025450000}"/>
    <cellStyle name="_Header_EC 3" xfId="17711" xr:uid="{00000000-0005-0000-0000-000026450000}"/>
    <cellStyle name="_Header_Excel sheets to support Market Program Template for Budget 09" xfId="17712" xr:uid="{00000000-0005-0000-0000-000027450000}"/>
    <cellStyle name="_Header_Excel sheets to support Market Program Template for Budget 09 (5) (2)" xfId="17713" xr:uid="{00000000-0005-0000-0000-000028450000}"/>
    <cellStyle name="_Header_Excel sheets to support Market Program Template for Budget 09 (5) (2) 2" xfId="17714" xr:uid="{00000000-0005-0000-0000-000029450000}"/>
    <cellStyle name="_Header_Excel sheets to support Market Program Template for Budget 09 (5) (2) 2 2" xfId="17715" xr:uid="{00000000-0005-0000-0000-00002A450000}"/>
    <cellStyle name="_Header_Excel sheets to support Market Program Template for Budget 09 (5) (2) 3" xfId="17716" xr:uid="{00000000-0005-0000-0000-00002B450000}"/>
    <cellStyle name="_Header_Excel sheets to support Market Program Template for Budget 09 (5) (3)" xfId="17717" xr:uid="{00000000-0005-0000-0000-00002C450000}"/>
    <cellStyle name="_Header_Excel sheets to support Market Program Template for Budget 09 (5) (3) 2" xfId="17718" xr:uid="{00000000-0005-0000-0000-00002D450000}"/>
    <cellStyle name="_Header_Excel sheets to support Market Program Template for Budget 09 (5) (3) 2 2" xfId="17719" xr:uid="{00000000-0005-0000-0000-00002E450000}"/>
    <cellStyle name="_Header_Excel sheets to support Market Program Template for Budget 09 (5) (3) 3" xfId="17720" xr:uid="{00000000-0005-0000-0000-00002F450000}"/>
    <cellStyle name="_Header_Excel sheets to support Market Program Template for Budget 09 2" xfId="17721" xr:uid="{00000000-0005-0000-0000-000030450000}"/>
    <cellStyle name="_Header_Excel sheets to support Market Program Template for Budget 09 2 2" xfId="17722" xr:uid="{00000000-0005-0000-0000-000031450000}"/>
    <cellStyle name="_Header_Excel sheets to support Market Program Template for Budget 09 3" xfId="17723" xr:uid="{00000000-0005-0000-0000-000032450000}"/>
    <cellStyle name="_Header_Excel sheets to support Market Program Template for Budget 09 3 2" xfId="17724" xr:uid="{00000000-0005-0000-0000-000033450000}"/>
    <cellStyle name="_Header_Excel sheets to support Market Program Template for Budget 09 4" xfId="17725" xr:uid="{00000000-0005-0000-0000-000034450000}"/>
    <cellStyle name="_Header_Excel sheets to support Market Program Template for Budget 09 5" xfId="17726" xr:uid="{00000000-0005-0000-0000-000035450000}"/>
    <cellStyle name="_Header_Finance Templates - Final" xfId="17727" xr:uid="{00000000-0005-0000-0000-000036450000}"/>
    <cellStyle name="_Header_Finance Templates - Final 2" xfId="17728" xr:uid="{00000000-0005-0000-0000-000037450000}"/>
    <cellStyle name="_Header_Finance Templates - Final 2 2" xfId="17729" xr:uid="{00000000-0005-0000-0000-000038450000}"/>
    <cellStyle name="_Header_Finance Templates - Final 3" xfId="17730" xr:uid="{00000000-0005-0000-0000-000039450000}"/>
    <cellStyle name="_Header_Forecast Summary July v1" xfId="17731" xr:uid="{00000000-0005-0000-0000-00003A450000}"/>
    <cellStyle name="_Header_Forecast Summary July v1 2" xfId="17732" xr:uid="{00000000-0005-0000-0000-00003B450000}"/>
    <cellStyle name="_Header_Forecast Summary July v1 2 2" xfId="17733" xr:uid="{00000000-0005-0000-0000-00003C450000}"/>
    <cellStyle name="_Header_Forecast Summary July v1 3" xfId="17734" xr:uid="{00000000-0005-0000-0000-00003D450000}"/>
    <cellStyle name="_Header_GT" xfId="17735" xr:uid="{00000000-0005-0000-0000-00003E450000}"/>
    <cellStyle name="_Header_GT 2" xfId="17736" xr:uid="{00000000-0005-0000-0000-00003F450000}"/>
    <cellStyle name="_Header_GT 2 2" xfId="17737" xr:uid="{00000000-0005-0000-0000-000040450000}"/>
    <cellStyle name="_Header_GT 3" xfId="17738" xr:uid="{00000000-0005-0000-0000-000041450000}"/>
    <cellStyle name="_Header_Industry Volumes" xfId="17739" xr:uid="{00000000-0005-0000-0000-000042450000}"/>
    <cellStyle name="_Header_Industry Volumes 2" xfId="17740" xr:uid="{00000000-0005-0000-0000-000043450000}"/>
    <cellStyle name="_Header_Industry Volumes 2 2" xfId="17741" xr:uid="{00000000-0005-0000-0000-000044450000}"/>
    <cellStyle name="_Header_Industry Volumes 2 2 2" xfId="17742" xr:uid="{00000000-0005-0000-0000-000045450000}"/>
    <cellStyle name="_Header_Industry Volumes 2 3" xfId="17743" xr:uid="{00000000-0005-0000-0000-000046450000}"/>
    <cellStyle name="_Header_Industry Volumes 2 3 2" xfId="17744" xr:uid="{00000000-0005-0000-0000-000047450000}"/>
    <cellStyle name="_Header_Industry Volumes 2 3 3" xfId="17745" xr:uid="{00000000-0005-0000-0000-000048450000}"/>
    <cellStyle name="_Header_Industry Volumes 2 4" xfId="17746" xr:uid="{00000000-0005-0000-0000-000049450000}"/>
    <cellStyle name="_Header_Industry Volumes 2 5" xfId="17747" xr:uid="{00000000-0005-0000-0000-00004A450000}"/>
    <cellStyle name="_Header_Industry Volumes 3" xfId="17748" xr:uid="{00000000-0005-0000-0000-00004B450000}"/>
    <cellStyle name="_Header_Industry Volumes 3 2" xfId="17749" xr:uid="{00000000-0005-0000-0000-00004C450000}"/>
    <cellStyle name="_Header_Industry Volumes 3 2 2" xfId="17750" xr:uid="{00000000-0005-0000-0000-00004D450000}"/>
    <cellStyle name="_Header_Industry Volumes 3 3" xfId="17751" xr:uid="{00000000-0005-0000-0000-00004E450000}"/>
    <cellStyle name="_Header_Industry Volumes 3 3 2" xfId="17752" xr:uid="{00000000-0005-0000-0000-00004F450000}"/>
    <cellStyle name="_Header_Industry Volumes 3 3 3" xfId="17753" xr:uid="{00000000-0005-0000-0000-000050450000}"/>
    <cellStyle name="_Header_Industry Volumes 3 4" xfId="17754" xr:uid="{00000000-0005-0000-0000-000051450000}"/>
    <cellStyle name="_Header_Industry Volumes 3 5" xfId="17755" xr:uid="{00000000-0005-0000-0000-000052450000}"/>
    <cellStyle name="_Header_Industry Volumes 4" xfId="17756" xr:uid="{00000000-0005-0000-0000-000053450000}"/>
    <cellStyle name="_Header_Industry Volumes 4 2" xfId="17757" xr:uid="{00000000-0005-0000-0000-000054450000}"/>
    <cellStyle name="_Header_Industry Volumes 5" xfId="17758" xr:uid="{00000000-0005-0000-0000-000055450000}"/>
    <cellStyle name="_Header_Industry Volumes 5 2" xfId="17759" xr:uid="{00000000-0005-0000-0000-000056450000}"/>
    <cellStyle name="_Header_Industry Volumes 5 3" xfId="17760" xr:uid="{00000000-0005-0000-0000-000057450000}"/>
    <cellStyle name="_Header_Industry Volumes 6" xfId="17761" xr:uid="{00000000-0005-0000-0000-000058450000}"/>
    <cellStyle name="_Header_Industry Volumes 7" xfId="17762" xr:uid="{00000000-0005-0000-0000-000059450000}"/>
    <cellStyle name="_Header_Iniciativas P3A GPV &amp; CSD HILA '10" xfId="17763" xr:uid="{00000000-0005-0000-0000-00005A450000}"/>
    <cellStyle name="_Header_Iniciativas P3A GPV &amp; CSD HILA '10 2" xfId="17764" xr:uid="{00000000-0005-0000-0000-00005B450000}"/>
    <cellStyle name="_Header_Iniciativas P3A GPV &amp; CSD HILA '10 2 2" xfId="17765" xr:uid="{00000000-0005-0000-0000-00005C450000}"/>
    <cellStyle name="_Header_Iniciativas P3A GPV &amp; CSD HILA '10 3" xfId="17766" xr:uid="{00000000-0005-0000-0000-00005D450000}"/>
    <cellStyle name="_Header_KK_3YP Model S&amp;D Stand 3.7.07" xfId="17767" xr:uid="{00000000-0005-0000-0000-00005E450000}"/>
    <cellStyle name="_Header_KK_3YP Model S&amp;D Stand 3.7.07 2" xfId="17768" xr:uid="{00000000-0005-0000-0000-00005F450000}"/>
    <cellStyle name="_Header_KK_3YP Model S&amp;D Stand 3.7.07 2 2" xfId="17769" xr:uid="{00000000-0005-0000-0000-000060450000}"/>
    <cellStyle name="_Header_KK_3YP Model S&amp;D Stand 3.7.07 2 2 2" xfId="17770" xr:uid="{00000000-0005-0000-0000-000061450000}"/>
    <cellStyle name="_Header_KK_3YP Model S&amp;D Stand 3.7.07 2 3" xfId="17771" xr:uid="{00000000-0005-0000-0000-000062450000}"/>
    <cellStyle name="_Header_KK_3YP Model S&amp;D Stand 3.7.07 2 3 2" xfId="17772" xr:uid="{00000000-0005-0000-0000-000063450000}"/>
    <cellStyle name="_Header_KK_3YP Model S&amp;D Stand 3.7.07 2 3 3" xfId="17773" xr:uid="{00000000-0005-0000-0000-000064450000}"/>
    <cellStyle name="_Header_KK_3YP Model S&amp;D Stand 3.7.07 2 4" xfId="17774" xr:uid="{00000000-0005-0000-0000-000065450000}"/>
    <cellStyle name="_Header_KK_3YP Model S&amp;D Stand 3.7.07 2 5" xfId="17775" xr:uid="{00000000-0005-0000-0000-000066450000}"/>
    <cellStyle name="_Header_KK_3YP Model S&amp;D Stand 3.7.07 3" xfId="17776" xr:uid="{00000000-0005-0000-0000-000067450000}"/>
    <cellStyle name="_Header_KK_3YP Model S&amp;D Stand 3.7.07 3 2" xfId="17777" xr:uid="{00000000-0005-0000-0000-000068450000}"/>
    <cellStyle name="_Header_KK_3YP Model S&amp;D Stand 3.7.07 3 2 2" xfId="17778" xr:uid="{00000000-0005-0000-0000-000069450000}"/>
    <cellStyle name="_Header_KK_3YP Model S&amp;D Stand 3.7.07 3 3" xfId="17779" xr:uid="{00000000-0005-0000-0000-00006A450000}"/>
    <cellStyle name="_Header_KK_3YP Model S&amp;D Stand 3.7.07 3 3 2" xfId="17780" xr:uid="{00000000-0005-0000-0000-00006B450000}"/>
    <cellStyle name="_Header_KK_3YP Model S&amp;D Stand 3.7.07 3 3 3" xfId="17781" xr:uid="{00000000-0005-0000-0000-00006C450000}"/>
    <cellStyle name="_Header_KK_3YP Model S&amp;D Stand 3.7.07 3 4" xfId="17782" xr:uid="{00000000-0005-0000-0000-00006D450000}"/>
    <cellStyle name="_Header_KK_3YP Model S&amp;D Stand 3.7.07 3 5" xfId="17783" xr:uid="{00000000-0005-0000-0000-00006E450000}"/>
    <cellStyle name="_Header_KK_3YP Model S&amp;D Stand 3.7.07 4" xfId="17784" xr:uid="{00000000-0005-0000-0000-00006F450000}"/>
    <cellStyle name="_Header_KK_3YP Model S&amp;D Stand 3.7.07 4 2" xfId="17785" xr:uid="{00000000-0005-0000-0000-000070450000}"/>
    <cellStyle name="_Header_KK_3YP Model S&amp;D Stand 3.7.07 5" xfId="17786" xr:uid="{00000000-0005-0000-0000-000071450000}"/>
    <cellStyle name="_Header_KK_3YP Model S&amp;D Stand 3.7.07 5 2" xfId="17787" xr:uid="{00000000-0005-0000-0000-000072450000}"/>
    <cellStyle name="_Header_KK_3YP Model S&amp;D Stand 3.7.07 5 3" xfId="17788" xr:uid="{00000000-0005-0000-0000-000073450000}"/>
    <cellStyle name="_Header_KK_3YP Model S&amp;D Stand 3.7.07 6" xfId="17789" xr:uid="{00000000-0005-0000-0000-000074450000}"/>
    <cellStyle name="_Header_KK_3YP Model S&amp;D Stand 3.7.07 7" xfId="17790" xr:uid="{00000000-0005-0000-0000-000075450000}"/>
    <cellStyle name="_Header_MIS2" xfId="17791" xr:uid="{00000000-0005-0000-0000-000076450000}"/>
    <cellStyle name="_Header_MIS2 2" xfId="17792" xr:uid="{00000000-0005-0000-0000-000077450000}"/>
    <cellStyle name="_Header_MIS2 2 2" xfId="17793" xr:uid="{00000000-0005-0000-0000-000078450000}"/>
    <cellStyle name="_Header_MIS2 2 2 2" xfId="17794" xr:uid="{00000000-0005-0000-0000-000079450000}"/>
    <cellStyle name="_Header_MIS2 2 3" xfId="17795" xr:uid="{00000000-0005-0000-0000-00007A450000}"/>
    <cellStyle name="_Header_MIS2 2 3 2" xfId="17796" xr:uid="{00000000-0005-0000-0000-00007B450000}"/>
    <cellStyle name="_Header_MIS2 2 3 3" xfId="17797" xr:uid="{00000000-0005-0000-0000-00007C450000}"/>
    <cellStyle name="_Header_MIS2 2 4" xfId="17798" xr:uid="{00000000-0005-0000-0000-00007D450000}"/>
    <cellStyle name="_Header_MIS2 2 5" xfId="17799" xr:uid="{00000000-0005-0000-0000-00007E450000}"/>
    <cellStyle name="_Header_MIS2 3" xfId="17800" xr:uid="{00000000-0005-0000-0000-00007F450000}"/>
    <cellStyle name="_Header_MIS2 3 2" xfId="17801" xr:uid="{00000000-0005-0000-0000-000080450000}"/>
    <cellStyle name="_Header_MIS2 3 2 2" xfId="17802" xr:uid="{00000000-0005-0000-0000-000081450000}"/>
    <cellStyle name="_Header_MIS2 3 3" xfId="17803" xr:uid="{00000000-0005-0000-0000-000082450000}"/>
    <cellStyle name="_Header_MIS2 3 3 2" xfId="17804" xr:uid="{00000000-0005-0000-0000-000083450000}"/>
    <cellStyle name="_Header_MIS2 3 3 3" xfId="17805" xr:uid="{00000000-0005-0000-0000-000084450000}"/>
    <cellStyle name="_Header_MIS2 3 4" xfId="17806" xr:uid="{00000000-0005-0000-0000-000085450000}"/>
    <cellStyle name="_Header_MIS2 3 5" xfId="17807" xr:uid="{00000000-0005-0000-0000-000086450000}"/>
    <cellStyle name="_Header_MIS2 4" xfId="17808" xr:uid="{00000000-0005-0000-0000-000087450000}"/>
    <cellStyle name="_Header_MIS2 4 2" xfId="17809" xr:uid="{00000000-0005-0000-0000-000088450000}"/>
    <cellStyle name="_Header_MIS2 5" xfId="17810" xr:uid="{00000000-0005-0000-0000-000089450000}"/>
    <cellStyle name="_Header_MIS2 5 2" xfId="17811" xr:uid="{00000000-0005-0000-0000-00008A450000}"/>
    <cellStyle name="_Header_MIS2 5 3" xfId="17812" xr:uid="{00000000-0005-0000-0000-00008B450000}"/>
    <cellStyle name="_Header_MIS2 6" xfId="17813" xr:uid="{00000000-0005-0000-0000-00008C450000}"/>
    <cellStyle name="_Header_MIS2 7" xfId="17814" xr:uid="{00000000-0005-0000-0000-00008D450000}"/>
    <cellStyle name="_Header_MIS3" xfId="17815" xr:uid="{00000000-0005-0000-0000-00008E450000}"/>
    <cellStyle name="_Header_MIS3 2" xfId="17816" xr:uid="{00000000-0005-0000-0000-00008F450000}"/>
    <cellStyle name="_Header_MIS3 2 2" xfId="17817" xr:uid="{00000000-0005-0000-0000-000090450000}"/>
    <cellStyle name="_Header_MIS3 2 2 2" xfId="17818" xr:uid="{00000000-0005-0000-0000-000091450000}"/>
    <cellStyle name="_Header_MIS3 2 3" xfId="17819" xr:uid="{00000000-0005-0000-0000-000092450000}"/>
    <cellStyle name="_Header_MIS3 2 3 2" xfId="17820" xr:uid="{00000000-0005-0000-0000-000093450000}"/>
    <cellStyle name="_Header_MIS3 2 3 3" xfId="17821" xr:uid="{00000000-0005-0000-0000-000094450000}"/>
    <cellStyle name="_Header_MIS3 2 4" xfId="17822" xr:uid="{00000000-0005-0000-0000-000095450000}"/>
    <cellStyle name="_Header_MIS3 2 5" xfId="17823" xr:uid="{00000000-0005-0000-0000-000096450000}"/>
    <cellStyle name="_Header_MIS3 3" xfId="17824" xr:uid="{00000000-0005-0000-0000-000097450000}"/>
    <cellStyle name="_Header_MIS3 3 2" xfId="17825" xr:uid="{00000000-0005-0000-0000-000098450000}"/>
    <cellStyle name="_Header_MIS3 3 2 2" xfId="17826" xr:uid="{00000000-0005-0000-0000-000099450000}"/>
    <cellStyle name="_Header_MIS3 3 3" xfId="17827" xr:uid="{00000000-0005-0000-0000-00009A450000}"/>
    <cellStyle name="_Header_MIS3 3 3 2" xfId="17828" xr:uid="{00000000-0005-0000-0000-00009B450000}"/>
    <cellStyle name="_Header_MIS3 3 3 3" xfId="17829" xr:uid="{00000000-0005-0000-0000-00009C450000}"/>
    <cellStyle name="_Header_MIS3 3 4" xfId="17830" xr:uid="{00000000-0005-0000-0000-00009D450000}"/>
    <cellStyle name="_Header_MIS3 3 5" xfId="17831" xr:uid="{00000000-0005-0000-0000-00009E450000}"/>
    <cellStyle name="_Header_MIS3 4" xfId="17832" xr:uid="{00000000-0005-0000-0000-00009F450000}"/>
    <cellStyle name="_Header_MIS3 4 2" xfId="17833" xr:uid="{00000000-0005-0000-0000-0000A0450000}"/>
    <cellStyle name="_Header_MIS3 5" xfId="17834" xr:uid="{00000000-0005-0000-0000-0000A1450000}"/>
    <cellStyle name="_Header_MIS3 5 2" xfId="17835" xr:uid="{00000000-0005-0000-0000-0000A2450000}"/>
    <cellStyle name="_Header_MIS3 5 3" xfId="17836" xr:uid="{00000000-0005-0000-0000-0000A3450000}"/>
    <cellStyle name="_Header_MIS3 6" xfId="17837" xr:uid="{00000000-0005-0000-0000-0000A4450000}"/>
    <cellStyle name="_Header_MIS3 7" xfId="17838" xr:uid="{00000000-0005-0000-0000-0000A5450000}"/>
    <cellStyle name="_Header_PE" xfId="17839" xr:uid="{00000000-0005-0000-0000-0000A6450000}"/>
    <cellStyle name="_Header_PE 2" xfId="17840" xr:uid="{00000000-0005-0000-0000-0000A7450000}"/>
    <cellStyle name="_Header_PE 2 2" xfId="17841" xr:uid="{00000000-0005-0000-0000-0000A8450000}"/>
    <cellStyle name="_Header_PE 3" xfId="17842" xr:uid="{00000000-0005-0000-0000-0000A9450000}"/>
    <cellStyle name="_Header_People Package" xfId="17843" xr:uid="{00000000-0005-0000-0000-0000AA450000}"/>
    <cellStyle name="_Header_People Package (2)" xfId="17844" xr:uid="{00000000-0005-0000-0000-0000AB450000}"/>
    <cellStyle name="_Header_People Package (2) 2" xfId="17845" xr:uid="{00000000-0005-0000-0000-0000AC450000}"/>
    <cellStyle name="_Header_People Package (2) 2 2" xfId="17846" xr:uid="{00000000-0005-0000-0000-0000AD450000}"/>
    <cellStyle name="_Header_People Package (2) 3" xfId="17847" xr:uid="{00000000-0005-0000-0000-0000AE450000}"/>
    <cellStyle name="_Header_People Package 2" xfId="17848" xr:uid="{00000000-0005-0000-0000-0000AF450000}"/>
    <cellStyle name="_Header_People Package 2 2" xfId="17849" xr:uid="{00000000-0005-0000-0000-0000B0450000}"/>
    <cellStyle name="_Header_People Package 3" xfId="17850" xr:uid="{00000000-0005-0000-0000-0000B1450000}"/>
    <cellStyle name="_Header_People Package 3 2" xfId="17851" xr:uid="{00000000-0005-0000-0000-0000B2450000}"/>
    <cellStyle name="_Header_People Package 4" xfId="17852" xr:uid="{00000000-0005-0000-0000-0000B3450000}"/>
    <cellStyle name="_Header_People Package 5" xfId="17853" xr:uid="{00000000-0005-0000-0000-0000B4450000}"/>
    <cellStyle name="_Header_RD" xfId="17854" xr:uid="{00000000-0005-0000-0000-0000B5450000}"/>
    <cellStyle name="_Header_RD 2" xfId="17855" xr:uid="{00000000-0005-0000-0000-0000B6450000}"/>
    <cellStyle name="_Header_RD 2 2" xfId="17856" xr:uid="{00000000-0005-0000-0000-0000B7450000}"/>
    <cellStyle name="_Header_RD 3" xfId="17857" xr:uid="{00000000-0005-0000-0000-0000B8450000}"/>
    <cellStyle name="_Header_Sales and Marketing - revised" xfId="17858" xr:uid="{00000000-0005-0000-0000-0000B9450000}"/>
    <cellStyle name="_Header_Sales and Marketing - revised 2" xfId="17859" xr:uid="{00000000-0005-0000-0000-0000BA450000}"/>
    <cellStyle name="_Header_Sales and Marketing - revised 2 2" xfId="17860" xr:uid="{00000000-0005-0000-0000-0000BB450000}"/>
    <cellStyle name="_Header_Sales and Marketing - revised 3" xfId="17861" xr:uid="{00000000-0005-0000-0000-0000BC450000}"/>
    <cellStyle name="_Header_Simulador Precio VE 2009" xfId="17862" xr:uid="{00000000-0005-0000-0000-0000BD450000}"/>
    <cellStyle name="_Header_Simulador Precio VE 2009 2" xfId="17863" xr:uid="{00000000-0005-0000-0000-0000BE450000}"/>
    <cellStyle name="_Header_Simulador Precio VE 2009 2 2" xfId="17864" xr:uid="{00000000-0005-0000-0000-0000BF450000}"/>
    <cellStyle name="_Header_Simulador Precio VE 2009 3" xfId="17865" xr:uid="{00000000-0005-0000-0000-0000C0450000}"/>
    <cellStyle name="_Header_Strategic Diagnostic Templates Technik" xfId="17866" xr:uid="{00000000-0005-0000-0000-0000C1450000}"/>
    <cellStyle name="_Header_Strategic Diagnostic Templates Technik 2" xfId="17867" xr:uid="{00000000-0005-0000-0000-0000C2450000}"/>
    <cellStyle name="_Header_Strategic Diagnostic Templates Technik 2 2" xfId="17868" xr:uid="{00000000-0005-0000-0000-0000C3450000}"/>
    <cellStyle name="_Header_Strategic Diagnostic Templates Technik 2 2 2" xfId="17869" xr:uid="{00000000-0005-0000-0000-0000C4450000}"/>
    <cellStyle name="_Header_Strategic Diagnostic Templates Technik 2 3" xfId="17870" xr:uid="{00000000-0005-0000-0000-0000C5450000}"/>
    <cellStyle name="_Header_Strategic Diagnostic Templates Technik 3" xfId="17871" xr:uid="{00000000-0005-0000-0000-0000C6450000}"/>
    <cellStyle name="_Header_Strategic Diagnostic Templates Technik 3 2" xfId="17872" xr:uid="{00000000-0005-0000-0000-0000C7450000}"/>
    <cellStyle name="_Header_Strategic Diagnostic Templates Technik 4" xfId="17873" xr:uid="{00000000-0005-0000-0000-0000C8450000}"/>
    <cellStyle name="_Header_Strategic Diagnostic Templates Technik_010808 Market Programs  for Budget Deck" xfId="17874" xr:uid="{00000000-0005-0000-0000-0000C9450000}"/>
    <cellStyle name="_Header_Strategic Diagnostic Templates Technik_010808 Market Programs  for Budget Deck 2" xfId="17875" xr:uid="{00000000-0005-0000-0000-0000CA450000}"/>
    <cellStyle name="_Header_Strategic Diagnostic Templates Technik_010808 Market Programs  for Budget Deck 2 2" xfId="17876" xr:uid="{00000000-0005-0000-0000-0000CB450000}"/>
    <cellStyle name="_Header_Strategic Diagnostic Templates Technik_010808 Market Programs  for Budget Deck 3" xfId="17877" xr:uid="{00000000-0005-0000-0000-0000CC450000}"/>
    <cellStyle name="_Header_Strategic Diagnostic Templates Technik_0908 Gabarito exchange rate" xfId="17878" xr:uid="{00000000-0005-0000-0000-0000CD450000}"/>
    <cellStyle name="_Header_Strategic Diagnostic Templates Technik_0908 Gabarito exchange rate 2" xfId="17879" xr:uid="{00000000-0005-0000-0000-0000CE450000}"/>
    <cellStyle name="_Header_Strategic Diagnostic Templates Technik_0908 Gabarito exchange rate 2 2" xfId="17880" xr:uid="{00000000-0005-0000-0000-0000CF450000}"/>
    <cellStyle name="_Header_Strategic Diagnostic Templates Technik_0908 Gabarito exchange rate 3" xfId="17881" xr:uid="{00000000-0005-0000-0000-0000D0450000}"/>
    <cellStyle name="_Header_Strategic Diagnostic Templates Technik_BGT 08 Templates Sales  Marketing - final (revised)" xfId="17882" xr:uid="{00000000-0005-0000-0000-0000D1450000}"/>
    <cellStyle name="_Header_Strategic Diagnostic Templates Technik_BGT 08 Templates Sales  Marketing - final (revised) 2" xfId="17883" xr:uid="{00000000-0005-0000-0000-0000D2450000}"/>
    <cellStyle name="_Header_Strategic Diagnostic Templates Technik_BGT 08 Templates Sales  Marketing - final (revised) 2 2" xfId="17884" xr:uid="{00000000-0005-0000-0000-0000D3450000}"/>
    <cellStyle name="_Header_Strategic Diagnostic Templates Technik_BGT 08 Templates Sales  Marketing - final (revised) 3" xfId="17885" xr:uid="{00000000-0005-0000-0000-0000D4450000}"/>
    <cellStyle name="_Header_Strategic Diagnostic Templates Technik_Book5" xfId="17886" xr:uid="{00000000-0005-0000-0000-0000D5450000}"/>
    <cellStyle name="_Header_Strategic Diagnostic Templates Technik_Book5 2" xfId="17887" xr:uid="{00000000-0005-0000-0000-0000D6450000}"/>
    <cellStyle name="_Header_Strategic Diagnostic Templates Technik_Book5 2 2" xfId="17888" xr:uid="{00000000-0005-0000-0000-0000D7450000}"/>
    <cellStyle name="_Header_Strategic Diagnostic Templates Technik_Book5 3" xfId="17889" xr:uid="{00000000-0005-0000-0000-0000D8450000}"/>
    <cellStyle name="_Header_Strategic Diagnostic Templates Technik_Bplan RD 1001" xfId="17890" xr:uid="{00000000-0005-0000-0000-0000D9450000}"/>
    <cellStyle name="_Header_Strategic Diagnostic Templates Technik_Bplan RD 1001 2" xfId="17891" xr:uid="{00000000-0005-0000-0000-0000DA450000}"/>
    <cellStyle name="_Header_Strategic Diagnostic Templates Technik_Bplan RD 1001 2 2" xfId="17892" xr:uid="{00000000-0005-0000-0000-0000DB450000}"/>
    <cellStyle name="_Header_Strategic Diagnostic Templates Technik_Bplan RD 1001 3" xfId="17893" xr:uid="{00000000-0005-0000-0000-0000DC450000}"/>
    <cellStyle name="_Header_Strategic Diagnostic Templates Technik_Copy of BGT 08 Templates Sales  Marketing - final (revised)" xfId="17894" xr:uid="{00000000-0005-0000-0000-0000DD450000}"/>
    <cellStyle name="_Header_Strategic Diagnostic Templates Technik_Copy of BGT 08 Templates Sales  Marketing - final (revised) 2" xfId="17895" xr:uid="{00000000-0005-0000-0000-0000DE450000}"/>
    <cellStyle name="_Header_Strategic Diagnostic Templates Technik_Copy of BGT 08 Templates Sales  Marketing - final (revised) 2 2" xfId="17896" xr:uid="{00000000-0005-0000-0000-0000DF450000}"/>
    <cellStyle name="_Header_Strategic Diagnostic Templates Technik_Copy of BGT 08 Templates Sales  Marketing - final (revised) 3" xfId="17897" xr:uid="{00000000-0005-0000-0000-0000E0450000}"/>
    <cellStyle name="_Header_Strategic Diagnostic Templates Technik_Excel sheets to support Market Program Template for Budget 09" xfId="17898" xr:uid="{00000000-0005-0000-0000-0000E1450000}"/>
    <cellStyle name="_Header_Strategic Diagnostic Templates Technik_Excel sheets to support Market Program Template for Budget 09 (5) (2)" xfId="17899" xr:uid="{00000000-0005-0000-0000-0000E2450000}"/>
    <cellStyle name="_Header_Strategic Diagnostic Templates Technik_Excel sheets to support Market Program Template for Budget 09 (5) (2) 2" xfId="17900" xr:uid="{00000000-0005-0000-0000-0000E3450000}"/>
    <cellStyle name="_Header_Strategic Diagnostic Templates Technik_Excel sheets to support Market Program Template for Budget 09 (5) (2) 2 2" xfId="17901" xr:uid="{00000000-0005-0000-0000-0000E4450000}"/>
    <cellStyle name="_Header_Strategic Diagnostic Templates Technik_Excel sheets to support Market Program Template for Budget 09 (5) (2) 3" xfId="17902" xr:uid="{00000000-0005-0000-0000-0000E5450000}"/>
    <cellStyle name="_Header_Strategic Diagnostic Templates Technik_Excel sheets to support Market Program Template for Budget 09 (5) (3)" xfId="17903" xr:uid="{00000000-0005-0000-0000-0000E6450000}"/>
    <cellStyle name="_Header_Strategic Diagnostic Templates Technik_Excel sheets to support Market Program Template for Budget 09 (5) (3) 2" xfId="17904" xr:uid="{00000000-0005-0000-0000-0000E7450000}"/>
    <cellStyle name="_Header_Strategic Diagnostic Templates Technik_Excel sheets to support Market Program Template for Budget 09 (5) (3) 2 2" xfId="17905" xr:uid="{00000000-0005-0000-0000-0000E8450000}"/>
    <cellStyle name="_Header_Strategic Diagnostic Templates Technik_Excel sheets to support Market Program Template for Budget 09 (5) (3) 3" xfId="17906" xr:uid="{00000000-0005-0000-0000-0000E9450000}"/>
    <cellStyle name="_Header_Strategic Diagnostic Templates Technik_Excel sheets to support Market Program Template for Budget 09 2" xfId="17907" xr:uid="{00000000-0005-0000-0000-0000EA450000}"/>
    <cellStyle name="_Header_Strategic Diagnostic Templates Technik_Excel sheets to support Market Program Template for Budget 09 2 2" xfId="17908" xr:uid="{00000000-0005-0000-0000-0000EB450000}"/>
    <cellStyle name="_Header_Strategic Diagnostic Templates Technik_Excel sheets to support Market Program Template for Budget 09 3" xfId="17909" xr:uid="{00000000-0005-0000-0000-0000EC450000}"/>
    <cellStyle name="_Header_Strategic Diagnostic Templates Technik_Excel sheets to support Market Program Template for Budget 09 3 2" xfId="17910" xr:uid="{00000000-0005-0000-0000-0000ED450000}"/>
    <cellStyle name="_Header_Strategic Diagnostic Templates Technik_Excel sheets to support Market Program Template for Budget 09 4" xfId="17911" xr:uid="{00000000-0005-0000-0000-0000EE450000}"/>
    <cellStyle name="_Header_Strategic Diagnostic Templates Technik_Excel sheets to support Market Program Template for Budget 09 5" xfId="17912" xr:uid="{00000000-0005-0000-0000-0000EF450000}"/>
    <cellStyle name="_Header_Strategic Diagnostic Templates Technik_LE Ebitda RD Feb-10 v2" xfId="17913" xr:uid="{00000000-0005-0000-0000-0000F0450000}"/>
    <cellStyle name="_Header_Strategic Diagnostic Templates Technik_LE Ebitda RD Feb-10 v2 2" xfId="17914" xr:uid="{00000000-0005-0000-0000-0000F1450000}"/>
    <cellStyle name="_Header_Strategic Diagnostic Templates Technik_LE Ebitda RD Feb-10 v2 2 2" xfId="17915" xr:uid="{00000000-0005-0000-0000-0000F2450000}"/>
    <cellStyle name="_Header_Strategic Diagnostic Templates Technik_LE Ebitda RD Feb-10 v2 3" xfId="17916" xr:uid="{00000000-0005-0000-0000-0000F3450000}"/>
    <cellStyle name="_Header_Strategic Diagnostic Templates Technik_People Package" xfId="17917" xr:uid="{00000000-0005-0000-0000-0000F4450000}"/>
    <cellStyle name="_Header_Strategic Diagnostic Templates Technik_People Package (2)" xfId="17918" xr:uid="{00000000-0005-0000-0000-0000F5450000}"/>
    <cellStyle name="_Header_Strategic Diagnostic Templates Technik_People Package (2) 2" xfId="17919" xr:uid="{00000000-0005-0000-0000-0000F6450000}"/>
    <cellStyle name="_Header_Strategic Diagnostic Templates Technik_People Package (2) 2 2" xfId="17920" xr:uid="{00000000-0005-0000-0000-0000F7450000}"/>
    <cellStyle name="_Header_Strategic Diagnostic Templates Technik_People Package (2) 3" xfId="17921" xr:uid="{00000000-0005-0000-0000-0000F8450000}"/>
    <cellStyle name="_Header_Strategic Diagnostic Templates Technik_People Package 2" xfId="17922" xr:uid="{00000000-0005-0000-0000-0000F9450000}"/>
    <cellStyle name="_Header_Strategic Diagnostic Templates Technik_People Package 2 2" xfId="17923" xr:uid="{00000000-0005-0000-0000-0000FA450000}"/>
    <cellStyle name="_Header_Strategic Diagnostic Templates Technik_People Package 3" xfId="17924" xr:uid="{00000000-0005-0000-0000-0000FB450000}"/>
    <cellStyle name="_Header_Strategic Diagnostic Templates Technik_People Package 3 2" xfId="17925" xr:uid="{00000000-0005-0000-0000-0000FC450000}"/>
    <cellStyle name="_Header_Strategic Diagnostic Templates Technik_People Package 4" xfId="17926" xr:uid="{00000000-0005-0000-0000-0000FD450000}"/>
    <cellStyle name="_Header_Strategic Diagnostic Templates Technik_People Package 5" xfId="17927" xr:uid="{00000000-0005-0000-0000-0000FE450000}"/>
    <cellStyle name="_Header_Strategic Diagnostic Templates Technik_Sales and Marketing - revised" xfId="17928" xr:uid="{00000000-0005-0000-0000-0000FF450000}"/>
    <cellStyle name="_Header_Strategic Diagnostic Templates Technik_Sales and Marketing - revised 2" xfId="17929" xr:uid="{00000000-0005-0000-0000-000000460000}"/>
    <cellStyle name="_Header_Strategic Diagnostic Templates Technik_Sales and Marketing - revised 2 2" xfId="17930" xr:uid="{00000000-0005-0000-0000-000001460000}"/>
    <cellStyle name="_Header_Strategic Diagnostic Templates Technik_Sales and Marketing - revised 3" xfId="17931" xr:uid="{00000000-0005-0000-0000-000002460000}"/>
    <cellStyle name="_Header_Strategic Diagnostic Templates Technik_Sim Ebitda LE 0909 v4" xfId="17932" xr:uid="{00000000-0005-0000-0000-000003460000}"/>
    <cellStyle name="_Header_Strategic Diagnostic Templates Technik_Sim Ebitda LE 0909 v4 2" xfId="17933" xr:uid="{00000000-0005-0000-0000-000004460000}"/>
    <cellStyle name="_Header_Strategic Diagnostic Templates Technik_Sim Ebitda LE 0909 v4 2 2" xfId="17934" xr:uid="{00000000-0005-0000-0000-000005460000}"/>
    <cellStyle name="_Header_Strategic Diagnostic Templates Technik_Sim Ebitda LE 0909 v4 3" xfId="17935" xr:uid="{00000000-0005-0000-0000-000006460000}"/>
    <cellStyle name="_Header_Strategic Diagnostic Templates Technik_WF Ebitda RD Abr-10" xfId="17936" xr:uid="{00000000-0005-0000-0000-000007460000}"/>
    <cellStyle name="_Header_Strategic Diagnostic Templates Technik_WF Ebitda RD Abr-10 2" xfId="17937" xr:uid="{00000000-0005-0000-0000-000008460000}"/>
    <cellStyle name="_Header_Strategic Diagnostic Templates Technik_WF Ebitda RD Abr-10 2 2" xfId="17938" xr:uid="{00000000-0005-0000-0000-000009460000}"/>
    <cellStyle name="_Header_Strategic Diagnostic Templates Technik_WF Ebitda RD Abr-10 3" xfId="17939" xr:uid="{00000000-0005-0000-0000-00000A460000}"/>
    <cellStyle name="_Header_Strategic Diagnostic Templates Technik_WF Ebitda Sep09" xfId="17940" xr:uid="{00000000-0005-0000-0000-00000B460000}"/>
    <cellStyle name="_Header_Strategic Diagnostic Templates Technik_WF Ebitda Sep09 2" xfId="17941" xr:uid="{00000000-0005-0000-0000-00000C460000}"/>
    <cellStyle name="_Header_Strategic Diagnostic Templates Technik_WF Ebitda Sep09 2 2" xfId="17942" xr:uid="{00000000-0005-0000-0000-00000D460000}"/>
    <cellStyle name="_Header_Strategic Diagnostic Templates Technik_WF Ebitda Sep09 3" xfId="17943" xr:uid="{00000000-0005-0000-0000-00000E460000}"/>
    <cellStyle name="_Header_Strategic Diagnostic Templates Technik_ZBB" xfId="17944" xr:uid="{00000000-0005-0000-0000-00000F460000}"/>
    <cellStyle name="_Header_Strategic Diagnostic Templates Technik_ZBB 2" xfId="17945" xr:uid="{00000000-0005-0000-0000-000010460000}"/>
    <cellStyle name="_Header_Strategic Diagnostic Templates Technik_ZBB 2 2" xfId="17946" xr:uid="{00000000-0005-0000-0000-000011460000}"/>
    <cellStyle name="_Header_Strategic Diagnostic Templates Technik_ZBB 3" xfId="17947" xr:uid="{00000000-0005-0000-0000-000012460000}"/>
    <cellStyle name="_Header_VE" xfId="17948" xr:uid="{00000000-0005-0000-0000-000013460000}"/>
    <cellStyle name="_Header_VE 2" xfId="17949" xr:uid="{00000000-0005-0000-0000-000014460000}"/>
    <cellStyle name="_Header_VE 2 2" xfId="17950" xr:uid="{00000000-0005-0000-0000-000015460000}"/>
    <cellStyle name="_Header_VE 3" xfId="17951" xr:uid="{00000000-0005-0000-0000-000016460000}"/>
    <cellStyle name="_Header_waterfall-rol" xfId="17952" xr:uid="{00000000-0005-0000-0000-000017460000}"/>
    <cellStyle name="_Header_waterfall-rol 2" xfId="17953" xr:uid="{00000000-0005-0000-0000-000018460000}"/>
    <cellStyle name="_Header_waterfall-rol 2 2" xfId="17954" xr:uid="{00000000-0005-0000-0000-000019460000}"/>
    <cellStyle name="_Header_waterfall-rol 3" xfId="17955" xr:uid="{00000000-0005-0000-0000-00001A460000}"/>
    <cellStyle name="_Header_ZBB" xfId="17956" xr:uid="{00000000-0005-0000-0000-00001B460000}"/>
    <cellStyle name="_Header_ZBB 2" xfId="17957" xr:uid="{00000000-0005-0000-0000-00001C460000}"/>
    <cellStyle name="_Header_ZBB 2 2" xfId="17958" xr:uid="{00000000-0005-0000-0000-00001D460000}"/>
    <cellStyle name="_Header_ZBB 3" xfId="17959" xr:uid="{00000000-0005-0000-0000-00001E460000}"/>
    <cellStyle name="_HILA Gaps 3YP vs LE v7" xfId="17960" xr:uid="{00000000-0005-0000-0000-00001F460000}"/>
    <cellStyle name="_HILA Gaps 3YP vs LE v7 2" xfId="17961" xr:uid="{00000000-0005-0000-0000-000020460000}"/>
    <cellStyle name="_HILA Gaps 3YP vs LE v7 2 2" xfId="17962" xr:uid="{00000000-0005-0000-0000-000021460000}"/>
    <cellStyle name="_HILA Gaps 3YP vs LE v7 3" xfId="17963" xr:uid="{00000000-0005-0000-0000-000022460000}"/>
    <cellStyle name="_Informacion" xfId="17964" xr:uid="{00000000-0005-0000-0000-000023460000}"/>
    <cellStyle name="_Informacion 2" xfId="17965" xr:uid="{00000000-0005-0000-0000-000024460000}"/>
    <cellStyle name="_Informacion 2 2" xfId="17966" xr:uid="{00000000-0005-0000-0000-000025460000}"/>
    <cellStyle name="_Informacion 3" xfId="17967" xr:uid="{00000000-0005-0000-0000-000026460000}"/>
    <cellStyle name="_Iniciativas P3A GPV &amp; CSD HILA '10" xfId="17968" xr:uid="{00000000-0005-0000-0000-000027460000}"/>
    <cellStyle name="_Iniciativas P3A GPV &amp; CSD HILA '10 2" xfId="17969" xr:uid="{00000000-0005-0000-0000-000028460000}"/>
    <cellStyle name="_Iniciativas P3A GPV &amp; CSD HILA '10 2 2" xfId="17970" xr:uid="{00000000-0005-0000-0000-000029460000}"/>
    <cellStyle name="_Iniciativas P3A GPV &amp; CSD HILA '10 3" xfId="17971" xr:uid="{00000000-0005-0000-0000-00002A460000}"/>
    <cellStyle name="_Input Cognos" xfId="17972" xr:uid="{00000000-0005-0000-0000-00002B460000}"/>
    <cellStyle name="_Input Cognos 2" xfId="17973" xr:uid="{00000000-0005-0000-0000-00002C460000}"/>
    <cellStyle name="_IPI Manaus OK" xfId="17974" xr:uid="{00000000-0005-0000-0000-00002D460000}"/>
    <cellStyle name="_IPI Manaus OK 2" xfId="17975" xr:uid="{00000000-0005-0000-0000-00002E460000}"/>
    <cellStyle name="_Libro1 (2)" xfId="17976" xr:uid="{00000000-0005-0000-0000-00002F460000}"/>
    <cellStyle name="_Libro1 (2) 2" xfId="17977" xr:uid="{00000000-0005-0000-0000-000030460000}"/>
    <cellStyle name="_Libro1 (2) 2 2" xfId="17978" xr:uid="{00000000-0005-0000-0000-000031460000}"/>
    <cellStyle name="_Libro1 (2) 3" xfId="17979" xr:uid="{00000000-0005-0000-0000-000032460000}"/>
    <cellStyle name="_MACO detailes" xfId="17980" xr:uid="{00000000-0005-0000-0000-000033460000}"/>
    <cellStyle name="_MACO detailes 2" xfId="17981" xr:uid="{00000000-0005-0000-0000-000034460000}"/>
    <cellStyle name="_MACO detailes 2 2" xfId="17982" xr:uid="{00000000-0005-0000-0000-000035460000}"/>
    <cellStyle name="_MACO detailes 2 2 2" xfId="17983" xr:uid="{00000000-0005-0000-0000-000036460000}"/>
    <cellStyle name="_MACO detailes 2 3" xfId="17984" xr:uid="{00000000-0005-0000-0000-000037460000}"/>
    <cellStyle name="_MACO detailes 3" xfId="17985" xr:uid="{00000000-0005-0000-0000-000038460000}"/>
    <cellStyle name="_MACO detailes 3 2" xfId="17986" xr:uid="{00000000-0005-0000-0000-000039460000}"/>
    <cellStyle name="_MACO detailes 4" xfId="17987" xr:uid="{00000000-0005-0000-0000-00003A460000}"/>
    <cellStyle name="_MACO detailes vs. BUD" xfId="17988" xr:uid="{00000000-0005-0000-0000-00003B460000}"/>
    <cellStyle name="_MACO detailes vs. BUD 2" xfId="17989" xr:uid="{00000000-0005-0000-0000-00003C460000}"/>
    <cellStyle name="_MACO detailes vs. BUD 2 2" xfId="17990" xr:uid="{00000000-0005-0000-0000-00003D460000}"/>
    <cellStyle name="_MACO detailes vs. BUD 2 2 2" xfId="17991" xr:uid="{00000000-0005-0000-0000-00003E460000}"/>
    <cellStyle name="_MACO detailes vs. BUD 2 3" xfId="17992" xr:uid="{00000000-0005-0000-0000-00003F460000}"/>
    <cellStyle name="_MACO detailes vs. BUD 3" xfId="17993" xr:uid="{00000000-0005-0000-0000-000040460000}"/>
    <cellStyle name="_MACO detailes vs. BUD 3 2" xfId="17994" xr:uid="{00000000-0005-0000-0000-000041460000}"/>
    <cellStyle name="_MACO detailes vs. BUD 4" xfId="17995" xr:uid="{00000000-0005-0000-0000-000042460000}"/>
    <cellStyle name="_MACO detailes vs. BUD_0908 Gabarito exchange rate" xfId="17996" xr:uid="{00000000-0005-0000-0000-000043460000}"/>
    <cellStyle name="_MACO detailes vs. BUD_0908 Gabarito exchange rate 2" xfId="17997" xr:uid="{00000000-0005-0000-0000-000044460000}"/>
    <cellStyle name="_MACO detailes vs. BUD_0908 Gabarito exchange rate 2 2" xfId="17998" xr:uid="{00000000-0005-0000-0000-000045460000}"/>
    <cellStyle name="_MACO detailes vs. BUD_0908 Gabarito exchange rate 3" xfId="17999" xr:uid="{00000000-0005-0000-0000-000046460000}"/>
    <cellStyle name="_MACO detailes vs. BUD_Book5" xfId="18000" xr:uid="{00000000-0005-0000-0000-000047460000}"/>
    <cellStyle name="_MACO detailes vs. BUD_Book5 2" xfId="18001" xr:uid="{00000000-0005-0000-0000-000048460000}"/>
    <cellStyle name="_MACO detailes vs. BUD_Book5 2 2" xfId="18002" xr:uid="{00000000-0005-0000-0000-000049460000}"/>
    <cellStyle name="_MACO detailes vs. BUD_Book5 3" xfId="18003" xr:uid="{00000000-0005-0000-0000-00004A460000}"/>
    <cellStyle name="_MACO detailes vs. BUD_Bplan RD 1001" xfId="18004" xr:uid="{00000000-0005-0000-0000-00004B460000}"/>
    <cellStyle name="_MACO detailes vs. BUD_Bplan RD 1001 2" xfId="18005" xr:uid="{00000000-0005-0000-0000-00004C460000}"/>
    <cellStyle name="_MACO detailes vs. BUD_Bplan RD 1001 2 2" xfId="18006" xr:uid="{00000000-0005-0000-0000-00004D460000}"/>
    <cellStyle name="_MACO detailes vs. BUD_Bplan RD 1001 3" xfId="18007" xr:uid="{00000000-0005-0000-0000-00004E460000}"/>
    <cellStyle name="_MACO detailes vs. BUD_Copy of 081027 ZBB Budget 2009 Decks - People_Cherry_V4" xfId="18008" xr:uid="{00000000-0005-0000-0000-00004F460000}"/>
    <cellStyle name="_MACO detailes vs. BUD_Copy of 081027 ZBB Budget 2009 Decks - People_Cherry_V4 2" xfId="18009" xr:uid="{00000000-0005-0000-0000-000050460000}"/>
    <cellStyle name="_MACO detailes vs. BUD_Copy of 081027 ZBB Budget 2009 Decks - People_Cherry_V4 2 2" xfId="18010" xr:uid="{00000000-0005-0000-0000-000051460000}"/>
    <cellStyle name="_MACO detailes vs. BUD_Copy of 081027 ZBB Budget 2009 Decks - People_Cherry_V4 2 2 2" xfId="18011" xr:uid="{00000000-0005-0000-0000-000052460000}"/>
    <cellStyle name="_MACO detailes vs. BUD_Copy of 081027 ZBB Budget 2009 Decks - People_Cherry_V4 2 3" xfId="18012" xr:uid="{00000000-0005-0000-0000-000053460000}"/>
    <cellStyle name="_MACO detailes vs. BUD_Copy of 081027 ZBB Budget 2009 Decks - People_Cherry_V4 3" xfId="18013" xr:uid="{00000000-0005-0000-0000-000054460000}"/>
    <cellStyle name="_MACO detailes vs. BUD_Copy of 081027 ZBB Budget 2009 Decks - People_Cherry_V4 3 2" xfId="18014" xr:uid="{00000000-0005-0000-0000-000055460000}"/>
    <cellStyle name="_MACO detailes vs. BUD_Copy of 081027 ZBB Budget 2009 Decks - People_Cherry_V4 4" xfId="18015" xr:uid="{00000000-0005-0000-0000-000056460000}"/>
    <cellStyle name="_MACO detailes vs. BUD_LE Ebitda RD Feb-10 v2" xfId="18016" xr:uid="{00000000-0005-0000-0000-000057460000}"/>
    <cellStyle name="_MACO detailes vs. BUD_LE Ebitda RD Feb-10 v2 2" xfId="18017" xr:uid="{00000000-0005-0000-0000-000058460000}"/>
    <cellStyle name="_MACO detailes vs. BUD_LE Ebitda RD Feb-10 v2 2 2" xfId="18018" xr:uid="{00000000-0005-0000-0000-000059460000}"/>
    <cellStyle name="_MACO detailes vs. BUD_LE Ebitda RD Feb-10 v2 3" xfId="18019" xr:uid="{00000000-0005-0000-0000-00005A460000}"/>
    <cellStyle name="_MACO detailes vs. BUD_People Package" xfId="18020" xr:uid="{00000000-0005-0000-0000-00005B460000}"/>
    <cellStyle name="_MACO detailes vs. BUD_People Package (2)" xfId="18021" xr:uid="{00000000-0005-0000-0000-00005C460000}"/>
    <cellStyle name="_MACO detailes vs. BUD_People Package (2) 2" xfId="18022" xr:uid="{00000000-0005-0000-0000-00005D460000}"/>
    <cellStyle name="_MACO detailes vs. BUD_People Package (2) 2 2" xfId="18023" xr:uid="{00000000-0005-0000-0000-00005E460000}"/>
    <cellStyle name="_MACO detailes vs. BUD_People Package (2) 2 2 2" xfId="18024" xr:uid="{00000000-0005-0000-0000-00005F460000}"/>
    <cellStyle name="_MACO detailes vs. BUD_People Package (2) 2 3" xfId="18025" xr:uid="{00000000-0005-0000-0000-000060460000}"/>
    <cellStyle name="_MACO detailes vs. BUD_People Package (2) 3" xfId="18026" xr:uid="{00000000-0005-0000-0000-000061460000}"/>
    <cellStyle name="_MACO detailes vs. BUD_People Package (2) 3 2" xfId="18027" xr:uid="{00000000-0005-0000-0000-000062460000}"/>
    <cellStyle name="_MACO detailes vs. BUD_People Package (2) 4" xfId="18028" xr:uid="{00000000-0005-0000-0000-000063460000}"/>
    <cellStyle name="_MACO detailes vs. BUD_People Package 2" xfId="18029" xr:uid="{00000000-0005-0000-0000-000064460000}"/>
    <cellStyle name="_MACO detailes vs. BUD_People Package 2 2" xfId="18030" xr:uid="{00000000-0005-0000-0000-000065460000}"/>
    <cellStyle name="_MACO detailes vs. BUD_People Package 2 2 2" xfId="18031" xr:uid="{00000000-0005-0000-0000-000066460000}"/>
    <cellStyle name="_MACO detailes vs. BUD_People Package 2 3" xfId="18032" xr:uid="{00000000-0005-0000-0000-000067460000}"/>
    <cellStyle name="_MACO detailes vs. BUD_People Package 3" xfId="18033" xr:uid="{00000000-0005-0000-0000-000068460000}"/>
    <cellStyle name="_MACO detailes vs. BUD_People Package 3 2" xfId="18034" xr:uid="{00000000-0005-0000-0000-000069460000}"/>
    <cellStyle name="_MACO detailes vs. BUD_People Package 4" xfId="18035" xr:uid="{00000000-0005-0000-0000-00006A460000}"/>
    <cellStyle name="_MACO detailes vs. BUD_People Package 4 2" xfId="18036" xr:uid="{00000000-0005-0000-0000-00006B460000}"/>
    <cellStyle name="_MACO detailes vs. BUD_People Package 5" xfId="18037" xr:uid="{00000000-0005-0000-0000-00006C460000}"/>
    <cellStyle name="_MACO detailes vs. BUD_People Package 6" xfId="18038" xr:uid="{00000000-0005-0000-0000-00006D460000}"/>
    <cellStyle name="_MACO detailes vs. BUD_Sales and Marketing - revised" xfId="18039" xr:uid="{00000000-0005-0000-0000-00006E460000}"/>
    <cellStyle name="_MACO detailes vs. BUD_Sales and Marketing - revised 2" xfId="18040" xr:uid="{00000000-0005-0000-0000-00006F460000}"/>
    <cellStyle name="_MACO detailes vs. BUD_Sales and Marketing - revised 2 2" xfId="18041" xr:uid="{00000000-0005-0000-0000-000070460000}"/>
    <cellStyle name="_MACO detailes vs. BUD_Sales and Marketing - revised 3" xfId="18042" xr:uid="{00000000-0005-0000-0000-000071460000}"/>
    <cellStyle name="_MACO detailes vs. BUD_Sim Ebitda LE 0909 v4" xfId="18043" xr:uid="{00000000-0005-0000-0000-000072460000}"/>
    <cellStyle name="_MACO detailes vs. BUD_Sim Ebitda LE 0909 v4 2" xfId="18044" xr:uid="{00000000-0005-0000-0000-000073460000}"/>
    <cellStyle name="_MACO detailes vs. BUD_Sim Ebitda LE 0909 v4 2 2" xfId="18045" xr:uid="{00000000-0005-0000-0000-000074460000}"/>
    <cellStyle name="_MACO detailes vs. BUD_Sim Ebitda LE 0909 v4 3" xfId="18046" xr:uid="{00000000-0005-0000-0000-000075460000}"/>
    <cellStyle name="_MACO detailes vs. BUD_WF Ebitda RD Abr-10" xfId="18047" xr:uid="{00000000-0005-0000-0000-000076460000}"/>
    <cellStyle name="_MACO detailes vs. BUD_WF Ebitda RD Abr-10 2" xfId="18048" xr:uid="{00000000-0005-0000-0000-000077460000}"/>
    <cellStyle name="_MACO detailes vs. BUD_WF Ebitda RD Abr-10 2 2" xfId="18049" xr:uid="{00000000-0005-0000-0000-000078460000}"/>
    <cellStyle name="_MACO detailes vs. BUD_WF Ebitda RD Abr-10 3" xfId="18050" xr:uid="{00000000-0005-0000-0000-000079460000}"/>
    <cellStyle name="_MACO detailes vs. BUD_WF Ebitda Sep09" xfId="18051" xr:uid="{00000000-0005-0000-0000-00007A460000}"/>
    <cellStyle name="_MACO detailes vs. BUD_WF Ebitda Sep09 2" xfId="18052" xr:uid="{00000000-0005-0000-0000-00007B460000}"/>
    <cellStyle name="_MACO detailes vs. BUD_WF Ebitda Sep09 2 2" xfId="18053" xr:uid="{00000000-0005-0000-0000-00007C460000}"/>
    <cellStyle name="_MACO detailes vs. BUD_WF Ebitda Sep09 3" xfId="18054" xr:uid="{00000000-0005-0000-0000-00007D460000}"/>
    <cellStyle name="_MACO detailes vs. BUD_ZBB" xfId="18055" xr:uid="{00000000-0005-0000-0000-00007E460000}"/>
    <cellStyle name="_MACO detailes vs. BUD_ZBB 2" xfId="18056" xr:uid="{00000000-0005-0000-0000-00007F460000}"/>
    <cellStyle name="_MACO detailes vs. BUD_ZBB 2 2" xfId="18057" xr:uid="{00000000-0005-0000-0000-000080460000}"/>
    <cellStyle name="_MACO detailes vs. BUD_ZBB 2 2 2" xfId="18058" xr:uid="{00000000-0005-0000-0000-000081460000}"/>
    <cellStyle name="_MACO detailes vs. BUD_ZBB 2 3" xfId="18059" xr:uid="{00000000-0005-0000-0000-000082460000}"/>
    <cellStyle name="_MACO detailes vs. BUD_ZBB 3" xfId="18060" xr:uid="{00000000-0005-0000-0000-000083460000}"/>
    <cellStyle name="_MACO detailes vs. BUD_ZBB 3 2" xfId="18061" xr:uid="{00000000-0005-0000-0000-000084460000}"/>
    <cellStyle name="_MACO detailes vs. BUD_ZBB 4" xfId="18062" xr:uid="{00000000-0005-0000-0000-000085460000}"/>
    <cellStyle name="_MACO detailes vs. BUD_ZBB Budget 2009 Decks" xfId="18063" xr:uid="{00000000-0005-0000-0000-000086460000}"/>
    <cellStyle name="_MACO detailes vs. BUD_ZBB Budget 2009 Decks 2" xfId="18064" xr:uid="{00000000-0005-0000-0000-000087460000}"/>
    <cellStyle name="_MACO detailes vs. BUD_ZBB Budget 2009 Decks 2 2" xfId="18065" xr:uid="{00000000-0005-0000-0000-000088460000}"/>
    <cellStyle name="_MACO detailes vs. BUD_ZBB Budget 2009 Decks 2 2 2" xfId="18066" xr:uid="{00000000-0005-0000-0000-000089460000}"/>
    <cellStyle name="_MACO detailes vs. BUD_ZBB Budget 2009 Decks 2 3" xfId="18067" xr:uid="{00000000-0005-0000-0000-00008A460000}"/>
    <cellStyle name="_MACO detailes vs. BUD_ZBB Budget 2009 Decks 3" xfId="18068" xr:uid="{00000000-0005-0000-0000-00008B460000}"/>
    <cellStyle name="_MACO detailes vs. BUD_ZBB Budget 2009 Decks 3 2" xfId="18069" xr:uid="{00000000-0005-0000-0000-00008C460000}"/>
    <cellStyle name="_MACO detailes vs. BUD_ZBB Budget 2009 Decks 4" xfId="18070" xr:uid="{00000000-0005-0000-0000-00008D460000}"/>
    <cellStyle name="_MACO detailes vs. BUD_ZBB Budget 2009 Decks v2 china" xfId="18071" xr:uid="{00000000-0005-0000-0000-00008E460000}"/>
    <cellStyle name="_MACO detailes vs. BUD_ZBB Budget 2009 Decks v2 china 2" xfId="18072" xr:uid="{00000000-0005-0000-0000-00008F460000}"/>
    <cellStyle name="_MACO detailes vs. BUD_ZBB Budget 2009 Decks v2 china 2 2" xfId="18073" xr:uid="{00000000-0005-0000-0000-000090460000}"/>
    <cellStyle name="_MACO detailes vs. BUD_ZBB Budget 2009 Decks v2 china 2 2 2" xfId="18074" xr:uid="{00000000-0005-0000-0000-000091460000}"/>
    <cellStyle name="_MACO detailes vs. BUD_ZBB Budget 2009 Decks v2 china 2 3" xfId="18075" xr:uid="{00000000-0005-0000-0000-000092460000}"/>
    <cellStyle name="_MACO detailes vs. BUD_ZBB Budget 2009 Decks v2 china 3" xfId="18076" xr:uid="{00000000-0005-0000-0000-000093460000}"/>
    <cellStyle name="_MACO detailes vs. BUD_ZBB Budget 2009 Decks v2 china 3 2" xfId="18077" xr:uid="{00000000-0005-0000-0000-000094460000}"/>
    <cellStyle name="_MACO detailes vs. BUD_ZBB Budget 2009 Decks v2 china 4" xfId="18078" xr:uid="{00000000-0005-0000-0000-000095460000}"/>
    <cellStyle name="_MACO detailes vs. BUD_ZBB Budget 2009 Decks_with Korea Scope in (Only LE)" xfId="18079" xr:uid="{00000000-0005-0000-0000-000096460000}"/>
    <cellStyle name="_MACO detailes vs. BUD_ZBB Budget 2009 Decks_with Korea Scope in (Only LE) (2)" xfId="18080" xr:uid="{00000000-0005-0000-0000-000097460000}"/>
    <cellStyle name="_MACO detailes vs. BUD_ZBB Budget 2009 Decks_with Korea Scope in (Only LE) (2) 2" xfId="18081" xr:uid="{00000000-0005-0000-0000-000098460000}"/>
    <cellStyle name="_MACO detailes vs. BUD_ZBB Budget 2009 Decks_with Korea Scope in (Only LE) (2) 2 2" xfId="18082" xr:uid="{00000000-0005-0000-0000-000099460000}"/>
    <cellStyle name="_MACO detailes vs. BUD_ZBB Budget 2009 Decks_with Korea Scope in (Only LE) (2) 2 2 2" xfId="18083" xr:uid="{00000000-0005-0000-0000-00009A460000}"/>
    <cellStyle name="_MACO detailes vs. BUD_ZBB Budget 2009 Decks_with Korea Scope in (Only LE) (2) 2 3" xfId="18084" xr:uid="{00000000-0005-0000-0000-00009B460000}"/>
    <cellStyle name="_MACO detailes vs. BUD_ZBB Budget 2009 Decks_with Korea Scope in (Only LE) (2) 3" xfId="18085" xr:uid="{00000000-0005-0000-0000-00009C460000}"/>
    <cellStyle name="_MACO detailes vs. BUD_ZBB Budget 2009 Decks_with Korea Scope in (Only LE) (2) 3 2" xfId="18086" xr:uid="{00000000-0005-0000-0000-00009D460000}"/>
    <cellStyle name="_MACO detailes vs. BUD_ZBB Budget 2009 Decks_with Korea Scope in (Only LE) (2) 4" xfId="18087" xr:uid="{00000000-0005-0000-0000-00009E460000}"/>
    <cellStyle name="_MACO detailes vs. BUD_ZBB Budget 2009 Decks_with Korea Scope in (Only LE) 2" xfId="18088" xr:uid="{00000000-0005-0000-0000-00009F460000}"/>
    <cellStyle name="_MACO detailes vs. BUD_ZBB Budget 2009 Decks_with Korea Scope in (Only LE) 2 2" xfId="18089" xr:uid="{00000000-0005-0000-0000-0000A0460000}"/>
    <cellStyle name="_MACO detailes vs. BUD_ZBB Budget 2009 Decks_with Korea Scope in (Only LE) 2 2 2" xfId="18090" xr:uid="{00000000-0005-0000-0000-0000A1460000}"/>
    <cellStyle name="_MACO detailes vs. BUD_ZBB Budget 2009 Decks_with Korea Scope in (Only LE) 2 3" xfId="18091" xr:uid="{00000000-0005-0000-0000-0000A2460000}"/>
    <cellStyle name="_MACO detailes vs. BUD_ZBB Budget 2009 Decks_with Korea Scope in (Only LE) 3" xfId="18092" xr:uid="{00000000-0005-0000-0000-0000A3460000}"/>
    <cellStyle name="_MACO detailes vs. BUD_ZBB Budget 2009 Decks_with Korea Scope in (Only LE) 3 2" xfId="18093" xr:uid="{00000000-0005-0000-0000-0000A4460000}"/>
    <cellStyle name="_MACO detailes vs. BUD_ZBB Budget 2009 Decks_with Korea Scope in (Only LE) 4" xfId="18094" xr:uid="{00000000-0005-0000-0000-0000A5460000}"/>
    <cellStyle name="_MACO detailes vs. BUD_ZBB Budget 2009 Decks_with Korea Scope in (Only LE) 4 2" xfId="18095" xr:uid="{00000000-0005-0000-0000-0000A6460000}"/>
    <cellStyle name="_MACO detailes vs. BUD_ZBB Budget 2009 Decks_with Korea Scope in (Only LE) 5" xfId="18096" xr:uid="{00000000-0005-0000-0000-0000A7460000}"/>
    <cellStyle name="_MACO detailes vs. BUD_ZBB Budget 2009 Decks_with Korea Scope in (Only LE) 6" xfId="18097" xr:uid="{00000000-0005-0000-0000-0000A8460000}"/>
    <cellStyle name="_MACO detailes vs. BUD_ZBB standard Template Korea_081105" xfId="18098" xr:uid="{00000000-0005-0000-0000-0000A9460000}"/>
    <cellStyle name="_MACO detailes vs. BUD_ZBB standard Template Korea_081105 2" xfId="18099" xr:uid="{00000000-0005-0000-0000-0000AA460000}"/>
    <cellStyle name="_MACO detailes vs. BUD_ZBB standard Template Korea_081105 2 2" xfId="18100" xr:uid="{00000000-0005-0000-0000-0000AB460000}"/>
    <cellStyle name="_MACO detailes vs. BUD_ZBB standard Template Korea_081105 2 2 2" xfId="18101" xr:uid="{00000000-0005-0000-0000-0000AC460000}"/>
    <cellStyle name="_MACO detailes vs. BUD_ZBB standard Template Korea_081105 2 3" xfId="18102" xr:uid="{00000000-0005-0000-0000-0000AD460000}"/>
    <cellStyle name="_MACO detailes vs. BUD_ZBB standard Template Korea_081105 3" xfId="18103" xr:uid="{00000000-0005-0000-0000-0000AE460000}"/>
    <cellStyle name="_MACO detailes vs. BUD_ZBB standard Template Korea_081105 3 2" xfId="18104" xr:uid="{00000000-0005-0000-0000-0000AF460000}"/>
    <cellStyle name="_MACO detailes vs. BUD_ZBB standard Template Korea_081105 4" xfId="18105" xr:uid="{00000000-0005-0000-0000-0000B0460000}"/>
    <cellStyle name="_MACO detailes vs. BUDGET" xfId="18106" xr:uid="{00000000-0005-0000-0000-0000B1460000}"/>
    <cellStyle name="_MACO detailes vs. BUDGET 2" xfId="18107" xr:uid="{00000000-0005-0000-0000-0000B2460000}"/>
    <cellStyle name="_MACO detailes vs. BUDGET 2 2" xfId="18108" xr:uid="{00000000-0005-0000-0000-0000B3460000}"/>
    <cellStyle name="_MACO detailes vs. BUDGET 2 2 2" xfId="18109" xr:uid="{00000000-0005-0000-0000-0000B4460000}"/>
    <cellStyle name="_MACO detailes vs. BUDGET 2 3" xfId="18110" xr:uid="{00000000-0005-0000-0000-0000B5460000}"/>
    <cellStyle name="_MACO detailes vs. BUDGET 3" xfId="18111" xr:uid="{00000000-0005-0000-0000-0000B6460000}"/>
    <cellStyle name="_MACO detailes vs. BUDGET 3 2" xfId="18112" xr:uid="{00000000-0005-0000-0000-0000B7460000}"/>
    <cellStyle name="_MACO detailes vs. BUDGET 4" xfId="18113" xr:uid="{00000000-0005-0000-0000-0000B8460000}"/>
    <cellStyle name="_MACO detailes vs. BUDGET_0908 Gabarito exchange rate" xfId="18114" xr:uid="{00000000-0005-0000-0000-0000B9460000}"/>
    <cellStyle name="_MACO detailes vs. BUDGET_0908 Gabarito exchange rate 2" xfId="18115" xr:uid="{00000000-0005-0000-0000-0000BA460000}"/>
    <cellStyle name="_MACO detailes vs. BUDGET_0908 Gabarito exchange rate 2 2" xfId="18116" xr:uid="{00000000-0005-0000-0000-0000BB460000}"/>
    <cellStyle name="_MACO detailes vs. BUDGET_0908 Gabarito exchange rate 3" xfId="18117" xr:uid="{00000000-0005-0000-0000-0000BC460000}"/>
    <cellStyle name="_MACO detailes vs. BUDGET_Book5" xfId="18118" xr:uid="{00000000-0005-0000-0000-0000BD460000}"/>
    <cellStyle name="_MACO detailes vs. BUDGET_Book5 2" xfId="18119" xr:uid="{00000000-0005-0000-0000-0000BE460000}"/>
    <cellStyle name="_MACO detailes vs. BUDGET_Book5 2 2" xfId="18120" xr:uid="{00000000-0005-0000-0000-0000BF460000}"/>
    <cellStyle name="_MACO detailes vs. BUDGET_Book5 3" xfId="18121" xr:uid="{00000000-0005-0000-0000-0000C0460000}"/>
    <cellStyle name="_MACO detailes vs. BUDGET_Bplan RD 1001" xfId="18122" xr:uid="{00000000-0005-0000-0000-0000C1460000}"/>
    <cellStyle name="_MACO detailes vs. BUDGET_Bplan RD 1001 2" xfId="18123" xr:uid="{00000000-0005-0000-0000-0000C2460000}"/>
    <cellStyle name="_MACO detailes vs. BUDGET_Bplan RD 1001 2 2" xfId="18124" xr:uid="{00000000-0005-0000-0000-0000C3460000}"/>
    <cellStyle name="_MACO detailes vs. BUDGET_Bplan RD 1001 3" xfId="18125" xr:uid="{00000000-0005-0000-0000-0000C4460000}"/>
    <cellStyle name="_MACO detailes vs. BUDGET_Copy of 081027 ZBB Budget 2009 Decks - People_Cherry_V4" xfId="18126" xr:uid="{00000000-0005-0000-0000-0000C5460000}"/>
    <cellStyle name="_MACO detailes vs. BUDGET_Copy of 081027 ZBB Budget 2009 Decks - People_Cherry_V4 2" xfId="18127" xr:uid="{00000000-0005-0000-0000-0000C6460000}"/>
    <cellStyle name="_MACO detailes vs. BUDGET_Copy of 081027 ZBB Budget 2009 Decks - People_Cherry_V4 2 2" xfId="18128" xr:uid="{00000000-0005-0000-0000-0000C7460000}"/>
    <cellStyle name="_MACO detailes vs. BUDGET_Copy of 081027 ZBB Budget 2009 Decks - People_Cherry_V4 2 2 2" xfId="18129" xr:uid="{00000000-0005-0000-0000-0000C8460000}"/>
    <cellStyle name="_MACO detailes vs. BUDGET_Copy of 081027 ZBB Budget 2009 Decks - People_Cherry_V4 2 3" xfId="18130" xr:uid="{00000000-0005-0000-0000-0000C9460000}"/>
    <cellStyle name="_MACO detailes vs. BUDGET_Copy of 081027 ZBB Budget 2009 Decks - People_Cherry_V4 3" xfId="18131" xr:uid="{00000000-0005-0000-0000-0000CA460000}"/>
    <cellStyle name="_MACO detailes vs. BUDGET_Copy of 081027 ZBB Budget 2009 Decks - People_Cherry_V4 3 2" xfId="18132" xr:uid="{00000000-0005-0000-0000-0000CB460000}"/>
    <cellStyle name="_MACO detailes vs. BUDGET_Copy of 081027 ZBB Budget 2009 Decks - People_Cherry_V4 4" xfId="18133" xr:uid="{00000000-0005-0000-0000-0000CC460000}"/>
    <cellStyle name="_MACO detailes vs. BUDGET_LE Ebitda RD Feb-10 v2" xfId="18134" xr:uid="{00000000-0005-0000-0000-0000CD460000}"/>
    <cellStyle name="_MACO detailes vs. BUDGET_LE Ebitda RD Feb-10 v2 2" xfId="18135" xr:uid="{00000000-0005-0000-0000-0000CE460000}"/>
    <cellStyle name="_MACO detailes vs. BUDGET_LE Ebitda RD Feb-10 v2 2 2" xfId="18136" xr:uid="{00000000-0005-0000-0000-0000CF460000}"/>
    <cellStyle name="_MACO detailes vs. BUDGET_LE Ebitda RD Feb-10 v2 3" xfId="18137" xr:uid="{00000000-0005-0000-0000-0000D0460000}"/>
    <cellStyle name="_MACO detailes vs. BUDGET_People Package" xfId="18138" xr:uid="{00000000-0005-0000-0000-0000D1460000}"/>
    <cellStyle name="_MACO detailes vs. BUDGET_People Package (2)" xfId="18139" xr:uid="{00000000-0005-0000-0000-0000D2460000}"/>
    <cellStyle name="_MACO detailes vs. BUDGET_People Package (2) 2" xfId="18140" xr:uid="{00000000-0005-0000-0000-0000D3460000}"/>
    <cellStyle name="_MACO detailes vs. BUDGET_People Package (2) 2 2" xfId="18141" xr:uid="{00000000-0005-0000-0000-0000D4460000}"/>
    <cellStyle name="_MACO detailes vs. BUDGET_People Package (2) 2 2 2" xfId="18142" xr:uid="{00000000-0005-0000-0000-0000D5460000}"/>
    <cellStyle name="_MACO detailes vs. BUDGET_People Package (2) 2 3" xfId="18143" xr:uid="{00000000-0005-0000-0000-0000D6460000}"/>
    <cellStyle name="_MACO detailes vs. BUDGET_People Package (2) 3" xfId="18144" xr:uid="{00000000-0005-0000-0000-0000D7460000}"/>
    <cellStyle name="_MACO detailes vs. BUDGET_People Package (2) 3 2" xfId="18145" xr:uid="{00000000-0005-0000-0000-0000D8460000}"/>
    <cellStyle name="_MACO detailes vs. BUDGET_People Package (2) 4" xfId="18146" xr:uid="{00000000-0005-0000-0000-0000D9460000}"/>
    <cellStyle name="_MACO detailes vs. BUDGET_People Package 2" xfId="18147" xr:uid="{00000000-0005-0000-0000-0000DA460000}"/>
    <cellStyle name="_MACO detailes vs. BUDGET_People Package 2 2" xfId="18148" xr:uid="{00000000-0005-0000-0000-0000DB460000}"/>
    <cellStyle name="_MACO detailes vs. BUDGET_People Package 2 2 2" xfId="18149" xr:uid="{00000000-0005-0000-0000-0000DC460000}"/>
    <cellStyle name="_MACO detailes vs. BUDGET_People Package 2 3" xfId="18150" xr:uid="{00000000-0005-0000-0000-0000DD460000}"/>
    <cellStyle name="_MACO detailes vs. BUDGET_People Package 3" xfId="18151" xr:uid="{00000000-0005-0000-0000-0000DE460000}"/>
    <cellStyle name="_MACO detailes vs. BUDGET_People Package 3 2" xfId="18152" xr:uid="{00000000-0005-0000-0000-0000DF460000}"/>
    <cellStyle name="_MACO detailes vs. BUDGET_People Package 4" xfId="18153" xr:uid="{00000000-0005-0000-0000-0000E0460000}"/>
    <cellStyle name="_MACO detailes vs. BUDGET_People Package 4 2" xfId="18154" xr:uid="{00000000-0005-0000-0000-0000E1460000}"/>
    <cellStyle name="_MACO detailes vs. BUDGET_People Package 5" xfId="18155" xr:uid="{00000000-0005-0000-0000-0000E2460000}"/>
    <cellStyle name="_MACO detailes vs. BUDGET_People Package 6" xfId="18156" xr:uid="{00000000-0005-0000-0000-0000E3460000}"/>
    <cellStyle name="_MACO detailes vs. BUDGET_Sales and Marketing - revised" xfId="18157" xr:uid="{00000000-0005-0000-0000-0000E4460000}"/>
    <cellStyle name="_MACO detailes vs. BUDGET_Sales and Marketing - revised 2" xfId="18158" xr:uid="{00000000-0005-0000-0000-0000E5460000}"/>
    <cellStyle name="_MACO detailes vs. BUDGET_Sales and Marketing - revised 2 2" xfId="18159" xr:uid="{00000000-0005-0000-0000-0000E6460000}"/>
    <cellStyle name="_MACO detailes vs. BUDGET_Sales and Marketing - revised 3" xfId="18160" xr:uid="{00000000-0005-0000-0000-0000E7460000}"/>
    <cellStyle name="_MACO detailes vs. BUDGET_Sim Ebitda LE 0909 v4" xfId="18161" xr:uid="{00000000-0005-0000-0000-0000E8460000}"/>
    <cellStyle name="_MACO detailes vs. BUDGET_Sim Ebitda LE 0909 v4 2" xfId="18162" xr:uid="{00000000-0005-0000-0000-0000E9460000}"/>
    <cellStyle name="_MACO detailes vs. BUDGET_Sim Ebitda LE 0909 v4 2 2" xfId="18163" xr:uid="{00000000-0005-0000-0000-0000EA460000}"/>
    <cellStyle name="_MACO detailes vs. BUDGET_Sim Ebitda LE 0909 v4 3" xfId="18164" xr:uid="{00000000-0005-0000-0000-0000EB460000}"/>
    <cellStyle name="_MACO detailes vs. BUDGET_WF Ebitda RD Abr-10" xfId="18165" xr:uid="{00000000-0005-0000-0000-0000EC460000}"/>
    <cellStyle name="_MACO detailes vs. BUDGET_WF Ebitda RD Abr-10 2" xfId="18166" xr:uid="{00000000-0005-0000-0000-0000ED460000}"/>
    <cellStyle name="_MACO detailes vs. BUDGET_WF Ebitda RD Abr-10 2 2" xfId="18167" xr:uid="{00000000-0005-0000-0000-0000EE460000}"/>
    <cellStyle name="_MACO detailes vs. BUDGET_WF Ebitda RD Abr-10 3" xfId="18168" xr:uid="{00000000-0005-0000-0000-0000EF460000}"/>
    <cellStyle name="_MACO detailes vs. BUDGET_WF Ebitda Sep09" xfId="18169" xr:uid="{00000000-0005-0000-0000-0000F0460000}"/>
    <cellStyle name="_MACO detailes vs. BUDGET_WF Ebitda Sep09 2" xfId="18170" xr:uid="{00000000-0005-0000-0000-0000F1460000}"/>
    <cellStyle name="_MACO detailes vs. BUDGET_WF Ebitda Sep09 2 2" xfId="18171" xr:uid="{00000000-0005-0000-0000-0000F2460000}"/>
    <cellStyle name="_MACO detailes vs. BUDGET_WF Ebitda Sep09 3" xfId="18172" xr:uid="{00000000-0005-0000-0000-0000F3460000}"/>
    <cellStyle name="_MACO detailes vs. BUDGET_ZBB" xfId="18173" xr:uid="{00000000-0005-0000-0000-0000F4460000}"/>
    <cellStyle name="_MACO detailes vs. BUDGET_ZBB 2" xfId="18174" xr:uid="{00000000-0005-0000-0000-0000F5460000}"/>
    <cellStyle name="_MACO detailes vs. BUDGET_ZBB 2 2" xfId="18175" xr:uid="{00000000-0005-0000-0000-0000F6460000}"/>
    <cellStyle name="_MACO detailes vs. BUDGET_ZBB 2 2 2" xfId="18176" xr:uid="{00000000-0005-0000-0000-0000F7460000}"/>
    <cellStyle name="_MACO detailes vs. BUDGET_ZBB 2 3" xfId="18177" xr:uid="{00000000-0005-0000-0000-0000F8460000}"/>
    <cellStyle name="_MACO detailes vs. BUDGET_ZBB 3" xfId="18178" xr:uid="{00000000-0005-0000-0000-0000F9460000}"/>
    <cellStyle name="_MACO detailes vs. BUDGET_ZBB 3 2" xfId="18179" xr:uid="{00000000-0005-0000-0000-0000FA460000}"/>
    <cellStyle name="_MACO detailes vs. BUDGET_ZBB 4" xfId="18180" xr:uid="{00000000-0005-0000-0000-0000FB460000}"/>
    <cellStyle name="_MACO detailes vs. BUDGET_ZBB Budget 2009 Decks" xfId="18181" xr:uid="{00000000-0005-0000-0000-0000FC460000}"/>
    <cellStyle name="_MACO detailes vs. BUDGET_ZBB Budget 2009 Decks 2" xfId="18182" xr:uid="{00000000-0005-0000-0000-0000FD460000}"/>
    <cellStyle name="_MACO detailes vs. BUDGET_ZBB Budget 2009 Decks 2 2" xfId="18183" xr:uid="{00000000-0005-0000-0000-0000FE460000}"/>
    <cellStyle name="_MACO detailes vs. BUDGET_ZBB Budget 2009 Decks 2 2 2" xfId="18184" xr:uid="{00000000-0005-0000-0000-0000FF460000}"/>
    <cellStyle name="_MACO detailes vs. BUDGET_ZBB Budget 2009 Decks 2 3" xfId="18185" xr:uid="{00000000-0005-0000-0000-000000470000}"/>
    <cellStyle name="_MACO detailes vs. BUDGET_ZBB Budget 2009 Decks 3" xfId="18186" xr:uid="{00000000-0005-0000-0000-000001470000}"/>
    <cellStyle name="_MACO detailes vs. BUDGET_ZBB Budget 2009 Decks 3 2" xfId="18187" xr:uid="{00000000-0005-0000-0000-000002470000}"/>
    <cellStyle name="_MACO detailes vs. BUDGET_ZBB Budget 2009 Decks 4" xfId="18188" xr:uid="{00000000-0005-0000-0000-000003470000}"/>
    <cellStyle name="_MACO detailes vs. BUDGET_ZBB Budget 2009 Decks v2 china" xfId="18189" xr:uid="{00000000-0005-0000-0000-000004470000}"/>
    <cellStyle name="_MACO detailes vs. BUDGET_ZBB Budget 2009 Decks v2 china 2" xfId="18190" xr:uid="{00000000-0005-0000-0000-000005470000}"/>
    <cellStyle name="_MACO detailes vs. BUDGET_ZBB Budget 2009 Decks v2 china 2 2" xfId="18191" xr:uid="{00000000-0005-0000-0000-000006470000}"/>
    <cellStyle name="_MACO detailes vs. BUDGET_ZBB Budget 2009 Decks v2 china 2 2 2" xfId="18192" xr:uid="{00000000-0005-0000-0000-000007470000}"/>
    <cellStyle name="_MACO detailes vs. BUDGET_ZBB Budget 2009 Decks v2 china 2 3" xfId="18193" xr:uid="{00000000-0005-0000-0000-000008470000}"/>
    <cellStyle name="_MACO detailes vs. BUDGET_ZBB Budget 2009 Decks v2 china 3" xfId="18194" xr:uid="{00000000-0005-0000-0000-000009470000}"/>
    <cellStyle name="_MACO detailes vs. BUDGET_ZBB Budget 2009 Decks v2 china 3 2" xfId="18195" xr:uid="{00000000-0005-0000-0000-00000A470000}"/>
    <cellStyle name="_MACO detailes vs. BUDGET_ZBB Budget 2009 Decks v2 china 4" xfId="18196" xr:uid="{00000000-0005-0000-0000-00000B470000}"/>
    <cellStyle name="_MACO detailes vs. BUDGET_ZBB Budget 2009 Decks_with Korea Scope in (Only LE)" xfId="18197" xr:uid="{00000000-0005-0000-0000-00000C470000}"/>
    <cellStyle name="_MACO detailes vs. BUDGET_ZBB Budget 2009 Decks_with Korea Scope in (Only LE) (2)" xfId="18198" xr:uid="{00000000-0005-0000-0000-00000D470000}"/>
    <cellStyle name="_MACO detailes vs. BUDGET_ZBB Budget 2009 Decks_with Korea Scope in (Only LE) (2) 2" xfId="18199" xr:uid="{00000000-0005-0000-0000-00000E470000}"/>
    <cellStyle name="_MACO detailes vs. BUDGET_ZBB Budget 2009 Decks_with Korea Scope in (Only LE) (2) 2 2" xfId="18200" xr:uid="{00000000-0005-0000-0000-00000F470000}"/>
    <cellStyle name="_MACO detailes vs. BUDGET_ZBB Budget 2009 Decks_with Korea Scope in (Only LE) (2) 2 2 2" xfId="18201" xr:uid="{00000000-0005-0000-0000-000010470000}"/>
    <cellStyle name="_MACO detailes vs. BUDGET_ZBB Budget 2009 Decks_with Korea Scope in (Only LE) (2) 2 3" xfId="18202" xr:uid="{00000000-0005-0000-0000-000011470000}"/>
    <cellStyle name="_MACO detailes vs. BUDGET_ZBB Budget 2009 Decks_with Korea Scope in (Only LE) (2) 3" xfId="18203" xr:uid="{00000000-0005-0000-0000-000012470000}"/>
    <cellStyle name="_MACO detailes vs. BUDGET_ZBB Budget 2009 Decks_with Korea Scope in (Only LE) (2) 3 2" xfId="18204" xr:uid="{00000000-0005-0000-0000-000013470000}"/>
    <cellStyle name="_MACO detailes vs. BUDGET_ZBB Budget 2009 Decks_with Korea Scope in (Only LE) (2) 4" xfId="18205" xr:uid="{00000000-0005-0000-0000-000014470000}"/>
    <cellStyle name="_MACO detailes vs. BUDGET_ZBB Budget 2009 Decks_with Korea Scope in (Only LE) 2" xfId="18206" xr:uid="{00000000-0005-0000-0000-000015470000}"/>
    <cellStyle name="_MACO detailes vs. BUDGET_ZBB Budget 2009 Decks_with Korea Scope in (Only LE) 2 2" xfId="18207" xr:uid="{00000000-0005-0000-0000-000016470000}"/>
    <cellStyle name="_MACO detailes vs. BUDGET_ZBB Budget 2009 Decks_with Korea Scope in (Only LE) 2 2 2" xfId="18208" xr:uid="{00000000-0005-0000-0000-000017470000}"/>
    <cellStyle name="_MACO detailes vs. BUDGET_ZBB Budget 2009 Decks_with Korea Scope in (Only LE) 2 3" xfId="18209" xr:uid="{00000000-0005-0000-0000-000018470000}"/>
    <cellStyle name="_MACO detailes vs. BUDGET_ZBB Budget 2009 Decks_with Korea Scope in (Only LE) 3" xfId="18210" xr:uid="{00000000-0005-0000-0000-000019470000}"/>
    <cellStyle name="_MACO detailes vs. BUDGET_ZBB Budget 2009 Decks_with Korea Scope in (Only LE) 3 2" xfId="18211" xr:uid="{00000000-0005-0000-0000-00001A470000}"/>
    <cellStyle name="_MACO detailes vs. BUDGET_ZBB Budget 2009 Decks_with Korea Scope in (Only LE) 4" xfId="18212" xr:uid="{00000000-0005-0000-0000-00001B470000}"/>
    <cellStyle name="_MACO detailes vs. BUDGET_ZBB Budget 2009 Decks_with Korea Scope in (Only LE) 4 2" xfId="18213" xr:uid="{00000000-0005-0000-0000-00001C470000}"/>
    <cellStyle name="_MACO detailes vs. BUDGET_ZBB Budget 2009 Decks_with Korea Scope in (Only LE) 5" xfId="18214" xr:uid="{00000000-0005-0000-0000-00001D470000}"/>
    <cellStyle name="_MACO detailes vs. BUDGET_ZBB Budget 2009 Decks_with Korea Scope in (Only LE) 6" xfId="18215" xr:uid="{00000000-0005-0000-0000-00001E470000}"/>
    <cellStyle name="_MACO detailes vs. BUDGET_ZBB standard Template Korea_081105" xfId="18216" xr:uid="{00000000-0005-0000-0000-00001F470000}"/>
    <cellStyle name="_MACO detailes vs. BUDGET_ZBB standard Template Korea_081105 2" xfId="18217" xr:uid="{00000000-0005-0000-0000-000020470000}"/>
    <cellStyle name="_MACO detailes vs. BUDGET_ZBB standard Template Korea_081105 2 2" xfId="18218" xr:uid="{00000000-0005-0000-0000-000021470000}"/>
    <cellStyle name="_MACO detailes vs. BUDGET_ZBB standard Template Korea_081105 2 2 2" xfId="18219" xr:uid="{00000000-0005-0000-0000-000022470000}"/>
    <cellStyle name="_MACO detailes vs. BUDGET_ZBB standard Template Korea_081105 2 3" xfId="18220" xr:uid="{00000000-0005-0000-0000-000023470000}"/>
    <cellStyle name="_MACO detailes vs. BUDGET_ZBB standard Template Korea_081105 3" xfId="18221" xr:uid="{00000000-0005-0000-0000-000024470000}"/>
    <cellStyle name="_MACO detailes vs. BUDGET_ZBB standard Template Korea_081105 3 2" xfId="18222" xr:uid="{00000000-0005-0000-0000-000025470000}"/>
    <cellStyle name="_MACO detailes vs. BUDGET_ZBB standard Template Korea_081105 4" xfId="18223" xr:uid="{00000000-0005-0000-0000-000026470000}"/>
    <cellStyle name="_MACO detailes vs.2004" xfId="18224" xr:uid="{00000000-0005-0000-0000-000027470000}"/>
    <cellStyle name="_MACO detailes vs.2004 2" xfId="18225" xr:uid="{00000000-0005-0000-0000-000028470000}"/>
    <cellStyle name="_MACO detailes vs.2004 2 2" xfId="18226" xr:uid="{00000000-0005-0000-0000-000029470000}"/>
    <cellStyle name="_MACO detailes vs.2004 2 2 2" xfId="18227" xr:uid="{00000000-0005-0000-0000-00002A470000}"/>
    <cellStyle name="_MACO detailes vs.2004 2 3" xfId="18228" xr:uid="{00000000-0005-0000-0000-00002B470000}"/>
    <cellStyle name="_MACO detailes vs.2004 3" xfId="18229" xr:uid="{00000000-0005-0000-0000-00002C470000}"/>
    <cellStyle name="_MACO detailes vs.2004 3 2" xfId="18230" xr:uid="{00000000-0005-0000-0000-00002D470000}"/>
    <cellStyle name="_MACO detailes vs.2004 4" xfId="18231" xr:uid="{00000000-0005-0000-0000-00002E470000}"/>
    <cellStyle name="_MACO detailes vs.2004_0908 Gabarito exchange rate" xfId="18232" xr:uid="{00000000-0005-0000-0000-00002F470000}"/>
    <cellStyle name="_MACO detailes vs.2004_0908 Gabarito exchange rate 2" xfId="18233" xr:uid="{00000000-0005-0000-0000-000030470000}"/>
    <cellStyle name="_MACO detailes vs.2004_0908 Gabarito exchange rate 2 2" xfId="18234" xr:uid="{00000000-0005-0000-0000-000031470000}"/>
    <cellStyle name="_MACO detailes vs.2004_0908 Gabarito exchange rate 3" xfId="18235" xr:uid="{00000000-0005-0000-0000-000032470000}"/>
    <cellStyle name="_MACO detailes vs.2004_Book5" xfId="18236" xr:uid="{00000000-0005-0000-0000-000033470000}"/>
    <cellStyle name="_MACO detailes vs.2004_Book5 2" xfId="18237" xr:uid="{00000000-0005-0000-0000-000034470000}"/>
    <cellStyle name="_MACO detailes vs.2004_Book5 2 2" xfId="18238" xr:uid="{00000000-0005-0000-0000-000035470000}"/>
    <cellStyle name="_MACO detailes vs.2004_Book5 3" xfId="18239" xr:uid="{00000000-0005-0000-0000-000036470000}"/>
    <cellStyle name="_MACO detailes vs.2004_Bplan RD 1001" xfId="18240" xr:uid="{00000000-0005-0000-0000-000037470000}"/>
    <cellStyle name="_MACO detailes vs.2004_Bplan RD 1001 2" xfId="18241" xr:uid="{00000000-0005-0000-0000-000038470000}"/>
    <cellStyle name="_MACO detailes vs.2004_Bplan RD 1001 2 2" xfId="18242" xr:uid="{00000000-0005-0000-0000-000039470000}"/>
    <cellStyle name="_MACO detailes vs.2004_Bplan RD 1001 3" xfId="18243" xr:uid="{00000000-0005-0000-0000-00003A470000}"/>
    <cellStyle name="_MACO detailes vs.2004_Copy of 081027 ZBB Budget 2009 Decks - People_Cherry_V4" xfId="18244" xr:uid="{00000000-0005-0000-0000-00003B470000}"/>
    <cellStyle name="_MACO detailes vs.2004_Copy of 081027 ZBB Budget 2009 Decks - People_Cherry_V4 2" xfId="18245" xr:uid="{00000000-0005-0000-0000-00003C470000}"/>
    <cellStyle name="_MACO detailes vs.2004_Copy of 081027 ZBB Budget 2009 Decks - People_Cherry_V4 2 2" xfId="18246" xr:uid="{00000000-0005-0000-0000-00003D470000}"/>
    <cellStyle name="_MACO detailes vs.2004_Copy of 081027 ZBB Budget 2009 Decks - People_Cherry_V4 2 2 2" xfId="18247" xr:uid="{00000000-0005-0000-0000-00003E470000}"/>
    <cellStyle name="_MACO detailes vs.2004_Copy of 081027 ZBB Budget 2009 Decks - People_Cherry_V4 2 3" xfId="18248" xr:uid="{00000000-0005-0000-0000-00003F470000}"/>
    <cellStyle name="_MACO detailes vs.2004_Copy of 081027 ZBB Budget 2009 Decks - People_Cherry_V4 3" xfId="18249" xr:uid="{00000000-0005-0000-0000-000040470000}"/>
    <cellStyle name="_MACO detailes vs.2004_Copy of 081027 ZBB Budget 2009 Decks - People_Cherry_V4 3 2" xfId="18250" xr:uid="{00000000-0005-0000-0000-000041470000}"/>
    <cellStyle name="_MACO detailes vs.2004_Copy of 081027 ZBB Budget 2009 Decks - People_Cherry_V4 4" xfId="18251" xr:uid="{00000000-0005-0000-0000-000042470000}"/>
    <cellStyle name="_MACO detailes vs.2004_LE Ebitda RD Feb-10 v2" xfId="18252" xr:uid="{00000000-0005-0000-0000-000043470000}"/>
    <cellStyle name="_MACO detailes vs.2004_LE Ebitda RD Feb-10 v2 2" xfId="18253" xr:uid="{00000000-0005-0000-0000-000044470000}"/>
    <cellStyle name="_MACO detailes vs.2004_LE Ebitda RD Feb-10 v2 2 2" xfId="18254" xr:uid="{00000000-0005-0000-0000-000045470000}"/>
    <cellStyle name="_MACO detailes vs.2004_LE Ebitda RD Feb-10 v2 3" xfId="18255" xr:uid="{00000000-0005-0000-0000-000046470000}"/>
    <cellStyle name="_MACO detailes vs.2004_People Package" xfId="18256" xr:uid="{00000000-0005-0000-0000-000047470000}"/>
    <cellStyle name="_MACO detailes vs.2004_People Package (2)" xfId="18257" xr:uid="{00000000-0005-0000-0000-000048470000}"/>
    <cellStyle name="_MACO detailes vs.2004_People Package (2) 2" xfId="18258" xr:uid="{00000000-0005-0000-0000-000049470000}"/>
    <cellStyle name="_MACO detailes vs.2004_People Package (2) 2 2" xfId="18259" xr:uid="{00000000-0005-0000-0000-00004A470000}"/>
    <cellStyle name="_MACO detailes vs.2004_People Package (2) 2 2 2" xfId="18260" xr:uid="{00000000-0005-0000-0000-00004B470000}"/>
    <cellStyle name="_MACO detailes vs.2004_People Package (2) 2 3" xfId="18261" xr:uid="{00000000-0005-0000-0000-00004C470000}"/>
    <cellStyle name="_MACO detailes vs.2004_People Package (2) 3" xfId="18262" xr:uid="{00000000-0005-0000-0000-00004D470000}"/>
    <cellStyle name="_MACO detailes vs.2004_People Package (2) 3 2" xfId="18263" xr:uid="{00000000-0005-0000-0000-00004E470000}"/>
    <cellStyle name="_MACO detailes vs.2004_People Package (2) 4" xfId="18264" xr:uid="{00000000-0005-0000-0000-00004F470000}"/>
    <cellStyle name="_MACO detailes vs.2004_People Package 2" xfId="18265" xr:uid="{00000000-0005-0000-0000-000050470000}"/>
    <cellStyle name="_MACO detailes vs.2004_People Package 2 2" xfId="18266" xr:uid="{00000000-0005-0000-0000-000051470000}"/>
    <cellStyle name="_MACO detailes vs.2004_People Package 2 2 2" xfId="18267" xr:uid="{00000000-0005-0000-0000-000052470000}"/>
    <cellStyle name="_MACO detailes vs.2004_People Package 2 3" xfId="18268" xr:uid="{00000000-0005-0000-0000-000053470000}"/>
    <cellStyle name="_MACO detailes vs.2004_People Package 3" xfId="18269" xr:uid="{00000000-0005-0000-0000-000054470000}"/>
    <cellStyle name="_MACO detailes vs.2004_People Package 3 2" xfId="18270" xr:uid="{00000000-0005-0000-0000-000055470000}"/>
    <cellStyle name="_MACO detailes vs.2004_People Package 4" xfId="18271" xr:uid="{00000000-0005-0000-0000-000056470000}"/>
    <cellStyle name="_MACO detailes vs.2004_People Package 4 2" xfId="18272" xr:uid="{00000000-0005-0000-0000-000057470000}"/>
    <cellStyle name="_MACO detailes vs.2004_People Package 5" xfId="18273" xr:uid="{00000000-0005-0000-0000-000058470000}"/>
    <cellStyle name="_MACO detailes vs.2004_People Package 6" xfId="18274" xr:uid="{00000000-0005-0000-0000-000059470000}"/>
    <cellStyle name="_MACO detailes vs.2004_Sales and Marketing - revised" xfId="18275" xr:uid="{00000000-0005-0000-0000-00005A470000}"/>
    <cellStyle name="_MACO detailes vs.2004_Sales and Marketing - revised 2" xfId="18276" xr:uid="{00000000-0005-0000-0000-00005B470000}"/>
    <cellStyle name="_MACO detailes vs.2004_Sales and Marketing - revised 2 2" xfId="18277" xr:uid="{00000000-0005-0000-0000-00005C470000}"/>
    <cellStyle name="_MACO detailes vs.2004_Sales and Marketing - revised 3" xfId="18278" xr:uid="{00000000-0005-0000-0000-00005D470000}"/>
    <cellStyle name="_MACO detailes vs.2004_Sim Ebitda LE 0909 v4" xfId="18279" xr:uid="{00000000-0005-0000-0000-00005E470000}"/>
    <cellStyle name="_MACO detailes vs.2004_Sim Ebitda LE 0909 v4 2" xfId="18280" xr:uid="{00000000-0005-0000-0000-00005F470000}"/>
    <cellStyle name="_MACO detailes vs.2004_Sim Ebitda LE 0909 v4 2 2" xfId="18281" xr:uid="{00000000-0005-0000-0000-000060470000}"/>
    <cellStyle name="_MACO detailes vs.2004_Sim Ebitda LE 0909 v4 3" xfId="18282" xr:uid="{00000000-0005-0000-0000-000061470000}"/>
    <cellStyle name="_MACO detailes vs.2004_WF Ebitda RD Abr-10" xfId="18283" xr:uid="{00000000-0005-0000-0000-000062470000}"/>
    <cellStyle name="_MACO detailes vs.2004_WF Ebitda RD Abr-10 2" xfId="18284" xr:uid="{00000000-0005-0000-0000-000063470000}"/>
    <cellStyle name="_MACO detailes vs.2004_WF Ebitda RD Abr-10 2 2" xfId="18285" xr:uid="{00000000-0005-0000-0000-000064470000}"/>
    <cellStyle name="_MACO detailes vs.2004_WF Ebitda RD Abr-10 3" xfId="18286" xr:uid="{00000000-0005-0000-0000-000065470000}"/>
    <cellStyle name="_MACO detailes vs.2004_WF Ebitda Sep09" xfId="18287" xr:uid="{00000000-0005-0000-0000-000066470000}"/>
    <cellStyle name="_MACO detailes vs.2004_WF Ebitda Sep09 2" xfId="18288" xr:uid="{00000000-0005-0000-0000-000067470000}"/>
    <cellStyle name="_MACO detailes vs.2004_WF Ebitda Sep09 2 2" xfId="18289" xr:uid="{00000000-0005-0000-0000-000068470000}"/>
    <cellStyle name="_MACO detailes vs.2004_WF Ebitda Sep09 3" xfId="18290" xr:uid="{00000000-0005-0000-0000-000069470000}"/>
    <cellStyle name="_MACO detailes vs.2004_ZBB" xfId="18291" xr:uid="{00000000-0005-0000-0000-00006A470000}"/>
    <cellStyle name="_MACO detailes vs.2004_ZBB 2" xfId="18292" xr:uid="{00000000-0005-0000-0000-00006B470000}"/>
    <cellStyle name="_MACO detailes vs.2004_ZBB 2 2" xfId="18293" xr:uid="{00000000-0005-0000-0000-00006C470000}"/>
    <cellStyle name="_MACO detailes vs.2004_ZBB 2 2 2" xfId="18294" xr:uid="{00000000-0005-0000-0000-00006D470000}"/>
    <cellStyle name="_MACO detailes vs.2004_ZBB 2 3" xfId="18295" xr:uid="{00000000-0005-0000-0000-00006E470000}"/>
    <cellStyle name="_MACO detailes vs.2004_ZBB 3" xfId="18296" xr:uid="{00000000-0005-0000-0000-00006F470000}"/>
    <cellStyle name="_MACO detailes vs.2004_ZBB 3 2" xfId="18297" xr:uid="{00000000-0005-0000-0000-000070470000}"/>
    <cellStyle name="_MACO detailes vs.2004_ZBB 4" xfId="18298" xr:uid="{00000000-0005-0000-0000-000071470000}"/>
    <cellStyle name="_MACO detailes vs.2004_ZBB Budget 2009 Decks" xfId="18299" xr:uid="{00000000-0005-0000-0000-000072470000}"/>
    <cellStyle name="_MACO detailes vs.2004_ZBB Budget 2009 Decks 2" xfId="18300" xr:uid="{00000000-0005-0000-0000-000073470000}"/>
    <cellStyle name="_MACO detailes vs.2004_ZBB Budget 2009 Decks 2 2" xfId="18301" xr:uid="{00000000-0005-0000-0000-000074470000}"/>
    <cellStyle name="_MACO detailes vs.2004_ZBB Budget 2009 Decks 2 2 2" xfId="18302" xr:uid="{00000000-0005-0000-0000-000075470000}"/>
    <cellStyle name="_MACO detailes vs.2004_ZBB Budget 2009 Decks 2 3" xfId="18303" xr:uid="{00000000-0005-0000-0000-000076470000}"/>
    <cellStyle name="_MACO detailes vs.2004_ZBB Budget 2009 Decks 3" xfId="18304" xr:uid="{00000000-0005-0000-0000-000077470000}"/>
    <cellStyle name="_MACO detailes vs.2004_ZBB Budget 2009 Decks 3 2" xfId="18305" xr:uid="{00000000-0005-0000-0000-000078470000}"/>
    <cellStyle name="_MACO detailes vs.2004_ZBB Budget 2009 Decks 4" xfId="18306" xr:uid="{00000000-0005-0000-0000-000079470000}"/>
    <cellStyle name="_MACO detailes vs.2004_ZBB Budget 2009 Decks v2 china" xfId="18307" xr:uid="{00000000-0005-0000-0000-00007A470000}"/>
    <cellStyle name="_MACO detailes vs.2004_ZBB Budget 2009 Decks v2 china 2" xfId="18308" xr:uid="{00000000-0005-0000-0000-00007B470000}"/>
    <cellStyle name="_MACO detailes vs.2004_ZBB Budget 2009 Decks v2 china 2 2" xfId="18309" xr:uid="{00000000-0005-0000-0000-00007C470000}"/>
    <cellStyle name="_MACO detailes vs.2004_ZBB Budget 2009 Decks v2 china 2 2 2" xfId="18310" xr:uid="{00000000-0005-0000-0000-00007D470000}"/>
    <cellStyle name="_MACO detailes vs.2004_ZBB Budget 2009 Decks v2 china 2 3" xfId="18311" xr:uid="{00000000-0005-0000-0000-00007E470000}"/>
    <cellStyle name="_MACO detailes vs.2004_ZBB Budget 2009 Decks v2 china 3" xfId="18312" xr:uid="{00000000-0005-0000-0000-00007F470000}"/>
    <cellStyle name="_MACO detailes vs.2004_ZBB Budget 2009 Decks v2 china 3 2" xfId="18313" xr:uid="{00000000-0005-0000-0000-000080470000}"/>
    <cellStyle name="_MACO detailes vs.2004_ZBB Budget 2009 Decks v2 china 4" xfId="18314" xr:uid="{00000000-0005-0000-0000-000081470000}"/>
    <cellStyle name="_MACO detailes vs.2004_ZBB Budget 2009 Decks_with Korea Scope in (Only LE)" xfId="18315" xr:uid="{00000000-0005-0000-0000-000082470000}"/>
    <cellStyle name="_MACO detailes vs.2004_ZBB Budget 2009 Decks_with Korea Scope in (Only LE) (2)" xfId="18316" xr:uid="{00000000-0005-0000-0000-000083470000}"/>
    <cellStyle name="_MACO detailes vs.2004_ZBB Budget 2009 Decks_with Korea Scope in (Only LE) (2) 2" xfId="18317" xr:uid="{00000000-0005-0000-0000-000084470000}"/>
    <cellStyle name="_MACO detailes vs.2004_ZBB Budget 2009 Decks_with Korea Scope in (Only LE) (2) 2 2" xfId="18318" xr:uid="{00000000-0005-0000-0000-000085470000}"/>
    <cellStyle name="_MACO detailes vs.2004_ZBB Budget 2009 Decks_with Korea Scope in (Only LE) (2) 2 2 2" xfId="18319" xr:uid="{00000000-0005-0000-0000-000086470000}"/>
    <cellStyle name="_MACO detailes vs.2004_ZBB Budget 2009 Decks_with Korea Scope in (Only LE) (2) 2 3" xfId="18320" xr:uid="{00000000-0005-0000-0000-000087470000}"/>
    <cellStyle name="_MACO detailes vs.2004_ZBB Budget 2009 Decks_with Korea Scope in (Only LE) (2) 3" xfId="18321" xr:uid="{00000000-0005-0000-0000-000088470000}"/>
    <cellStyle name="_MACO detailes vs.2004_ZBB Budget 2009 Decks_with Korea Scope in (Only LE) (2) 3 2" xfId="18322" xr:uid="{00000000-0005-0000-0000-000089470000}"/>
    <cellStyle name="_MACO detailes vs.2004_ZBB Budget 2009 Decks_with Korea Scope in (Only LE) (2) 4" xfId="18323" xr:uid="{00000000-0005-0000-0000-00008A470000}"/>
    <cellStyle name="_MACO detailes vs.2004_ZBB Budget 2009 Decks_with Korea Scope in (Only LE) 2" xfId="18324" xr:uid="{00000000-0005-0000-0000-00008B470000}"/>
    <cellStyle name="_MACO detailes vs.2004_ZBB Budget 2009 Decks_with Korea Scope in (Only LE) 2 2" xfId="18325" xr:uid="{00000000-0005-0000-0000-00008C470000}"/>
    <cellStyle name="_MACO detailes vs.2004_ZBB Budget 2009 Decks_with Korea Scope in (Only LE) 2 2 2" xfId="18326" xr:uid="{00000000-0005-0000-0000-00008D470000}"/>
    <cellStyle name="_MACO detailes vs.2004_ZBB Budget 2009 Decks_with Korea Scope in (Only LE) 2 3" xfId="18327" xr:uid="{00000000-0005-0000-0000-00008E470000}"/>
    <cellStyle name="_MACO detailes vs.2004_ZBB Budget 2009 Decks_with Korea Scope in (Only LE) 3" xfId="18328" xr:uid="{00000000-0005-0000-0000-00008F470000}"/>
    <cellStyle name="_MACO detailes vs.2004_ZBB Budget 2009 Decks_with Korea Scope in (Only LE) 3 2" xfId="18329" xr:uid="{00000000-0005-0000-0000-000090470000}"/>
    <cellStyle name="_MACO detailes vs.2004_ZBB Budget 2009 Decks_with Korea Scope in (Only LE) 4" xfId="18330" xr:uid="{00000000-0005-0000-0000-000091470000}"/>
    <cellStyle name="_MACO detailes vs.2004_ZBB Budget 2009 Decks_with Korea Scope in (Only LE) 4 2" xfId="18331" xr:uid="{00000000-0005-0000-0000-000092470000}"/>
    <cellStyle name="_MACO detailes vs.2004_ZBB Budget 2009 Decks_with Korea Scope in (Only LE) 5" xfId="18332" xr:uid="{00000000-0005-0000-0000-000093470000}"/>
    <cellStyle name="_MACO detailes vs.2004_ZBB Budget 2009 Decks_with Korea Scope in (Only LE) 6" xfId="18333" xr:uid="{00000000-0005-0000-0000-000094470000}"/>
    <cellStyle name="_MACO detailes vs.2004_ZBB standard Template Korea_081105" xfId="18334" xr:uid="{00000000-0005-0000-0000-000095470000}"/>
    <cellStyle name="_MACO detailes vs.2004_ZBB standard Template Korea_081105 2" xfId="18335" xr:uid="{00000000-0005-0000-0000-000096470000}"/>
    <cellStyle name="_MACO detailes vs.2004_ZBB standard Template Korea_081105 2 2" xfId="18336" xr:uid="{00000000-0005-0000-0000-000097470000}"/>
    <cellStyle name="_MACO detailes vs.2004_ZBB standard Template Korea_081105 2 2 2" xfId="18337" xr:uid="{00000000-0005-0000-0000-000098470000}"/>
    <cellStyle name="_MACO detailes vs.2004_ZBB standard Template Korea_081105 2 3" xfId="18338" xr:uid="{00000000-0005-0000-0000-000099470000}"/>
    <cellStyle name="_MACO detailes vs.2004_ZBB standard Template Korea_081105 3" xfId="18339" xr:uid="{00000000-0005-0000-0000-00009A470000}"/>
    <cellStyle name="_MACO detailes vs.2004_ZBB standard Template Korea_081105 3 2" xfId="18340" xr:uid="{00000000-0005-0000-0000-00009B470000}"/>
    <cellStyle name="_MACO detailes vs.2004_ZBB standard Template Korea_081105 4" xfId="18341" xr:uid="{00000000-0005-0000-0000-00009C470000}"/>
    <cellStyle name="_MACO detailes_0908 Gabarito exchange rate" xfId="18342" xr:uid="{00000000-0005-0000-0000-00009D470000}"/>
    <cellStyle name="_MACO detailes_0908 Gabarito exchange rate 2" xfId="18343" xr:uid="{00000000-0005-0000-0000-00009E470000}"/>
    <cellStyle name="_MACO detailes_0908 Gabarito exchange rate 2 2" xfId="18344" xr:uid="{00000000-0005-0000-0000-00009F470000}"/>
    <cellStyle name="_MACO detailes_0908 Gabarito exchange rate 3" xfId="18345" xr:uid="{00000000-0005-0000-0000-0000A0470000}"/>
    <cellStyle name="_MACO detailes_Book5" xfId="18346" xr:uid="{00000000-0005-0000-0000-0000A1470000}"/>
    <cellStyle name="_MACO detailes_Book5 2" xfId="18347" xr:uid="{00000000-0005-0000-0000-0000A2470000}"/>
    <cellStyle name="_MACO detailes_Book5 2 2" xfId="18348" xr:uid="{00000000-0005-0000-0000-0000A3470000}"/>
    <cellStyle name="_MACO detailes_Book5 3" xfId="18349" xr:uid="{00000000-0005-0000-0000-0000A4470000}"/>
    <cellStyle name="_MACO detailes_Bplan RD 1001" xfId="18350" xr:uid="{00000000-0005-0000-0000-0000A5470000}"/>
    <cellStyle name="_MACO detailes_Bplan RD 1001 2" xfId="18351" xr:uid="{00000000-0005-0000-0000-0000A6470000}"/>
    <cellStyle name="_MACO detailes_Bplan RD 1001 2 2" xfId="18352" xr:uid="{00000000-0005-0000-0000-0000A7470000}"/>
    <cellStyle name="_MACO detailes_Bplan RD 1001 3" xfId="18353" xr:uid="{00000000-0005-0000-0000-0000A8470000}"/>
    <cellStyle name="_MACO detailes_Copy of 081027 ZBB Budget 2009 Decks - People_Cherry_V4" xfId="18354" xr:uid="{00000000-0005-0000-0000-0000A9470000}"/>
    <cellStyle name="_MACO detailes_Copy of 081027 ZBB Budget 2009 Decks - People_Cherry_V4 2" xfId="18355" xr:uid="{00000000-0005-0000-0000-0000AA470000}"/>
    <cellStyle name="_MACO detailes_Copy of 081027 ZBB Budget 2009 Decks - People_Cherry_V4 2 2" xfId="18356" xr:uid="{00000000-0005-0000-0000-0000AB470000}"/>
    <cellStyle name="_MACO detailes_Copy of 081027 ZBB Budget 2009 Decks - People_Cherry_V4 2 2 2" xfId="18357" xr:uid="{00000000-0005-0000-0000-0000AC470000}"/>
    <cellStyle name="_MACO detailes_Copy of 081027 ZBB Budget 2009 Decks - People_Cherry_V4 2 3" xfId="18358" xr:uid="{00000000-0005-0000-0000-0000AD470000}"/>
    <cellStyle name="_MACO detailes_Copy of 081027 ZBB Budget 2009 Decks - People_Cherry_V4 3" xfId="18359" xr:uid="{00000000-0005-0000-0000-0000AE470000}"/>
    <cellStyle name="_MACO detailes_Copy of 081027 ZBB Budget 2009 Decks - People_Cherry_V4 3 2" xfId="18360" xr:uid="{00000000-0005-0000-0000-0000AF470000}"/>
    <cellStyle name="_MACO detailes_Copy of 081027 ZBB Budget 2009 Decks - People_Cherry_V4 4" xfId="18361" xr:uid="{00000000-0005-0000-0000-0000B0470000}"/>
    <cellStyle name="_MACO detailes_LE Ebitda RD Feb-10 v2" xfId="18362" xr:uid="{00000000-0005-0000-0000-0000B1470000}"/>
    <cellStyle name="_MACO detailes_LE Ebitda RD Feb-10 v2 2" xfId="18363" xr:uid="{00000000-0005-0000-0000-0000B2470000}"/>
    <cellStyle name="_MACO detailes_LE Ebitda RD Feb-10 v2 2 2" xfId="18364" xr:uid="{00000000-0005-0000-0000-0000B3470000}"/>
    <cellStyle name="_MACO detailes_LE Ebitda RD Feb-10 v2 3" xfId="18365" xr:uid="{00000000-0005-0000-0000-0000B4470000}"/>
    <cellStyle name="_MACO detailes_People Package" xfId="18366" xr:uid="{00000000-0005-0000-0000-0000B5470000}"/>
    <cellStyle name="_MACO detailes_People Package (2)" xfId="18367" xr:uid="{00000000-0005-0000-0000-0000B6470000}"/>
    <cellStyle name="_MACO detailes_People Package (2) 2" xfId="18368" xr:uid="{00000000-0005-0000-0000-0000B7470000}"/>
    <cellStyle name="_MACO detailes_People Package (2) 2 2" xfId="18369" xr:uid="{00000000-0005-0000-0000-0000B8470000}"/>
    <cellStyle name="_MACO detailes_People Package (2) 2 2 2" xfId="18370" xr:uid="{00000000-0005-0000-0000-0000B9470000}"/>
    <cellStyle name="_MACO detailes_People Package (2) 2 3" xfId="18371" xr:uid="{00000000-0005-0000-0000-0000BA470000}"/>
    <cellStyle name="_MACO detailes_People Package (2) 3" xfId="18372" xr:uid="{00000000-0005-0000-0000-0000BB470000}"/>
    <cellStyle name="_MACO detailes_People Package (2) 3 2" xfId="18373" xr:uid="{00000000-0005-0000-0000-0000BC470000}"/>
    <cellStyle name="_MACO detailes_People Package (2) 4" xfId="18374" xr:uid="{00000000-0005-0000-0000-0000BD470000}"/>
    <cellStyle name="_MACO detailes_People Package 2" xfId="18375" xr:uid="{00000000-0005-0000-0000-0000BE470000}"/>
    <cellStyle name="_MACO detailes_People Package 2 2" xfId="18376" xr:uid="{00000000-0005-0000-0000-0000BF470000}"/>
    <cellStyle name="_MACO detailes_People Package 2 2 2" xfId="18377" xr:uid="{00000000-0005-0000-0000-0000C0470000}"/>
    <cellStyle name="_MACO detailes_People Package 2 3" xfId="18378" xr:uid="{00000000-0005-0000-0000-0000C1470000}"/>
    <cellStyle name="_MACO detailes_People Package 3" xfId="18379" xr:uid="{00000000-0005-0000-0000-0000C2470000}"/>
    <cellStyle name="_MACO detailes_People Package 3 2" xfId="18380" xr:uid="{00000000-0005-0000-0000-0000C3470000}"/>
    <cellStyle name="_MACO detailes_People Package 4" xfId="18381" xr:uid="{00000000-0005-0000-0000-0000C4470000}"/>
    <cellStyle name="_MACO detailes_People Package 4 2" xfId="18382" xr:uid="{00000000-0005-0000-0000-0000C5470000}"/>
    <cellStyle name="_MACO detailes_People Package 5" xfId="18383" xr:uid="{00000000-0005-0000-0000-0000C6470000}"/>
    <cellStyle name="_MACO detailes_People Package 6" xfId="18384" xr:uid="{00000000-0005-0000-0000-0000C7470000}"/>
    <cellStyle name="_MACO detailes_Sales and Marketing - revised" xfId="18385" xr:uid="{00000000-0005-0000-0000-0000C8470000}"/>
    <cellStyle name="_MACO detailes_Sales and Marketing - revised 2" xfId="18386" xr:uid="{00000000-0005-0000-0000-0000C9470000}"/>
    <cellStyle name="_MACO detailes_Sales and Marketing - revised 2 2" xfId="18387" xr:uid="{00000000-0005-0000-0000-0000CA470000}"/>
    <cellStyle name="_MACO detailes_Sales and Marketing - revised 3" xfId="18388" xr:uid="{00000000-0005-0000-0000-0000CB470000}"/>
    <cellStyle name="_MACO detailes_Sim Ebitda LE 0909 v4" xfId="18389" xr:uid="{00000000-0005-0000-0000-0000CC470000}"/>
    <cellStyle name="_MACO detailes_Sim Ebitda LE 0909 v4 2" xfId="18390" xr:uid="{00000000-0005-0000-0000-0000CD470000}"/>
    <cellStyle name="_MACO detailes_Sim Ebitda LE 0909 v4 2 2" xfId="18391" xr:uid="{00000000-0005-0000-0000-0000CE470000}"/>
    <cellStyle name="_MACO detailes_Sim Ebitda LE 0909 v4 3" xfId="18392" xr:uid="{00000000-0005-0000-0000-0000CF470000}"/>
    <cellStyle name="_MACO detailes_WF Ebitda RD Abr-10" xfId="18393" xr:uid="{00000000-0005-0000-0000-0000D0470000}"/>
    <cellStyle name="_MACO detailes_WF Ebitda RD Abr-10 2" xfId="18394" xr:uid="{00000000-0005-0000-0000-0000D1470000}"/>
    <cellStyle name="_MACO detailes_WF Ebitda RD Abr-10 2 2" xfId="18395" xr:uid="{00000000-0005-0000-0000-0000D2470000}"/>
    <cellStyle name="_MACO detailes_WF Ebitda RD Abr-10 3" xfId="18396" xr:uid="{00000000-0005-0000-0000-0000D3470000}"/>
    <cellStyle name="_MACO detailes_WF Ebitda Sep09" xfId="18397" xr:uid="{00000000-0005-0000-0000-0000D4470000}"/>
    <cellStyle name="_MACO detailes_WF Ebitda Sep09 2" xfId="18398" xr:uid="{00000000-0005-0000-0000-0000D5470000}"/>
    <cellStyle name="_MACO detailes_WF Ebitda Sep09 2 2" xfId="18399" xr:uid="{00000000-0005-0000-0000-0000D6470000}"/>
    <cellStyle name="_MACO detailes_WF Ebitda Sep09 3" xfId="18400" xr:uid="{00000000-0005-0000-0000-0000D7470000}"/>
    <cellStyle name="_MACO detailes_ZBB" xfId="18401" xr:uid="{00000000-0005-0000-0000-0000D8470000}"/>
    <cellStyle name="_MACO detailes_ZBB 2" xfId="18402" xr:uid="{00000000-0005-0000-0000-0000D9470000}"/>
    <cellStyle name="_MACO detailes_ZBB 2 2" xfId="18403" xr:uid="{00000000-0005-0000-0000-0000DA470000}"/>
    <cellStyle name="_MACO detailes_ZBB 2 2 2" xfId="18404" xr:uid="{00000000-0005-0000-0000-0000DB470000}"/>
    <cellStyle name="_MACO detailes_ZBB 2 3" xfId="18405" xr:uid="{00000000-0005-0000-0000-0000DC470000}"/>
    <cellStyle name="_MACO detailes_ZBB 3" xfId="18406" xr:uid="{00000000-0005-0000-0000-0000DD470000}"/>
    <cellStyle name="_MACO detailes_ZBB 3 2" xfId="18407" xr:uid="{00000000-0005-0000-0000-0000DE470000}"/>
    <cellStyle name="_MACO detailes_ZBB 4" xfId="18408" xr:uid="{00000000-0005-0000-0000-0000DF470000}"/>
    <cellStyle name="_MACO detailes_ZBB Budget 2009 Decks" xfId="18409" xr:uid="{00000000-0005-0000-0000-0000E0470000}"/>
    <cellStyle name="_MACO detailes_ZBB Budget 2009 Decks 2" xfId="18410" xr:uid="{00000000-0005-0000-0000-0000E1470000}"/>
    <cellStyle name="_MACO detailes_ZBB Budget 2009 Decks 2 2" xfId="18411" xr:uid="{00000000-0005-0000-0000-0000E2470000}"/>
    <cellStyle name="_MACO detailes_ZBB Budget 2009 Decks 2 2 2" xfId="18412" xr:uid="{00000000-0005-0000-0000-0000E3470000}"/>
    <cellStyle name="_MACO detailes_ZBB Budget 2009 Decks 2 3" xfId="18413" xr:uid="{00000000-0005-0000-0000-0000E4470000}"/>
    <cellStyle name="_MACO detailes_ZBB Budget 2009 Decks 3" xfId="18414" xr:uid="{00000000-0005-0000-0000-0000E5470000}"/>
    <cellStyle name="_MACO detailes_ZBB Budget 2009 Decks 3 2" xfId="18415" xr:uid="{00000000-0005-0000-0000-0000E6470000}"/>
    <cellStyle name="_MACO detailes_ZBB Budget 2009 Decks 4" xfId="18416" xr:uid="{00000000-0005-0000-0000-0000E7470000}"/>
    <cellStyle name="_MACO detailes_ZBB Budget 2009 Decks v2 china" xfId="18417" xr:uid="{00000000-0005-0000-0000-0000E8470000}"/>
    <cellStyle name="_MACO detailes_ZBB Budget 2009 Decks v2 china 2" xfId="18418" xr:uid="{00000000-0005-0000-0000-0000E9470000}"/>
    <cellStyle name="_MACO detailes_ZBB Budget 2009 Decks v2 china 2 2" xfId="18419" xr:uid="{00000000-0005-0000-0000-0000EA470000}"/>
    <cellStyle name="_MACO detailes_ZBB Budget 2009 Decks v2 china 2 2 2" xfId="18420" xr:uid="{00000000-0005-0000-0000-0000EB470000}"/>
    <cellStyle name="_MACO detailes_ZBB Budget 2009 Decks v2 china 2 3" xfId="18421" xr:uid="{00000000-0005-0000-0000-0000EC470000}"/>
    <cellStyle name="_MACO detailes_ZBB Budget 2009 Decks v2 china 3" xfId="18422" xr:uid="{00000000-0005-0000-0000-0000ED470000}"/>
    <cellStyle name="_MACO detailes_ZBB Budget 2009 Decks v2 china 3 2" xfId="18423" xr:uid="{00000000-0005-0000-0000-0000EE470000}"/>
    <cellStyle name="_MACO detailes_ZBB Budget 2009 Decks v2 china 4" xfId="18424" xr:uid="{00000000-0005-0000-0000-0000EF470000}"/>
    <cellStyle name="_MACO detailes_ZBB Budget 2009 Decks_with Korea Scope in (Only LE)" xfId="18425" xr:uid="{00000000-0005-0000-0000-0000F0470000}"/>
    <cellStyle name="_MACO detailes_ZBB Budget 2009 Decks_with Korea Scope in (Only LE) (2)" xfId="18426" xr:uid="{00000000-0005-0000-0000-0000F1470000}"/>
    <cellStyle name="_MACO detailes_ZBB Budget 2009 Decks_with Korea Scope in (Only LE) (2) 2" xfId="18427" xr:uid="{00000000-0005-0000-0000-0000F2470000}"/>
    <cellStyle name="_MACO detailes_ZBB Budget 2009 Decks_with Korea Scope in (Only LE) (2) 2 2" xfId="18428" xr:uid="{00000000-0005-0000-0000-0000F3470000}"/>
    <cellStyle name="_MACO detailes_ZBB Budget 2009 Decks_with Korea Scope in (Only LE) (2) 2 2 2" xfId="18429" xr:uid="{00000000-0005-0000-0000-0000F4470000}"/>
    <cellStyle name="_MACO detailes_ZBB Budget 2009 Decks_with Korea Scope in (Only LE) (2) 2 3" xfId="18430" xr:uid="{00000000-0005-0000-0000-0000F5470000}"/>
    <cellStyle name="_MACO detailes_ZBB Budget 2009 Decks_with Korea Scope in (Only LE) (2) 3" xfId="18431" xr:uid="{00000000-0005-0000-0000-0000F6470000}"/>
    <cellStyle name="_MACO detailes_ZBB Budget 2009 Decks_with Korea Scope in (Only LE) (2) 3 2" xfId="18432" xr:uid="{00000000-0005-0000-0000-0000F7470000}"/>
    <cellStyle name="_MACO detailes_ZBB Budget 2009 Decks_with Korea Scope in (Only LE) (2) 4" xfId="18433" xr:uid="{00000000-0005-0000-0000-0000F8470000}"/>
    <cellStyle name="_MACO detailes_ZBB Budget 2009 Decks_with Korea Scope in (Only LE) 2" xfId="18434" xr:uid="{00000000-0005-0000-0000-0000F9470000}"/>
    <cellStyle name="_MACO detailes_ZBB Budget 2009 Decks_with Korea Scope in (Only LE) 2 2" xfId="18435" xr:uid="{00000000-0005-0000-0000-0000FA470000}"/>
    <cellStyle name="_MACO detailes_ZBB Budget 2009 Decks_with Korea Scope in (Only LE) 2 2 2" xfId="18436" xr:uid="{00000000-0005-0000-0000-0000FB470000}"/>
    <cellStyle name="_MACO detailes_ZBB Budget 2009 Decks_with Korea Scope in (Only LE) 2 3" xfId="18437" xr:uid="{00000000-0005-0000-0000-0000FC470000}"/>
    <cellStyle name="_MACO detailes_ZBB Budget 2009 Decks_with Korea Scope in (Only LE) 3" xfId="18438" xr:uid="{00000000-0005-0000-0000-0000FD470000}"/>
    <cellStyle name="_MACO detailes_ZBB Budget 2009 Decks_with Korea Scope in (Only LE) 3 2" xfId="18439" xr:uid="{00000000-0005-0000-0000-0000FE470000}"/>
    <cellStyle name="_MACO detailes_ZBB Budget 2009 Decks_with Korea Scope in (Only LE) 4" xfId="18440" xr:uid="{00000000-0005-0000-0000-0000FF470000}"/>
    <cellStyle name="_MACO detailes_ZBB Budget 2009 Decks_with Korea Scope in (Only LE) 4 2" xfId="18441" xr:uid="{00000000-0005-0000-0000-000000480000}"/>
    <cellStyle name="_MACO detailes_ZBB Budget 2009 Decks_with Korea Scope in (Only LE) 5" xfId="18442" xr:uid="{00000000-0005-0000-0000-000001480000}"/>
    <cellStyle name="_MACO detailes_ZBB Budget 2009 Decks_with Korea Scope in (Only LE) 6" xfId="18443" xr:uid="{00000000-0005-0000-0000-000002480000}"/>
    <cellStyle name="_MACO detailes_ZBB standard Template Korea_081105" xfId="18444" xr:uid="{00000000-0005-0000-0000-000003480000}"/>
    <cellStyle name="_MACO detailes_ZBB standard Template Korea_081105 2" xfId="18445" xr:uid="{00000000-0005-0000-0000-000004480000}"/>
    <cellStyle name="_MACO detailes_ZBB standard Template Korea_081105 2 2" xfId="18446" xr:uid="{00000000-0005-0000-0000-000005480000}"/>
    <cellStyle name="_MACO detailes_ZBB standard Template Korea_081105 2 2 2" xfId="18447" xr:uid="{00000000-0005-0000-0000-000006480000}"/>
    <cellStyle name="_MACO detailes_ZBB standard Template Korea_081105 2 3" xfId="18448" xr:uid="{00000000-0005-0000-0000-000007480000}"/>
    <cellStyle name="_MACO detailes_ZBB standard Template Korea_081105 3" xfId="18449" xr:uid="{00000000-0005-0000-0000-000008480000}"/>
    <cellStyle name="_MACO detailes_ZBB standard Template Korea_081105 3 2" xfId="18450" xr:uid="{00000000-0005-0000-0000-000009480000}"/>
    <cellStyle name="_MACO detailes_ZBB standard Template Korea_081105 4" xfId="18451" xr:uid="{00000000-0005-0000-0000-00000A480000}"/>
    <cellStyle name="_MACO evolution" xfId="18452" xr:uid="{00000000-0005-0000-0000-00000B480000}"/>
    <cellStyle name="_MACO evolution 2" xfId="18453" xr:uid="{00000000-0005-0000-0000-00000C480000}"/>
    <cellStyle name="_MACO evolution 2 2" xfId="18454" xr:uid="{00000000-0005-0000-0000-00000D480000}"/>
    <cellStyle name="_MACO evolution 2 2 2" xfId="18455" xr:uid="{00000000-0005-0000-0000-00000E480000}"/>
    <cellStyle name="_MACO evolution 2 3" xfId="18456" xr:uid="{00000000-0005-0000-0000-00000F480000}"/>
    <cellStyle name="_MACO evolution 3" xfId="18457" xr:uid="{00000000-0005-0000-0000-000010480000}"/>
    <cellStyle name="_MACO evolution 3 2" xfId="18458" xr:uid="{00000000-0005-0000-0000-000011480000}"/>
    <cellStyle name="_MACO evolution 4" xfId="18459" xr:uid="{00000000-0005-0000-0000-000012480000}"/>
    <cellStyle name="_MACO evolution_0908 Gabarito exchange rate" xfId="18460" xr:uid="{00000000-0005-0000-0000-000013480000}"/>
    <cellStyle name="_MACO evolution_0908 Gabarito exchange rate 2" xfId="18461" xr:uid="{00000000-0005-0000-0000-000014480000}"/>
    <cellStyle name="_MACO evolution_0908 Gabarito exchange rate 2 2" xfId="18462" xr:uid="{00000000-0005-0000-0000-000015480000}"/>
    <cellStyle name="_MACO evolution_0908 Gabarito exchange rate 3" xfId="18463" xr:uid="{00000000-0005-0000-0000-000016480000}"/>
    <cellStyle name="_MACO evolution_Book5" xfId="18464" xr:uid="{00000000-0005-0000-0000-000017480000}"/>
    <cellStyle name="_MACO evolution_Book5 2" xfId="18465" xr:uid="{00000000-0005-0000-0000-000018480000}"/>
    <cellStyle name="_MACO evolution_Book5 2 2" xfId="18466" xr:uid="{00000000-0005-0000-0000-000019480000}"/>
    <cellStyle name="_MACO evolution_Book5 3" xfId="18467" xr:uid="{00000000-0005-0000-0000-00001A480000}"/>
    <cellStyle name="_MACO evolution_Bplan RD 1001" xfId="18468" xr:uid="{00000000-0005-0000-0000-00001B480000}"/>
    <cellStyle name="_MACO evolution_Bplan RD 1001 2" xfId="18469" xr:uid="{00000000-0005-0000-0000-00001C480000}"/>
    <cellStyle name="_MACO evolution_Bplan RD 1001 2 2" xfId="18470" xr:uid="{00000000-0005-0000-0000-00001D480000}"/>
    <cellStyle name="_MACO evolution_Bplan RD 1001 3" xfId="18471" xr:uid="{00000000-0005-0000-0000-00001E480000}"/>
    <cellStyle name="_MACO evolution_Copy of 081027 ZBB Budget 2009 Decks - People_Cherry_V4" xfId="18472" xr:uid="{00000000-0005-0000-0000-00001F480000}"/>
    <cellStyle name="_MACO evolution_Copy of 081027 ZBB Budget 2009 Decks - People_Cherry_V4 2" xfId="18473" xr:uid="{00000000-0005-0000-0000-000020480000}"/>
    <cellStyle name="_MACO evolution_Copy of 081027 ZBB Budget 2009 Decks - People_Cherry_V4 2 2" xfId="18474" xr:uid="{00000000-0005-0000-0000-000021480000}"/>
    <cellStyle name="_MACO evolution_Copy of 081027 ZBB Budget 2009 Decks - People_Cherry_V4 2 2 2" xfId="18475" xr:uid="{00000000-0005-0000-0000-000022480000}"/>
    <cellStyle name="_MACO evolution_Copy of 081027 ZBB Budget 2009 Decks - People_Cherry_V4 2 3" xfId="18476" xr:uid="{00000000-0005-0000-0000-000023480000}"/>
    <cellStyle name="_MACO evolution_Copy of 081027 ZBB Budget 2009 Decks - People_Cherry_V4 3" xfId="18477" xr:uid="{00000000-0005-0000-0000-000024480000}"/>
    <cellStyle name="_MACO evolution_Copy of 081027 ZBB Budget 2009 Decks - People_Cherry_V4 3 2" xfId="18478" xr:uid="{00000000-0005-0000-0000-000025480000}"/>
    <cellStyle name="_MACO evolution_Copy of 081027 ZBB Budget 2009 Decks - People_Cherry_V4 4" xfId="18479" xr:uid="{00000000-0005-0000-0000-000026480000}"/>
    <cellStyle name="_MACO evolution_LE Ebitda RD Feb-10 v2" xfId="18480" xr:uid="{00000000-0005-0000-0000-000027480000}"/>
    <cellStyle name="_MACO evolution_LE Ebitda RD Feb-10 v2 2" xfId="18481" xr:uid="{00000000-0005-0000-0000-000028480000}"/>
    <cellStyle name="_MACO evolution_LE Ebitda RD Feb-10 v2 2 2" xfId="18482" xr:uid="{00000000-0005-0000-0000-000029480000}"/>
    <cellStyle name="_MACO evolution_LE Ebitda RD Feb-10 v2 3" xfId="18483" xr:uid="{00000000-0005-0000-0000-00002A480000}"/>
    <cellStyle name="_MACO evolution_People Package" xfId="18484" xr:uid="{00000000-0005-0000-0000-00002B480000}"/>
    <cellStyle name="_MACO evolution_People Package (2)" xfId="18485" xr:uid="{00000000-0005-0000-0000-00002C480000}"/>
    <cellStyle name="_MACO evolution_People Package (2) 2" xfId="18486" xr:uid="{00000000-0005-0000-0000-00002D480000}"/>
    <cellStyle name="_MACO evolution_People Package (2) 2 2" xfId="18487" xr:uid="{00000000-0005-0000-0000-00002E480000}"/>
    <cellStyle name="_MACO evolution_People Package (2) 2 2 2" xfId="18488" xr:uid="{00000000-0005-0000-0000-00002F480000}"/>
    <cellStyle name="_MACO evolution_People Package (2) 2 3" xfId="18489" xr:uid="{00000000-0005-0000-0000-000030480000}"/>
    <cellStyle name="_MACO evolution_People Package (2) 3" xfId="18490" xr:uid="{00000000-0005-0000-0000-000031480000}"/>
    <cellStyle name="_MACO evolution_People Package (2) 3 2" xfId="18491" xr:uid="{00000000-0005-0000-0000-000032480000}"/>
    <cellStyle name="_MACO evolution_People Package (2) 4" xfId="18492" xr:uid="{00000000-0005-0000-0000-000033480000}"/>
    <cellStyle name="_MACO evolution_People Package 2" xfId="18493" xr:uid="{00000000-0005-0000-0000-000034480000}"/>
    <cellStyle name="_MACO evolution_People Package 2 2" xfId="18494" xr:uid="{00000000-0005-0000-0000-000035480000}"/>
    <cellStyle name="_MACO evolution_People Package 2 2 2" xfId="18495" xr:uid="{00000000-0005-0000-0000-000036480000}"/>
    <cellStyle name="_MACO evolution_People Package 2 3" xfId="18496" xr:uid="{00000000-0005-0000-0000-000037480000}"/>
    <cellStyle name="_MACO evolution_People Package 3" xfId="18497" xr:uid="{00000000-0005-0000-0000-000038480000}"/>
    <cellStyle name="_MACO evolution_People Package 3 2" xfId="18498" xr:uid="{00000000-0005-0000-0000-000039480000}"/>
    <cellStyle name="_MACO evolution_People Package 4" xfId="18499" xr:uid="{00000000-0005-0000-0000-00003A480000}"/>
    <cellStyle name="_MACO evolution_People Package 4 2" xfId="18500" xr:uid="{00000000-0005-0000-0000-00003B480000}"/>
    <cellStyle name="_MACO evolution_People Package 5" xfId="18501" xr:uid="{00000000-0005-0000-0000-00003C480000}"/>
    <cellStyle name="_MACO evolution_People Package 6" xfId="18502" xr:uid="{00000000-0005-0000-0000-00003D480000}"/>
    <cellStyle name="_MACO evolution_Sales and Marketing - revised" xfId="18503" xr:uid="{00000000-0005-0000-0000-00003E480000}"/>
    <cellStyle name="_MACO evolution_Sales and Marketing - revised 2" xfId="18504" xr:uid="{00000000-0005-0000-0000-00003F480000}"/>
    <cellStyle name="_MACO evolution_Sales and Marketing - revised 2 2" xfId="18505" xr:uid="{00000000-0005-0000-0000-000040480000}"/>
    <cellStyle name="_MACO evolution_Sales and Marketing - revised 3" xfId="18506" xr:uid="{00000000-0005-0000-0000-000041480000}"/>
    <cellStyle name="_MACO evolution_Sim Ebitda LE 0909 v4" xfId="18507" xr:uid="{00000000-0005-0000-0000-000042480000}"/>
    <cellStyle name="_MACO evolution_Sim Ebitda LE 0909 v4 2" xfId="18508" xr:uid="{00000000-0005-0000-0000-000043480000}"/>
    <cellStyle name="_MACO evolution_Sim Ebitda LE 0909 v4 2 2" xfId="18509" xr:uid="{00000000-0005-0000-0000-000044480000}"/>
    <cellStyle name="_MACO evolution_Sim Ebitda LE 0909 v4 3" xfId="18510" xr:uid="{00000000-0005-0000-0000-000045480000}"/>
    <cellStyle name="_MACO evolution_WF Ebitda RD Abr-10" xfId="18511" xr:uid="{00000000-0005-0000-0000-000046480000}"/>
    <cellStyle name="_MACO evolution_WF Ebitda RD Abr-10 2" xfId="18512" xr:uid="{00000000-0005-0000-0000-000047480000}"/>
    <cellStyle name="_MACO evolution_WF Ebitda RD Abr-10 2 2" xfId="18513" xr:uid="{00000000-0005-0000-0000-000048480000}"/>
    <cellStyle name="_MACO evolution_WF Ebitda RD Abr-10 3" xfId="18514" xr:uid="{00000000-0005-0000-0000-000049480000}"/>
    <cellStyle name="_MACO evolution_WF Ebitda Sep09" xfId="18515" xr:uid="{00000000-0005-0000-0000-00004A480000}"/>
    <cellStyle name="_MACO evolution_WF Ebitda Sep09 2" xfId="18516" xr:uid="{00000000-0005-0000-0000-00004B480000}"/>
    <cellStyle name="_MACO evolution_WF Ebitda Sep09 2 2" xfId="18517" xr:uid="{00000000-0005-0000-0000-00004C480000}"/>
    <cellStyle name="_MACO evolution_WF Ebitda Sep09 3" xfId="18518" xr:uid="{00000000-0005-0000-0000-00004D480000}"/>
    <cellStyle name="_MACO evolution_ZBB" xfId="18519" xr:uid="{00000000-0005-0000-0000-00004E480000}"/>
    <cellStyle name="_MACO evolution_ZBB 2" xfId="18520" xr:uid="{00000000-0005-0000-0000-00004F480000}"/>
    <cellStyle name="_MACO evolution_ZBB 2 2" xfId="18521" xr:uid="{00000000-0005-0000-0000-000050480000}"/>
    <cellStyle name="_MACO evolution_ZBB 2 2 2" xfId="18522" xr:uid="{00000000-0005-0000-0000-000051480000}"/>
    <cellStyle name="_MACO evolution_ZBB 2 3" xfId="18523" xr:uid="{00000000-0005-0000-0000-000052480000}"/>
    <cellStyle name="_MACO evolution_ZBB 3" xfId="18524" xr:uid="{00000000-0005-0000-0000-000053480000}"/>
    <cellStyle name="_MACO evolution_ZBB 3 2" xfId="18525" xr:uid="{00000000-0005-0000-0000-000054480000}"/>
    <cellStyle name="_MACO evolution_ZBB 4" xfId="18526" xr:uid="{00000000-0005-0000-0000-000055480000}"/>
    <cellStyle name="_MACO evolution_ZBB Budget 2009 Decks" xfId="18527" xr:uid="{00000000-0005-0000-0000-000056480000}"/>
    <cellStyle name="_MACO evolution_ZBB Budget 2009 Decks 2" xfId="18528" xr:uid="{00000000-0005-0000-0000-000057480000}"/>
    <cellStyle name="_MACO evolution_ZBB Budget 2009 Decks 2 2" xfId="18529" xr:uid="{00000000-0005-0000-0000-000058480000}"/>
    <cellStyle name="_MACO evolution_ZBB Budget 2009 Decks 2 2 2" xfId="18530" xr:uid="{00000000-0005-0000-0000-000059480000}"/>
    <cellStyle name="_MACO evolution_ZBB Budget 2009 Decks 2 3" xfId="18531" xr:uid="{00000000-0005-0000-0000-00005A480000}"/>
    <cellStyle name="_MACO evolution_ZBB Budget 2009 Decks 3" xfId="18532" xr:uid="{00000000-0005-0000-0000-00005B480000}"/>
    <cellStyle name="_MACO evolution_ZBB Budget 2009 Decks 3 2" xfId="18533" xr:uid="{00000000-0005-0000-0000-00005C480000}"/>
    <cellStyle name="_MACO evolution_ZBB Budget 2009 Decks 4" xfId="18534" xr:uid="{00000000-0005-0000-0000-00005D480000}"/>
    <cellStyle name="_MACO evolution_ZBB Budget 2009 Decks v2 china" xfId="18535" xr:uid="{00000000-0005-0000-0000-00005E480000}"/>
    <cellStyle name="_MACO evolution_ZBB Budget 2009 Decks v2 china 2" xfId="18536" xr:uid="{00000000-0005-0000-0000-00005F480000}"/>
    <cellStyle name="_MACO evolution_ZBB Budget 2009 Decks v2 china 2 2" xfId="18537" xr:uid="{00000000-0005-0000-0000-000060480000}"/>
    <cellStyle name="_MACO evolution_ZBB Budget 2009 Decks v2 china 2 2 2" xfId="18538" xr:uid="{00000000-0005-0000-0000-000061480000}"/>
    <cellStyle name="_MACO evolution_ZBB Budget 2009 Decks v2 china 2 3" xfId="18539" xr:uid="{00000000-0005-0000-0000-000062480000}"/>
    <cellStyle name="_MACO evolution_ZBB Budget 2009 Decks v2 china 3" xfId="18540" xr:uid="{00000000-0005-0000-0000-000063480000}"/>
    <cellStyle name="_MACO evolution_ZBB Budget 2009 Decks v2 china 3 2" xfId="18541" xr:uid="{00000000-0005-0000-0000-000064480000}"/>
    <cellStyle name="_MACO evolution_ZBB Budget 2009 Decks v2 china 4" xfId="18542" xr:uid="{00000000-0005-0000-0000-000065480000}"/>
    <cellStyle name="_MACO evolution_ZBB Budget 2009 Decks_with Korea Scope in (Only LE)" xfId="18543" xr:uid="{00000000-0005-0000-0000-000066480000}"/>
    <cellStyle name="_MACO evolution_ZBB Budget 2009 Decks_with Korea Scope in (Only LE) (2)" xfId="18544" xr:uid="{00000000-0005-0000-0000-000067480000}"/>
    <cellStyle name="_MACO evolution_ZBB Budget 2009 Decks_with Korea Scope in (Only LE) (2) 2" xfId="18545" xr:uid="{00000000-0005-0000-0000-000068480000}"/>
    <cellStyle name="_MACO evolution_ZBB Budget 2009 Decks_with Korea Scope in (Only LE) (2) 2 2" xfId="18546" xr:uid="{00000000-0005-0000-0000-000069480000}"/>
    <cellStyle name="_MACO evolution_ZBB Budget 2009 Decks_with Korea Scope in (Only LE) (2) 2 2 2" xfId="18547" xr:uid="{00000000-0005-0000-0000-00006A480000}"/>
    <cellStyle name="_MACO evolution_ZBB Budget 2009 Decks_with Korea Scope in (Only LE) (2) 2 3" xfId="18548" xr:uid="{00000000-0005-0000-0000-00006B480000}"/>
    <cellStyle name="_MACO evolution_ZBB Budget 2009 Decks_with Korea Scope in (Only LE) (2) 3" xfId="18549" xr:uid="{00000000-0005-0000-0000-00006C480000}"/>
    <cellStyle name="_MACO evolution_ZBB Budget 2009 Decks_with Korea Scope in (Only LE) (2) 3 2" xfId="18550" xr:uid="{00000000-0005-0000-0000-00006D480000}"/>
    <cellStyle name="_MACO evolution_ZBB Budget 2009 Decks_with Korea Scope in (Only LE) (2) 4" xfId="18551" xr:uid="{00000000-0005-0000-0000-00006E480000}"/>
    <cellStyle name="_MACO evolution_ZBB Budget 2009 Decks_with Korea Scope in (Only LE) 2" xfId="18552" xr:uid="{00000000-0005-0000-0000-00006F480000}"/>
    <cellStyle name="_MACO evolution_ZBB Budget 2009 Decks_with Korea Scope in (Only LE) 2 2" xfId="18553" xr:uid="{00000000-0005-0000-0000-000070480000}"/>
    <cellStyle name="_MACO evolution_ZBB Budget 2009 Decks_with Korea Scope in (Only LE) 2 2 2" xfId="18554" xr:uid="{00000000-0005-0000-0000-000071480000}"/>
    <cellStyle name="_MACO evolution_ZBB Budget 2009 Decks_with Korea Scope in (Only LE) 2 3" xfId="18555" xr:uid="{00000000-0005-0000-0000-000072480000}"/>
    <cellStyle name="_MACO evolution_ZBB Budget 2009 Decks_with Korea Scope in (Only LE) 3" xfId="18556" xr:uid="{00000000-0005-0000-0000-000073480000}"/>
    <cellStyle name="_MACO evolution_ZBB Budget 2009 Decks_with Korea Scope in (Only LE) 3 2" xfId="18557" xr:uid="{00000000-0005-0000-0000-000074480000}"/>
    <cellStyle name="_MACO evolution_ZBB Budget 2009 Decks_with Korea Scope in (Only LE) 4" xfId="18558" xr:uid="{00000000-0005-0000-0000-000075480000}"/>
    <cellStyle name="_MACO evolution_ZBB Budget 2009 Decks_with Korea Scope in (Only LE) 4 2" xfId="18559" xr:uid="{00000000-0005-0000-0000-000076480000}"/>
    <cellStyle name="_MACO evolution_ZBB Budget 2009 Decks_with Korea Scope in (Only LE) 5" xfId="18560" xr:uid="{00000000-0005-0000-0000-000077480000}"/>
    <cellStyle name="_MACO evolution_ZBB Budget 2009 Decks_with Korea Scope in (Only LE) 6" xfId="18561" xr:uid="{00000000-0005-0000-0000-000078480000}"/>
    <cellStyle name="_MACO evolution_ZBB standard Template Korea_081105" xfId="18562" xr:uid="{00000000-0005-0000-0000-000079480000}"/>
    <cellStyle name="_MACO evolution_ZBB standard Template Korea_081105 2" xfId="18563" xr:uid="{00000000-0005-0000-0000-00007A480000}"/>
    <cellStyle name="_MACO evolution_ZBB standard Template Korea_081105 2 2" xfId="18564" xr:uid="{00000000-0005-0000-0000-00007B480000}"/>
    <cellStyle name="_MACO evolution_ZBB standard Template Korea_081105 2 2 2" xfId="18565" xr:uid="{00000000-0005-0000-0000-00007C480000}"/>
    <cellStyle name="_MACO evolution_ZBB standard Template Korea_081105 2 3" xfId="18566" xr:uid="{00000000-0005-0000-0000-00007D480000}"/>
    <cellStyle name="_MACO evolution_ZBB standard Template Korea_081105 3" xfId="18567" xr:uid="{00000000-0005-0000-0000-00007E480000}"/>
    <cellStyle name="_MACO evolution_ZBB standard Template Korea_081105 3 2" xfId="18568" xr:uid="{00000000-0005-0000-0000-00007F480000}"/>
    <cellStyle name="_MACO evolution_ZBB standard Template Korea_081105 4" xfId="18569" xr:uid="{00000000-0005-0000-0000-000080480000}"/>
    <cellStyle name="_MACO vars" xfId="18570" xr:uid="{00000000-0005-0000-0000-000081480000}"/>
    <cellStyle name="_MACO vars 2" xfId="18571" xr:uid="{00000000-0005-0000-0000-000082480000}"/>
    <cellStyle name="_MACO vars 2 2" xfId="18572" xr:uid="{00000000-0005-0000-0000-000083480000}"/>
    <cellStyle name="_MACO vars 2 2 2" xfId="18573" xr:uid="{00000000-0005-0000-0000-000084480000}"/>
    <cellStyle name="_MACO vars 2 3" xfId="18574" xr:uid="{00000000-0005-0000-0000-000085480000}"/>
    <cellStyle name="_MACO vars 3" xfId="18575" xr:uid="{00000000-0005-0000-0000-000086480000}"/>
    <cellStyle name="_MACO vars 3 2" xfId="18576" xr:uid="{00000000-0005-0000-0000-000087480000}"/>
    <cellStyle name="_MACO vars 4" xfId="18577" xr:uid="{00000000-0005-0000-0000-000088480000}"/>
    <cellStyle name="_MACO vars_0908 Gabarito exchange rate" xfId="18578" xr:uid="{00000000-0005-0000-0000-000089480000}"/>
    <cellStyle name="_MACO vars_0908 Gabarito exchange rate 2" xfId="18579" xr:uid="{00000000-0005-0000-0000-00008A480000}"/>
    <cellStyle name="_MACO vars_0908 Gabarito exchange rate 2 2" xfId="18580" xr:uid="{00000000-0005-0000-0000-00008B480000}"/>
    <cellStyle name="_MACO vars_0908 Gabarito exchange rate 3" xfId="18581" xr:uid="{00000000-0005-0000-0000-00008C480000}"/>
    <cellStyle name="_MACO vars_Book5" xfId="18582" xr:uid="{00000000-0005-0000-0000-00008D480000}"/>
    <cellStyle name="_MACO vars_Book5 2" xfId="18583" xr:uid="{00000000-0005-0000-0000-00008E480000}"/>
    <cellStyle name="_MACO vars_Book5 2 2" xfId="18584" xr:uid="{00000000-0005-0000-0000-00008F480000}"/>
    <cellStyle name="_MACO vars_Book5 3" xfId="18585" xr:uid="{00000000-0005-0000-0000-000090480000}"/>
    <cellStyle name="_MACO vars_Bplan RD 1001" xfId="18586" xr:uid="{00000000-0005-0000-0000-000091480000}"/>
    <cellStyle name="_MACO vars_Bplan RD 1001 2" xfId="18587" xr:uid="{00000000-0005-0000-0000-000092480000}"/>
    <cellStyle name="_MACO vars_Bplan RD 1001 2 2" xfId="18588" xr:uid="{00000000-0005-0000-0000-000093480000}"/>
    <cellStyle name="_MACO vars_Bplan RD 1001 3" xfId="18589" xr:uid="{00000000-0005-0000-0000-000094480000}"/>
    <cellStyle name="_MACO vars_Copy of 081027 ZBB Budget 2009 Decks - People_Cherry_V4" xfId="18590" xr:uid="{00000000-0005-0000-0000-000095480000}"/>
    <cellStyle name="_MACO vars_Copy of 081027 ZBB Budget 2009 Decks - People_Cherry_V4 2" xfId="18591" xr:uid="{00000000-0005-0000-0000-000096480000}"/>
    <cellStyle name="_MACO vars_Copy of 081027 ZBB Budget 2009 Decks - People_Cherry_V4 2 2" xfId="18592" xr:uid="{00000000-0005-0000-0000-000097480000}"/>
    <cellStyle name="_MACO vars_Copy of 081027 ZBB Budget 2009 Decks - People_Cherry_V4 2 2 2" xfId="18593" xr:uid="{00000000-0005-0000-0000-000098480000}"/>
    <cellStyle name="_MACO vars_Copy of 081027 ZBB Budget 2009 Decks - People_Cherry_V4 2 3" xfId="18594" xr:uid="{00000000-0005-0000-0000-000099480000}"/>
    <cellStyle name="_MACO vars_Copy of 081027 ZBB Budget 2009 Decks - People_Cherry_V4 3" xfId="18595" xr:uid="{00000000-0005-0000-0000-00009A480000}"/>
    <cellStyle name="_MACO vars_Copy of 081027 ZBB Budget 2009 Decks - People_Cherry_V4 3 2" xfId="18596" xr:uid="{00000000-0005-0000-0000-00009B480000}"/>
    <cellStyle name="_MACO vars_Copy of 081027 ZBB Budget 2009 Decks - People_Cherry_V4 4" xfId="18597" xr:uid="{00000000-0005-0000-0000-00009C480000}"/>
    <cellStyle name="_MACO vars_LE Ebitda RD Feb-10 v2" xfId="18598" xr:uid="{00000000-0005-0000-0000-00009D480000}"/>
    <cellStyle name="_MACO vars_LE Ebitda RD Feb-10 v2 2" xfId="18599" xr:uid="{00000000-0005-0000-0000-00009E480000}"/>
    <cellStyle name="_MACO vars_LE Ebitda RD Feb-10 v2 2 2" xfId="18600" xr:uid="{00000000-0005-0000-0000-00009F480000}"/>
    <cellStyle name="_MACO vars_LE Ebitda RD Feb-10 v2 3" xfId="18601" xr:uid="{00000000-0005-0000-0000-0000A0480000}"/>
    <cellStyle name="_MACO vars_People Package" xfId="18602" xr:uid="{00000000-0005-0000-0000-0000A1480000}"/>
    <cellStyle name="_MACO vars_People Package (2)" xfId="18603" xr:uid="{00000000-0005-0000-0000-0000A2480000}"/>
    <cellStyle name="_MACO vars_People Package (2) 2" xfId="18604" xr:uid="{00000000-0005-0000-0000-0000A3480000}"/>
    <cellStyle name="_MACO vars_People Package (2) 2 2" xfId="18605" xr:uid="{00000000-0005-0000-0000-0000A4480000}"/>
    <cellStyle name="_MACO vars_People Package (2) 2 2 2" xfId="18606" xr:uid="{00000000-0005-0000-0000-0000A5480000}"/>
    <cellStyle name="_MACO vars_People Package (2) 2 3" xfId="18607" xr:uid="{00000000-0005-0000-0000-0000A6480000}"/>
    <cellStyle name="_MACO vars_People Package (2) 3" xfId="18608" xr:uid="{00000000-0005-0000-0000-0000A7480000}"/>
    <cellStyle name="_MACO vars_People Package (2) 3 2" xfId="18609" xr:uid="{00000000-0005-0000-0000-0000A8480000}"/>
    <cellStyle name="_MACO vars_People Package (2) 4" xfId="18610" xr:uid="{00000000-0005-0000-0000-0000A9480000}"/>
    <cellStyle name="_MACO vars_People Package 2" xfId="18611" xr:uid="{00000000-0005-0000-0000-0000AA480000}"/>
    <cellStyle name="_MACO vars_People Package 2 2" xfId="18612" xr:uid="{00000000-0005-0000-0000-0000AB480000}"/>
    <cellStyle name="_MACO vars_People Package 2 2 2" xfId="18613" xr:uid="{00000000-0005-0000-0000-0000AC480000}"/>
    <cellStyle name="_MACO vars_People Package 2 3" xfId="18614" xr:uid="{00000000-0005-0000-0000-0000AD480000}"/>
    <cellStyle name="_MACO vars_People Package 3" xfId="18615" xr:uid="{00000000-0005-0000-0000-0000AE480000}"/>
    <cellStyle name="_MACO vars_People Package 3 2" xfId="18616" xr:uid="{00000000-0005-0000-0000-0000AF480000}"/>
    <cellStyle name="_MACO vars_People Package 4" xfId="18617" xr:uid="{00000000-0005-0000-0000-0000B0480000}"/>
    <cellStyle name="_MACO vars_People Package 4 2" xfId="18618" xr:uid="{00000000-0005-0000-0000-0000B1480000}"/>
    <cellStyle name="_MACO vars_People Package 5" xfId="18619" xr:uid="{00000000-0005-0000-0000-0000B2480000}"/>
    <cellStyle name="_MACO vars_People Package 6" xfId="18620" xr:uid="{00000000-0005-0000-0000-0000B3480000}"/>
    <cellStyle name="_MACO vars_Sales and Marketing - revised" xfId="18621" xr:uid="{00000000-0005-0000-0000-0000B4480000}"/>
    <cellStyle name="_MACO vars_Sales and Marketing - revised 2" xfId="18622" xr:uid="{00000000-0005-0000-0000-0000B5480000}"/>
    <cellStyle name="_MACO vars_Sales and Marketing - revised 2 2" xfId="18623" xr:uid="{00000000-0005-0000-0000-0000B6480000}"/>
    <cellStyle name="_MACO vars_Sales and Marketing - revised 3" xfId="18624" xr:uid="{00000000-0005-0000-0000-0000B7480000}"/>
    <cellStyle name="_MACO vars_Sim Ebitda LE 0909 v4" xfId="18625" xr:uid="{00000000-0005-0000-0000-0000B8480000}"/>
    <cellStyle name="_MACO vars_Sim Ebitda LE 0909 v4 2" xfId="18626" xr:uid="{00000000-0005-0000-0000-0000B9480000}"/>
    <cellStyle name="_MACO vars_Sim Ebitda LE 0909 v4 2 2" xfId="18627" xr:uid="{00000000-0005-0000-0000-0000BA480000}"/>
    <cellStyle name="_MACO vars_Sim Ebitda LE 0909 v4 3" xfId="18628" xr:uid="{00000000-0005-0000-0000-0000BB480000}"/>
    <cellStyle name="_MACO vars_WF Ebitda RD Abr-10" xfId="18629" xr:uid="{00000000-0005-0000-0000-0000BC480000}"/>
    <cellStyle name="_MACO vars_WF Ebitda RD Abr-10 2" xfId="18630" xr:uid="{00000000-0005-0000-0000-0000BD480000}"/>
    <cellStyle name="_MACO vars_WF Ebitda RD Abr-10 2 2" xfId="18631" xr:uid="{00000000-0005-0000-0000-0000BE480000}"/>
    <cellStyle name="_MACO vars_WF Ebitda RD Abr-10 3" xfId="18632" xr:uid="{00000000-0005-0000-0000-0000BF480000}"/>
    <cellStyle name="_MACO vars_WF Ebitda Sep09" xfId="18633" xr:uid="{00000000-0005-0000-0000-0000C0480000}"/>
    <cellStyle name="_MACO vars_WF Ebitda Sep09 2" xfId="18634" xr:uid="{00000000-0005-0000-0000-0000C1480000}"/>
    <cellStyle name="_MACO vars_WF Ebitda Sep09 2 2" xfId="18635" xr:uid="{00000000-0005-0000-0000-0000C2480000}"/>
    <cellStyle name="_MACO vars_WF Ebitda Sep09 3" xfId="18636" xr:uid="{00000000-0005-0000-0000-0000C3480000}"/>
    <cellStyle name="_MACO vars_ZBB" xfId="18637" xr:uid="{00000000-0005-0000-0000-0000C4480000}"/>
    <cellStyle name="_MACO vars_ZBB 2" xfId="18638" xr:uid="{00000000-0005-0000-0000-0000C5480000}"/>
    <cellStyle name="_MACO vars_ZBB 2 2" xfId="18639" xr:uid="{00000000-0005-0000-0000-0000C6480000}"/>
    <cellStyle name="_MACO vars_ZBB 2 2 2" xfId="18640" xr:uid="{00000000-0005-0000-0000-0000C7480000}"/>
    <cellStyle name="_MACO vars_ZBB 2 3" xfId="18641" xr:uid="{00000000-0005-0000-0000-0000C8480000}"/>
    <cellStyle name="_MACO vars_ZBB 3" xfId="18642" xr:uid="{00000000-0005-0000-0000-0000C9480000}"/>
    <cellStyle name="_MACO vars_ZBB 3 2" xfId="18643" xr:uid="{00000000-0005-0000-0000-0000CA480000}"/>
    <cellStyle name="_MACO vars_ZBB 4" xfId="18644" xr:uid="{00000000-0005-0000-0000-0000CB480000}"/>
    <cellStyle name="_MACO vars_ZBB Budget 2009 Decks" xfId="18645" xr:uid="{00000000-0005-0000-0000-0000CC480000}"/>
    <cellStyle name="_MACO vars_ZBB Budget 2009 Decks 2" xfId="18646" xr:uid="{00000000-0005-0000-0000-0000CD480000}"/>
    <cellStyle name="_MACO vars_ZBB Budget 2009 Decks 2 2" xfId="18647" xr:uid="{00000000-0005-0000-0000-0000CE480000}"/>
    <cellStyle name="_MACO vars_ZBB Budget 2009 Decks 2 2 2" xfId="18648" xr:uid="{00000000-0005-0000-0000-0000CF480000}"/>
    <cellStyle name="_MACO vars_ZBB Budget 2009 Decks 2 3" xfId="18649" xr:uid="{00000000-0005-0000-0000-0000D0480000}"/>
    <cellStyle name="_MACO vars_ZBB Budget 2009 Decks 3" xfId="18650" xr:uid="{00000000-0005-0000-0000-0000D1480000}"/>
    <cellStyle name="_MACO vars_ZBB Budget 2009 Decks 3 2" xfId="18651" xr:uid="{00000000-0005-0000-0000-0000D2480000}"/>
    <cellStyle name="_MACO vars_ZBB Budget 2009 Decks 4" xfId="18652" xr:uid="{00000000-0005-0000-0000-0000D3480000}"/>
    <cellStyle name="_MACO vars_ZBB Budget 2009 Decks v2 china" xfId="18653" xr:uid="{00000000-0005-0000-0000-0000D4480000}"/>
    <cellStyle name="_MACO vars_ZBB Budget 2009 Decks v2 china 2" xfId="18654" xr:uid="{00000000-0005-0000-0000-0000D5480000}"/>
    <cellStyle name="_MACO vars_ZBB Budget 2009 Decks v2 china 2 2" xfId="18655" xr:uid="{00000000-0005-0000-0000-0000D6480000}"/>
    <cellStyle name="_MACO vars_ZBB Budget 2009 Decks v2 china 2 2 2" xfId="18656" xr:uid="{00000000-0005-0000-0000-0000D7480000}"/>
    <cellStyle name="_MACO vars_ZBB Budget 2009 Decks v2 china 2 3" xfId="18657" xr:uid="{00000000-0005-0000-0000-0000D8480000}"/>
    <cellStyle name="_MACO vars_ZBB Budget 2009 Decks v2 china 3" xfId="18658" xr:uid="{00000000-0005-0000-0000-0000D9480000}"/>
    <cellStyle name="_MACO vars_ZBB Budget 2009 Decks v2 china 3 2" xfId="18659" xr:uid="{00000000-0005-0000-0000-0000DA480000}"/>
    <cellStyle name="_MACO vars_ZBB Budget 2009 Decks v2 china 4" xfId="18660" xr:uid="{00000000-0005-0000-0000-0000DB480000}"/>
    <cellStyle name="_MACO vars_ZBB Budget 2009 Decks_with Korea Scope in (Only LE)" xfId="18661" xr:uid="{00000000-0005-0000-0000-0000DC480000}"/>
    <cellStyle name="_MACO vars_ZBB Budget 2009 Decks_with Korea Scope in (Only LE) (2)" xfId="18662" xr:uid="{00000000-0005-0000-0000-0000DD480000}"/>
    <cellStyle name="_MACO vars_ZBB Budget 2009 Decks_with Korea Scope in (Only LE) (2) 2" xfId="18663" xr:uid="{00000000-0005-0000-0000-0000DE480000}"/>
    <cellStyle name="_MACO vars_ZBB Budget 2009 Decks_with Korea Scope in (Only LE) (2) 2 2" xfId="18664" xr:uid="{00000000-0005-0000-0000-0000DF480000}"/>
    <cellStyle name="_MACO vars_ZBB Budget 2009 Decks_with Korea Scope in (Only LE) (2) 2 2 2" xfId="18665" xr:uid="{00000000-0005-0000-0000-0000E0480000}"/>
    <cellStyle name="_MACO vars_ZBB Budget 2009 Decks_with Korea Scope in (Only LE) (2) 2 3" xfId="18666" xr:uid="{00000000-0005-0000-0000-0000E1480000}"/>
    <cellStyle name="_MACO vars_ZBB Budget 2009 Decks_with Korea Scope in (Only LE) (2) 3" xfId="18667" xr:uid="{00000000-0005-0000-0000-0000E2480000}"/>
    <cellStyle name="_MACO vars_ZBB Budget 2009 Decks_with Korea Scope in (Only LE) (2) 3 2" xfId="18668" xr:uid="{00000000-0005-0000-0000-0000E3480000}"/>
    <cellStyle name="_MACO vars_ZBB Budget 2009 Decks_with Korea Scope in (Only LE) (2) 4" xfId="18669" xr:uid="{00000000-0005-0000-0000-0000E4480000}"/>
    <cellStyle name="_MACO vars_ZBB Budget 2009 Decks_with Korea Scope in (Only LE) 2" xfId="18670" xr:uid="{00000000-0005-0000-0000-0000E5480000}"/>
    <cellStyle name="_MACO vars_ZBB Budget 2009 Decks_with Korea Scope in (Only LE) 2 2" xfId="18671" xr:uid="{00000000-0005-0000-0000-0000E6480000}"/>
    <cellStyle name="_MACO vars_ZBB Budget 2009 Decks_with Korea Scope in (Only LE) 2 2 2" xfId="18672" xr:uid="{00000000-0005-0000-0000-0000E7480000}"/>
    <cellStyle name="_MACO vars_ZBB Budget 2009 Decks_with Korea Scope in (Only LE) 2 3" xfId="18673" xr:uid="{00000000-0005-0000-0000-0000E8480000}"/>
    <cellStyle name="_MACO vars_ZBB Budget 2009 Decks_with Korea Scope in (Only LE) 3" xfId="18674" xr:uid="{00000000-0005-0000-0000-0000E9480000}"/>
    <cellStyle name="_MACO vars_ZBB Budget 2009 Decks_with Korea Scope in (Only LE) 3 2" xfId="18675" xr:uid="{00000000-0005-0000-0000-0000EA480000}"/>
    <cellStyle name="_MACO vars_ZBB Budget 2009 Decks_with Korea Scope in (Only LE) 4" xfId="18676" xr:uid="{00000000-0005-0000-0000-0000EB480000}"/>
    <cellStyle name="_MACO vars_ZBB Budget 2009 Decks_with Korea Scope in (Only LE) 4 2" xfId="18677" xr:uid="{00000000-0005-0000-0000-0000EC480000}"/>
    <cellStyle name="_MACO vars_ZBB Budget 2009 Decks_with Korea Scope in (Only LE) 5" xfId="18678" xr:uid="{00000000-0005-0000-0000-0000ED480000}"/>
    <cellStyle name="_MACO vars_ZBB Budget 2009 Decks_with Korea Scope in (Only LE) 6" xfId="18679" xr:uid="{00000000-0005-0000-0000-0000EE480000}"/>
    <cellStyle name="_MACO vars_ZBB standard Template Korea_081105" xfId="18680" xr:uid="{00000000-0005-0000-0000-0000EF480000}"/>
    <cellStyle name="_MACO vars_ZBB standard Template Korea_081105 2" xfId="18681" xr:uid="{00000000-0005-0000-0000-0000F0480000}"/>
    <cellStyle name="_MACO vars_ZBB standard Template Korea_081105 2 2" xfId="18682" xr:uid="{00000000-0005-0000-0000-0000F1480000}"/>
    <cellStyle name="_MACO vars_ZBB standard Template Korea_081105 2 2 2" xfId="18683" xr:uid="{00000000-0005-0000-0000-0000F2480000}"/>
    <cellStyle name="_MACO vars_ZBB standard Template Korea_081105 2 3" xfId="18684" xr:uid="{00000000-0005-0000-0000-0000F3480000}"/>
    <cellStyle name="_MACO vars_ZBB standard Template Korea_081105 3" xfId="18685" xr:uid="{00000000-0005-0000-0000-0000F4480000}"/>
    <cellStyle name="_MACO vars_ZBB standard Template Korea_081105 3 2" xfId="18686" xr:uid="{00000000-0005-0000-0000-0000F5480000}"/>
    <cellStyle name="_MACO vars_ZBB standard Template Korea_081105 4" xfId="18687" xr:uid="{00000000-0005-0000-0000-0000F6480000}"/>
    <cellStyle name="_Macro assumptions" xfId="18688" xr:uid="{00000000-0005-0000-0000-0000F7480000}"/>
    <cellStyle name="_Macro assumptions 2" xfId="18689" xr:uid="{00000000-0005-0000-0000-0000F8480000}"/>
    <cellStyle name="_Macro assumptions 2 2" xfId="18690" xr:uid="{00000000-0005-0000-0000-0000F9480000}"/>
    <cellStyle name="_Macro assumptions 3" xfId="18691" xr:uid="{00000000-0005-0000-0000-0000FA480000}"/>
    <cellStyle name="_Macro assumptions_ZBB Budget 2009 Decks v2 china" xfId="18692" xr:uid="{00000000-0005-0000-0000-0000FB480000}"/>
    <cellStyle name="_Macro assumptions_ZBB Budget 2009 Decks v2 china 2" xfId="18693" xr:uid="{00000000-0005-0000-0000-0000FC480000}"/>
    <cellStyle name="_Macro assumptions_ZBB Budget 2009 Decks v2 china 2 2" xfId="18694" xr:uid="{00000000-0005-0000-0000-0000FD480000}"/>
    <cellStyle name="_Macro assumptions_ZBB Budget 2009 Decks v2 china 3" xfId="18695" xr:uid="{00000000-0005-0000-0000-0000FE480000}"/>
    <cellStyle name="_Macro assumptions_ZBB standard Template Korea_081105" xfId="18696" xr:uid="{00000000-0005-0000-0000-0000FF480000}"/>
    <cellStyle name="_Macro assumptions_ZBB standard Template Korea_081105 2" xfId="18697" xr:uid="{00000000-0005-0000-0000-000000490000}"/>
    <cellStyle name="_Macro assumptions_ZBB standard Template Korea_081105 2 2" xfId="18698" xr:uid="{00000000-0005-0000-0000-000001490000}"/>
    <cellStyle name="_Macro assumptions_ZBB standard Template Korea_081105 3" xfId="18699" xr:uid="{00000000-0005-0000-0000-000002490000}"/>
    <cellStyle name="_Metais Set08" xfId="18700" xr:uid="{00000000-0005-0000-0000-000003490000}"/>
    <cellStyle name="_Metais Set08 2" xfId="18701" xr:uid="{00000000-0005-0000-0000-000004490000}"/>
    <cellStyle name="_MicroIndex" xfId="18702" xr:uid="{00000000-0005-0000-0000-000005490000}"/>
    <cellStyle name="_MicroIndex 2" xfId="18703" xr:uid="{00000000-0005-0000-0000-000006490000}"/>
    <cellStyle name="_MicroIndex 2 2" xfId="18704" xr:uid="{00000000-0005-0000-0000-000007490000}"/>
    <cellStyle name="_MicroIndex 3" xfId="18705" xr:uid="{00000000-0005-0000-0000-000008490000}"/>
    <cellStyle name="_MODELO BR 3YP v3" xfId="18706" xr:uid="{00000000-0005-0000-0000-000009490000}"/>
    <cellStyle name="_MODELO BR 3YP v3 2" xfId="18707" xr:uid="{00000000-0005-0000-0000-00000A490000}"/>
    <cellStyle name="_MODELO BR 3YP v3 2 2" xfId="18708" xr:uid="{00000000-0005-0000-0000-00000B490000}"/>
    <cellStyle name="_MODELO BR 3YP v3 3" xfId="18709" xr:uid="{00000000-0005-0000-0000-00000C490000}"/>
    <cellStyle name="_Modelo PDCA simplificado (2)" xfId="18710" xr:uid="{00000000-0005-0000-0000-00000D490000}"/>
    <cellStyle name="_Modelo PDCA simplificado (2) 2" xfId="18711" xr:uid="{00000000-0005-0000-0000-00000E490000}"/>
    <cellStyle name="_Modelo PDCA simplificado (2) 2 2" xfId="18712" xr:uid="{00000000-0005-0000-0000-00000F490000}"/>
    <cellStyle name="_Modelo PDCA simplificado (2) 3" xfId="18713" xr:uid="{00000000-0005-0000-0000-000010490000}"/>
    <cellStyle name="_Multiple" xfId="18714" xr:uid="{00000000-0005-0000-0000-000011490000}"/>
    <cellStyle name="_Multiple_consulting_comp_27" xfId="18715" xr:uid="{00000000-0005-0000-0000-000012490000}"/>
    <cellStyle name="_Multiple_consulting_comp_27_Newspaper Comps - New" xfId="18716" xr:uid="{00000000-0005-0000-0000-000013490000}"/>
    <cellStyle name="_Multiple_Newspaper Comps - New" xfId="18717" xr:uid="{00000000-0005-0000-0000-000014490000}"/>
    <cellStyle name="_Multiple_president_comps_2" xfId="18718" xr:uid="{00000000-0005-0000-0000-000015490000}"/>
    <cellStyle name="_Multiple_president_comps_2 2" xfId="18719" xr:uid="{00000000-0005-0000-0000-000016490000}"/>
    <cellStyle name="_Multiple_president_comps_2 2 2" xfId="18720" xr:uid="{00000000-0005-0000-0000-000017490000}"/>
    <cellStyle name="_Multiple_president_comps_2 3" xfId="18721" xr:uid="{00000000-0005-0000-0000-000018490000}"/>
    <cellStyle name="_Multiple_president_comps_3" xfId="18722" xr:uid="{00000000-0005-0000-0000-000019490000}"/>
    <cellStyle name="_Multiple_president_comps_3 2" xfId="18723" xr:uid="{00000000-0005-0000-0000-00001A490000}"/>
    <cellStyle name="_Multiple_president_comps_3 2 2" xfId="18724" xr:uid="{00000000-0005-0000-0000-00001B490000}"/>
    <cellStyle name="_Multiple_president_comps_3 3" xfId="18725" xr:uid="{00000000-0005-0000-0000-00001C490000}"/>
    <cellStyle name="_Multiple_pro_forma_model_paris" xfId="18726" xr:uid="{00000000-0005-0000-0000-00001D490000}"/>
    <cellStyle name="_Multiple_pro_forma_model_paris 2" xfId="18727" xr:uid="{00000000-0005-0000-0000-00001E490000}"/>
    <cellStyle name="_Multiple_pro_forma_model_paris 2 2" xfId="18728" xr:uid="{00000000-0005-0000-0000-00001F490000}"/>
    <cellStyle name="_Multiple_pro_forma_model_paris 3" xfId="18729" xr:uid="{00000000-0005-0000-0000-000020490000}"/>
    <cellStyle name="_Multiple_pro_forma_model_paris_Newspaper Comps - New" xfId="18730" xr:uid="{00000000-0005-0000-0000-000021490000}"/>
    <cellStyle name="_Multiple_pro_forma_model_paris_president_comps_3" xfId="18731" xr:uid="{00000000-0005-0000-0000-000022490000}"/>
    <cellStyle name="_Multiple_pro_forma_model_paris_president_comps_3 2" xfId="18732" xr:uid="{00000000-0005-0000-0000-000023490000}"/>
    <cellStyle name="_Multiple_pro_forma_model_paris_president_comps_3 2 2" xfId="18733" xr:uid="{00000000-0005-0000-0000-000024490000}"/>
    <cellStyle name="_Multiple_pro_forma_model_paris_president_comps_3 3" xfId="18734" xr:uid="{00000000-0005-0000-0000-000025490000}"/>
    <cellStyle name="_MultipleSpace" xfId="18735" xr:uid="{00000000-0005-0000-0000-000026490000}"/>
    <cellStyle name="_MultipleSpace_Newspaper Comps - New" xfId="18736" xr:uid="{00000000-0005-0000-0000-000027490000}"/>
    <cellStyle name="_MultipleSpace_pro_forma_model_paris" xfId="18737" xr:uid="{00000000-0005-0000-0000-000028490000}"/>
    <cellStyle name="_MultipleSpace_pro_forma_model_paris 2" xfId="18738" xr:uid="{00000000-0005-0000-0000-000029490000}"/>
    <cellStyle name="_MultipleSpace_pro_forma_model_paris 2 2" xfId="18739" xr:uid="{00000000-0005-0000-0000-00002A490000}"/>
    <cellStyle name="_MultipleSpace_pro_forma_model_paris 3" xfId="18740" xr:uid="{00000000-0005-0000-0000-00002B490000}"/>
    <cellStyle name="_MultipleSpace_pro_forma_model_paris_Newspaper Comps - New" xfId="18741" xr:uid="{00000000-0005-0000-0000-00002C490000}"/>
    <cellStyle name="_MultipleSpace_pro_forma_model_paris_president_comps_3" xfId="18742" xr:uid="{00000000-0005-0000-0000-00002D490000}"/>
    <cellStyle name="_MultipleSpace_pro_forma_model_paris_president_comps_3 2" xfId="18743" xr:uid="{00000000-0005-0000-0000-00002E490000}"/>
    <cellStyle name="_MultipleSpace_pro_forma_model_paris_president_comps_3 2 2" xfId="18744" xr:uid="{00000000-0005-0000-0000-00002F490000}"/>
    <cellStyle name="_MultipleSpace_pro_forma_model_paris_president_comps_3 3" xfId="18745" xr:uid="{00000000-0005-0000-0000-000030490000}"/>
    <cellStyle name="_MultipleSpace_Total Model2" xfId="18746" xr:uid="{00000000-0005-0000-0000-000031490000}"/>
    <cellStyle name="_New Projects Worksheet_V1" xfId="18747" xr:uid="{00000000-0005-0000-0000-000032490000}"/>
    <cellStyle name="_New Projects Worksheet_V1 2" xfId="18748" xr:uid="{00000000-0005-0000-0000-000033490000}"/>
    <cellStyle name="_New Projects Worksheet_V1 2 2" xfId="18749" xr:uid="{00000000-0005-0000-0000-000034490000}"/>
    <cellStyle name="_New Projects Worksheet_V1 3" xfId="18750" xr:uid="{00000000-0005-0000-0000-000035490000}"/>
    <cellStyle name="_New Projects Worksheet_V18 10" xfId="18751" xr:uid="{00000000-0005-0000-0000-000036490000}"/>
    <cellStyle name="_New Projects Worksheet_V18 10 2" xfId="18752" xr:uid="{00000000-0005-0000-0000-000037490000}"/>
    <cellStyle name="_New Projects Worksheet_V18 10 2 2" xfId="18753" xr:uid="{00000000-0005-0000-0000-000038490000}"/>
    <cellStyle name="_New Projects Worksheet_V18 10 3" xfId="18754" xr:uid="{00000000-0005-0000-0000-000039490000}"/>
    <cellStyle name="_Nova Eficiência de Preços" xfId="18755" xr:uid="{00000000-0005-0000-0000-00003A490000}"/>
    <cellStyle name="_Nova Eficiência de Preços 2" xfId="18756" xr:uid="{00000000-0005-0000-0000-00003B490000}"/>
    <cellStyle name="_Nova Eficiência de Preços 2 2" xfId="18757" xr:uid="{00000000-0005-0000-0000-00003C490000}"/>
    <cellStyle name="_Nova Eficiência de Preços 3" xfId="18758" xr:uid="{00000000-0005-0000-0000-00003D490000}"/>
    <cellStyle name="_Nova Eficiência de Preços Cierre Julho" xfId="18759" xr:uid="{00000000-0005-0000-0000-00003E490000}"/>
    <cellStyle name="_Nova Eficiência de Preços Cierre Julho 2" xfId="18760" xr:uid="{00000000-0005-0000-0000-00003F490000}"/>
    <cellStyle name="_Nova Eficiência de Preços Cierre Julho 2 2" xfId="18761" xr:uid="{00000000-0005-0000-0000-000040490000}"/>
    <cellStyle name="_Nova Eficiência de Preços Cierre Julho 3" xfId="18762" xr:uid="{00000000-0005-0000-0000-000041490000}"/>
    <cellStyle name="_OCF after net capex per country" xfId="18763" xr:uid="{00000000-0005-0000-0000-000042490000}"/>
    <cellStyle name="_OCF after net capex per country 2" xfId="18764" xr:uid="{00000000-0005-0000-0000-000043490000}"/>
    <cellStyle name="_OCF after net capex per country 2 2" xfId="18765" xr:uid="{00000000-0005-0000-0000-000044490000}"/>
    <cellStyle name="_OCF after net capex per country 2 2 2" xfId="18766" xr:uid="{00000000-0005-0000-0000-000045490000}"/>
    <cellStyle name="_OCF after net capex per country 2 3" xfId="18767" xr:uid="{00000000-0005-0000-0000-000046490000}"/>
    <cellStyle name="_OCF after net capex per country 3" xfId="18768" xr:uid="{00000000-0005-0000-0000-000047490000}"/>
    <cellStyle name="_OCF after net capex per country 3 2" xfId="18769" xr:uid="{00000000-0005-0000-0000-000048490000}"/>
    <cellStyle name="_OCF after net capex per country 4" xfId="18770" xr:uid="{00000000-0005-0000-0000-000049490000}"/>
    <cellStyle name="_OCF after net capex per country_0907 Gabarito Exchange Rate" xfId="18771" xr:uid="{00000000-0005-0000-0000-00004A490000}"/>
    <cellStyle name="_OCF after net capex per country_0907 Gabarito Exchange Rate 2" xfId="18772" xr:uid="{00000000-0005-0000-0000-00004B490000}"/>
    <cellStyle name="_OCF after net capex per country_0907 Gabarito Exchange Rate 2 2" xfId="18773" xr:uid="{00000000-0005-0000-0000-00004C490000}"/>
    <cellStyle name="_OCF after net capex per country_0907 Gabarito Exchange Rate 3" xfId="18774" xr:uid="{00000000-0005-0000-0000-00004D490000}"/>
    <cellStyle name="_OCF after net capex per country_0908 Gabarito exchange rate" xfId="18775" xr:uid="{00000000-0005-0000-0000-00004E490000}"/>
    <cellStyle name="_OCF after net capex per country_0908 Gabarito exchange rate 2" xfId="18776" xr:uid="{00000000-0005-0000-0000-00004F490000}"/>
    <cellStyle name="_OCF after net capex per country_0908 Gabarito exchange rate 2 2" xfId="18777" xr:uid="{00000000-0005-0000-0000-000050490000}"/>
    <cellStyle name="_OCF after net capex per country_0908 Gabarito exchange rate 3" xfId="18778" xr:uid="{00000000-0005-0000-0000-000051490000}"/>
    <cellStyle name="_OCF after net capex per country_Book1" xfId="18779" xr:uid="{00000000-0005-0000-0000-000052490000}"/>
    <cellStyle name="_OCF after net capex per country_Book1 2" xfId="18780" xr:uid="{00000000-0005-0000-0000-000053490000}"/>
    <cellStyle name="_OCF after net capex per country_Book1 2 2" xfId="18781" xr:uid="{00000000-0005-0000-0000-000054490000}"/>
    <cellStyle name="_OCF after net capex per country_Book1 3" xfId="18782" xr:uid="{00000000-0005-0000-0000-000055490000}"/>
    <cellStyle name="_OCF after net capex per country_Book5" xfId="18783" xr:uid="{00000000-0005-0000-0000-000056490000}"/>
    <cellStyle name="_OCF after net capex per country_Book5 2" xfId="18784" xr:uid="{00000000-0005-0000-0000-000057490000}"/>
    <cellStyle name="_OCF after net capex per country_Book5 2 2" xfId="18785" xr:uid="{00000000-0005-0000-0000-000058490000}"/>
    <cellStyle name="_OCF after net capex per country_Book5 3" xfId="18786" xr:uid="{00000000-0005-0000-0000-000059490000}"/>
    <cellStyle name="_OCF after net capex per country_Bplan RD 1001" xfId="18787" xr:uid="{00000000-0005-0000-0000-00005A490000}"/>
    <cellStyle name="_OCF after net capex per country_Bplan RD 1001 2" xfId="18788" xr:uid="{00000000-0005-0000-0000-00005B490000}"/>
    <cellStyle name="_OCF after net capex per country_Bplan RD 1001 2 2" xfId="18789" xr:uid="{00000000-0005-0000-0000-00005C490000}"/>
    <cellStyle name="_OCF after net capex per country_Bplan RD 1001 3" xfId="18790" xr:uid="{00000000-0005-0000-0000-00005D490000}"/>
    <cellStyle name="_OCF after net capex per country_Budget 2008 Review - Excel template v2" xfId="18791" xr:uid="{00000000-0005-0000-0000-00005E490000}"/>
    <cellStyle name="_OCF after net capex per country_Budget 2008 Review - Excel template v2 2" xfId="18792" xr:uid="{00000000-0005-0000-0000-00005F490000}"/>
    <cellStyle name="_OCF after net capex per country_Budget 2008 Review - Excel template v2 2 2" xfId="18793" xr:uid="{00000000-0005-0000-0000-000060490000}"/>
    <cellStyle name="_OCF after net capex per country_Budget 2008 Review - Excel template v2 3" xfId="18794" xr:uid="{00000000-0005-0000-0000-000061490000}"/>
    <cellStyle name="_OCF after net capex per country_Budget 2008 Review - Excel template v2_CA ML" xfId="18795" xr:uid="{00000000-0005-0000-0000-000062490000}"/>
    <cellStyle name="_OCF after net capex per country_Budget 2008 Review - Excel template v2_CA ML 2" xfId="18796" xr:uid="{00000000-0005-0000-0000-000063490000}"/>
    <cellStyle name="_OCF after net capex per country_Budget 2008 Review - Excel template v2_CA ML 2 2" xfId="18797" xr:uid="{00000000-0005-0000-0000-000064490000}"/>
    <cellStyle name="_OCF after net capex per country_Budget 2008 Review - Excel template v2_CA ML 3" xfId="18798" xr:uid="{00000000-0005-0000-0000-000065490000}"/>
    <cellStyle name="_OCF after net capex per country_Budget 2008 Review - Excel template v2_CA ML_1" xfId="18799" xr:uid="{00000000-0005-0000-0000-000066490000}"/>
    <cellStyle name="_OCF after net capex per country_Budget 2008 Review - Excel template v2_CA ML_1 2" xfId="18800" xr:uid="{00000000-0005-0000-0000-000067490000}"/>
    <cellStyle name="_OCF after net capex per country_Budget 2008 Review - Excel template v2_CA ML_1 2 2" xfId="18801" xr:uid="{00000000-0005-0000-0000-000068490000}"/>
    <cellStyle name="_OCF after net capex per country_Budget 2008 Review - Excel template v2_CA ML_1 3" xfId="18802" xr:uid="{00000000-0005-0000-0000-000069490000}"/>
    <cellStyle name="_OCF after net capex per country_Budget 2008 Review - Excel template v2_CA ML_2" xfId="18803" xr:uid="{00000000-0005-0000-0000-00006A490000}"/>
    <cellStyle name="_OCF after net capex per country_Budget 2008 Review - Excel template v2_CA ML_2 2" xfId="18804" xr:uid="{00000000-0005-0000-0000-00006B490000}"/>
    <cellStyle name="_OCF after net capex per country_Budget 2008 Review - Excel template v2_CA ML_2 2 2" xfId="18805" xr:uid="{00000000-0005-0000-0000-00006C490000}"/>
    <cellStyle name="_OCF after net capex per country_Budget 2008 Review - Excel template v2_CA ML_2 3" xfId="18806" xr:uid="{00000000-0005-0000-0000-00006D490000}"/>
    <cellStyle name="_OCF after net capex per country_Budget 2008 Review - Excel template v2_CA USD" xfId="18807" xr:uid="{00000000-0005-0000-0000-00006E490000}"/>
    <cellStyle name="_OCF after net capex per country_Budget 2008 Review - Excel template v2_CA USD 2" xfId="18808" xr:uid="{00000000-0005-0000-0000-00006F490000}"/>
    <cellStyle name="_OCF after net capex per country_Budget 2008 Review - Excel template v2_CA USD 2 2" xfId="18809" xr:uid="{00000000-0005-0000-0000-000070490000}"/>
    <cellStyle name="_OCF after net capex per country_Budget 2008 Review - Excel template v2_CA USD 3" xfId="18810" xr:uid="{00000000-0005-0000-0000-000071490000}"/>
    <cellStyle name="_OCF after net capex per country_Budget 2008 Review - Excel template v2_EC ML" xfId="18811" xr:uid="{00000000-0005-0000-0000-000072490000}"/>
    <cellStyle name="_OCF after net capex per country_Budget 2008 Review - Excel template v2_EC ML 2" xfId="18812" xr:uid="{00000000-0005-0000-0000-000073490000}"/>
    <cellStyle name="_OCF after net capex per country_Budget 2008 Review - Excel template v2_EC ML 2 2" xfId="18813" xr:uid="{00000000-0005-0000-0000-000074490000}"/>
    <cellStyle name="_OCF after net capex per country_Budget 2008 Review - Excel template v2_EC ML 3" xfId="18814" xr:uid="{00000000-0005-0000-0000-000075490000}"/>
    <cellStyle name="_OCF after net capex per country_Budget 2008 Review - Excel template v2_EC ML_1" xfId="18815" xr:uid="{00000000-0005-0000-0000-000076490000}"/>
    <cellStyle name="_OCF after net capex per country_Budget 2008 Review - Excel template v2_EC ML_1 2" xfId="18816" xr:uid="{00000000-0005-0000-0000-000077490000}"/>
    <cellStyle name="_OCF after net capex per country_Budget 2008 Review - Excel template v2_EC ML_1 2 2" xfId="18817" xr:uid="{00000000-0005-0000-0000-000078490000}"/>
    <cellStyle name="_OCF after net capex per country_Budget 2008 Review - Excel template v2_EC ML_1 3" xfId="18818" xr:uid="{00000000-0005-0000-0000-000079490000}"/>
    <cellStyle name="_OCF after net capex per country_Budget 2008 Review - Excel template v2_EC USD" xfId="18819" xr:uid="{00000000-0005-0000-0000-00007A490000}"/>
    <cellStyle name="_OCF after net capex per country_Budget 2008 Review - Excel template v2_EC USD 2" xfId="18820" xr:uid="{00000000-0005-0000-0000-00007B490000}"/>
    <cellStyle name="_OCF after net capex per country_Budget 2008 Review - Excel template v2_EC USD 2 2" xfId="18821" xr:uid="{00000000-0005-0000-0000-00007C490000}"/>
    <cellStyle name="_OCF after net capex per country_Budget 2008 Review - Excel template v2_EC USD 3" xfId="18822" xr:uid="{00000000-0005-0000-0000-00007D490000}"/>
    <cellStyle name="_OCF after net capex per country_Budget 2008 Review - Excel template v2_fx" xfId="18823" xr:uid="{00000000-0005-0000-0000-00007E490000}"/>
    <cellStyle name="_OCF after net capex per country_Budget 2008 Review - Excel template v2_fx 2" xfId="18824" xr:uid="{00000000-0005-0000-0000-00007F490000}"/>
    <cellStyle name="_OCF after net capex per country_Budget 2008 Review - Excel template v2_fx 2 2" xfId="18825" xr:uid="{00000000-0005-0000-0000-000080490000}"/>
    <cellStyle name="_OCF after net capex per country_Budget 2008 Review - Excel template v2_fx 3" xfId="18826" xr:uid="{00000000-0005-0000-0000-000081490000}"/>
    <cellStyle name="_OCF after net capex per country_Budget 2008 Review - Excel template v2_PE ML" xfId="18827" xr:uid="{00000000-0005-0000-0000-000082490000}"/>
    <cellStyle name="_OCF after net capex per country_Budget 2008 Review - Excel template v2_PE ML 2" xfId="18828" xr:uid="{00000000-0005-0000-0000-000083490000}"/>
    <cellStyle name="_OCF after net capex per country_Budget 2008 Review - Excel template v2_PE ML 2 2" xfId="18829" xr:uid="{00000000-0005-0000-0000-000084490000}"/>
    <cellStyle name="_OCF after net capex per country_Budget 2008 Review - Excel template v2_PE ML 3" xfId="18830" xr:uid="{00000000-0005-0000-0000-000085490000}"/>
    <cellStyle name="_OCF after net capex per country_Budget 2008 Review - Excel template v2_PE ML_1" xfId="18831" xr:uid="{00000000-0005-0000-0000-000086490000}"/>
    <cellStyle name="_OCF after net capex per country_Budget 2008 Review - Excel template v2_PE ML_1 2" xfId="18832" xr:uid="{00000000-0005-0000-0000-000087490000}"/>
    <cellStyle name="_OCF after net capex per country_Budget 2008 Review - Excel template v2_PE ML_1 2 2" xfId="18833" xr:uid="{00000000-0005-0000-0000-000088490000}"/>
    <cellStyle name="_OCF after net capex per country_Budget 2008 Review - Excel template v2_PE ML_1 3" xfId="18834" xr:uid="{00000000-0005-0000-0000-000089490000}"/>
    <cellStyle name="_OCF after net capex per country_Budget 2008 Review - Excel template v2_PE ML_2" xfId="18835" xr:uid="{00000000-0005-0000-0000-00008A490000}"/>
    <cellStyle name="_OCF after net capex per country_Budget 2008 Review - Excel template v2_PE ML_2 2" xfId="18836" xr:uid="{00000000-0005-0000-0000-00008B490000}"/>
    <cellStyle name="_OCF after net capex per country_Budget 2008 Review - Excel template v2_PE ML_2 2 2" xfId="18837" xr:uid="{00000000-0005-0000-0000-00008C490000}"/>
    <cellStyle name="_OCF after net capex per country_Budget 2008 Review - Excel template v2_PE ML_2 3" xfId="18838" xr:uid="{00000000-0005-0000-0000-00008D490000}"/>
    <cellStyle name="_OCF after net capex per country_Budget 2008 Review - Excel template v2_PE USD" xfId="18839" xr:uid="{00000000-0005-0000-0000-00008E490000}"/>
    <cellStyle name="_OCF after net capex per country_Budget 2008 Review - Excel template v2_PE USD 2" xfId="18840" xr:uid="{00000000-0005-0000-0000-00008F490000}"/>
    <cellStyle name="_OCF after net capex per country_Budget 2008 Review - Excel template v2_PE USD 2 2" xfId="18841" xr:uid="{00000000-0005-0000-0000-000090490000}"/>
    <cellStyle name="_OCF after net capex per country_Budget 2008 Review - Excel template v2_PE USD 3" xfId="18842" xr:uid="{00000000-0005-0000-0000-000091490000}"/>
    <cellStyle name="_OCF after net capex per country_Budget 2008 Review - Excel template v2_RD ML" xfId="18843" xr:uid="{00000000-0005-0000-0000-000092490000}"/>
    <cellStyle name="_OCF after net capex per country_Budget 2008 Review - Excel template v2_RD ML 2" xfId="18844" xr:uid="{00000000-0005-0000-0000-000093490000}"/>
    <cellStyle name="_OCF after net capex per country_Budget 2008 Review - Excel template v2_RD ML 2 2" xfId="18845" xr:uid="{00000000-0005-0000-0000-000094490000}"/>
    <cellStyle name="_OCF after net capex per country_Budget 2008 Review - Excel template v2_RD ML 3" xfId="18846" xr:uid="{00000000-0005-0000-0000-000095490000}"/>
    <cellStyle name="_OCF after net capex per country_Budget 2008 Review - Excel template v2_RD ML_1" xfId="18847" xr:uid="{00000000-0005-0000-0000-000096490000}"/>
    <cellStyle name="_OCF after net capex per country_Budget 2008 Review - Excel template v2_RD ML_1 2" xfId="18848" xr:uid="{00000000-0005-0000-0000-000097490000}"/>
    <cellStyle name="_OCF after net capex per country_Budget 2008 Review - Excel template v2_RD ML_1 2 2" xfId="18849" xr:uid="{00000000-0005-0000-0000-000098490000}"/>
    <cellStyle name="_OCF after net capex per country_Budget 2008 Review - Excel template v2_RD ML_1 3" xfId="18850" xr:uid="{00000000-0005-0000-0000-000099490000}"/>
    <cellStyle name="_OCF after net capex per country_Budget 2008 Review - Excel template v2_RD ML_2" xfId="18851" xr:uid="{00000000-0005-0000-0000-00009A490000}"/>
    <cellStyle name="_OCF after net capex per country_Budget 2008 Review - Excel template v2_RD ML_2 2" xfId="18852" xr:uid="{00000000-0005-0000-0000-00009B490000}"/>
    <cellStyle name="_OCF after net capex per country_Budget 2008 Review - Excel template v2_RD ML_2 2 2" xfId="18853" xr:uid="{00000000-0005-0000-0000-00009C490000}"/>
    <cellStyle name="_OCF after net capex per country_Budget 2008 Review - Excel template v2_RD ML_2 3" xfId="18854" xr:uid="{00000000-0005-0000-0000-00009D490000}"/>
    <cellStyle name="_OCF after net capex per country_Budget 2008 Review - Excel template v2_RD USD" xfId="18855" xr:uid="{00000000-0005-0000-0000-00009E490000}"/>
    <cellStyle name="_OCF after net capex per country_Budget 2008 Review - Excel template v2_RD USD 2" xfId="18856" xr:uid="{00000000-0005-0000-0000-00009F490000}"/>
    <cellStyle name="_OCF after net capex per country_Budget 2008 Review - Excel template v2_RD USD 2 2" xfId="18857" xr:uid="{00000000-0005-0000-0000-0000A0490000}"/>
    <cellStyle name="_OCF after net capex per country_Budget 2008 Review - Excel template v2_RD USD 3" xfId="18858" xr:uid="{00000000-0005-0000-0000-0000A1490000}"/>
    <cellStyle name="_OCF after net capex per country_Budget 2008 Review - Excel template v2_ZBB Budget 2009 Decks v2 china" xfId="18859" xr:uid="{00000000-0005-0000-0000-0000A2490000}"/>
    <cellStyle name="_OCF after net capex per country_Budget 2008 Review - Excel template v2_ZBB Budget 2009 Decks v2 china 2" xfId="18860" xr:uid="{00000000-0005-0000-0000-0000A3490000}"/>
    <cellStyle name="_OCF after net capex per country_Budget 2008 Review - Excel template v2_ZBB Budget 2009 Decks v2 china 2 2" xfId="18861" xr:uid="{00000000-0005-0000-0000-0000A4490000}"/>
    <cellStyle name="_OCF after net capex per country_Budget 2008 Review - Excel template v2_ZBB Budget 2009 Decks v2 china 3" xfId="18862" xr:uid="{00000000-0005-0000-0000-0000A5490000}"/>
    <cellStyle name="_OCF after net capex per country_Budget 2008 Review - Excel template v2_ZBB standard Template Korea_081105" xfId="18863" xr:uid="{00000000-0005-0000-0000-0000A6490000}"/>
    <cellStyle name="_OCF after net capex per country_Budget 2008 Review - Excel template v2_ZBB standard Template Korea_081105 2" xfId="18864" xr:uid="{00000000-0005-0000-0000-0000A7490000}"/>
    <cellStyle name="_OCF after net capex per country_Budget 2008 Review - Excel template v2_ZBB standard Template Korea_081105 2 2" xfId="18865" xr:uid="{00000000-0005-0000-0000-0000A8490000}"/>
    <cellStyle name="_OCF after net capex per country_Budget 2008 Review - Excel template v2_ZBB standard Template Korea_081105 3" xfId="18866" xr:uid="{00000000-0005-0000-0000-0000A9490000}"/>
    <cellStyle name="_OCF after net capex per country_CA ML" xfId="18867" xr:uid="{00000000-0005-0000-0000-0000AA490000}"/>
    <cellStyle name="_OCF after net capex per country_CA ML 2" xfId="18868" xr:uid="{00000000-0005-0000-0000-0000AB490000}"/>
    <cellStyle name="_OCF after net capex per country_CA ML 2 2" xfId="18869" xr:uid="{00000000-0005-0000-0000-0000AC490000}"/>
    <cellStyle name="_OCF after net capex per country_CA ML 3" xfId="18870" xr:uid="{00000000-0005-0000-0000-0000AD490000}"/>
    <cellStyle name="_OCF after net capex per country_CA ML_1" xfId="18871" xr:uid="{00000000-0005-0000-0000-0000AE490000}"/>
    <cellStyle name="_OCF after net capex per country_CA ML_1 2" xfId="18872" xr:uid="{00000000-0005-0000-0000-0000AF490000}"/>
    <cellStyle name="_OCF after net capex per country_CA ML_1 2 2" xfId="18873" xr:uid="{00000000-0005-0000-0000-0000B0490000}"/>
    <cellStyle name="_OCF after net capex per country_CA ML_1 3" xfId="18874" xr:uid="{00000000-0005-0000-0000-0000B1490000}"/>
    <cellStyle name="_OCF after net capex per country_CA ML_2" xfId="18875" xr:uid="{00000000-0005-0000-0000-0000B2490000}"/>
    <cellStyle name="_OCF after net capex per country_CA ML_2 2" xfId="18876" xr:uid="{00000000-0005-0000-0000-0000B3490000}"/>
    <cellStyle name="_OCF after net capex per country_CA ML_2 2 2" xfId="18877" xr:uid="{00000000-0005-0000-0000-0000B4490000}"/>
    <cellStyle name="_OCF after net capex per country_CA ML_2 3" xfId="18878" xr:uid="{00000000-0005-0000-0000-0000B5490000}"/>
    <cellStyle name="_OCF after net capex per country_CA USD" xfId="18879" xr:uid="{00000000-0005-0000-0000-0000B6490000}"/>
    <cellStyle name="_OCF after net capex per country_CA USD 2" xfId="18880" xr:uid="{00000000-0005-0000-0000-0000B7490000}"/>
    <cellStyle name="_OCF after net capex per country_CA USD 2 2" xfId="18881" xr:uid="{00000000-0005-0000-0000-0000B8490000}"/>
    <cellStyle name="_OCF after net capex per country_CA USD 3" xfId="18882" xr:uid="{00000000-0005-0000-0000-0000B9490000}"/>
    <cellStyle name="_OCF after net capex per country_CF" xfId="18883" xr:uid="{00000000-0005-0000-0000-0000BA490000}"/>
    <cellStyle name="_OCF after net capex per country_CF 2" xfId="18884" xr:uid="{00000000-0005-0000-0000-0000BB490000}"/>
    <cellStyle name="_OCF after net capex per country_CF 2 2" xfId="18885" xr:uid="{00000000-0005-0000-0000-0000BC490000}"/>
    <cellStyle name="_OCF after net capex per country_CF 3" xfId="18886" xr:uid="{00000000-0005-0000-0000-0000BD490000}"/>
    <cellStyle name="_OCF after net capex per country_Cuadre 10-IM parte4" xfId="18887" xr:uid="{00000000-0005-0000-0000-0000BE490000}"/>
    <cellStyle name="_OCF after net capex per country_Cuadre 10-IM parte4 2" xfId="18888" xr:uid="{00000000-0005-0000-0000-0000BF490000}"/>
    <cellStyle name="_OCF after net capex per country_Cuadre 10-IM parte4 2 2" xfId="18889" xr:uid="{00000000-0005-0000-0000-0000C0490000}"/>
    <cellStyle name="_OCF after net capex per country_Cuadre 10-IM parte4 3" xfId="18890" xr:uid="{00000000-0005-0000-0000-0000C1490000}"/>
    <cellStyle name="_OCF after net capex per country_EC ML" xfId="18891" xr:uid="{00000000-0005-0000-0000-0000C2490000}"/>
    <cellStyle name="_OCF after net capex per country_EC ML 2" xfId="18892" xr:uid="{00000000-0005-0000-0000-0000C3490000}"/>
    <cellStyle name="_OCF after net capex per country_EC ML 2 2" xfId="18893" xr:uid="{00000000-0005-0000-0000-0000C4490000}"/>
    <cellStyle name="_OCF after net capex per country_EC ML 3" xfId="18894" xr:uid="{00000000-0005-0000-0000-0000C5490000}"/>
    <cellStyle name="_OCF after net capex per country_EC ML_1" xfId="18895" xr:uid="{00000000-0005-0000-0000-0000C6490000}"/>
    <cellStyle name="_OCF after net capex per country_EC ML_1 2" xfId="18896" xr:uid="{00000000-0005-0000-0000-0000C7490000}"/>
    <cellStyle name="_OCF after net capex per country_EC ML_1 2 2" xfId="18897" xr:uid="{00000000-0005-0000-0000-0000C8490000}"/>
    <cellStyle name="_OCF after net capex per country_EC ML_1 3" xfId="18898" xr:uid="{00000000-0005-0000-0000-0000C9490000}"/>
    <cellStyle name="_OCF after net capex per country_EC USD" xfId="18899" xr:uid="{00000000-0005-0000-0000-0000CA490000}"/>
    <cellStyle name="_OCF after net capex per country_EC USD 2" xfId="18900" xr:uid="{00000000-0005-0000-0000-0000CB490000}"/>
    <cellStyle name="_OCF after net capex per country_EC USD 2 2" xfId="18901" xr:uid="{00000000-0005-0000-0000-0000CC490000}"/>
    <cellStyle name="_OCF after net capex per country_EC USD 3" xfId="18902" xr:uid="{00000000-0005-0000-0000-0000CD490000}"/>
    <cellStyle name="_OCF after net capex per country_Financial model Feb VE 3" xfId="18903" xr:uid="{00000000-0005-0000-0000-0000CE490000}"/>
    <cellStyle name="_OCF after net capex per country_Financial model Feb VE 3 2" xfId="18904" xr:uid="{00000000-0005-0000-0000-0000CF490000}"/>
    <cellStyle name="_OCF after net capex per country_Financial model Feb VE 3 2 2" xfId="18905" xr:uid="{00000000-0005-0000-0000-0000D0490000}"/>
    <cellStyle name="_OCF after net capex per country_Financial model Feb VE 3 3" xfId="18906" xr:uid="{00000000-0005-0000-0000-0000D1490000}"/>
    <cellStyle name="_OCF after net capex per country_Financial model_PE (4)" xfId="18907" xr:uid="{00000000-0005-0000-0000-0000D2490000}"/>
    <cellStyle name="_OCF after net capex per country_Financial model_PE (4) 2" xfId="18908" xr:uid="{00000000-0005-0000-0000-0000D3490000}"/>
    <cellStyle name="_OCF after net capex per country_Financial model_PE (4) 2 2" xfId="18909" xr:uid="{00000000-0005-0000-0000-0000D4490000}"/>
    <cellStyle name="_OCF after net capex per country_Financial model_PE (4) 3" xfId="18910" xr:uid="{00000000-0005-0000-0000-0000D5490000}"/>
    <cellStyle name="_OCF after net capex per country_fx" xfId="18911" xr:uid="{00000000-0005-0000-0000-0000D6490000}"/>
    <cellStyle name="_OCF after net capex per country_fx 2" xfId="18912" xr:uid="{00000000-0005-0000-0000-0000D7490000}"/>
    <cellStyle name="_OCF after net capex per country_fx 2 2" xfId="18913" xr:uid="{00000000-0005-0000-0000-0000D8490000}"/>
    <cellStyle name="_OCF after net capex per country_fx 3" xfId="18914" xr:uid="{00000000-0005-0000-0000-0000D9490000}"/>
    <cellStyle name="_OCF after net capex per country_Fx HILA 09" xfId="18915" xr:uid="{00000000-0005-0000-0000-0000DA490000}"/>
    <cellStyle name="_OCF after net capex per country_Fx HILA 09 2" xfId="18916" xr:uid="{00000000-0005-0000-0000-0000DB490000}"/>
    <cellStyle name="_OCF after net capex per country_Fx HILA 09 2 2" xfId="18917" xr:uid="{00000000-0005-0000-0000-0000DC490000}"/>
    <cellStyle name="_OCF after net capex per country_Fx HILA 09 3" xfId="18918" xr:uid="{00000000-0005-0000-0000-0000DD490000}"/>
    <cellStyle name="_OCF after net capex per country_Gabarito exchange rate" xfId="18919" xr:uid="{00000000-0005-0000-0000-0000DE490000}"/>
    <cellStyle name="_OCF after net capex per country_Gabarito exchange rate 2" xfId="18920" xr:uid="{00000000-0005-0000-0000-0000DF490000}"/>
    <cellStyle name="_OCF after net capex per country_Gabarito exchange rate 2 2" xfId="18921" xr:uid="{00000000-0005-0000-0000-0000E0490000}"/>
    <cellStyle name="_OCF after net capex per country_Gabarito exchange rate 3" xfId="18922" xr:uid="{00000000-0005-0000-0000-0000E1490000}"/>
    <cellStyle name="_OCF after net capex per country_LE 1st Quater V1" xfId="18923" xr:uid="{00000000-0005-0000-0000-0000E2490000}"/>
    <cellStyle name="_OCF after net capex per country_LE 1st Quater V1 2" xfId="18924" xr:uid="{00000000-0005-0000-0000-0000E3490000}"/>
    <cellStyle name="_OCF after net capex per country_LE 1st Quater V1 2 2" xfId="18925" xr:uid="{00000000-0005-0000-0000-0000E4490000}"/>
    <cellStyle name="_OCF after net capex per country_LE 1st Quater V1 3" xfId="18926" xr:uid="{00000000-0005-0000-0000-0000E5490000}"/>
    <cellStyle name="_OCF after net capex per country_Pasta2" xfId="18927" xr:uid="{00000000-0005-0000-0000-0000E6490000}"/>
    <cellStyle name="_OCF after net capex per country_Pasta2 2" xfId="18928" xr:uid="{00000000-0005-0000-0000-0000E7490000}"/>
    <cellStyle name="_OCF after net capex per country_Pasta2 2 2" xfId="18929" xr:uid="{00000000-0005-0000-0000-0000E8490000}"/>
    <cellStyle name="_OCF after net capex per country_Pasta2 3" xfId="18930" xr:uid="{00000000-0005-0000-0000-0000E9490000}"/>
    <cellStyle name="_OCF after net capex per country_PE ML" xfId="18931" xr:uid="{00000000-0005-0000-0000-0000EA490000}"/>
    <cellStyle name="_OCF after net capex per country_PE ML 2" xfId="18932" xr:uid="{00000000-0005-0000-0000-0000EB490000}"/>
    <cellStyle name="_OCF after net capex per country_PE ML 2 2" xfId="18933" xr:uid="{00000000-0005-0000-0000-0000EC490000}"/>
    <cellStyle name="_OCF after net capex per country_PE ML 3" xfId="18934" xr:uid="{00000000-0005-0000-0000-0000ED490000}"/>
    <cellStyle name="_OCF after net capex per country_PE ML_1" xfId="18935" xr:uid="{00000000-0005-0000-0000-0000EE490000}"/>
    <cellStyle name="_OCF after net capex per country_PE ML_1 2" xfId="18936" xr:uid="{00000000-0005-0000-0000-0000EF490000}"/>
    <cellStyle name="_OCF after net capex per country_PE ML_1 2 2" xfId="18937" xr:uid="{00000000-0005-0000-0000-0000F0490000}"/>
    <cellStyle name="_OCF after net capex per country_PE ML_1 3" xfId="18938" xr:uid="{00000000-0005-0000-0000-0000F1490000}"/>
    <cellStyle name="_OCF after net capex per country_PE ML_2" xfId="18939" xr:uid="{00000000-0005-0000-0000-0000F2490000}"/>
    <cellStyle name="_OCF after net capex per country_PE ML_2 2" xfId="18940" xr:uid="{00000000-0005-0000-0000-0000F3490000}"/>
    <cellStyle name="_OCF after net capex per country_PE ML_2 2 2" xfId="18941" xr:uid="{00000000-0005-0000-0000-0000F4490000}"/>
    <cellStyle name="_OCF after net capex per country_PE ML_2 3" xfId="18942" xr:uid="{00000000-0005-0000-0000-0000F5490000}"/>
    <cellStyle name="_OCF after net capex per country_PE USD" xfId="18943" xr:uid="{00000000-0005-0000-0000-0000F6490000}"/>
    <cellStyle name="_OCF after net capex per country_PE USD 2" xfId="18944" xr:uid="{00000000-0005-0000-0000-0000F7490000}"/>
    <cellStyle name="_OCF after net capex per country_PE USD 2 2" xfId="18945" xr:uid="{00000000-0005-0000-0000-0000F8490000}"/>
    <cellStyle name="_OCF after net capex per country_PE USD 3" xfId="18946" xr:uid="{00000000-0005-0000-0000-0000F9490000}"/>
    <cellStyle name="_OCF after net capex per country_RD ML" xfId="18947" xr:uid="{00000000-0005-0000-0000-0000FA490000}"/>
    <cellStyle name="_OCF after net capex per country_RD ML 2" xfId="18948" xr:uid="{00000000-0005-0000-0000-0000FB490000}"/>
    <cellStyle name="_OCF after net capex per country_RD ML 2 2" xfId="18949" xr:uid="{00000000-0005-0000-0000-0000FC490000}"/>
    <cellStyle name="_OCF after net capex per country_RD ML 3" xfId="18950" xr:uid="{00000000-0005-0000-0000-0000FD490000}"/>
    <cellStyle name="_OCF after net capex per country_RD ML_1" xfId="18951" xr:uid="{00000000-0005-0000-0000-0000FE490000}"/>
    <cellStyle name="_OCF after net capex per country_RD ML_1 2" xfId="18952" xr:uid="{00000000-0005-0000-0000-0000FF490000}"/>
    <cellStyle name="_OCF after net capex per country_RD ML_1 2 2" xfId="18953" xr:uid="{00000000-0005-0000-0000-0000004A0000}"/>
    <cellStyle name="_OCF after net capex per country_RD ML_1 3" xfId="18954" xr:uid="{00000000-0005-0000-0000-0000014A0000}"/>
    <cellStyle name="_OCF after net capex per country_RD ML_2" xfId="18955" xr:uid="{00000000-0005-0000-0000-0000024A0000}"/>
    <cellStyle name="_OCF after net capex per country_RD ML_2 2" xfId="18956" xr:uid="{00000000-0005-0000-0000-0000034A0000}"/>
    <cellStyle name="_OCF after net capex per country_RD ML_2 2 2" xfId="18957" xr:uid="{00000000-0005-0000-0000-0000044A0000}"/>
    <cellStyle name="_OCF after net capex per country_RD ML_2 3" xfId="18958" xr:uid="{00000000-0005-0000-0000-0000054A0000}"/>
    <cellStyle name="_OCF after net capex per country_RD Modelo" xfId="18959" xr:uid="{00000000-0005-0000-0000-0000064A0000}"/>
    <cellStyle name="_OCF after net capex per country_RD Modelo 2" xfId="18960" xr:uid="{00000000-0005-0000-0000-0000074A0000}"/>
    <cellStyle name="_OCF after net capex per country_RD Modelo 2 2" xfId="18961" xr:uid="{00000000-0005-0000-0000-0000084A0000}"/>
    <cellStyle name="_OCF after net capex per country_RD Modelo 3" xfId="18962" xr:uid="{00000000-0005-0000-0000-0000094A0000}"/>
    <cellStyle name="_OCF after net capex per country_RD USD" xfId="18963" xr:uid="{00000000-0005-0000-0000-00000A4A0000}"/>
    <cellStyle name="_OCF after net capex per country_RD USD 2" xfId="18964" xr:uid="{00000000-0005-0000-0000-00000B4A0000}"/>
    <cellStyle name="_OCF after net capex per country_RD USD 2 2" xfId="18965" xr:uid="{00000000-0005-0000-0000-00000C4A0000}"/>
    <cellStyle name="_OCF after net capex per country_RD USD 3" xfId="18966" xr:uid="{00000000-0005-0000-0000-00000D4A0000}"/>
    <cellStyle name="_OCF after net capex per country_SDG RD Dic08" xfId="18967" xr:uid="{00000000-0005-0000-0000-00000E4A0000}"/>
    <cellStyle name="_OCF after net capex per country_SDG RD Dic08 2" xfId="18968" xr:uid="{00000000-0005-0000-0000-00000F4A0000}"/>
    <cellStyle name="_OCF after net capex per country_SDG RD Dic08 2 2" xfId="18969" xr:uid="{00000000-0005-0000-0000-0000104A0000}"/>
    <cellStyle name="_OCF after net capex per country_SDG RD Dic08 3" xfId="18970" xr:uid="{00000000-0005-0000-0000-0000114A0000}"/>
    <cellStyle name="_OCF after net capex per country_Sim Ebitda LE 0909 v4" xfId="18971" xr:uid="{00000000-0005-0000-0000-0000124A0000}"/>
    <cellStyle name="_OCF after net capex per country_Sim Ebitda LE 0909 v4 2" xfId="18972" xr:uid="{00000000-0005-0000-0000-0000134A0000}"/>
    <cellStyle name="_OCF after net capex per country_Sim Ebitda LE 0909 v4 2 2" xfId="18973" xr:uid="{00000000-0005-0000-0000-0000144A0000}"/>
    <cellStyle name="_OCF after net capex per country_Sim Ebitda LE 0909 v4 3" xfId="18974" xr:uid="{00000000-0005-0000-0000-0000154A0000}"/>
    <cellStyle name="_OCF after net capex per country_Sim Ebitda Oficial Hila 0809 con LE V2 TC" xfId="18975" xr:uid="{00000000-0005-0000-0000-0000164A0000}"/>
    <cellStyle name="_OCF after net capex per country_Sim Ebitda Oficial Hila 0809 con LE V2 TC 2" xfId="18976" xr:uid="{00000000-0005-0000-0000-0000174A0000}"/>
    <cellStyle name="_OCF after net capex per country_Sim Ebitda Oficial Hila 0809 con LE V2 TC 2 2" xfId="18977" xr:uid="{00000000-0005-0000-0000-0000184A0000}"/>
    <cellStyle name="_OCF after net capex per country_Sim Ebitda Oficial Hila 0809 con LE V2 TC 3" xfId="18978" xr:uid="{00000000-0005-0000-0000-0000194A0000}"/>
    <cellStyle name="_OCF after net capex per country_sim-call-27.10.08" xfId="18979" xr:uid="{00000000-0005-0000-0000-00001A4A0000}"/>
    <cellStyle name="_OCF after net capex per country_sim-call-27.10.08 2" xfId="18980" xr:uid="{00000000-0005-0000-0000-00001B4A0000}"/>
    <cellStyle name="_OCF after net capex per country_sim-call-27.10.08 2 2" xfId="18981" xr:uid="{00000000-0005-0000-0000-00001C4A0000}"/>
    <cellStyle name="_OCF after net capex per country_sim-call-27.10.08 3" xfId="18982" xr:uid="{00000000-0005-0000-0000-00001D4A0000}"/>
    <cellStyle name="_OCF after net capex per country_Simulador EBITDA P1A09  V24" xfId="18983" xr:uid="{00000000-0005-0000-0000-00001E4A0000}"/>
    <cellStyle name="_OCF after net capex per country_Simulador EBITDA P1A09  V24 2" xfId="18984" xr:uid="{00000000-0005-0000-0000-00001F4A0000}"/>
    <cellStyle name="_OCF after net capex per country_Simulador EBITDA P1A09  V24 2 2" xfId="18985" xr:uid="{00000000-0005-0000-0000-0000204A0000}"/>
    <cellStyle name="_OCF after net capex per country_Simulador EBITDA P1A09  V24 3" xfId="18986" xr:uid="{00000000-0005-0000-0000-0000214A0000}"/>
    <cellStyle name="_OCF after net capex per country_Simulador EBITDA P1A09  V3" xfId="18987" xr:uid="{00000000-0005-0000-0000-0000224A0000}"/>
    <cellStyle name="_OCF after net capex per country_Simulador EBITDA P1A09  V3 2" xfId="18988" xr:uid="{00000000-0005-0000-0000-0000234A0000}"/>
    <cellStyle name="_OCF after net capex per country_Simulador EBITDA P1A09  V3 2 2" xfId="18989" xr:uid="{00000000-0005-0000-0000-0000244A0000}"/>
    <cellStyle name="_OCF after net capex per country_Simulador EBITDA P1A09  V3 3" xfId="18990" xr:uid="{00000000-0005-0000-0000-0000254A0000}"/>
    <cellStyle name="_OCF after net capex per country_Simulador EBITDA P1A09  V3_CA ML" xfId="18991" xr:uid="{00000000-0005-0000-0000-0000264A0000}"/>
    <cellStyle name="_OCF after net capex per country_Simulador EBITDA P1A09  V3_CA ML 2" xfId="18992" xr:uid="{00000000-0005-0000-0000-0000274A0000}"/>
    <cellStyle name="_OCF after net capex per country_Simulador EBITDA P1A09  V3_CA ML 2 2" xfId="18993" xr:uid="{00000000-0005-0000-0000-0000284A0000}"/>
    <cellStyle name="_OCF after net capex per country_Simulador EBITDA P1A09  V3_CA ML 3" xfId="18994" xr:uid="{00000000-0005-0000-0000-0000294A0000}"/>
    <cellStyle name="_OCF after net capex per country_Simulador EBITDA P1A09  V3_CA ML_1" xfId="18995" xr:uid="{00000000-0005-0000-0000-00002A4A0000}"/>
    <cellStyle name="_OCF after net capex per country_Simulador EBITDA P1A09  V3_CA ML_1 2" xfId="18996" xr:uid="{00000000-0005-0000-0000-00002B4A0000}"/>
    <cellStyle name="_OCF after net capex per country_Simulador EBITDA P1A09  V3_CA ML_1 2 2" xfId="18997" xr:uid="{00000000-0005-0000-0000-00002C4A0000}"/>
    <cellStyle name="_OCF after net capex per country_Simulador EBITDA P1A09  V3_CA ML_1 3" xfId="18998" xr:uid="{00000000-0005-0000-0000-00002D4A0000}"/>
    <cellStyle name="_OCF after net capex per country_Simulador EBITDA P1A09  V3_CA ML_2" xfId="18999" xr:uid="{00000000-0005-0000-0000-00002E4A0000}"/>
    <cellStyle name="_OCF after net capex per country_Simulador EBITDA P1A09  V3_CA ML_2 2" xfId="19000" xr:uid="{00000000-0005-0000-0000-00002F4A0000}"/>
    <cellStyle name="_OCF after net capex per country_Simulador EBITDA P1A09  V3_CA ML_2 2 2" xfId="19001" xr:uid="{00000000-0005-0000-0000-0000304A0000}"/>
    <cellStyle name="_OCF after net capex per country_Simulador EBITDA P1A09  V3_CA ML_2 3" xfId="19002" xr:uid="{00000000-0005-0000-0000-0000314A0000}"/>
    <cellStyle name="_OCF after net capex per country_Simulador EBITDA P1A09  V3_CA USD" xfId="19003" xr:uid="{00000000-0005-0000-0000-0000324A0000}"/>
    <cellStyle name="_OCF after net capex per country_Simulador EBITDA P1A09  V3_CA USD 2" xfId="19004" xr:uid="{00000000-0005-0000-0000-0000334A0000}"/>
    <cellStyle name="_OCF after net capex per country_Simulador EBITDA P1A09  V3_CA USD 2 2" xfId="19005" xr:uid="{00000000-0005-0000-0000-0000344A0000}"/>
    <cellStyle name="_OCF after net capex per country_Simulador EBITDA P1A09  V3_CA USD 3" xfId="19006" xr:uid="{00000000-0005-0000-0000-0000354A0000}"/>
    <cellStyle name="_OCF after net capex per country_Simulador EBITDA P1A09  V3_EC ML" xfId="19007" xr:uid="{00000000-0005-0000-0000-0000364A0000}"/>
    <cellStyle name="_OCF after net capex per country_Simulador EBITDA P1A09  V3_EC ML 2" xfId="19008" xr:uid="{00000000-0005-0000-0000-0000374A0000}"/>
    <cellStyle name="_OCF after net capex per country_Simulador EBITDA P1A09  V3_EC ML 2 2" xfId="19009" xr:uid="{00000000-0005-0000-0000-0000384A0000}"/>
    <cellStyle name="_OCF after net capex per country_Simulador EBITDA P1A09  V3_EC ML 3" xfId="19010" xr:uid="{00000000-0005-0000-0000-0000394A0000}"/>
    <cellStyle name="_OCF after net capex per country_Simulador EBITDA P1A09  V3_EC ML_1" xfId="19011" xr:uid="{00000000-0005-0000-0000-00003A4A0000}"/>
    <cellStyle name="_OCF after net capex per country_Simulador EBITDA P1A09  V3_EC ML_1 2" xfId="19012" xr:uid="{00000000-0005-0000-0000-00003B4A0000}"/>
    <cellStyle name="_OCF after net capex per country_Simulador EBITDA P1A09  V3_EC ML_1 2 2" xfId="19013" xr:uid="{00000000-0005-0000-0000-00003C4A0000}"/>
    <cellStyle name="_OCF after net capex per country_Simulador EBITDA P1A09  V3_EC ML_1 3" xfId="19014" xr:uid="{00000000-0005-0000-0000-00003D4A0000}"/>
    <cellStyle name="_OCF after net capex per country_Simulador EBITDA P1A09  V3_EC USD" xfId="19015" xr:uid="{00000000-0005-0000-0000-00003E4A0000}"/>
    <cellStyle name="_OCF after net capex per country_Simulador EBITDA P1A09  V3_EC USD 2" xfId="19016" xr:uid="{00000000-0005-0000-0000-00003F4A0000}"/>
    <cellStyle name="_OCF after net capex per country_Simulador EBITDA P1A09  V3_EC USD 2 2" xfId="19017" xr:uid="{00000000-0005-0000-0000-0000404A0000}"/>
    <cellStyle name="_OCF after net capex per country_Simulador EBITDA P1A09  V3_EC USD 3" xfId="19018" xr:uid="{00000000-0005-0000-0000-0000414A0000}"/>
    <cellStyle name="_OCF after net capex per country_Simulador EBITDA P1A09  V3_fx" xfId="19019" xr:uid="{00000000-0005-0000-0000-0000424A0000}"/>
    <cellStyle name="_OCF after net capex per country_Simulador EBITDA P1A09  V3_fx 2" xfId="19020" xr:uid="{00000000-0005-0000-0000-0000434A0000}"/>
    <cellStyle name="_OCF after net capex per country_Simulador EBITDA P1A09  V3_fx 2 2" xfId="19021" xr:uid="{00000000-0005-0000-0000-0000444A0000}"/>
    <cellStyle name="_OCF after net capex per country_Simulador EBITDA P1A09  V3_fx 3" xfId="19022" xr:uid="{00000000-0005-0000-0000-0000454A0000}"/>
    <cellStyle name="_OCF after net capex per country_Simulador EBITDA P1A09  V3_PE ML" xfId="19023" xr:uid="{00000000-0005-0000-0000-0000464A0000}"/>
    <cellStyle name="_OCF after net capex per country_Simulador EBITDA P1A09  V3_PE ML 2" xfId="19024" xr:uid="{00000000-0005-0000-0000-0000474A0000}"/>
    <cellStyle name="_OCF after net capex per country_Simulador EBITDA P1A09  V3_PE ML 2 2" xfId="19025" xr:uid="{00000000-0005-0000-0000-0000484A0000}"/>
    <cellStyle name="_OCF after net capex per country_Simulador EBITDA P1A09  V3_PE ML 3" xfId="19026" xr:uid="{00000000-0005-0000-0000-0000494A0000}"/>
    <cellStyle name="_OCF after net capex per country_Simulador EBITDA P1A09  V3_PE ML_1" xfId="19027" xr:uid="{00000000-0005-0000-0000-00004A4A0000}"/>
    <cellStyle name="_OCF after net capex per country_Simulador EBITDA P1A09  V3_PE ML_1 2" xfId="19028" xr:uid="{00000000-0005-0000-0000-00004B4A0000}"/>
    <cellStyle name="_OCF after net capex per country_Simulador EBITDA P1A09  V3_PE ML_1 2 2" xfId="19029" xr:uid="{00000000-0005-0000-0000-00004C4A0000}"/>
    <cellStyle name="_OCF after net capex per country_Simulador EBITDA P1A09  V3_PE ML_1 3" xfId="19030" xr:uid="{00000000-0005-0000-0000-00004D4A0000}"/>
    <cellStyle name="_OCF after net capex per country_Simulador EBITDA P1A09  V3_PE ML_2" xfId="19031" xr:uid="{00000000-0005-0000-0000-00004E4A0000}"/>
    <cellStyle name="_OCF after net capex per country_Simulador EBITDA P1A09  V3_PE ML_2 2" xfId="19032" xr:uid="{00000000-0005-0000-0000-00004F4A0000}"/>
    <cellStyle name="_OCF after net capex per country_Simulador EBITDA P1A09  V3_PE ML_2 2 2" xfId="19033" xr:uid="{00000000-0005-0000-0000-0000504A0000}"/>
    <cellStyle name="_OCF after net capex per country_Simulador EBITDA P1A09  V3_PE ML_2 3" xfId="19034" xr:uid="{00000000-0005-0000-0000-0000514A0000}"/>
    <cellStyle name="_OCF after net capex per country_Simulador EBITDA P1A09  V3_PE USD" xfId="19035" xr:uid="{00000000-0005-0000-0000-0000524A0000}"/>
    <cellStyle name="_OCF after net capex per country_Simulador EBITDA P1A09  V3_PE USD 2" xfId="19036" xr:uid="{00000000-0005-0000-0000-0000534A0000}"/>
    <cellStyle name="_OCF after net capex per country_Simulador EBITDA P1A09  V3_PE USD 2 2" xfId="19037" xr:uid="{00000000-0005-0000-0000-0000544A0000}"/>
    <cellStyle name="_OCF after net capex per country_Simulador EBITDA P1A09  V3_PE USD 3" xfId="19038" xr:uid="{00000000-0005-0000-0000-0000554A0000}"/>
    <cellStyle name="_OCF after net capex per country_Simulador EBITDA P1A09  V3_RD ML" xfId="19039" xr:uid="{00000000-0005-0000-0000-0000564A0000}"/>
    <cellStyle name="_OCF after net capex per country_Simulador EBITDA P1A09  V3_RD ML 2" xfId="19040" xr:uid="{00000000-0005-0000-0000-0000574A0000}"/>
    <cellStyle name="_OCF after net capex per country_Simulador EBITDA P1A09  V3_RD ML 2 2" xfId="19041" xr:uid="{00000000-0005-0000-0000-0000584A0000}"/>
    <cellStyle name="_OCF after net capex per country_Simulador EBITDA P1A09  V3_RD ML 3" xfId="19042" xr:uid="{00000000-0005-0000-0000-0000594A0000}"/>
    <cellStyle name="_OCF after net capex per country_Simulador EBITDA P1A09  V3_RD ML_1" xfId="19043" xr:uid="{00000000-0005-0000-0000-00005A4A0000}"/>
    <cellStyle name="_OCF after net capex per country_Simulador EBITDA P1A09  V3_RD ML_1 2" xfId="19044" xr:uid="{00000000-0005-0000-0000-00005B4A0000}"/>
    <cellStyle name="_OCF after net capex per country_Simulador EBITDA P1A09  V3_RD ML_1 2 2" xfId="19045" xr:uid="{00000000-0005-0000-0000-00005C4A0000}"/>
    <cellStyle name="_OCF after net capex per country_Simulador EBITDA P1A09  V3_RD ML_1 3" xfId="19046" xr:uid="{00000000-0005-0000-0000-00005D4A0000}"/>
    <cellStyle name="_OCF after net capex per country_Simulador EBITDA P1A09  V3_RD ML_2" xfId="19047" xr:uid="{00000000-0005-0000-0000-00005E4A0000}"/>
    <cellStyle name="_OCF after net capex per country_Simulador EBITDA P1A09  V3_RD ML_2 2" xfId="19048" xr:uid="{00000000-0005-0000-0000-00005F4A0000}"/>
    <cellStyle name="_OCF after net capex per country_Simulador EBITDA P1A09  V3_RD ML_2 2 2" xfId="19049" xr:uid="{00000000-0005-0000-0000-0000604A0000}"/>
    <cellStyle name="_OCF after net capex per country_Simulador EBITDA P1A09  V3_RD ML_2 3" xfId="19050" xr:uid="{00000000-0005-0000-0000-0000614A0000}"/>
    <cellStyle name="_OCF after net capex per country_Simulador EBITDA P1A09  V3_RD USD" xfId="19051" xr:uid="{00000000-0005-0000-0000-0000624A0000}"/>
    <cellStyle name="_OCF after net capex per country_Simulador EBITDA P1A09  V3_RD USD 2" xfId="19052" xr:uid="{00000000-0005-0000-0000-0000634A0000}"/>
    <cellStyle name="_OCF after net capex per country_Simulador EBITDA P1A09  V3_RD USD 2 2" xfId="19053" xr:uid="{00000000-0005-0000-0000-0000644A0000}"/>
    <cellStyle name="_OCF after net capex per country_Simulador EBITDA P1A09  V3_RD USD 3" xfId="19054" xr:uid="{00000000-0005-0000-0000-0000654A0000}"/>
    <cellStyle name="_OCF after net capex per country_Simulador EBITDA P1A09  V9" xfId="19055" xr:uid="{00000000-0005-0000-0000-0000664A0000}"/>
    <cellStyle name="_OCF after net capex per country_Simulador EBITDA P1A09  V9 2" xfId="19056" xr:uid="{00000000-0005-0000-0000-0000674A0000}"/>
    <cellStyle name="_OCF after net capex per country_Simulador EBITDA P1A09  V9 2 2" xfId="19057" xr:uid="{00000000-0005-0000-0000-0000684A0000}"/>
    <cellStyle name="_OCF after net capex per country_Simulador EBITDA P1A09  V9 3" xfId="19058" xr:uid="{00000000-0005-0000-0000-0000694A0000}"/>
    <cellStyle name="_OCF after net capex per country_Simulador EBITDA P1A09  V9_CA ML" xfId="19059" xr:uid="{00000000-0005-0000-0000-00006A4A0000}"/>
    <cellStyle name="_OCF after net capex per country_Simulador EBITDA P1A09  V9_CA ML 2" xfId="19060" xr:uid="{00000000-0005-0000-0000-00006B4A0000}"/>
    <cellStyle name="_OCF after net capex per country_Simulador EBITDA P1A09  V9_CA ML 2 2" xfId="19061" xr:uid="{00000000-0005-0000-0000-00006C4A0000}"/>
    <cellStyle name="_OCF after net capex per country_Simulador EBITDA P1A09  V9_CA ML 3" xfId="19062" xr:uid="{00000000-0005-0000-0000-00006D4A0000}"/>
    <cellStyle name="_OCF after net capex per country_Simulador EBITDA P1A09  V9_CA ML_1" xfId="19063" xr:uid="{00000000-0005-0000-0000-00006E4A0000}"/>
    <cellStyle name="_OCF after net capex per country_Simulador EBITDA P1A09  V9_CA ML_1 2" xfId="19064" xr:uid="{00000000-0005-0000-0000-00006F4A0000}"/>
    <cellStyle name="_OCF after net capex per country_Simulador EBITDA P1A09  V9_CA ML_1 2 2" xfId="19065" xr:uid="{00000000-0005-0000-0000-0000704A0000}"/>
    <cellStyle name="_OCF after net capex per country_Simulador EBITDA P1A09  V9_CA ML_1 3" xfId="19066" xr:uid="{00000000-0005-0000-0000-0000714A0000}"/>
    <cellStyle name="_OCF after net capex per country_Simulador EBITDA P1A09  V9_CA ML_2" xfId="19067" xr:uid="{00000000-0005-0000-0000-0000724A0000}"/>
    <cellStyle name="_OCF after net capex per country_Simulador EBITDA P1A09  V9_CA ML_2 2" xfId="19068" xr:uid="{00000000-0005-0000-0000-0000734A0000}"/>
    <cellStyle name="_OCF after net capex per country_Simulador EBITDA P1A09  V9_CA ML_2 2 2" xfId="19069" xr:uid="{00000000-0005-0000-0000-0000744A0000}"/>
    <cellStyle name="_OCF after net capex per country_Simulador EBITDA P1A09  V9_CA ML_2 3" xfId="19070" xr:uid="{00000000-0005-0000-0000-0000754A0000}"/>
    <cellStyle name="_OCF after net capex per country_Simulador EBITDA P1A09  V9_CA USD" xfId="19071" xr:uid="{00000000-0005-0000-0000-0000764A0000}"/>
    <cellStyle name="_OCF after net capex per country_Simulador EBITDA P1A09  V9_CA USD 2" xfId="19072" xr:uid="{00000000-0005-0000-0000-0000774A0000}"/>
    <cellStyle name="_OCF after net capex per country_Simulador EBITDA P1A09  V9_CA USD 2 2" xfId="19073" xr:uid="{00000000-0005-0000-0000-0000784A0000}"/>
    <cellStyle name="_OCF after net capex per country_Simulador EBITDA P1A09  V9_CA USD 3" xfId="19074" xr:uid="{00000000-0005-0000-0000-0000794A0000}"/>
    <cellStyle name="_OCF after net capex per country_Simulador EBITDA P1A09  V9_EC ML" xfId="19075" xr:uid="{00000000-0005-0000-0000-00007A4A0000}"/>
    <cellStyle name="_OCF after net capex per country_Simulador EBITDA P1A09  V9_EC ML 2" xfId="19076" xr:uid="{00000000-0005-0000-0000-00007B4A0000}"/>
    <cellStyle name="_OCF after net capex per country_Simulador EBITDA P1A09  V9_EC ML 2 2" xfId="19077" xr:uid="{00000000-0005-0000-0000-00007C4A0000}"/>
    <cellStyle name="_OCF after net capex per country_Simulador EBITDA P1A09  V9_EC ML 3" xfId="19078" xr:uid="{00000000-0005-0000-0000-00007D4A0000}"/>
    <cellStyle name="_OCF after net capex per country_Simulador EBITDA P1A09  V9_EC ML_1" xfId="19079" xr:uid="{00000000-0005-0000-0000-00007E4A0000}"/>
    <cellStyle name="_OCF after net capex per country_Simulador EBITDA P1A09  V9_EC ML_1 2" xfId="19080" xr:uid="{00000000-0005-0000-0000-00007F4A0000}"/>
    <cellStyle name="_OCF after net capex per country_Simulador EBITDA P1A09  V9_EC ML_1 2 2" xfId="19081" xr:uid="{00000000-0005-0000-0000-0000804A0000}"/>
    <cellStyle name="_OCF after net capex per country_Simulador EBITDA P1A09  V9_EC ML_1 3" xfId="19082" xr:uid="{00000000-0005-0000-0000-0000814A0000}"/>
    <cellStyle name="_OCF after net capex per country_Simulador EBITDA P1A09  V9_EC USD" xfId="19083" xr:uid="{00000000-0005-0000-0000-0000824A0000}"/>
    <cellStyle name="_OCF after net capex per country_Simulador EBITDA P1A09  V9_EC USD 2" xfId="19084" xr:uid="{00000000-0005-0000-0000-0000834A0000}"/>
    <cellStyle name="_OCF after net capex per country_Simulador EBITDA P1A09  V9_EC USD 2 2" xfId="19085" xr:uid="{00000000-0005-0000-0000-0000844A0000}"/>
    <cellStyle name="_OCF after net capex per country_Simulador EBITDA P1A09  V9_EC USD 3" xfId="19086" xr:uid="{00000000-0005-0000-0000-0000854A0000}"/>
    <cellStyle name="_OCF after net capex per country_Simulador EBITDA P1A09  V9_fx" xfId="19087" xr:uid="{00000000-0005-0000-0000-0000864A0000}"/>
    <cellStyle name="_OCF after net capex per country_Simulador EBITDA P1A09  V9_fx 2" xfId="19088" xr:uid="{00000000-0005-0000-0000-0000874A0000}"/>
    <cellStyle name="_OCF after net capex per country_Simulador EBITDA P1A09  V9_fx 2 2" xfId="19089" xr:uid="{00000000-0005-0000-0000-0000884A0000}"/>
    <cellStyle name="_OCF after net capex per country_Simulador EBITDA P1A09  V9_fx 3" xfId="19090" xr:uid="{00000000-0005-0000-0000-0000894A0000}"/>
    <cellStyle name="_OCF after net capex per country_Simulador EBITDA P1A09  V9_PE ML" xfId="19091" xr:uid="{00000000-0005-0000-0000-00008A4A0000}"/>
    <cellStyle name="_OCF after net capex per country_Simulador EBITDA P1A09  V9_PE ML 2" xfId="19092" xr:uid="{00000000-0005-0000-0000-00008B4A0000}"/>
    <cellStyle name="_OCF after net capex per country_Simulador EBITDA P1A09  V9_PE ML 2 2" xfId="19093" xr:uid="{00000000-0005-0000-0000-00008C4A0000}"/>
    <cellStyle name="_OCF after net capex per country_Simulador EBITDA P1A09  V9_PE ML 3" xfId="19094" xr:uid="{00000000-0005-0000-0000-00008D4A0000}"/>
    <cellStyle name="_OCF after net capex per country_Simulador EBITDA P1A09  V9_PE ML_1" xfId="19095" xr:uid="{00000000-0005-0000-0000-00008E4A0000}"/>
    <cellStyle name="_OCF after net capex per country_Simulador EBITDA P1A09  V9_PE ML_1 2" xfId="19096" xr:uid="{00000000-0005-0000-0000-00008F4A0000}"/>
    <cellStyle name="_OCF after net capex per country_Simulador EBITDA P1A09  V9_PE ML_1 2 2" xfId="19097" xr:uid="{00000000-0005-0000-0000-0000904A0000}"/>
    <cellStyle name="_OCF after net capex per country_Simulador EBITDA P1A09  V9_PE ML_1 3" xfId="19098" xr:uid="{00000000-0005-0000-0000-0000914A0000}"/>
    <cellStyle name="_OCF after net capex per country_Simulador EBITDA P1A09  V9_PE ML_2" xfId="19099" xr:uid="{00000000-0005-0000-0000-0000924A0000}"/>
    <cellStyle name="_OCF after net capex per country_Simulador EBITDA P1A09  V9_PE ML_2 2" xfId="19100" xr:uid="{00000000-0005-0000-0000-0000934A0000}"/>
    <cellStyle name="_OCF after net capex per country_Simulador EBITDA P1A09  V9_PE ML_2 2 2" xfId="19101" xr:uid="{00000000-0005-0000-0000-0000944A0000}"/>
    <cellStyle name="_OCF after net capex per country_Simulador EBITDA P1A09  V9_PE ML_2 3" xfId="19102" xr:uid="{00000000-0005-0000-0000-0000954A0000}"/>
    <cellStyle name="_OCF after net capex per country_Simulador EBITDA P1A09  V9_PE USD" xfId="19103" xr:uid="{00000000-0005-0000-0000-0000964A0000}"/>
    <cellStyle name="_OCF after net capex per country_Simulador EBITDA P1A09  V9_PE USD 2" xfId="19104" xr:uid="{00000000-0005-0000-0000-0000974A0000}"/>
    <cellStyle name="_OCF after net capex per country_Simulador EBITDA P1A09  V9_PE USD 2 2" xfId="19105" xr:uid="{00000000-0005-0000-0000-0000984A0000}"/>
    <cellStyle name="_OCF after net capex per country_Simulador EBITDA P1A09  V9_PE USD 3" xfId="19106" xr:uid="{00000000-0005-0000-0000-0000994A0000}"/>
    <cellStyle name="_OCF after net capex per country_Simulador EBITDA P1A09  V9_RD ML" xfId="19107" xr:uid="{00000000-0005-0000-0000-00009A4A0000}"/>
    <cellStyle name="_OCF after net capex per country_Simulador EBITDA P1A09  V9_RD ML 2" xfId="19108" xr:uid="{00000000-0005-0000-0000-00009B4A0000}"/>
    <cellStyle name="_OCF after net capex per country_Simulador EBITDA P1A09  V9_RD ML 2 2" xfId="19109" xr:uid="{00000000-0005-0000-0000-00009C4A0000}"/>
    <cellStyle name="_OCF after net capex per country_Simulador EBITDA P1A09  V9_RD ML 3" xfId="19110" xr:uid="{00000000-0005-0000-0000-00009D4A0000}"/>
    <cellStyle name="_OCF after net capex per country_Simulador EBITDA P1A09  V9_RD ML_1" xfId="19111" xr:uid="{00000000-0005-0000-0000-00009E4A0000}"/>
    <cellStyle name="_OCF after net capex per country_Simulador EBITDA P1A09  V9_RD ML_1 2" xfId="19112" xr:uid="{00000000-0005-0000-0000-00009F4A0000}"/>
    <cellStyle name="_OCF after net capex per country_Simulador EBITDA P1A09  V9_RD ML_1 2 2" xfId="19113" xr:uid="{00000000-0005-0000-0000-0000A04A0000}"/>
    <cellStyle name="_OCF after net capex per country_Simulador EBITDA P1A09  V9_RD ML_1 3" xfId="19114" xr:uid="{00000000-0005-0000-0000-0000A14A0000}"/>
    <cellStyle name="_OCF after net capex per country_Simulador EBITDA P1A09  V9_RD ML_2" xfId="19115" xr:uid="{00000000-0005-0000-0000-0000A24A0000}"/>
    <cellStyle name="_OCF after net capex per country_Simulador EBITDA P1A09  V9_RD ML_2 2" xfId="19116" xr:uid="{00000000-0005-0000-0000-0000A34A0000}"/>
    <cellStyle name="_OCF after net capex per country_Simulador EBITDA P1A09  V9_RD ML_2 2 2" xfId="19117" xr:uid="{00000000-0005-0000-0000-0000A44A0000}"/>
    <cellStyle name="_OCF after net capex per country_Simulador EBITDA P1A09  V9_RD ML_2 3" xfId="19118" xr:uid="{00000000-0005-0000-0000-0000A54A0000}"/>
    <cellStyle name="_OCF after net capex per country_Simulador EBITDA P1A09  V9_RD USD" xfId="19119" xr:uid="{00000000-0005-0000-0000-0000A64A0000}"/>
    <cellStyle name="_OCF after net capex per country_Simulador EBITDA P1A09  V9_RD USD 2" xfId="19120" xr:uid="{00000000-0005-0000-0000-0000A74A0000}"/>
    <cellStyle name="_OCF after net capex per country_Simulador EBITDA P1A09  V9_RD USD 2 2" xfId="19121" xr:uid="{00000000-0005-0000-0000-0000A84A0000}"/>
    <cellStyle name="_OCF after net capex per country_Simulador EBITDA P1A09  V9_RD USD 3" xfId="19122" xr:uid="{00000000-0005-0000-0000-0000A94A0000}"/>
    <cellStyle name="_OCF after net capex per country_Simulador LE 3m vs Plan09" xfId="19123" xr:uid="{00000000-0005-0000-0000-0000AA4A0000}"/>
    <cellStyle name="_OCF after net capex per country_Simulador LE 3m vs Plan09 2" xfId="19124" xr:uid="{00000000-0005-0000-0000-0000AB4A0000}"/>
    <cellStyle name="_OCF after net capex per country_Simulador LE 3m vs Plan09 2 2" xfId="19125" xr:uid="{00000000-0005-0000-0000-0000AC4A0000}"/>
    <cellStyle name="_OCF after net capex per country_Simulador LE 3m vs Plan09 3" xfId="19126" xr:uid="{00000000-0005-0000-0000-0000AD4A0000}"/>
    <cellStyle name="_OCF after net capex per country_TENDENCIA V109" xfId="19127" xr:uid="{00000000-0005-0000-0000-0000AE4A0000}"/>
    <cellStyle name="_OCF after net capex per country_TENDENCIA V109 2" xfId="19128" xr:uid="{00000000-0005-0000-0000-0000AF4A0000}"/>
    <cellStyle name="_OCF after net capex per country_TENDENCIA V109 2 2" xfId="19129" xr:uid="{00000000-0005-0000-0000-0000B04A0000}"/>
    <cellStyle name="_OCF after net capex per country_TENDENCIA V109 3" xfId="19130" xr:uid="{00000000-0005-0000-0000-0000B14A0000}"/>
    <cellStyle name="_OCF after net capex per country_VE Modelo" xfId="19131" xr:uid="{00000000-0005-0000-0000-0000B24A0000}"/>
    <cellStyle name="_OCF after net capex per country_VE Modelo 2" xfId="19132" xr:uid="{00000000-0005-0000-0000-0000B34A0000}"/>
    <cellStyle name="_OCF after net capex per country_VE Modelo 2 2" xfId="19133" xr:uid="{00000000-0005-0000-0000-0000B44A0000}"/>
    <cellStyle name="_OCF after net capex per country_VE Modelo 3" xfId="19134" xr:uid="{00000000-0005-0000-0000-0000B54A0000}"/>
    <cellStyle name="_OCF after net capex per country_WF Ebitda Sep09" xfId="19135" xr:uid="{00000000-0005-0000-0000-0000B64A0000}"/>
    <cellStyle name="_OCF after net capex per country_WF Ebitda Sep09 2" xfId="19136" xr:uid="{00000000-0005-0000-0000-0000B74A0000}"/>
    <cellStyle name="_OCF after net capex per country_WF Ebitda Sep09 2 2" xfId="19137" xr:uid="{00000000-0005-0000-0000-0000B84A0000}"/>
    <cellStyle name="_OCF after net capex per country_WF Ebitda Sep09 3" xfId="19138" xr:uid="{00000000-0005-0000-0000-0000B94A0000}"/>
    <cellStyle name="_OCF after net capex per country_ZBB Budget 2009 Decks v2 china" xfId="19139" xr:uid="{00000000-0005-0000-0000-0000BA4A0000}"/>
    <cellStyle name="_OCF after net capex per country_ZBB Budget 2009 Decks v2 china 2" xfId="19140" xr:uid="{00000000-0005-0000-0000-0000BB4A0000}"/>
    <cellStyle name="_OCF after net capex per country_ZBB Budget 2009 Decks v2 china 2 2" xfId="19141" xr:uid="{00000000-0005-0000-0000-0000BC4A0000}"/>
    <cellStyle name="_OCF after net capex per country_ZBB Budget 2009 Decks v2 china 3" xfId="19142" xr:uid="{00000000-0005-0000-0000-0000BD4A0000}"/>
    <cellStyle name="_OCF after net capex per country_ZBB standard Template Korea_081105" xfId="19143" xr:uid="{00000000-0005-0000-0000-0000BE4A0000}"/>
    <cellStyle name="_OCF after net capex per country_ZBB standard Template Korea_081105 2" xfId="19144" xr:uid="{00000000-0005-0000-0000-0000BF4A0000}"/>
    <cellStyle name="_OCF after net capex per country_ZBB standard Template Korea_081105 2 2" xfId="19145" xr:uid="{00000000-0005-0000-0000-0000C04A0000}"/>
    <cellStyle name="_OCF after net capex per country_ZBB standard Template Korea_081105 3" xfId="19146" xr:uid="{00000000-0005-0000-0000-0000C14A0000}"/>
    <cellStyle name="_Output Chris" xfId="19147" xr:uid="{00000000-0005-0000-0000-0000C24A0000}"/>
    <cellStyle name="_Output Chris 2" xfId="19148" xr:uid="{00000000-0005-0000-0000-0000C34A0000}"/>
    <cellStyle name="_P1A Ecuador R$" xfId="19149" xr:uid="{00000000-0005-0000-0000-0000C44A0000}"/>
    <cellStyle name="_P1A Ecuador R$ 2" xfId="19150" xr:uid="{00000000-0005-0000-0000-0000C54A0000}"/>
    <cellStyle name="_P1A Ecuador R$ 2 2" xfId="19151" xr:uid="{00000000-0005-0000-0000-0000C64A0000}"/>
    <cellStyle name="_P1A Ecuador R$ 2 2 2" xfId="19152" xr:uid="{00000000-0005-0000-0000-0000C74A0000}"/>
    <cellStyle name="_P1A Ecuador R$ 2 3" xfId="19153" xr:uid="{00000000-0005-0000-0000-0000C84A0000}"/>
    <cellStyle name="_P1A Ecuador R$ 3" xfId="19154" xr:uid="{00000000-0005-0000-0000-0000C94A0000}"/>
    <cellStyle name="_P1A Ecuador R$ 3 2" xfId="19155" xr:uid="{00000000-0005-0000-0000-0000CA4A0000}"/>
    <cellStyle name="_P1A Ecuador R$ 4" xfId="19156" xr:uid="{00000000-0005-0000-0000-0000CB4A0000}"/>
    <cellStyle name="_Panel SDG Supply Jul 2008 (Eva)" xfId="19157" xr:uid="{00000000-0005-0000-0000-0000CC4A0000}"/>
    <cellStyle name="_Panel SDG Supply Jul 2008 (Eva) 2" xfId="19158" xr:uid="{00000000-0005-0000-0000-0000CD4A0000}"/>
    <cellStyle name="_Panel SDG Supply Jul 2008 (Eva) 2 2" xfId="19159" xr:uid="{00000000-0005-0000-0000-0000CE4A0000}"/>
    <cellStyle name="_Panel SDG Supply Jul 2008 (Eva) 3" xfId="19160" xr:uid="{00000000-0005-0000-0000-0000CF4A0000}"/>
    <cellStyle name="_paraguay" xfId="19161" xr:uid="{00000000-0005-0000-0000-0000D04A0000}"/>
    <cellStyle name="_paraguay 2" xfId="19162" xr:uid="{00000000-0005-0000-0000-0000D14A0000}"/>
    <cellStyle name="_paraguay 2 2" xfId="19163" xr:uid="{00000000-0005-0000-0000-0000D24A0000}"/>
    <cellStyle name="_paraguay 3" xfId="19164" xr:uid="{00000000-0005-0000-0000-0000D34A0000}"/>
    <cellStyle name="_Pasta1" xfId="19165" xr:uid="{00000000-0005-0000-0000-0000D44A0000}"/>
    <cellStyle name="_Pasta1 2" xfId="19166" xr:uid="{00000000-0005-0000-0000-0000D54A0000}"/>
    <cellStyle name="_Pasta1 3" xfId="19167" xr:uid="{00000000-0005-0000-0000-0000D64A0000}"/>
    <cellStyle name="_Pasta2" xfId="19168" xr:uid="{00000000-0005-0000-0000-0000D74A0000}"/>
    <cellStyle name="_Pasta2 2" xfId="19169" xr:uid="{00000000-0005-0000-0000-0000D84A0000}"/>
    <cellStyle name="_Pasta2 2 2" xfId="19170" xr:uid="{00000000-0005-0000-0000-0000D94A0000}"/>
    <cellStyle name="_Pasta2 3" xfId="19171" xr:uid="{00000000-0005-0000-0000-0000DA4A0000}"/>
    <cellStyle name="_PDCA MACO Peru Final" xfId="19172" xr:uid="{00000000-0005-0000-0000-0000DB4A0000}"/>
    <cellStyle name="_PDCA MACO Peru Final 2" xfId="19173" xr:uid="{00000000-0005-0000-0000-0000DC4A0000}"/>
    <cellStyle name="_PDCA MACO Peru Final 2 2" xfId="19174" xr:uid="{00000000-0005-0000-0000-0000DD4A0000}"/>
    <cellStyle name="_PDCA MACO Peru Final 3" xfId="19175" xr:uid="{00000000-0005-0000-0000-0000DE4A0000}"/>
    <cellStyle name="_PDCA PE 08 Ebitda Positivo" xfId="19176" xr:uid="{00000000-0005-0000-0000-0000DF4A0000}"/>
    <cellStyle name="_PDCA PE 08 Ebitda Positivo 2" xfId="19177" xr:uid="{00000000-0005-0000-0000-0000E04A0000}"/>
    <cellStyle name="_PDCA PE 08 Ebitda Positivo 2 2" xfId="19178" xr:uid="{00000000-0005-0000-0000-0000E14A0000}"/>
    <cellStyle name="_PDCA PE 08 Ebitda Positivo 3" xfId="19179" xr:uid="{00000000-0005-0000-0000-0000E24A0000}"/>
    <cellStyle name="_PDCA Ventas Tend 08" xfId="19180" xr:uid="{00000000-0005-0000-0000-0000E34A0000}"/>
    <cellStyle name="_PDCA Ventas Tend 08 2" xfId="19181" xr:uid="{00000000-0005-0000-0000-0000E44A0000}"/>
    <cellStyle name="_PDCA Ventas Tend 08 2 2" xfId="19182" xr:uid="{00000000-0005-0000-0000-0000E54A0000}"/>
    <cellStyle name="_PDCA Ventas Tend 08 3" xfId="19183" xr:uid="{00000000-0005-0000-0000-0000E64A0000}"/>
    <cellStyle name="_Percent" xfId="19184" xr:uid="{00000000-0005-0000-0000-0000E74A0000}"/>
    <cellStyle name="_Percent 2" xfId="19185" xr:uid="{00000000-0005-0000-0000-0000E84A0000}"/>
    <cellStyle name="_Percent 2 2" xfId="19186" xr:uid="{00000000-0005-0000-0000-0000E94A0000}"/>
    <cellStyle name="_Percent 3" xfId="19187" xr:uid="{00000000-0005-0000-0000-0000EA4A0000}"/>
    <cellStyle name="_Percent_Newspaper Comps - New" xfId="19188" xr:uid="{00000000-0005-0000-0000-0000EB4A0000}"/>
    <cellStyle name="_Percent_Newspaper Comps - New 2" xfId="19189" xr:uid="{00000000-0005-0000-0000-0000EC4A0000}"/>
    <cellStyle name="_Percent_Newspaper Comps - New 2 2" xfId="19190" xr:uid="{00000000-0005-0000-0000-0000ED4A0000}"/>
    <cellStyle name="_Percent_Newspaper Comps - New 3" xfId="19191" xr:uid="{00000000-0005-0000-0000-0000EE4A0000}"/>
    <cellStyle name="_Percent_pro_forma_model_paris" xfId="19192" xr:uid="{00000000-0005-0000-0000-0000EF4A0000}"/>
    <cellStyle name="_Percent_pro_forma_model_paris 2" xfId="19193" xr:uid="{00000000-0005-0000-0000-0000F04A0000}"/>
    <cellStyle name="_Percent_pro_forma_model_paris 2 2" xfId="19194" xr:uid="{00000000-0005-0000-0000-0000F14A0000}"/>
    <cellStyle name="_Percent_pro_forma_model_paris 3" xfId="19195" xr:uid="{00000000-0005-0000-0000-0000F24A0000}"/>
    <cellStyle name="_Percent_pro_forma_model_paris_Newspaper Comps - New" xfId="19196" xr:uid="{00000000-0005-0000-0000-0000F34A0000}"/>
    <cellStyle name="_Percent_pro_forma_model_paris_president_comps_3" xfId="19197" xr:uid="{00000000-0005-0000-0000-0000F44A0000}"/>
    <cellStyle name="_Percent_pro_forma_model_paris_president_comps_3 2" xfId="19198" xr:uid="{00000000-0005-0000-0000-0000F54A0000}"/>
    <cellStyle name="_PercentSpace" xfId="19199" xr:uid="{00000000-0005-0000-0000-0000F64A0000}"/>
    <cellStyle name="_PercentSpace_Newspaper Comps - New" xfId="19200" xr:uid="{00000000-0005-0000-0000-0000F74A0000}"/>
    <cellStyle name="_PercentSpace_pro_forma_model_paris" xfId="19201" xr:uid="{00000000-0005-0000-0000-0000F84A0000}"/>
    <cellStyle name="_PercentSpace_pro_forma_model_paris_Newspaper Comps - New" xfId="19202" xr:uid="{00000000-0005-0000-0000-0000F94A0000}"/>
    <cellStyle name="_PercentSpace_pro_forma_model_paris_Newspaper Comps - New_Total Model2" xfId="19203" xr:uid="{00000000-0005-0000-0000-0000FA4A0000}"/>
    <cellStyle name="_Plan Accion Suministros RD (2)" xfId="19204" xr:uid="{00000000-0005-0000-0000-0000FB4A0000}"/>
    <cellStyle name="_Plan Accion Suministros RD (2) 2" xfId="19205" xr:uid="{00000000-0005-0000-0000-0000FC4A0000}"/>
    <cellStyle name="_Plan Accion Suministros RD (2) 2 2" xfId="19206" xr:uid="{00000000-0005-0000-0000-0000FD4A0000}"/>
    <cellStyle name="_Plan Accion Suministros RD (2) 3" xfId="19207" xr:uid="{00000000-0005-0000-0000-0000FE4A0000}"/>
    <cellStyle name="_Plan1" xfId="19208" xr:uid="{00000000-0005-0000-0000-0000FF4A0000}"/>
    <cellStyle name="_Plan1 2" xfId="19209" xr:uid="{00000000-0005-0000-0000-0000004B0000}"/>
    <cellStyle name="_Plan1 2 2" xfId="19210" xr:uid="{00000000-0005-0000-0000-0000014B0000}"/>
    <cellStyle name="_Plan1 3" xfId="19211" xr:uid="{00000000-0005-0000-0000-0000024B0000}"/>
    <cellStyle name="_Principais impactos Out08" xfId="19212" xr:uid="{00000000-0005-0000-0000-0000034B0000}"/>
    <cellStyle name="_Principais impactos Out08 2" xfId="19213" xr:uid="{00000000-0005-0000-0000-0000044B0000}"/>
    <cellStyle name="_PROMEDIO 4 SEMANAS" xfId="19214" xr:uid="{00000000-0005-0000-0000-0000054B0000}"/>
    <cellStyle name="_PROMEDIO 4 SEMANAS 2" xfId="19215" xr:uid="{00000000-0005-0000-0000-0000064B0000}"/>
    <cellStyle name="_PROMEDIO 4 SEMANAS 2 2" xfId="19216" xr:uid="{00000000-0005-0000-0000-0000074B0000}"/>
    <cellStyle name="_PROMEDIO 4 SEMANAS 3" xfId="19217" xr:uid="{00000000-0005-0000-0000-0000084B0000}"/>
    <cellStyle name="_PROMEDIO 4 SEMANAS_Volumen 1RF 2007 3ra version" xfId="19218" xr:uid="{00000000-0005-0000-0000-0000094B0000}"/>
    <cellStyle name="_PROMEDIO 4 SEMANAS_Volumen 1RF 2007 3ra version 2" xfId="19219" xr:uid="{00000000-0005-0000-0000-00000A4B0000}"/>
    <cellStyle name="_PROMEDIO 4 SEMANAS_Volumen 1RF 2007 3ra version 2 2" xfId="19220" xr:uid="{00000000-0005-0000-0000-00000B4B0000}"/>
    <cellStyle name="_PROMEDIO 4 SEMANAS_Volumen 1RF 2007 3ra version 3" xfId="19221" xr:uid="{00000000-0005-0000-0000-00000C4B0000}"/>
    <cellStyle name="_PROPOSED ANCAM SVC DEVIATIONS REPORT(X)21" xfId="19222" xr:uid="{00000000-0005-0000-0000-00000D4B0000}"/>
    <cellStyle name="_PROPOSED ANCAM SVC DEVIATIONS REPORT(X)21 2" xfId="19223" xr:uid="{00000000-0005-0000-0000-00000E4B0000}"/>
    <cellStyle name="_PROPOSED ANCAM SVC DEVIATIONS REPORT(X)21 2 2" xfId="19224" xr:uid="{00000000-0005-0000-0000-00000F4B0000}"/>
    <cellStyle name="_PROPOSED ANCAM SVC DEVIATIONS REPORT(X)21 3" xfId="19225" xr:uid="{00000000-0005-0000-0000-0000104B0000}"/>
    <cellStyle name="_QLP Perú 2008" xfId="19226" xr:uid="{00000000-0005-0000-0000-0000114B0000}"/>
    <cellStyle name="_QLP Perú 2008 2" xfId="19227" xr:uid="{00000000-0005-0000-0000-0000124B0000}"/>
    <cellStyle name="_QLP Perú 2008 2 2" xfId="19228" xr:uid="{00000000-0005-0000-0000-0000134B0000}"/>
    <cellStyle name="_QLP Perú 2008 3" xfId="19229" xr:uid="{00000000-0005-0000-0000-0000144B0000}"/>
    <cellStyle name="_Rates" xfId="19230" xr:uid="{00000000-0005-0000-0000-0000154B0000}"/>
    <cellStyle name="_Rates 2" xfId="19231" xr:uid="{00000000-0005-0000-0000-0000164B0000}"/>
    <cellStyle name="_Rates 2 2" xfId="19232" xr:uid="{00000000-0005-0000-0000-0000174B0000}"/>
    <cellStyle name="_Rates 2 2 2" xfId="19233" xr:uid="{00000000-0005-0000-0000-0000184B0000}"/>
    <cellStyle name="_Rates 2 3" xfId="19234" xr:uid="{00000000-0005-0000-0000-0000194B0000}"/>
    <cellStyle name="_Rates 3" xfId="19235" xr:uid="{00000000-0005-0000-0000-00001A4B0000}"/>
    <cellStyle name="_Rates 3 2" xfId="19236" xr:uid="{00000000-0005-0000-0000-00001B4B0000}"/>
    <cellStyle name="_Rates 4" xfId="19237" xr:uid="{00000000-0005-0000-0000-00001C4B0000}"/>
    <cellStyle name="_Rates_Copy of 081027 ZBB Budget 2009 Decks - People_Cherry_V4" xfId="19238" xr:uid="{00000000-0005-0000-0000-00001D4B0000}"/>
    <cellStyle name="_Rates_Copy of 081027 ZBB Budget 2009 Decks - People_Cherry_V4 2" xfId="19239" xr:uid="{00000000-0005-0000-0000-00001E4B0000}"/>
    <cellStyle name="_Rates_Copy of 081027 ZBB Budget 2009 Decks - People_Cherry_V4 2 2" xfId="19240" xr:uid="{00000000-0005-0000-0000-00001F4B0000}"/>
    <cellStyle name="_Rates_Copy of 081027 ZBB Budget 2009 Decks - People_Cherry_V4 2 2 2" xfId="19241" xr:uid="{00000000-0005-0000-0000-0000204B0000}"/>
    <cellStyle name="_Rates_Copy of 081027 ZBB Budget 2009 Decks - People_Cherry_V4 2 3" xfId="19242" xr:uid="{00000000-0005-0000-0000-0000214B0000}"/>
    <cellStyle name="_Rates_Copy of 081027 ZBB Budget 2009 Decks - People_Cherry_V4 3" xfId="19243" xr:uid="{00000000-0005-0000-0000-0000224B0000}"/>
    <cellStyle name="_Rates_Copy of 081027 ZBB Budget 2009 Decks - People_Cherry_V4 3 2" xfId="19244" xr:uid="{00000000-0005-0000-0000-0000234B0000}"/>
    <cellStyle name="_Rates_Copy of 081027 ZBB Budget 2009 Decks - People_Cherry_V4 4" xfId="19245" xr:uid="{00000000-0005-0000-0000-0000244B0000}"/>
    <cellStyle name="_Rates_ZBB Budget 2009 Decks" xfId="19246" xr:uid="{00000000-0005-0000-0000-0000254B0000}"/>
    <cellStyle name="_Rates_ZBB Budget 2009 Decks 2" xfId="19247" xr:uid="{00000000-0005-0000-0000-0000264B0000}"/>
    <cellStyle name="_Rates_ZBB Budget 2009 Decks 2 2" xfId="19248" xr:uid="{00000000-0005-0000-0000-0000274B0000}"/>
    <cellStyle name="_Rates_ZBB Budget 2009 Decks 2 2 2" xfId="19249" xr:uid="{00000000-0005-0000-0000-0000284B0000}"/>
    <cellStyle name="_Rates_ZBB Budget 2009 Decks 2 3" xfId="19250" xr:uid="{00000000-0005-0000-0000-0000294B0000}"/>
    <cellStyle name="_Rates_ZBB Budget 2009 Decks 3" xfId="19251" xr:uid="{00000000-0005-0000-0000-00002A4B0000}"/>
    <cellStyle name="_Rates_ZBB Budget 2009 Decks 3 2" xfId="19252" xr:uid="{00000000-0005-0000-0000-00002B4B0000}"/>
    <cellStyle name="_Rates_ZBB Budget 2009 Decks 4" xfId="19253" xr:uid="{00000000-0005-0000-0000-00002C4B0000}"/>
    <cellStyle name="_Rates_ZBB Budget 2009 Decks_with Korea Scope in (Only LE)" xfId="19254" xr:uid="{00000000-0005-0000-0000-00002D4B0000}"/>
    <cellStyle name="_Rates_ZBB Budget 2009 Decks_with Korea Scope in (Only LE) (2)" xfId="19255" xr:uid="{00000000-0005-0000-0000-00002E4B0000}"/>
    <cellStyle name="_Rates_ZBB Budget 2009 Decks_with Korea Scope in (Only LE) (2) 2" xfId="19256" xr:uid="{00000000-0005-0000-0000-00002F4B0000}"/>
    <cellStyle name="_Rates_ZBB Budget 2009 Decks_with Korea Scope in (Only LE) (2) 2 2" xfId="19257" xr:uid="{00000000-0005-0000-0000-0000304B0000}"/>
    <cellStyle name="_Rates_ZBB Budget 2009 Decks_with Korea Scope in (Only LE) (2) 2 2 2" xfId="19258" xr:uid="{00000000-0005-0000-0000-0000314B0000}"/>
    <cellStyle name="_Rates_ZBB Budget 2009 Decks_with Korea Scope in (Only LE) (2) 2 3" xfId="19259" xr:uid="{00000000-0005-0000-0000-0000324B0000}"/>
    <cellStyle name="_Rates_ZBB Budget 2009 Decks_with Korea Scope in (Only LE) (2) 3" xfId="19260" xr:uid="{00000000-0005-0000-0000-0000334B0000}"/>
    <cellStyle name="_Rates_ZBB Budget 2009 Decks_with Korea Scope in (Only LE) (2) 3 2" xfId="19261" xr:uid="{00000000-0005-0000-0000-0000344B0000}"/>
    <cellStyle name="_Rates_ZBB Budget 2009 Decks_with Korea Scope in (Only LE) (2) 4" xfId="19262" xr:uid="{00000000-0005-0000-0000-0000354B0000}"/>
    <cellStyle name="_Rates_ZBB Budget 2009 Decks_with Korea Scope in (Only LE) 2" xfId="19263" xr:uid="{00000000-0005-0000-0000-0000364B0000}"/>
    <cellStyle name="_Rates_ZBB Budget 2009 Decks_with Korea Scope in (Only LE) 2 2" xfId="19264" xr:uid="{00000000-0005-0000-0000-0000374B0000}"/>
    <cellStyle name="_Rates_ZBB Budget 2009 Decks_with Korea Scope in (Only LE) 2 2 2" xfId="19265" xr:uid="{00000000-0005-0000-0000-0000384B0000}"/>
    <cellStyle name="_Rates_ZBB Budget 2009 Decks_with Korea Scope in (Only LE) 2 3" xfId="19266" xr:uid="{00000000-0005-0000-0000-0000394B0000}"/>
    <cellStyle name="_Rates_ZBB Budget 2009 Decks_with Korea Scope in (Only LE) 3" xfId="19267" xr:uid="{00000000-0005-0000-0000-00003A4B0000}"/>
    <cellStyle name="_Rates_ZBB Budget 2009 Decks_with Korea Scope in (Only LE) 3 2" xfId="19268" xr:uid="{00000000-0005-0000-0000-00003B4B0000}"/>
    <cellStyle name="_Rates_ZBB Budget 2009 Decks_with Korea Scope in (Only LE) 4" xfId="19269" xr:uid="{00000000-0005-0000-0000-00003C4B0000}"/>
    <cellStyle name="_Rates_ZBB Budget 2009 Decks_with Korea Scope in (Only LE) 4 2" xfId="19270" xr:uid="{00000000-0005-0000-0000-00003D4B0000}"/>
    <cellStyle name="_Rates_ZBB Budget 2009 Decks_with Korea Scope in (Only LE) 5" xfId="19271" xr:uid="{00000000-0005-0000-0000-00003E4B0000}"/>
    <cellStyle name="_Rates_ZBB Budget 2009 Decks_with Korea Scope in (Only LE) 6" xfId="19272" xr:uid="{00000000-0005-0000-0000-00003F4B0000}"/>
    <cellStyle name="_RD ML" xfId="19273" xr:uid="{00000000-0005-0000-0000-0000404B0000}"/>
    <cellStyle name="_RD ML 2" xfId="19274" xr:uid="{00000000-0005-0000-0000-0000414B0000}"/>
    <cellStyle name="_RD ML 2 2" xfId="19275" xr:uid="{00000000-0005-0000-0000-0000424B0000}"/>
    <cellStyle name="_RD ML 3" xfId="19276" xr:uid="{00000000-0005-0000-0000-0000434B0000}"/>
    <cellStyle name="_RD Modelo" xfId="19277" xr:uid="{00000000-0005-0000-0000-0000444B0000}"/>
    <cellStyle name="_RD Modelo 2" xfId="19278" xr:uid="{00000000-0005-0000-0000-0000454B0000}"/>
    <cellStyle name="_RD Modelo 2 2" xfId="19279" xr:uid="{00000000-0005-0000-0000-0000464B0000}"/>
    <cellStyle name="_RD Modelo 3" xfId="19280" xr:uid="{00000000-0005-0000-0000-0000474B0000}"/>
    <cellStyle name="_Reference salaries CEE 2007" xfId="19281" xr:uid="{00000000-0005-0000-0000-0000484B0000}"/>
    <cellStyle name="_Reference salaries CEE 2007 2" xfId="19282" xr:uid="{00000000-0005-0000-0000-0000494B0000}"/>
    <cellStyle name="_Reference salaries CEE 2007 2 2" xfId="19283" xr:uid="{00000000-0005-0000-0000-00004A4B0000}"/>
    <cellStyle name="_Reference salaries CEE 2007 2 2 2" xfId="19284" xr:uid="{00000000-0005-0000-0000-00004B4B0000}"/>
    <cellStyle name="_Reference salaries CEE 2007 2 3" xfId="19285" xr:uid="{00000000-0005-0000-0000-00004C4B0000}"/>
    <cellStyle name="_Reference salaries CEE 2007 3" xfId="19286" xr:uid="{00000000-0005-0000-0000-00004D4B0000}"/>
    <cellStyle name="_Reference salaries CEE 2007 3 2" xfId="19287" xr:uid="{00000000-0005-0000-0000-00004E4B0000}"/>
    <cellStyle name="_Reference salaries CEE 2007 4" xfId="19288" xr:uid="{00000000-0005-0000-0000-00004F4B0000}"/>
    <cellStyle name="_Reference salaries CEE 2007_Copy of 081027 ZBB Budget 2009 Decks - People_Cherry_V4" xfId="19289" xr:uid="{00000000-0005-0000-0000-0000504B0000}"/>
    <cellStyle name="_Reference salaries CEE 2007_Copy of 081027 ZBB Budget 2009 Decks - People_Cherry_V4 2" xfId="19290" xr:uid="{00000000-0005-0000-0000-0000514B0000}"/>
    <cellStyle name="_Reference salaries CEE 2007_Copy of 081027 ZBB Budget 2009 Decks - People_Cherry_V4 2 2" xfId="19291" xr:uid="{00000000-0005-0000-0000-0000524B0000}"/>
    <cellStyle name="_Reference salaries CEE 2007_Copy of 081027 ZBB Budget 2009 Decks - People_Cherry_V4 2 2 2" xfId="19292" xr:uid="{00000000-0005-0000-0000-0000534B0000}"/>
    <cellStyle name="_Reference salaries CEE 2007_Copy of 081027 ZBB Budget 2009 Decks - People_Cherry_V4 2 3" xfId="19293" xr:uid="{00000000-0005-0000-0000-0000544B0000}"/>
    <cellStyle name="_Reference salaries CEE 2007_Copy of 081027 ZBB Budget 2009 Decks - People_Cherry_V4 3" xfId="19294" xr:uid="{00000000-0005-0000-0000-0000554B0000}"/>
    <cellStyle name="_Reference salaries CEE 2007_Copy of 081027 ZBB Budget 2009 Decks - People_Cherry_V4 3 2" xfId="19295" xr:uid="{00000000-0005-0000-0000-0000564B0000}"/>
    <cellStyle name="_Reference salaries CEE 2007_Copy of 081027 ZBB Budget 2009 Decks - People_Cherry_V4 4" xfId="19296" xr:uid="{00000000-0005-0000-0000-0000574B0000}"/>
    <cellStyle name="_Reference salaries CEE 2007_ZBB Budget 2009 Decks" xfId="19297" xr:uid="{00000000-0005-0000-0000-0000584B0000}"/>
    <cellStyle name="_Reference salaries CEE 2007_ZBB Budget 2009 Decks 2" xfId="19298" xr:uid="{00000000-0005-0000-0000-0000594B0000}"/>
    <cellStyle name="_Reference salaries CEE 2007_ZBB Budget 2009 Decks 2 2" xfId="19299" xr:uid="{00000000-0005-0000-0000-00005A4B0000}"/>
    <cellStyle name="_Reference salaries CEE 2007_ZBB Budget 2009 Decks 2 2 2" xfId="19300" xr:uid="{00000000-0005-0000-0000-00005B4B0000}"/>
    <cellStyle name="_Reference salaries CEE 2007_ZBB Budget 2009 Decks 2 3" xfId="19301" xr:uid="{00000000-0005-0000-0000-00005C4B0000}"/>
    <cellStyle name="_Reference salaries CEE 2007_ZBB Budget 2009 Decks 3" xfId="19302" xr:uid="{00000000-0005-0000-0000-00005D4B0000}"/>
    <cellStyle name="_Reference salaries CEE 2007_ZBB Budget 2009 Decks 3 2" xfId="19303" xr:uid="{00000000-0005-0000-0000-00005E4B0000}"/>
    <cellStyle name="_Reference salaries CEE 2007_ZBB Budget 2009 Decks 4" xfId="19304" xr:uid="{00000000-0005-0000-0000-00005F4B0000}"/>
    <cellStyle name="_Reference salaries CEE 2007_ZBB Budget 2009 Decks v2 china" xfId="19305" xr:uid="{00000000-0005-0000-0000-0000604B0000}"/>
    <cellStyle name="_Reference salaries CEE 2007_ZBB Budget 2009 Decks v2 china 2" xfId="19306" xr:uid="{00000000-0005-0000-0000-0000614B0000}"/>
    <cellStyle name="_Reference salaries CEE 2007_ZBB Budget 2009 Decks v2 china 2 2" xfId="19307" xr:uid="{00000000-0005-0000-0000-0000624B0000}"/>
    <cellStyle name="_Reference salaries CEE 2007_ZBB Budget 2009 Decks v2 china 2 2 2" xfId="19308" xr:uid="{00000000-0005-0000-0000-0000634B0000}"/>
    <cellStyle name="_Reference salaries CEE 2007_ZBB Budget 2009 Decks v2 china 2 3" xfId="19309" xr:uid="{00000000-0005-0000-0000-0000644B0000}"/>
    <cellStyle name="_Reference salaries CEE 2007_ZBB Budget 2009 Decks v2 china 3" xfId="19310" xr:uid="{00000000-0005-0000-0000-0000654B0000}"/>
    <cellStyle name="_Reference salaries CEE 2007_ZBB Budget 2009 Decks v2 china 3 2" xfId="19311" xr:uid="{00000000-0005-0000-0000-0000664B0000}"/>
    <cellStyle name="_Reference salaries CEE 2007_ZBB Budget 2009 Decks v2 china 4" xfId="19312" xr:uid="{00000000-0005-0000-0000-0000674B0000}"/>
    <cellStyle name="_Reference salaries CEE 2007_ZBB Budget 2009 Decks_with Korea Scope in (Only LE)" xfId="19313" xr:uid="{00000000-0005-0000-0000-0000684B0000}"/>
    <cellStyle name="_Reference salaries CEE 2007_ZBB Budget 2009 Decks_with Korea Scope in (Only LE) (2)" xfId="19314" xr:uid="{00000000-0005-0000-0000-0000694B0000}"/>
    <cellStyle name="_Reference salaries CEE 2007_ZBB Budget 2009 Decks_with Korea Scope in (Only LE) (2) 2" xfId="19315" xr:uid="{00000000-0005-0000-0000-00006A4B0000}"/>
    <cellStyle name="_Reference salaries CEE 2007_ZBB Budget 2009 Decks_with Korea Scope in (Only LE) (2) 2 2" xfId="19316" xr:uid="{00000000-0005-0000-0000-00006B4B0000}"/>
    <cellStyle name="_Reference salaries CEE 2007_ZBB Budget 2009 Decks_with Korea Scope in (Only LE) (2) 2 2 2" xfId="19317" xr:uid="{00000000-0005-0000-0000-00006C4B0000}"/>
    <cellStyle name="_Reference salaries CEE 2007_ZBB Budget 2009 Decks_with Korea Scope in (Only LE) (2) 2 3" xfId="19318" xr:uid="{00000000-0005-0000-0000-00006D4B0000}"/>
    <cellStyle name="_Reference salaries CEE 2007_ZBB Budget 2009 Decks_with Korea Scope in (Only LE) (2) 3" xfId="19319" xr:uid="{00000000-0005-0000-0000-00006E4B0000}"/>
    <cellStyle name="_Reference salaries CEE 2007_ZBB Budget 2009 Decks_with Korea Scope in (Only LE) (2) 3 2" xfId="19320" xr:uid="{00000000-0005-0000-0000-00006F4B0000}"/>
    <cellStyle name="_Reference salaries CEE 2007_ZBB Budget 2009 Decks_with Korea Scope in (Only LE) (2) 4" xfId="19321" xr:uid="{00000000-0005-0000-0000-0000704B0000}"/>
    <cellStyle name="_Reference salaries CEE 2007_ZBB Budget 2009 Decks_with Korea Scope in (Only LE) 2" xfId="19322" xr:uid="{00000000-0005-0000-0000-0000714B0000}"/>
    <cellStyle name="_Reference salaries CEE 2007_ZBB Budget 2009 Decks_with Korea Scope in (Only LE) 2 2" xfId="19323" xr:uid="{00000000-0005-0000-0000-0000724B0000}"/>
    <cellStyle name="_Reference salaries CEE 2007_ZBB Budget 2009 Decks_with Korea Scope in (Only LE) 2 2 2" xfId="19324" xr:uid="{00000000-0005-0000-0000-0000734B0000}"/>
    <cellStyle name="_Reference salaries CEE 2007_ZBB Budget 2009 Decks_with Korea Scope in (Only LE) 2 3" xfId="19325" xr:uid="{00000000-0005-0000-0000-0000744B0000}"/>
    <cellStyle name="_Reference salaries CEE 2007_ZBB Budget 2009 Decks_with Korea Scope in (Only LE) 3" xfId="19326" xr:uid="{00000000-0005-0000-0000-0000754B0000}"/>
    <cellStyle name="_Reference salaries CEE 2007_ZBB Budget 2009 Decks_with Korea Scope in (Only LE) 3 2" xfId="19327" xr:uid="{00000000-0005-0000-0000-0000764B0000}"/>
    <cellStyle name="_Reference salaries CEE 2007_ZBB Budget 2009 Decks_with Korea Scope in (Only LE) 4" xfId="19328" xr:uid="{00000000-0005-0000-0000-0000774B0000}"/>
    <cellStyle name="_Reference salaries CEE 2007_ZBB Budget 2009 Decks_with Korea Scope in (Only LE) 4 2" xfId="19329" xr:uid="{00000000-0005-0000-0000-0000784B0000}"/>
    <cellStyle name="_Reference salaries CEE 2007_ZBB Budget 2009 Decks_with Korea Scope in (Only LE) 5" xfId="19330" xr:uid="{00000000-0005-0000-0000-0000794B0000}"/>
    <cellStyle name="_Reference salaries CEE 2007_ZBB Budget 2009 Decks_with Korea Scope in (Only LE) 6" xfId="19331" xr:uid="{00000000-0005-0000-0000-00007A4B0000}"/>
    <cellStyle name="_Reference salaries CEE 2007_ZBB standard Template Korea_081105" xfId="19332" xr:uid="{00000000-0005-0000-0000-00007B4B0000}"/>
    <cellStyle name="_Reference salaries CEE 2007_ZBB standard Template Korea_081105 2" xfId="19333" xr:uid="{00000000-0005-0000-0000-00007C4B0000}"/>
    <cellStyle name="_Reference salaries CEE 2007_ZBB standard Template Korea_081105 2 2" xfId="19334" xr:uid="{00000000-0005-0000-0000-00007D4B0000}"/>
    <cellStyle name="_Reference salaries CEE 2007_ZBB standard Template Korea_081105 2 2 2" xfId="19335" xr:uid="{00000000-0005-0000-0000-00007E4B0000}"/>
    <cellStyle name="_Reference salaries CEE 2007_ZBB standard Template Korea_081105 2 3" xfId="19336" xr:uid="{00000000-0005-0000-0000-00007F4B0000}"/>
    <cellStyle name="_Reference salaries CEE 2007_ZBB standard Template Korea_081105 3" xfId="19337" xr:uid="{00000000-0005-0000-0000-0000804B0000}"/>
    <cellStyle name="_Reference salaries CEE 2007_ZBB standard Template Korea_081105 3 2" xfId="19338" xr:uid="{00000000-0005-0000-0000-0000814B0000}"/>
    <cellStyle name="_Reference salaries CEE 2007_ZBB standard Template Korea_081105 4" xfId="19339" xr:uid="{00000000-0005-0000-0000-0000824B0000}"/>
    <cellStyle name="_Riesgos - Oportunidades" xfId="19340" xr:uid="{00000000-0005-0000-0000-0000834B0000}"/>
    <cellStyle name="_Romania BGT 07 final deck V7-20.10.06" xfId="19341" xr:uid="{00000000-0005-0000-0000-0000844B0000}"/>
    <cellStyle name="_Romania BGT 07 final deck V7-20.10.06 2" xfId="19342" xr:uid="{00000000-0005-0000-0000-0000854B0000}"/>
    <cellStyle name="_Romania BGT 07 final deck V7-20.10.06 2 2" xfId="19343" xr:uid="{00000000-0005-0000-0000-0000864B0000}"/>
    <cellStyle name="_Romania BGT 07 final deck V7-20.10.06 3" xfId="19344" xr:uid="{00000000-0005-0000-0000-0000874B0000}"/>
    <cellStyle name="_ROP Zone1_V1" xfId="19345" xr:uid="{00000000-0005-0000-0000-0000884B0000}"/>
    <cellStyle name="_ROP Zone1_V1 2" xfId="19346" xr:uid="{00000000-0005-0000-0000-0000894B0000}"/>
    <cellStyle name="_ROP Zone1_V1 2 2" xfId="19347" xr:uid="{00000000-0005-0000-0000-00008A4B0000}"/>
    <cellStyle name="_ROP Zone1_V1 3" xfId="19348" xr:uid="{00000000-0005-0000-0000-00008B4B0000}"/>
    <cellStyle name="_Row1" xfId="19349" xr:uid="{00000000-0005-0000-0000-00008C4B0000}"/>
    <cellStyle name="_Row1 2" xfId="19350" xr:uid="{00000000-0005-0000-0000-00008D4B0000}"/>
    <cellStyle name="_Row1 2 2" xfId="19351" xr:uid="{00000000-0005-0000-0000-00008E4B0000}"/>
    <cellStyle name="_Row1 3" xfId="19352" xr:uid="{00000000-0005-0000-0000-00008F4B0000}"/>
    <cellStyle name="_Row1_CA ML" xfId="19353" xr:uid="{00000000-0005-0000-0000-0000904B0000}"/>
    <cellStyle name="_Row1_CA ML 2" xfId="19354" xr:uid="{00000000-0005-0000-0000-0000914B0000}"/>
    <cellStyle name="_Row1_CA ML 2 2" xfId="19355" xr:uid="{00000000-0005-0000-0000-0000924B0000}"/>
    <cellStyle name="_Row1_CA ML 3" xfId="19356" xr:uid="{00000000-0005-0000-0000-0000934B0000}"/>
    <cellStyle name="_Row1_CA ML_1" xfId="19357" xr:uid="{00000000-0005-0000-0000-0000944B0000}"/>
    <cellStyle name="_Row1_CA ML_1 2" xfId="19358" xr:uid="{00000000-0005-0000-0000-0000954B0000}"/>
    <cellStyle name="_Row1_CA ML_1 2 2" xfId="19359" xr:uid="{00000000-0005-0000-0000-0000964B0000}"/>
    <cellStyle name="_Row1_CA ML_1 3" xfId="19360" xr:uid="{00000000-0005-0000-0000-0000974B0000}"/>
    <cellStyle name="_Row1_CA ML_2" xfId="19361" xr:uid="{00000000-0005-0000-0000-0000984B0000}"/>
    <cellStyle name="_Row1_CA ML_2 2" xfId="19362" xr:uid="{00000000-0005-0000-0000-0000994B0000}"/>
    <cellStyle name="_Row1_CA ML_2 2 2" xfId="19363" xr:uid="{00000000-0005-0000-0000-00009A4B0000}"/>
    <cellStyle name="_Row1_CA ML_2 3" xfId="19364" xr:uid="{00000000-0005-0000-0000-00009B4B0000}"/>
    <cellStyle name="_Row1_CA USD" xfId="19365" xr:uid="{00000000-0005-0000-0000-00009C4B0000}"/>
    <cellStyle name="_Row1_CA USD 2" xfId="19366" xr:uid="{00000000-0005-0000-0000-00009D4B0000}"/>
    <cellStyle name="_Row1_CA USD 2 2" xfId="19367" xr:uid="{00000000-0005-0000-0000-00009E4B0000}"/>
    <cellStyle name="_Row1_CA USD 3" xfId="19368" xr:uid="{00000000-0005-0000-0000-00009F4B0000}"/>
    <cellStyle name="_Row1_Conciliacao 1" xfId="19369" xr:uid="{00000000-0005-0000-0000-0000A04B0000}"/>
    <cellStyle name="_Row1_Conciliacao 1 2" xfId="19370" xr:uid="{00000000-0005-0000-0000-0000A14B0000}"/>
    <cellStyle name="_Row1_Conciliacao 1 2 2" xfId="19371" xr:uid="{00000000-0005-0000-0000-0000A24B0000}"/>
    <cellStyle name="_Row1_Conciliacao 1 3" xfId="19372" xr:uid="{00000000-0005-0000-0000-0000A34B0000}"/>
    <cellStyle name="_Row1_EC ML" xfId="19373" xr:uid="{00000000-0005-0000-0000-0000A44B0000}"/>
    <cellStyle name="_Row1_EC ML 2" xfId="19374" xr:uid="{00000000-0005-0000-0000-0000A54B0000}"/>
    <cellStyle name="_Row1_EC ML 2 2" xfId="19375" xr:uid="{00000000-0005-0000-0000-0000A64B0000}"/>
    <cellStyle name="_Row1_EC ML 3" xfId="19376" xr:uid="{00000000-0005-0000-0000-0000A74B0000}"/>
    <cellStyle name="_Row1_EC ML_1" xfId="19377" xr:uid="{00000000-0005-0000-0000-0000A84B0000}"/>
    <cellStyle name="_Row1_EC ML_1 2" xfId="19378" xr:uid="{00000000-0005-0000-0000-0000A94B0000}"/>
    <cellStyle name="_Row1_EC ML_1 2 2" xfId="19379" xr:uid="{00000000-0005-0000-0000-0000AA4B0000}"/>
    <cellStyle name="_Row1_EC ML_1 3" xfId="19380" xr:uid="{00000000-0005-0000-0000-0000AB4B0000}"/>
    <cellStyle name="_Row1_EC USD" xfId="19381" xr:uid="{00000000-0005-0000-0000-0000AC4B0000}"/>
    <cellStyle name="_Row1_EC USD 2" xfId="19382" xr:uid="{00000000-0005-0000-0000-0000AD4B0000}"/>
    <cellStyle name="_Row1_EC USD 2 2" xfId="19383" xr:uid="{00000000-0005-0000-0000-0000AE4B0000}"/>
    <cellStyle name="_Row1_EC USD 3" xfId="19384" xr:uid="{00000000-0005-0000-0000-0000AF4B0000}"/>
    <cellStyle name="_Row1_Eligible Parking and Toll" xfId="19385" xr:uid="{00000000-0005-0000-0000-0000B04B0000}"/>
    <cellStyle name="_Row1_Eligible Parking and Toll 2" xfId="19386" xr:uid="{00000000-0005-0000-0000-0000B14B0000}"/>
    <cellStyle name="_Row1_Eligible Parking and Toll 2 2" xfId="19387" xr:uid="{00000000-0005-0000-0000-0000B24B0000}"/>
    <cellStyle name="_Row1_Eligible Parking and Toll 3" xfId="19388" xr:uid="{00000000-0005-0000-0000-0000B34B0000}"/>
    <cellStyle name="_Row1_Eligible Parking and Toll_Copy of 081027 ZBB Budget 2009 Decks - People_Cherry_V4" xfId="19389" xr:uid="{00000000-0005-0000-0000-0000B44B0000}"/>
    <cellStyle name="_Row1_Eligible Parking and Toll_Copy of 081027 ZBB Budget 2009 Decks - People_Cherry_V4 2" xfId="19390" xr:uid="{00000000-0005-0000-0000-0000B54B0000}"/>
    <cellStyle name="_Row1_Eligible Parking and Toll_Copy of 081027 ZBB Budget 2009 Decks - People_Cherry_V4 2 2" xfId="19391" xr:uid="{00000000-0005-0000-0000-0000B64B0000}"/>
    <cellStyle name="_Row1_Eligible Parking and Toll_Copy of 081027 ZBB Budget 2009 Decks - People_Cherry_V4 3" xfId="19392" xr:uid="{00000000-0005-0000-0000-0000B74B0000}"/>
    <cellStyle name="_Row1_Eligible Parking and Toll_ZBB Budget 2009 Decks" xfId="19393" xr:uid="{00000000-0005-0000-0000-0000B84B0000}"/>
    <cellStyle name="_Row1_Eligible Parking and Toll_ZBB Budget 2009 Decks 2" xfId="19394" xr:uid="{00000000-0005-0000-0000-0000B94B0000}"/>
    <cellStyle name="_Row1_Eligible Parking and Toll_ZBB Budget 2009 Decks 2 2" xfId="19395" xr:uid="{00000000-0005-0000-0000-0000BA4B0000}"/>
    <cellStyle name="_Row1_Eligible Parking and Toll_ZBB Budget 2009 Decks 3" xfId="19396" xr:uid="{00000000-0005-0000-0000-0000BB4B0000}"/>
    <cellStyle name="_Row1_Eligible Parking and Toll_ZBB Budget 2009 Decks_with Korea Scope in (Only LE)" xfId="19397" xr:uid="{00000000-0005-0000-0000-0000BC4B0000}"/>
    <cellStyle name="_Row1_Eligible Parking and Toll_ZBB Budget 2009 Decks_with Korea Scope in (Only LE) (2)" xfId="19398" xr:uid="{00000000-0005-0000-0000-0000BD4B0000}"/>
    <cellStyle name="_Row1_Eligible Parking and Toll_ZBB Budget 2009 Decks_with Korea Scope in (Only LE) (2) 2" xfId="19399" xr:uid="{00000000-0005-0000-0000-0000BE4B0000}"/>
    <cellStyle name="_Row1_Eligible Parking and Toll_ZBB Budget 2009 Decks_with Korea Scope in (Only LE) (2) 2 2" xfId="19400" xr:uid="{00000000-0005-0000-0000-0000BF4B0000}"/>
    <cellStyle name="_Row1_Eligible Parking and Toll_ZBB Budget 2009 Decks_with Korea Scope in (Only LE) (2) 3" xfId="19401" xr:uid="{00000000-0005-0000-0000-0000C04B0000}"/>
    <cellStyle name="_Row1_Eligible Parking and Toll_ZBB Budget 2009 Decks_with Korea Scope in (Only LE) 2" xfId="19402" xr:uid="{00000000-0005-0000-0000-0000C14B0000}"/>
    <cellStyle name="_Row1_Eligible Parking and Toll_ZBB Budget 2009 Decks_with Korea Scope in (Only LE) 2 2" xfId="19403" xr:uid="{00000000-0005-0000-0000-0000C24B0000}"/>
    <cellStyle name="_Row1_Eligible Parking and Toll_ZBB Budget 2009 Decks_with Korea Scope in (Only LE) 3" xfId="19404" xr:uid="{00000000-0005-0000-0000-0000C34B0000}"/>
    <cellStyle name="_Row1_Eligible Parking and Toll_ZBB Budget 2009 Decks_with Korea Scope in (Only LE) 3 2" xfId="19405" xr:uid="{00000000-0005-0000-0000-0000C44B0000}"/>
    <cellStyle name="_Row1_Eligible Parking and Toll_ZBB Budget 2009 Decks_with Korea Scope in (Only LE) 4" xfId="19406" xr:uid="{00000000-0005-0000-0000-0000C54B0000}"/>
    <cellStyle name="_Row1_Eligible Parking and Toll_ZBB Budget 2009 Decks_with Korea Scope in (Only LE) 5" xfId="19407" xr:uid="{00000000-0005-0000-0000-0000C64B0000}"/>
    <cellStyle name="_Row1_Entity Structure 20060407_v13" xfId="19408" xr:uid="{00000000-0005-0000-0000-0000C74B0000}"/>
    <cellStyle name="_Row1_Entity Structure 20060407_v13 2" xfId="19409" xr:uid="{00000000-0005-0000-0000-0000C84B0000}"/>
    <cellStyle name="_Row1_Entity Structure 20060407_v13 2 2" xfId="19410" xr:uid="{00000000-0005-0000-0000-0000C94B0000}"/>
    <cellStyle name="_Row1_Entity Structure 20060407_v13 3" xfId="19411" xr:uid="{00000000-0005-0000-0000-0000CA4B0000}"/>
    <cellStyle name="_Row1_Entity Structure 20060407_v13_Copy of 081027 ZBB Budget 2009 Decks - People_Cherry_V4" xfId="19412" xr:uid="{00000000-0005-0000-0000-0000CB4B0000}"/>
    <cellStyle name="_Row1_Entity Structure 20060407_v13_Copy of 081027 ZBB Budget 2009 Decks - People_Cherry_V4 2" xfId="19413" xr:uid="{00000000-0005-0000-0000-0000CC4B0000}"/>
    <cellStyle name="_Row1_Entity Structure 20060407_v13_Copy of 081027 ZBB Budget 2009 Decks - People_Cherry_V4 2 2" xfId="19414" xr:uid="{00000000-0005-0000-0000-0000CD4B0000}"/>
    <cellStyle name="_Row1_Entity Structure 20060407_v13_Copy of 081027 ZBB Budget 2009 Decks - People_Cherry_V4 3" xfId="19415" xr:uid="{00000000-0005-0000-0000-0000CE4B0000}"/>
    <cellStyle name="_Row1_Entity Structure 20060407_v13_ZBB Budget 2009 Decks" xfId="19416" xr:uid="{00000000-0005-0000-0000-0000CF4B0000}"/>
    <cellStyle name="_Row1_Entity Structure 20060407_v13_ZBB Budget 2009 Decks 2" xfId="19417" xr:uid="{00000000-0005-0000-0000-0000D04B0000}"/>
    <cellStyle name="_Row1_Entity Structure 20060407_v13_ZBB Budget 2009 Decks 2 2" xfId="19418" xr:uid="{00000000-0005-0000-0000-0000D14B0000}"/>
    <cellStyle name="_Row1_Entity Structure 20060407_v13_ZBB Budget 2009 Decks 3" xfId="19419" xr:uid="{00000000-0005-0000-0000-0000D24B0000}"/>
    <cellStyle name="_Row1_Entity Structure 20060407_v13_ZBB Budget 2009 Decks_with Korea Scope in (Only LE)" xfId="19420" xr:uid="{00000000-0005-0000-0000-0000D34B0000}"/>
    <cellStyle name="_Row1_Entity Structure 20060407_v13_ZBB Budget 2009 Decks_with Korea Scope in (Only LE) (2)" xfId="19421" xr:uid="{00000000-0005-0000-0000-0000D44B0000}"/>
    <cellStyle name="_Row1_Entity Structure 20060407_v13_ZBB Budget 2009 Decks_with Korea Scope in (Only LE) (2) 2" xfId="19422" xr:uid="{00000000-0005-0000-0000-0000D54B0000}"/>
    <cellStyle name="_Row1_Entity Structure 20060407_v13_ZBB Budget 2009 Decks_with Korea Scope in (Only LE) (2) 2 2" xfId="19423" xr:uid="{00000000-0005-0000-0000-0000D64B0000}"/>
    <cellStyle name="_Row1_Entity Structure 20060407_v13_ZBB Budget 2009 Decks_with Korea Scope in (Only LE) (2) 3" xfId="19424" xr:uid="{00000000-0005-0000-0000-0000D74B0000}"/>
    <cellStyle name="_Row1_Entity Structure 20060407_v13_ZBB Budget 2009 Decks_with Korea Scope in (Only LE) 2" xfId="19425" xr:uid="{00000000-0005-0000-0000-0000D84B0000}"/>
    <cellStyle name="_Row1_Entity Structure 20060407_v13_ZBB Budget 2009 Decks_with Korea Scope in (Only LE) 2 2" xfId="19426" xr:uid="{00000000-0005-0000-0000-0000D94B0000}"/>
    <cellStyle name="_Row1_Entity Structure 20060407_v13_ZBB Budget 2009 Decks_with Korea Scope in (Only LE) 3" xfId="19427" xr:uid="{00000000-0005-0000-0000-0000DA4B0000}"/>
    <cellStyle name="_Row1_Entity Structure 20060407_v13_ZBB Budget 2009 Decks_with Korea Scope in (Only LE) 3 2" xfId="19428" xr:uid="{00000000-0005-0000-0000-0000DB4B0000}"/>
    <cellStyle name="_Row1_Entity Structure 20060407_v13_ZBB Budget 2009 Decks_with Korea Scope in (Only LE) 4" xfId="19429" xr:uid="{00000000-0005-0000-0000-0000DC4B0000}"/>
    <cellStyle name="_Row1_Entity Structure 20060407_v13_ZBB Budget 2009 Decks_with Korea Scope in (Only LE) 5" xfId="19430" xr:uid="{00000000-0005-0000-0000-0000DD4B0000}"/>
    <cellStyle name="_Row1_fx" xfId="19431" xr:uid="{00000000-0005-0000-0000-0000DE4B0000}"/>
    <cellStyle name="_Row1_fx 2" xfId="19432" xr:uid="{00000000-0005-0000-0000-0000DF4B0000}"/>
    <cellStyle name="_Row1_fx 2 2" xfId="19433" xr:uid="{00000000-0005-0000-0000-0000E04B0000}"/>
    <cellStyle name="_Row1_fx 3" xfId="19434" xr:uid="{00000000-0005-0000-0000-0000E14B0000}"/>
    <cellStyle name="_Row1_Industry Volumes" xfId="19435" xr:uid="{00000000-0005-0000-0000-0000E24B0000}"/>
    <cellStyle name="_Row1_Industry Volumes 2" xfId="19436" xr:uid="{00000000-0005-0000-0000-0000E34B0000}"/>
    <cellStyle name="_Row1_Industry Volumes 2 2" xfId="19437" xr:uid="{00000000-0005-0000-0000-0000E44B0000}"/>
    <cellStyle name="_Row1_Industry Volumes 2 2 2" xfId="19438" xr:uid="{00000000-0005-0000-0000-0000E54B0000}"/>
    <cellStyle name="_Row1_Industry Volumes 2 3" xfId="19439" xr:uid="{00000000-0005-0000-0000-0000E64B0000}"/>
    <cellStyle name="_Row1_Industry Volumes 2 3 2" xfId="19440" xr:uid="{00000000-0005-0000-0000-0000E74B0000}"/>
    <cellStyle name="_Row1_Industry Volumes 2 3 3" xfId="19441" xr:uid="{00000000-0005-0000-0000-0000E84B0000}"/>
    <cellStyle name="_Row1_Industry Volumes 2 4" xfId="19442" xr:uid="{00000000-0005-0000-0000-0000E94B0000}"/>
    <cellStyle name="_Row1_Industry Volumes 2 5" xfId="19443" xr:uid="{00000000-0005-0000-0000-0000EA4B0000}"/>
    <cellStyle name="_Row1_Industry Volumes 3" xfId="19444" xr:uid="{00000000-0005-0000-0000-0000EB4B0000}"/>
    <cellStyle name="_Row1_Industry Volumes 3 2" xfId="19445" xr:uid="{00000000-0005-0000-0000-0000EC4B0000}"/>
    <cellStyle name="_Row1_Industry Volumes 3 2 2" xfId="19446" xr:uid="{00000000-0005-0000-0000-0000ED4B0000}"/>
    <cellStyle name="_Row1_Industry Volumes 3 2 3" xfId="19447" xr:uid="{00000000-0005-0000-0000-0000EE4B0000}"/>
    <cellStyle name="_Row1_Industry Volumes 3 3" xfId="19448" xr:uid="{00000000-0005-0000-0000-0000EF4B0000}"/>
    <cellStyle name="_Row1_Industry Volumes 4" xfId="19449" xr:uid="{00000000-0005-0000-0000-0000F04B0000}"/>
    <cellStyle name="_Row1_Industry Volumes 4 2" xfId="19450" xr:uid="{00000000-0005-0000-0000-0000F14B0000}"/>
    <cellStyle name="_Row1_Industry Volumes 4 3" xfId="19451" xr:uid="{00000000-0005-0000-0000-0000F24B0000}"/>
    <cellStyle name="_Row1_Industry Volumes 5" xfId="19452" xr:uid="{00000000-0005-0000-0000-0000F34B0000}"/>
    <cellStyle name="_Row1_Industry Volumes 6" xfId="19453" xr:uid="{00000000-0005-0000-0000-0000F44B0000}"/>
    <cellStyle name="_Row1_KK_3YP Model S&amp;D Stand 3.7.07" xfId="19454" xr:uid="{00000000-0005-0000-0000-0000F54B0000}"/>
    <cellStyle name="_Row1_KK_3YP Model S&amp;D Stand 3.7.07 2" xfId="19455" xr:uid="{00000000-0005-0000-0000-0000F64B0000}"/>
    <cellStyle name="_Row1_KK_3YP Model S&amp;D Stand 3.7.07 2 2" xfId="19456" xr:uid="{00000000-0005-0000-0000-0000F74B0000}"/>
    <cellStyle name="_Row1_KK_3YP Model S&amp;D Stand 3.7.07 2 2 2" xfId="19457" xr:uid="{00000000-0005-0000-0000-0000F84B0000}"/>
    <cellStyle name="_Row1_KK_3YP Model S&amp;D Stand 3.7.07 2 3" xfId="19458" xr:uid="{00000000-0005-0000-0000-0000F94B0000}"/>
    <cellStyle name="_Row1_KK_3YP Model S&amp;D Stand 3.7.07 2 3 2" xfId="19459" xr:uid="{00000000-0005-0000-0000-0000FA4B0000}"/>
    <cellStyle name="_Row1_KK_3YP Model S&amp;D Stand 3.7.07 2 3 3" xfId="19460" xr:uid="{00000000-0005-0000-0000-0000FB4B0000}"/>
    <cellStyle name="_Row1_KK_3YP Model S&amp;D Stand 3.7.07 2 4" xfId="19461" xr:uid="{00000000-0005-0000-0000-0000FC4B0000}"/>
    <cellStyle name="_Row1_KK_3YP Model S&amp;D Stand 3.7.07 2 5" xfId="19462" xr:uid="{00000000-0005-0000-0000-0000FD4B0000}"/>
    <cellStyle name="_Row1_KK_3YP Model S&amp;D Stand 3.7.07 3" xfId="19463" xr:uid="{00000000-0005-0000-0000-0000FE4B0000}"/>
    <cellStyle name="_Row1_KK_3YP Model S&amp;D Stand 3.7.07 3 2" xfId="19464" xr:uid="{00000000-0005-0000-0000-0000FF4B0000}"/>
    <cellStyle name="_Row1_KK_3YP Model S&amp;D Stand 3.7.07 3 2 2" xfId="19465" xr:uid="{00000000-0005-0000-0000-0000004C0000}"/>
    <cellStyle name="_Row1_KK_3YP Model S&amp;D Stand 3.7.07 3 2 3" xfId="19466" xr:uid="{00000000-0005-0000-0000-0000014C0000}"/>
    <cellStyle name="_Row1_KK_3YP Model S&amp;D Stand 3.7.07 3 3" xfId="19467" xr:uid="{00000000-0005-0000-0000-0000024C0000}"/>
    <cellStyle name="_Row1_KK_3YP Model S&amp;D Stand 3.7.07 4" xfId="19468" xr:uid="{00000000-0005-0000-0000-0000034C0000}"/>
    <cellStyle name="_Row1_KK_3YP Model S&amp;D Stand 3.7.07 4 2" xfId="19469" xr:uid="{00000000-0005-0000-0000-0000044C0000}"/>
    <cellStyle name="_Row1_KK_3YP Model S&amp;D Stand 3.7.07 4 3" xfId="19470" xr:uid="{00000000-0005-0000-0000-0000054C0000}"/>
    <cellStyle name="_Row1_KK_3YP Model S&amp;D Stand 3.7.07 5" xfId="19471" xr:uid="{00000000-0005-0000-0000-0000064C0000}"/>
    <cellStyle name="_Row1_KK_3YP Model S&amp;D Stand 3.7.07 6" xfId="19472" xr:uid="{00000000-0005-0000-0000-0000074C0000}"/>
    <cellStyle name="_Row1_MIS2" xfId="19473" xr:uid="{00000000-0005-0000-0000-0000084C0000}"/>
    <cellStyle name="_Row1_MIS2 2" xfId="19474" xr:uid="{00000000-0005-0000-0000-0000094C0000}"/>
    <cellStyle name="_Row1_MIS2 2 2" xfId="19475" xr:uid="{00000000-0005-0000-0000-00000A4C0000}"/>
    <cellStyle name="_Row1_MIS2 2 2 2" xfId="19476" xr:uid="{00000000-0005-0000-0000-00000B4C0000}"/>
    <cellStyle name="_Row1_MIS2 2 3" xfId="19477" xr:uid="{00000000-0005-0000-0000-00000C4C0000}"/>
    <cellStyle name="_Row1_MIS2 2 3 2" xfId="19478" xr:uid="{00000000-0005-0000-0000-00000D4C0000}"/>
    <cellStyle name="_Row1_MIS2 2 3 3" xfId="19479" xr:uid="{00000000-0005-0000-0000-00000E4C0000}"/>
    <cellStyle name="_Row1_MIS2 2 4" xfId="19480" xr:uid="{00000000-0005-0000-0000-00000F4C0000}"/>
    <cellStyle name="_Row1_MIS2 2 5" xfId="19481" xr:uid="{00000000-0005-0000-0000-0000104C0000}"/>
    <cellStyle name="_Row1_MIS2 3" xfId="19482" xr:uid="{00000000-0005-0000-0000-0000114C0000}"/>
    <cellStyle name="_Row1_MIS2 3 2" xfId="19483" xr:uid="{00000000-0005-0000-0000-0000124C0000}"/>
    <cellStyle name="_Row1_MIS2 3 2 2" xfId="19484" xr:uid="{00000000-0005-0000-0000-0000134C0000}"/>
    <cellStyle name="_Row1_MIS2 3 2 3" xfId="19485" xr:uid="{00000000-0005-0000-0000-0000144C0000}"/>
    <cellStyle name="_Row1_MIS2 3 3" xfId="19486" xr:uid="{00000000-0005-0000-0000-0000154C0000}"/>
    <cellStyle name="_Row1_MIS2 4" xfId="19487" xr:uid="{00000000-0005-0000-0000-0000164C0000}"/>
    <cellStyle name="_Row1_MIS2 4 2" xfId="19488" xr:uid="{00000000-0005-0000-0000-0000174C0000}"/>
    <cellStyle name="_Row1_MIS2 4 3" xfId="19489" xr:uid="{00000000-0005-0000-0000-0000184C0000}"/>
    <cellStyle name="_Row1_MIS2 5" xfId="19490" xr:uid="{00000000-0005-0000-0000-0000194C0000}"/>
    <cellStyle name="_Row1_MIS2 6" xfId="19491" xr:uid="{00000000-0005-0000-0000-00001A4C0000}"/>
    <cellStyle name="_Row1_Mis24" xfId="19492" xr:uid="{00000000-0005-0000-0000-00001B4C0000}"/>
    <cellStyle name="_Row1_Mis24 2" xfId="19493" xr:uid="{00000000-0005-0000-0000-00001C4C0000}"/>
    <cellStyle name="_Row1_Mis24 2 2" xfId="19494" xr:uid="{00000000-0005-0000-0000-00001D4C0000}"/>
    <cellStyle name="_Row1_Mis24 3" xfId="19495" xr:uid="{00000000-0005-0000-0000-00001E4C0000}"/>
    <cellStyle name="_Row1_Mis24_CA ML" xfId="19496" xr:uid="{00000000-0005-0000-0000-00001F4C0000}"/>
    <cellStyle name="_Row1_Mis24_CA ML 2" xfId="19497" xr:uid="{00000000-0005-0000-0000-0000204C0000}"/>
    <cellStyle name="_Row1_Mis24_CA ML 2 2" xfId="19498" xr:uid="{00000000-0005-0000-0000-0000214C0000}"/>
    <cellStyle name="_Row1_Mis24_CA ML 3" xfId="19499" xr:uid="{00000000-0005-0000-0000-0000224C0000}"/>
    <cellStyle name="_Row1_Mis24_CA ML_1" xfId="19500" xr:uid="{00000000-0005-0000-0000-0000234C0000}"/>
    <cellStyle name="_Row1_Mis24_CA ML_1 2" xfId="19501" xr:uid="{00000000-0005-0000-0000-0000244C0000}"/>
    <cellStyle name="_Row1_Mis24_CA ML_1 2 2" xfId="19502" xr:uid="{00000000-0005-0000-0000-0000254C0000}"/>
    <cellStyle name="_Row1_Mis24_CA ML_1 3" xfId="19503" xr:uid="{00000000-0005-0000-0000-0000264C0000}"/>
    <cellStyle name="_Row1_Mis24_CA ML_2" xfId="19504" xr:uid="{00000000-0005-0000-0000-0000274C0000}"/>
    <cellStyle name="_Row1_Mis24_CA ML_2 2" xfId="19505" xr:uid="{00000000-0005-0000-0000-0000284C0000}"/>
    <cellStyle name="_Row1_Mis24_CA ML_2 2 2" xfId="19506" xr:uid="{00000000-0005-0000-0000-0000294C0000}"/>
    <cellStyle name="_Row1_Mis24_CA ML_2 3" xfId="19507" xr:uid="{00000000-0005-0000-0000-00002A4C0000}"/>
    <cellStyle name="_Row1_Mis24_CA USD" xfId="19508" xr:uid="{00000000-0005-0000-0000-00002B4C0000}"/>
    <cellStyle name="_Row1_Mis24_CA USD 2" xfId="19509" xr:uid="{00000000-0005-0000-0000-00002C4C0000}"/>
    <cellStyle name="_Row1_Mis24_CA USD 2 2" xfId="19510" xr:uid="{00000000-0005-0000-0000-00002D4C0000}"/>
    <cellStyle name="_Row1_Mis24_CA USD 3" xfId="19511" xr:uid="{00000000-0005-0000-0000-00002E4C0000}"/>
    <cellStyle name="_Row1_Mis24_Conciliacao 1" xfId="19512" xr:uid="{00000000-0005-0000-0000-00002F4C0000}"/>
    <cellStyle name="_Row1_Mis24_Conciliacao 1 2" xfId="19513" xr:uid="{00000000-0005-0000-0000-0000304C0000}"/>
    <cellStyle name="_Row1_Mis24_Conciliacao 1 2 2" xfId="19514" xr:uid="{00000000-0005-0000-0000-0000314C0000}"/>
    <cellStyle name="_Row1_Mis24_Conciliacao 1 3" xfId="19515" xr:uid="{00000000-0005-0000-0000-0000324C0000}"/>
    <cellStyle name="_Row1_Mis24_EC ML" xfId="19516" xr:uid="{00000000-0005-0000-0000-0000334C0000}"/>
    <cellStyle name="_Row1_Mis24_EC ML 2" xfId="19517" xr:uid="{00000000-0005-0000-0000-0000344C0000}"/>
    <cellStyle name="_Row1_Mis24_EC ML 2 2" xfId="19518" xr:uid="{00000000-0005-0000-0000-0000354C0000}"/>
    <cellStyle name="_Row1_Mis24_EC ML 3" xfId="19519" xr:uid="{00000000-0005-0000-0000-0000364C0000}"/>
    <cellStyle name="_Row1_Mis24_EC ML_1" xfId="19520" xr:uid="{00000000-0005-0000-0000-0000374C0000}"/>
    <cellStyle name="_Row1_Mis24_EC ML_1 2" xfId="19521" xr:uid="{00000000-0005-0000-0000-0000384C0000}"/>
    <cellStyle name="_Row1_Mis24_EC ML_1 2 2" xfId="19522" xr:uid="{00000000-0005-0000-0000-0000394C0000}"/>
    <cellStyle name="_Row1_Mis24_EC ML_1 3" xfId="19523" xr:uid="{00000000-0005-0000-0000-00003A4C0000}"/>
    <cellStyle name="_Row1_Mis24_EC USD" xfId="19524" xr:uid="{00000000-0005-0000-0000-00003B4C0000}"/>
    <cellStyle name="_Row1_Mis24_EC USD 2" xfId="19525" xr:uid="{00000000-0005-0000-0000-00003C4C0000}"/>
    <cellStyle name="_Row1_Mis24_EC USD 2 2" xfId="19526" xr:uid="{00000000-0005-0000-0000-00003D4C0000}"/>
    <cellStyle name="_Row1_Mis24_EC USD 3" xfId="19527" xr:uid="{00000000-0005-0000-0000-00003E4C0000}"/>
    <cellStyle name="_Row1_Mis24_fx" xfId="19528" xr:uid="{00000000-0005-0000-0000-00003F4C0000}"/>
    <cellStyle name="_Row1_Mis24_fx 2" xfId="19529" xr:uid="{00000000-0005-0000-0000-0000404C0000}"/>
    <cellStyle name="_Row1_Mis24_fx 2 2" xfId="19530" xr:uid="{00000000-0005-0000-0000-0000414C0000}"/>
    <cellStyle name="_Row1_Mis24_fx 3" xfId="19531" xr:uid="{00000000-0005-0000-0000-0000424C0000}"/>
    <cellStyle name="_Row1_Mis24_Pasta2" xfId="19532" xr:uid="{00000000-0005-0000-0000-0000434C0000}"/>
    <cellStyle name="_Row1_Mis24_Pasta2 2" xfId="19533" xr:uid="{00000000-0005-0000-0000-0000444C0000}"/>
    <cellStyle name="_Row1_Mis24_Pasta2 2 2" xfId="19534" xr:uid="{00000000-0005-0000-0000-0000454C0000}"/>
    <cellStyle name="_Row1_Mis24_Pasta2 3" xfId="19535" xr:uid="{00000000-0005-0000-0000-0000464C0000}"/>
    <cellStyle name="_Row1_Mis24_PE ML" xfId="19536" xr:uid="{00000000-0005-0000-0000-0000474C0000}"/>
    <cellStyle name="_Row1_Mis24_PE ML 2" xfId="19537" xr:uid="{00000000-0005-0000-0000-0000484C0000}"/>
    <cellStyle name="_Row1_Mis24_PE ML 2 2" xfId="19538" xr:uid="{00000000-0005-0000-0000-0000494C0000}"/>
    <cellStyle name="_Row1_Mis24_PE ML 3" xfId="19539" xr:uid="{00000000-0005-0000-0000-00004A4C0000}"/>
    <cellStyle name="_Row1_Mis24_PE ML_1" xfId="19540" xr:uid="{00000000-0005-0000-0000-00004B4C0000}"/>
    <cellStyle name="_Row1_Mis24_PE ML_1 2" xfId="19541" xr:uid="{00000000-0005-0000-0000-00004C4C0000}"/>
    <cellStyle name="_Row1_Mis24_PE ML_1 2 2" xfId="19542" xr:uid="{00000000-0005-0000-0000-00004D4C0000}"/>
    <cellStyle name="_Row1_Mis24_PE ML_1 3" xfId="19543" xr:uid="{00000000-0005-0000-0000-00004E4C0000}"/>
    <cellStyle name="_Row1_Mis24_PE ML_2" xfId="19544" xr:uid="{00000000-0005-0000-0000-00004F4C0000}"/>
    <cellStyle name="_Row1_Mis24_PE ML_2 2" xfId="19545" xr:uid="{00000000-0005-0000-0000-0000504C0000}"/>
    <cellStyle name="_Row1_Mis24_PE ML_2 2 2" xfId="19546" xr:uid="{00000000-0005-0000-0000-0000514C0000}"/>
    <cellStyle name="_Row1_Mis24_PE ML_2 3" xfId="19547" xr:uid="{00000000-0005-0000-0000-0000524C0000}"/>
    <cellStyle name="_Row1_Mis24_PE Simulador Precios P1A 2009 v.2_rev.fernando" xfId="19548" xr:uid="{00000000-0005-0000-0000-0000534C0000}"/>
    <cellStyle name="_Row1_Mis24_PE Simulador Precios P1A 2009 v.2_rev.fernando 2" xfId="19549" xr:uid="{00000000-0005-0000-0000-0000544C0000}"/>
    <cellStyle name="_Row1_Mis24_PE Simulador Precios P1A 2009 v.2_rev.fernando 2 2" xfId="19550" xr:uid="{00000000-0005-0000-0000-0000554C0000}"/>
    <cellStyle name="_Row1_Mis24_PE Simulador Precios P1A 2009 v.2_rev.fernando 3" xfId="19551" xr:uid="{00000000-0005-0000-0000-0000564C0000}"/>
    <cellStyle name="_Row1_Mis24_PE USD" xfId="19552" xr:uid="{00000000-0005-0000-0000-0000574C0000}"/>
    <cellStyle name="_Row1_Mis24_PE USD 2" xfId="19553" xr:uid="{00000000-0005-0000-0000-0000584C0000}"/>
    <cellStyle name="_Row1_Mis24_PE USD 2 2" xfId="19554" xr:uid="{00000000-0005-0000-0000-0000594C0000}"/>
    <cellStyle name="_Row1_Mis24_PE USD 3" xfId="19555" xr:uid="{00000000-0005-0000-0000-00005A4C0000}"/>
    <cellStyle name="_Row1_Mis24_RD ML" xfId="19556" xr:uid="{00000000-0005-0000-0000-00005B4C0000}"/>
    <cellStyle name="_Row1_Mis24_RD ML 2" xfId="19557" xr:uid="{00000000-0005-0000-0000-00005C4C0000}"/>
    <cellStyle name="_Row1_Mis24_RD ML 2 2" xfId="19558" xr:uid="{00000000-0005-0000-0000-00005D4C0000}"/>
    <cellStyle name="_Row1_Mis24_RD ML 3" xfId="19559" xr:uid="{00000000-0005-0000-0000-00005E4C0000}"/>
    <cellStyle name="_Row1_Mis24_RD ML_1" xfId="19560" xr:uid="{00000000-0005-0000-0000-00005F4C0000}"/>
    <cellStyle name="_Row1_Mis24_RD ML_1 2" xfId="19561" xr:uid="{00000000-0005-0000-0000-0000604C0000}"/>
    <cellStyle name="_Row1_Mis24_RD ML_1 2 2" xfId="19562" xr:uid="{00000000-0005-0000-0000-0000614C0000}"/>
    <cellStyle name="_Row1_Mis24_RD ML_1 3" xfId="19563" xr:uid="{00000000-0005-0000-0000-0000624C0000}"/>
    <cellStyle name="_Row1_Mis24_RD ML_2" xfId="19564" xr:uid="{00000000-0005-0000-0000-0000634C0000}"/>
    <cellStyle name="_Row1_Mis24_RD ML_2 2" xfId="19565" xr:uid="{00000000-0005-0000-0000-0000644C0000}"/>
    <cellStyle name="_Row1_Mis24_RD ML_2 2 2" xfId="19566" xr:uid="{00000000-0005-0000-0000-0000654C0000}"/>
    <cellStyle name="_Row1_Mis24_RD ML_2 3" xfId="19567" xr:uid="{00000000-0005-0000-0000-0000664C0000}"/>
    <cellStyle name="_Row1_Mis24_RD USD" xfId="19568" xr:uid="{00000000-0005-0000-0000-0000674C0000}"/>
    <cellStyle name="_Row1_Mis24_RD USD 2" xfId="19569" xr:uid="{00000000-0005-0000-0000-0000684C0000}"/>
    <cellStyle name="_Row1_Mis24_RD USD 2 2" xfId="19570" xr:uid="{00000000-0005-0000-0000-0000694C0000}"/>
    <cellStyle name="_Row1_Mis24_RD USD 3" xfId="19571" xr:uid="{00000000-0005-0000-0000-00006A4C0000}"/>
    <cellStyle name="_Row1_Mis24_Riesgos - Oportunidades" xfId="19572" xr:uid="{00000000-0005-0000-0000-00006B4C0000}"/>
    <cellStyle name="_Row1_Mis24_Riesgos - Oportunidades 2" xfId="19573" xr:uid="{00000000-0005-0000-0000-00006C4C0000}"/>
    <cellStyle name="_Row1_Mis24_Riesgos - Oportunidades 2 2" xfId="19574" xr:uid="{00000000-0005-0000-0000-00006D4C0000}"/>
    <cellStyle name="_Row1_Mis24_Riesgos - Oportunidades 3" xfId="19575" xr:uid="{00000000-0005-0000-0000-00006E4C0000}"/>
    <cellStyle name="_Row1_Mis24_SDG FEV" xfId="19576" xr:uid="{00000000-0005-0000-0000-00006F4C0000}"/>
    <cellStyle name="_Row1_Mis24_SDG FEV 2" xfId="19577" xr:uid="{00000000-0005-0000-0000-0000704C0000}"/>
    <cellStyle name="_Row1_Mis24_SDG FEV 2 2" xfId="19578" xr:uid="{00000000-0005-0000-0000-0000714C0000}"/>
    <cellStyle name="_Row1_Mis24_SDG FEV 3" xfId="19579" xr:uid="{00000000-0005-0000-0000-0000724C0000}"/>
    <cellStyle name="_Row1_Mis24_Sim LE Full v2 (1o. Tri com Ene real) Organic " xfId="19580" xr:uid="{00000000-0005-0000-0000-0000734C0000}"/>
    <cellStyle name="_Row1_Mis24_Sim LE Full v2 (1o. Tri com Ene real) Organic  2" xfId="19581" xr:uid="{00000000-0005-0000-0000-0000744C0000}"/>
    <cellStyle name="_Row1_Mis24_Sim LE Full v2 (1o. Tri com Ene real) Organic  2 2" xfId="19582" xr:uid="{00000000-0005-0000-0000-0000754C0000}"/>
    <cellStyle name="_Row1_Mis24_Sim LE Full v2 (1o. Tri com Ene real) Organic  3" xfId="19583" xr:uid="{00000000-0005-0000-0000-0000764C0000}"/>
    <cellStyle name="_Row1_Mis24_SIMULADOR RDV6!" xfId="19584" xr:uid="{00000000-0005-0000-0000-0000774C0000}"/>
    <cellStyle name="_Row1_Mis24_SIMULADOR RDV6! 2" xfId="19585" xr:uid="{00000000-0005-0000-0000-0000784C0000}"/>
    <cellStyle name="_Row1_Mis24_SIMULADOR RDV6! 2 2" xfId="19586" xr:uid="{00000000-0005-0000-0000-0000794C0000}"/>
    <cellStyle name="_Row1_Mis24_SIMULADOR RDV6! 3" xfId="19587" xr:uid="{00000000-0005-0000-0000-00007A4C0000}"/>
    <cellStyle name="_Row1_Mis24_TENDENCIA V0309" xfId="19588" xr:uid="{00000000-0005-0000-0000-00007B4C0000}"/>
    <cellStyle name="_Row1_Mis24_TENDENCIA V0309 2" xfId="19589" xr:uid="{00000000-0005-0000-0000-00007C4C0000}"/>
    <cellStyle name="_Row1_Mis24_TENDENCIA V0309 2 2" xfId="19590" xr:uid="{00000000-0005-0000-0000-00007D4C0000}"/>
    <cellStyle name="_Row1_Mis24_TENDENCIA V0309 3" xfId="19591" xr:uid="{00000000-0005-0000-0000-00007E4C0000}"/>
    <cellStyle name="_Row1_Mis24_TENDENCIA V0409" xfId="19592" xr:uid="{00000000-0005-0000-0000-00007F4C0000}"/>
    <cellStyle name="_Row1_Mis24_TENDENCIA V0409 2" xfId="19593" xr:uid="{00000000-0005-0000-0000-0000804C0000}"/>
    <cellStyle name="_Row1_Mis24_TENDENCIA V0409 2 2" xfId="19594" xr:uid="{00000000-0005-0000-0000-0000814C0000}"/>
    <cellStyle name="_Row1_Mis24_TENDENCIA V0409 3" xfId="19595" xr:uid="{00000000-0005-0000-0000-0000824C0000}"/>
    <cellStyle name="_Row1_Mis24_TENDENCIA V2" xfId="19596" xr:uid="{00000000-0005-0000-0000-0000834C0000}"/>
    <cellStyle name="_Row1_Mis24_TENDENCIA V2 2" xfId="19597" xr:uid="{00000000-0005-0000-0000-0000844C0000}"/>
    <cellStyle name="_Row1_Mis24_TENDENCIA V2 2 2" xfId="19598" xr:uid="{00000000-0005-0000-0000-0000854C0000}"/>
    <cellStyle name="_Row1_Mis24_TENDENCIA V2 3" xfId="19599" xr:uid="{00000000-0005-0000-0000-0000864C0000}"/>
    <cellStyle name="_Row1_Mis24_TENDENCIA0709 " xfId="19600" xr:uid="{00000000-0005-0000-0000-0000874C0000}"/>
    <cellStyle name="_Row1_Mis24_TENDENCIA0709  2" xfId="19601" xr:uid="{00000000-0005-0000-0000-0000884C0000}"/>
    <cellStyle name="_Row1_Mis24_TENDENCIA0709  2 2" xfId="19602" xr:uid="{00000000-0005-0000-0000-0000894C0000}"/>
    <cellStyle name="_Row1_Mis24_TENDENCIA0709  3" xfId="19603" xr:uid="{00000000-0005-0000-0000-00008A4C0000}"/>
    <cellStyle name="_Row1_Mis24_TENDENCIA0909 " xfId="19604" xr:uid="{00000000-0005-0000-0000-00008B4C0000}"/>
    <cellStyle name="_Row1_Mis24_TENDENCIA0909  2" xfId="19605" xr:uid="{00000000-0005-0000-0000-00008C4C0000}"/>
    <cellStyle name="_Row1_Mis24_TENDENCIA0909  2 2" xfId="19606" xr:uid="{00000000-0005-0000-0000-00008D4C0000}"/>
    <cellStyle name="_Row1_Mis24_TENDENCIA0909  3" xfId="19607" xr:uid="{00000000-0005-0000-0000-00008E4C0000}"/>
    <cellStyle name="_Row1_MIS3" xfId="19608" xr:uid="{00000000-0005-0000-0000-00008F4C0000}"/>
    <cellStyle name="_Row1_MIS3 2" xfId="19609" xr:uid="{00000000-0005-0000-0000-0000904C0000}"/>
    <cellStyle name="_Row1_MIS3 2 2" xfId="19610" xr:uid="{00000000-0005-0000-0000-0000914C0000}"/>
    <cellStyle name="_Row1_MIS3 2 2 2" xfId="19611" xr:uid="{00000000-0005-0000-0000-0000924C0000}"/>
    <cellStyle name="_Row1_MIS3 2 3" xfId="19612" xr:uid="{00000000-0005-0000-0000-0000934C0000}"/>
    <cellStyle name="_Row1_MIS3 2 3 2" xfId="19613" xr:uid="{00000000-0005-0000-0000-0000944C0000}"/>
    <cellStyle name="_Row1_MIS3 2 3 3" xfId="19614" xr:uid="{00000000-0005-0000-0000-0000954C0000}"/>
    <cellStyle name="_Row1_MIS3 2 4" xfId="19615" xr:uid="{00000000-0005-0000-0000-0000964C0000}"/>
    <cellStyle name="_Row1_MIS3 2 5" xfId="19616" xr:uid="{00000000-0005-0000-0000-0000974C0000}"/>
    <cellStyle name="_Row1_MIS3 3" xfId="19617" xr:uid="{00000000-0005-0000-0000-0000984C0000}"/>
    <cellStyle name="_Row1_MIS3 3 2" xfId="19618" xr:uid="{00000000-0005-0000-0000-0000994C0000}"/>
    <cellStyle name="_Row1_MIS3 3 2 2" xfId="19619" xr:uid="{00000000-0005-0000-0000-00009A4C0000}"/>
    <cellStyle name="_Row1_MIS3 3 2 3" xfId="19620" xr:uid="{00000000-0005-0000-0000-00009B4C0000}"/>
    <cellStyle name="_Row1_MIS3 3 3" xfId="19621" xr:uid="{00000000-0005-0000-0000-00009C4C0000}"/>
    <cellStyle name="_Row1_MIS3 4" xfId="19622" xr:uid="{00000000-0005-0000-0000-00009D4C0000}"/>
    <cellStyle name="_Row1_MIS3 4 2" xfId="19623" xr:uid="{00000000-0005-0000-0000-00009E4C0000}"/>
    <cellStyle name="_Row1_MIS3 4 3" xfId="19624" xr:uid="{00000000-0005-0000-0000-00009F4C0000}"/>
    <cellStyle name="_Row1_MIS3 5" xfId="19625" xr:uid="{00000000-0005-0000-0000-0000A04C0000}"/>
    <cellStyle name="_Row1_MIS3 6" xfId="19626" xr:uid="{00000000-0005-0000-0000-0000A14C0000}"/>
    <cellStyle name="_Row1_Pasta2" xfId="19627" xr:uid="{00000000-0005-0000-0000-0000A24C0000}"/>
    <cellStyle name="_Row1_Pasta2 2" xfId="19628" xr:uid="{00000000-0005-0000-0000-0000A34C0000}"/>
    <cellStyle name="_Row1_Pasta2 2 2" xfId="19629" xr:uid="{00000000-0005-0000-0000-0000A44C0000}"/>
    <cellStyle name="_Row1_Pasta2 3" xfId="19630" xr:uid="{00000000-0005-0000-0000-0000A54C0000}"/>
    <cellStyle name="_Row1_PE ML" xfId="19631" xr:uid="{00000000-0005-0000-0000-0000A64C0000}"/>
    <cellStyle name="_Row1_PE ML 2" xfId="19632" xr:uid="{00000000-0005-0000-0000-0000A74C0000}"/>
    <cellStyle name="_Row1_PE ML 2 2" xfId="19633" xr:uid="{00000000-0005-0000-0000-0000A84C0000}"/>
    <cellStyle name="_Row1_PE ML 3" xfId="19634" xr:uid="{00000000-0005-0000-0000-0000A94C0000}"/>
    <cellStyle name="_Row1_PE ML_1" xfId="19635" xr:uid="{00000000-0005-0000-0000-0000AA4C0000}"/>
    <cellStyle name="_Row1_PE ML_1 2" xfId="19636" xr:uid="{00000000-0005-0000-0000-0000AB4C0000}"/>
    <cellStyle name="_Row1_PE ML_1 2 2" xfId="19637" xr:uid="{00000000-0005-0000-0000-0000AC4C0000}"/>
    <cellStyle name="_Row1_PE ML_1 3" xfId="19638" xr:uid="{00000000-0005-0000-0000-0000AD4C0000}"/>
    <cellStyle name="_Row1_PE ML_2" xfId="19639" xr:uid="{00000000-0005-0000-0000-0000AE4C0000}"/>
    <cellStyle name="_Row1_PE ML_2 2" xfId="19640" xr:uid="{00000000-0005-0000-0000-0000AF4C0000}"/>
    <cellStyle name="_Row1_PE ML_2 2 2" xfId="19641" xr:uid="{00000000-0005-0000-0000-0000B04C0000}"/>
    <cellStyle name="_Row1_PE ML_2 3" xfId="19642" xr:uid="{00000000-0005-0000-0000-0000B14C0000}"/>
    <cellStyle name="_Row1_PE Simulador Precios P1A 2009 v.2_rev.fernando" xfId="19643" xr:uid="{00000000-0005-0000-0000-0000B24C0000}"/>
    <cellStyle name="_Row1_PE Simulador Precios P1A 2009 v.2_rev.fernando 2" xfId="19644" xr:uid="{00000000-0005-0000-0000-0000B34C0000}"/>
    <cellStyle name="_Row1_PE Simulador Precios P1A 2009 v.2_rev.fernando 2 2" xfId="19645" xr:uid="{00000000-0005-0000-0000-0000B44C0000}"/>
    <cellStyle name="_Row1_PE Simulador Precios P1A 2009 v.2_rev.fernando 3" xfId="19646" xr:uid="{00000000-0005-0000-0000-0000B54C0000}"/>
    <cellStyle name="_Row1_PE USD" xfId="19647" xr:uid="{00000000-0005-0000-0000-0000B64C0000}"/>
    <cellStyle name="_Row1_PE USD 2" xfId="19648" xr:uid="{00000000-0005-0000-0000-0000B74C0000}"/>
    <cellStyle name="_Row1_PE USD 2 2" xfId="19649" xr:uid="{00000000-0005-0000-0000-0000B84C0000}"/>
    <cellStyle name="_Row1_PE USD 3" xfId="19650" xr:uid="{00000000-0005-0000-0000-0000B94C0000}"/>
    <cellStyle name="_Row1_RD ML" xfId="19651" xr:uid="{00000000-0005-0000-0000-0000BA4C0000}"/>
    <cellStyle name="_Row1_RD ML 2" xfId="19652" xr:uid="{00000000-0005-0000-0000-0000BB4C0000}"/>
    <cellStyle name="_Row1_RD ML 2 2" xfId="19653" xr:uid="{00000000-0005-0000-0000-0000BC4C0000}"/>
    <cellStyle name="_Row1_RD ML 3" xfId="19654" xr:uid="{00000000-0005-0000-0000-0000BD4C0000}"/>
    <cellStyle name="_Row1_RD ML_1" xfId="19655" xr:uid="{00000000-0005-0000-0000-0000BE4C0000}"/>
    <cellStyle name="_Row1_RD ML_1 2" xfId="19656" xr:uid="{00000000-0005-0000-0000-0000BF4C0000}"/>
    <cellStyle name="_Row1_RD ML_1 2 2" xfId="19657" xr:uid="{00000000-0005-0000-0000-0000C04C0000}"/>
    <cellStyle name="_Row1_RD ML_1 3" xfId="19658" xr:uid="{00000000-0005-0000-0000-0000C14C0000}"/>
    <cellStyle name="_Row1_RD ML_2" xfId="19659" xr:uid="{00000000-0005-0000-0000-0000C24C0000}"/>
    <cellStyle name="_Row1_RD ML_2 2" xfId="19660" xr:uid="{00000000-0005-0000-0000-0000C34C0000}"/>
    <cellStyle name="_Row1_RD ML_2 2 2" xfId="19661" xr:uid="{00000000-0005-0000-0000-0000C44C0000}"/>
    <cellStyle name="_Row1_RD ML_2 3" xfId="19662" xr:uid="{00000000-0005-0000-0000-0000C54C0000}"/>
    <cellStyle name="_Row1_RD USD" xfId="19663" xr:uid="{00000000-0005-0000-0000-0000C64C0000}"/>
    <cellStyle name="_Row1_RD USD 2" xfId="19664" xr:uid="{00000000-0005-0000-0000-0000C74C0000}"/>
    <cellStyle name="_Row1_RD USD 2 2" xfId="19665" xr:uid="{00000000-0005-0000-0000-0000C84C0000}"/>
    <cellStyle name="_Row1_RD USD 3" xfId="19666" xr:uid="{00000000-0005-0000-0000-0000C94C0000}"/>
    <cellStyle name="_Row1_Riesgos - Oportunidades" xfId="19667" xr:uid="{00000000-0005-0000-0000-0000CA4C0000}"/>
    <cellStyle name="_Row1_Riesgos - Oportunidades 2" xfId="19668" xr:uid="{00000000-0005-0000-0000-0000CB4C0000}"/>
    <cellStyle name="_Row1_Riesgos - Oportunidades 2 2" xfId="19669" xr:uid="{00000000-0005-0000-0000-0000CC4C0000}"/>
    <cellStyle name="_Row1_Riesgos - Oportunidades 3" xfId="19670" xr:uid="{00000000-0005-0000-0000-0000CD4C0000}"/>
    <cellStyle name="_Row1_Sales Performance Review - deck templates 5.2" xfId="19671" xr:uid="{00000000-0005-0000-0000-0000CE4C0000}"/>
    <cellStyle name="_Row1_Sales Performance Review - deck templates 5.2 2" xfId="19672" xr:uid="{00000000-0005-0000-0000-0000CF4C0000}"/>
    <cellStyle name="_Row1_Sales Performance Review - deck templates 5.2 2 2" xfId="19673" xr:uid="{00000000-0005-0000-0000-0000D04C0000}"/>
    <cellStyle name="_Row1_Sales Performance Review - deck templates 5.2 2 2 2" xfId="19674" xr:uid="{00000000-0005-0000-0000-0000D14C0000}"/>
    <cellStyle name="_Row1_Sales Performance Review - deck templates 5.2 2 3" xfId="19675" xr:uid="{00000000-0005-0000-0000-0000D24C0000}"/>
    <cellStyle name="_Row1_Sales Performance Review - deck templates 5.2 2 3 2" xfId="19676" xr:uid="{00000000-0005-0000-0000-0000D34C0000}"/>
    <cellStyle name="_Row1_Sales Performance Review - deck templates 5.2 2 3 3" xfId="19677" xr:uid="{00000000-0005-0000-0000-0000D44C0000}"/>
    <cellStyle name="_Row1_Sales Performance Review - deck templates 5.2 2 4" xfId="19678" xr:uid="{00000000-0005-0000-0000-0000D54C0000}"/>
    <cellStyle name="_Row1_Sales Performance Review - deck templates 5.2 2 5" xfId="19679" xr:uid="{00000000-0005-0000-0000-0000D64C0000}"/>
    <cellStyle name="_Row1_Sales Performance Review - deck templates 5.2 3" xfId="19680" xr:uid="{00000000-0005-0000-0000-0000D74C0000}"/>
    <cellStyle name="_Row1_Sales Performance Review - deck templates 5.2 3 2" xfId="19681" xr:uid="{00000000-0005-0000-0000-0000D84C0000}"/>
    <cellStyle name="_Row1_Sales Performance Review - deck templates 5.2 3 2 2" xfId="19682" xr:uid="{00000000-0005-0000-0000-0000D94C0000}"/>
    <cellStyle name="_Row1_Sales Performance Review - deck templates 5.2 3 2 3" xfId="19683" xr:uid="{00000000-0005-0000-0000-0000DA4C0000}"/>
    <cellStyle name="_Row1_Sales Performance Review - deck templates 5.2 3 3" xfId="19684" xr:uid="{00000000-0005-0000-0000-0000DB4C0000}"/>
    <cellStyle name="_Row1_Sales Performance Review - deck templates 5.2 4" xfId="19685" xr:uid="{00000000-0005-0000-0000-0000DC4C0000}"/>
    <cellStyle name="_Row1_Sales Performance Review - deck templates 5.2 4 2" xfId="19686" xr:uid="{00000000-0005-0000-0000-0000DD4C0000}"/>
    <cellStyle name="_Row1_Sales Performance Review - deck templates 5.2 4 3" xfId="19687" xr:uid="{00000000-0005-0000-0000-0000DE4C0000}"/>
    <cellStyle name="_Row1_Sales Performance Review - deck templates 5.2 5" xfId="19688" xr:uid="{00000000-0005-0000-0000-0000DF4C0000}"/>
    <cellStyle name="_Row1_Sales Performance Review - deck templates 5.2 6" xfId="19689" xr:uid="{00000000-0005-0000-0000-0000E04C0000}"/>
    <cellStyle name="_Row1_SDG FEV" xfId="19690" xr:uid="{00000000-0005-0000-0000-0000E14C0000}"/>
    <cellStyle name="_Row1_SDG FEV 2" xfId="19691" xr:uid="{00000000-0005-0000-0000-0000E24C0000}"/>
    <cellStyle name="_Row1_SDG FEV 2 2" xfId="19692" xr:uid="{00000000-0005-0000-0000-0000E34C0000}"/>
    <cellStyle name="_Row1_SDG FEV 3" xfId="19693" xr:uid="{00000000-0005-0000-0000-0000E44C0000}"/>
    <cellStyle name="_Row1_Sim LE Full v2 (1o. Tri com Ene real) Organic " xfId="19694" xr:uid="{00000000-0005-0000-0000-0000E54C0000}"/>
    <cellStyle name="_Row1_Sim LE Full v2 (1o. Tri com Ene real) Organic  2" xfId="19695" xr:uid="{00000000-0005-0000-0000-0000E64C0000}"/>
    <cellStyle name="_Row1_Sim LE Full v2 (1o. Tri com Ene real) Organic  2 2" xfId="19696" xr:uid="{00000000-0005-0000-0000-0000E74C0000}"/>
    <cellStyle name="_Row1_Sim LE Full v2 (1o. Tri com Ene real) Organic  3" xfId="19697" xr:uid="{00000000-0005-0000-0000-0000E84C0000}"/>
    <cellStyle name="_Row1_SIMULADOR RDV6!" xfId="19698" xr:uid="{00000000-0005-0000-0000-0000E94C0000}"/>
    <cellStyle name="_Row1_SIMULADOR RDV6! 2" xfId="19699" xr:uid="{00000000-0005-0000-0000-0000EA4C0000}"/>
    <cellStyle name="_Row1_SIMULADOR RDV6! 2 2" xfId="19700" xr:uid="{00000000-0005-0000-0000-0000EB4C0000}"/>
    <cellStyle name="_Row1_SIMULADOR RDV6! 3" xfId="19701" xr:uid="{00000000-0005-0000-0000-0000EC4C0000}"/>
    <cellStyle name="_Row1_Tabelle1" xfId="19702" xr:uid="{00000000-0005-0000-0000-0000ED4C0000}"/>
    <cellStyle name="_Row1_Tabelle1 2" xfId="19703" xr:uid="{00000000-0005-0000-0000-0000EE4C0000}"/>
    <cellStyle name="_Row1_Tabelle1 2 2" xfId="19704" xr:uid="{00000000-0005-0000-0000-0000EF4C0000}"/>
    <cellStyle name="_Row1_Tabelle1 3" xfId="19705" xr:uid="{00000000-0005-0000-0000-0000F04C0000}"/>
    <cellStyle name="_Row1_Tabelle1_ZBB Budget 2009 Decks v2 china" xfId="19706" xr:uid="{00000000-0005-0000-0000-0000F14C0000}"/>
    <cellStyle name="_Row1_Tabelle1_ZBB Budget 2009 Decks v2 china 2" xfId="19707" xr:uid="{00000000-0005-0000-0000-0000F24C0000}"/>
    <cellStyle name="_Row1_Tabelle1_ZBB Budget 2009 Decks v2 china 2 2" xfId="19708" xr:uid="{00000000-0005-0000-0000-0000F34C0000}"/>
    <cellStyle name="_Row1_Tabelle1_ZBB Budget 2009 Decks v2 china 3" xfId="19709" xr:uid="{00000000-0005-0000-0000-0000F44C0000}"/>
    <cellStyle name="_Row1_Tabelle1_ZBB standard Template Korea_081105" xfId="19710" xr:uid="{00000000-0005-0000-0000-0000F54C0000}"/>
    <cellStyle name="_Row1_Tabelle1_ZBB standard Template Korea_081105 2" xfId="19711" xr:uid="{00000000-0005-0000-0000-0000F64C0000}"/>
    <cellStyle name="_Row1_Tabelle1_ZBB standard Template Korea_081105 2 2" xfId="19712" xr:uid="{00000000-0005-0000-0000-0000F74C0000}"/>
    <cellStyle name="_Row1_Tabelle1_ZBB standard Template Korea_081105 3" xfId="19713" xr:uid="{00000000-0005-0000-0000-0000F84C0000}"/>
    <cellStyle name="_Row1_TENDENCIA V0309" xfId="19714" xr:uid="{00000000-0005-0000-0000-0000F94C0000}"/>
    <cellStyle name="_Row1_TENDENCIA V0309 2" xfId="19715" xr:uid="{00000000-0005-0000-0000-0000FA4C0000}"/>
    <cellStyle name="_Row1_TENDENCIA V0309 2 2" xfId="19716" xr:uid="{00000000-0005-0000-0000-0000FB4C0000}"/>
    <cellStyle name="_Row1_TENDENCIA V0309 3" xfId="19717" xr:uid="{00000000-0005-0000-0000-0000FC4C0000}"/>
    <cellStyle name="_Row1_TENDENCIA V0409" xfId="19718" xr:uid="{00000000-0005-0000-0000-0000FD4C0000}"/>
    <cellStyle name="_Row1_TENDENCIA V0409 2" xfId="19719" xr:uid="{00000000-0005-0000-0000-0000FE4C0000}"/>
    <cellStyle name="_Row1_TENDENCIA V0409 2 2" xfId="19720" xr:uid="{00000000-0005-0000-0000-0000FF4C0000}"/>
    <cellStyle name="_Row1_TENDENCIA V0409 3" xfId="19721" xr:uid="{00000000-0005-0000-0000-0000004D0000}"/>
    <cellStyle name="_Row1_TENDENCIA V2" xfId="19722" xr:uid="{00000000-0005-0000-0000-0000014D0000}"/>
    <cellStyle name="_Row1_TENDENCIA V2 2" xfId="19723" xr:uid="{00000000-0005-0000-0000-0000024D0000}"/>
    <cellStyle name="_Row1_TENDENCIA V2 2 2" xfId="19724" xr:uid="{00000000-0005-0000-0000-0000034D0000}"/>
    <cellStyle name="_Row1_TENDENCIA V2 3" xfId="19725" xr:uid="{00000000-0005-0000-0000-0000044D0000}"/>
    <cellStyle name="_Row1_TENDENCIA0709 " xfId="19726" xr:uid="{00000000-0005-0000-0000-0000054D0000}"/>
    <cellStyle name="_Row1_TENDENCIA0709  2" xfId="19727" xr:uid="{00000000-0005-0000-0000-0000064D0000}"/>
    <cellStyle name="_Row1_TENDENCIA0709  2 2" xfId="19728" xr:uid="{00000000-0005-0000-0000-0000074D0000}"/>
    <cellStyle name="_Row1_TENDENCIA0709  3" xfId="19729" xr:uid="{00000000-0005-0000-0000-0000084D0000}"/>
    <cellStyle name="_Row1_TENDENCIA0909 " xfId="19730" xr:uid="{00000000-0005-0000-0000-0000094D0000}"/>
    <cellStyle name="_Row1_TENDENCIA0909  2" xfId="19731" xr:uid="{00000000-0005-0000-0000-00000A4D0000}"/>
    <cellStyle name="_Row1_TENDENCIA0909  2 2" xfId="19732" xr:uid="{00000000-0005-0000-0000-00000B4D0000}"/>
    <cellStyle name="_Row1_TENDENCIA0909  3" xfId="19733" xr:uid="{00000000-0005-0000-0000-00000C4D0000}"/>
    <cellStyle name="_Row1_Volumi BU'07" xfId="19734" xr:uid="{00000000-0005-0000-0000-00000D4D0000}"/>
    <cellStyle name="_Row1_Volumi BU'07 2" xfId="19735" xr:uid="{00000000-0005-0000-0000-00000E4D0000}"/>
    <cellStyle name="_Row1_Volumi BU'07 2 2" xfId="19736" xr:uid="{00000000-0005-0000-0000-00000F4D0000}"/>
    <cellStyle name="_Row1_Volumi BU'07 3" xfId="19737" xr:uid="{00000000-0005-0000-0000-0000104D0000}"/>
    <cellStyle name="_Row1_ZBB Budget 2009 Decks v2 china" xfId="19738" xr:uid="{00000000-0005-0000-0000-0000114D0000}"/>
    <cellStyle name="_Row1_ZBB Budget 2009 Decks v2 china 2" xfId="19739" xr:uid="{00000000-0005-0000-0000-0000124D0000}"/>
    <cellStyle name="_Row1_ZBB Budget 2009 Decks v2 china 2 2" xfId="19740" xr:uid="{00000000-0005-0000-0000-0000134D0000}"/>
    <cellStyle name="_Row1_ZBB Budget 2009 Decks v2 china 3" xfId="19741" xr:uid="{00000000-0005-0000-0000-0000144D0000}"/>
    <cellStyle name="_Row1_ZBB standard Template Korea_081105" xfId="19742" xr:uid="{00000000-0005-0000-0000-0000154D0000}"/>
    <cellStyle name="_Row1_ZBB standard Template Korea_081105 2" xfId="19743" xr:uid="{00000000-0005-0000-0000-0000164D0000}"/>
    <cellStyle name="_Row1_ZBB standard Template Korea_081105 2 2" xfId="19744" xr:uid="{00000000-0005-0000-0000-0000174D0000}"/>
    <cellStyle name="_Row1_ZBB standard Template Korea_081105 3" xfId="19745" xr:uid="{00000000-0005-0000-0000-0000184D0000}"/>
    <cellStyle name="_Row2" xfId="19746" xr:uid="{00000000-0005-0000-0000-0000194D0000}"/>
    <cellStyle name="_Row2 2" xfId="19747" xr:uid="{00000000-0005-0000-0000-00001A4D0000}"/>
    <cellStyle name="_Row2 2 2" xfId="19748" xr:uid="{00000000-0005-0000-0000-00001B4D0000}"/>
    <cellStyle name="_Row2 3" xfId="19749" xr:uid="{00000000-0005-0000-0000-00001C4D0000}"/>
    <cellStyle name="_Row2_Copy of 081027 ZBB Budget 2009 Decks - People_Cherry_V4" xfId="19750" xr:uid="{00000000-0005-0000-0000-00001D4D0000}"/>
    <cellStyle name="_Row2_Copy of 081027 ZBB Budget 2009 Decks - People_Cherry_V4 2" xfId="19751" xr:uid="{00000000-0005-0000-0000-00001E4D0000}"/>
    <cellStyle name="_Row2_Copy of 081027 ZBB Budget 2009 Decks - People_Cherry_V4 2 2" xfId="19752" xr:uid="{00000000-0005-0000-0000-00001F4D0000}"/>
    <cellStyle name="_Row2_Copy of 081027 ZBB Budget 2009 Decks - People_Cherry_V4 3" xfId="19753" xr:uid="{00000000-0005-0000-0000-0000204D0000}"/>
    <cellStyle name="_Row2_Industry Volumes" xfId="19754" xr:uid="{00000000-0005-0000-0000-0000214D0000}"/>
    <cellStyle name="_Row2_Industry Volumes 2" xfId="19755" xr:uid="{00000000-0005-0000-0000-0000224D0000}"/>
    <cellStyle name="_Row2_Industry Volumes 2 2" xfId="19756" xr:uid="{00000000-0005-0000-0000-0000234D0000}"/>
    <cellStyle name="_Row2_Industry Volumes 2 2 2" xfId="19757" xr:uid="{00000000-0005-0000-0000-0000244D0000}"/>
    <cellStyle name="_Row2_Industry Volumes 2 3" xfId="19758" xr:uid="{00000000-0005-0000-0000-0000254D0000}"/>
    <cellStyle name="_Row2_Industry Volumes 2 3 2" xfId="19759" xr:uid="{00000000-0005-0000-0000-0000264D0000}"/>
    <cellStyle name="_Row2_Industry Volumes 2 3 3" xfId="19760" xr:uid="{00000000-0005-0000-0000-0000274D0000}"/>
    <cellStyle name="_Row2_Industry Volumes 2 4" xfId="19761" xr:uid="{00000000-0005-0000-0000-0000284D0000}"/>
    <cellStyle name="_Row2_Industry Volumes 2 5" xfId="19762" xr:uid="{00000000-0005-0000-0000-0000294D0000}"/>
    <cellStyle name="_Row2_Industry Volumes 3" xfId="19763" xr:uid="{00000000-0005-0000-0000-00002A4D0000}"/>
    <cellStyle name="_Row2_Industry Volumes 3 2" xfId="19764" xr:uid="{00000000-0005-0000-0000-00002B4D0000}"/>
    <cellStyle name="_Row2_Industry Volumes 3 2 2" xfId="19765" xr:uid="{00000000-0005-0000-0000-00002C4D0000}"/>
    <cellStyle name="_Row2_Industry Volumes 3 2 3" xfId="19766" xr:uid="{00000000-0005-0000-0000-00002D4D0000}"/>
    <cellStyle name="_Row2_Industry Volumes 3 3" xfId="19767" xr:uid="{00000000-0005-0000-0000-00002E4D0000}"/>
    <cellStyle name="_Row2_Industry Volumes 4" xfId="19768" xr:uid="{00000000-0005-0000-0000-00002F4D0000}"/>
    <cellStyle name="_Row2_Industry Volumes 4 2" xfId="19769" xr:uid="{00000000-0005-0000-0000-0000304D0000}"/>
    <cellStyle name="_Row2_Industry Volumes 4 3" xfId="19770" xr:uid="{00000000-0005-0000-0000-0000314D0000}"/>
    <cellStyle name="_Row2_Industry Volumes 5" xfId="19771" xr:uid="{00000000-0005-0000-0000-0000324D0000}"/>
    <cellStyle name="_Row2_Industry Volumes 6" xfId="19772" xr:uid="{00000000-0005-0000-0000-0000334D0000}"/>
    <cellStyle name="_Row2_KK_3YP Model S&amp;D Stand 3.7.07" xfId="19773" xr:uid="{00000000-0005-0000-0000-0000344D0000}"/>
    <cellStyle name="_Row2_KK_3YP Model S&amp;D Stand 3.7.07 2" xfId="19774" xr:uid="{00000000-0005-0000-0000-0000354D0000}"/>
    <cellStyle name="_Row2_KK_3YP Model S&amp;D Stand 3.7.07 2 2" xfId="19775" xr:uid="{00000000-0005-0000-0000-0000364D0000}"/>
    <cellStyle name="_Row2_KK_3YP Model S&amp;D Stand 3.7.07 2 2 2" xfId="19776" xr:uid="{00000000-0005-0000-0000-0000374D0000}"/>
    <cellStyle name="_Row2_KK_3YP Model S&amp;D Stand 3.7.07 2 3" xfId="19777" xr:uid="{00000000-0005-0000-0000-0000384D0000}"/>
    <cellStyle name="_Row2_KK_3YP Model S&amp;D Stand 3.7.07 2 3 2" xfId="19778" xr:uid="{00000000-0005-0000-0000-0000394D0000}"/>
    <cellStyle name="_Row2_KK_3YP Model S&amp;D Stand 3.7.07 2 3 3" xfId="19779" xr:uid="{00000000-0005-0000-0000-00003A4D0000}"/>
    <cellStyle name="_Row2_KK_3YP Model S&amp;D Stand 3.7.07 2 4" xfId="19780" xr:uid="{00000000-0005-0000-0000-00003B4D0000}"/>
    <cellStyle name="_Row2_KK_3YP Model S&amp;D Stand 3.7.07 2 5" xfId="19781" xr:uid="{00000000-0005-0000-0000-00003C4D0000}"/>
    <cellStyle name="_Row2_KK_3YP Model S&amp;D Stand 3.7.07 3" xfId="19782" xr:uid="{00000000-0005-0000-0000-00003D4D0000}"/>
    <cellStyle name="_Row2_KK_3YP Model S&amp;D Stand 3.7.07 3 2" xfId="19783" xr:uid="{00000000-0005-0000-0000-00003E4D0000}"/>
    <cellStyle name="_Row2_KK_3YP Model S&amp;D Stand 3.7.07 3 2 2" xfId="19784" xr:uid="{00000000-0005-0000-0000-00003F4D0000}"/>
    <cellStyle name="_Row2_KK_3YP Model S&amp;D Stand 3.7.07 3 2 3" xfId="19785" xr:uid="{00000000-0005-0000-0000-0000404D0000}"/>
    <cellStyle name="_Row2_KK_3YP Model S&amp;D Stand 3.7.07 3 3" xfId="19786" xr:uid="{00000000-0005-0000-0000-0000414D0000}"/>
    <cellStyle name="_Row2_KK_3YP Model S&amp;D Stand 3.7.07 4" xfId="19787" xr:uid="{00000000-0005-0000-0000-0000424D0000}"/>
    <cellStyle name="_Row2_KK_3YP Model S&amp;D Stand 3.7.07 4 2" xfId="19788" xr:uid="{00000000-0005-0000-0000-0000434D0000}"/>
    <cellStyle name="_Row2_KK_3YP Model S&amp;D Stand 3.7.07 4 3" xfId="19789" xr:uid="{00000000-0005-0000-0000-0000444D0000}"/>
    <cellStyle name="_Row2_KK_3YP Model S&amp;D Stand 3.7.07 5" xfId="19790" xr:uid="{00000000-0005-0000-0000-0000454D0000}"/>
    <cellStyle name="_Row2_KK_3YP Model S&amp;D Stand 3.7.07 6" xfId="19791" xr:uid="{00000000-0005-0000-0000-0000464D0000}"/>
    <cellStyle name="_Row2_MIS2" xfId="19792" xr:uid="{00000000-0005-0000-0000-0000474D0000}"/>
    <cellStyle name="_Row2_MIS2 2" xfId="19793" xr:uid="{00000000-0005-0000-0000-0000484D0000}"/>
    <cellStyle name="_Row2_MIS2 2 2" xfId="19794" xr:uid="{00000000-0005-0000-0000-0000494D0000}"/>
    <cellStyle name="_Row2_MIS2 2 2 2" xfId="19795" xr:uid="{00000000-0005-0000-0000-00004A4D0000}"/>
    <cellStyle name="_Row2_MIS2 2 3" xfId="19796" xr:uid="{00000000-0005-0000-0000-00004B4D0000}"/>
    <cellStyle name="_Row2_MIS2 2 3 2" xfId="19797" xr:uid="{00000000-0005-0000-0000-00004C4D0000}"/>
    <cellStyle name="_Row2_MIS2 2 3 3" xfId="19798" xr:uid="{00000000-0005-0000-0000-00004D4D0000}"/>
    <cellStyle name="_Row2_MIS2 2 4" xfId="19799" xr:uid="{00000000-0005-0000-0000-00004E4D0000}"/>
    <cellStyle name="_Row2_MIS2 2 5" xfId="19800" xr:uid="{00000000-0005-0000-0000-00004F4D0000}"/>
    <cellStyle name="_Row2_MIS2 3" xfId="19801" xr:uid="{00000000-0005-0000-0000-0000504D0000}"/>
    <cellStyle name="_Row2_MIS2 3 2" xfId="19802" xr:uid="{00000000-0005-0000-0000-0000514D0000}"/>
    <cellStyle name="_Row2_MIS2 3 2 2" xfId="19803" xr:uid="{00000000-0005-0000-0000-0000524D0000}"/>
    <cellStyle name="_Row2_MIS2 3 2 3" xfId="19804" xr:uid="{00000000-0005-0000-0000-0000534D0000}"/>
    <cellStyle name="_Row2_MIS2 3 3" xfId="19805" xr:uid="{00000000-0005-0000-0000-0000544D0000}"/>
    <cellStyle name="_Row2_MIS2 4" xfId="19806" xr:uid="{00000000-0005-0000-0000-0000554D0000}"/>
    <cellStyle name="_Row2_MIS2 4 2" xfId="19807" xr:uid="{00000000-0005-0000-0000-0000564D0000}"/>
    <cellStyle name="_Row2_MIS2 4 3" xfId="19808" xr:uid="{00000000-0005-0000-0000-0000574D0000}"/>
    <cellStyle name="_Row2_MIS2 5" xfId="19809" xr:uid="{00000000-0005-0000-0000-0000584D0000}"/>
    <cellStyle name="_Row2_MIS2 6" xfId="19810" xr:uid="{00000000-0005-0000-0000-0000594D0000}"/>
    <cellStyle name="_Row2_Mis24" xfId="19811" xr:uid="{00000000-0005-0000-0000-00005A4D0000}"/>
    <cellStyle name="_Row2_Mis24 2" xfId="19812" xr:uid="{00000000-0005-0000-0000-00005B4D0000}"/>
    <cellStyle name="_Row2_Mis24 2 2" xfId="19813" xr:uid="{00000000-0005-0000-0000-00005C4D0000}"/>
    <cellStyle name="_Row2_Mis24 3" xfId="19814" xr:uid="{00000000-0005-0000-0000-00005D4D0000}"/>
    <cellStyle name="_Row2_MIS3" xfId="19815" xr:uid="{00000000-0005-0000-0000-00005E4D0000}"/>
    <cellStyle name="_Row2_MIS3 2" xfId="19816" xr:uid="{00000000-0005-0000-0000-00005F4D0000}"/>
    <cellStyle name="_Row2_MIS3 2 2" xfId="19817" xr:uid="{00000000-0005-0000-0000-0000604D0000}"/>
    <cellStyle name="_Row2_MIS3 2 2 2" xfId="19818" xr:uid="{00000000-0005-0000-0000-0000614D0000}"/>
    <cellStyle name="_Row2_MIS3 2 3" xfId="19819" xr:uid="{00000000-0005-0000-0000-0000624D0000}"/>
    <cellStyle name="_Row2_MIS3 2 3 2" xfId="19820" xr:uid="{00000000-0005-0000-0000-0000634D0000}"/>
    <cellStyle name="_Row2_MIS3 2 3 3" xfId="19821" xr:uid="{00000000-0005-0000-0000-0000644D0000}"/>
    <cellStyle name="_Row2_MIS3 2 4" xfId="19822" xr:uid="{00000000-0005-0000-0000-0000654D0000}"/>
    <cellStyle name="_Row2_MIS3 2 5" xfId="19823" xr:uid="{00000000-0005-0000-0000-0000664D0000}"/>
    <cellStyle name="_Row2_MIS3 3" xfId="19824" xr:uid="{00000000-0005-0000-0000-0000674D0000}"/>
    <cellStyle name="_Row2_MIS3 3 2" xfId="19825" xr:uid="{00000000-0005-0000-0000-0000684D0000}"/>
    <cellStyle name="_Row2_MIS3 3 2 2" xfId="19826" xr:uid="{00000000-0005-0000-0000-0000694D0000}"/>
    <cellStyle name="_Row2_MIS3 3 2 3" xfId="19827" xr:uid="{00000000-0005-0000-0000-00006A4D0000}"/>
    <cellStyle name="_Row2_MIS3 3 3" xfId="19828" xr:uid="{00000000-0005-0000-0000-00006B4D0000}"/>
    <cellStyle name="_Row2_MIS3 4" xfId="19829" xr:uid="{00000000-0005-0000-0000-00006C4D0000}"/>
    <cellStyle name="_Row2_MIS3 4 2" xfId="19830" xr:uid="{00000000-0005-0000-0000-00006D4D0000}"/>
    <cellStyle name="_Row2_MIS3 4 3" xfId="19831" xr:uid="{00000000-0005-0000-0000-00006E4D0000}"/>
    <cellStyle name="_Row2_MIS3 5" xfId="19832" xr:uid="{00000000-0005-0000-0000-00006F4D0000}"/>
    <cellStyle name="_Row2_MIS3 6" xfId="19833" xr:uid="{00000000-0005-0000-0000-0000704D0000}"/>
    <cellStyle name="_Row2_Strategic Diagnostic Templates Technik" xfId="19834" xr:uid="{00000000-0005-0000-0000-0000714D0000}"/>
    <cellStyle name="_Row2_Strategic Diagnostic Templates Technik 2" xfId="19835" xr:uid="{00000000-0005-0000-0000-0000724D0000}"/>
    <cellStyle name="_Row2_Strategic Diagnostic Templates Technik 2 2" xfId="19836" xr:uid="{00000000-0005-0000-0000-0000734D0000}"/>
    <cellStyle name="_Row2_Strategic Diagnostic Templates Technik 2 2 2" xfId="19837" xr:uid="{00000000-0005-0000-0000-0000744D0000}"/>
    <cellStyle name="_Row2_Strategic Diagnostic Templates Technik 2 3" xfId="19838" xr:uid="{00000000-0005-0000-0000-0000754D0000}"/>
    <cellStyle name="_Row2_Strategic Diagnostic Templates Technik 3" xfId="19839" xr:uid="{00000000-0005-0000-0000-0000764D0000}"/>
    <cellStyle name="_Row2_Strategic Diagnostic Templates Technik 3 2" xfId="19840" xr:uid="{00000000-0005-0000-0000-0000774D0000}"/>
    <cellStyle name="_Row2_Strategic Diagnostic Templates Technik 4" xfId="19841" xr:uid="{00000000-0005-0000-0000-0000784D0000}"/>
    <cellStyle name="_Row2_Strategic Diagnostic Templates Technik_010808 Market Programs  for Budget Deck" xfId="19842" xr:uid="{00000000-0005-0000-0000-0000794D0000}"/>
    <cellStyle name="_Row2_Strategic Diagnostic Templates Technik_010808 Market Programs  for Budget Deck 2" xfId="19843" xr:uid="{00000000-0005-0000-0000-00007A4D0000}"/>
    <cellStyle name="_Row2_Strategic Diagnostic Templates Technik_010808 Market Programs  for Budget Deck 2 2" xfId="19844" xr:uid="{00000000-0005-0000-0000-00007B4D0000}"/>
    <cellStyle name="_Row2_Strategic Diagnostic Templates Technik_010808 Market Programs  for Budget Deck 3" xfId="19845" xr:uid="{00000000-0005-0000-0000-00007C4D0000}"/>
    <cellStyle name="_Row2_Strategic Diagnostic Templates Technik_0908 Gabarito exchange rate" xfId="19846" xr:uid="{00000000-0005-0000-0000-00007D4D0000}"/>
    <cellStyle name="_Row2_Strategic Diagnostic Templates Technik_0908 Gabarito exchange rate 2" xfId="19847" xr:uid="{00000000-0005-0000-0000-00007E4D0000}"/>
    <cellStyle name="_Row2_Strategic Diagnostic Templates Technik_0908 Gabarito exchange rate 2 2" xfId="19848" xr:uid="{00000000-0005-0000-0000-00007F4D0000}"/>
    <cellStyle name="_Row2_Strategic Diagnostic Templates Technik_0908 Gabarito exchange rate 3" xfId="19849" xr:uid="{00000000-0005-0000-0000-0000804D0000}"/>
    <cellStyle name="_Row2_Strategic Diagnostic Templates Technik_BGT 08 Templates Sales  Marketing - final (revised)" xfId="19850" xr:uid="{00000000-0005-0000-0000-0000814D0000}"/>
    <cellStyle name="_Row2_Strategic Diagnostic Templates Technik_BGT 08 Templates Sales  Marketing - final (revised) 2" xfId="19851" xr:uid="{00000000-0005-0000-0000-0000824D0000}"/>
    <cellStyle name="_Row2_Strategic Diagnostic Templates Technik_BGT 08 Templates Sales  Marketing - final (revised) 2 2" xfId="19852" xr:uid="{00000000-0005-0000-0000-0000834D0000}"/>
    <cellStyle name="_Row2_Strategic Diagnostic Templates Technik_BGT 08 Templates Sales  Marketing - final (revised) 3" xfId="19853" xr:uid="{00000000-0005-0000-0000-0000844D0000}"/>
    <cellStyle name="_Row2_Strategic Diagnostic Templates Technik_Book5" xfId="19854" xr:uid="{00000000-0005-0000-0000-0000854D0000}"/>
    <cellStyle name="_Row2_Strategic Diagnostic Templates Technik_Book5 2" xfId="19855" xr:uid="{00000000-0005-0000-0000-0000864D0000}"/>
    <cellStyle name="_Row2_Strategic Diagnostic Templates Technik_Book5 2 2" xfId="19856" xr:uid="{00000000-0005-0000-0000-0000874D0000}"/>
    <cellStyle name="_Row2_Strategic Diagnostic Templates Technik_Book5 3" xfId="19857" xr:uid="{00000000-0005-0000-0000-0000884D0000}"/>
    <cellStyle name="_Row2_Strategic Diagnostic Templates Technik_Bplan RD 1001" xfId="19858" xr:uid="{00000000-0005-0000-0000-0000894D0000}"/>
    <cellStyle name="_Row2_Strategic Diagnostic Templates Technik_Bplan RD 1001 2" xfId="19859" xr:uid="{00000000-0005-0000-0000-00008A4D0000}"/>
    <cellStyle name="_Row2_Strategic Diagnostic Templates Technik_Bplan RD 1001 2 2" xfId="19860" xr:uid="{00000000-0005-0000-0000-00008B4D0000}"/>
    <cellStyle name="_Row2_Strategic Diagnostic Templates Technik_Bplan RD 1001 3" xfId="19861" xr:uid="{00000000-0005-0000-0000-00008C4D0000}"/>
    <cellStyle name="_Row2_Strategic Diagnostic Templates Technik_Copy of BGT 08 Templates Sales  Marketing - final (revised)" xfId="19862" xr:uid="{00000000-0005-0000-0000-00008D4D0000}"/>
    <cellStyle name="_Row2_Strategic Diagnostic Templates Technik_Copy of BGT 08 Templates Sales  Marketing - final (revised) 2" xfId="19863" xr:uid="{00000000-0005-0000-0000-00008E4D0000}"/>
    <cellStyle name="_Row2_Strategic Diagnostic Templates Technik_Copy of BGT 08 Templates Sales  Marketing - final (revised) 2 2" xfId="19864" xr:uid="{00000000-0005-0000-0000-00008F4D0000}"/>
    <cellStyle name="_Row2_Strategic Diagnostic Templates Technik_Copy of BGT 08 Templates Sales  Marketing - final (revised) 3" xfId="19865" xr:uid="{00000000-0005-0000-0000-0000904D0000}"/>
    <cellStyle name="_Row2_Strategic Diagnostic Templates Technik_Excel sheets to support Market Program Template for Budget 09" xfId="19866" xr:uid="{00000000-0005-0000-0000-0000914D0000}"/>
    <cellStyle name="_Row2_Strategic Diagnostic Templates Technik_Excel sheets to support Market Program Template for Budget 09 (5) (2)" xfId="19867" xr:uid="{00000000-0005-0000-0000-0000924D0000}"/>
    <cellStyle name="_Row2_Strategic Diagnostic Templates Technik_Excel sheets to support Market Program Template for Budget 09 (5) (2) 2" xfId="19868" xr:uid="{00000000-0005-0000-0000-0000934D0000}"/>
    <cellStyle name="_Row2_Strategic Diagnostic Templates Technik_Excel sheets to support Market Program Template for Budget 09 (5) (2) 2 2" xfId="19869" xr:uid="{00000000-0005-0000-0000-0000944D0000}"/>
    <cellStyle name="_Row2_Strategic Diagnostic Templates Technik_Excel sheets to support Market Program Template for Budget 09 (5) (2) 3" xfId="19870" xr:uid="{00000000-0005-0000-0000-0000954D0000}"/>
    <cellStyle name="_Row2_Strategic Diagnostic Templates Technik_Excel sheets to support Market Program Template for Budget 09 (5) (3)" xfId="19871" xr:uid="{00000000-0005-0000-0000-0000964D0000}"/>
    <cellStyle name="_Row2_Strategic Diagnostic Templates Technik_Excel sheets to support Market Program Template for Budget 09 (5) (3) 2" xfId="19872" xr:uid="{00000000-0005-0000-0000-0000974D0000}"/>
    <cellStyle name="_Row2_Strategic Diagnostic Templates Technik_Excel sheets to support Market Program Template for Budget 09 (5) (3) 2 2" xfId="19873" xr:uid="{00000000-0005-0000-0000-0000984D0000}"/>
    <cellStyle name="_Row2_Strategic Diagnostic Templates Technik_Excel sheets to support Market Program Template for Budget 09 (5) (3) 3" xfId="19874" xr:uid="{00000000-0005-0000-0000-0000994D0000}"/>
    <cellStyle name="_Row2_Strategic Diagnostic Templates Technik_Excel sheets to support Market Program Template for Budget 09 2" xfId="19875" xr:uid="{00000000-0005-0000-0000-00009A4D0000}"/>
    <cellStyle name="_Row2_Strategic Diagnostic Templates Technik_Excel sheets to support Market Program Template for Budget 09 2 2" xfId="19876" xr:uid="{00000000-0005-0000-0000-00009B4D0000}"/>
    <cellStyle name="_Row2_Strategic Diagnostic Templates Technik_Excel sheets to support Market Program Template for Budget 09 3" xfId="19877" xr:uid="{00000000-0005-0000-0000-00009C4D0000}"/>
    <cellStyle name="_Row2_Strategic Diagnostic Templates Technik_Excel sheets to support Market Program Template for Budget 09 3 2" xfId="19878" xr:uid="{00000000-0005-0000-0000-00009D4D0000}"/>
    <cellStyle name="_Row2_Strategic Diagnostic Templates Technik_Excel sheets to support Market Program Template for Budget 09 4" xfId="19879" xr:uid="{00000000-0005-0000-0000-00009E4D0000}"/>
    <cellStyle name="_Row2_Strategic Diagnostic Templates Technik_Excel sheets to support Market Program Template for Budget 09 5" xfId="19880" xr:uid="{00000000-0005-0000-0000-00009F4D0000}"/>
    <cellStyle name="_Row2_Strategic Diagnostic Templates Technik_LE Ebitda RD Feb-10 v2" xfId="19881" xr:uid="{00000000-0005-0000-0000-0000A04D0000}"/>
    <cellStyle name="_Row2_Strategic Diagnostic Templates Technik_LE Ebitda RD Feb-10 v2 2" xfId="19882" xr:uid="{00000000-0005-0000-0000-0000A14D0000}"/>
    <cellStyle name="_Row2_Strategic Diagnostic Templates Technik_LE Ebitda RD Feb-10 v2 2 2" xfId="19883" xr:uid="{00000000-0005-0000-0000-0000A24D0000}"/>
    <cellStyle name="_Row2_Strategic Diagnostic Templates Technik_LE Ebitda RD Feb-10 v2 3" xfId="19884" xr:uid="{00000000-0005-0000-0000-0000A34D0000}"/>
    <cellStyle name="_Row2_Strategic Diagnostic Templates Technik_People Package" xfId="19885" xr:uid="{00000000-0005-0000-0000-0000A44D0000}"/>
    <cellStyle name="_Row2_Strategic Diagnostic Templates Technik_People Package (2)" xfId="19886" xr:uid="{00000000-0005-0000-0000-0000A54D0000}"/>
    <cellStyle name="_Row2_Strategic Diagnostic Templates Technik_People Package (2) 2" xfId="19887" xr:uid="{00000000-0005-0000-0000-0000A64D0000}"/>
    <cellStyle name="_Row2_Strategic Diagnostic Templates Technik_People Package (2) 2 2" xfId="19888" xr:uid="{00000000-0005-0000-0000-0000A74D0000}"/>
    <cellStyle name="_Row2_Strategic Diagnostic Templates Technik_People Package (2) 3" xfId="19889" xr:uid="{00000000-0005-0000-0000-0000A84D0000}"/>
    <cellStyle name="_Row2_Strategic Diagnostic Templates Technik_People Package 2" xfId="19890" xr:uid="{00000000-0005-0000-0000-0000A94D0000}"/>
    <cellStyle name="_Row2_Strategic Diagnostic Templates Technik_People Package 2 2" xfId="19891" xr:uid="{00000000-0005-0000-0000-0000AA4D0000}"/>
    <cellStyle name="_Row2_Strategic Diagnostic Templates Technik_People Package 3" xfId="19892" xr:uid="{00000000-0005-0000-0000-0000AB4D0000}"/>
    <cellStyle name="_Row2_Strategic Diagnostic Templates Technik_People Package 3 2" xfId="19893" xr:uid="{00000000-0005-0000-0000-0000AC4D0000}"/>
    <cellStyle name="_Row2_Strategic Diagnostic Templates Technik_People Package 4" xfId="19894" xr:uid="{00000000-0005-0000-0000-0000AD4D0000}"/>
    <cellStyle name="_Row2_Strategic Diagnostic Templates Technik_People Package 5" xfId="19895" xr:uid="{00000000-0005-0000-0000-0000AE4D0000}"/>
    <cellStyle name="_Row2_Strategic Diagnostic Templates Technik_Sales and Marketing - revised" xfId="19896" xr:uid="{00000000-0005-0000-0000-0000AF4D0000}"/>
    <cellStyle name="_Row2_Strategic Diagnostic Templates Technik_Sales and Marketing - revised 2" xfId="19897" xr:uid="{00000000-0005-0000-0000-0000B04D0000}"/>
    <cellStyle name="_Row2_Strategic Diagnostic Templates Technik_Sales and Marketing - revised 2 2" xfId="19898" xr:uid="{00000000-0005-0000-0000-0000B14D0000}"/>
    <cellStyle name="_Row2_Strategic Diagnostic Templates Technik_Sales and Marketing - revised 3" xfId="19899" xr:uid="{00000000-0005-0000-0000-0000B24D0000}"/>
    <cellStyle name="_Row2_Strategic Diagnostic Templates Technik_Sim Ebitda LE 0909 v4" xfId="19900" xr:uid="{00000000-0005-0000-0000-0000B34D0000}"/>
    <cellStyle name="_Row2_Strategic Diagnostic Templates Technik_Sim Ebitda LE 0909 v4 2" xfId="19901" xr:uid="{00000000-0005-0000-0000-0000B44D0000}"/>
    <cellStyle name="_Row2_Strategic Diagnostic Templates Technik_Sim Ebitda LE 0909 v4 2 2" xfId="19902" xr:uid="{00000000-0005-0000-0000-0000B54D0000}"/>
    <cellStyle name="_Row2_Strategic Diagnostic Templates Technik_Sim Ebitda LE 0909 v4 3" xfId="19903" xr:uid="{00000000-0005-0000-0000-0000B64D0000}"/>
    <cellStyle name="_Row2_Strategic Diagnostic Templates Technik_WF Ebitda RD Abr-10" xfId="19904" xr:uid="{00000000-0005-0000-0000-0000B74D0000}"/>
    <cellStyle name="_Row2_Strategic Diagnostic Templates Technik_WF Ebitda RD Abr-10 2" xfId="19905" xr:uid="{00000000-0005-0000-0000-0000B84D0000}"/>
    <cellStyle name="_Row2_Strategic Diagnostic Templates Technik_WF Ebitda RD Abr-10 2 2" xfId="19906" xr:uid="{00000000-0005-0000-0000-0000B94D0000}"/>
    <cellStyle name="_Row2_Strategic Diagnostic Templates Technik_WF Ebitda RD Abr-10 3" xfId="19907" xr:uid="{00000000-0005-0000-0000-0000BA4D0000}"/>
    <cellStyle name="_Row2_Strategic Diagnostic Templates Technik_WF Ebitda Sep09" xfId="19908" xr:uid="{00000000-0005-0000-0000-0000BB4D0000}"/>
    <cellStyle name="_Row2_Strategic Diagnostic Templates Technik_WF Ebitda Sep09 2" xfId="19909" xr:uid="{00000000-0005-0000-0000-0000BC4D0000}"/>
    <cellStyle name="_Row2_Strategic Diagnostic Templates Technik_WF Ebitda Sep09 2 2" xfId="19910" xr:uid="{00000000-0005-0000-0000-0000BD4D0000}"/>
    <cellStyle name="_Row2_Strategic Diagnostic Templates Technik_WF Ebitda Sep09 3" xfId="19911" xr:uid="{00000000-0005-0000-0000-0000BE4D0000}"/>
    <cellStyle name="_Row2_Strategic Diagnostic Templates Technik_ZBB" xfId="19912" xr:uid="{00000000-0005-0000-0000-0000BF4D0000}"/>
    <cellStyle name="_Row2_Strategic Diagnostic Templates Technik_ZBB 2" xfId="19913" xr:uid="{00000000-0005-0000-0000-0000C04D0000}"/>
    <cellStyle name="_Row2_Strategic Diagnostic Templates Technik_ZBB 2 2" xfId="19914" xr:uid="{00000000-0005-0000-0000-0000C14D0000}"/>
    <cellStyle name="_Row2_Strategic Diagnostic Templates Technik_ZBB 3" xfId="19915" xr:uid="{00000000-0005-0000-0000-0000C24D0000}"/>
    <cellStyle name="_Row2_ZBB Budget 2009 Decks" xfId="19916" xr:uid="{00000000-0005-0000-0000-0000C34D0000}"/>
    <cellStyle name="_Row2_ZBB Budget 2009 Decks 2" xfId="19917" xr:uid="{00000000-0005-0000-0000-0000C44D0000}"/>
    <cellStyle name="_Row2_ZBB Budget 2009 Decks 2 2" xfId="19918" xr:uid="{00000000-0005-0000-0000-0000C54D0000}"/>
    <cellStyle name="_Row2_ZBB Budget 2009 Decks 3" xfId="19919" xr:uid="{00000000-0005-0000-0000-0000C64D0000}"/>
    <cellStyle name="_Row2_ZBB Budget 2009 Decks_with Korea Scope in (Only LE)" xfId="19920" xr:uid="{00000000-0005-0000-0000-0000C74D0000}"/>
    <cellStyle name="_Row2_ZBB Budget 2009 Decks_with Korea Scope in (Only LE) (2)" xfId="19921" xr:uid="{00000000-0005-0000-0000-0000C84D0000}"/>
    <cellStyle name="_Row2_ZBB Budget 2009 Decks_with Korea Scope in (Only LE) (2) 2" xfId="19922" xr:uid="{00000000-0005-0000-0000-0000C94D0000}"/>
    <cellStyle name="_Row2_ZBB Budget 2009 Decks_with Korea Scope in (Only LE) (2) 2 2" xfId="19923" xr:uid="{00000000-0005-0000-0000-0000CA4D0000}"/>
    <cellStyle name="_Row2_ZBB Budget 2009 Decks_with Korea Scope in (Only LE) (2) 3" xfId="19924" xr:uid="{00000000-0005-0000-0000-0000CB4D0000}"/>
    <cellStyle name="_Row2_ZBB Budget 2009 Decks_with Korea Scope in (Only LE) 2" xfId="19925" xr:uid="{00000000-0005-0000-0000-0000CC4D0000}"/>
    <cellStyle name="_Row2_ZBB Budget 2009 Decks_with Korea Scope in (Only LE) 2 2" xfId="19926" xr:uid="{00000000-0005-0000-0000-0000CD4D0000}"/>
    <cellStyle name="_Row2_ZBB Budget 2009 Decks_with Korea Scope in (Only LE) 3" xfId="19927" xr:uid="{00000000-0005-0000-0000-0000CE4D0000}"/>
    <cellStyle name="_Row2_ZBB Budget 2009 Decks_with Korea Scope in (Only LE) 3 2" xfId="19928" xr:uid="{00000000-0005-0000-0000-0000CF4D0000}"/>
    <cellStyle name="_Row2_ZBB Budget 2009 Decks_with Korea Scope in (Only LE) 4" xfId="19929" xr:uid="{00000000-0005-0000-0000-0000D04D0000}"/>
    <cellStyle name="_Row2_ZBB Budget 2009 Decks_with Korea Scope in (Only LE) 5" xfId="19930" xr:uid="{00000000-0005-0000-0000-0000D14D0000}"/>
    <cellStyle name="_Row3" xfId="19931" xr:uid="{00000000-0005-0000-0000-0000D24D0000}"/>
    <cellStyle name="_Row3 2" xfId="19932" xr:uid="{00000000-0005-0000-0000-0000D34D0000}"/>
    <cellStyle name="_Row3 2 2" xfId="19933" xr:uid="{00000000-0005-0000-0000-0000D44D0000}"/>
    <cellStyle name="_Row3 2 2 2" xfId="19934" xr:uid="{00000000-0005-0000-0000-0000D54D0000}"/>
    <cellStyle name="_Row3 2 3" xfId="19935" xr:uid="{00000000-0005-0000-0000-0000D64D0000}"/>
    <cellStyle name="_Row3 3" xfId="19936" xr:uid="{00000000-0005-0000-0000-0000D74D0000}"/>
    <cellStyle name="_Row3 3 2" xfId="19937" xr:uid="{00000000-0005-0000-0000-0000D84D0000}"/>
    <cellStyle name="_Row3 4" xfId="19938" xr:uid="{00000000-0005-0000-0000-0000D94D0000}"/>
    <cellStyle name="_Row3_010808 Market Programs  for Budget Deck" xfId="19939" xr:uid="{00000000-0005-0000-0000-0000DA4D0000}"/>
    <cellStyle name="_Row3_010808 Market Programs  for Budget Deck 2" xfId="19940" xr:uid="{00000000-0005-0000-0000-0000DB4D0000}"/>
    <cellStyle name="_Row3_010808 Market Programs  for Budget Deck 2 2" xfId="19941" xr:uid="{00000000-0005-0000-0000-0000DC4D0000}"/>
    <cellStyle name="_Row3_010808 Market Programs  for Budget Deck 3" xfId="19942" xr:uid="{00000000-0005-0000-0000-0000DD4D0000}"/>
    <cellStyle name="_Row3_BGT 08 Templates Sales  Marketing - final (revised)" xfId="19943" xr:uid="{00000000-0005-0000-0000-0000DE4D0000}"/>
    <cellStyle name="_Row3_BGT 08 Templates Sales  Marketing - final (revised) 2" xfId="19944" xr:uid="{00000000-0005-0000-0000-0000DF4D0000}"/>
    <cellStyle name="_Row3_BGT 08 Templates Sales  Marketing - final (revised) 2 2" xfId="19945" xr:uid="{00000000-0005-0000-0000-0000E04D0000}"/>
    <cellStyle name="_Row3_BGT 08 Templates Sales  Marketing - final (revised) 3" xfId="19946" xr:uid="{00000000-0005-0000-0000-0000E14D0000}"/>
    <cellStyle name="_Row3_BR" xfId="19947" xr:uid="{00000000-0005-0000-0000-0000E24D0000}"/>
    <cellStyle name="_Row3_BR 2" xfId="19948" xr:uid="{00000000-0005-0000-0000-0000E34D0000}"/>
    <cellStyle name="_Row3_BR 2 2" xfId="19949" xr:uid="{00000000-0005-0000-0000-0000E44D0000}"/>
    <cellStyle name="_Row3_BR 3" xfId="19950" xr:uid="{00000000-0005-0000-0000-0000E54D0000}"/>
    <cellStyle name="_Row3_Copy of BGT 08 Templates Sales  Marketing - final (revised)" xfId="19951" xr:uid="{00000000-0005-0000-0000-0000E64D0000}"/>
    <cellStyle name="_Row3_Copy of BGT 08 Templates Sales  Marketing - final (revised) 2" xfId="19952" xr:uid="{00000000-0005-0000-0000-0000E74D0000}"/>
    <cellStyle name="_Row3_Copy of BGT 08 Templates Sales  Marketing - final (revised) 2 2" xfId="19953" xr:uid="{00000000-0005-0000-0000-0000E84D0000}"/>
    <cellStyle name="_Row3_Copy of BGT 08 Templates Sales  Marketing - final (revised) 3" xfId="19954" xr:uid="{00000000-0005-0000-0000-0000E94D0000}"/>
    <cellStyle name="_Row3_EC" xfId="19955" xr:uid="{00000000-0005-0000-0000-0000EA4D0000}"/>
    <cellStyle name="_Row3_EC 2" xfId="19956" xr:uid="{00000000-0005-0000-0000-0000EB4D0000}"/>
    <cellStyle name="_Row3_EC 2 2" xfId="19957" xr:uid="{00000000-0005-0000-0000-0000EC4D0000}"/>
    <cellStyle name="_Row3_EC 3" xfId="19958" xr:uid="{00000000-0005-0000-0000-0000ED4D0000}"/>
    <cellStyle name="_Row3_Excel sheets to support Market Program Template for Budget 09" xfId="19959" xr:uid="{00000000-0005-0000-0000-0000EE4D0000}"/>
    <cellStyle name="_Row3_Excel sheets to support Market Program Template for Budget 09 (5) (2)" xfId="19960" xr:uid="{00000000-0005-0000-0000-0000EF4D0000}"/>
    <cellStyle name="_Row3_Excel sheets to support Market Program Template for Budget 09 (5) (2) 2" xfId="19961" xr:uid="{00000000-0005-0000-0000-0000F04D0000}"/>
    <cellStyle name="_Row3_Excel sheets to support Market Program Template for Budget 09 (5) (2) 2 2" xfId="19962" xr:uid="{00000000-0005-0000-0000-0000F14D0000}"/>
    <cellStyle name="_Row3_Excel sheets to support Market Program Template for Budget 09 (5) (2) 3" xfId="19963" xr:uid="{00000000-0005-0000-0000-0000F24D0000}"/>
    <cellStyle name="_Row3_Excel sheets to support Market Program Template for Budget 09 (5) (3)" xfId="19964" xr:uid="{00000000-0005-0000-0000-0000F34D0000}"/>
    <cellStyle name="_Row3_Excel sheets to support Market Program Template for Budget 09 (5) (3) 2" xfId="19965" xr:uid="{00000000-0005-0000-0000-0000F44D0000}"/>
    <cellStyle name="_Row3_Excel sheets to support Market Program Template for Budget 09 (5) (3) 2 2" xfId="19966" xr:uid="{00000000-0005-0000-0000-0000F54D0000}"/>
    <cellStyle name="_Row3_Excel sheets to support Market Program Template for Budget 09 (5) (3) 3" xfId="19967" xr:uid="{00000000-0005-0000-0000-0000F64D0000}"/>
    <cellStyle name="_Row3_Excel sheets to support Market Program Template for Budget 09 2" xfId="19968" xr:uid="{00000000-0005-0000-0000-0000F74D0000}"/>
    <cellStyle name="_Row3_Excel sheets to support Market Program Template for Budget 09 2 2" xfId="19969" xr:uid="{00000000-0005-0000-0000-0000F84D0000}"/>
    <cellStyle name="_Row3_Excel sheets to support Market Program Template for Budget 09 3" xfId="19970" xr:uid="{00000000-0005-0000-0000-0000F94D0000}"/>
    <cellStyle name="_Row3_Excel sheets to support Market Program Template for Budget 09 3 2" xfId="19971" xr:uid="{00000000-0005-0000-0000-0000FA4D0000}"/>
    <cellStyle name="_Row3_Excel sheets to support Market Program Template for Budget 09 4" xfId="19972" xr:uid="{00000000-0005-0000-0000-0000FB4D0000}"/>
    <cellStyle name="_Row3_Excel sheets to support Market Program Template for Budget 09 5" xfId="19973" xr:uid="{00000000-0005-0000-0000-0000FC4D0000}"/>
    <cellStyle name="_Row3_Finance Templates - Final" xfId="19974" xr:uid="{00000000-0005-0000-0000-0000FD4D0000}"/>
    <cellStyle name="_Row3_Finance Templates - Final 2" xfId="19975" xr:uid="{00000000-0005-0000-0000-0000FE4D0000}"/>
    <cellStyle name="_Row3_Finance Templates - Final 2 2" xfId="19976" xr:uid="{00000000-0005-0000-0000-0000FF4D0000}"/>
    <cellStyle name="_Row3_Finance Templates - Final 3" xfId="19977" xr:uid="{00000000-0005-0000-0000-0000004E0000}"/>
    <cellStyle name="_Row3_Forecast Summary July v1" xfId="19978" xr:uid="{00000000-0005-0000-0000-0000014E0000}"/>
    <cellStyle name="_Row3_Forecast Summary July v1 2" xfId="19979" xr:uid="{00000000-0005-0000-0000-0000024E0000}"/>
    <cellStyle name="_Row3_Forecast Summary July v1 2 2" xfId="19980" xr:uid="{00000000-0005-0000-0000-0000034E0000}"/>
    <cellStyle name="_Row3_Forecast Summary July v1 3" xfId="19981" xr:uid="{00000000-0005-0000-0000-0000044E0000}"/>
    <cellStyle name="_Row3_GT" xfId="19982" xr:uid="{00000000-0005-0000-0000-0000054E0000}"/>
    <cellStyle name="_Row3_GT 2" xfId="19983" xr:uid="{00000000-0005-0000-0000-0000064E0000}"/>
    <cellStyle name="_Row3_GT 2 2" xfId="19984" xr:uid="{00000000-0005-0000-0000-0000074E0000}"/>
    <cellStyle name="_Row3_GT 3" xfId="19985" xr:uid="{00000000-0005-0000-0000-0000084E0000}"/>
    <cellStyle name="_Row3_Industry Volumes" xfId="19986" xr:uid="{00000000-0005-0000-0000-0000094E0000}"/>
    <cellStyle name="_Row3_Industry Volumes 2" xfId="19987" xr:uid="{00000000-0005-0000-0000-00000A4E0000}"/>
    <cellStyle name="_Row3_Industry Volumes 2 2" xfId="19988" xr:uid="{00000000-0005-0000-0000-00000B4E0000}"/>
    <cellStyle name="_Row3_Industry Volumes 2 2 2" xfId="19989" xr:uid="{00000000-0005-0000-0000-00000C4E0000}"/>
    <cellStyle name="_Row3_Industry Volumes 2 3" xfId="19990" xr:uid="{00000000-0005-0000-0000-00000D4E0000}"/>
    <cellStyle name="_Row3_Industry Volumes 2 3 2" xfId="19991" xr:uid="{00000000-0005-0000-0000-00000E4E0000}"/>
    <cellStyle name="_Row3_Industry Volumes 2 3 3" xfId="19992" xr:uid="{00000000-0005-0000-0000-00000F4E0000}"/>
    <cellStyle name="_Row3_Industry Volumes 2 4" xfId="19993" xr:uid="{00000000-0005-0000-0000-0000104E0000}"/>
    <cellStyle name="_Row3_Industry Volumes 2 5" xfId="19994" xr:uid="{00000000-0005-0000-0000-0000114E0000}"/>
    <cellStyle name="_Row3_Industry Volumes 3" xfId="19995" xr:uid="{00000000-0005-0000-0000-0000124E0000}"/>
    <cellStyle name="_Row3_Industry Volumes 3 2" xfId="19996" xr:uid="{00000000-0005-0000-0000-0000134E0000}"/>
    <cellStyle name="_Row3_Industry Volumes 3 2 2" xfId="19997" xr:uid="{00000000-0005-0000-0000-0000144E0000}"/>
    <cellStyle name="_Row3_Industry Volumes 3 2 3" xfId="19998" xr:uid="{00000000-0005-0000-0000-0000154E0000}"/>
    <cellStyle name="_Row3_Industry Volumes 3 3" xfId="19999" xr:uid="{00000000-0005-0000-0000-0000164E0000}"/>
    <cellStyle name="_Row3_Industry Volumes 4" xfId="20000" xr:uid="{00000000-0005-0000-0000-0000174E0000}"/>
    <cellStyle name="_Row3_Industry Volumes 4 2" xfId="20001" xr:uid="{00000000-0005-0000-0000-0000184E0000}"/>
    <cellStyle name="_Row3_Industry Volumes 4 3" xfId="20002" xr:uid="{00000000-0005-0000-0000-0000194E0000}"/>
    <cellStyle name="_Row3_Industry Volumes 5" xfId="20003" xr:uid="{00000000-0005-0000-0000-00001A4E0000}"/>
    <cellStyle name="_Row3_Industry Volumes 6" xfId="20004" xr:uid="{00000000-0005-0000-0000-00001B4E0000}"/>
    <cellStyle name="_Row3_Iniciativas P3A GPV &amp; CSD HILA '10" xfId="20005" xr:uid="{00000000-0005-0000-0000-00001C4E0000}"/>
    <cellStyle name="_Row3_Iniciativas P3A GPV &amp; CSD HILA '10 2" xfId="20006" xr:uid="{00000000-0005-0000-0000-00001D4E0000}"/>
    <cellStyle name="_Row3_Iniciativas P3A GPV &amp; CSD HILA '10 2 2" xfId="20007" xr:uid="{00000000-0005-0000-0000-00001E4E0000}"/>
    <cellStyle name="_Row3_Iniciativas P3A GPV &amp; CSD HILA '10 3" xfId="20008" xr:uid="{00000000-0005-0000-0000-00001F4E0000}"/>
    <cellStyle name="_Row3_KK_3YP Model S&amp;D Stand 3.7.07" xfId="20009" xr:uid="{00000000-0005-0000-0000-0000204E0000}"/>
    <cellStyle name="_Row3_KK_3YP Model S&amp;D Stand 3.7.07 2" xfId="20010" xr:uid="{00000000-0005-0000-0000-0000214E0000}"/>
    <cellStyle name="_Row3_KK_3YP Model S&amp;D Stand 3.7.07 2 2" xfId="20011" xr:uid="{00000000-0005-0000-0000-0000224E0000}"/>
    <cellStyle name="_Row3_KK_3YP Model S&amp;D Stand 3.7.07 2 2 2" xfId="20012" xr:uid="{00000000-0005-0000-0000-0000234E0000}"/>
    <cellStyle name="_Row3_KK_3YP Model S&amp;D Stand 3.7.07 2 3" xfId="20013" xr:uid="{00000000-0005-0000-0000-0000244E0000}"/>
    <cellStyle name="_Row3_KK_3YP Model S&amp;D Stand 3.7.07 2 3 2" xfId="20014" xr:uid="{00000000-0005-0000-0000-0000254E0000}"/>
    <cellStyle name="_Row3_KK_3YP Model S&amp;D Stand 3.7.07 2 3 3" xfId="20015" xr:uid="{00000000-0005-0000-0000-0000264E0000}"/>
    <cellStyle name="_Row3_KK_3YP Model S&amp;D Stand 3.7.07 2 4" xfId="20016" xr:uid="{00000000-0005-0000-0000-0000274E0000}"/>
    <cellStyle name="_Row3_KK_3YP Model S&amp;D Stand 3.7.07 2 5" xfId="20017" xr:uid="{00000000-0005-0000-0000-0000284E0000}"/>
    <cellStyle name="_Row3_KK_3YP Model S&amp;D Stand 3.7.07 3" xfId="20018" xr:uid="{00000000-0005-0000-0000-0000294E0000}"/>
    <cellStyle name="_Row3_KK_3YP Model S&amp;D Stand 3.7.07 3 2" xfId="20019" xr:uid="{00000000-0005-0000-0000-00002A4E0000}"/>
    <cellStyle name="_Row3_KK_3YP Model S&amp;D Stand 3.7.07 3 2 2" xfId="20020" xr:uid="{00000000-0005-0000-0000-00002B4E0000}"/>
    <cellStyle name="_Row3_KK_3YP Model S&amp;D Stand 3.7.07 3 2 3" xfId="20021" xr:uid="{00000000-0005-0000-0000-00002C4E0000}"/>
    <cellStyle name="_Row3_KK_3YP Model S&amp;D Stand 3.7.07 3 3" xfId="20022" xr:uid="{00000000-0005-0000-0000-00002D4E0000}"/>
    <cellStyle name="_Row3_KK_3YP Model S&amp;D Stand 3.7.07 4" xfId="20023" xr:uid="{00000000-0005-0000-0000-00002E4E0000}"/>
    <cellStyle name="_Row3_KK_3YP Model S&amp;D Stand 3.7.07 4 2" xfId="20024" xr:uid="{00000000-0005-0000-0000-00002F4E0000}"/>
    <cellStyle name="_Row3_KK_3YP Model S&amp;D Stand 3.7.07 4 3" xfId="20025" xr:uid="{00000000-0005-0000-0000-0000304E0000}"/>
    <cellStyle name="_Row3_KK_3YP Model S&amp;D Stand 3.7.07 5" xfId="20026" xr:uid="{00000000-0005-0000-0000-0000314E0000}"/>
    <cellStyle name="_Row3_KK_3YP Model S&amp;D Stand 3.7.07 6" xfId="20027" xr:uid="{00000000-0005-0000-0000-0000324E0000}"/>
    <cellStyle name="_Row3_MIS2" xfId="20028" xr:uid="{00000000-0005-0000-0000-0000334E0000}"/>
    <cellStyle name="_Row3_MIS2 2" xfId="20029" xr:uid="{00000000-0005-0000-0000-0000344E0000}"/>
    <cellStyle name="_Row3_MIS2 2 2" xfId="20030" xr:uid="{00000000-0005-0000-0000-0000354E0000}"/>
    <cellStyle name="_Row3_MIS2 2 2 2" xfId="20031" xr:uid="{00000000-0005-0000-0000-0000364E0000}"/>
    <cellStyle name="_Row3_MIS2 2 3" xfId="20032" xr:uid="{00000000-0005-0000-0000-0000374E0000}"/>
    <cellStyle name="_Row3_MIS2 2 3 2" xfId="20033" xr:uid="{00000000-0005-0000-0000-0000384E0000}"/>
    <cellStyle name="_Row3_MIS2 2 3 3" xfId="20034" xr:uid="{00000000-0005-0000-0000-0000394E0000}"/>
    <cellStyle name="_Row3_MIS2 2 4" xfId="20035" xr:uid="{00000000-0005-0000-0000-00003A4E0000}"/>
    <cellStyle name="_Row3_MIS2 2 5" xfId="20036" xr:uid="{00000000-0005-0000-0000-00003B4E0000}"/>
    <cellStyle name="_Row3_MIS2 3" xfId="20037" xr:uid="{00000000-0005-0000-0000-00003C4E0000}"/>
    <cellStyle name="_Row3_MIS2 3 2" xfId="20038" xr:uid="{00000000-0005-0000-0000-00003D4E0000}"/>
    <cellStyle name="_Row3_MIS2 3 2 2" xfId="20039" xr:uid="{00000000-0005-0000-0000-00003E4E0000}"/>
    <cellStyle name="_Row3_MIS2 3 2 3" xfId="20040" xr:uid="{00000000-0005-0000-0000-00003F4E0000}"/>
    <cellStyle name="_Row3_MIS2 3 3" xfId="20041" xr:uid="{00000000-0005-0000-0000-0000404E0000}"/>
    <cellStyle name="_Row3_MIS2 4" xfId="20042" xr:uid="{00000000-0005-0000-0000-0000414E0000}"/>
    <cellStyle name="_Row3_MIS2 4 2" xfId="20043" xr:uid="{00000000-0005-0000-0000-0000424E0000}"/>
    <cellStyle name="_Row3_MIS2 4 3" xfId="20044" xr:uid="{00000000-0005-0000-0000-0000434E0000}"/>
    <cellStyle name="_Row3_MIS2 5" xfId="20045" xr:uid="{00000000-0005-0000-0000-0000444E0000}"/>
    <cellStyle name="_Row3_MIS2 6" xfId="20046" xr:uid="{00000000-0005-0000-0000-0000454E0000}"/>
    <cellStyle name="_Row3_Mis24" xfId="20047" xr:uid="{00000000-0005-0000-0000-0000464E0000}"/>
    <cellStyle name="_Row3_Mis24 2" xfId="20048" xr:uid="{00000000-0005-0000-0000-0000474E0000}"/>
    <cellStyle name="_Row3_Mis24 2 2" xfId="20049" xr:uid="{00000000-0005-0000-0000-0000484E0000}"/>
    <cellStyle name="_Row3_Mis24 3" xfId="20050" xr:uid="{00000000-0005-0000-0000-0000494E0000}"/>
    <cellStyle name="_Row3_Mis24_Simulador Precio VE 2009" xfId="20051" xr:uid="{00000000-0005-0000-0000-00004A4E0000}"/>
    <cellStyle name="_Row3_Mis24_Simulador Precio VE 2009 2" xfId="20052" xr:uid="{00000000-0005-0000-0000-00004B4E0000}"/>
    <cellStyle name="_Row3_Mis24_Simulador Precio VE 2009 2 2" xfId="20053" xr:uid="{00000000-0005-0000-0000-00004C4E0000}"/>
    <cellStyle name="_Row3_Mis24_Simulador Precio VE 2009 3" xfId="20054" xr:uid="{00000000-0005-0000-0000-00004D4E0000}"/>
    <cellStyle name="_Row3_MIS3" xfId="20055" xr:uid="{00000000-0005-0000-0000-00004E4E0000}"/>
    <cellStyle name="_Row3_MIS3 2" xfId="20056" xr:uid="{00000000-0005-0000-0000-00004F4E0000}"/>
    <cellStyle name="_Row3_MIS3 2 2" xfId="20057" xr:uid="{00000000-0005-0000-0000-0000504E0000}"/>
    <cellStyle name="_Row3_MIS3 2 2 2" xfId="20058" xr:uid="{00000000-0005-0000-0000-0000514E0000}"/>
    <cellStyle name="_Row3_MIS3 2 3" xfId="20059" xr:uid="{00000000-0005-0000-0000-0000524E0000}"/>
    <cellStyle name="_Row3_MIS3 2 3 2" xfId="20060" xr:uid="{00000000-0005-0000-0000-0000534E0000}"/>
    <cellStyle name="_Row3_MIS3 2 3 3" xfId="20061" xr:uid="{00000000-0005-0000-0000-0000544E0000}"/>
    <cellStyle name="_Row3_MIS3 2 4" xfId="20062" xr:uid="{00000000-0005-0000-0000-0000554E0000}"/>
    <cellStyle name="_Row3_MIS3 2 5" xfId="20063" xr:uid="{00000000-0005-0000-0000-0000564E0000}"/>
    <cellStyle name="_Row3_MIS3 3" xfId="20064" xr:uid="{00000000-0005-0000-0000-0000574E0000}"/>
    <cellStyle name="_Row3_MIS3 3 2" xfId="20065" xr:uid="{00000000-0005-0000-0000-0000584E0000}"/>
    <cellStyle name="_Row3_MIS3 3 2 2" xfId="20066" xr:uid="{00000000-0005-0000-0000-0000594E0000}"/>
    <cellStyle name="_Row3_MIS3 3 2 3" xfId="20067" xr:uid="{00000000-0005-0000-0000-00005A4E0000}"/>
    <cellStyle name="_Row3_MIS3 3 3" xfId="20068" xr:uid="{00000000-0005-0000-0000-00005B4E0000}"/>
    <cellStyle name="_Row3_MIS3 4" xfId="20069" xr:uid="{00000000-0005-0000-0000-00005C4E0000}"/>
    <cellStyle name="_Row3_MIS3 4 2" xfId="20070" xr:uid="{00000000-0005-0000-0000-00005D4E0000}"/>
    <cellStyle name="_Row3_MIS3 4 3" xfId="20071" xr:uid="{00000000-0005-0000-0000-00005E4E0000}"/>
    <cellStyle name="_Row3_MIS3 5" xfId="20072" xr:uid="{00000000-0005-0000-0000-00005F4E0000}"/>
    <cellStyle name="_Row3_MIS3 6" xfId="20073" xr:uid="{00000000-0005-0000-0000-0000604E0000}"/>
    <cellStyle name="_Row3_PE" xfId="20074" xr:uid="{00000000-0005-0000-0000-0000614E0000}"/>
    <cellStyle name="_Row3_PE 2" xfId="20075" xr:uid="{00000000-0005-0000-0000-0000624E0000}"/>
    <cellStyle name="_Row3_PE 2 2" xfId="20076" xr:uid="{00000000-0005-0000-0000-0000634E0000}"/>
    <cellStyle name="_Row3_PE 3" xfId="20077" xr:uid="{00000000-0005-0000-0000-0000644E0000}"/>
    <cellStyle name="_Row3_People Package" xfId="20078" xr:uid="{00000000-0005-0000-0000-0000654E0000}"/>
    <cellStyle name="_Row3_People Package (2)" xfId="20079" xr:uid="{00000000-0005-0000-0000-0000664E0000}"/>
    <cellStyle name="_Row3_People Package (2) 2" xfId="20080" xr:uid="{00000000-0005-0000-0000-0000674E0000}"/>
    <cellStyle name="_Row3_People Package (2) 2 2" xfId="20081" xr:uid="{00000000-0005-0000-0000-0000684E0000}"/>
    <cellStyle name="_Row3_People Package (2) 3" xfId="20082" xr:uid="{00000000-0005-0000-0000-0000694E0000}"/>
    <cellStyle name="_Row3_People Package 2" xfId="20083" xr:uid="{00000000-0005-0000-0000-00006A4E0000}"/>
    <cellStyle name="_Row3_People Package 2 2" xfId="20084" xr:uid="{00000000-0005-0000-0000-00006B4E0000}"/>
    <cellStyle name="_Row3_People Package 3" xfId="20085" xr:uid="{00000000-0005-0000-0000-00006C4E0000}"/>
    <cellStyle name="_Row3_People Package 3 2" xfId="20086" xr:uid="{00000000-0005-0000-0000-00006D4E0000}"/>
    <cellStyle name="_Row3_People Package 4" xfId="20087" xr:uid="{00000000-0005-0000-0000-00006E4E0000}"/>
    <cellStyle name="_Row3_People Package 5" xfId="20088" xr:uid="{00000000-0005-0000-0000-00006F4E0000}"/>
    <cellStyle name="_Row3_RD" xfId="20089" xr:uid="{00000000-0005-0000-0000-0000704E0000}"/>
    <cellStyle name="_Row3_RD 2" xfId="20090" xr:uid="{00000000-0005-0000-0000-0000714E0000}"/>
    <cellStyle name="_Row3_RD 2 2" xfId="20091" xr:uid="{00000000-0005-0000-0000-0000724E0000}"/>
    <cellStyle name="_Row3_RD 3" xfId="20092" xr:uid="{00000000-0005-0000-0000-0000734E0000}"/>
    <cellStyle name="_Row3_Sales and Marketing - revised" xfId="20093" xr:uid="{00000000-0005-0000-0000-0000744E0000}"/>
    <cellStyle name="_Row3_Sales and Marketing - revised 2" xfId="20094" xr:uid="{00000000-0005-0000-0000-0000754E0000}"/>
    <cellStyle name="_Row3_Sales and Marketing - revised 2 2" xfId="20095" xr:uid="{00000000-0005-0000-0000-0000764E0000}"/>
    <cellStyle name="_Row3_Sales and Marketing - revised 3" xfId="20096" xr:uid="{00000000-0005-0000-0000-0000774E0000}"/>
    <cellStyle name="_Row3_Simulador Precio VE 2009" xfId="20097" xr:uid="{00000000-0005-0000-0000-0000784E0000}"/>
    <cellStyle name="_Row3_Simulador Precio VE 2009 2" xfId="20098" xr:uid="{00000000-0005-0000-0000-0000794E0000}"/>
    <cellStyle name="_Row3_Simulador Precio VE 2009 2 2" xfId="20099" xr:uid="{00000000-0005-0000-0000-00007A4E0000}"/>
    <cellStyle name="_Row3_Simulador Precio VE 2009 3" xfId="20100" xr:uid="{00000000-0005-0000-0000-00007B4E0000}"/>
    <cellStyle name="_Row3_Strategic Diagnostic Templates Technik" xfId="20101" xr:uid="{00000000-0005-0000-0000-00007C4E0000}"/>
    <cellStyle name="_Row3_Strategic Diagnostic Templates Technik 2" xfId="20102" xr:uid="{00000000-0005-0000-0000-00007D4E0000}"/>
    <cellStyle name="_Row3_Strategic Diagnostic Templates Technik 2 2" xfId="20103" xr:uid="{00000000-0005-0000-0000-00007E4E0000}"/>
    <cellStyle name="_Row3_Strategic Diagnostic Templates Technik 2 2 2" xfId="20104" xr:uid="{00000000-0005-0000-0000-00007F4E0000}"/>
    <cellStyle name="_Row3_Strategic Diagnostic Templates Technik 2 3" xfId="20105" xr:uid="{00000000-0005-0000-0000-0000804E0000}"/>
    <cellStyle name="_Row3_Strategic Diagnostic Templates Technik 3" xfId="20106" xr:uid="{00000000-0005-0000-0000-0000814E0000}"/>
    <cellStyle name="_Row3_Strategic Diagnostic Templates Technik 3 2" xfId="20107" xr:uid="{00000000-0005-0000-0000-0000824E0000}"/>
    <cellStyle name="_Row3_Strategic Diagnostic Templates Technik 4" xfId="20108" xr:uid="{00000000-0005-0000-0000-0000834E0000}"/>
    <cellStyle name="_Row3_Strategic Diagnostic Templates Technik_010808 Market Programs  for Budget Deck" xfId="20109" xr:uid="{00000000-0005-0000-0000-0000844E0000}"/>
    <cellStyle name="_Row3_Strategic Diagnostic Templates Technik_010808 Market Programs  for Budget Deck 2" xfId="20110" xr:uid="{00000000-0005-0000-0000-0000854E0000}"/>
    <cellStyle name="_Row3_Strategic Diagnostic Templates Technik_010808 Market Programs  for Budget Deck 2 2" xfId="20111" xr:uid="{00000000-0005-0000-0000-0000864E0000}"/>
    <cellStyle name="_Row3_Strategic Diagnostic Templates Technik_010808 Market Programs  for Budget Deck 3" xfId="20112" xr:uid="{00000000-0005-0000-0000-0000874E0000}"/>
    <cellStyle name="_Row3_Strategic Diagnostic Templates Technik_0908 Gabarito exchange rate" xfId="20113" xr:uid="{00000000-0005-0000-0000-0000884E0000}"/>
    <cellStyle name="_Row3_Strategic Diagnostic Templates Technik_0908 Gabarito exchange rate 2" xfId="20114" xr:uid="{00000000-0005-0000-0000-0000894E0000}"/>
    <cellStyle name="_Row3_Strategic Diagnostic Templates Technik_0908 Gabarito exchange rate 2 2" xfId="20115" xr:uid="{00000000-0005-0000-0000-00008A4E0000}"/>
    <cellStyle name="_Row3_Strategic Diagnostic Templates Technik_0908 Gabarito exchange rate 3" xfId="20116" xr:uid="{00000000-0005-0000-0000-00008B4E0000}"/>
    <cellStyle name="_Row3_Strategic Diagnostic Templates Technik_BGT 08 Templates Sales  Marketing - final (revised)" xfId="20117" xr:uid="{00000000-0005-0000-0000-00008C4E0000}"/>
    <cellStyle name="_Row3_Strategic Diagnostic Templates Technik_BGT 08 Templates Sales  Marketing - final (revised) 2" xfId="20118" xr:uid="{00000000-0005-0000-0000-00008D4E0000}"/>
    <cellStyle name="_Row3_Strategic Diagnostic Templates Technik_BGT 08 Templates Sales  Marketing - final (revised) 2 2" xfId="20119" xr:uid="{00000000-0005-0000-0000-00008E4E0000}"/>
    <cellStyle name="_Row3_Strategic Diagnostic Templates Technik_BGT 08 Templates Sales  Marketing - final (revised) 3" xfId="20120" xr:uid="{00000000-0005-0000-0000-00008F4E0000}"/>
    <cellStyle name="_Row3_Strategic Diagnostic Templates Technik_Book5" xfId="20121" xr:uid="{00000000-0005-0000-0000-0000904E0000}"/>
    <cellStyle name="_Row3_Strategic Diagnostic Templates Technik_Book5 2" xfId="20122" xr:uid="{00000000-0005-0000-0000-0000914E0000}"/>
    <cellStyle name="_Row3_Strategic Diagnostic Templates Technik_Book5 2 2" xfId="20123" xr:uid="{00000000-0005-0000-0000-0000924E0000}"/>
    <cellStyle name="_Row3_Strategic Diagnostic Templates Technik_Book5 3" xfId="20124" xr:uid="{00000000-0005-0000-0000-0000934E0000}"/>
    <cellStyle name="_Row3_Strategic Diagnostic Templates Technik_Bplan RD 1001" xfId="20125" xr:uid="{00000000-0005-0000-0000-0000944E0000}"/>
    <cellStyle name="_Row3_Strategic Diagnostic Templates Technik_Bplan RD 1001 2" xfId="20126" xr:uid="{00000000-0005-0000-0000-0000954E0000}"/>
    <cellStyle name="_Row3_Strategic Diagnostic Templates Technik_Bplan RD 1001 2 2" xfId="20127" xr:uid="{00000000-0005-0000-0000-0000964E0000}"/>
    <cellStyle name="_Row3_Strategic Diagnostic Templates Technik_Bplan RD 1001 3" xfId="20128" xr:uid="{00000000-0005-0000-0000-0000974E0000}"/>
    <cellStyle name="_Row3_Strategic Diagnostic Templates Technik_Copy of BGT 08 Templates Sales  Marketing - final (revised)" xfId="20129" xr:uid="{00000000-0005-0000-0000-0000984E0000}"/>
    <cellStyle name="_Row3_Strategic Diagnostic Templates Technik_Copy of BGT 08 Templates Sales  Marketing - final (revised) 2" xfId="20130" xr:uid="{00000000-0005-0000-0000-0000994E0000}"/>
    <cellStyle name="_Row3_Strategic Diagnostic Templates Technik_Copy of BGT 08 Templates Sales  Marketing - final (revised) 2 2" xfId="20131" xr:uid="{00000000-0005-0000-0000-00009A4E0000}"/>
    <cellStyle name="_Row3_Strategic Diagnostic Templates Technik_Copy of BGT 08 Templates Sales  Marketing - final (revised) 3" xfId="20132" xr:uid="{00000000-0005-0000-0000-00009B4E0000}"/>
    <cellStyle name="_Row3_Strategic Diagnostic Templates Technik_Excel sheets to support Market Program Template for Budget 09" xfId="20133" xr:uid="{00000000-0005-0000-0000-00009C4E0000}"/>
    <cellStyle name="_Row3_Strategic Diagnostic Templates Technik_Excel sheets to support Market Program Template for Budget 09 (5) (2)" xfId="20134" xr:uid="{00000000-0005-0000-0000-00009D4E0000}"/>
    <cellStyle name="_Row3_Strategic Diagnostic Templates Technik_Excel sheets to support Market Program Template for Budget 09 (5) (2) 2" xfId="20135" xr:uid="{00000000-0005-0000-0000-00009E4E0000}"/>
    <cellStyle name="_Row3_Strategic Diagnostic Templates Technik_Excel sheets to support Market Program Template for Budget 09 (5) (2) 2 2" xfId="20136" xr:uid="{00000000-0005-0000-0000-00009F4E0000}"/>
    <cellStyle name="_Row3_Strategic Diagnostic Templates Technik_Excel sheets to support Market Program Template for Budget 09 (5) (2) 3" xfId="20137" xr:uid="{00000000-0005-0000-0000-0000A04E0000}"/>
    <cellStyle name="_Row3_Strategic Diagnostic Templates Technik_Excel sheets to support Market Program Template for Budget 09 (5) (3)" xfId="20138" xr:uid="{00000000-0005-0000-0000-0000A14E0000}"/>
    <cellStyle name="_Row3_Strategic Diagnostic Templates Technik_Excel sheets to support Market Program Template for Budget 09 (5) (3) 2" xfId="20139" xr:uid="{00000000-0005-0000-0000-0000A24E0000}"/>
    <cellStyle name="_Row3_Strategic Diagnostic Templates Technik_Excel sheets to support Market Program Template for Budget 09 (5) (3) 2 2" xfId="20140" xr:uid="{00000000-0005-0000-0000-0000A34E0000}"/>
    <cellStyle name="_Row3_Strategic Diagnostic Templates Technik_Excel sheets to support Market Program Template for Budget 09 (5) (3) 3" xfId="20141" xr:uid="{00000000-0005-0000-0000-0000A44E0000}"/>
    <cellStyle name="_Row3_Strategic Diagnostic Templates Technik_Excel sheets to support Market Program Template for Budget 09 2" xfId="20142" xr:uid="{00000000-0005-0000-0000-0000A54E0000}"/>
    <cellStyle name="_Row3_Strategic Diagnostic Templates Technik_Excel sheets to support Market Program Template for Budget 09 2 2" xfId="20143" xr:uid="{00000000-0005-0000-0000-0000A64E0000}"/>
    <cellStyle name="_Row3_Strategic Diagnostic Templates Technik_Excel sheets to support Market Program Template for Budget 09 3" xfId="20144" xr:uid="{00000000-0005-0000-0000-0000A74E0000}"/>
    <cellStyle name="_Row3_Strategic Diagnostic Templates Technik_Excel sheets to support Market Program Template for Budget 09 3 2" xfId="20145" xr:uid="{00000000-0005-0000-0000-0000A84E0000}"/>
    <cellStyle name="_Row3_Strategic Diagnostic Templates Technik_Excel sheets to support Market Program Template for Budget 09 4" xfId="20146" xr:uid="{00000000-0005-0000-0000-0000A94E0000}"/>
    <cellStyle name="_Row3_Strategic Diagnostic Templates Technik_Excel sheets to support Market Program Template for Budget 09 5" xfId="20147" xr:uid="{00000000-0005-0000-0000-0000AA4E0000}"/>
    <cellStyle name="_Row3_Strategic Diagnostic Templates Technik_LE Ebitda RD Feb-10 v2" xfId="20148" xr:uid="{00000000-0005-0000-0000-0000AB4E0000}"/>
    <cellStyle name="_Row3_Strategic Diagnostic Templates Technik_LE Ebitda RD Feb-10 v2 2" xfId="20149" xr:uid="{00000000-0005-0000-0000-0000AC4E0000}"/>
    <cellStyle name="_Row3_Strategic Diagnostic Templates Technik_LE Ebitda RD Feb-10 v2 2 2" xfId="20150" xr:uid="{00000000-0005-0000-0000-0000AD4E0000}"/>
    <cellStyle name="_Row3_Strategic Diagnostic Templates Technik_LE Ebitda RD Feb-10 v2 3" xfId="20151" xr:uid="{00000000-0005-0000-0000-0000AE4E0000}"/>
    <cellStyle name="_Row3_Strategic Diagnostic Templates Technik_People Package" xfId="20152" xr:uid="{00000000-0005-0000-0000-0000AF4E0000}"/>
    <cellStyle name="_Row3_Strategic Diagnostic Templates Technik_People Package (2)" xfId="20153" xr:uid="{00000000-0005-0000-0000-0000B04E0000}"/>
    <cellStyle name="_Row3_Strategic Diagnostic Templates Technik_People Package (2) 2" xfId="20154" xr:uid="{00000000-0005-0000-0000-0000B14E0000}"/>
    <cellStyle name="_Row3_Strategic Diagnostic Templates Technik_People Package (2) 2 2" xfId="20155" xr:uid="{00000000-0005-0000-0000-0000B24E0000}"/>
    <cellStyle name="_Row3_Strategic Diagnostic Templates Technik_People Package (2) 3" xfId="20156" xr:uid="{00000000-0005-0000-0000-0000B34E0000}"/>
    <cellStyle name="_Row3_Strategic Diagnostic Templates Technik_People Package 2" xfId="20157" xr:uid="{00000000-0005-0000-0000-0000B44E0000}"/>
    <cellStyle name="_Row3_Strategic Diagnostic Templates Technik_People Package 2 2" xfId="20158" xr:uid="{00000000-0005-0000-0000-0000B54E0000}"/>
    <cellStyle name="_Row3_Strategic Diagnostic Templates Technik_People Package 3" xfId="20159" xr:uid="{00000000-0005-0000-0000-0000B64E0000}"/>
    <cellStyle name="_Row3_Strategic Diagnostic Templates Technik_People Package 3 2" xfId="20160" xr:uid="{00000000-0005-0000-0000-0000B74E0000}"/>
    <cellStyle name="_Row3_Strategic Diagnostic Templates Technik_People Package 4" xfId="20161" xr:uid="{00000000-0005-0000-0000-0000B84E0000}"/>
    <cellStyle name="_Row3_Strategic Diagnostic Templates Technik_People Package 5" xfId="20162" xr:uid="{00000000-0005-0000-0000-0000B94E0000}"/>
    <cellStyle name="_Row3_Strategic Diagnostic Templates Technik_Sales and Marketing - revised" xfId="20163" xr:uid="{00000000-0005-0000-0000-0000BA4E0000}"/>
    <cellStyle name="_Row3_Strategic Diagnostic Templates Technik_Sales and Marketing - revised 2" xfId="20164" xr:uid="{00000000-0005-0000-0000-0000BB4E0000}"/>
    <cellStyle name="_Row3_Strategic Diagnostic Templates Technik_Sales and Marketing - revised 2 2" xfId="20165" xr:uid="{00000000-0005-0000-0000-0000BC4E0000}"/>
    <cellStyle name="_Row3_Strategic Diagnostic Templates Technik_Sales and Marketing - revised 3" xfId="20166" xr:uid="{00000000-0005-0000-0000-0000BD4E0000}"/>
    <cellStyle name="_Row3_Strategic Diagnostic Templates Technik_Sim Ebitda LE 0909 v4" xfId="20167" xr:uid="{00000000-0005-0000-0000-0000BE4E0000}"/>
    <cellStyle name="_Row3_Strategic Diagnostic Templates Technik_Sim Ebitda LE 0909 v4 2" xfId="20168" xr:uid="{00000000-0005-0000-0000-0000BF4E0000}"/>
    <cellStyle name="_Row3_Strategic Diagnostic Templates Technik_Sim Ebitda LE 0909 v4 2 2" xfId="20169" xr:uid="{00000000-0005-0000-0000-0000C04E0000}"/>
    <cellStyle name="_Row3_Strategic Diagnostic Templates Technik_Sim Ebitda LE 0909 v4 3" xfId="20170" xr:uid="{00000000-0005-0000-0000-0000C14E0000}"/>
    <cellStyle name="_Row3_Strategic Diagnostic Templates Technik_WF Ebitda RD Abr-10" xfId="20171" xr:uid="{00000000-0005-0000-0000-0000C24E0000}"/>
    <cellStyle name="_Row3_Strategic Diagnostic Templates Technik_WF Ebitda RD Abr-10 2" xfId="20172" xr:uid="{00000000-0005-0000-0000-0000C34E0000}"/>
    <cellStyle name="_Row3_Strategic Diagnostic Templates Technik_WF Ebitda RD Abr-10 2 2" xfId="20173" xr:uid="{00000000-0005-0000-0000-0000C44E0000}"/>
    <cellStyle name="_Row3_Strategic Diagnostic Templates Technik_WF Ebitda RD Abr-10 3" xfId="20174" xr:uid="{00000000-0005-0000-0000-0000C54E0000}"/>
    <cellStyle name="_Row3_Strategic Diagnostic Templates Technik_WF Ebitda Sep09" xfId="20175" xr:uid="{00000000-0005-0000-0000-0000C64E0000}"/>
    <cellStyle name="_Row3_Strategic Diagnostic Templates Technik_WF Ebitda Sep09 2" xfId="20176" xr:uid="{00000000-0005-0000-0000-0000C74E0000}"/>
    <cellStyle name="_Row3_Strategic Diagnostic Templates Technik_WF Ebitda Sep09 2 2" xfId="20177" xr:uid="{00000000-0005-0000-0000-0000C84E0000}"/>
    <cellStyle name="_Row3_Strategic Diagnostic Templates Technik_WF Ebitda Sep09 3" xfId="20178" xr:uid="{00000000-0005-0000-0000-0000C94E0000}"/>
    <cellStyle name="_Row3_Strategic Diagnostic Templates Technik_ZBB" xfId="20179" xr:uid="{00000000-0005-0000-0000-0000CA4E0000}"/>
    <cellStyle name="_Row3_Strategic Diagnostic Templates Technik_ZBB 2" xfId="20180" xr:uid="{00000000-0005-0000-0000-0000CB4E0000}"/>
    <cellStyle name="_Row3_Strategic Diagnostic Templates Technik_ZBB 2 2" xfId="20181" xr:uid="{00000000-0005-0000-0000-0000CC4E0000}"/>
    <cellStyle name="_Row3_Strategic Diagnostic Templates Technik_ZBB 3" xfId="20182" xr:uid="{00000000-0005-0000-0000-0000CD4E0000}"/>
    <cellStyle name="_Row3_VE" xfId="20183" xr:uid="{00000000-0005-0000-0000-0000CE4E0000}"/>
    <cellStyle name="_Row3_VE 2" xfId="20184" xr:uid="{00000000-0005-0000-0000-0000CF4E0000}"/>
    <cellStyle name="_Row3_VE 2 2" xfId="20185" xr:uid="{00000000-0005-0000-0000-0000D04E0000}"/>
    <cellStyle name="_Row3_VE 3" xfId="20186" xr:uid="{00000000-0005-0000-0000-0000D14E0000}"/>
    <cellStyle name="_Row3_waterfall-rol" xfId="20187" xr:uid="{00000000-0005-0000-0000-0000D24E0000}"/>
    <cellStyle name="_Row3_waterfall-rol 2" xfId="20188" xr:uid="{00000000-0005-0000-0000-0000D34E0000}"/>
    <cellStyle name="_Row3_waterfall-rol 2 2" xfId="20189" xr:uid="{00000000-0005-0000-0000-0000D44E0000}"/>
    <cellStyle name="_Row3_waterfall-rol 3" xfId="20190" xr:uid="{00000000-0005-0000-0000-0000D54E0000}"/>
    <cellStyle name="_Row3_ZBB" xfId="20191" xr:uid="{00000000-0005-0000-0000-0000D64E0000}"/>
    <cellStyle name="_Row3_ZBB 2" xfId="20192" xr:uid="{00000000-0005-0000-0000-0000D74E0000}"/>
    <cellStyle name="_Row3_ZBB 2 2" xfId="20193" xr:uid="{00000000-0005-0000-0000-0000D84E0000}"/>
    <cellStyle name="_Row3_ZBB 3" xfId="20194" xr:uid="{00000000-0005-0000-0000-0000D94E0000}"/>
    <cellStyle name="_Row4" xfId="20195" xr:uid="{00000000-0005-0000-0000-0000DA4E0000}"/>
    <cellStyle name="_Row4 2" xfId="20196" xr:uid="{00000000-0005-0000-0000-0000DB4E0000}"/>
    <cellStyle name="_Row4 2 2" xfId="20197" xr:uid="{00000000-0005-0000-0000-0000DC4E0000}"/>
    <cellStyle name="_Row4 3" xfId="20198" xr:uid="{00000000-0005-0000-0000-0000DD4E0000}"/>
    <cellStyle name="_Row4_CA ML" xfId="20199" xr:uid="{00000000-0005-0000-0000-0000DE4E0000}"/>
    <cellStyle name="_Row4_CA ML 2" xfId="20200" xr:uid="{00000000-0005-0000-0000-0000DF4E0000}"/>
    <cellStyle name="_Row4_CA ML 2 2" xfId="20201" xr:uid="{00000000-0005-0000-0000-0000E04E0000}"/>
    <cellStyle name="_Row4_CA ML 3" xfId="20202" xr:uid="{00000000-0005-0000-0000-0000E14E0000}"/>
    <cellStyle name="_Row4_CA USD" xfId="20203" xr:uid="{00000000-0005-0000-0000-0000E24E0000}"/>
    <cellStyle name="_Row4_CA USD 2" xfId="20204" xr:uid="{00000000-0005-0000-0000-0000E34E0000}"/>
    <cellStyle name="_Row4_CA USD 2 2" xfId="20205" xr:uid="{00000000-0005-0000-0000-0000E44E0000}"/>
    <cellStyle name="_Row4_CA USD 3" xfId="20206" xr:uid="{00000000-0005-0000-0000-0000E54E0000}"/>
    <cellStyle name="_Row4_Copy of 081027 ZBB Budget 2009 Decks - People_Cherry_V4" xfId="20207" xr:uid="{00000000-0005-0000-0000-0000E64E0000}"/>
    <cellStyle name="_Row4_Copy of 081027 ZBB Budget 2009 Decks - People_Cherry_V4 2" xfId="20208" xr:uid="{00000000-0005-0000-0000-0000E74E0000}"/>
    <cellStyle name="_Row4_Copy of 081027 ZBB Budget 2009 Decks - People_Cherry_V4 2 2" xfId="20209" xr:uid="{00000000-0005-0000-0000-0000E84E0000}"/>
    <cellStyle name="_Row4_Copy of 081027 ZBB Budget 2009 Decks - People_Cherry_V4 3" xfId="20210" xr:uid="{00000000-0005-0000-0000-0000E94E0000}"/>
    <cellStyle name="_Row4_EC ML" xfId="20211" xr:uid="{00000000-0005-0000-0000-0000EA4E0000}"/>
    <cellStyle name="_Row4_EC ML 2" xfId="20212" xr:uid="{00000000-0005-0000-0000-0000EB4E0000}"/>
    <cellStyle name="_Row4_EC ML 2 2" xfId="20213" xr:uid="{00000000-0005-0000-0000-0000EC4E0000}"/>
    <cellStyle name="_Row4_EC ML 3" xfId="20214" xr:uid="{00000000-0005-0000-0000-0000ED4E0000}"/>
    <cellStyle name="_Row4_EC USD" xfId="20215" xr:uid="{00000000-0005-0000-0000-0000EE4E0000}"/>
    <cellStyle name="_Row4_EC USD 2" xfId="20216" xr:uid="{00000000-0005-0000-0000-0000EF4E0000}"/>
    <cellStyle name="_Row4_EC USD 2 2" xfId="20217" xr:uid="{00000000-0005-0000-0000-0000F04E0000}"/>
    <cellStyle name="_Row4_EC USD 3" xfId="20218" xr:uid="{00000000-0005-0000-0000-0000F14E0000}"/>
    <cellStyle name="_Row4_fx" xfId="20219" xr:uid="{00000000-0005-0000-0000-0000F24E0000}"/>
    <cellStyle name="_Row4_fx 2" xfId="20220" xr:uid="{00000000-0005-0000-0000-0000F34E0000}"/>
    <cellStyle name="_Row4_fx 2 2" xfId="20221" xr:uid="{00000000-0005-0000-0000-0000F44E0000}"/>
    <cellStyle name="_Row4_fx 3" xfId="20222" xr:uid="{00000000-0005-0000-0000-0000F54E0000}"/>
    <cellStyle name="_Row4_GCoA final version" xfId="20223" xr:uid="{00000000-0005-0000-0000-0000F64E0000}"/>
    <cellStyle name="_Row4_GCoA final version 2" xfId="20224" xr:uid="{00000000-0005-0000-0000-0000F74E0000}"/>
    <cellStyle name="_Row4_GCoA final version 2 2" xfId="20225" xr:uid="{00000000-0005-0000-0000-0000F84E0000}"/>
    <cellStyle name="_Row4_GCoA final version 3" xfId="20226" xr:uid="{00000000-0005-0000-0000-0000F94E0000}"/>
    <cellStyle name="_Row4_GCoA final version_Copy of 081027 ZBB Budget 2009 Decks - People_Cherry_V4" xfId="20227" xr:uid="{00000000-0005-0000-0000-0000FA4E0000}"/>
    <cellStyle name="_Row4_GCoA final version_Copy of 081027 ZBB Budget 2009 Decks - People_Cherry_V4 2" xfId="20228" xr:uid="{00000000-0005-0000-0000-0000FB4E0000}"/>
    <cellStyle name="_Row4_GCoA final version_Copy of 081027 ZBB Budget 2009 Decks - People_Cherry_V4 2 2" xfId="20229" xr:uid="{00000000-0005-0000-0000-0000FC4E0000}"/>
    <cellStyle name="_Row4_GCoA final version_Copy of 081027 ZBB Budget 2009 Decks - People_Cherry_V4 3" xfId="20230" xr:uid="{00000000-0005-0000-0000-0000FD4E0000}"/>
    <cellStyle name="_Row4_GCoA final version_ZBB Budget 2009 Decks" xfId="20231" xr:uid="{00000000-0005-0000-0000-0000FE4E0000}"/>
    <cellStyle name="_Row4_GCoA final version_ZBB Budget 2009 Decks 2" xfId="20232" xr:uid="{00000000-0005-0000-0000-0000FF4E0000}"/>
    <cellStyle name="_Row4_GCoA final version_ZBB Budget 2009 Decks 2 2" xfId="20233" xr:uid="{00000000-0005-0000-0000-0000004F0000}"/>
    <cellStyle name="_Row4_GCoA final version_ZBB Budget 2009 Decks 3" xfId="20234" xr:uid="{00000000-0005-0000-0000-0000014F0000}"/>
    <cellStyle name="_Row4_GCoA final version_ZBB Budget 2009 Decks_with Korea Scope in (Only LE)" xfId="20235" xr:uid="{00000000-0005-0000-0000-0000024F0000}"/>
    <cellStyle name="_Row4_GCoA final version_ZBB Budget 2009 Decks_with Korea Scope in (Only LE) (2)" xfId="20236" xr:uid="{00000000-0005-0000-0000-0000034F0000}"/>
    <cellStyle name="_Row4_GCoA final version_ZBB Budget 2009 Decks_with Korea Scope in (Only LE) (2) 2" xfId="20237" xr:uid="{00000000-0005-0000-0000-0000044F0000}"/>
    <cellStyle name="_Row4_GCoA final version_ZBB Budget 2009 Decks_with Korea Scope in (Only LE) (2) 2 2" xfId="20238" xr:uid="{00000000-0005-0000-0000-0000054F0000}"/>
    <cellStyle name="_Row4_GCoA final version_ZBB Budget 2009 Decks_with Korea Scope in (Only LE) (2) 3" xfId="20239" xr:uid="{00000000-0005-0000-0000-0000064F0000}"/>
    <cellStyle name="_Row4_GCoA final version_ZBB Budget 2009 Decks_with Korea Scope in (Only LE) 2" xfId="20240" xr:uid="{00000000-0005-0000-0000-0000074F0000}"/>
    <cellStyle name="_Row4_GCoA final version_ZBB Budget 2009 Decks_with Korea Scope in (Only LE) 2 2" xfId="20241" xr:uid="{00000000-0005-0000-0000-0000084F0000}"/>
    <cellStyle name="_Row4_GCoA final version_ZBB Budget 2009 Decks_with Korea Scope in (Only LE) 3" xfId="20242" xr:uid="{00000000-0005-0000-0000-0000094F0000}"/>
    <cellStyle name="_Row4_GCoA final version_ZBB Budget 2009 Decks_with Korea Scope in (Only LE) 3 2" xfId="20243" xr:uid="{00000000-0005-0000-0000-00000A4F0000}"/>
    <cellStyle name="_Row4_GCoA final version_ZBB Budget 2009 Decks_with Korea Scope in (Only LE) 4" xfId="20244" xr:uid="{00000000-0005-0000-0000-00000B4F0000}"/>
    <cellStyle name="_Row4_GCoA final version_ZBB Budget 2009 Decks_with Korea Scope in (Only LE) 5" xfId="20245" xr:uid="{00000000-0005-0000-0000-00000C4F0000}"/>
    <cellStyle name="_Row4_GCOA PL regarding ZBB accounts" xfId="20246" xr:uid="{00000000-0005-0000-0000-00000D4F0000}"/>
    <cellStyle name="_Row4_GCOA PL regarding ZBB accounts 2" xfId="20247" xr:uid="{00000000-0005-0000-0000-00000E4F0000}"/>
    <cellStyle name="_Row4_GCOA PL regarding ZBB accounts 2 2" xfId="20248" xr:uid="{00000000-0005-0000-0000-00000F4F0000}"/>
    <cellStyle name="_Row4_GCOA PL regarding ZBB accounts 3" xfId="20249" xr:uid="{00000000-0005-0000-0000-0000104F0000}"/>
    <cellStyle name="_Row4_GCOA PL regarding ZBB accounts_Copy of 081027 ZBB Budget 2009 Decks - People_Cherry_V4" xfId="20250" xr:uid="{00000000-0005-0000-0000-0000114F0000}"/>
    <cellStyle name="_Row4_GCOA PL regarding ZBB accounts_Copy of 081027 ZBB Budget 2009 Decks - People_Cherry_V4 2" xfId="20251" xr:uid="{00000000-0005-0000-0000-0000124F0000}"/>
    <cellStyle name="_Row4_GCOA PL regarding ZBB accounts_Copy of 081027 ZBB Budget 2009 Decks - People_Cherry_V4 2 2" xfId="20252" xr:uid="{00000000-0005-0000-0000-0000134F0000}"/>
    <cellStyle name="_Row4_GCOA PL regarding ZBB accounts_Copy of 081027 ZBB Budget 2009 Decks - People_Cherry_V4 3" xfId="20253" xr:uid="{00000000-0005-0000-0000-0000144F0000}"/>
    <cellStyle name="_Row4_GCOA PL regarding ZBB accounts_ZBB Budget 2009 Decks" xfId="20254" xr:uid="{00000000-0005-0000-0000-0000154F0000}"/>
    <cellStyle name="_Row4_GCOA PL regarding ZBB accounts_ZBB Budget 2009 Decks 2" xfId="20255" xr:uid="{00000000-0005-0000-0000-0000164F0000}"/>
    <cellStyle name="_Row4_GCOA PL regarding ZBB accounts_ZBB Budget 2009 Decks 2 2" xfId="20256" xr:uid="{00000000-0005-0000-0000-0000174F0000}"/>
    <cellStyle name="_Row4_GCOA PL regarding ZBB accounts_ZBB Budget 2009 Decks 3" xfId="20257" xr:uid="{00000000-0005-0000-0000-0000184F0000}"/>
    <cellStyle name="_Row4_GCOA PL regarding ZBB accounts_ZBB Budget 2009 Decks_with Korea Scope in (Only LE)" xfId="20258" xr:uid="{00000000-0005-0000-0000-0000194F0000}"/>
    <cellStyle name="_Row4_GCOA PL regarding ZBB accounts_ZBB Budget 2009 Decks_with Korea Scope in (Only LE) (2)" xfId="20259" xr:uid="{00000000-0005-0000-0000-00001A4F0000}"/>
    <cellStyle name="_Row4_GCOA PL regarding ZBB accounts_ZBB Budget 2009 Decks_with Korea Scope in (Only LE) (2) 2" xfId="20260" xr:uid="{00000000-0005-0000-0000-00001B4F0000}"/>
    <cellStyle name="_Row4_GCOA PL regarding ZBB accounts_ZBB Budget 2009 Decks_with Korea Scope in (Only LE) (2) 2 2" xfId="20261" xr:uid="{00000000-0005-0000-0000-00001C4F0000}"/>
    <cellStyle name="_Row4_GCOA PL regarding ZBB accounts_ZBB Budget 2009 Decks_with Korea Scope in (Only LE) (2) 3" xfId="20262" xr:uid="{00000000-0005-0000-0000-00001D4F0000}"/>
    <cellStyle name="_Row4_GCOA PL regarding ZBB accounts_ZBB Budget 2009 Decks_with Korea Scope in (Only LE) 2" xfId="20263" xr:uid="{00000000-0005-0000-0000-00001E4F0000}"/>
    <cellStyle name="_Row4_GCOA PL regarding ZBB accounts_ZBB Budget 2009 Decks_with Korea Scope in (Only LE) 2 2" xfId="20264" xr:uid="{00000000-0005-0000-0000-00001F4F0000}"/>
    <cellStyle name="_Row4_GCOA PL regarding ZBB accounts_ZBB Budget 2009 Decks_with Korea Scope in (Only LE) 3" xfId="20265" xr:uid="{00000000-0005-0000-0000-0000204F0000}"/>
    <cellStyle name="_Row4_GCOA PL regarding ZBB accounts_ZBB Budget 2009 Decks_with Korea Scope in (Only LE) 3 2" xfId="20266" xr:uid="{00000000-0005-0000-0000-0000214F0000}"/>
    <cellStyle name="_Row4_GCOA PL regarding ZBB accounts_ZBB Budget 2009 Decks_with Korea Scope in (Only LE) 4" xfId="20267" xr:uid="{00000000-0005-0000-0000-0000224F0000}"/>
    <cellStyle name="_Row4_GCOA PL regarding ZBB accounts_ZBB Budget 2009 Decks_with Korea Scope in (Only LE) 5" xfId="20268" xr:uid="{00000000-0005-0000-0000-0000234F0000}"/>
    <cellStyle name="_Row4_Industry Volumes" xfId="20269" xr:uid="{00000000-0005-0000-0000-0000244F0000}"/>
    <cellStyle name="_Row4_Industry Volumes 2" xfId="20270" xr:uid="{00000000-0005-0000-0000-0000254F0000}"/>
    <cellStyle name="_Row4_Industry Volumes 2 2" xfId="20271" xr:uid="{00000000-0005-0000-0000-0000264F0000}"/>
    <cellStyle name="_Row4_Industry Volumes 2 2 2" xfId="20272" xr:uid="{00000000-0005-0000-0000-0000274F0000}"/>
    <cellStyle name="_Row4_Industry Volumes 2 3" xfId="20273" xr:uid="{00000000-0005-0000-0000-0000284F0000}"/>
    <cellStyle name="_Row4_Industry Volumes 2 3 2" xfId="20274" xr:uid="{00000000-0005-0000-0000-0000294F0000}"/>
    <cellStyle name="_Row4_Industry Volumes 2 3 3" xfId="20275" xr:uid="{00000000-0005-0000-0000-00002A4F0000}"/>
    <cellStyle name="_Row4_Industry Volumes 2 4" xfId="20276" xr:uid="{00000000-0005-0000-0000-00002B4F0000}"/>
    <cellStyle name="_Row4_Industry Volumes 2 5" xfId="20277" xr:uid="{00000000-0005-0000-0000-00002C4F0000}"/>
    <cellStyle name="_Row4_Industry Volumes 3" xfId="20278" xr:uid="{00000000-0005-0000-0000-00002D4F0000}"/>
    <cellStyle name="_Row4_Industry Volumes 3 2" xfId="20279" xr:uid="{00000000-0005-0000-0000-00002E4F0000}"/>
    <cellStyle name="_Row4_Industry Volumes 3 2 2" xfId="20280" xr:uid="{00000000-0005-0000-0000-00002F4F0000}"/>
    <cellStyle name="_Row4_Industry Volumes 3 2 3" xfId="20281" xr:uid="{00000000-0005-0000-0000-0000304F0000}"/>
    <cellStyle name="_Row4_Industry Volumes 3 3" xfId="20282" xr:uid="{00000000-0005-0000-0000-0000314F0000}"/>
    <cellStyle name="_Row4_Industry Volumes 4" xfId="20283" xr:uid="{00000000-0005-0000-0000-0000324F0000}"/>
    <cellStyle name="_Row4_Industry Volumes 4 2" xfId="20284" xr:uid="{00000000-0005-0000-0000-0000334F0000}"/>
    <cellStyle name="_Row4_Industry Volumes 4 3" xfId="20285" xr:uid="{00000000-0005-0000-0000-0000344F0000}"/>
    <cellStyle name="_Row4_Industry Volumes 5" xfId="20286" xr:uid="{00000000-0005-0000-0000-0000354F0000}"/>
    <cellStyle name="_Row4_Industry Volumes 6" xfId="20287" xr:uid="{00000000-0005-0000-0000-0000364F0000}"/>
    <cellStyle name="_Row4_KK_3YP Model S&amp;D Stand 3.7.07" xfId="20288" xr:uid="{00000000-0005-0000-0000-0000374F0000}"/>
    <cellStyle name="_Row4_KK_3YP Model S&amp;D Stand 3.7.07 2" xfId="20289" xr:uid="{00000000-0005-0000-0000-0000384F0000}"/>
    <cellStyle name="_Row4_KK_3YP Model S&amp;D Stand 3.7.07 2 2" xfId="20290" xr:uid="{00000000-0005-0000-0000-0000394F0000}"/>
    <cellStyle name="_Row4_KK_3YP Model S&amp;D Stand 3.7.07 2 2 2" xfId="20291" xr:uid="{00000000-0005-0000-0000-00003A4F0000}"/>
    <cellStyle name="_Row4_KK_3YP Model S&amp;D Stand 3.7.07 2 3" xfId="20292" xr:uid="{00000000-0005-0000-0000-00003B4F0000}"/>
    <cellStyle name="_Row4_KK_3YP Model S&amp;D Stand 3.7.07 2 3 2" xfId="20293" xr:uid="{00000000-0005-0000-0000-00003C4F0000}"/>
    <cellStyle name="_Row4_KK_3YP Model S&amp;D Stand 3.7.07 2 3 3" xfId="20294" xr:uid="{00000000-0005-0000-0000-00003D4F0000}"/>
    <cellStyle name="_Row4_KK_3YP Model S&amp;D Stand 3.7.07 2 4" xfId="20295" xr:uid="{00000000-0005-0000-0000-00003E4F0000}"/>
    <cellStyle name="_Row4_KK_3YP Model S&amp;D Stand 3.7.07 2 5" xfId="20296" xr:uid="{00000000-0005-0000-0000-00003F4F0000}"/>
    <cellStyle name="_Row4_KK_3YP Model S&amp;D Stand 3.7.07 3" xfId="20297" xr:uid="{00000000-0005-0000-0000-0000404F0000}"/>
    <cellStyle name="_Row4_KK_3YP Model S&amp;D Stand 3.7.07 3 2" xfId="20298" xr:uid="{00000000-0005-0000-0000-0000414F0000}"/>
    <cellStyle name="_Row4_KK_3YP Model S&amp;D Stand 3.7.07 3 2 2" xfId="20299" xr:uid="{00000000-0005-0000-0000-0000424F0000}"/>
    <cellStyle name="_Row4_KK_3YP Model S&amp;D Stand 3.7.07 3 2 3" xfId="20300" xr:uid="{00000000-0005-0000-0000-0000434F0000}"/>
    <cellStyle name="_Row4_KK_3YP Model S&amp;D Stand 3.7.07 3 3" xfId="20301" xr:uid="{00000000-0005-0000-0000-0000444F0000}"/>
    <cellStyle name="_Row4_KK_3YP Model S&amp;D Stand 3.7.07 4" xfId="20302" xr:uid="{00000000-0005-0000-0000-0000454F0000}"/>
    <cellStyle name="_Row4_KK_3YP Model S&amp;D Stand 3.7.07 4 2" xfId="20303" xr:uid="{00000000-0005-0000-0000-0000464F0000}"/>
    <cellStyle name="_Row4_KK_3YP Model S&amp;D Stand 3.7.07 4 3" xfId="20304" xr:uid="{00000000-0005-0000-0000-0000474F0000}"/>
    <cellStyle name="_Row4_KK_3YP Model S&amp;D Stand 3.7.07 5" xfId="20305" xr:uid="{00000000-0005-0000-0000-0000484F0000}"/>
    <cellStyle name="_Row4_KK_3YP Model S&amp;D Stand 3.7.07 6" xfId="20306" xr:uid="{00000000-0005-0000-0000-0000494F0000}"/>
    <cellStyle name="_Row4_MIS2" xfId="20307" xr:uid="{00000000-0005-0000-0000-00004A4F0000}"/>
    <cellStyle name="_Row4_MIS2 2" xfId="20308" xr:uid="{00000000-0005-0000-0000-00004B4F0000}"/>
    <cellStyle name="_Row4_MIS2 2 2" xfId="20309" xr:uid="{00000000-0005-0000-0000-00004C4F0000}"/>
    <cellStyle name="_Row4_MIS2 2 2 2" xfId="20310" xr:uid="{00000000-0005-0000-0000-00004D4F0000}"/>
    <cellStyle name="_Row4_MIS2 2 3" xfId="20311" xr:uid="{00000000-0005-0000-0000-00004E4F0000}"/>
    <cellStyle name="_Row4_MIS2 2 3 2" xfId="20312" xr:uid="{00000000-0005-0000-0000-00004F4F0000}"/>
    <cellStyle name="_Row4_MIS2 2 3 3" xfId="20313" xr:uid="{00000000-0005-0000-0000-0000504F0000}"/>
    <cellStyle name="_Row4_MIS2 2 4" xfId="20314" xr:uid="{00000000-0005-0000-0000-0000514F0000}"/>
    <cellStyle name="_Row4_MIS2 2 5" xfId="20315" xr:uid="{00000000-0005-0000-0000-0000524F0000}"/>
    <cellStyle name="_Row4_MIS2 3" xfId="20316" xr:uid="{00000000-0005-0000-0000-0000534F0000}"/>
    <cellStyle name="_Row4_MIS2 3 2" xfId="20317" xr:uid="{00000000-0005-0000-0000-0000544F0000}"/>
    <cellStyle name="_Row4_MIS2 3 2 2" xfId="20318" xr:uid="{00000000-0005-0000-0000-0000554F0000}"/>
    <cellStyle name="_Row4_MIS2 3 2 3" xfId="20319" xr:uid="{00000000-0005-0000-0000-0000564F0000}"/>
    <cellStyle name="_Row4_MIS2 3 3" xfId="20320" xr:uid="{00000000-0005-0000-0000-0000574F0000}"/>
    <cellStyle name="_Row4_MIS2 4" xfId="20321" xr:uid="{00000000-0005-0000-0000-0000584F0000}"/>
    <cellStyle name="_Row4_MIS2 4 2" xfId="20322" xr:uid="{00000000-0005-0000-0000-0000594F0000}"/>
    <cellStyle name="_Row4_MIS2 4 3" xfId="20323" xr:uid="{00000000-0005-0000-0000-00005A4F0000}"/>
    <cellStyle name="_Row4_MIS2 5" xfId="20324" xr:uid="{00000000-0005-0000-0000-00005B4F0000}"/>
    <cellStyle name="_Row4_MIS2 6" xfId="20325" xr:uid="{00000000-0005-0000-0000-00005C4F0000}"/>
    <cellStyle name="_Row4_Mis24" xfId="20326" xr:uid="{00000000-0005-0000-0000-00005D4F0000}"/>
    <cellStyle name="_Row4_Mis24 2" xfId="20327" xr:uid="{00000000-0005-0000-0000-00005E4F0000}"/>
    <cellStyle name="_Row4_Mis24 2 2" xfId="20328" xr:uid="{00000000-0005-0000-0000-00005F4F0000}"/>
    <cellStyle name="_Row4_Mis24 3" xfId="20329" xr:uid="{00000000-0005-0000-0000-0000604F0000}"/>
    <cellStyle name="_Row4_Mis24_CA ML" xfId="20330" xr:uid="{00000000-0005-0000-0000-0000614F0000}"/>
    <cellStyle name="_Row4_Mis24_CA ML 2" xfId="20331" xr:uid="{00000000-0005-0000-0000-0000624F0000}"/>
    <cellStyle name="_Row4_Mis24_CA ML 2 2" xfId="20332" xr:uid="{00000000-0005-0000-0000-0000634F0000}"/>
    <cellStyle name="_Row4_Mis24_CA ML 3" xfId="20333" xr:uid="{00000000-0005-0000-0000-0000644F0000}"/>
    <cellStyle name="_Row4_Mis24_CA USD" xfId="20334" xr:uid="{00000000-0005-0000-0000-0000654F0000}"/>
    <cellStyle name="_Row4_Mis24_CA USD 2" xfId="20335" xr:uid="{00000000-0005-0000-0000-0000664F0000}"/>
    <cellStyle name="_Row4_Mis24_CA USD 2 2" xfId="20336" xr:uid="{00000000-0005-0000-0000-0000674F0000}"/>
    <cellStyle name="_Row4_Mis24_CA USD 3" xfId="20337" xr:uid="{00000000-0005-0000-0000-0000684F0000}"/>
    <cellStyle name="_Row4_Mis24_EC ML" xfId="20338" xr:uid="{00000000-0005-0000-0000-0000694F0000}"/>
    <cellStyle name="_Row4_Mis24_EC ML 2" xfId="20339" xr:uid="{00000000-0005-0000-0000-00006A4F0000}"/>
    <cellStyle name="_Row4_Mis24_EC ML 2 2" xfId="20340" xr:uid="{00000000-0005-0000-0000-00006B4F0000}"/>
    <cellStyle name="_Row4_Mis24_EC ML 3" xfId="20341" xr:uid="{00000000-0005-0000-0000-00006C4F0000}"/>
    <cellStyle name="_Row4_Mis24_EC USD" xfId="20342" xr:uid="{00000000-0005-0000-0000-00006D4F0000}"/>
    <cellStyle name="_Row4_Mis24_EC USD 2" xfId="20343" xr:uid="{00000000-0005-0000-0000-00006E4F0000}"/>
    <cellStyle name="_Row4_Mis24_EC USD 2 2" xfId="20344" xr:uid="{00000000-0005-0000-0000-00006F4F0000}"/>
    <cellStyle name="_Row4_Mis24_EC USD 3" xfId="20345" xr:uid="{00000000-0005-0000-0000-0000704F0000}"/>
    <cellStyle name="_Row4_Mis24_fx" xfId="20346" xr:uid="{00000000-0005-0000-0000-0000714F0000}"/>
    <cellStyle name="_Row4_Mis24_fx 2" xfId="20347" xr:uid="{00000000-0005-0000-0000-0000724F0000}"/>
    <cellStyle name="_Row4_Mis24_fx 2 2" xfId="20348" xr:uid="{00000000-0005-0000-0000-0000734F0000}"/>
    <cellStyle name="_Row4_Mis24_fx 3" xfId="20349" xr:uid="{00000000-0005-0000-0000-0000744F0000}"/>
    <cellStyle name="_Row4_Mis24_PE ML" xfId="20350" xr:uid="{00000000-0005-0000-0000-0000754F0000}"/>
    <cellStyle name="_Row4_Mis24_PE ML 2" xfId="20351" xr:uid="{00000000-0005-0000-0000-0000764F0000}"/>
    <cellStyle name="_Row4_Mis24_PE ML 2 2" xfId="20352" xr:uid="{00000000-0005-0000-0000-0000774F0000}"/>
    <cellStyle name="_Row4_Mis24_PE ML 3" xfId="20353" xr:uid="{00000000-0005-0000-0000-0000784F0000}"/>
    <cellStyle name="_Row4_Mis24_PE USD" xfId="20354" xr:uid="{00000000-0005-0000-0000-0000794F0000}"/>
    <cellStyle name="_Row4_Mis24_PE USD 2" xfId="20355" xr:uid="{00000000-0005-0000-0000-00007A4F0000}"/>
    <cellStyle name="_Row4_Mis24_PE USD 2 2" xfId="20356" xr:uid="{00000000-0005-0000-0000-00007B4F0000}"/>
    <cellStyle name="_Row4_Mis24_PE USD 3" xfId="20357" xr:uid="{00000000-0005-0000-0000-00007C4F0000}"/>
    <cellStyle name="_Row4_Mis24_RD ML" xfId="20358" xr:uid="{00000000-0005-0000-0000-00007D4F0000}"/>
    <cellStyle name="_Row4_Mis24_RD ML 2" xfId="20359" xr:uid="{00000000-0005-0000-0000-00007E4F0000}"/>
    <cellStyle name="_Row4_Mis24_RD ML 2 2" xfId="20360" xr:uid="{00000000-0005-0000-0000-00007F4F0000}"/>
    <cellStyle name="_Row4_Mis24_RD ML 3" xfId="20361" xr:uid="{00000000-0005-0000-0000-0000804F0000}"/>
    <cellStyle name="_Row4_Mis24_RD USD" xfId="20362" xr:uid="{00000000-0005-0000-0000-0000814F0000}"/>
    <cellStyle name="_Row4_Mis24_RD USD 2" xfId="20363" xr:uid="{00000000-0005-0000-0000-0000824F0000}"/>
    <cellStyle name="_Row4_Mis24_RD USD 2 2" xfId="20364" xr:uid="{00000000-0005-0000-0000-0000834F0000}"/>
    <cellStyle name="_Row4_Mis24_RD USD 3" xfId="20365" xr:uid="{00000000-0005-0000-0000-0000844F0000}"/>
    <cellStyle name="_Row4_MIS3" xfId="20366" xr:uid="{00000000-0005-0000-0000-0000854F0000}"/>
    <cellStyle name="_Row4_MIS3 2" xfId="20367" xr:uid="{00000000-0005-0000-0000-0000864F0000}"/>
    <cellStyle name="_Row4_MIS3 2 2" xfId="20368" xr:uid="{00000000-0005-0000-0000-0000874F0000}"/>
    <cellStyle name="_Row4_MIS3 2 2 2" xfId="20369" xr:uid="{00000000-0005-0000-0000-0000884F0000}"/>
    <cellStyle name="_Row4_MIS3 2 3" xfId="20370" xr:uid="{00000000-0005-0000-0000-0000894F0000}"/>
    <cellStyle name="_Row4_MIS3 2 3 2" xfId="20371" xr:uid="{00000000-0005-0000-0000-00008A4F0000}"/>
    <cellStyle name="_Row4_MIS3 2 3 3" xfId="20372" xr:uid="{00000000-0005-0000-0000-00008B4F0000}"/>
    <cellStyle name="_Row4_MIS3 2 4" xfId="20373" xr:uid="{00000000-0005-0000-0000-00008C4F0000}"/>
    <cellStyle name="_Row4_MIS3 2 5" xfId="20374" xr:uid="{00000000-0005-0000-0000-00008D4F0000}"/>
    <cellStyle name="_Row4_MIS3 3" xfId="20375" xr:uid="{00000000-0005-0000-0000-00008E4F0000}"/>
    <cellStyle name="_Row4_MIS3 3 2" xfId="20376" xr:uid="{00000000-0005-0000-0000-00008F4F0000}"/>
    <cellStyle name="_Row4_MIS3 3 2 2" xfId="20377" xr:uid="{00000000-0005-0000-0000-0000904F0000}"/>
    <cellStyle name="_Row4_MIS3 3 2 3" xfId="20378" xr:uid="{00000000-0005-0000-0000-0000914F0000}"/>
    <cellStyle name="_Row4_MIS3 3 3" xfId="20379" xr:uid="{00000000-0005-0000-0000-0000924F0000}"/>
    <cellStyle name="_Row4_MIS3 4" xfId="20380" xr:uid="{00000000-0005-0000-0000-0000934F0000}"/>
    <cellStyle name="_Row4_MIS3 4 2" xfId="20381" xr:uid="{00000000-0005-0000-0000-0000944F0000}"/>
    <cellStyle name="_Row4_MIS3 4 3" xfId="20382" xr:uid="{00000000-0005-0000-0000-0000954F0000}"/>
    <cellStyle name="_Row4_MIS3 5" xfId="20383" xr:uid="{00000000-0005-0000-0000-0000964F0000}"/>
    <cellStyle name="_Row4_MIS3 6" xfId="20384" xr:uid="{00000000-0005-0000-0000-0000974F0000}"/>
    <cellStyle name="_Row4_PE ML" xfId="20385" xr:uid="{00000000-0005-0000-0000-0000984F0000}"/>
    <cellStyle name="_Row4_PE ML 2" xfId="20386" xr:uid="{00000000-0005-0000-0000-0000994F0000}"/>
    <cellStyle name="_Row4_PE ML 2 2" xfId="20387" xr:uid="{00000000-0005-0000-0000-00009A4F0000}"/>
    <cellStyle name="_Row4_PE ML 3" xfId="20388" xr:uid="{00000000-0005-0000-0000-00009B4F0000}"/>
    <cellStyle name="_Row4_PE USD" xfId="20389" xr:uid="{00000000-0005-0000-0000-00009C4F0000}"/>
    <cellStyle name="_Row4_PE USD 2" xfId="20390" xr:uid="{00000000-0005-0000-0000-00009D4F0000}"/>
    <cellStyle name="_Row4_PE USD 2 2" xfId="20391" xr:uid="{00000000-0005-0000-0000-00009E4F0000}"/>
    <cellStyle name="_Row4_PE USD 3" xfId="20392" xr:uid="{00000000-0005-0000-0000-00009F4F0000}"/>
    <cellStyle name="_Row4_RD ML" xfId="20393" xr:uid="{00000000-0005-0000-0000-0000A04F0000}"/>
    <cellStyle name="_Row4_RD ML 2" xfId="20394" xr:uid="{00000000-0005-0000-0000-0000A14F0000}"/>
    <cellStyle name="_Row4_RD ML 2 2" xfId="20395" xr:uid="{00000000-0005-0000-0000-0000A24F0000}"/>
    <cellStyle name="_Row4_RD ML 3" xfId="20396" xr:uid="{00000000-0005-0000-0000-0000A34F0000}"/>
    <cellStyle name="_Row4_RD USD" xfId="20397" xr:uid="{00000000-0005-0000-0000-0000A44F0000}"/>
    <cellStyle name="_Row4_RD USD 2" xfId="20398" xr:uid="{00000000-0005-0000-0000-0000A54F0000}"/>
    <cellStyle name="_Row4_RD USD 2 2" xfId="20399" xr:uid="{00000000-0005-0000-0000-0000A64F0000}"/>
    <cellStyle name="_Row4_RD USD 3" xfId="20400" xr:uid="{00000000-0005-0000-0000-0000A74F0000}"/>
    <cellStyle name="_Row4_Strategic Diagnostic Templates Technik" xfId="20401" xr:uid="{00000000-0005-0000-0000-0000A84F0000}"/>
    <cellStyle name="_Row4_Strategic Diagnostic Templates Technik 2" xfId="20402" xr:uid="{00000000-0005-0000-0000-0000A94F0000}"/>
    <cellStyle name="_Row4_Strategic Diagnostic Templates Technik 2 2" xfId="20403" xr:uid="{00000000-0005-0000-0000-0000AA4F0000}"/>
    <cellStyle name="_Row4_Strategic Diagnostic Templates Technik 2 2 2" xfId="20404" xr:uid="{00000000-0005-0000-0000-0000AB4F0000}"/>
    <cellStyle name="_Row4_Strategic Diagnostic Templates Technik 2 3" xfId="20405" xr:uid="{00000000-0005-0000-0000-0000AC4F0000}"/>
    <cellStyle name="_Row4_Strategic Diagnostic Templates Technik 3" xfId="20406" xr:uid="{00000000-0005-0000-0000-0000AD4F0000}"/>
    <cellStyle name="_Row4_Strategic Diagnostic Templates Technik 3 2" xfId="20407" xr:uid="{00000000-0005-0000-0000-0000AE4F0000}"/>
    <cellStyle name="_Row4_Strategic Diagnostic Templates Technik 4" xfId="20408" xr:uid="{00000000-0005-0000-0000-0000AF4F0000}"/>
    <cellStyle name="_Row4_Strategic Diagnostic Templates Technik_010808 Market Programs  for Budget Deck" xfId="20409" xr:uid="{00000000-0005-0000-0000-0000B04F0000}"/>
    <cellStyle name="_Row4_Strategic Diagnostic Templates Technik_010808 Market Programs  for Budget Deck 2" xfId="20410" xr:uid="{00000000-0005-0000-0000-0000B14F0000}"/>
    <cellStyle name="_Row4_Strategic Diagnostic Templates Technik_010808 Market Programs  for Budget Deck 2 2" xfId="20411" xr:uid="{00000000-0005-0000-0000-0000B24F0000}"/>
    <cellStyle name="_Row4_Strategic Diagnostic Templates Technik_010808 Market Programs  for Budget Deck 3" xfId="20412" xr:uid="{00000000-0005-0000-0000-0000B34F0000}"/>
    <cellStyle name="_Row4_Strategic Diagnostic Templates Technik_0908 Gabarito exchange rate" xfId="20413" xr:uid="{00000000-0005-0000-0000-0000B44F0000}"/>
    <cellStyle name="_Row4_Strategic Diagnostic Templates Technik_0908 Gabarito exchange rate 2" xfId="20414" xr:uid="{00000000-0005-0000-0000-0000B54F0000}"/>
    <cellStyle name="_Row4_Strategic Diagnostic Templates Technik_0908 Gabarito exchange rate 2 2" xfId="20415" xr:uid="{00000000-0005-0000-0000-0000B64F0000}"/>
    <cellStyle name="_Row4_Strategic Diagnostic Templates Technik_0908 Gabarito exchange rate 3" xfId="20416" xr:uid="{00000000-0005-0000-0000-0000B74F0000}"/>
    <cellStyle name="_Row4_Strategic Diagnostic Templates Technik_BGT 08 Templates Sales  Marketing - final (revised)" xfId="20417" xr:uid="{00000000-0005-0000-0000-0000B84F0000}"/>
    <cellStyle name="_Row4_Strategic Diagnostic Templates Technik_BGT 08 Templates Sales  Marketing - final (revised) 2" xfId="20418" xr:uid="{00000000-0005-0000-0000-0000B94F0000}"/>
    <cellStyle name="_Row4_Strategic Diagnostic Templates Technik_BGT 08 Templates Sales  Marketing - final (revised) 2 2" xfId="20419" xr:uid="{00000000-0005-0000-0000-0000BA4F0000}"/>
    <cellStyle name="_Row4_Strategic Diagnostic Templates Technik_BGT 08 Templates Sales  Marketing - final (revised) 3" xfId="20420" xr:uid="{00000000-0005-0000-0000-0000BB4F0000}"/>
    <cellStyle name="_Row4_Strategic Diagnostic Templates Technik_Book5" xfId="20421" xr:uid="{00000000-0005-0000-0000-0000BC4F0000}"/>
    <cellStyle name="_Row4_Strategic Diagnostic Templates Technik_Book5 2" xfId="20422" xr:uid="{00000000-0005-0000-0000-0000BD4F0000}"/>
    <cellStyle name="_Row4_Strategic Diagnostic Templates Technik_Book5 2 2" xfId="20423" xr:uid="{00000000-0005-0000-0000-0000BE4F0000}"/>
    <cellStyle name="_Row4_Strategic Diagnostic Templates Technik_Book5 3" xfId="20424" xr:uid="{00000000-0005-0000-0000-0000BF4F0000}"/>
    <cellStyle name="_Row4_Strategic Diagnostic Templates Technik_Bplan RD 1001" xfId="20425" xr:uid="{00000000-0005-0000-0000-0000C04F0000}"/>
    <cellStyle name="_Row4_Strategic Diagnostic Templates Technik_Bplan RD 1001 2" xfId="20426" xr:uid="{00000000-0005-0000-0000-0000C14F0000}"/>
    <cellStyle name="_Row4_Strategic Diagnostic Templates Technik_Bplan RD 1001 2 2" xfId="20427" xr:uid="{00000000-0005-0000-0000-0000C24F0000}"/>
    <cellStyle name="_Row4_Strategic Diagnostic Templates Technik_Bplan RD 1001 3" xfId="20428" xr:uid="{00000000-0005-0000-0000-0000C34F0000}"/>
    <cellStyle name="_Row4_Strategic Diagnostic Templates Technik_Copy of BGT 08 Templates Sales  Marketing - final (revised)" xfId="20429" xr:uid="{00000000-0005-0000-0000-0000C44F0000}"/>
    <cellStyle name="_Row4_Strategic Diagnostic Templates Technik_Copy of BGT 08 Templates Sales  Marketing - final (revised) 2" xfId="20430" xr:uid="{00000000-0005-0000-0000-0000C54F0000}"/>
    <cellStyle name="_Row4_Strategic Diagnostic Templates Technik_Copy of BGT 08 Templates Sales  Marketing - final (revised) 2 2" xfId="20431" xr:uid="{00000000-0005-0000-0000-0000C64F0000}"/>
    <cellStyle name="_Row4_Strategic Diagnostic Templates Technik_Copy of BGT 08 Templates Sales  Marketing - final (revised) 3" xfId="20432" xr:uid="{00000000-0005-0000-0000-0000C74F0000}"/>
    <cellStyle name="_Row4_Strategic Diagnostic Templates Technik_Excel sheets to support Market Program Template for Budget 09" xfId="20433" xr:uid="{00000000-0005-0000-0000-0000C84F0000}"/>
    <cellStyle name="_Row4_Strategic Diagnostic Templates Technik_Excel sheets to support Market Program Template for Budget 09 (5) (2)" xfId="20434" xr:uid="{00000000-0005-0000-0000-0000C94F0000}"/>
    <cellStyle name="_Row4_Strategic Diagnostic Templates Technik_Excel sheets to support Market Program Template for Budget 09 (5) (2) 2" xfId="20435" xr:uid="{00000000-0005-0000-0000-0000CA4F0000}"/>
    <cellStyle name="_Row4_Strategic Diagnostic Templates Technik_Excel sheets to support Market Program Template for Budget 09 (5) (2) 2 2" xfId="20436" xr:uid="{00000000-0005-0000-0000-0000CB4F0000}"/>
    <cellStyle name="_Row4_Strategic Diagnostic Templates Technik_Excel sheets to support Market Program Template for Budget 09 (5) (2) 3" xfId="20437" xr:uid="{00000000-0005-0000-0000-0000CC4F0000}"/>
    <cellStyle name="_Row4_Strategic Diagnostic Templates Technik_Excel sheets to support Market Program Template for Budget 09 (5) (3)" xfId="20438" xr:uid="{00000000-0005-0000-0000-0000CD4F0000}"/>
    <cellStyle name="_Row4_Strategic Diagnostic Templates Technik_Excel sheets to support Market Program Template for Budget 09 (5) (3) 2" xfId="20439" xr:uid="{00000000-0005-0000-0000-0000CE4F0000}"/>
    <cellStyle name="_Row4_Strategic Diagnostic Templates Technik_Excel sheets to support Market Program Template for Budget 09 (5) (3) 2 2" xfId="20440" xr:uid="{00000000-0005-0000-0000-0000CF4F0000}"/>
    <cellStyle name="_Row4_Strategic Diagnostic Templates Technik_Excel sheets to support Market Program Template for Budget 09 (5) (3) 3" xfId="20441" xr:uid="{00000000-0005-0000-0000-0000D04F0000}"/>
    <cellStyle name="_Row4_Strategic Diagnostic Templates Technik_Excel sheets to support Market Program Template for Budget 09 2" xfId="20442" xr:uid="{00000000-0005-0000-0000-0000D14F0000}"/>
    <cellStyle name="_Row4_Strategic Diagnostic Templates Technik_Excel sheets to support Market Program Template for Budget 09 2 2" xfId="20443" xr:uid="{00000000-0005-0000-0000-0000D24F0000}"/>
    <cellStyle name="_Row4_Strategic Diagnostic Templates Technik_Excel sheets to support Market Program Template for Budget 09 3" xfId="20444" xr:uid="{00000000-0005-0000-0000-0000D34F0000}"/>
    <cellStyle name="_Row4_Strategic Diagnostic Templates Technik_Excel sheets to support Market Program Template for Budget 09 3 2" xfId="20445" xr:uid="{00000000-0005-0000-0000-0000D44F0000}"/>
    <cellStyle name="_Row4_Strategic Diagnostic Templates Technik_Excel sheets to support Market Program Template for Budget 09 4" xfId="20446" xr:uid="{00000000-0005-0000-0000-0000D54F0000}"/>
    <cellStyle name="_Row4_Strategic Diagnostic Templates Technik_Excel sheets to support Market Program Template for Budget 09 5" xfId="20447" xr:uid="{00000000-0005-0000-0000-0000D64F0000}"/>
    <cellStyle name="_Row4_Strategic Diagnostic Templates Technik_LE Ebitda RD Feb-10 v2" xfId="20448" xr:uid="{00000000-0005-0000-0000-0000D74F0000}"/>
    <cellStyle name="_Row4_Strategic Diagnostic Templates Technik_LE Ebitda RD Feb-10 v2 2" xfId="20449" xr:uid="{00000000-0005-0000-0000-0000D84F0000}"/>
    <cellStyle name="_Row4_Strategic Diagnostic Templates Technik_LE Ebitda RD Feb-10 v2 2 2" xfId="20450" xr:uid="{00000000-0005-0000-0000-0000D94F0000}"/>
    <cellStyle name="_Row4_Strategic Diagnostic Templates Technik_LE Ebitda RD Feb-10 v2 3" xfId="20451" xr:uid="{00000000-0005-0000-0000-0000DA4F0000}"/>
    <cellStyle name="_Row4_Strategic Diagnostic Templates Technik_People Package" xfId="20452" xr:uid="{00000000-0005-0000-0000-0000DB4F0000}"/>
    <cellStyle name="_Row4_Strategic Diagnostic Templates Technik_People Package (2)" xfId="20453" xr:uid="{00000000-0005-0000-0000-0000DC4F0000}"/>
    <cellStyle name="_Row4_Strategic Diagnostic Templates Technik_People Package (2) 2" xfId="20454" xr:uid="{00000000-0005-0000-0000-0000DD4F0000}"/>
    <cellStyle name="_Row4_Strategic Diagnostic Templates Technik_People Package (2) 2 2" xfId="20455" xr:uid="{00000000-0005-0000-0000-0000DE4F0000}"/>
    <cellStyle name="_Row4_Strategic Diagnostic Templates Technik_People Package (2) 3" xfId="20456" xr:uid="{00000000-0005-0000-0000-0000DF4F0000}"/>
    <cellStyle name="_Row4_Strategic Diagnostic Templates Technik_People Package 2" xfId="20457" xr:uid="{00000000-0005-0000-0000-0000E04F0000}"/>
    <cellStyle name="_Row4_Strategic Diagnostic Templates Technik_People Package 2 2" xfId="20458" xr:uid="{00000000-0005-0000-0000-0000E14F0000}"/>
    <cellStyle name="_Row4_Strategic Diagnostic Templates Technik_People Package 3" xfId="20459" xr:uid="{00000000-0005-0000-0000-0000E24F0000}"/>
    <cellStyle name="_Row4_Strategic Diagnostic Templates Technik_People Package 3 2" xfId="20460" xr:uid="{00000000-0005-0000-0000-0000E34F0000}"/>
    <cellStyle name="_Row4_Strategic Diagnostic Templates Technik_People Package 4" xfId="20461" xr:uid="{00000000-0005-0000-0000-0000E44F0000}"/>
    <cellStyle name="_Row4_Strategic Diagnostic Templates Technik_People Package 5" xfId="20462" xr:uid="{00000000-0005-0000-0000-0000E54F0000}"/>
    <cellStyle name="_Row4_Strategic Diagnostic Templates Technik_Sales and Marketing - revised" xfId="20463" xr:uid="{00000000-0005-0000-0000-0000E64F0000}"/>
    <cellStyle name="_Row4_Strategic Diagnostic Templates Technik_Sales and Marketing - revised 2" xfId="20464" xr:uid="{00000000-0005-0000-0000-0000E74F0000}"/>
    <cellStyle name="_Row4_Strategic Diagnostic Templates Technik_Sales and Marketing - revised 2 2" xfId="20465" xr:uid="{00000000-0005-0000-0000-0000E84F0000}"/>
    <cellStyle name="_Row4_Strategic Diagnostic Templates Technik_Sales and Marketing - revised 3" xfId="20466" xr:uid="{00000000-0005-0000-0000-0000E94F0000}"/>
    <cellStyle name="_Row4_Strategic Diagnostic Templates Technik_Sim Ebitda LE 0909 v4" xfId="20467" xr:uid="{00000000-0005-0000-0000-0000EA4F0000}"/>
    <cellStyle name="_Row4_Strategic Diagnostic Templates Technik_Sim Ebitda LE 0909 v4 2" xfId="20468" xr:uid="{00000000-0005-0000-0000-0000EB4F0000}"/>
    <cellStyle name="_Row4_Strategic Diagnostic Templates Technik_Sim Ebitda LE 0909 v4 2 2" xfId="20469" xr:uid="{00000000-0005-0000-0000-0000EC4F0000}"/>
    <cellStyle name="_Row4_Strategic Diagnostic Templates Technik_Sim Ebitda LE 0909 v4 3" xfId="20470" xr:uid="{00000000-0005-0000-0000-0000ED4F0000}"/>
    <cellStyle name="_Row4_Strategic Diagnostic Templates Technik_WF Ebitda RD Abr-10" xfId="20471" xr:uid="{00000000-0005-0000-0000-0000EE4F0000}"/>
    <cellStyle name="_Row4_Strategic Diagnostic Templates Technik_WF Ebitda RD Abr-10 2" xfId="20472" xr:uid="{00000000-0005-0000-0000-0000EF4F0000}"/>
    <cellStyle name="_Row4_Strategic Diagnostic Templates Technik_WF Ebitda RD Abr-10 2 2" xfId="20473" xr:uid="{00000000-0005-0000-0000-0000F04F0000}"/>
    <cellStyle name="_Row4_Strategic Diagnostic Templates Technik_WF Ebitda RD Abr-10 3" xfId="20474" xr:uid="{00000000-0005-0000-0000-0000F14F0000}"/>
    <cellStyle name="_Row4_Strategic Diagnostic Templates Technik_WF Ebitda Sep09" xfId="20475" xr:uid="{00000000-0005-0000-0000-0000F24F0000}"/>
    <cellStyle name="_Row4_Strategic Diagnostic Templates Technik_WF Ebitda Sep09 2" xfId="20476" xr:uid="{00000000-0005-0000-0000-0000F34F0000}"/>
    <cellStyle name="_Row4_Strategic Diagnostic Templates Technik_WF Ebitda Sep09 2 2" xfId="20477" xr:uid="{00000000-0005-0000-0000-0000F44F0000}"/>
    <cellStyle name="_Row4_Strategic Diagnostic Templates Technik_WF Ebitda Sep09 3" xfId="20478" xr:uid="{00000000-0005-0000-0000-0000F54F0000}"/>
    <cellStyle name="_Row4_Strategic Diagnostic Templates Technik_ZBB" xfId="20479" xr:uid="{00000000-0005-0000-0000-0000F64F0000}"/>
    <cellStyle name="_Row4_Strategic Diagnostic Templates Technik_ZBB 2" xfId="20480" xr:uid="{00000000-0005-0000-0000-0000F74F0000}"/>
    <cellStyle name="_Row4_Strategic Diagnostic Templates Technik_ZBB 2 2" xfId="20481" xr:uid="{00000000-0005-0000-0000-0000F84F0000}"/>
    <cellStyle name="_Row4_Strategic Diagnostic Templates Technik_ZBB 3" xfId="20482" xr:uid="{00000000-0005-0000-0000-0000F94F0000}"/>
    <cellStyle name="_Row4_ZBB Budget 2009 Decks" xfId="20483" xr:uid="{00000000-0005-0000-0000-0000FA4F0000}"/>
    <cellStyle name="_Row4_ZBB Budget 2009 Decks 2" xfId="20484" xr:uid="{00000000-0005-0000-0000-0000FB4F0000}"/>
    <cellStyle name="_Row4_ZBB Budget 2009 Decks 2 2" xfId="20485" xr:uid="{00000000-0005-0000-0000-0000FC4F0000}"/>
    <cellStyle name="_Row4_ZBB Budget 2009 Decks 3" xfId="20486" xr:uid="{00000000-0005-0000-0000-0000FD4F0000}"/>
    <cellStyle name="_Row4_ZBB Budget 2009 Decks_with Korea Scope in (Only LE)" xfId="20487" xr:uid="{00000000-0005-0000-0000-0000FE4F0000}"/>
    <cellStyle name="_Row4_ZBB Budget 2009 Decks_with Korea Scope in (Only LE) (2)" xfId="20488" xr:uid="{00000000-0005-0000-0000-0000FF4F0000}"/>
    <cellStyle name="_Row4_ZBB Budget 2009 Decks_with Korea Scope in (Only LE) (2) 2" xfId="20489" xr:uid="{00000000-0005-0000-0000-000000500000}"/>
    <cellStyle name="_Row4_ZBB Budget 2009 Decks_with Korea Scope in (Only LE) (2) 2 2" xfId="20490" xr:uid="{00000000-0005-0000-0000-000001500000}"/>
    <cellStyle name="_Row4_ZBB Budget 2009 Decks_with Korea Scope in (Only LE) (2) 3" xfId="20491" xr:uid="{00000000-0005-0000-0000-000002500000}"/>
    <cellStyle name="_Row4_ZBB Budget 2009 Decks_with Korea Scope in (Only LE) 2" xfId="20492" xr:uid="{00000000-0005-0000-0000-000003500000}"/>
    <cellStyle name="_Row4_ZBB Budget 2009 Decks_with Korea Scope in (Only LE) 2 2" xfId="20493" xr:uid="{00000000-0005-0000-0000-000004500000}"/>
    <cellStyle name="_Row4_ZBB Budget 2009 Decks_with Korea Scope in (Only LE) 3" xfId="20494" xr:uid="{00000000-0005-0000-0000-000005500000}"/>
    <cellStyle name="_Row4_ZBB Budget 2009 Decks_with Korea Scope in (Only LE) 3 2" xfId="20495" xr:uid="{00000000-0005-0000-0000-000006500000}"/>
    <cellStyle name="_Row4_ZBB Budget 2009 Decks_with Korea Scope in (Only LE) 4" xfId="20496" xr:uid="{00000000-0005-0000-0000-000007500000}"/>
    <cellStyle name="_Row4_ZBB Budget 2009 Decks_with Korea Scope in (Only LE) 5" xfId="20497" xr:uid="{00000000-0005-0000-0000-000008500000}"/>
    <cellStyle name="_Row5" xfId="20498" xr:uid="{00000000-0005-0000-0000-000009500000}"/>
    <cellStyle name="_Row5 2" xfId="20499" xr:uid="{00000000-0005-0000-0000-00000A500000}"/>
    <cellStyle name="_Row5 2 2" xfId="20500" xr:uid="{00000000-0005-0000-0000-00000B500000}"/>
    <cellStyle name="_Row5 2 2 2" xfId="20501" xr:uid="{00000000-0005-0000-0000-00000C500000}"/>
    <cellStyle name="_Row5 2 3" xfId="20502" xr:uid="{00000000-0005-0000-0000-00000D500000}"/>
    <cellStyle name="_Row5 3" xfId="20503" xr:uid="{00000000-0005-0000-0000-00000E500000}"/>
    <cellStyle name="_Row5 3 2" xfId="20504" xr:uid="{00000000-0005-0000-0000-00000F500000}"/>
    <cellStyle name="_Row5 4" xfId="20505" xr:uid="{00000000-0005-0000-0000-000010500000}"/>
    <cellStyle name="_Row5_010808 Market Programs  for Budget Deck" xfId="20506" xr:uid="{00000000-0005-0000-0000-000011500000}"/>
    <cellStyle name="_Row5_010808 Market Programs  for Budget Deck 2" xfId="20507" xr:uid="{00000000-0005-0000-0000-000012500000}"/>
    <cellStyle name="_Row5_010808 Market Programs  for Budget Deck 2 2" xfId="20508" xr:uid="{00000000-0005-0000-0000-000013500000}"/>
    <cellStyle name="_Row5_010808 Market Programs  for Budget Deck 3" xfId="20509" xr:uid="{00000000-0005-0000-0000-000014500000}"/>
    <cellStyle name="_Row5_BGT 08 Templates Sales  Marketing - final (revised)" xfId="20510" xr:uid="{00000000-0005-0000-0000-000015500000}"/>
    <cellStyle name="_Row5_BGT 08 Templates Sales  Marketing - final (revised) 2" xfId="20511" xr:uid="{00000000-0005-0000-0000-000016500000}"/>
    <cellStyle name="_Row5_BGT 08 Templates Sales  Marketing - final (revised) 2 2" xfId="20512" xr:uid="{00000000-0005-0000-0000-000017500000}"/>
    <cellStyle name="_Row5_BGT 08 Templates Sales  Marketing - final (revised) 3" xfId="20513" xr:uid="{00000000-0005-0000-0000-000018500000}"/>
    <cellStyle name="_Row5_BR" xfId="20514" xr:uid="{00000000-0005-0000-0000-000019500000}"/>
    <cellStyle name="_Row5_BR 2" xfId="20515" xr:uid="{00000000-0005-0000-0000-00001A500000}"/>
    <cellStyle name="_Row5_BR 2 2" xfId="20516" xr:uid="{00000000-0005-0000-0000-00001B500000}"/>
    <cellStyle name="_Row5_BR 3" xfId="20517" xr:uid="{00000000-0005-0000-0000-00001C500000}"/>
    <cellStyle name="_Row5_Copy of BGT 08 Templates Sales  Marketing - final (revised)" xfId="20518" xr:uid="{00000000-0005-0000-0000-00001D500000}"/>
    <cellStyle name="_Row5_Copy of BGT 08 Templates Sales  Marketing - final (revised) 2" xfId="20519" xr:uid="{00000000-0005-0000-0000-00001E500000}"/>
    <cellStyle name="_Row5_Copy of BGT 08 Templates Sales  Marketing - final (revised) 2 2" xfId="20520" xr:uid="{00000000-0005-0000-0000-00001F500000}"/>
    <cellStyle name="_Row5_Copy of BGT 08 Templates Sales  Marketing - final (revised) 3" xfId="20521" xr:uid="{00000000-0005-0000-0000-000020500000}"/>
    <cellStyle name="_Row5_EC" xfId="20522" xr:uid="{00000000-0005-0000-0000-000021500000}"/>
    <cellStyle name="_Row5_EC 2" xfId="20523" xr:uid="{00000000-0005-0000-0000-000022500000}"/>
    <cellStyle name="_Row5_EC 2 2" xfId="20524" xr:uid="{00000000-0005-0000-0000-000023500000}"/>
    <cellStyle name="_Row5_EC 3" xfId="20525" xr:uid="{00000000-0005-0000-0000-000024500000}"/>
    <cellStyle name="_Row5_Excel sheets to support Market Program Template for Budget 09" xfId="20526" xr:uid="{00000000-0005-0000-0000-000025500000}"/>
    <cellStyle name="_Row5_Excel sheets to support Market Program Template for Budget 09 (5) (2)" xfId="20527" xr:uid="{00000000-0005-0000-0000-000026500000}"/>
    <cellStyle name="_Row5_Excel sheets to support Market Program Template for Budget 09 (5) (2) 2" xfId="20528" xr:uid="{00000000-0005-0000-0000-000027500000}"/>
    <cellStyle name="_Row5_Excel sheets to support Market Program Template for Budget 09 (5) (2) 2 2" xfId="20529" xr:uid="{00000000-0005-0000-0000-000028500000}"/>
    <cellStyle name="_Row5_Excel sheets to support Market Program Template for Budget 09 (5) (2) 3" xfId="20530" xr:uid="{00000000-0005-0000-0000-000029500000}"/>
    <cellStyle name="_Row5_Excel sheets to support Market Program Template for Budget 09 (5) (3)" xfId="20531" xr:uid="{00000000-0005-0000-0000-00002A500000}"/>
    <cellStyle name="_Row5_Excel sheets to support Market Program Template for Budget 09 (5) (3) 2" xfId="20532" xr:uid="{00000000-0005-0000-0000-00002B500000}"/>
    <cellStyle name="_Row5_Excel sheets to support Market Program Template for Budget 09 (5) (3) 2 2" xfId="20533" xr:uid="{00000000-0005-0000-0000-00002C500000}"/>
    <cellStyle name="_Row5_Excel sheets to support Market Program Template for Budget 09 (5) (3) 3" xfId="20534" xr:uid="{00000000-0005-0000-0000-00002D500000}"/>
    <cellStyle name="_Row5_Excel sheets to support Market Program Template for Budget 09 2" xfId="20535" xr:uid="{00000000-0005-0000-0000-00002E500000}"/>
    <cellStyle name="_Row5_Excel sheets to support Market Program Template for Budget 09 2 2" xfId="20536" xr:uid="{00000000-0005-0000-0000-00002F500000}"/>
    <cellStyle name="_Row5_Excel sheets to support Market Program Template for Budget 09 3" xfId="20537" xr:uid="{00000000-0005-0000-0000-000030500000}"/>
    <cellStyle name="_Row5_Excel sheets to support Market Program Template for Budget 09 3 2" xfId="20538" xr:uid="{00000000-0005-0000-0000-000031500000}"/>
    <cellStyle name="_Row5_Excel sheets to support Market Program Template for Budget 09 4" xfId="20539" xr:uid="{00000000-0005-0000-0000-000032500000}"/>
    <cellStyle name="_Row5_Excel sheets to support Market Program Template for Budget 09 5" xfId="20540" xr:uid="{00000000-0005-0000-0000-000033500000}"/>
    <cellStyle name="_Row5_Finance Templates - Final" xfId="20541" xr:uid="{00000000-0005-0000-0000-000034500000}"/>
    <cellStyle name="_Row5_Finance Templates - Final 2" xfId="20542" xr:uid="{00000000-0005-0000-0000-000035500000}"/>
    <cellStyle name="_Row5_Finance Templates - Final 2 2" xfId="20543" xr:uid="{00000000-0005-0000-0000-000036500000}"/>
    <cellStyle name="_Row5_Finance Templates - Final 3" xfId="20544" xr:uid="{00000000-0005-0000-0000-000037500000}"/>
    <cellStyle name="_Row5_Forecast Summary July v1" xfId="20545" xr:uid="{00000000-0005-0000-0000-000038500000}"/>
    <cellStyle name="_Row5_Forecast Summary July v1 2" xfId="20546" xr:uid="{00000000-0005-0000-0000-000039500000}"/>
    <cellStyle name="_Row5_Forecast Summary July v1 2 2" xfId="20547" xr:uid="{00000000-0005-0000-0000-00003A500000}"/>
    <cellStyle name="_Row5_Forecast Summary July v1 3" xfId="20548" xr:uid="{00000000-0005-0000-0000-00003B500000}"/>
    <cellStyle name="_Row5_GT" xfId="20549" xr:uid="{00000000-0005-0000-0000-00003C500000}"/>
    <cellStyle name="_Row5_GT 2" xfId="20550" xr:uid="{00000000-0005-0000-0000-00003D500000}"/>
    <cellStyle name="_Row5_GT 2 2" xfId="20551" xr:uid="{00000000-0005-0000-0000-00003E500000}"/>
    <cellStyle name="_Row5_GT 3" xfId="20552" xr:uid="{00000000-0005-0000-0000-00003F500000}"/>
    <cellStyle name="_Row5_Industry Volumes" xfId="20553" xr:uid="{00000000-0005-0000-0000-000040500000}"/>
    <cellStyle name="_Row5_Industry Volumes 2" xfId="20554" xr:uid="{00000000-0005-0000-0000-000041500000}"/>
    <cellStyle name="_Row5_Industry Volumes 2 2" xfId="20555" xr:uid="{00000000-0005-0000-0000-000042500000}"/>
    <cellStyle name="_Row5_Industry Volumes 2 2 2" xfId="20556" xr:uid="{00000000-0005-0000-0000-000043500000}"/>
    <cellStyle name="_Row5_Industry Volumes 2 3" xfId="20557" xr:uid="{00000000-0005-0000-0000-000044500000}"/>
    <cellStyle name="_Row5_Industry Volumes 2 3 2" xfId="20558" xr:uid="{00000000-0005-0000-0000-000045500000}"/>
    <cellStyle name="_Row5_Industry Volumes 2 3 3" xfId="20559" xr:uid="{00000000-0005-0000-0000-000046500000}"/>
    <cellStyle name="_Row5_Industry Volumes 2 4" xfId="20560" xr:uid="{00000000-0005-0000-0000-000047500000}"/>
    <cellStyle name="_Row5_Industry Volumes 2 5" xfId="20561" xr:uid="{00000000-0005-0000-0000-000048500000}"/>
    <cellStyle name="_Row5_Industry Volumes 3" xfId="20562" xr:uid="{00000000-0005-0000-0000-000049500000}"/>
    <cellStyle name="_Row5_Industry Volumes 3 2" xfId="20563" xr:uid="{00000000-0005-0000-0000-00004A500000}"/>
    <cellStyle name="_Row5_Industry Volumes 3 2 2" xfId="20564" xr:uid="{00000000-0005-0000-0000-00004B500000}"/>
    <cellStyle name="_Row5_Industry Volumes 3 2 3" xfId="20565" xr:uid="{00000000-0005-0000-0000-00004C500000}"/>
    <cellStyle name="_Row5_Industry Volumes 3 3" xfId="20566" xr:uid="{00000000-0005-0000-0000-00004D500000}"/>
    <cellStyle name="_Row5_Industry Volumes 4" xfId="20567" xr:uid="{00000000-0005-0000-0000-00004E500000}"/>
    <cellStyle name="_Row5_Industry Volumes 4 2" xfId="20568" xr:uid="{00000000-0005-0000-0000-00004F500000}"/>
    <cellStyle name="_Row5_Industry Volumes 4 3" xfId="20569" xr:uid="{00000000-0005-0000-0000-000050500000}"/>
    <cellStyle name="_Row5_Industry Volumes 5" xfId="20570" xr:uid="{00000000-0005-0000-0000-000051500000}"/>
    <cellStyle name="_Row5_Industry Volumes 6" xfId="20571" xr:uid="{00000000-0005-0000-0000-000052500000}"/>
    <cellStyle name="_Row5_Iniciativas P3A GPV &amp; CSD HILA '10" xfId="20572" xr:uid="{00000000-0005-0000-0000-000053500000}"/>
    <cellStyle name="_Row5_Iniciativas P3A GPV &amp; CSD HILA '10 2" xfId="20573" xr:uid="{00000000-0005-0000-0000-000054500000}"/>
    <cellStyle name="_Row5_Iniciativas P3A GPV &amp; CSD HILA '10 2 2" xfId="20574" xr:uid="{00000000-0005-0000-0000-000055500000}"/>
    <cellStyle name="_Row5_Iniciativas P3A GPV &amp; CSD HILA '10 3" xfId="20575" xr:uid="{00000000-0005-0000-0000-000056500000}"/>
    <cellStyle name="_Row5_KK_3YP Model S&amp;D Stand 3.7.07" xfId="20576" xr:uid="{00000000-0005-0000-0000-000057500000}"/>
    <cellStyle name="_Row5_KK_3YP Model S&amp;D Stand 3.7.07 2" xfId="20577" xr:uid="{00000000-0005-0000-0000-000058500000}"/>
    <cellStyle name="_Row5_KK_3YP Model S&amp;D Stand 3.7.07 2 2" xfId="20578" xr:uid="{00000000-0005-0000-0000-000059500000}"/>
    <cellStyle name="_Row5_KK_3YP Model S&amp;D Stand 3.7.07 2 2 2" xfId="20579" xr:uid="{00000000-0005-0000-0000-00005A500000}"/>
    <cellStyle name="_Row5_KK_3YP Model S&amp;D Stand 3.7.07 2 3" xfId="20580" xr:uid="{00000000-0005-0000-0000-00005B500000}"/>
    <cellStyle name="_Row5_KK_3YP Model S&amp;D Stand 3.7.07 2 3 2" xfId="20581" xr:uid="{00000000-0005-0000-0000-00005C500000}"/>
    <cellStyle name="_Row5_KK_3YP Model S&amp;D Stand 3.7.07 2 3 3" xfId="20582" xr:uid="{00000000-0005-0000-0000-00005D500000}"/>
    <cellStyle name="_Row5_KK_3YP Model S&amp;D Stand 3.7.07 2 4" xfId="20583" xr:uid="{00000000-0005-0000-0000-00005E500000}"/>
    <cellStyle name="_Row5_KK_3YP Model S&amp;D Stand 3.7.07 2 5" xfId="20584" xr:uid="{00000000-0005-0000-0000-00005F500000}"/>
    <cellStyle name="_Row5_KK_3YP Model S&amp;D Stand 3.7.07 3" xfId="20585" xr:uid="{00000000-0005-0000-0000-000060500000}"/>
    <cellStyle name="_Row5_KK_3YP Model S&amp;D Stand 3.7.07 3 2" xfId="20586" xr:uid="{00000000-0005-0000-0000-000061500000}"/>
    <cellStyle name="_Row5_KK_3YP Model S&amp;D Stand 3.7.07 3 2 2" xfId="20587" xr:uid="{00000000-0005-0000-0000-000062500000}"/>
    <cellStyle name="_Row5_KK_3YP Model S&amp;D Stand 3.7.07 3 2 3" xfId="20588" xr:uid="{00000000-0005-0000-0000-000063500000}"/>
    <cellStyle name="_Row5_KK_3YP Model S&amp;D Stand 3.7.07 3 3" xfId="20589" xr:uid="{00000000-0005-0000-0000-000064500000}"/>
    <cellStyle name="_Row5_KK_3YP Model S&amp;D Stand 3.7.07 4" xfId="20590" xr:uid="{00000000-0005-0000-0000-000065500000}"/>
    <cellStyle name="_Row5_KK_3YP Model S&amp;D Stand 3.7.07 4 2" xfId="20591" xr:uid="{00000000-0005-0000-0000-000066500000}"/>
    <cellStyle name="_Row5_KK_3YP Model S&amp;D Stand 3.7.07 4 3" xfId="20592" xr:uid="{00000000-0005-0000-0000-000067500000}"/>
    <cellStyle name="_Row5_KK_3YP Model S&amp;D Stand 3.7.07 5" xfId="20593" xr:uid="{00000000-0005-0000-0000-000068500000}"/>
    <cellStyle name="_Row5_KK_3YP Model S&amp;D Stand 3.7.07 6" xfId="20594" xr:uid="{00000000-0005-0000-0000-000069500000}"/>
    <cellStyle name="_Row5_MIS2" xfId="20595" xr:uid="{00000000-0005-0000-0000-00006A500000}"/>
    <cellStyle name="_Row5_MIS2 2" xfId="20596" xr:uid="{00000000-0005-0000-0000-00006B500000}"/>
    <cellStyle name="_Row5_MIS2 2 2" xfId="20597" xr:uid="{00000000-0005-0000-0000-00006C500000}"/>
    <cellStyle name="_Row5_MIS2 2 2 2" xfId="20598" xr:uid="{00000000-0005-0000-0000-00006D500000}"/>
    <cellStyle name="_Row5_MIS2 2 3" xfId="20599" xr:uid="{00000000-0005-0000-0000-00006E500000}"/>
    <cellStyle name="_Row5_MIS2 2 3 2" xfId="20600" xr:uid="{00000000-0005-0000-0000-00006F500000}"/>
    <cellStyle name="_Row5_MIS2 2 3 3" xfId="20601" xr:uid="{00000000-0005-0000-0000-000070500000}"/>
    <cellStyle name="_Row5_MIS2 2 4" xfId="20602" xr:uid="{00000000-0005-0000-0000-000071500000}"/>
    <cellStyle name="_Row5_MIS2 2 5" xfId="20603" xr:uid="{00000000-0005-0000-0000-000072500000}"/>
    <cellStyle name="_Row5_MIS2 3" xfId="20604" xr:uid="{00000000-0005-0000-0000-000073500000}"/>
    <cellStyle name="_Row5_MIS2 3 2" xfId="20605" xr:uid="{00000000-0005-0000-0000-000074500000}"/>
    <cellStyle name="_Row5_MIS2 3 2 2" xfId="20606" xr:uid="{00000000-0005-0000-0000-000075500000}"/>
    <cellStyle name="_Row5_MIS2 3 2 3" xfId="20607" xr:uid="{00000000-0005-0000-0000-000076500000}"/>
    <cellStyle name="_Row5_MIS2 3 3" xfId="20608" xr:uid="{00000000-0005-0000-0000-000077500000}"/>
    <cellStyle name="_Row5_MIS2 4" xfId="20609" xr:uid="{00000000-0005-0000-0000-000078500000}"/>
    <cellStyle name="_Row5_MIS2 4 2" xfId="20610" xr:uid="{00000000-0005-0000-0000-000079500000}"/>
    <cellStyle name="_Row5_MIS2 4 3" xfId="20611" xr:uid="{00000000-0005-0000-0000-00007A500000}"/>
    <cellStyle name="_Row5_MIS2 5" xfId="20612" xr:uid="{00000000-0005-0000-0000-00007B500000}"/>
    <cellStyle name="_Row5_MIS2 6" xfId="20613" xr:uid="{00000000-0005-0000-0000-00007C500000}"/>
    <cellStyle name="_Row5_Mis24" xfId="20614" xr:uid="{00000000-0005-0000-0000-00007D500000}"/>
    <cellStyle name="_Row5_Mis24 2" xfId="20615" xr:uid="{00000000-0005-0000-0000-00007E500000}"/>
    <cellStyle name="_Row5_Mis24 2 2" xfId="20616" xr:uid="{00000000-0005-0000-0000-00007F500000}"/>
    <cellStyle name="_Row5_Mis24 3" xfId="20617" xr:uid="{00000000-0005-0000-0000-000080500000}"/>
    <cellStyle name="_Row5_MIS3" xfId="20618" xr:uid="{00000000-0005-0000-0000-000081500000}"/>
    <cellStyle name="_Row5_MIS3 2" xfId="20619" xr:uid="{00000000-0005-0000-0000-000082500000}"/>
    <cellStyle name="_Row5_MIS3 2 2" xfId="20620" xr:uid="{00000000-0005-0000-0000-000083500000}"/>
    <cellStyle name="_Row5_MIS3 2 2 2" xfId="20621" xr:uid="{00000000-0005-0000-0000-000084500000}"/>
    <cellStyle name="_Row5_MIS3 2 3" xfId="20622" xr:uid="{00000000-0005-0000-0000-000085500000}"/>
    <cellStyle name="_Row5_MIS3 2 3 2" xfId="20623" xr:uid="{00000000-0005-0000-0000-000086500000}"/>
    <cellStyle name="_Row5_MIS3 2 3 3" xfId="20624" xr:uid="{00000000-0005-0000-0000-000087500000}"/>
    <cellStyle name="_Row5_MIS3 2 4" xfId="20625" xr:uid="{00000000-0005-0000-0000-000088500000}"/>
    <cellStyle name="_Row5_MIS3 2 5" xfId="20626" xr:uid="{00000000-0005-0000-0000-000089500000}"/>
    <cellStyle name="_Row5_MIS3 3" xfId="20627" xr:uid="{00000000-0005-0000-0000-00008A500000}"/>
    <cellStyle name="_Row5_MIS3 3 2" xfId="20628" xr:uid="{00000000-0005-0000-0000-00008B500000}"/>
    <cellStyle name="_Row5_MIS3 3 2 2" xfId="20629" xr:uid="{00000000-0005-0000-0000-00008C500000}"/>
    <cellStyle name="_Row5_MIS3 3 2 3" xfId="20630" xr:uid="{00000000-0005-0000-0000-00008D500000}"/>
    <cellStyle name="_Row5_MIS3 3 3" xfId="20631" xr:uid="{00000000-0005-0000-0000-00008E500000}"/>
    <cellStyle name="_Row5_MIS3 4" xfId="20632" xr:uid="{00000000-0005-0000-0000-00008F500000}"/>
    <cellStyle name="_Row5_MIS3 4 2" xfId="20633" xr:uid="{00000000-0005-0000-0000-000090500000}"/>
    <cellStyle name="_Row5_MIS3 4 3" xfId="20634" xr:uid="{00000000-0005-0000-0000-000091500000}"/>
    <cellStyle name="_Row5_MIS3 5" xfId="20635" xr:uid="{00000000-0005-0000-0000-000092500000}"/>
    <cellStyle name="_Row5_MIS3 6" xfId="20636" xr:uid="{00000000-0005-0000-0000-000093500000}"/>
    <cellStyle name="_Row5_PE" xfId="20637" xr:uid="{00000000-0005-0000-0000-000094500000}"/>
    <cellStyle name="_Row5_PE 2" xfId="20638" xr:uid="{00000000-0005-0000-0000-000095500000}"/>
    <cellStyle name="_Row5_PE 2 2" xfId="20639" xr:uid="{00000000-0005-0000-0000-000096500000}"/>
    <cellStyle name="_Row5_PE 3" xfId="20640" xr:uid="{00000000-0005-0000-0000-000097500000}"/>
    <cellStyle name="_Row5_People Package" xfId="20641" xr:uid="{00000000-0005-0000-0000-000098500000}"/>
    <cellStyle name="_Row5_People Package (2)" xfId="20642" xr:uid="{00000000-0005-0000-0000-000099500000}"/>
    <cellStyle name="_Row5_People Package (2) 2" xfId="20643" xr:uid="{00000000-0005-0000-0000-00009A500000}"/>
    <cellStyle name="_Row5_People Package (2) 2 2" xfId="20644" xr:uid="{00000000-0005-0000-0000-00009B500000}"/>
    <cellStyle name="_Row5_People Package (2) 3" xfId="20645" xr:uid="{00000000-0005-0000-0000-00009C500000}"/>
    <cellStyle name="_Row5_People Package 2" xfId="20646" xr:uid="{00000000-0005-0000-0000-00009D500000}"/>
    <cellStyle name="_Row5_People Package 2 2" xfId="20647" xr:uid="{00000000-0005-0000-0000-00009E500000}"/>
    <cellStyle name="_Row5_People Package 3" xfId="20648" xr:uid="{00000000-0005-0000-0000-00009F500000}"/>
    <cellStyle name="_Row5_People Package 3 2" xfId="20649" xr:uid="{00000000-0005-0000-0000-0000A0500000}"/>
    <cellStyle name="_Row5_People Package 4" xfId="20650" xr:uid="{00000000-0005-0000-0000-0000A1500000}"/>
    <cellStyle name="_Row5_People Package 5" xfId="20651" xr:uid="{00000000-0005-0000-0000-0000A2500000}"/>
    <cellStyle name="_Row5_RD" xfId="20652" xr:uid="{00000000-0005-0000-0000-0000A3500000}"/>
    <cellStyle name="_Row5_RD 2" xfId="20653" xr:uid="{00000000-0005-0000-0000-0000A4500000}"/>
    <cellStyle name="_Row5_RD 2 2" xfId="20654" xr:uid="{00000000-0005-0000-0000-0000A5500000}"/>
    <cellStyle name="_Row5_RD 3" xfId="20655" xr:uid="{00000000-0005-0000-0000-0000A6500000}"/>
    <cellStyle name="_Row5_Sales and Marketing - revised" xfId="20656" xr:uid="{00000000-0005-0000-0000-0000A7500000}"/>
    <cellStyle name="_Row5_Sales and Marketing - revised 2" xfId="20657" xr:uid="{00000000-0005-0000-0000-0000A8500000}"/>
    <cellStyle name="_Row5_Sales and Marketing - revised 2 2" xfId="20658" xr:uid="{00000000-0005-0000-0000-0000A9500000}"/>
    <cellStyle name="_Row5_Sales and Marketing - revised 3" xfId="20659" xr:uid="{00000000-0005-0000-0000-0000AA500000}"/>
    <cellStyle name="_Row5_Strategic Diagnostic Templates Technik" xfId="20660" xr:uid="{00000000-0005-0000-0000-0000AB500000}"/>
    <cellStyle name="_Row5_Strategic Diagnostic Templates Technik 2" xfId="20661" xr:uid="{00000000-0005-0000-0000-0000AC500000}"/>
    <cellStyle name="_Row5_Strategic Diagnostic Templates Technik 2 2" xfId="20662" xr:uid="{00000000-0005-0000-0000-0000AD500000}"/>
    <cellStyle name="_Row5_Strategic Diagnostic Templates Technik 3" xfId="20663" xr:uid="{00000000-0005-0000-0000-0000AE500000}"/>
    <cellStyle name="_Row5_Strategic Diagnostic Templates Technik_ZBB Budget 2009 Decks v2 china" xfId="20664" xr:uid="{00000000-0005-0000-0000-0000AF500000}"/>
    <cellStyle name="_Row5_Strategic Diagnostic Templates Technik_ZBB Budget 2009 Decks v2 china 2" xfId="20665" xr:uid="{00000000-0005-0000-0000-0000B0500000}"/>
    <cellStyle name="_Row5_Strategic Diagnostic Templates Technik_ZBB Budget 2009 Decks v2 china 2 2" xfId="20666" xr:uid="{00000000-0005-0000-0000-0000B1500000}"/>
    <cellStyle name="_Row5_Strategic Diagnostic Templates Technik_ZBB Budget 2009 Decks v2 china 3" xfId="20667" xr:uid="{00000000-0005-0000-0000-0000B2500000}"/>
    <cellStyle name="_Row5_Strategic Diagnostic Templates Technik_ZBB standard Template Korea_081105" xfId="20668" xr:uid="{00000000-0005-0000-0000-0000B3500000}"/>
    <cellStyle name="_Row5_Strategic Diagnostic Templates Technik_ZBB standard Template Korea_081105 2" xfId="20669" xr:uid="{00000000-0005-0000-0000-0000B4500000}"/>
    <cellStyle name="_Row5_Strategic Diagnostic Templates Technik_ZBB standard Template Korea_081105 2 2" xfId="20670" xr:uid="{00000000-0005-0000-0000-0000B5500000}"/>
    <cellStyle name="_Row5_Strategic Diagnostic Templates Technik_ZBB standard Template Korea_081105 3" xfId="20671" xr:uid="{00000000-0005-0000-0000-0000B6500000}"/>
    <cellStyle name="_Row5_VE" xfId="20672" xr:uid="{00000000-0005-0000-0000-0000B7500000}"/>
    <cellStyle name="_Row5_VE 2" xfId="20673" xr:uid="{00000000-0005-0000-0000-0000B8500000}"/>
    <cellStyle name="_Row5_VE 2 2" xfId="20674" xr:uid="{00000000-0005-0000-0000-0000B9500000}"/>
    <cellStyle name="_Row5_VE 3" xfId="20675" xr:uid="{00000000-0005-0000-0000-0000BA500000}"/>
    <cellStyle name="_Row5_waterfall-rol" xfId="20676" xr:uid="{00000000-0005-0000-0000-0000BB500000}"/>
    <cellStyle name="_Row5_waterfall-rol 2" xfId="20677" xr:uid="{00000000-0005-0000-0000-0000BC500000}"/>
    <cellStyle name="_Row5_waterfall-rol 2 2" xfId="20678" xr:uid="{00000000-0005-0000-0000-0000BD500000}"/>
    <cellStyle name="_Row5_waterfall-rol 3" xfId="20679" xr:uid="{00000000-0005-0000-0000-0000BE500000}"/>
    <cellStyle name="_Row5_ZBB" xfId="20680" xr:uid="{00000000-0005-0000-0000-0000BF500000}"/>
    <cellStyle name="_Row5_ZBB 2" xfId="20681" xr:uid="{00000000-0005-0000-0000-0000C0500000}"/>
    <cellStyle name="_Row5_ZBB 2 2" xfId="20682" xr:uid="{00000000-0005-0000-0000-0000C1500000}"/>
    <cellStyle name="_Row5_ZBB 3" xfId="20683" xr:uid="{00000000-0005-0000-0000-0000C2500000}"/>
    <cellStyle name="_Row6" xfId="20684" xr:uid="{00000000-0005-0000-0000-0000C3500000}"/>
    <cellStyle name="_Row6 2" xfId="20685" xr:uid="{00000000-0005-0000-0000-0000C4500000}"/>
    <cellStyle name="_Row6 2 2" xfId="20686" xr:uid="{00000000-0005-0000-0000-0000C5500000}"/>
    <cellStyle name="_Row6 2 2 2" xfId="20687" xr:uid="{00000000-0005-0000-0000-0000C6500000}"/>
    <cellStyle name="_Row6 2 3" xfId="20688" xr:uid="{00000000-0005-0000-0000-0000C7500000}"/>
    <cellStyle name="_Row6 3" xfId="20689" xr:uid="{00000000-0005-0000-0000-0000C8500000}"/>
    <cellStyle name="_Row6 3 2" xfId="20690" xr:uid="{00000000-0005-0000-0000-0000C9500000}"/>
    <cellStyle name="_Row6 4" xfId="20691" xr:uid="{00000000-0005-0000-0000-0000CA500000}"/>
    <cellStyle name="_Row6_010808 Market Programs  for Budget Deck" xfId="20692" xr:uid="{00000000-0005-0000-0000-0000CB500000}"/>
    <cellStyle name="_Row6_010808 Market Programs  for Budget Deck 2" xfId="20693" xr:uid="{00000000-0005-0000-0000-0000CC500000}"/>
    <cellStyle name="_Row6_010808 Market Programs  for Budget Deck 2 2" xfId="20694" xr:uid="{00000000-0005-0000-0000-0000CD500000}"/>
    <cellStyle name="_Row6_010808 Market Programs  for Budget Deck 3" xfId="20695" xr:uid="{00000000-0005-0000-0000-0000CE500000}"/>
    <cellStyle name="_Row6_BGT 08 Templates Sales  Marketing - final (revised)" xfId="20696" xr:uid="{00000000-0005-0000-0000-0000CF500000}"/>
    <cellStyle name="_Row6_BGT 08 Templates Sales  Marketing - final (revised) 2" xfId="20697" xr:uid="{00000000-0005-0000-0000-0000D0500000}"/>
    <cellStyle name="_Row6_BGT 08 Templates Sales  Marketing - final (revised) 2 2" xfId="20698" xr:uid="{00000000-0005-0000-0000-0000D1500000}"/>
    <cellStyle name="_Row6_BGT 08 Templates Sales  Marketing - final (revised) 3" xfId="20699" xr:uid="{00000000-0005-0000-0000-0000D2500000}"/>
    <cellStyle name="_Row6_BR" xfId="20700" xr:uid="{00000000-0005-0000-0000-0000D3500000}"/>
    <cellStyle name="_Row6_BR 2" xfId="20701" xr:uid="{00000000-0005-0000-0000-0000D4500000}"/>
    <cellStyle name="_Row6_BR 2 2" xfId="20702" xr:uid="{00000000-0005-0000-0000-0000D5500000}"/>
    <cellStyle name="_Row6_BR 3" xfId="20703" xr:uid="{00000000-0005-0000-0000-0000D6500000}"/>
    <cellStyle name="_Row6_Copy of BGT 08 Templates Sales  Marketing - final (revised)" xfId="20704" xr:uid="{00000000-0005-0000-0000-0000D7500000}"/>
    <cellStyle name="_Row6_Copy of BGT 08 Templates Sales  Marketing - final (revised) 2" xfId="20705" xr:uid="{00000000-0005-0000-0000-0000D8500000}"/>
    <cellStyle name="_Row6_Copy of BGT 08 Templates Sales  Marketing - final (revised) 2 2" xfId="20706" xr:uid="{00000000-0005-0000-0000-0000D9500000}"/>
    <cellStyle name="_Row6_Copy of BGT 08 Templates Sales  Marketing - final (revised) 3" xfId="20707" xr:uid="{00000000-0005-0000-0000-0000DA500000}"/>
    <cellStyle name="_Row6_EC" xfId="20708" xr:uid="{00000000-0005-0000-0000-0000DB500000}"/>
    <cellStyle name="_Row6_EC 2" xfId="20709" xr:uid="{00000000-0005-0000-0000-0000DC500000}"/>
    <cellStyle name="_Row6_EC 2 2" xfId="20710" xr:uid="{00000000-0005-0000-0000-0000DD500000}"/>
    <cellStyle name="_Row6_EC 3" xfId="20711" xr:uid="{00000000-0005-0000-0000-0000DE500000}"/>
    <cellStyle name="_Row6_Excel sheets to support Market Program Template for Budget 09" xfId="20712" xr:uid="{00000000-0005-0000-0000-0000DF500000}"/>
    <cellStyle name="_Row6_Excel sheets to support Market Program Template for Budget 09 (5) (2)" xfId="20713" xr:uid="{00000000-0005-0000-0000-0000E0500000}"/>
    <cellStyle name="_Row6_Excel sheets to support Market Program Template for Budget 09 (5) (2) 2" xfId="20714" xr:uid="{00000000-0005-0000-0000-0000E1500000}"/>
    <cellStyle name="_Row6_Excel sheets to support Market Program Template for Budget 09 (5) (2) 2 2" xfId="20715" xr:uid="{00000000-0005-0000-0000-0000E2500000}"/>
    <cellStyle name="_Row6_Excel sheets to support Market Program Template for Budget 09 (5) (2) 3" xfId="20716" xr:uid="{00000000-0005-0000-0000-0000E3500000}"/>
    <cellStyle name="_Row6_Excel sheets to support Market Program Template for Budget 09 (5) (3)" xfId="20717" xr:uid="{00000000-0005-0000-0000-0000E4500000}"/>
    <cellStyle name="_Row6_Excel sheets to support Market Program Template for Budget 09 (5) (3) 2" xfId="20718" xr:uid="{00000000-0005-0000-0000-0000E5500000}"/>
    <cellStyle name="_Row6_Excel sheets to support Market Program Template for Budget 09 (5) (3) 2 2" xfId="20719" xr:uid="{00000000-0005-0000-0000-0000E6500000}"/>
    <cellStyle name="_Row6_Excel sheets to support Market Program Template for Budget 09 (5) (3) 3" xfId="20720" xr:uid="{00000000-0005-0000-0000-0000E7500000}"/>
    <cellStyle name="_Row6_Excel sheets to support Market Program Template for Budget 09 2" xfId="20721" xr:uid="{00000000-0005-0000-0000-0000E8500000}"/>
    <cellStyle name="_Row6_Excel sheets to support Market Program Template for Budget 09 2 2" xfId="20722" xr:uid="{00000000-0005-0000-0000-0000E9500000}"/>
    <cellStyle name="_Row6_Excel sheets to support Market Program Template for Budget 09 3" xfId="20723" xr:uid="{00000000-0005-0000-0000-0000EA500000}"/>
    <cellStyle name="_Row6_Excel sheets to support Market Program Template for Budget 09 3 2" xfId="20724" xr:uid="{00000000-0005-0000-0000-0000EB500000}"/>
    <cellStyle name="_Row6_Excel sheets to support Market Program Template for Budget 09 4" xfId="20725" xr:uid="{00000000-0005-0000-0000-0000EC500000}"/>
    <cellStyle name="_Row6_Excel sheets to support Market Program Template for Budget 09 5" xfId="20726" xr:uid="{00000000-0005-0000-0000-0000ED500000}"/>
    <cellStyle name="_Row6_Finance Templates - Final" xfId="20727" xr:uid="{00000000-0005-0000-0000-0000EE500000}"/>
    <cellStyle name="_Row6_Finance Templates - Final 2" xfId="20728" xr:uid="{00000000-0005-0000-0000-0000EF500000}"/>
    <cellStyle name="_Row6_Finance Templates - Final 2 2" xfId="20729" xr:uid="{00000000-0005-0000-0000-0000F0500000}"/>
    <cellStyle name="_Row6_Finance Templates - Final 3" xfId="20730" xr:uid="{00000000-0005-0000-0000-0000F1500000}"/>
    <cellStyle name="_Row6_Forecast Summary July v1" xfId="20731" xr:uid="{00000000-0005-0000-0000-0000F2500000}"/>
    <cellStyle name="_Row6_Forecast Summary July v1 2" xfId="20732" xr:uid="{00000000-0005-0000-0000-0000F3500000}"/>
    <cellStyle name="_Row6_Forecast Summary July v1 2 2" xfId="20733" xr:uid="{00000000-0005-0000-0000-0000F4500000}"/>
    <cellStyle name="_Row6_Forecast Summary July v1 3" xfId="20734" xr:uid="{00000000-0005-0000-0000-0000F5500000}"/>
    <cellStyle name="_Row6_GT" xfId="20735" xr:uid="{00000000-0005-0000-0000-0000F6500000}"/>
    <cellStyle name="_Row6_GT 2" xfId="20736" xr:uid="{00000000-0005-0000-0000-0000F7500000}"/>
    <cellStyle name="_Row6_GT 2 2" xfId="20737" xr:uid="{00000000-0005-0000-0000-0000F8500000}"/>
    <cellStyle name="_Row6_GT 3" xfId="20738" xr:uid="{00000000-0005-0000-0000-0000F9500000}"/>
    <cellStyle name="_Row6_Industry Volumes" xfId="20739" xr:uid="{00000000-0005-0000-0000-0000FA500000}"/>
    <cellStyle name="_Row6_Industry Volumes 2" xfId="20740" xr:uid="{00000000-0005-0000-0000-0000FB500000}"/>
    <cellStyle name="_Row6_Industry Volumes 2 2" xfId="20741" xr:uid="{00000000-0005-0000-0000-0000FC500000}"/>
    <cellStyle name="_Row6_Industry Volumes 2 2 2" xfId="20742" xr:uid="{00000000-0005-0000-0000-0000FD500000}"/>
    <cellStyle name="_Row6_Industry Volumes 2 3" xfId="20743" xr:uid="{00000000-0005-0000-0000-0000FE500000}"/>
    <cellStyle name="_Row6_Industry Volumes 2 3 2" xfId="20744" xr:uid="{00000000-0005-0000-0000-0000FF500000}"/>
    <cellStyle name="_Row6_Industry Volumes 2 3 3" xfId="20745" xr:uid="{00000000-0005-0000-0000-000000510000}"/>
    <cellStyle name="_Row6_Industry Volumes 2 4" xfId="20746" xr:uid="{00000000-0005-0000-0000-000001510000}"/>
    <cellStyle name="_Row6_Industry Volumes 2 5" xfId="20747" xr:uid="{00000000-0005-0000-0000-000002510000}"/>
    <cellStyle name="_Row6_Industry Volumes 3" xfId="20748" xr:uid="{00000000-0005-0000-0000-000003510000}"/>
    <cellStyle name="_Row6_Industry Volumes 3 2" xfId="20749" xr:uid="{00000000-0005-0000-0000-000004510000}"/>
    <cellStyle name="_Row6_Industry Volumes 3 2 2" xfId="20750" xr:uid="{00000000-0005-0000-0000-000005510000}"/>
    <cellStyle name="_Row6_Industry Volumes 3 2 3" xfId="20751" xr:uid="{00000000-0005-0000-0000-000006510000}"/>
    <cellStyle name="_Row6_Industry Volumes 3 3" xfId="20752" xr:uid="{00000000-0005-0000-0000-000007510000}"/>
    <cellStyle name="_Row6_Industry Volumes 4" xfId="20753" xr:uid="{00000000-0005-0000-0000-000008510000}"/>
    <cellStyle name="_Row6_Industry Volumes 4 2" xfId="20754" xr:uid="{00000000-0005-0000-0000-000009510000}"/>
    <cellStyle name="_Row6_Industry Volumes 4 3" xfId="20755" xr:uid="{00000000-0005-0000-0000-00000A510000}"/>
    <cellStyle name="_Row6_Industry Volumes 5" xfId="20756" xr:uid="{00000000-0005-0000-0000-00000B510000}"/>
    <cellStyle name="_Row6_Industry Volumes 6" xfId="20757" xr:uid="{00000000-0005-0000-0000-00000C510000}"/>
    <cellStyle name="_Row6_Iniciativas P3A GPV &amp; CSD HILA '10" xfId="20758" xr:uid="{00000000-0005-0000-0000-00000D510000}"/>
    <cellStyle name="_Row6_Iniciativas P3A GPV &amp; CSD HILA '10 2" xfId="20759" xr:uid="{00000000-0005-0000-0000-00000E510000}"/>
    <cellStyle name="_Row6_Iniciativas P3A GPV &amp; CSD HILA '10 2 2" xfId="20760" xr:uid="{00000000-0005-0000-0000-00000F510000}"/>
    <cellStyle name="_Row6_Iniciativas P3A GPV &amp; CSD HILA '10 3" xfId="20761" xr:uid="{00000000-0005-0000-0000-000010510000}"/>
    <cellStyle name="_Row6_KK_3YP Model S&amp;D Stand 3.7.07" xfId="20762" xr:uid="{00000000-0005-0000-0000-000011510000}"/>
    <cellStyle name="_Row6_KK_3YP Model S&amp;D Stand 3.7.07 2" xfId="20763" xr:uid="{00000000-0005-0000-0000-000012510000}"/>
    <cellStyle name="_Row6_KK_3YP Model S&amp;D Stand 3.7.07 2 2" xfId="20764" xr:uid="{00000000-0005-0000-0000-000013510000}"/>
    <cellStyle name="_Row6_KK_3YP Model S&amp;D Stand 3.7.07 2 2 2" xfId="20765" xr:uid="{00000000-0005-0000-0000-000014510000}"/>
    <cellStyle name="_Row6_KK_3YP Model S&amp;D Stand 3.7.07 2 3" xfId="20766" xr:uid="{00000000-0005-0000-0000-000015510000}"/>
    <cellStyle name="_Row6_KK_3YP Model S&amp;D Stand 3.7.07 2 3 2" xfId="20767" xr:uid="{00000000-0005-0000-0000-000016510000}"/>
    <cellStyle name="_Row6_KK_3YP Model S&amp;D Stand 3.7.07 2 3 3" xfId="20768" xr:uid="{00000000-0005-0000-0000-000017510000}"/>
    <cellStyle name="_Row6_KK_3YP Model S&amp;D Stand 3.7.07 2 4" xfId="20769" xr:uid="{00000000-0005-0000-0000-000018510000}"/>
    <cellStyle name="_Row6_KK_3YP Model S&amp;D Stand 3.7.07 2 5" xfId="20770" xr:uid="{00000000-0005-0000-0000-000019510000}"/>
    <cellStyle name="_Row6_KK_3YP Model S&amp;D Stand 3.7.07 3" xfId="20771" xr:uid="{00000000-0005-0000-0000-00001A510000}"/>
    <cellStyle name="_Row6_KK_3YP Model S&amp;D Stand 3.7.07 3 2" xfId="20772" xr:uid="{00000000-0005-0000-0000-00001B510000}"/>
    <cellStyle name="_Row6_KK_3YP Model S&amp;D Stand 3.7.07 3 2 2" xfId="20773" xr:uid="{00000000-0005-0000-0000-00001C510000}"/>
    <cellStyle name="_Row6_KK_3YP Model S&amp;D Stand 3.7.07 3 2 3" xfId="20774" xr:uid="{00000000-0005-0000-0000-00001D510000}"/>
    <cellStyle name="_Row6_KK_3YP Model S&amp;D Stand 3.7.07 3 3" xfId="20775" xr:uid="{00000000-0005-0000-0000-00001E510000}"/>
    <cellStyle name="_Row6_KK_3YP Model S&amp;D Stand 3.7.07 4" xfId="20776" xr:uid="{00000000-0005-0000-0000-00001F510000}"/>
    <cellStyle name="_Row6_KK_3YP Model S&amp;D Stand 3.7.07 4 2" xfId="20777" xr:uid="{00000000-0005-0000-0000-000020510000}"/>
    <cellStyle name="_Row6_KK_3YP Model S&amp;D Stand 3.7.07 4 3" xfId="20778" xr:uid="{00000000-0005-0000-0000-000021510000}"/>
    <cellStyle name="_Row6_KK_3YP Model S&amp;D Stand 3.7.07 5" xfId="20779" xr:uid="{00000000-0005-0000-0000-000022510000}"/>
    <cellStyle name="_Row6_KK_3YP Model S&amp;D Stand 3.7.07 6" xfId="20780" xr:uid="{00000000-0005-0000-0000-000023510000}"/>
    <cellStyle name="_Row6_MIS2" xfId="20781" xr:uid="{00000000-0005-0000-0000-000024510000}"/>
    <cellStyle name="_Row6_MIS2 2" xfId="20782" xr:uid="{00000000-0005-0000-0000-000025510000}"/>
    <cellStyle name="_Row6_MIS2 2 2" xfId="20783" xr:uid="{00000000-0005-0000-0000-000026510000}"/>
    <cellStyle name="_Row6_MIS2 2 2 2" xfId="20784" xr:uid="{00000000-0005-0000-0000-000027510000}"/>
    <cellStyle name="_Row6_MIS2 2 3" xfId="20785" xr:uid="{00000000-0005-0000-0000-000028510000}"/>
    <cellStyle name="_Row6_MIS2 2 3 2" xfId="20786" xr:uid="{00000000-0005-0000-0000-000029510000}"/>
    <cellStyle name="_Row6_MIS2 2 3 3" xfId="20787" xr:uid="{00000000-0005-0000-0000-00002A510000}"/>
    <cellStyle name="_Row6_MIS2 2 4" xfId="20788" xr:uid="{00000000-0005-0000-0000-00002B510000}"/>
    <cellStyle name="_Row6_MIS2 2 5" xfId="20789" xr:uid="{00000000-0005-0000-0000-00002C510000}"/>
    <cellStyle name="_Row6_MIS2 3" xfId="20790" xr:uid="{00000000-0005-0000-0000-00002D510000}"/>
    <cellStyle name="_Row6_MIS2 3 2" xfId="20791" xr:uid="{00000000-0005-0000-0000-00002E510000}"/>
    <cellStyle name="_Row6_MIS2 3 2 2" xfId="20792" xr:uid="{00000000-0005-0000-0000-00002F510000}"/>
    <cellStyle name="_Row6_MIS2 3 2 3" xfId="20793" xr:uid="{00000000-0005-0000-0000-000030510000}"/>
    <cellStyle name="_Row6_MIS2 3 3" xfId="20794" xr:uid="{00000000-0005-0000-0000-000031510000}"/>
    <cellStyle name="_Row6_MIS2 4" xfId="20795" xr:uid="{00000000-0005-0000-0000-000032510000}"/>
    <cellStyle name="_Row6_MIS2 4 2" xfId="20796" xr:uid="{00000000-0005-0000-0000-000033510000}"/>
    <cellStyle name="_Row6_MIS2 4 3" xfId="20797" xr:uid="{00000000-0005-0000-0000-000034510000}"/>
    <cellStyle name="_Row6_MIS2 5" xfId="20798" xr:uid="{00000000-0005-0000-0000-000035510000}"/>
    <cellStyle name="_Row6_MIS2 6" xfId="20799" xr:uid="{00000000-0005-0000-0000-000036510000}"/>
    <cellStyle name="_Row6_Mis24" xfId="20800" xr:uid="{00000000-0005-0000-0000-000037510000}"/>
    <cellStyle name="_Row6_Mis24 2" xfId="20801" xr:uid="{00000000-0005-0000-0000-000038510000}"/>
    <cellStyle name="_Row6_Mis24 2 2" xfId="20802" xr:uid="{00000000-0005-0000-0000-000039510000}"/>
    <cellStyle name="_Row6_Mis24 3" xfId="20803" xr:uid="{00000000-0005-0000-0000-00003A510000}"/>
    <cellStyle name="_Row6_MIS3" xfId="20804" xr:uid="{00000000-0005-0000-0000-00003B510000}"/>
    <cellStyle name="_Row6_MIS3 2" xfId="20805" xr:uid="{00000000-0005-0000-0000-00003C510000}"/>
    <cellStyle name="_Row6_MIS3 2 2" xfId="20806" xr:uid="{00000000-0005-0000-0000-00003D510000}"/>
    <cellStyle name="_Row6_MIS3 2 2 2" xfId="20807" xr:uid="{00000000-0005-0000-0000-00003E510000}"/>
    <cellStyle name="_Row6_MIS3 2 3" xfId="20808" xr:uid="{00000000-0005-0000-0000-00003F510000}"/>
    <cellStyle name="_Row6_MIS3 2 3 2" xfId="20809" xr:uid="{00000000-0005-0000-0000-000040510000}"/>
    <cellStyle name="_Row6_MIS3 2 3 3" xfId="20810" xr:uid="{00000000-0005-0000-0000-000041510000}"/>
    <cellStyle name="_Row6_MIS3 2 4" xfId="20811" xr:uid="{00000000-0005-0000-0000-000042510000}"/>
    <cellStyle name="_Row6_MIS3 2 5" xfId="20812" xr:uid="{00000000-0005-0000-0000-000043510000}"/>
    <cellStyle name="_Row6_MIS3 3" xfId="20813" xr:uid="{00000000-0005-0000-0000-000044510000}"/>
    <cellStyle name="_Row6_MIS3 3 2" xfId="20814" xr:uid="{00000000-0005-0000-0000-000045510000}"/>
    <cellStyle name="_Row6_MIS3 3 2 2" xfId="20815" xr:uid="{00000000-0005-0000-0000-000046510000}"/>
    <cellStyle name="_Row6_MIS3 3 2 3" xfId="20816" xr:uid="{00000000-0005-0000-0000-000047510000}"/>
    <cellStyle name="_Row6_MIS3 3 3" xfId="20817" xr:uid="{00000000-0005-0000-0000-000048510000}"/>
    <cellStyle name="_Row6_MIS3 4" xfId="20818" xr:uid="{00000000-0005-0000-0000-000049510000}"/>
    <cellStyle name="_Row6_MIS3 4 2" xfId="20819" xr:uid="{00000000-0005-0000-0000-00004A510000}"/>
    <cellStyle name="_Row6_MIS3 4 3" xfId="20820" xr:uid="{00000000-0005-0000-0000-00004B510000}"/>
    <cellStyle name="_Row6_MIS3 5" xfId="20821" xr:uid="{00000000-0005-0000-0000-00004C510000}"/>
    <cellStyle name="_Row6_MIS3 6" xfId="20822" xr:uid="{00000000-0005-0000-0000-00004D510000}"/>
    <cellStyle name="_Row6_PE" xfId="20823" xr:uid="{00000000-0005-0000-0000-00004E510000}"/>
    <cellStyle name="_Row6_PE 2" xfId="20824" xr:uid="{00000000-0005-0000-0000-00004F510000}"/>
    <cellStyle name="_Row6_PE 2 2" xfId="20825" xr:uid="{00000000-0005-0000-0000-000050510000}"/>
    <cellStyle name="_Row6_PE 3" xfId="20826" xr:uid="{00000000-0005-0000-0000-000051510000}"/>
    <cellStyle name="_Row6_People Package" xfId="20827" xr:uid="{00000000-0005-0000-0000-000052510000}"/>
    <cellStyle name="_Row6_People Package (2)" xfId="20828" xr:uid="{00000000-0005-0000-0000-000053510000}"/>
    <cellStyle name="_Row6_People Package (2) 2" xfId="20829" xr:uid="{00000000-0005-0000-0000-000054510000}"/>
    <cellStyle name="_Row6_People Package (2) 2 2" xfId="20830" xr:uid="{00000000-0005-0000-0000-000055510000}"/>
    <cellStyle name="_Row6_People Package (2) 3" xfId="20831" xr:uid="{00000000-0005-0000-0000-000056510000}"/>
    <cellStyle name="_Row6_People Package 2" xfId="20832" xr:uid="{00000000-0005-0000-0000-000057510000}"/>
    <cellStyle name="_Row6_People Package 2 2" xfId="20833" xr:uid="{00000000-0005-0000-0000-000058510000}"/>
    <cellStyle name="_Row6_People Package 3" xfId="20834" xr:uid="{00000000-0005-0000-0000-000059510000}"/>
    <cellStyle name="_Row6_People Package 3 2" xfId="20835" xr:uid="{00000000-0005-0000-0000-00005A510000}"/>
    <cellStyle name="_Row6_People Package 4" xfId="20836" xr:uid="{00000000-0005-0000-0000-00005B510000}"/>
    <cellStyle name="_Row6_People Package 5" xfId="20837" xr:uid="{00000000-0005-0000-0000-00005C510000}"/>
    <cellStyle name="_Row6_RD" xfId="20838" xr:uid="{00000000-0005-0000-0000-00005D510000}"/>
    <cellStyle name="_Row6_RD 2" xfId="20839" xr:uid="{00000000-0005-0000-0000-00005E510000}"/>
    <cellStyle name="_Row6_RD 2 2" xfId="20840" xr:uid="{00000000-0005-0000-0000-00005F510000}"/>
    <cellStyle name="_Row6_RD 3" xfId="20841" xr:uid="{00000000-0005-0000-0000-000060510000}"/>
    <cellStyle name="_Row6_Sales and Marketing - revised" xfId="20842" xr:uid="{00000000-0005-0000-0000-000061510000}"/>
    <cellStyle name="_Row6_Sales and Marketing - revised 2" xfId="20843" xr:uid="{00000000-0005-0000-0000-000062510000}"/>
    <cellStyle name="_Row6_Sales and Marketing - revised 2 2" xfId="20844" xr:uid="{00000000-0005-0000-0000-000063510000}"/>
    <cellStyle name="_Row6_Sales and Marketing - revised 3" xfId="20845" xr:uid="{00000000-0005-0000-0000-000064510000}"/>
    <cellStyle name="_Row6_Strategic Diagnostic Templates Technik" xfId="20846" xr:uid="{00000000-0005-0000-0000-000065510000}"/>
    <cellStyle name="_Row6_Strategic Diagnostic Templates Technik 2" xfId="20847" xr:uid="{00000000-0005-0000-0000-000066510000}"/>
    <cellStyle name="_Row6_Strategic Diagnostic Templates Technik 2 2" xfId="20848" xr:uid="{00000000-0005-0000-0000-000067510000}"/>
    <cellStyle name="_Row6_Strategic Diagnostic Templates Technik 3" xfId="20849" xr:uid="{00000000-0005-0000-0000-000068510000}"/>
    <cellStyle name="_Row6_Strategic Diagnostic Templates Technik_Copy of 081027 ZBB Budget 2009 Decks - People_Cherry_V4" xfId="20850" xr:uid="{00000000-0005-0000-0000-000069510000}"/>
    <cellStyle name="_Row6_Strategic Diagnostic Templates Technik_Copy of 081027 ZBB Budget 2009 Decks - People_Cherry_V4 2" xfId="20851" xr:uid="{00000000-0005-0000-0000-00006A510000}"/>
    <cellStyle name="_Row6_Strategic Diagnostic Templates Technik_Copy of 081027 ZBB Budget 2009 Decks - People_Cherry_V4 2 2" xfId="20852" xr:uid="{00000000-0005-0000-0000-00006B510000}"/>
    <cellStyle name="_Row6_Strategic Diagnostic Templates Technik_Copy of 081027 ZBB Budget 2009 Decks - People_Cherry_V4 3" xfId="20853" xr:uid="{00000000-0005-0000-0000-00006C510000}"/>
    <cellStyle name="_Row6_Strategic Diagnostic Templates Technik_ZBB Budget 2009 Decks" xfId="20854" xr:uid="{00000000-0005-0000-0000-00006D510000}"/>
    <cellStyle name="_Row6_Strategic Diagnostic Templates Technik_ZBB Budget 2009 Decks 2" xfId="20855" xr:uid="{00000000-0005-0000-0000-00006E510000}"/>
    <cellStyle name="_Row6_Strategic Diagnostic Templates Technik_ZBB Budget 2009 Decks 2 2" xfId="20856" xr:uid="{00000000-0005-0000-0000-00006F510000}"/>
    <cellStyle name="_Row6_Strategic Diagnostic Templates Technik_ZBB Budget 2009 Decks 3" xfId="20857" xr:uid="{00000000-0005-0000-0000-000070510000}"/>
    <cellStyle name="_Row6_Strategic Diagnostic Templates Technik_ZBB Budget 2009 Decks_with Korea Scope in (Only LE)" xfId="20858" xr:uid="{00000000-0005-0000-0000-000071510000}"/>
    <cellStyle name="_Row6_Strategic Diagnostic Templates Technik_ZBB Budget 2009 Decks_with Korea Scope in (Only LE) (2)" xfId="20859" xr:uid="{00000000-0005-0000-0000-000072510000}"/>
    <cellStyle name="_Row6_Strategic Diagnostic Templates Technik_ZBB Budget 2009 Decks_with Korea Scope in (Only LE) (2) 2" xfId="20860" xr:uid="{00000000-0005-0000-0000-000073510000}"/>
    <cellStyle name="_Row6_Strategic Diagnostic Templates Technik_ZBB Budget 2009 Decks_with Korea Scope in (Only LE) (2) 2 2" xfId="20861" xr:uid="{00000000-0005-0000-0000-000074510000}"/>
    <cellStyle name="_Row6_Strategic Diagnostic Templates Technik_ZBB Budget 2009 Decks_with Korea Scope in (Only LE) (2) 3" xfId="20862" xr:uid="{00000000-0005-0000-0000-000075510000}"/>
    <cellStyle name="_Row6_Strategic Diagnostic Templates Technik_ZBB Budget 2009 Decks_with Korea Scope in (Only LE) 2" xfId="20863" xr:uid="{00000000-0005-0000-0000-000076510000}"/>
    <cellStyle name="_Row6_Strategic Diagnostic Templates Technik_ZBB Budget 2009 Decks_with Korea Scope in (Only LE) 2 2" xfId="20864" xr:uid="{00000000-0005-0000-0000-000077510000}"/>
    <cellStyle name="_Row6_Strategic Diagnostic Templates Technik_ZBB Budget 2009 Decks_with Korea Scope in (Only LE) 3" xfId="20865" xr:uid="{00000000-0005-0000-0000-000078510000}"/>
    <cellStyle name="_Row6_Strategic Diagnostic Templates Technik_ZBB Budget 2009 Decks_with Korea Scope in (Only LE) 3 2" xfId="20866" xr:uid="{00000000-0005-0000-0000-000079510000}"/>
    <cellStyle name="_Row6_Strategic Diagnostic Templates Technik_ZBB Budget 2009 Decks_with Korea Scope in (Only LE) 4" xfId="20867" xr:uid="{00000000-0005-0000-0000-00007A510000}"/>
    <cellStyle name="_Row6_Strategic Diagnostic Templates Technik_ZBB Budget 2009 Decks_with Korea Scope in (Only LE) 5" xfId="20868" xr:uid="{00000000-0005-0000-0000-00007B510000}"/>
    <cellStyle name="_Row6_VE" xfId="20869" xr:uid="{00000000-0005-0000-0000-00007C510000}"/>
    <cellStyle name="_Row6_VE 2" xfId="20870" xr:uid="{00000000-0005-0000-0000-00007D510000}"/>
    <cellStyle name="_Row6_VE 2 2" xfId="20871" xr:uid="{00000000-0005-0000-0000-00007E510000}"/>
    <cellStyle name="_Row6_VE 3" xfId="20872" xr:uid="{00000000-0005-0000-0000-00007F510000}"/>
    <cellStyle name="_Row6_waterfall-rol" xfId="20873" xr:uid="{00000000-0005-0000-0000-000080510000}"/>
    <cellStyle name="_Row6_waterfall-rol 2" xfId="20874" xr:uid="{00000000-0005-0000-0000-000081510000}"/>
    <cellStyle name="_Row6_waterfall-rol 2 2" xfId="20875" xr:uid="{00000000-0005-0000-0000-000082510000}"/>
    <cellStyle name="_Row6_waterfall-rol 3" xfId="20876" xr:uid="{00000000-0005-0000-0000-000083510000}"/>
    <cellStyle name="_Row6_ZBB" xfId="20877" xr:uid="{00000000-0005-0000-0000-000084510000}"/>
    <cellStyle name="_Row6_ZBB 2" xfId="20878" xr:uid="{00000000-0005-0000-0000-000085510000}"/>
    <cellStyle name="_Row6_ZBB 2 2" xfId="20879" xr:uid="{00000000-0005-0000-0000-000086510000}"/>
    <cellStyle name="_Row6_ZBB 3" xfId="20880" xr:uid="{00000000-0005-0000-0000-000087510000}"/>
    <cellStyle name="_Row7" xfId="20881" xr:uid="{00000000-0005-0000-0000-000088510000}"/>
    <cellStyle name="_Row7 2" xfId="20882" xr:uid="{00000000-0005-0000-0000-000089510000}"/>
    <cellStyle name="_Row7 2 2" xfId="20883" xr:uid="{00000000-0005-0000-0000-00008A510000}"/>
    <cellStyle name="_Row7 3" xfId="20884" xr:uid="{00000000-0005-0000-0000-00008B510000}"/>
    <cellStyle name="_Row7_CA ML" xfId="20885" xr:uid="{00000000-0005-0000-0000-00008C510000}"/>
    <cellStyle name="_Row7_CA ML 2" xfId="20886" xr:uid="{00000000-0005-0000-0000-00008D510000}"/>
    <cellStyle name="_Row7_CA ML 2 2" xfId="20887" xr:uid="{00000000-0005-0000-0000-00008E510000}"/>
    <cellStyle name="_Row7_CA ML 3" xfId="20888" xr:uid="{00000000-0005-0000-0000-00008F510000}"/>
    <cellStyle name="_Row7_CA USD" xfId="20889" xr:uid="{00000000-0005-0000-0000-000090510000}"/>
    <cellStyle name="_Row7_CA USD 2" xfId="20890" xr:uid="{00000000-0005-0000-0000-000091510000}"/>
    <cellStyle name="_Row7_CA USD 2 2" xfId="20891" xr:uid="{00000000-0005-0000-0000-000092510000}"/>
    <cellStyle name="_Row7_CA USD 3" xfId="20892" xr:uid="{00000000-0005-0000-0000-000093510000}"/>
    <cellStyle name="_Row7_Copy of 081027 ZBB Budget 2009 Decks - People_Cherry_V4" xfId="20893" xr:uid="{00000000-0005-0000-0000-000094510000}"/>
    <cellStyle name="_Row7_Copy of 081027 ZBB Budget 2009 Decks - People_Cherry_V4 2" xfId="20894" xr:uid="{00000000-0005-0000-0000-000095510000}"/>
    <cellStyle name="_Row7_Copy of 081027 ZBB Budget 2009 Decks - People_Cherry_V4 2 2" xfId="20895" xr:uid="{00000000-0005-0000-0000-000096510000}"/>
    <cellStyle name="_Row7_Copy of 081027 ZBB Budget 2009 Decks - People_Cherry_V4 3" xfId="20896" xr:uid="{00000000-0005-0000-0000-000097510000}"/>
    <cellStyle name="_Row7_EC ML" xfId="20897" xr:uid="{00000000-0005-0000-0000-000098510000}"/>
    <cellStyle name="_Row7_EC ML 2" xfId="20898" xr:uid="{00000000-0005-0000-0000-000099510000}"/>
    <cellStyle name="_Row7_EC ML 2 2" xfId="20899" xr:uid="{00000000-0005-0000-0000-00009A510000}"/>
    <cellStyle name="_Row7_EC ML 3" xfId="20900" xr:uid="{00000000-0005-0000-0000-00009B510000}"/>
    <cellStyle name="_Row7_EC USD" xfId="20901" xr:uid="{00000000-0005-0000-0000-00009C510000}"/>
    <cellStyle name="_Row7_EC USD 2" xfId="20902" xr:uid="{00000000-0005-0000-0000-00009D510000}"/>
    <cellStyle name="_Row7_EC USD 2 2" xfId="20903" xr:uid="{00000000-0005-0000-0000-00009E510000}"/>
    <cellStyle name="_Row7_EC USD 3" xfId="20904" xr:uid="{00000000-0005-0000-0000-00009F510000}"/>
    <cellStyle name="_Row7_fx" xfId="20905" xr:uid="{00000000-0005-0000-0000-0000A0510000}"/>
    <cellStyle name="_Row7_fx 2" xfId="20906" xr:uid="{00000000-0005-0000-0000-0000A1510000}"/>
    <cellStyle name="_Row7_fx 2 2" xfId="20907" xr:uid="{00000000-0005-0000-0000-0000A2510000}"/>
    <cellStyle name="_Row7_fx 3" xfId="20908" xr:uid="{00000000-0005-0000-0000-0000A3510000}"/>
    <cellStyle name="_Row7_Industry Volumes" xfId="20909" xr:uid="{00000000-0005-0000-0000-0000A4510000}"/>
    <cellStyle name="_Row7_Industry Volumes 2" xfId="20910" xr:uid="{00000000-0005-0000-0000-0000A5510000}"/>
    <cellStyle name="_Row7_Industry Volumes 2 2" xfId="20911" xr:uid="{00000000-0005-0000-0000-0000A6510000}"/>
    <cellStyle name="_Row7_Industry Volumes 2 2 2" xfId="20912" xr:uid="{00000000-0005-0000-0000-0000A7510000}"/>
    <cellStyle name="_Row7_Industry Volumes 2 3" xfId="20913" xr:uid="{00000000-0005-0000-0000-0000A8510000}"/>
    <cellStyle name="_Row7_Industry Volumes 2 3 2" xfId="20914" xr:uid="{00000000-0005-0000-0000-0000A9510000}"/>
    <cellStyle name="_Row7_Industry Volumes 2 3 3" xfId="20915" xr:uid="{00000000-0005-0000-0000-0000AA510000}"/>
    <cellStyle name="_Row7_Industry Volumes 2 4" xfId="20916" xr:uid="{00000000-0005-0000-0000-0000AB510000}"/>
    <cellStyle name="_Row7_Industry Volumes 2 5" xfId="20917" xr:uid="{00000000-0005-0000-0000-0000AC510000}"/>
    <cellStyle name="_Row7_Industry Volumes 3" xfId="20918" xr:uid="{00000000-0005-0000-0000-0000AD510000}"/>
    <cellStyle name="_Row7_Industry Volumes 3 2" xfId="20919" xr:uid="{00000000-0005-0000-0000-0000AE510000}"/>
    <cellStyle name="_Row7_Industry Volumes 3 2 2" xfId="20920" xr:uid="{00000000-0005-0000-0000-0000AF510000}"/>
    <cellStyle name="_Row7_Industry Volumes 3 2 3" xfId="20921" xr:uid="{00000000-0005-0000-0000-0000B0510000}"/>
    <cellStyle name="_Row7_Industry Volumes 3 3" xfId="20922" xr:uid="{00000000-0005-0000-0000-0000B1510000}"/>
    <cellStyle name="_Row7_Industry Volumes 4" xfId="20923" xr:uid="{00000000-0005-0000-0000-0000B2510000}"/>
    <cellStyle name="_Row7_Industry Volumes 4 2" xfId="20924" xr:uid="{00000000-0005-0000-0000-0000B3510000}"/>
    <cellStyle name="_Row7_Industry Volumes 4 3" xfId="20925" xr:uid="{00000000-0005-0000-0000-0000B4510000}"/>
    <cellStyle name="_Row7_Industry Volumes 5" xfId="20926" xr:uid="{00000000-0005-0000-0000-0000B5510000}"/>
    <cellStyle name="_Row7_Industry Volumes 6" xfId="20927" xr:uid="{00000000-0005-0000-0000-0000B6510000}"/>
    <cellStyle name="_Row7_KK_3YP Model S&amp;D Stand 3.7.07" xfId="20928" xr:uid="{00000000-0005-0000-0000-0000B7510000}"/>
    <cellStyle name="_Row7_KK_3YP Model S&amp;D Stand 3.7.07 2" xfId="20929" xr:uid="{00000000-0005-0000-0000-0000B8510000}"/>
    <cellStyle name="_Row7_KK_3YP Model S&amp;D Stand 3.7.07 2 2" xfId="20930" xr:uid="{00000000-0005-0000-0000-0000B9510000}"/>
    <cellStyle name="_Row7_KK_3YP Model S&amp;D Stand 3.7.07 2 2 2" xfId="20931" xr:uid="{00000000-0005-0000-0000-0000BA510000}"/>
    <cellStyle name="_Row7_KK_3YP Model S&amp;D Stand 3.7.07 2 3" xfId="20932" xr:uid="{00000000-0005-0000-0000-0000BB510000}"/>
    <cellStyle name="_Row7_KK_3YP Model S&amp;D Stand 3.7.07 2 3 2" xfId="20933" xr:uid="{00000000-0005-0000-0000-0000BC510000}"/>
    <cellStyle name="_Row7_KK_3YP Model S&amp;D Stand 3.7.07 2 3 3" xfId="20934" xr:uid="{00000000-0005-0000-0000-0000BD510000}"/>
    <cellStyle name="_Row7_KK_3YP Model S&amp;D Stand 3.7.07 2 4" xfId="20935" xr:uid="{00000000-0005-0000-0000-0000BE510000}"/>
    <cellStyle name="_Row7_KK_3YP Model S&amp;D Stand 3.7.07 2 5" xfId="20936" xr:uid="{00000000-0005-0000-0000-0000BF510000}"/>
    <cellStyle name="_Row7_KK_3YP Model S&amp;D Stand 3.7.07 3" xfId="20937" xr:uid="{00000000-0005-0000-0000-0000C0510000}"/>
    <cellStyle name="_Row7_KK_3YP Model S&amp;D Stand 3.7.07 3 2" xfId="20938" xr:uid="{00000000-0005-0000-0000-0000C1510000}"/>
    <cellStyle name="_Row7_KK_3YP Model S&amp;D Stand 3.7.07 3 2 2" xfId="20939" xr:uid="{00000000-0005-0000-0000-0000C2510000}"/>
    <cellStyle name="_Row7_KK_3YP Model S&amp;D Stand 3.7.07 3 2 3" xfId="20940" xr:uid="{00000000-0005-0000-0000-0000C3510000}"/>
    <cellStyle name="_Row7_KK_3YP Model S&amp;D Stand 3.7.07 3 3" xfId="20941" xr:uid="{00000000-0005-0000-0000-0000C4510000}"/>
    <cellStyle name="_Row7_KK_3YP Model S&amp;D Stand 3.7.07 4" xfId="20942" xr:uid="{00000000-0005-0000-0000-0000C5510000}"/>
    <cellStyle name="_Row7_KK_3YP Model S&amp;D Stand 3.7.07 4 2" xfId="20943" xr:uid="{00000000-0005-0000-0000-0000C6510000}"/>
    <cellStyle name="_Row7_KK_3YP Model S&amp;D Stand 3.7.07 4 3" xfId="20944" xr:uid="{00000000-0005-0000-0000-0000C7510000}"/>
    <cellStyle name="_Row7_KK_3YP Model S&amp;D Stand 3.7.07 5" xfId="20945" xr:uid="{00000000-0005-0000-0000-0000C8510000}"/>
    <cellStyle name="_Row7_KK_3YP Model S&amp;D Stand 3.7.07 6" xfId="20946" xr:uid="{00000000-0005-0000-0000-0000C9510000}"/>
    <cellStyle name="_Row7_MIS2" xfId="20947" xr:uid="{00000000-0005-0000-0000-0000CA510000}"/>
    <cellStyle name="_Row7_MIS2 2" xfId="20948" xr:uid="{00000000-0005-0000-0000-0000CB510000}"/>
    <cellStyle name="_Row7_MIS2 2 2" xfId="20949" xr:uid="{00000000-0005-0000-0000-0000CC510000}"/>
    <cellStyle name="_Row7_MIS2 2 2 2" xfId="20950" xr:uid="{00000000-0005-0000-0000-0000CD510000}"/>
    <cellStyle name="_Row7_MIS2 2 3" xfId="20951" xr:uid="{00000000-0005-0000-0000-0000CE510000}"/>
    <cellStyle name="_Row7_MIS2 2 3 2" xfId="20952" xr:uid="{00000000-0005-0000-0000-0000CF510000}"/>
    <cellStyle name="_Row7_MIS2 2 3 3" xfId="20953" xr:uid="{00000000-0005-0000-0000-0000D0510000}"/>
    <cellStyle name="_Row7_MIS2 2 4" xfId="20954" xr:uid="{00000000-0005-0000-0000-0000D1510000}"/>
    <cellStyle name="_Row7_MIS2 2 5" xfId="20955" xr:uid="{00000000-0005-0000-0000-0000D2510000}"/>
    <cellStyle name="_Row7_MIS2 3" xfId="20956" xr:uid="{00000000-0005-0000-0000-0000D3510000}"/>
    <cellStyle name="_Row7_MIS2 3 2" xfId="20957" xr:uid="{00000000-0005-0000-0000-0000D4510000}"/>
    <cellStyle name="_Row7_MIS2 3 2 2" xfId="20958" xr:uid="{00000000-0005-0000-0000-0000D5510000}"/>
    <cellStyle name="_Row7_MIS2 3 2 3" xfId="20959" xr:uid="{00000000-0005-0000-0000-0000D6510000}"/>
    <cellStyle name="_Row7_MIS2 3 3" xfId="20960" xr:uid="{00000000-0005-0000-0000-0000D7510000}"/>
    <cellStyle name="_Row7_MIS2 4" xfId="20961" xr:uid="{00000000-0005-0000-0000-0000D8510000}"/>
    <cellStyle name="_Row7_MIS2 4 2" xfId="20962" xr:uid="{00000000-0005-0000-0000-0000D9510000}"/>
    <cellStyle name="_Row7_MIS2 4 3" xfId="20963" xr:uid="{00000000-0005-0000-0000-0000DA510000}"/>
    <cellStyle name="_Row7_MIS2 5" xfId="20964" xr:uid="{00000000-0005-0000-0000-0000DB510000}"/>
    <cellStyle name="_Row7_MIS2 6" xfId="20965" xr:uid="{00000000-0005-0000-0000-0000DC510000}"/>
    <cellStyle name="_Row7_Mis24" xfId="20966" xr:uid="{00000000-0005-0000-0000-0000DD510000}"/>
    <cellStyle name="_Row7_Mis24 2" xfId="20967" xr:uid="{00000000-0005-0000-0000-0000DE510000}"/>
    <cellStyle name="_Row7_Mis24 2 2" xfId="20968" xr:uid="{00000000-0005-0000-0000-0000DF510000}"/>
    <cellStyle name="_Row7_Mis24 3" xfId="20969" xr:uid="{00000000-0005-0000-0000-0000E0510000}"/>
    <cellStyle name="_Row7_Mis24_CA ML" xfId="20970" xr:uid="{00000000-0005-0000-0000-0000E1510000}"/>
    <cellStyle name="_Row7_Mis24_CA ML 2" xfId="20971" xr:uid="{00000000-0005-0000-0000-0000E2510000}"/>
    <cellStyle name="_Row7_Mis24_CA ML 2 2" xfId="20972" xr:uid="{00000000-0005-0000-0000-0000E3510000}"/>
    <cellStyle name="_Row7_Mis24_CA ML 3" xfId="20973" xr:uid="{00000000-0005-0000-0000-0000E4510000}"/>
    <cellStyle name="_Row7_Mis24_CA USD" xfId="20974" xr:uid="{00000000-0005-0000-0000-0000E5510000}"/>
    <cellStyle name="_Row7_Mis24_CA USD 2" xfId="20975" xr:uid="{00000000-0005-0000-0000-0000E6510000}"/>
    <cellStyle name="_Row7_Mis24_CA USD 2 2" xfId="20976" xr:uid="{00000000-0005-0000-0000-0000E7510000}"/>
    <cellStyle name="_Row7_Mis24_CA USD 3" xfId="20977" xr:uid="{00000000-0005-0000-0000-0000E8510000}"/>
    <cellStyle name="_Row7_Mis24_EC ML" xfId="20978" xr:uid="{00000000-0005-0000-0000-0000E9510000}"/>
    <cellStyle name="_Row7_Mis24_EC ML 2" xfId="20979" xr:uid="{00000000-0005-0000-0000-0000EA510000}"/>
    <cellStyle name="_Row7_Mis24_EC ML 2 2" xfId="20980" xr:uid="{00000000-0005-0000-0000-0000EB510000}"/>
    <cellStyle name="_Row7_Mis24_EC ML 3" xfId="20981" xr:uid="{00000000-0005-0000-0000-0000EC510000}"/>
    <cellStyle name="_Row7_Mis24_EC USD" xfId="20982" xr:uid="{00000000-0005-0000-0000-0000ED510000}"/>
    <cellStyle name="_Row7_Mis24_EC USD 2" xfId="20983" xr:uid="{00000000-0005-0000-0000-0000EE510000}"/>
    <cellStyle name="_Row7_Mis24_EC USD 2 2" xfId="20984" xr:uid="{00000000-0005-0000-0000-0000EF510000}"/>
    <cellStyle name="_Row7_Mis24_EC USD 3" xfId="20985" xr:uid="{00000000-0005-0000-0000-0000F0510000}"/>
    <cellStyle name="_Row7_Mis24_fx" xfId="20986" xr:uid="{00000000-0005-0000-0000-0000F1510000}"/>
    <cellStyle name="_Row7_Mis24_fx 2" xfId="20987" xr:uid="{00000000-0005-0000-0000-0000F2510000}"/>
    <cellStyle name="_Row7_Mis24_fx 2 2" xfId="20988" xr:uid="{00000000-0005-0000-0000-0000F3510000}"/>
    <cellStyle name="_Row7_Mis24_fx 3" xfId="20989" xr:uid="{00000000-0005-0000-0000-0000F4510000}"/>
    <cellStyle name="_Row7_Mis24_PE ML" xfId="20990" xr:uid="{00000000-0005-0000-0000-0000F5510000}"/>
    <cellStyle name="_Row7_Mis24_PE ML 2" xfId="20991" xr:uid="{00000000-0005-0000-0000-0000F6510000}"/>
    <cellStyle name="_Row7_Mis24_PE ML 2 2" xfId="20992" xr:uid="{00000000-0005-0000-0000-0000F7510000}"/>
    <cellStyle name="_Row7_Mis24_PE ML 3" xfId="20993" xr:uid="{00000000-0005-0000-0000-0000F8510000}"/>
    <cellStyle name="_Row7_Mis24_PE USD" xfId="20994" xr:uid="{00000000-0005-0000-0000-0000F9510000}"/>
    <cellStyle name="_Row7_Mis24_PE USD 2" xfId="20995" xr:uid="{00000000-0005-0000-0000-0000FA510000}"/>
    <cellStyle name="_Row7_Mis24_PE USD 2 2" xfId="20996" xr:uid="{00000000-0005-0000-0000-0000FB510000}"/>
    <cellStyle name="_Row7_Mis24_PE USD 3" xfId="20997" xr:uid="{00000000-0005-0000-0000-0000FC510000}"/>
    <cellStyle name="_Row7_Mis24_RD ML" xfId="20998" xr:uid="{00000000-0005-0000-0000-0000FD510000}"/>
    <cellStyle name="_Row7_Mis24_RD ML 2" xfId="20999" xr:uid="{00000000-0005-0000-0000-0000FE510000}"/>
    <cellStyle name="_Row7_Mis24_RD ML 2 2" xfId="21000" xr:uid="{00000000-0005-0000-0000-0000FF510000}"/>
    <cellStyle name="_Row7_Mis24_RD ML 3" xfId="21001" xr:uid="{00000000-0005-0000-0000-000000520000}"/>
    <cellStyle name="_Row7_Mis24_RD USD" xfId="21002" xr:uid="{00000000-0005-0000-0000-000001520000}"/>
    <cellStyle name="_Row7_Mis24_RD USD 2" xfId="21003" xr:uid="{00000000-0005-0000-0000-000002520000}"/>
    <cellStyle name="_Row7_Mis24_RD USD 2 2" xfId="21004" xr:uid="{00000000-0005-0000-0000-000003520000}"/>
    <cellStyle name="_Row7_Mis24_RD USD 3" xfId="21005" xr:uid="{00000000-0005-0000-0000-000004520000}"/>
    <cellStyle name="_Row7_Mis24_Simulador Precio VE 2009" xfId="21006" xr:uid="{00000000-0005-0000-0000-000005520000}"/>
    <cellStyle name="_Row7_Mis24_Simulador Precio VE 2009 2" xfId="21007" xr:uid="{00000000-0005-0000-0000-000006520000}"/>
    <cellStyle name="_Row7_Mis24_Simulador Precio VE 2009 2 2" xfId="21008" xr:uid="{00000000-0005-0000-0000-000007520000}"/>
    <cellStyle name="_Row7_Mis24_Simulador Precio VE 2009 3" xfId="21009" xr:uid="{00000000-0005-0000-0000-000008520000}"/>
    <cellStyle name="_Row7_Mis24_Simulador Precio VE 2009_CA ML" xfId="21010" xr:uid="{00000000-0005-0000-0000-000009520000}"/>
    <cellStyle name="_Row7_Mis24_Simulador Precio VE 2009_CA ML 2" xfId="21011" xr:uid="{00000000-0005-0000-0000-00000A520000}"/>
    <cellStyle name="_Row7_Mis24_Simulador Precio VE 2009_CA ML 2 2" xfId="21012" xr:uid="{00000000-0005-0000-0000-00000B520000}"/>
    <cellStyle name="_Row7_Mis24_Simulador Precio VE 2009_CA ML 3" xfId="21013" xr:uid="{00000000-0005-0000-0000-00000C520000}"/>
    <cellStyle name="_Row7_Mis24_Simulador Precio VE 2009_CA USD" xfId="21014" xr:uid="{00000000-0005-0000-0000-00000D520000}"/>
    <cellStyle name="_Row7_Mis24_Simulador Precio VE 2009_CA USD 2" xfId="21015" xr:uid="{00000000-0005-0000-0000-00000E520000}"/>
    <cellStyle name="_Row7_Mis24_Simulador Precio VE 2009_CA USD 2 2" xfId="21016" xr:uid="{00000000-0005-0000-0000-00000F520000}"/>
    <cellStyle name="_Row7_Mis24_Simulador Precio VE 2009_CA USD 3" xfId="21017" xr:uid="{00000000-0005-0000-0000-000010520000}"/>
    <cellStyle name="_Row7_Mis24_Simulador Precio VE 2009_EC ML" xfId="21018" xr:uid="{00000000-0005-0000-0000-000011520000}"/>
    <cellStyle name="_Row7_Mis24_Simulador Precio VE 2009_EC ML 2" xfId="21019" xr:uid="{00000000-0005-0000-0000-000012520000}"/>
    <cellStyle name="_Row7_Mis24_Simulador Precio VE 2009_EC ML 2 2" xfId="21020" xr:uid="{00000000-0005-0000-0000-000013520000}"/>
    <cellStyle name="_Row7_Mis24_Simulador Precio VE 2009_EC ML 3" xfId="21021" xr:uid="{00000000-0005-0000-0000-000014520000}"/>
    <cellStyle name="_Row7_Mis24_Simulador Precio VE 2009_EC USD" xfId="21022" xr:uid="{00000000-0005-0000-0000-000015520000}"/>
    <cellStyle name="_Row7_Mis24_Simulador Precio VE 2009_EC USD 2" xfId="21023" xr:uid="{00000000-0005-0000-0000-000016520000}"/>
    <cellStyle name="_Row7_Mis24_Simulador Precio VE 2009_EC USD 2 2" xfId="21024" xr:uid="{00000000-0005-0000-0000-000017520000}"/>
    <cellStyle name="_Row7_Mis24_Simulador Precio VE 2009_EC USD 3" xfId="21025" xr:uid="{00000000-0005-0000-0000-000018520000}"/>
    <cellStyle name="_Row7_Mis24_Simulador Precio VE 2009_fx" xfId="21026" xr:uid="{00000000-0005-0000-0000-000019520000}"/>
    <cellStyle name="_Row7_Mis24_Simulador Precio VE 2009_fx 2" xfId="21027" xr:uid="{00000000-0005-0000-0000-00001A520000}"/>
    <cellStyle name="_Row7_Mis24_Simulador Precio VE 2009_fx 2 2" xfId="21028" xr:uid="{00000000-0005-0000-0000-00001B520000}"/>
    <cellStyle name="_Row7_Mis24_Simulador Precio VE 2009_fx 3" xfId="21029" xr:uid="{00000000-0005-0000-0000-00001C520000}"/>
    <cellStyle name="_Row7_Mis24_Simulador Precio VE 2009_PE ML" xfId="21030" xr:uid="{00000000-0005-0000-0000-00001D520000}"/>
    <cellStyle name="_Row7_Mis24_Simulador Precio VE 2009_PE ML 2" xfId="21031" xr:uid="{00000000-0005-0000-0000-00001E520000}"/>
    <cellStyle name="_Row7_Mis24_Simulador Precio VE 2009_PE ML 2 2" xfId="21032" xr:uid="{00000000-0005-0000-0000-00001F520000}"/>
    <cellStyle name="_Row7_Mis24_Simulador Precio VE 2009_PE ML 3" xfId="21033" xr:uid="{00000000-0005-0000-0000-000020520000}"/>
    <cellStyle name="_Row7_Mis24_Simulador Precio VE 2009_PE USD" xfId="21034" xr:uid="{00000000-0005-0000-0000-000021520000}"/>
    <cellStyle name="_Row7_Mis24_Simulador Precio VE 2009_PE USD 2" xfId="21035" xr:uid="{00000000-0005-0000-0000-000022520000}"/>
    <cellStyle name="_Row7_Mis24_Simulador Precio VE 2009_PE USD 2 2" xfId="21036" xr:uid="{00000000-0005-0000-0000-000023520000}"/>
    <cellStyle name="_Row7_Mis24_Simulador Precio VE 2009_PE USD 3" xfId="21037" xr:uid="{00000000-0005-0000-0000-000024520000}"/>
    <cellStyle name="_Row7_Mis24_Simulador Precio VE 2009_RD ML" xfId="21038" xr:uid="{00000000-0005-0000-0000-000025520000}"/>
    <cellStyle name="_Row7_Mis24_Simulador Precio VE 2009_RD ML 2" xfId="21039" xr:uid="{00000000-0005-0000-0000-000026520000}"/>
    <cellStyle name="_Row7_Mis24_Simulador Precio VE 2009_RD ML 2 2" xfId="21040" xr:uid="{00000000-0005-0000-0000-000027520000}"/>
    <cellStyle name="_Row7_Mis24_Simulador Precio VE 2009_RD ML 3" xfId="21041" xr:uid="{00000000-0005-0000-0000-000028520000}"/>
    <cellStyle name="_Row7_Mis24_Simulador Precio VE 2009_RD USD" xfId="21042" xr:uid="{00000000-0005-0000-0000-000029520000}"/>
    <cellStyle name="_Row7_Mis24_Simulador Precio VE 2009_RD USD 2" xfId="21043" xr:uid="{00000000-0005-0000-0000-00002A520000}"/>
    <cellStyle name="_Row7_Mis24_Simulador Precio VE 2009_RD USD 2 2" xfId="21044" xr:uid="{00000000-0005-0000-0000-00002B520000}"/>
    <cellStyle name="_Row7_Mis24_Simulador Precio VE 2009_RD USD 3" xfId="21045" xr:uid="{00000000-0005-0000-0000-00002C520000}"/>
    <cellStyle name="_Row7_MIS3" xfId="21046" xr:uid="{00000000-0005-0000-0000-00002D520000}"/>
    <cellStyle name="_Row7_MIS3 2" xfId="21047" xr:uid="{00000000-0005-0000-0000-00002E520000}"/>
    <cellStyle name="_Row7_MIS3 2 2" xfId="21048" xr:uid="{00000000-0005-0000-0000-00002F520000}"/>
    <cellStyle name="_Row7_MIS3 2 2 2" xfId="21049" xr:uid="{00000000-0005-0000-0000-000030520000}"/>
    <cellStyle name="_Row7_MIS3 2 3" xfId="21050" xr:uid="{00000000-0005-0000-0000-000031520000}"/>
    <cellStyle name="_Row7_MIS3 2 3 2" xfId="21051" xr:uid="{00000000-0005-0000-0000-000032520000}"/>
    <cellStyle name="_Row7_MIS3 2 3 3" xfId="21052" xr:uid="{00000000-0005-0000-0000-000033520000}"/>
    <cellStyle name="_Row7_MIS3 2 4" xfId="21053" xr:uid="{00000000-0005-0000-0000-000034520000}"/>
    <cellStyle name="_Row7_MIS3 2 5" xfId="21054" xr:uid="{00000000-0005-0000-0000-000035520000}"/>
    <cellStyle name="_Row7_MIS3 3" xfId="21055" xr:uid="{00000000-0005-0000-0000-000036520000}"/>
    <cellStyle name="_Row7_MIS3 3 2" xfId="21056" xr:uid="{00000000-0005-0000-0000-000037520000}"/>
    <cellStyle name="_Row7_MIS3 3 2 2" xfId="21057" xr:uid="{00000000-0005-0000-0000-000038520000}"/>
    <cellStyle name="_Row7_MIS3 3 2 3" xfId="21058" xr:uid="{00000000-0005-0000-0000-000039520000}"/>
    <cellStyle name="_Row7_MIS3 3 3" xfId="21059" xr:uid="{00000000-0005-0000-0000-00003A520000}"/>
    <cellStyle name="_Row7_MIS3 4" xfId="21060" xr:uid="{00000000-0005-0000-0000-00003B520000}"/>
    <cellStyle name="_Row7_MIS3 4 2" xfId="21061" xr:uid="{00000000-0005-0000-0000-00003C520000}"/>
    <cellStyle name="_Row7_MIS3 4 3" xfId="21062" xr:uid="{00000000-0005-0000-0000-00003D520000}"/>
    <cellStyle name="_Row7_MIS3 5" xfId="21063" xr:uid="{00000000-0005-0000-0000-00003E520000}"/>
    <cellStyle name="_Row7_MIS3 6" xfId="21064" xr:uid="{00000000-0005-0000-0000-00003F520000}"/>
    <cellStyle name="_Row7_PE ML" xfId="21065" xr:uid="{00000000-0005-0000-0000-000040520000}"/>
    <cellStyle name="_Row7_PE ML 2" xfId="21066" xr:uid="{00000000-0005-0000-0000-000041520000}"/>
    <cellStyle name="_Row7_PE ML 2 2" xfId="21067" xr:uid="{00000000-0005-0000-0000-000042520000}"/>
    <cellStyle name="_Row7_PE ML 3" xfId="21068" xr:uid="{00000000-0005-0000-0000-000043520000}"/>
    <cellStyle name="_Row7_PE USD" xfId="21069" xr:uid="{00000000-0005-0000-0000-000044520000}"/>
    <cellStyle name="_Row7_PE USD 2" xfId="21070" xr:uid="{00000000-0005-0000-0000-000045520000}"/>
    <cellStyle name="_Row7_PE USD 2 2" xfId="21071" xr:uid="{00000000-0005-0000-0000-000046520000}"/>
    <cellStyle name="_Row7_PE USD 3" xfId="21072" xr:uid="{00000000-0005-0000-0000-000047520000}"/>
    <cellStyle name="_Row7_RD ML" xfId="21073" xr:uid="{00000000-0005-0000-0000-000048520000}"/>
    <cellStyle name="_Row7_RD ML 2" xfId="21074" xr:uid="{00000000-0005-0000-0000-000049520000}"/>
    <cellStyle name="_Row7_RD ML 2 2" xfId="21075" xr:uid="{00000000-0005-0000-0000-00004A520000}"/>
    <cellStyle name="_Row7_RD ML 3" xfId="21076" xr:uid="{00000000-0005-0000-0000-00004B520000}"/>
    <cellStyle name="_Row7_RD USD" xfId="21077" xr:uid="{00000000-0005-0000-0000-00004C520000}"/>
    <cellStyle name="_Row7_RD USD 2" xfId="21078" xr:uid="{00000000-0005-0000-0000-00004D520000}"/>
    <cellStyle name="_Row7_RD USD 2 2" xfId="21079" xr:uid="{00000000-0005-0000-0000-00004E520000}"/>
    <cellStyle name="_Row7_RD USD 3" xfId="21080" xr:uid="{00000000-0005-0000-0000-00004F520000}"/>
    <cellStyle name="_Row7_Simulador Precio VE 2009" xfId="21081" xr:uid="{00000000-0005-0000-0000-000050520000}"/>
    <cellStyle name="_Row7_Simulador Precio VE 2009 2" xfId="21082" xr:uid="{00000000-0005-0000-0000-000051520000}"/>
    <cellStyle name="_Row7_Simulador Precio VE 2009 2 2" xfId="21083" xr:uid="{00000000-0005-0000-0000-000052520000}"/>
    <cellStyle name="_Row7_Simulador Precio VE 2009 3" xfId="21084" xr:uid="{00000000-0005-0000-0000-000053520000}"/>
    <cellStyle name="_Row7_Simulador Precio VE 2009_CA ML" xfId="21085" xr:uid="{00000000-0005-0000-0000-000054520000}"/>
    <cellStyle name="_Row7_Simulador Precio VE 2009_CA ML 2" xfId="21086" xr:uid="{00000000-0005-0000-0000-000055520000}"/>
    <cellStyle name="_Row7_Simulador Precio VE 2009_CA ML 2 2" xfId="21087" xr:uid="{00000000-0005-0000-0000-000056520000}"/>
    <cellStyle name="_Row7_Simulador Precio VE 2009_CA ML 3" xfId="21088" xr:uid="{00000000-0005-0000-0000-000057520000}"/>
    <cellStyle name="_Row7_Simulador Precio VE 2009_CA USD" xfId="21089" xr:uid="{00000000-0005-0000-0000-000058520000}"/>
    <cellStyle name="_Row7_Simulador Precio VE 2009_CA USD 2" xfId="21090" xr:uid="{00000000-0005-0000-0000-000059520000}"/>
    <cellStyle name="_Row7_Simulador Precio VE 2009_CA USD 2 2" xfId="21091" xr:uid="{00000000-0005-0000-0000-00005A520000}"/>
    <cellStyle name="_Row7_Simulador Precio VE 2009_CA USD 3" xfId="21092" xr:uid="{00000000-0005-0000-0000-00005B520000}"/>
    <cellStyle name="_Row7_Simulador Precio VE 2009_EC ML" xfId="21093" xr:uid="{00000000-0005-0000-0000-00005C520000}"/>
    <cellStyle name="_Row7_Simulador Precio VE 2009_EC ML 2" xfId="21094" xr:uid="{00000000-0005-0000-0000-00005D520000}"/>
    <cellStyle name="_Row7_Simulador Precio VE 2009_EC ML 2 2" xfId="21095" xr:uid="{00000000-0005-0000-0000-00005E520000}"/>
    <cellStyle name="_Row7_Simulador Precio VE 2009_EC ML 3" xfId="21096" xr:uid="{00000000-0005-0000-0000-00005F520000}"/>
    <cellStyle name="_Row7_Simulador Precio VE 2009_EC USD" xfId="21097" xr:uid="{00000000-0005-0000-0000-000060520000}"/>
    <cellStyle name="_Row7_Simulador Precio VE 2009_EC USD 2" xfId="21098" xr:uid="{00000000-0005-0000-0000-000061520000}"/>
    <cellStyle name="_Row7_Simulador Precio VE 2009_EC USD 2 2" xfId="21099" xr:uid="{00000000-0005-0000-0000-000062520000}"/>
    <cellStyle name="_Row7_Simulador Precio VE 2009_EC USD 3" xfId="21100" xr:uid="{00000000-0005-0000-0000-000063520000}"/>
    <cellStyle name="_Row7_Simulador Precio VE 2009_fx" xfId="21101" xr:uid="{00000000-0005-0000-0000-000064520000}"/>
    <cellStyle name="_Row7_Simulador Precio VE 2009_fx 2" xfId="21102" xr:uid="{00000000-0005-0000-0000-000065520000}"/>
    <cellStyle name="_Row7_Simulador Precio VE 2009_fx 2 2" xfId="21103" xr:uid="{00000000-0005-0000-0000-000066520000}"/>
    <cellStyle name="_Row7_Simulador Precio VE 2009_fx 3" xfId="21104" xr:uid="{00000000-0005-0000-0000-000067520000}"/>
    <cellStyle name="_Row7_Simulador Precio VE 2009_PE ML" xfId="21105" xr:uid="{00000000-0005-0000-0000-000068520000}"/>
    <cellStyle name="_Row7_Simulador Precio VE 2009_PE ML 2" xfId="21106" xr:uid="{00000000-0005-0000-0000-000069520000}"/>
    <cellStyle name="_Row7_Simulador Precio VE 2009_PE ML 2 2" xfId="21107" xr:uid="{00000000-0005-0000-0000-00006A520000}"/>
    <cellStyle name="_Row7_Simulador Precio VE 2009_PE ML 3" xfId="21108" xr:uid="{00000000-0005-0000-0000-00006B520000}"/>
    <cellStyle name="_Row7_Simulador Precio VE 2009_PE USD" xfId="21109" xr:uid="{00000000-0005-0000-0000-00006C520000}"/>
    <cellStyle name="_Row7_Simulador Precio VE 2009_PE USD 2" xfId="21110" xr:uid="{00000000-0005-0000-0000-00006D520000}"/>
    <cellStyle name="_Row7_Simulador Precio VE 2009_PE USD 2 2" xfId="21111" xr:uid="{00000000-0005-0000-0000-00006E520000}"/>
    <cellStyle name="_Row7_Simulador Precio VE 2009_PE USD 3" xfId="21112" xr:uid="{00000000-0005-0000-0000-00006F520000}"/>
    <cellStyle name="_Row7_Simulador Precio VE 2009_RD ML" xfId="21113" xr:uid="{00000000-0005-0000-0000-000070520000}"/>
    <cellStyle name="_Row7_Simulador Precio VE 2009_RD ML 2" xfId="21114" xr:uid="{00000000-0005-0000-0000-000071520000}"/>
    <cellStyle name="_Row7_Simulador Precio VE 2009_RD ML 2 2" xfId="21115" xr:uid="{00000000-0005-0000-0000-000072520000}"/>
    <cellStyle name="_Row7_Simulador Precio VE 2009_RD ML 3" xfId="21116" xr:uid="{00000000-0005-0000-0000-000073520000}"/>
    <cellStyle name="_Row7_Simulador Precio VE 2009_RD USD" xfId="21117" xr:uid="{00000000-0005-0000-0000-000074520000}"/>
    <cellStyle name="_Row7_Simulador Precio VE 2009_RD USD 2" xfId="21118" xr:uid="{00000000-0005-0000-0000-000075520000}"/>
    <cellStyle name="_Row7_Simulador Precio VE 2009_RD USD 2 2" xfId="21119" xr:uid="{00000000-0005-0000-0000-000076520000}"/>
    <cellStyle name="_Row7_Simulador Precio VE 2009_RD USD 3" xfId="21120" xr:uid="{00000000-0005-0000-0000-000077520000}"/>
    <cellStyle name="_Row7_Strategic Diagnostic Templates Technik" xfId="21121" xr:uid="{00000000-0005-0000-0000-000078520000}"/>
    <cellStyle name="_Row7_Strategic Diagnostic Templates Technik 2" xfId="21122" xr:uid="{00000000-0005-0000-0000-000079520000}"/>
    <cellStyle name="_Row7_Strategic Diagnostic Templates Technik 2 2" xfId="21123" xr:uid="{00000000-0005-0000-0000-00007A520000}"/>
    <cellStyle name="_Row7_Strategic Diagnostic Templates Technik 3" xfId="21124" xr:uid="{00000000-0005-0000-0000-00007B520000}"/>
    <cellStyle name="_Row7_Strategic Diagnostic Templates Technik_KST_KSTArt_Bericht" xfId="21125" xr:uid="{00000000-0005-0000-0000-00007C520000}"/>
    <cellStyle name="_Row7_Strategic Diagnostic Templates Technik_KST_KSTArt_Bericht 2" xfId="21126" xr:uid="{00000000-0005-0000-0000-00007D520000}"/>
    <cellStyle name="_Row7_Strategic Diagnostic Templates Technik_KST_KSTArt_Bericht 2 2" xfId="21127" xr:uid="{00000000-0005-0000-0000-00007E520000}"/>
    <cellStyle name="_Row7_Strategic Diagnostic Templates Technik_KST_KSTArt_Bericht 2 2 2" xfId="21128" xr:uid="{00000000-0005-0000-0000-00007F520000}"/>
    <cellStyle name="_Row7_Strategic Diagnostic Templates Technik_KST_KSTArt_Bericht 2 3" xfId="21129" xr:uid="{00000000-0005-0000-0000-000080520000}"/>
    <cellStyle name="_Row7_Strategic Diagnostic Templates Technik_KST_KSTArt_Bericht 3" xfId="21130" xr:uid="{00000000-0005-0000-0000-000081520000}"/>
    <cellStyle name="_Row7_Strategic Diagnostic Templates Technik_KST_KSTArt_Bericht 3 2" xfId="21131" xr:uid="{00000000-0005-0000-0000-000082520000}"/>
    <cellStyle name="_Row7_Strategic Diagnostic Templates Technik_KST_KSTArt_Bericht 4" xfId="21132" xr:uid="{00000000-0005-0000-0000-000083520000}"/>
    <cellStyle name="_Row7_Strategic Diagnostic Templates Technik_KST_KSTArt_Bericht_010808 Market Programs  for Budget Deck" xfId="21133" xr:uid="{00000000-0005-0000-0000-000084520000}"/>
    <cellStyle name="_Row7_Strategic Diagnostic Templates Technik_KST_KSTArt_Bericht_010808 Market Programs  for Budget Deck 2" xfId="21134" xr:uid="{00000000-0005-0000-0000-000085520000}"/>
    <cellStyle name="_Row7_Strategic Diagnostic Templates Technik_KST_KSTArt_Bericht_010808 Market Programs  for Budget Deck 2 2" xfId="21135" xr:uid="{00000000-0005-0000-0000-000086520000}"/>
    <cellStyle name="_Row7_Strategic Diagnostic Templates Technik_KST_KSTArt_Bericht_010808 Market Programs  for Budget Deck 3" xfId="21136" xr:uid="{00000000-0005-0000-0000-000087520000}"/>
    <cellStyle name="_Row7_Strategic Diagnostic Templates Technik_KST_KSTArt_Bericht_0908 Gabarito exchange rate" xfId="21137" xr:uid="{00000000-0005-0000-0000-000088520000}"/>
    <cellStyle name="_Row7_Strategic Diagnostic Templates Technik_KST_KSTArt_Bericht_0908 Gabarito exchange rate 2" xfId="21138" xr:uid="{00000000-0005-0000-0000-000089520000}"/>
    <cellStyle name="_Row7_Strategic Diagnostic Templates Technik_KST_KSTArt_Bericht_0908 Gabarito exchange rate 2 2" xfId="21139" xr:uid="{00000000-0005-0000-0000-00008A520000}"/>
    <cellStyle name="_Row7_Strategic Diagnostic Templates Technik_KST_KSTArt_Bericht_0908 Gabarito exchange rate 3" xfId="21140" xr:uid="{00000000-0005-0000-0000-00008B520000}"/>
    <cellStyle name="_Row7_Strategic Diagnostic Templates Technik_KST_KSTArt_Bericht_BGT 08 Templates Sales  Marketing - final (revised)" xfId="21141" xr:uid="{00000000-0005-0000-0000-00008C520000}"/>
    <cellStyle name="_Row7_Strategic Diagnostic Templates Technik_KST_KSTArt_Bericht_BGT 08 Templates Sales  Marketing - final (revised) 2" xfId="21142" xr:uid="{00000000-0005-0000-0000-00008D520000}"/>
    <cellStyle name="_Row7_Strategic Diagnostic Templates Technik_KST_KSTArt_Bericht_BGT 08 Templates Sales  Marketing - final (revised) 2 2" xfId="21143" xr:uid="{00000000-0005-0000-0000-00008E520000}"/>
    <cellStyle name="_Row7_Strategic Diagnostic Templates Technik_KST_KSTArt_Bericht_BGT 08 Templates Sales  Marketing - final (revised) 3" xfId="21144" xr:uid="{00000000-0005-0000-0000-00008F520000}"/>
    <cellStyle name="_Row7_Strategic Diagnostic Templates Technik_KST_KSTArt_Bericht_Book5" xfId="21145" xr:uid="{00000000-0005-0000-0000-000090520000}"/>
    <cellStyle name="_Row7_Strategic Diagnostic Templates Technik_KST_KSTArt_Bericht_Book5 2" xfId="21146" xr:uid="{00000000-0005-0000-0000-000091520000}"/>
    <cellStyle name="_Row7_Strategic Diagnostic Templates Technik_KST_KSTArt_Bericht_Book5 2 2" xfId="21147" xr:uid="{00000000-0005-0000-0000-000092520000}"/>
    <cellStyle name="_Row7_Strategic Diagnostic Templates Technik_KST_KSTArt_Bericht_Book5 3" xfId="21148" xr:uid="{00000000-0005-0000-0000-000093520000}"/>
    <cellStyle name="_Row7_Strategic Diagnostic Templates Technik_KST_KSTArt_Bericht_Bplan RD 1001" xfId="21149" xr:uid="{00000000-0005-0000-0000-000094520000}"/>
    <cellStyle name="_Row7_Strategic Diagnostic Templates Technik_KST_KSTArt_Bericht_Bplan RD 1001 2" xfId="21150" xr:uid="{00000000-0005-0000-0000-000095520000}"/>
    <cellStyle name="_Row7_Strategic Diagnostic Templates Technik_KST_KSTArt_Bericht_Bplan RD 1001 2 2" xfId="21151" xr:uid="{00000000-0005-0000-0000-000096520000}"/>
    <cellStyle name="_Row7_Strategic Diagnostic Templates Technik_KST_KSTArt_Bericht_Bplan RD 1001 3" xfId="21152" xr:uid="{00000000-0005-0000-0000-000097520000}"/>
    <cellStyle name="_Row7_Strategic Diagnostic Templates Technik_KST_KSTArt_Bericht_Copy of BGT 08 Templates Sales  Marketing - final (revised)" xfId="21153" xr:uid="{00000000-0005-0000-0000-000098520000}"/>
    <cellStyle name="_Row7_Strategic Diagnostic Templates Technik_KST_KSTArt_Bericht_Copy of BGT 08 Templates Sales  Marketing - final (revised) 2" xfId="21154" xr:uid="{00000000-0005-0000-0000-000099520000}"/>
    <cellStyle name="_Row7_Strategic Diagnostic Templates Technik_KST_KSTArt_Bericht_Copy of BGT 08 Templates Sales  Marketing - final (revised) 2 2" xfId="21155" xr:uid="{00000000-0005-0000-0000-00009A520000}"/>
    <cellStyle name="_Row7_Strategic Diagnostic Templates Technik_KST_KSTArt_Bericht_Copy of BGT 08 Templates Sales  Marketing - final (revised) 3" xfId="21156" xr:uid="{00000000-0005-0000-0000-00009B520000}"/>
    <cellStyle name="_Row7_Strategic Diagnostic Templates Technik_KST_KSTArt_Bericht_Excel sheets to support Market Program Template for Budget 09" xfId="21157" xr:uid="{00000000-0005-0000-0000-00009C520000}"/>
    <cellStyle name="_Row7_Strategic Diagnostic Templates Technik_KST_KSTArt_Bericht_Excel sheets to support Market Program Template for Budget 09 (5) (2)" xfId="21158" xr:uid="{00000000-0005-0000-0000-00009D520000}"/>
    <cellStyle name="_Row7_Strategic Diagnostic Templates Technik_KST_KSTArt_Bericht_Excel sheets to support Market Program Template for Budget 09 (5) (2) 2" xfId="21159" xr:uid="{00000000-0005-0000-0000-00009E520000}"/>
    <cellStyle name="_Row7_Strategic Diagnostic Templates Technik_KST_KSTArt_Bericht_Excel sheets to support Market Program Template for Budget 09 (5) (2) 2 2" xfId="21160" xr:uid="{00000000-0005-0000-0000-00009F520000}"/>
    <cellStyle name="_Row7_Strategic Diagnostic Templates Technik_KST_KSTArt_Bericht_Excel sheets to support Market Program Template for Budget 09 (5) (2) 3" xfId="21161" xr:uid="{00000000-0005-0000-0000-0000A0520000}"/>
    <cellStyle name="_Row7_Strategic Diagnostic Templates Technik_KST_KSTArt_Bericht_Excel sheets to support Market Program Template for Budget 09 (5) (3)" xfId="21162" xr:uid="{00000000-0005-0000-0000-0000A1520000}"/>
    <cellStyle name="_Row7_Strategic Diagnostic Templates Technik_KST_KSTArt_Bericht_Excel sheets to support Market Program Template for Budget 09 (5) (3) 2" xfId="21163" xr:uid="{00000000-0005-0000-0000-0000A2520000}"/>
    <cellStyle name="_Row7_Strategic Diagnostic Templates Technik_KST_KSTArt_Bericht_Excel sheets to support Market Program Template for Budget 09 (5) (3) 2 2" xfId="21164" xr:uid="{00000000-0005-0000-0000-0000A3520000}"/>
    <cellStyle name="_Row7_Strategic Diagnostic Templates Technik_KST_KSTArt_Bericht_Excel sheets to support Market Program Template for Budget 09 (5) (3) 3" xfId="21165" xr:uid="{00000000-0005-0000-0000-0000A4520000}"/>
    <cellStyle name="_Row7_Strategic Diagnostic Templates Technik_KST_KSTArt_Bericht_Excel sheets to support Market Program Template for Budget 09 2" xfId="21166" xr:uid="{00000000-0005-0000-0000-0000A5520000}"/>
    <cellStyle name="_Row7_Strategic Diagnostic Templates Technik_KST_KSTArt_Bericht_Excel sheets to support Market Program Template for Budget 09 2 2" xfId="21167" xr:uid="{00000000-0005-0000-0000-0000A6520000}"/>
    <cellStyle name="_Row7_Strategic Diagnostic Templates Technik_KST_KSTArt_Bericht_Excel sheets to support Market Program Template for Budget 09 3" xfId="21168" xr:uid="{00000000-0005-0000-0000-0000A7520000}"/>
    <cellStyle name="_Row7_Strategic Diagnostic Templates Technik_KST_KSTArt_Bericht_Excel sheets to support Market Program Template for Budget 09 3 2" xfId="21169" xr:uid="{00000000-0005-0000-0000-0000A8520000}"/>
    <cellStyle name="_Row7_Strategic Diagnostic Templates Technik_KST_KSTArt_Bericht_Excel sheets to support Market Program Template for Budget 09 4" xfId="21170" xr:uid="{00000000-0005-0000-0000-0000A9520000}"/>
    <cellStyle name="_Row7_Strategic Diagnostic Templates Technik_KST_KSTArt_Bericht_Excel sheets to support Market Program Template for Budget 09 5" xfId="21171" xr:uid="{00000000-0005-0000-0000-0000AA520000}"/>
    <cellStyle name="_Row7_Strategic Diagnostic Templates Technik_KST_KSTArt_Bericht_LE Ebitda RD Feb-10 v2" xfId="21172" xr:uid="{00000000-0005-0000-0000-0000AB520000}"/>
    <cellStyle name="_Row7_Strategic Diagnostic Templates Technik_KST_KSTArt_Bericht_LE Ebitda RD Feb-10 v2 2" xfId="21173" xr:uid="{00000000-0005-0000-0000-0000AC520000}"/>
    <cellStyle name="_Row7_Strategic Diagnostic Templates Technik_KST_KSTArt_Bericht_LE Ebitda RD Feb-10 v2 2 2" xfId="21174" xr:uid="{00000000-0005-0000-0000-0000AD520000}"/>
    <cellStyle name="_Row7_Strategic Diagnostic Templates Technik_KST_KSTArt_Bericht_LE Ebitda RD Feb-10 v2 3" xfId="21175" xr:uid="{00000000-0005-0000-0000-0000AE520000}"/>
    <cellStyle name="_Row7_Strategic Diagnostic Templates Technik_KST_KSTArt_Bericht_People Package" xfId="21176" xr:uid="{00000000-0005-0000-0000-0000AF520000}"/>
    <cellStyle name="_Row7_Strategic Diagnostic Templates Technik_KST_KSTArt_Bericht_People Package (2)" xfId="21177" xr:uid="{00000000-0005-0000-0000-0000B0520000}"/>
    <cellStyle name="_Row7_Strategic Diagnostic Templates Technik_KST_KSTArt_Bericht_People Package (2) 2" xfId="21178" xr:uid="{00000000-0005-0000-0000-0000B1520000}"/>
    <cellStyle name="_Row7_Strategic Diagnostic Templates Technik_KST_KSTArt_Bericht_People Package (2) 2 2" xfId="21179" xr:uid="{00000000-0005-0000-0000-0000B2520000}"/>
    <cellStyle name="_Row7_Strategic Diagnostic Templates Technik_KST_KSTArt_Bericht_People Package (2) 3" xfId="21180" xr:uid="{00000000-0005-0000-0000-0000B3520000}"/>
    <cellStyle name="_Row7_Strategic Diagnostic Templates Technik_KST_KSTArt_Bericht_People Package 2" xfId="21181" xr:uid="{00000000-0005-0000-0000-0000B4520000}"/>
    <cellStyle name="_Row7_Strategic Diagnostic Templates Technik_KST_KSTArt_Bericht_People Package 2 2" xfId="21182" xr:uid="{00000000-0005-0000-0000-0000B5520000}"/>
    <cellStyle name="_Row7_Strategic Diagnostic Templates Technik_KST_KSTArt_Bericht_People Package 3" xfId="21183" xr:uid="{00000000-0005-0000-0000-0000B6520000}"/>
    <cellStyle name="_Row7_Strategic Diagnostic Templates Technik_KST_KSTArt_Bericht_People Package 3 2" xfId="21184" xr:uid="{00000000-0005-0000-0000-0000B7520000}"/>
    <cellStyle name="_Row7_Strategic Diagnostic Templates Technik_KST_KSTArt_Bericht_People Package 4" xfId="21185" xr:uid="{00000000-0005-0000-0000-0000B8520000}"/>
    <cellStyle name="_Row7_Strategic Diagnostic Templates Technik_KST_KSTArt_Bericht_People Package 5" xfId="21186" xr:uid="{00000000-0005-0000-0000-0000B9520000}"/>
    <cellStyle name="_Row7_Strategic Diagnostic Templates Technik_KST_KSTArt_Bericht_Sales and Marketing - revised" xfId="21187" xr:uid="{00000000-0005-0000-0000-0000BA520000}"/>
    <cellStyle name="_Row7_Strategic Diagnostic Templates Technik_KST_KSTArt_Bericht_Sales and Marketing - revised 2" xfId="21188" xr:uid="{00000000-0005-0000-0000-0000BB520000}"/>
    <cellStyle name="_Row7_Strategic Diagnostic Templates Technik_KST_KSTArt_Bericht_Sales and Marketing - revised 2 2" xfId="21189" xr:uid="{00000000-0005-0000-0000-0000BC520000}"/>
    <cellStyle name="_Row7_Strategic Diagnostic Templates Technik_KST_KSTArt_Bericht_Sales and Marketing - revised 3" xfId="21190" xr:uid="{00000000-0005-0000-0000-0000BD520000}"/>
    <cellStyle name="_Row7_Strategic Diagnostic Templates Technik_KST_KSTArt_Bericht_Sim Ebitda LE 0909 v4" xfId="21191" xr:uid="{00000000-0005-0000-0000-0000BE520000}"/>
    <cellStyle name="_Row7_Strategic Diagnostic Templates Technik_KST_KSTArt_Bericht_Sim Ebitda LE 0909 v4 2" xfId="21192" xr:uid="{00000000-0005-0000-0000-0000BF520000}"/>
    <cellStyle name="_Row7_Strategic Diagnostic Templates Technik_KST_KSTArt_Bericht_Sim Ebitda LE 0909 v4 2 2" xfId="21193" xr:uid="{00000000-0005-0000-0000-0000C0520000}"/>
    <cellStyle name="_Row7_Strategic Diagnostic Templates Technik_KST_KSTArt_Bericht_Sim Ebitda LE 0909 v4 3" xfId="21194" xr:uid="{00000000-0005-0000-0000-0000C1520000}"/>
    <cellStyle name="_Row7_Strategic Diagnostic Templates Technik_KST_KSTArt_Bericht_WF Ebitda RD Abr-10" xfId="21195" xr:uid="{00000000-0005-0000-0000-0000C2520000}"/>
    <cellStyle name="_Row7_Strategic Diagnostic Templates Technik_KST_KSTArt_Bericht_WF Ebitda RD Abr-10 2" xfId="21196" xr:uid="{00000000-0005-0000-0000-0000C3520000}"/>
    <cellStyle name="_Row7_Strategic Diagnostic Templates Technik_KST_KSTArt_Bericht_WF Ebitda RD Abr-10 2 2" xfId="21197" xr:uid="{00000000-0005-0000-0000-0000C4520000}"/>
    <cellStyle name="_Row7_Strategic Diagnostic Templates Technik_KST_KSTArt_Bericht_WF Ebitda RD Abr-10 3" xfId="21198" xr:uid="{00000000-0005-0000-0000-0000C5520000}"/>
    <cellStyle name="_Row7_Strategic Diagnostic Templates Technik_KST_KSTArt_Bericht_WF Ebitda Sep09" xfId="21199" xr:uid="{00000000-0005-0000-0000-0000C6520000}"/>
    <cellStyle name="_Row7_Strategic Diagnostic Templates Technik_KST_KSTArt_Bericht_WF Ebitda Sep09 2" xfId="21200" xr:uid="{00000000-0005-0000-0000-0000C7520000}"/>
    <cellStyle name="_Row7_Strategic Diagnostic Templates Technik_KST_KSTArt_Bericht_WF Ebitda Sep09 2 2" xfId="21201" xr:uid="{00000000-0005-0000-0000-0000C8520000}"/>
    <cellStyle name="_Row7_Strategic Diagnostic Templates Technik_KST_KSTArt_Bericht_WF Ebitda Sep09 3" xfId="21202" xr:uid="{00000000-0005-0000-0000-0000C9520000}"/>
    <cellStyle name="_Row7_Strategic Diagnostic Templates Technik_KST_KSTArt_Bericht_ZBB" xfId="21203" xr:uid="{00000000-0005-0000-0000-0000CA520000}"/>
    <cellStyle name="_Row7_Strategic Diagnostic Templates Technik_KST_KSTArt_Bericht_ZBB 2" xfId="21204" xr:uid="{00000000-0005-0000-0000-0000CB520000}"/>
    <cellStyle name="_Row7_Strategic Diagnostic Templates Technik_KST_KSTArt_Bericht_ZBB 2 2" xfId="21205" xr:uid="{00000000-0005-0000-0000-0000CC520000}"/>
    <cellStyle name="_Row7_Strategic Diagnostic Templates Technik_KST_KSTArt_Bericht_ZBB 3" xfId="21206" xr:uid="{00000000-0005-0000-0000-0000CD520000}"/>
    <cellStyle name="_Row7_Strategic Diagnostic Templates Technik_MF Key Performance Indicators" xfId="21207" xr:uid="{00000000-0005-0000-0000-0000CE520000}"/>
    <cellStyle name="_Row7_Strategic Diagnostic Templates Technik_MF Key Performance Indicators 2" xfId="21208" xr:uid="{00000000-0005-0000-0000-0000CF520000}"/>
    <cellStyle name="_Row7_Strategic Diagnostic Templates Technik_MF Key Performance Indicators 2 2" xfId="21209" xr:uid="{00000000-0005-0000-0000-0000D0520000}"/>
    <cellStyle name="_Row7_Strategic Diagnostic Templates Technik_MF Key Performance Indicators 3" xfId="21210" xr:uid="{00000000-0005-0000-0000-0000D1520000}"/>
    <cellStyle name="_Row7_Strategic Diagnostic Templates Technik_MF Key Performance Indicators B.IV.r " xfId="21211" xr:uid="{00000000-0005-0000-0000-0000D2520000}"/>
    <cellStyle name="_Row7_Strategic Diagnostic Templates Technik_MF Key Performance Indicators B.IV.r  2" xfId="21212" xr:uid="{00000000-0005-0000-0000-0000D3520000}"/>
    <cellStyle name="_Row7_Strategic Diagnostic Templates Technik_MF Key Performance Indicators B.IV.r  2 2" xfId="21213" xr:uid="{00000000-0005-0000-0000-0000D4520000}"/>
    <cellStyle name="_Row7_Strategic Diagnostic Templates Technik_MF Key Performance Indicators B.IV.r  3" xfId="21214" xr:uid="{00000000-0005-0000-0000-0000D5520000}"/>
    <cellStyle name="_Row7_Strategic Diagnostic Templates Technik_MF Key Performance Indicators B.IV.r _ZBB Budget 2009 Decks v2 china" xfId="21215" xr:uid="{00000000-0005-0000-0000-0000D6520000}"/>
    <cellStyle name="_Row7_Strategic Diagnostic Templates Technik_MF Key Performance Indicators B.IV.r _ZBB Budget 2009 Decks v2 china 2" xfId="21216" xr:uid="{00000000-0005-0000-0000-0000D7520000}"/>
    <cellStyle name="_Row7_Strategic Diagnostic Templates Technik_MF Key Performance Indicators B.IV.r _ZBB Budget 2009 Decks v2 china 2 2" xfId="21217" xr:uid="{00000000-0005-0000-0000-0000D8520000}"/>
    <cellStyle name="_Row7_Strategic Diagnostic Templates Technik_MF Key Performance Indicators B.IV.r _ZBB Budget 2009 Decks v2 china 3" xfId="21218" xr:uid="{00000000-0005-0000-0000-0000D9520000}"/>
    <cellStyle name="_Row7_Strategic Diagnostic Templates Technik_MF Key Performance Indicators B.IV.r _ZBB standard Template Korea_081105" xfId="21219" xr:uid="{00000000-0005-0000-0000-0000DA520000}"/>
    <cellStyle name="_Row7_Strategic Diagnostic Templates Technik_MF Key Performance Indicators B.IV.r _ZBB standard Template Korea_081105 2" xfId="21220" xr:uid="{00000000-0005-0000-0000-0000DB520000}"/>
    <cellStyle name="_Row7_Strategic Diagnostic Templates Technik_MF Key Performance Indicators B.IV.r _ZBB standard Template Korea_081105 2 2" xfId="21221" xr:uid="{00000000-0005-0000-0000-0000DC520000}"/>
    <cellStyle name="_Row7_Strategic Diagnostic Templates Technik_MF Key Performance Indicators B.IV.r _ZBB standard Template Korea_081105 3" xfId="21222" xr:uid="{00000000-0005-0000-0000-0000DD520000}"/>
    <cellStyle name="_Row7_Strategic Diagnostic Templates Technik_MF Key Performance Indicators B.IV.r Abfüllung" xfId="21223" xr:uid="{00000000-0005-0000-0000-0000DE520000}"/>
    <cellStyle name="_Row7_Strategic Diagnostic Templates Technik_MF Key Performance Indicators B.IV.r Abfüllung 2" xfId="21224" xr:uid="{00000000-0005-0000-0000-0000DF520000}"/>
    <cellStyle name="_Row7_Strategic Diagnostic Templates Technik_MF Key Performance Indicators B.IV.r Abfüllung 2 2" xfId="21225" xr:uid="{00000000-0005-0000-0000-0000E0520000}"/>
    <cellStyle name="_Row7_Strategic Diagnostic Templates Technik_MF Key Performance Indicators B.IV.r Abfüllung 3" xfId="21226" xr:uid="{00000000-0005-0000-0000-0000E1520000}"/>
    <cellStyle name="_Row7_Strategic Diagnostic Templates Technik_MF Key Performance Indicators B.IV.r Abfüllung_ZBB Budget 2009 Decks v2 china" xfId="21227" xr:uid="{00000000-0005-0000-0000-0000E2520000}"/>
    <cellStyle name="_Row7_Strategic Diagnostic Templates Technik_MF Key Performance Indicators B.IV.r Abfüllung_ZBB Budget 2009 Decks v2 china 2" xfId="21228" xr:uid="{00000000-0005-0000-0000-0000E3520000}"/>
    <cellStyle name="_Row7_Strategic Diagnostic Templates Technik_MF Key Performance Indicators B.IV.r Abfüllung_ZBB Budget 2009 Decks v2 china 2 2" xfId="21229" xr:uid="{00000000-0005-0000-0000-0000E4520000}"/>
    <cellStyle name="_Row7_Strategic Diagnostic Templates Technik_MF Key Performance Indicators B.IV.r Abfüllung_ZBB Budget 2009 Decks v2 china 3" xfId="21230" xr:uid="{00000000-0005-0000-0000-0000E5520000}"/>
    <cellStyle name="_Row7_Strategic Diagnostic Templates Technik_MF Key Performance Indicators B.IV.r Abfüllung_ZBB standard Template Korea_081105" xfId="21231" xr:uid="{00000000-0005-0000-0000-0000E6520000}"/>
    <cellStyle name="_Row7_Strategic Diagnostic Templates Technik_MF Key Performance Indicators B.IV.r Abfüllung_ZBB standard Template Korea_081105 2" xfId="21232" xr:uid="{00000000-0005-0000-0000-0000E7520000}"/>
    <cellStyle name="_Row7_Strategic Diagnostic Templates Technik_MF Key Performance Indicators B.IV.r Abfüllung_ZBB standard Template Korea_081105 2 2" xfId="21233" xr:uid="{00000000-0005-0000-0000-0000E8520000}"/>
    <cellStyle name="_Row7_Strategic Diagnostic Templates Technik_MF Key Performance Indicators B.IV.r Abfüllung_ZBB standard Template Korea_081105 3" xfId="21234" xr:uid="{00000000-0005-0000-0000-0000E9520000}"/>
    <cellStyle name="_Row7_Strategic Diagnostic Templates Technik_MF Key Performance Indicators_ZBB Budget 2009 Decks v2 china" xfId="21235" xr:uid="{00000000-0005-0000-0000-0000EA520000}"/>
    <cellStyle name="_Row7_Strategic Diagnostic Templates Technik_MF Key Performance Indicators_ZBB Budget 2009 Decks v2 china 2" xfId="21236" xr:uid="{00000000-0005-0000-0000-0000EB520000}"/>
    <cellStyle name="_Row7_Strategic Diagnostic Templates Technik_MF Key Performance Indicators_ZBB Budget 2009 Decks v2 china 2 2" xfId="21237" xr:uid="{00000000-0005-0000-0000-0000EC520000}"/>
    <cellStyle name="_Row7_Strategic Diagnostic Templates Technik_MF Key Performance Indicators_ZBB Budget 2009 Decks v2 china 3" xfId="21238" xr:uid="{00000000-0005-0000-0000-0000ED520000}"/>
    <cellStyle name="_Row7_Strategic Diagnostic Templates Technik_MF Key Performance Indicators_ZBB standard Template Korea_081105" xfId="21239" xr:uid="{00000000-0005-0000-0000-0000EE520000}"/>
    <cellStyle name="_Row7_Strategic Diagnostic Templates Technik_MF Key Performance Indicators_ZBB standard Template Korea_081105 2" xfId="21240" xr:uid="{00000000-0005-0000-0000-0000EF520000}"/>
    <cellStyle name="_Row7_Strategic Diagnostic Templates Technik_MF Key Performance Indicators_ZBB standard Template Korea_081105 2 2" xfId="21241" xr:uid="{00000000-0005-0000-0000-0000F0520000}"/>
    <cellStyle name="_Row7_Strategic Diagnostic Templates Technik_MF Key Performance Indicators_ZBB standard Template Korea_081105 3" xfId="21242" xr:uid="{00000000-0005-0000-0000-0000F1520000}"/>
    <cellStyle name="_Row7_Strategic Diagnostic Templates Technik_ZBB Budget 2009 Decks v2 china" xfId="21243" xr:uid="{00000000-0005-0000-0000-0000F2520000}"/>
    <cellStyle name="_Row7_Strategic Diagnostic Templates Technik_ZBB Budget 2009 Decks v2 china 2" xfId="21244" xr:uid="{00000000-0005-0000-0000-0000F3520000}"/>
    <cellStyle name="_Row7_Strategic Diagnostic Templates Technik_ZBB Budget 2009 Decks v2 china 2 2" xfId="21245" xr:uid="{00000000-0005-0000-0000-0000F4520000}"/>
    <cellStyle name="_Row7_Strategic Diagnostic Templates Technik_ZBB Budget 2009 Decks v2 china 3" xfId="21246" xr:uid="{00000000-0005-0000-0000-0000F5520000}"/>
    <cellStyle name="_Row7_Strategic Diagnostic Templates Technik_ZBB standard Template Korea_081105" xfId="21247" xr:uid="{00000000-0005-0000-0000-0000F6520000}"/>
    <cellStyle name="_Row7_Strategic Diagnostic Templates Technik_ZBB standard Template Korea_081105 2" xfId="21248" xr:uid="{00000000-0005-0000-0000-0000F7520000}"/>
    <cellStyle name="_Row7_Strategic Diagnostic Templates Technik_ZBB standard Template Korea_081105 2 2" xfId="21249" xr:uid="{00000000-0005-0000-0000-0000F8520000}"/>
    <cellStyle name="_Row7_Strategic Diagnostic Templates Technik_ZBB standard Template Korea_081105 3" xfId="21250" xr:uid="{00000000-0005-0000-0000-0000F9520000}"/>
    <cellStyle name="_Row7_ZBB Budget 2009 Decks" xfId="21251" xr:uid="{00000000-0005-0000-0000-0000FA520000}"/>
    <cellStyle name="_Row7_ZBB Budget 2009 Decks 2" xfId="21252" xr:uid="{00000000-0005-0000-0000-0000FB520000}"/>
    <cellStyle name="_Row7_ZBB Budget 2009 Decks 2 2" xfId="21253" xr:uid="{00000000-0005-0000-0000-0000FC520000}"/>
    <cellStyle name="_Row7_ZBB Budget 2009 Decks 3" xfId="21254" xr:uid="{00000000-0005-0000-0000-0000FD520000}"/>
    <cellStyle name="_Row7_ZBB Budget 2009 Decks_with Korea Scope in (Only LE)" xfId="21255" xr:uid="{00000000-0005-0000-0000-0000FE520000}"/>
    <cellStyle name="_Row7_ZBB Budget 2009 Decks_with Korea Scope in (Only LE) (2)" xfId="21256" xr:uid="{00000000-0005-0000-0000-0000FF520000}"/>
    <cellStyle name="_Row7_ZBB Budget 2009 Decks_with Korea Scope in (Only LE) (2) 2" xfId="21257" xr:uid="{00000000-0005-0000-0000-000000530000}"/>
    <cellStyle name="_Row7_ZBB Budget 2009 Decks_with Korea Scope in (Only LE) (2) 2 2" xfId="21258" xr:uid="{00000000-0005-0000-0000-000001530000}"/>
    <cellStyle name="_Row7_ZBB Budget 2009 Decks_with Korea Scope in (Only LE) (2) 3" xfId="21259" xr:uid="{00000000-0005-0000-0000-000002530000}"/>
    <cellStyle name="_Row7_ZBB Budget 2009 Decks_with Korea Scope in (Only LE) 2" xfId="21260" xr:uid="{00000000-0005-0000-0000-000003530000}"/>
    <cellStyle name="_Row7_ZBB Budget 2009 Decks_with Korea Scope in (Only LE) 2 2" xfId="21261" xr:uid="{00000000-0005-0000-0000-000004530000}"/>
    <cellStyle name="_Row7_ZBB Budget 2009 Decks_with Korea Scope in (Only LE) 3" xfId="21262" xr:uid="{00000000-0005-0000-0000-000005530000}"/>
    <cellStyle name="_Row7_ZBB Budget 2009 Decks_with Korea Scope in (Only LE) 3 2" xfId="21263" xr:uid="{00000000-0005-0000-0000-000006530000}"/>
    <cellStyle name="_Row7_ZBB Budget 2009 Decks_with Korea Scope in (Only LE) 4" xfId="21264" xr:uid="{00000000-0005-0000-0000-000007530000}"/>
    <cellStyle name="_Row7_ZBB Budget 2009 Decks_with Korea Scope in (Only LE) 5" xfId="21265" xr:uid="{00000000-0005-0000-0000-000008530000}"/>
    <cellStyle name="_RPexplanation1 (2)" xfId="21266" xr:uid="{00000000-0005-0000-0000-000009530000}"/>
    <cellStyle name="_RPexplanation1 (2) 2" xfId="21267" xr:uid="{00000000-0005-0000-0000-00000A530000}"/>
    <cellStyle name="_RPexplanation1 (2) 2 2" xfId="21268" xr:uid="{00000000-0005-0000-0000-00000B530000}"/>
    <cellStyle name="_RPexplanation1 (2) 3" xfId="21269" xr:uid="{00000000-0005-0000-0000-00000C530000}"/>
    <cellStyle name="_SAC REGIONAL" xfId="21270" xr:uid="{00000000-0005-0000-0000-00000D530000}"/>
    <cellStyle name="_Sales Performance Review - deck templates 5.2" xfId="21271" xr:uid="{00000000-0005-0000-0000-00000E530000}"/>
    <cellStyle name="_Sales Performance Review - deck templates 5.2 2" xfId="21272" xr:uid="{00000000-0005-0000-0000-00000F530000}"/>
    <cellStyle name="_Sales Performance Review - deck templates 5.2 2 2" xfId="21273" xr:uid="{00000000-0005-0000-0000-000010530000}"/>
    <cellStyle name="_Sales Performance Review - deck templates 5.2 3" xfId="21274" xr:uid="{00000000-0005-0000-0000-000011530000}"/>
    <cellStyle name="_Scope summary v17" xfId="21275" xr:uid="{00000000-0005-0000-0000-000012530000}"/>
    <cellStyle name="_Scope summary v17 2" xfId="21276" xr:uid="{00000000-0005-0000-0000-000013530000}"/>
    <cellStyle name="_Scope summary v17 2 2" xfId="21277" xr:uid="{00000000-0005-0000-0000-000014530000}"/>
    <cellStyle name="_Scope summary v17 3" xfId="21278" xr:uid="{00000000-0005-0000-0000-000015530000}"/>
    <cellStyle name="_SDG FEV" xfId="21279" xr:uid="{00000000-0005-0000-0000-000016530000}"/>
    <cellStyle name="_SDG FEV 2" xfId="21280" xr:uid="{00000000-0005-0000-0000-000017530000}"/>
    <cellStyle name="_SDG FEV 2 2" xfId="21281" xr:uid="{00000000-0005-0000-0000-000018530000}"/>
    <cellStyle name="_SDG FEV 3" xfId="21282" xr:uid="{00000000-0005-0000-0000-000019530000}"/>
    <cellStyle name="_SDG Gente - Junio08" xfId="21283" xr:uid="{00000000-0005-0000-0000-00001A530000}"/>
    <cellStyle name="_SDG Gente - Junio08 2" xfId="21284" xr:uid="{00000000-0005-0000-0000-00001B530000}"/>
    <cellStyle name="_SDG Gente - Junio08 2 2" xfId="21285" xr:uid="{00000000-0005-0000-0000-00001C530000}"/>
    <cellStyle name="_SDG Gente - Junio08 3" xfId="21286" xr:uid="{00000000-0005-0000-0000-00001D530000}"/>
    <cellStyle name="_SDG Hila Supply Excel Cierre Abril 2008" xfId="21287" xr:uid="{00000000-0005-0000-0000-00001E530000}"/>
    <cellStyle name="_SDG Hila Supply Excel Cierre Abril 2008 2" xfId="21288" xr:uid="{00000000-0005-0000-0000-00001F530000}"/>
    <cellStyle name="_SDG Hila Supply Excel Cierre Abril 2008 2 2" xfId="21289" xr:uid="{00000000-0005-0000-0000-000020530000}"/>
    <cellStyle name="_SDG Hila Supply Excel Cierre Abril 2008 3" xfId="21290" xr:uid="{00000000-0005-0000-0000-000021530000}"/>
    <cellStyle name="_SDG Hila Tadeu" xfId="21291" xr:uid="{00000000-0005-0000-0000-000022530000}"/>
    <cellStyle name="_SDG Hila Tadeu 2" xfId="21292" xr:uid="{00000000-0005-0000-0000-000023530000}"/>
    <cellStyle name="_SDG Hila Tadeu 2 2" xfId="21293" xr:uid="{00000000-0005-0000-0000-000024530000}"/>
    <cellStyle name="_SDG Hila Tadeu 3" xfId="21294" xr:uid="{00000000-0005-0000-0000-000025530000}"/>
    <cellStyle name="_SDG Leste_Mai-08" xfId="21295" xr:uid="{00000000-0005-0000-0000-000026530000}"/>
    <cellStyle name="_SDG RD Dic08" xfId="21296" xr:uid="{00000000-0005-0000-0000-000027530000}"/>
    <cellStyle name="_SDG RD Dic08 2" xfId="21297" xr:uid="{00000000-0005-0000-0000-000028530000}"/>
    <cellStyle name="_SDG RD Dic08 2 2" xfId="21298" xr:uid="{00000000-0005-0000-0000-000029530000}"/>
    <cellStyle name="_SDG RD Dic08 3" xfId="21299" xr:uid="{00000000-0005-0000-0000-00002A530000}"/>
    <cellStyle name="_SDG_Mayo" xfId="21300" xr:uid="{00000000-0005-0000-0000-00002B530000}"/>
    <cellStyle name="_SDG_Mayo 2" xfId="21301" xr:uid="{00000000-0005-0000-0000-00002C530000}"/>
    <cellStyle name="_SDG_Mayo 2 2" xfId="21302" xr:uid="{00000000-0005-0000-0000-00002D530000}"/>
    <cellStyle name="_SDG_Mayo 3" xfId="21303" xr:uid="{00000000-0005-0000-0000-00002E530000}"/>
    <cellStyle name="_SDG_PE_Julio" xfId="21304" xr:uid="{00000000-0005-0000-0000-00002F530000}"/>
    <cellStyle name="_SDG_PE_Julio 2" xfId="21305" xr:uid="{00000000-0005-0000-0000-000030530000}"/>
    <cellStyle name="_SDG_PE_Julio 2 2" xfId="21306" xr:uid="{00000000-0005-0000-0000-000031530000}"/>
    <cellStyle name="_SDG_PE_Julio 3" xfId="21307" xr:uid="{00000000-0005-0000-0000-000032530000}"/>
    <cellStyle name="_Sheet1" xfId="21308" xr:uid="{00000000-0005-0000-0000-000033530000}"/>
    <cellStyle name="_Sheet1 2" xfId="21309" xr:uid="{00000000-0005-0000-0000-000034530000}"/>
    <cellStyle name="_Sheet1 2 2" xfId="21310" xr:uid="{00000000-0005-0000-0000-000035530000}"/>
    <cellStyle name="_Sheet1 2 2 2" xfId="21311" xr:uid="{00000000-0005-0000-0000-000036530000}"/>
    <cellStyle name="_Sheet1 2 3" xfId="21312" xr:uid="{00000000-0005-0000-0000-000037530000}"/>
    <cellStyle name="_Sheet1 3" xfId="21313" xr:uid="{00000000-0005-0000-0000-000038530000}"/>
    <cellStyle name="_Sheet1 3 2" xfId="21314" xr:uid="{00000000-0005-0000-0000-000039530000}"/>
    <cellStyle name="_Sheet1 4" xfId="21315" xr:uid="{00000000-0005-0000-0000-00003A530000}"/>
    <cellStyle name="_Sheet1_010808 Market Programs  for Budget Deck" xfId="21316" xr:uid="{00000000-0005-0000-0000-00003B530000}"/>
    <cellStyle name="_Sheet1_010808 Market Programs  for Budget Deck 2" xfId="21317" xr:uid="{00000000-0005-0000-0000-00003C530000}"/>
    <cellStyle name="_Sheet1_010808 Market Programs  for Budget Deck 2 2" xfId="21318" xr:uid="{00000000-0005-0000-0000-00003D530000}"/>
    <cellStyle name="_Sheet1_010808 Market Programs  for Budget Deck 3" xfId="21319" xr:uid="{00000000-0005-0000-0000-00003E530000}"/>
    <cellStyle name="_Sheet1_0908 Gabarito exchange rate" xfId="21320" xr:uid="{00000000-0005-0000-0000-00003F530000}"/>
    <cellStyle name="_Sheet1_0908 Gabarito exchange rate 2" xfId="21321" xr:uid="{00000000-0005-0000-0000-000040530000}"/>
    <cellStyle name="_Sheet1_0908 Gabarito exchange rate 2 2" xfId="21322" xr:uid="{00000000-0005-0000-0000-000041530000}"/>
    <cellStyle name="_Sheet1_0908 Gabarito exchange rate 3" xfId="21323" xr:uid="{00000000-0005-0000-0000-000042530000}"/>
    <cellStyle name="_Sheet1_1" xfId="21324" xr:uid="{00000000-0005-0000-0000-000043530000}"/>
    <cellStyle name="_Sheet1_1 2" xfId="21325" xr:uid="{00000000-0005-0000-0000-000044530000}"/>
    <cellStyle name="_Sheet1_1 2 2" xfId="21326" xr:uid="{00000000-0005-0000-0000-000045530000}"/>
    <cellStyle name="_Sheet1_1 2 2 2" xfId="21327" xr:uid="{00000000-0005-0000-0000-000046530000}"/>
    <cellStyle name="_Sheet1_1 2 3" xfId="21328" xr:uid="{00000000-0005-0000-0000-000047530000}"/>
    <cellStyle name="_Sheet1_1 3" xfId="21329" xr:uid="{00000000-0005-0000-0000-000048530000}"/>
    <cellStyle name="_Sheet1_1 3 2" xfId="21330" xr:uid="{00000000-0005-0000-0000-000049530000}"/>
    <cellStyle name="_Sheet1_1 4" xfId="21331" xr:uid="{00000000-0005-0000-0000-00004A530000}"/>
    <cellStyle name="_Sheet1_1_0908 Gabarito exchange rate" xfId="21332" xr:uid="{00000000-0005-0000-0000-00004B530000}"/>
    <cellStyle name="_Sheet1_1_0908 Gabarito exchange rate 2" xfId="21333" xr:uid="{00000000-0005-0000-0000-00004C530000}"/>
    <cellStyle name="_Sheet1_1_0908 Gabarito exchange rate 2 2" xfId="21334" xr:uid="{00000000-0005-0000-0000-00004D530000}"/>
    <cellStyle name="_Sheet1_1_0908 Gabarito exchange rate 3" xfId="21335" xr:uid="{00000000-0005-0000-0000-00004E530000}"/>
    <cellStyle name="_Sheet1_1_Book5" xfId="21336" xr:uid="{00000000-0005-0000-0000-00004F530000}"/>
    <cellStyle name="_Sheet1_1_Book5 2" xfId="21337" xr:uid="{00000000-0005-0000-0000-000050530000}"/>
    <cellStyle name="_Sheet1_1_Book5 2 2" xfId="21338" xr:uid="{00000000-0005-0000-0000-000051530000}"/>
    <cellStyle name="_Sheet1_1_Book5 3" xfId="21339" xr:uid="{00000000-0005-0000-0000-000052530000}"/>
    <cellStyle name="_Sheet1_1_Bplan RD 1001" xfId="21340" xr:uid="{00000000-0005-0000-0000-000053530000}"/>
    <cellStyle name="_Sheet1_1_Bplan RD 1001 2" xfId="21341" xr:uid="{00000000-0005-0000-0000-000054530000}"/>
    <cellStyle name="_Sheet1_1_Bplan RD 1001 2 2" xfId="21342" xr:uid="{00000000-0005-0000-0000-000055530000}"/>
    <cellStyle name="_Sheet1_1_Bplan RD 1001 3" xfId="21343" xr:uid="{00000000-0005-0000-0000-000056530000}"/>
    <cellStyle name="_Sheet1_1_Copy of 081027 ZBB Budget 2009 Decks - People_Cherry_V4" xfId="21344" xr:uid="{00000000-0005-0000-0000-000057530000}"/>
    <cellStyle name="_Sheet1_1_Copy of 081027 ZBB Budget 2009 Decks - People_Cherry_V4 2" xfId="21345" xr:uid="{00000000-0005-0000-0000-000058530000}"/>
    <cellStyle name="_Sheet1_1_Copy of 081027 ZBB Budget 2009 Decks - People_Cherry_V4 2 2" xfId="21346" xr:uid="{00000000-0005-0000-0000-000059530000}"/>
    <cellStyle name="_Sheet1_1_Copy of 081027 ZBB Budget 2009 Decks - People_Cherry_V4 2 2 2" xfId="21347" xr:uid="{00000000-0005-0000-0000-00005A530000}"/>
    <cellStyle name="_Sheet1_1_Copy of 081027 ZBB Budget 2009 Decks - People_Cherry_V4 2 3" xfId="21348" xr:uid="{00000000-0005-0000-0000-00005B530000}"/>
    <cellStyle name="_Sheet1_1_Copy of 081027 ZBB Budget 2009 Decks - People_Cherry_V4 3" xfId="21349" xr:uid="{00000000-0005-0000-0000-00005C530000}"/>
    <cellStyle name="_Sheet1_1_Copy of 081027 ZBB Budget 2009 Decks - People_Cherry_V4 3 2" xfId="21350" xr:uid="{00000000-0005-0000-0000-00005D530000}"/>
    <cellStyle name="_Sheet1_1_Copy of 081027 ZBB Budget 2009 Decks - People_Cherry_V4 4" xfId="21351" xr:uid="{00000000-0005-0000-0000-00005E530000}"/>
    <cellStyle name="_Sheet1_1_LE Ebitda RD Feb-10 v2" xfId="21352" xr:uid="{00000000-0005-0000-0000-00005F530000}"/>
    <cellStyle name="_Sheet1_1_LE Ebitda RD Feb-10 v2 2" xfId="21353" xr:uid="{00000000-0005-0000-0000-000060530000}"/>
    <cellStyle name="_Sheet1_1_LE Ebitda RD Feb-10 v2 2 2" xfId="21354" xr:uid="{00000000-0005-0000-0000-000061530000}"/>
    <cellStyle name="_Sheet1_1_LE Ebitda RD Feb-10 v2 3" xfId="21355" xr:uid="{00000000-0005-0000-0000-000062530000}"/>
    <cellStyle name="_Sheet1_1_People Package" xfId="21356" xr:uid="{00000000-0005-0000-0000-000063530000}"/>
    <cellStyle name="_Sheet1_1_People Package (2)" xfId="21357" xr:uid="{00000000-0005-0000-0000-000064530000}"/>
    <cellStyle name="_Sheet1_1_People Package (2) 2" xfId="21358" xr:uid="{00000000-0005-0000-0000-000065530000}"/>
    <cellStyle name="_Sheet1_1_People Package (2) 2 2" xfId="21359" xr:uid="{00000000-0005-0000-0000-000066530000}"/>
    <cellStyle name="_Sheet1_1_People Package (2) 2 2 2" xfId="21360" xr:uid="{00000000-0005-0000-0000-000067530000}"/>
    <cellStyle name="_Sheet1_1_People Package (2) 2 3" xfId="21361" xr:uid="{00000000-0005-0000-0000-000068530000}"/>
    <cellStyle name="_Sheet1_1_People Package (2) 3" xfId="21362" xr:uid="{00000000-0005-0000-0000-000069530000}"/>
    <cellStyle name="_Sheet1_1_People Package (2) 3 2" xfId="21363" xr:uid="{00000000-0005-0000-0000-00006A530000}"/>
    <cellStyle name="_Sheet1_1_People Package (2) 4" xfId="21364" xr:uid="{00000000-0005-0000-0000-00006B530000}"/>
    <cellStyle name="_Sheet1_1_People Package 2" xfId="21365" xr:uid="{00000000-0005-0000-0000-00006C530000}"/>
    <cellStyle name="_Sheet1_1_People Package 2 2" xfId="21366" xr:uid="{00000000-0005-0000-0000-00006D530000}"/>
    <cellStyle name="_Sheet1_1_People Package 2 2 2" xfId="21367" xr:uid="{00000000-0005-0000-0000-00006E530000}"/>
    <cellStyle name="_Sheet1_1_People Package 2 3" xfId="21368" xr:uid="{00000000-0005-0000-0000-00006F530000}"/>
    <cellStyle name="_Sheet1_1_People Package 3" xfId="21369" xr:uid="{00000000-0005-0000-0000-000070530000}"/>
    <cellStyle name="_Sheet1_1_People Package 3 2" xfId="21370" xr:uid="{00000000-0005-0000-0000-000071530000}"/>
    <cellStyle name="_Sheet1_1_People Package 4" xfId="21371" xr:uid="{00000000-0005-0000-0000-000072530000}"/>
    <cellStyle name="_Sheet1_1_People Package 4 2" xfId="21372" xr:uid="{00000000-0005-0000-0000-000073530000}"/>
    <cellStyle name="_Sheet1_1_People Package 5" xfId="21373" xr:uid="{00000000-0005-0000-0000-000074530000}"/>
    <cellStyle name="_Sheet1_1_People Package 6" xfId="21374" xr:uid="{00000000-0005-0000-0000-000075530000}"/>
    <cellStyle name="_Sheet1_1_Sales and Marketing - revised" xfId="21375" xr:uid="{00000000-0005-0000-0000-000076530000}"/>
    <cellStyle name="_Sheet1_1_Sales and Marketing - revised 2" xfId="21376" xr:uid="{00000000-0005-0000-0000-000077530000}"/>
    <cellStyle name="_Sheet1_1_Sales and Marketing - revised 2 2" xfId="21377" xr:uid="{00000000-0005-0000-0000-000078530000}"/>
    <cellStyle name="_Sheet1_1_Sales and Marketing - revised 3" xfId="21378" xr:uid="{00000000-0005-0000-0000-000079530000}"/>
    <cellStyle name="_Sheet1_1_Sim Ebitda LE 0909 v4" xfId="21379" xr:uid="{00000000-0005-0000-0000-00007A530000}"/>
    <cellStyle name="_Sheet1_1_Sim Ebitda LE 0909 v4 2" xfId="21380" xr:uid="{00000000-0005-0000-0000-00007B530000}"/>
    <cellStyle name="_Sheet1_1_Sim Ebitda LE 0909 v4 2 2" xfId="21381" xr:uid="{00000000-0005-0000-0000-00007C530000}"/>
    <cellStyle name="_Sheet1_1_Sim Ebitda LE 0909 v4 3" xfId="21382" xr:uid="{00000000-0005-0000-0000-00007D530000}"/>
    <cellStyle name="_Sheet1_1_WF Ebitda RD Abr-10" xfId="21383" xr:uid="{00000000-0005-0000-0000-00007E530000}"/>
    <cellStyle name="_Sheet1_1_WF Ebitda RD Abr-10 2" xfId="21384" xr:uid="{00000000-0005-0000-0000-00007F530000}"/>
    <cellStyle name="_Sheet1_1_WF Ebitda RD Abr-10 2 2" xfId="21385" xr:uid="{00000000-0005-0000-0000-000080530000}"/>
    <cellStyle name="_Sheet1_1_WF Ebitda RD Abr-10 3" xfId="21386" xr:uid="{00000000-0005-0000-0000-000081530000}"/>
    <cellStyle name="_Sheet1_1_WF Ebitda Sep09" xfId="21387" xr:uid="{00000000-0005-0000-0000-000082530000}"/>
    <cellStyle name="_Sheet1_1_WF Ebitda Sep09 2" xfId="21388" xr:uid="{00000000-0005-0000-0000-000083530000}"/>
    <cellStyle name="_Sheet1_1_WF Ebitda Sep09 2 2" xfId="21389" xr:uid="{00000000-0005-0000-0000-000084530000}"/>
    <cellStyle name="_Sheet1_1_WF Ebitda Sep09 3" xfId="21390" xr:uid="{00000000-0005-0000-0000-000085530000}"/>
    <cellStyle name="_Sheet1_1_ZBB" xfId="21391" xr:uid="{00000000-0005-0000-0000-000086530000}"/>
    <cellStyle name="_Sheet1_1_ZBB 2" xfId="21392" xr:uid="{00000000-0005-0000-0000-000087530000}"/>
    <cellStyle name="_Sheet1_1_ZBB 2 2" xfId="21393" xr:uid="{00000000-0005-0000-0000-000088530000}"/>
    <cellStyle name="_Sheet1_1_ZBB 2 2 2" xfId="21394" xr:uid="{00000000-0005-0000-0000-000089530000}"/>
    <cellStyle name="_Sheet1_1_ZBB 2 3" xfId="21395" xr:uid="{00000000-0005-0000-0000-00008A530000}"/>
    <cellStyle name="_Sheet1_1_ZBB 3" xfId="21396" xr:uid="{00000000-0005-0000-0000-00008B530000}"/>
    <cellStyle name="_Sheet1_1_ZBB 3 2" xfId="21397" xr:uid="{00000000-0005-0000-0000-00008C530000}"/>
    <cellStyle name="_Sheet1_1_ZBB 4" xfId="21398" xr:uid="{00000000-0005-0000-0000-00008D530000}"/>
    <cellStyle name="_Sheet1_1_ZBB Budget 2009 Decks" xfId="21399" xr:uid="{00000000-0005-0000-0000-00008E530000}"/>
    <cellStyle name="_Sheet1_1_ZBB Budget 2009 Decks 2" xfId="21400" xr:uid="{00000000-0005-0000-0000-00008F530000}"/>
    <cellStyle name="_Sheet1_1_ZBB Budget 2009 Decks 2 2" xfId="21401" xr:uid="{00000000-0005-0000-0000-000090530000}"/>
    <cellStyle name="_Sheet1_1_ZBB Budget 2009 Decks 2 2 2" xfId="21402" xr:uid="{00000000-0005-0000-0000-000091530000}"/>
    <cellStyle name="_Sheet1_1_ZBB Budget 2009 Decks 2 3" xfId="21403" xr:uid="{00000000-0005-0000-0000-000092530000}"/>
    <cellStyle name="_Sheet1_1_ZBB Budget 2009 Decks 3" xfId="21404" xr:uid="{00000000-0005-0000-0000-000093530000}"/>
    <cellStyle name="_Sheet1_1_ZBB Budget 2009 Decks 3 2" xfId="21405" xr:uid="{00000000-0005-0000-0000-000094530000}"/>
    <cellStyle name="_Sheet1_1_ZBB Budget 2009 Decks 4" xfId="21406" xr:uid="{00000000-0005-0000-0000-000095530000}"/>
    <cellStyle name="_Sheet1_1_ZBB Budget 2009 Decks v2 china" xfId="21407" xr:uid="{00000000-0005-0000-0000-000096530000}"/>
    <cellStyle name="_Sheet1_1_ZBB Budget 2009 Decks v2 china 2" xfId="21408" xr:uid="{00000000-0005-0000-0000-000097530000}"/>
    <cellStyle name="_Sheet1_1_ZBB Budget 2009 Decks v2 china 2 2" xfId="21409" xr:uid="{00000000-0005-0000-0000-000098530000}"/>
    <cellStyle name="_Sheet1_1_ZBB Budget 2009 Decks v2 china 2 2 2" xfId="21410" xr:uid="{00000000-0005-0000-0000-000099530000}"/>
    <cellStyle name="_Sheet1_1_ZBB Budget 2009 Decks v2 china 2 3" xfId="21411" xr:uid="{00000000-0005-0000-0000-00009A530000}"/>
    <cellStyle name="_Sheet1_1_ZBB Budget 2009 Decks v2 china 3" xfId="21412" xr:uid="{00000000-0005-0000-0000-00009B530000}"/>
    <cellStyle name="_Sheet1_1_ZBB Budget 2009 Decks v2 china 3 2" xfId="21413" xr:uid="{00000000-0005-0000-0000-00009C530000}"/>
    <cellStyle name="_Sheet1_1_ZBB Budget 2009 Decks v2 china 4" xfId="21414" xr:uid="{00000000-0005-0000-0000-00009D530000}"/>
    <cellStyle name="_Sheet1_1_ZBB Budget 2009 Decks_with Korea Scope in (Only LE)" xfId="21415" xr:uid="{00000000-0005-0000-0000-00009E530000}"/>
    <cellStyle name="_Sheet1_1_ZBB Budget 2009 Decks_with Korea Scope in (Only LE) (2)" xfId="21416" xr:uid="{00000000-0005-0000-0000-00009F530000}"/>
    <cellStyle name="_Sheet1_1_ZBB Budget 2009 Decks_with Korea Scope in (Only LE) (2) 2" xfId="21417" xr:uid="{00000000-0005-0000-0000-0000A0530000}"/>
    <cellStyle name="_Sheet1_1_ZBB Budget 2009 Decks_with Korea Scope in (Only LE) (2) 2 2" xfId="21418" xr:uid="{00000000-0005-0000-0000-0000A1530000}"/>
    <cellStyle name="_Sheet1_1_ZBB Budget 2009 Decks_with Korea Scope in (Only LE) (2) 2 2 2" xfId="21419" xr:uid="{00000000-0005-0000-0000-0000A2530000}"/>
    <cellStyle name="_Sheet1_1_ZBB Budget 2009 Decks_with Korea Scope in (Only LE) (2) 2 3" xfId="21420" xr:uid="{00000000-0005-0000-0000-0000A3530000}"/>
    <cellStyle name="_Sheet1_1_ZBB Budget 2009 Decks_with Korea Scope in (Only LE) (2) 3" xfId="21421" xr:uid="{00000000-0005-0000-0000-0000A4530000}"/>
    <cellStyle name="_Sheet1_1_ZBB Budget 2009 Decks_with Korea Scope in (Only LE) (2) 3 2" xfId="21422" xr:uid="{00000000-0005-0000-0000-0000A5530000}"/>
    <cellStyle name="_Sheet1_1_ZBB Budget 2009 Decks_with Korea Scope in (Only LE) (2) 4" xfId="21423" xr:uid="{00000000-0005-0000-0000-0000A6530000}"/>
    <cellStyle name="_Sheet1_1_ZBB Budget 2009 Decks_with Korea Scope in (Only LE) 2" xfId="21424" xr:uid="{00000000-0005-0000-0000-0000A7530000}"/>
    <cellStyle name="_Sheet1_1_ZBB Budget 2009 Decks_with Korea Scope in (Only LE) 2 2" xfId="21425" xr:uid="{00000000-0005-0000-0000-0000A8530000}"/>
    <cellStyle name="_Sheet1_1_ZBB Budget 2009 Decks_with Korea Scope in (Only LE) 2 2 2" xfId="21426" xr:uid="{00000000-0005-0000-0000-0000A9530000}"/>
    <cellStyle name="_Sheet1_1_ZBB Budget 2009 Decks_with Korea Scope in (Only LE) 2 3" xfId="21427" xr:uid="{00000000-0005-0000-0000-0000AA530000}"/>
    <cellStyle name="_Sheet1_1_ZBB Budget 2009 Decks_with Korea Scope in (Only LE) 3" xfId="21428" xr:uid="{00000000-0005-0000-0000-0000AB530000}"/>
    <cellStyle name="_Sheet1_1_ZBB Budget 2009 Decks_with Korea Scope in (Only LE) 3 2" xfId="21429" xr:uid="{00000000-0005-0000-0000-0000AC530000}"/>
    <cellStyle name="_Sheet1_1_ZBB Budget 2009 Decks_with Korea Scope in (Only LE) 4" xfId="21430" xr:uid="{00000000-0005-0000-0000-0000AD530000}"/>
    <cellStyle name="_Sheet1_1_ZBB Budget 2009 Decks_with Korea Scope in (Only LE) 4 2" xfId="21431" xr:uid="{00000000-0005-0000-0000-0000AE530000}"/>
    <cellStyle name="_Sheet1_1_ZBB Budget 2009 Decks_with Korea Scope in (Only LE) 5" xfId="21432" xr:uid="{00000000-0005-0000-0000-0000AF530000}"/>
    <cellStyle name="_Sheet1_1_ZBB Budget 2009 Decks_with Korea Scope in (Only LE) 6" xfId="21433" xr:uid="{00000000-0005-0000-0000-0000B0530000}"/>
    <cellStyle name="_Sheet1_1_ZBB standard Template Korea_081105" xfId="21434" xr:uid="{00000000-0005-0000-0000-0000B1530000}"/>
    <cellStyle name="_Sheet1_1_ZBB standard Template Korea_081105 2" xfId="21435" xr:uid="{00000000-0005-0000-0000-0000B2530000}"/>
    <cellStyle name="_Sheet1_1_ZBB standard Template Korea_081105 2 2" xfId="21436" xr:uid="{00000000-0005-0000-0000-0000B3530000}"/>
    <cellStyle name="_Sheet1_1_ZBB standard Template Korea_081105 2 2 2" xfId="21437" xr:uid="{00000000-0005-0000-0000-0000B4530000}"/>
    <cellStyle name="_Sheet1_1_ZBB standard Template Korea_081105 2 3" xfId="21438" xr:uid="{00000000-0005-0000-0000-0000B5530000}"/>
    <cellStyle name="_Sheet1_1_ZBB standard Template Korea_081105 3" xfId="21439" xr:uid="{00000000-0005-0000-0000-0000B6530000}"/>
    <cellStyle name="_Sheet1_1_ZBB standard Template Korea_081105 3 2" xfId="21440" xr:uid="{00000000-0005-0000-0000-0000B7530000}"/>
    <cellStyle name="_Sheet1_1_ZBB standard Template Korea_081105 4" xfId="21441" xr:uid="{00000000-0005-0000-0000-0000B8530000}"/>
    <cellStyle name="_Sheet1_BGT 08 templates Sales  Marketing - draft com alterações3" xfId="21442" xr:uid="{00000000-0005-0000-0000-0000B9530000}"/>
    <cellStyle name="_Sheet1_BGT 08 templates Sales  Marketing - draft com alterações3 2" xfId="21443" xr:uid="{00000000-0005-0000-0000-0000BA530000}"/>
    <cellStyle name="_Sheet1_BGT 08 templates Sales  Marketing - draft com alterações3 2 2" xfId="21444" xr:uid="{00000000-0005-0000-0000-0000BB530000}"/>
    <cellStyle name="_Sheet1_BGT 08 templates Sales  Marketing - draft com alterações3 3" xfId="21445" xr:uid="{00000000-0005-0000-0000-0000BC530000}"/>
    <cellStyle name="_Sheet1_BGT 08 Templates Sales  Marketing - final (revised)" xfId="21446" xr:uid="{00000000-0005-0000-0000-0000BD530000}"/>
    <cellStyle name="_Sheet1_BGT 08 Templates Sales  Marketing - final (revised) 2" xfId="21447" xr:uid="{00000000-0005-0000-0000-0000BE530000}"/>
    <cellStyle name="_Sheet1_BGT 08 Templates Sales  Marketing - final (revised) 2 2" xfId="21448" xr:uid="{00000000-0005-0000-0000-0000BF530000}"/>
    <cellStyle name="_Sheet1_BGT 08 Templates Sales  Marketing - final (revised) 3" xfId="21449" xr:uid="{00000000-0005-0000-0000-0000C0530000}"/>
    <cellStyle name="_Sheet1_BGT 08 templates, Sales &amp; Marketing - draft com alterações3" xfId="21450" xr:uid="{00000000-0005-0000-0000-0000C1530000}"/>
    <cellStyle name="_Sheet1_BGT 08 templates, Sales &amp; Marketing - draft com alterações3 2" xfId="21451" xr:uid="{00000000-0005-0000-0000-0000C2530000}"/>
    <cellStyle name="_Sheet1_BGT 08 templates, Sales &amp; Marketing - draft com alterações3 2 2" xfId="21452" xr:uid="{00000000-0005-0000-0000-0000C3530000}"/>
    <cellStyle name="_Sheet1_BGT 08 templates, Sales &amp; Marketing - draft com alterações3 3" xfId="21453" xr:uid="{00000000-0005-0000-0000-0000C4530000}"/>
    <cellStyle name="_Sheet1_Book5" xfId="21454" xr:uid="{00000000-0005-0000-0000-0000C5530000}"/>
    <cellStyle name="_Sheet1_Book5 2" xfId="21455" xr:uid="{00000000-0005-0000-0000-0000C6530000}"/>
    <cellStyle name="_Sheet1_Book5 2 2" xfId="21456" xr:uid="{00000000-0005-0000-0000-0000C7530000}"/>
    <cellStyle name="_Sheet1_Book5 3" xfId="21457" xr:uid="{00000000-0005-0000-0000-0000C8530000}"/>
    <cellStyle name="_Sheet1_Bplan RD 1001" xfId="21458" xr:uid="{00000000-0005-0000-0000-0000C9530000}"/>
    <cellStyle name="_Sheet1_Bplan RD 1001 2" xfId="21459" xr:uid="{00000000-0005-0000-0000-0000CA530000}"/>
    <cellStyle name="_Sheet1_Bplan RD 1001 2 2" xfId="21460" xr:uid="{00000000-0005-0000-0000-0000CB530000}"/>
    <cellStyle name="_Sheet1_Bplan RD 1001 3" xfId="21461" xr:uid="{00000000-0005-0000-0000-0000CC530000}"/>
    <cellStyle name="_Sheet1_Copy of BGT 08 Templates Sales  Marketing - final (revised)" xfId="21462" xr:uid="{00000000-0005-0000-0000-0000CD530000}"/>
    <cellStyle name="_Sheet1_Copy of BGT 08 Templates Sales  Marketing - final (revised) 2" xfId="21463" xr:uid="{00000000-0005-0000-0000-0000CE530000}"/>
    <cellStyle name="_Sheet1_Copy of BGT 08 Templates Sales  Marketing - final (revised) 2 2" xfId="21464" xr:uid="{00000000-0005-0000-0000-0000CF530000}"/>
    <cellStyle name="_Sheet1_Copy of BGT 08 Templates Sales  Marketing - final (revised) 3" xfId="21465" xr:uid="{00000000-0005-0000-0000-0000D0530000}"/>
    <cellStyle name="_Sheet1_Excel sheets to support Market Program Template for Budget 09" xfId="21466" xr:uid="{00000000-0005-0000-0000-0000D1530000}"/>
    <cellStyle name="_Sheet1_Excel sheets to support Market Program Template for Budget 09 (5) (2)" xfId="21467" xr:uid="{00000000-0005-0000-0000-0000D2530000}"/>
    <cellStyle name="_Sheet1_Excel sheets to support Market Program Template for Budget 09 (5) (2) 2" xfId="21468" xr:uid="{00000000-0005-0000-0000-0000D3530000}"/>
    <cellStyle name="_Sheet1_Excel sheets to support Market Program Template for Budget 09 (5) (2) 2 2" xfId="21469" xr:uid="{00000000-0005-0000-0000-0000D4530000}"/>
    <cellStyle name="_Sheet1_Excel sheets to support Market Program Template for Budget 09 (5) (2) 3" xfId="21470" xr:uid="{00000000-0005-0000-0000-0000D5530000}"/>
    <cellStyle name="_Sheet1_Excel sheets to support Market Program Template for Budget 09 (5) (3)" xfId="21471" xr:uid="{00000000-0005-0000-0000-0000D6530000}"/>
    <cellStyle name="_Sheet1_Excel sheets to support Market Program Template for Budget 09 (5) (3) 2" xfId="21472" xr:uid="{00000000-0005-0000-0000-0000D7530000}"/>
    <cellStyle name="_Sheet1_Excel sheets to support Market Program Template for Budget 09 (5) (3) 2 2" xfId="21473" xr:uid="{00000000-0005-0000-0000-0000D8530000}"/>
    <cellStyle name="_Sheet1_Excel sheets to support Market Program Template for Budget 09 (5) (3) 3" xfId="21474" xr:uid="{00000000-0005-0000-0000-0000D9530000}"/>
    <cellStyle name="_Sheet1_Excel sheets to support Market Program Template for Budget 09 2" xfId="21475" xr:uid="{00000000-0005-0000-0000-0000DA530000}"/>
    <cellStyle name="_Sheet1_Excel sheets to support Market Program Template for Budget 09 2 2" xfId="21476" xr:uid="{00000000-0005-0000-0000-0000DB530000}"/>
    <cellStyle name="_Sheet1_Excel sheets to support Market Program Template for Budget 09 3" xfId="21477" xr:uid="{00000000-0005-0000-0000-0000DC530000}"/>
    <cellStyle name="_Sheet1_Excel sheets to support Market Program Template for Budget 09 3 2" xfId="21478" xr:uid="{00000000-0005-0000-0000-0000DD530000}"/>
    <cellStyle name="_Sheet1_Excel sheets to support Market Program Template for Budget 09 4" xfId="21479" xr:uid="{00000000-0005-0000-0000-0000DE530000}"/>
    <cellStyle name="_Sheet1_Excel sheets to support Market Program Template for Budget 09 5" xfId="21480" xr:uid="{00000000-0005-0000-0000-0000DF530000}"/>
    <cellStyle name="_Sheet1_LE Ebitda RD Feb-10 v2" xfId="21481" xr:uid="{00000000-0005-0000-0000-0000E0530000}"/>
    <cellStyle name="_Sheet1_LE Ebitda RD Feb-10 v2 2" xfId="21482" xr:uid="{00000000-0005-0000-0000-0000E1530000}"/>
    <cellStyle name="_Sheet1_LE Ebitda RD Feb-10 v2 2 2" xfId="21483" xr:uid="{00000000-0005-0000-0000-0000E2530000}"/>
    <cellStyle name="_Sheet1_LE Ebitda RD Feb-10 v2 3" xfId="21484" xr:uid="{00000000-0005-0000-0000-0000E3530000}"/>
    <cellStyle name="_Sheet1_People Package" xfId="21485" xr:uid="{00000000-0005-0000-0000-0000E4530000}"/>
    <cellStyle name="_Sheet1_People Package (2)" xfId="21486" xr:uid="{00000000-0005-0000-0000-0000E5530000}"/>
    <cellStyle name="_Sheet1_People Package (2) 2" xfId="21487" xr:uid="{00000000-0005-0000-0000-0000E6530000}"/>
    <cellStyle name="_Sheet1_People Package (2) 2 2" xfId="21488" xr:uid="{00000000-0005-0000-0000-0000E7530000}"/>
    <cellStyle name="_Sheet1_People Package (2) 3" xfId="21489" xr:uid="{00000000-0005-0000-0000-0000E8530000}"/>
    <cellStyle name="_Sheet1_People Package 2" xfId="21490" xr:uid="{00000000-0005-0000-0000-0000E9530000}"/>
    <cellStyle name="_Sheet1_People Package 2 2" xfId="21491" xr:uid="{00000000-0005-0000-0000-0000EA530000}"/>
    <cellStyle name="_Sheet1_People Package 3" xfId="21492" xr:uid="{00000000-0005-0000-0000-0000EB530000}"/>
    <cellStyle name="_Sheet1_People Package 3 2" xfId="21493" xr:uid="{00000000-0005-0000-0000-0000EC530000}"/>
    <cellStyle name="_Sheet1_People Package 4" xfId="21494" xr:uid="{00000000-0005-0000-0000-0000ED530000}"/>
    <cellStyle name="_Sheet1_People Package 5" xfId="21495" xr:uid="{00000000-0005-0000-0000-0000EE530000}"/>
    <cellStyle name="_Sheet1_Reference salaries CEE 2007" xfId="21496" xr:uid="{00000000-0005-0000-0000-0000EF530000}"/>
    <cellStyle name="_Sheet1_Reference salaries CEE 2007 2" xfId="21497" xr:uid="{00000000-0005-0000-0000-0000F0530000}"/>
    <cellStyle name="_Sheet1_Reference salaries CEE 2007 2 2" xfId="21498" xr:uid="{00000000-0005-0000-0000-0000F1530000}"/>
    <cellStyle name="_Sheet1_Reference salaries CEE 2007 2 2 2" xfId="21499" xr:uid="{00000000-0005-0000-0000-0000F2530000}"/>
    <cellStyle name="_Sheet1_Reference salaries CEE 2007 2 3" xfId="21500" xr:uid="{00000000-0005-0000-0000-0000F3530000}"/>
    <cellStyle name="_Sheet1_Reference salaries CEE 2007 3" xfId="21501" xr:uid="{00000000-0005-0000-0000-0000F4530000}"/>
    <cellStyle name="_Sheet1_Reference salaries CEE 2007 3 2" xfId="21502" xr:uid="{00000000-0005-0000-0000-0000F5530000}"/>
    <cellStyle name="_Sheet1_Reference salaries CEE 2007 4" xfId="21503" xr:uid="{00000000-0005-0000-0000-0000F6530000}"/>
    <cellStyle name="_Sheet1_Reference salaries CEE 2007_Copy of 081027 ZBB Budget 2009 Decks - People_Cherry_V4" xfId="21504" xr:uid="{00000000-0005-0000-0000-0000F7530000}"/>
    <cellStyle name="_Sheet1_Reference salaries CEE 2007_Copy of 081027 ZBB Budget 2009 Decks - People_Cherry_V4 2" xfId="21505" xr:uid="{00000000-0005-0000-0000-0000F8530000}"/>
    <cellStyle name="_Sheet1_Reference salaries CEE 2007_Copy of 081027 ZBB Budget 2009 Decks - People_Cherry_V4 2 2" xfId="21506" xr:uid="{00000000-0005-0000-0000-0000F9530000}"/>
    <cellStyle name="_Sheet1_Reference salaries CEE 2007_Copy of 081027 ZBB Budget 2009 Decks - People_Cherry_V4 2 2 2" xfId="21507" xr:uid="{00000000-0005-0000-0000-0000FA530000}"/>
    <cellStyle name="_Sheet1_Reference salaries CEE 2007_Copy of 081027 ZBB Budget 2009 Decks - People_Cherry_V4 2 3" xfId="21508" xr:uid="{00000000-0005-0000-0000-0000FB530000}"/>
    <cellStyle name="_Sheet1_Reference salaries CEE 2007_Copy of 081027 ZBB Budget 2009 Decks - People_Cherry_V4 3" xfId="21509" xr:uid="{00000000-0005-0000-0000-0000FC530000}"/>
    <cellStyle name="_Sheet1_Reference salaries CEE 2007_Copy of 081027 ZBB Budget 2009 Decks - People_Cherry_V4 3 2" xfId="21510" xr:uid="{00000000-0005-0000-0000-0000FD530000}"/>
    <cellStyle name="_Sheet1_Reference salaries CEE 2007_Copy of 081027 ZBB Budget 2009 Decks - People_Cherry_V4 4" xfId="21511" xr:uid="{00000000-0005-0000-0000-0000FE530000}"/>
    <cellStyle name="_Sheet1_Reference salaries CEE 2007_ZBB Budget 2009 Decks" xfId="21512" xr:uid="{00000000-0005-0000-0000-0000FF530000}"/>
    <cellStyle name="_Sheet1_Reference salaries CEE 2007_ZBB Budget 2009 Decks 2" xfId="21513" xr:uid="{00000000-0005-0000-0000-000000540000}"/>
    <cellStyle name="_Sheet1_Reference salaries CEE 2007_ZBB Budget 2009 Decks 2 2" xfId="21514" xr:uid="{00000000-0005-0000-0000-000001540000}"/>
    <cellStyle name="_Sheet1_Reference salaries CEE 2007_ZBB Budget 2009 Decks 2 2 2" xfId="21515" xr:uid="{00000000-0005-0000-0000-000002540000}"/>
    <cellStyle name="_Sheet1_Reference salaries CEE 2007_ZBB Budget 2009 Decks 2 3" xfId="21516" xr:uid="{00000000-0005-0000-0000-000003540000}"/>
    <cellStyle name="_Sheet1_Reference salaries CEE 2007_ZBB Budget 2009 Decks 3" xfId="21517" xr:uid="{00000000-0005-0000-0000-000004540000}"/>
    <cellStyle name="_Sheet1_Reference salaries CEE 2007_ZBB Budget 2009 Decks 3 2" xfId="21518" xr:uid="{00000000-0005-0000-0000-000005540000}"/>
    <cellStyle name="_Sheet1_Reference salaries CEE 2007_ZBB Budget 2009 Decks 4" xfId="21519" xr:uid="{00000000-0005-0000-0000-000006540000}"/>
    <cellStyle name="_Sheet1_Reference salaries CEE 2007_ZBB Budget 2009 Decks_with Korea Scope in (Only LE)" xfId="21520" xr:uid="{00000000-0005-0000-0000-000007540000}"/>
    <cellStyle name="_Sheet1_Reference salaries CEE 2007_ZBB Budget 2009 Decks_with Korea Scope in (Only LE) (2)" xfId="21521" xr:uid="{00000000-0005-0000-0000-000008540000}"/>
    <cellStyle name="_Sheet1_Reference salaries CEE 2007_ZBB Budget 2009 Decks_with Korea Scope in (Only LE) (2) 2" xfId="21522" xr:uid="{00000000-0005-0000-0000-000009540000}"/>
    <cellStyle name="_Sheet1_Reference salaries CEE 2007_ZBB Budget 2009 Decks_with Korea Scope in (Only LE) (2) 2 2" xfId="21523" xr:uid="{00000000-0005-0000-0000-00000A540000}"/>
    <cellStyle name="_Sheet1_Reference salaries CEE 2007_ZBB Budget 2009 Decks_with Korea Scope in (Only LE) (2) 2 2 2" xfId="21524" xr:uid="{00000000-0005-0000-0000-00000B540000}"/>
    <cellStyle name="_Sheet1_Reference salaries CEE 2007_ZBB Budget 2009 Decks_with Korea Scope in (Only LE) (2) 2 3" xfId="21525" xr:uid="{00000000-0005-0000-0000-00000C540000}"/>
    <cellStyle name="_Sheet1_Reference salaries CEE 2007_ZBB Budget 2009 Decks_with Korea Scope in (Only LE) (2) 3" xfId="21526" xr:uid="{00000000-0005-0000-0000-00000D540000}"/>
    <cellStyle name="_Sheet1_Reference salaries CEE 2007_ZBB Budget 2009 Decks_with Korea Scope in (Only LE) (2) 3 2" xfId="21527" xr:uid="{00000000-0005-0000-0000-00000E540000}"/>
    <cellStyle name="_Sheet1_Reference salaries CEE 2007_ZBB Budget 2009 Decks_with Korea Scope in (Only LE) (2) 4" xfId="21528" xr:uid="{00000000-0005-0000-0000-00000F540000}"/>
    <cellStyle name="_Sheet1_Reference salaries CEE 2007_ZBB Budget 2009 Decks_with Korea Scope in (Only LE) 2" xfId="21529" xr:uid="{00000000-0005-0000-0000-000010540000}"/>
    <cellStyle name="_Sheet1_Reference salaries CEE 2007_ZBB Budget 2009 Decks_with Korea Scope in (Only LE) 2 2" xfId="21530" xr:uid="{00000000-0005-0000-0000-000011540000}"/>
    <cellStyle name="_Sheet1_Reference salaries CEE 2007_ZBB Budget 2009 Decks_with Korea Scope in (Only LE) 2 2 2" xfId="21531" xr:uid="{00000000-0005-0000-0000-000012540000}"/>
    <cellStyle name="_Sheet1_Reference salaries CEE 2007_ZBB Budget 2009 Decks_with Korea Scope in (Only LE) 2 3" xfId="21532" xr:uid="{00000000-0005-0000-0000-000013540000}"/>
    <cellStyle name="_Sheet1_Reference salaries CEE 2007_ZBB Budget 2009 Decks_with Korea Scope in (Only LE) 3" xfId="21533" xr:uid="{00000000-0005-0000-0000-000014540000}"/>
    <cellStyle name="_Sheet1_Reference salaries CEE 2007_ZBB Budget 2009 Decks_with Korea Scope in (Only LE) 3 2" xfId="21534" xr:uid="{00000000-0005-0000-0000-000015540000}"/>
    <cellStyle name="_Sheet1_Reference salaries CEE 2007_ZBB Budget 2009 Decks_with Korea Scope in (Only LE) 4" xfId="21535" xr:uid="{00000000-0005-0000-0000-000016540000}"/>
    <cellStyle name="_Sheet1_Reference salaries CEE 2007_ZBB Budget 2009 Decks_with Korea Scope in (Only LE) 4 2" xfId="21536" xr:uid="{00000000-0005-0000-0000-000017540000}"/>
    <cellStyle name="_Sheet1_Reference salaries CEE 2007_ZBB Budget 2009 Decks_with Korea Scope in (Only LE) 5" xfId="21537" xr:uid="{00000000-0005-0000-0000-000018540000}"/>
    <cellStyle name="_Sheet1_Reference salaries CEE 2007_ZBB Budget 2009 Decks_with Korea Scope in (Only LE) 6" xfId="21538" xr:uid="{00000000-0005-0000-0000-000019540000}"/>
    <cellStyle name="_Sheet1_Sales and Marketing - revised" xfId="21539" xr:uid="{00000000-0005-0000-0000-00001A540000}"/>
    <cellStyle name="_Sheet1_Sales and Marketing - revised 2" xfId="21540" xr:uid="{00000000-0005-0000-0000-00001B540000}"/>
    <cellStyle name="_Sheet1_Sales and Marketing - revised 2 2" xfId="21541" xr:uid="{00000000-0005-0000-0000-00001C540000}"/>
    <cellStyle name="_Sheet1_Sales and Marketing - revised 3" xfId="21542" xr:uid="{00000000-0005-0000-0000-00001D540000}"/>
    <cellStyle name="_Sheet1_Sim Ebitda LE 0909 v4" xfId="21543" xr:uid="{00000000-0005-0000-0000-00001E540000}"/>
    <cellStyle name="_Sheet1_Sim Ebitda LE 0909 v4 2" xfId="21544" xr:uid="{00000000-0005-0000-0000-00001F540000}"/>
    <cellStyle name="_Sheet1_Sim Ebitda LE 0909 v4 2 2" xfId="21545" xr:uid="{00000000-0005-0000-0000-000020540000}"/>
    <cellStyle name="_Sheet1_Sim Ebitda LE 0909 v4 3" xfId="21546" xr:uid="{00000000-0005-0000-0000-000021540000}"/>
    <cellStyle name="_Sheet1_WF Ebitda RD Abr-10" xfId="21547" xr:uid="{00000000-0005-0000-0000-000022540000}"/>
    <cellStyle name="_Sheet1_WF Ebitda RD Abr-10 2" xfId="21548" xr:uid="{00000000-0005-0000-0000-000023540000}"/>
    <cellStyle name="_Sheet1_WF Ebitda RD Abr-10 2 2" xfId="21549" xr:uid="{00000000-0005-0000-0000-000024540000}"/>
    <cellStyle name="_Sheet1_WF Ebitda RD Abr-10 3" xfId="21550" xr:uid="{00000000-0005-0000-0000-000025540000}"/>
    <cellStyle name="_Sheet1_WF Ebitda Sep09" xfId="21551" xr:uid="{00000000-0005-0000-0000-000026540000}"/>
    <cellStyle name="_Sheet1_WF Ebitda Sep09 2" xfId="21552" xr:uid="{00000000-0005-0000-0000-000027540000}"/>
    <cellStyle name="_Sheet1_WF Ebitda Sep09 2 2" xfId="21553" xr:uid="{00000000-0005-0000-0000-000028540000}"/>
    <cellStyle name="_Sheet1_WF Ebitda Sep09 3" xfId="21554" xr:uid="{00000000-0005-0000-0000-000029540000}"/>
    <cellStyle name="_Sheet1_ZBB" xfId="21555" xr:uid="{00000000-0005-0000-0000-00002A540000}"/>
    <cellStyle name="_Sheet1_ZBB 2" xfId="21556" xr:uid="{00000000-0005-0000-0000-00002B540000}"/>
    <cellStyle name="_Sheet1_ZBB 2 2" xfId="21557" xr:uid="{00000000-0005-0000-0000-00002C540000}"/>
    <cellStyle name="_Sheet1_ZBB 3" xfId="21558" xr:uid="{00000000-0005-0000-0000-00002D540000}"/>
    <cellStyle name="_Sheet1_ZBB Budget 2009 Decks v2 china" xfId="21559" xr:uid="{00000000-0005-0000-0000-00002E540000}"/>
    <cellStyle name="_Sheet1_ZBB Budget 2009 Decks v2 china 2" xfId="21560" xr:uid="{00000000-0005-0000-0000-00002F540000}"/>
    <cellStyle name="_Sheet1_ZBB Budget 2009 Decks v2 china 2 2" xfId="21561" xr:uid="{00000000-0005-0000-0000-000030540000}"/>
    <cellStyle name="_Sheet1_ZBB Budget 2009 Decks v2 china 2 2 2" xfId="21562" xr:uid="{00000000-0005-0000-0000-000031540000}"/>
    <cellStyle name="_Sheet1_ZBB Budget 2009 Decks v2 china 2 3" xfId="21563" xr:uid="{00000000-0005-0000-0000-000032540000}"/>
    <cellStyle name="_Sheet1_ZBB Budget 2009 Decks v2 china 3" xfId="21564" xr:uid="{00000000-0005-0000-0000-000033540000}"/>
    <cellStyle name="_Sheet1_ZBB Budget 2009 Decks v2 china 3 2" xfId="21565" xr:uid="{00000000-0005-0000-0000-000034540000}"/>
    <cellStyle name="_Sheet1_ZBB Budget 2009 Decks v2 china 4" xfId="21566" xr:uid="{00000000-0005-0000-0000-000035540000}"/>
    <cellStyle name="_Sheet1_ZBB standard Template Korea_081105" xfId="21567" xr:uid="{00000000-0005-0000-0000-000036540000}"/>
    <cellStyle name="_Sheet1_ZBB standard Template Korea_081105 2" xfId="21568" xr:uid="{00000000-0005-0000-0000-000037540000}"/>
    <cellStyle name="_Sheet1_ZBB standard Template Korea_081105 2 2" xfId="21569" xr:uid="{00000000-0005-0000-0000-000038540000}"/>
    <cellStyle name="_Sheet1_ZBB standard Template Korea_081105 2 2 2" xfId="21570" xr:uid="{00000000-0005-0000-0000-000039540000}"/>
    <cellStyle name="_Sheet1_ZBB standard Template Korea_081105 2 3" xfId="21571" xr:uid="{00000000-0005-0000-0000-00003A540000}"/>
    <cellStyle name="_Sheet1_ZBB standard Template Korea_081105 3" xfId="21572" xr:uid="{00000000-0005-0000-0000-00003B540000}"/>
    <cellStyle name="_Sheet1_ZBB standard Template Korea_081105 3 2" xfId="21573" xr:uid="{00000000-0005-0000-0000-00003C540000}"/>
    <cellStyle name="_Sheet1_ZBB standard Template Korea_081105 4" xfId="21574" xr:uid="{00000000-0005-0000-0000-00003D540000}"/>
    <cellStyle name="_Sim LE Full v2 (1o. Tri com Ene real) Organic " xfId="21575" xr:uid="{00000000-0005-0000-0000-00003E540000}"/>
    <cellStyle name="_Sim LE Full v2 (1o. Tri com Ene real) Organic  2" xfId="21576" xr:uid="{00000000-0005-0000-0000-00003F540000}"/>
    <cellStyle name="_Sim LE Full v2 (1o. Tri com Ene real) Organic  2 2" xfId="21577" xr:uid="{00000000-0005-0000-0000-000040540000}"/>
    <cellStyle name="_Sim LE Full v2 (1o. Tri com Ene real) Organic  3" xfId="21578" xr:uid="{00000000-0005-0000-0000-000041540000}"/>
    <cellStyle name="_Simulador EBITDA P1A09  V20 " xfId="21579" xr:uid="{00000000-0005-0000-0000-000042540000}"/>
    <cellStyle name="_Simulador EBITDA P1A09  V20  2" xfId="21580" xr:uid="{00000000-0005-0000-0000-000043540000}"/>
    <cellStyle name="_Simulador EBITDA P1A09  V20  2 2" xfId="21581" xr:uid="{00000000-0005-0000-0000-000044540000}"/>
    <cellStyle name="_Simulador EBITDA P1A09  V20  3" xfId="21582" xr:uid="{00000000-0005-0000-0000-000045540000}"/>
    <cellStyle name="_Simulador EBITDA P1A09  V24" xfId="21583" xr:uid="{00000000-0005-0000-0000-000046540000}"/>
    <cellStyle name="_Simulador EBITDA P1A09  V24 2" xfId="21584" xr:uid="{00000000-0005-0000-0000-000047540000}"/>
    <cellStyle name="_Simulador EBITDA P1A09  V24 2 2" xfId="21585" xr:uid="{00000000-0005-0000-0000-000048540000}"/>
    <cellStyle name="_Simulador EBITDA P1A09  V24 3" xfId="21586" xr:uid="{00000000-0005-0000-0000-000049540000}"/>
    <cellStyle name="_Simulador EBITDA P1A09  V9" xfId="21587" xr:uid="{00000000-0005-0000-0000-00004A540000}"/>
    <cellStyle name="_Simulador EBITDA P1A09  V9 2" xfId="21588" xr:uid="{00000000-0005-0000-0000-00004B540000}"/>
    <cellStyle name="_Simulador EBITDA P1A09  V9 2 2" xfId="21589" xr:uid="{00000000-0005-0000-0000-00004C540000}"/>
    <cellStyle name="_Simulador EBITDA P1A09  V9 3" xfId="21590" xr:uid="{00000000-0005-0000-0000-00004D540000}"/>
    <cellStyle name="_Simulador LE 3m vs Plan09" xfId="21591" xr:uid="{00000000-0005-0000-0000-00004E540000}"/>
    <cellStyle name="_Simulador LE 3m vs Plan09 2" xfId="21592" xr:uid="{00000000-0005-0000-0000-00004F540000}"/>
    <cellStyle name="_Simulador LE 3m vs Plan09 2 2" xfId="21593" xr:uid="{00000000-0005-0000-0000-000050540000}"/>
    <cellStyle name="_Simulador LE 3m vs Plan09 3" xfId="21594" xr:uid="{00000000-0005-0000-0000-000051540000}"/>
    <cellStyle name="_SIMULADOR RDV6!" xfId="21595" xr:uid="{00000000-0005-0000-0000-000052540000}"/>
    <cellStyle name="_SIMULADOR RDV6! 2" xfId="21596" xr:uid="{00000000-0005-0000-0000-000053540000}"/>
    <cellStyle name="_SIMULADOR RDV6! 2 2" xfId="21597" xr:uid="{00000000-0005-0000-0000-000054540000}"/>
    <cellStyle name="_SIMULADOR RDV6! 3" xfId="21598" xr:uid="{00000000-0005-0000-0000-000055540000}"/>
    <cellStyle name="_Slides presentación RGI Chile" xfId="21599" xr:uid="{00000000-0005-0000-0000-000056540000}"/>
    <cellStyle name="_Slides presentación RGI Chile 2" xfId="21600" xr:uid="{00000000-0005-0000-0000-000057540000}"/>
    <cellStyle name="_Slides presentación RGI Chile 2 2" xfId="21601" xr:uid="{00000000-0005-0000-0000-000058540000}"/>
    <cellStyle name="_Slides presentación RGI Chile 3" xfId="21602" xr:uid="{00000000-0005-0000-0000-000059540000}"/>
    <cellStyle name="_Story_Board_Template_InBev_(Empty) VIC" xfId="21603" xr:uid="{00000000-0005-0000-0000-00005A540000}"/>
    <cellStyle name="_Story_Board_Template_InBev_(Empty) VIC 2" xfId="21604" xr:uid="{00000000-0005-0000-0000-00005B540000}"/>
    <cellStyle name="_Story_Board_Template_InBev_(Empty) VIC 2 2" xfId="21605" xr:uid="{00000000-0005-0000-0000-00005C540000}"/>
    <cellStyle name="_Story_Board_Template_InBev_(Empty) VIC 3" xfId="21606" xr:uid="{00000000-0005-0000-0000-00005D540000}"/>
    <cellStyle name="_summary" xfId="21607" xr:uid="{00000000-0005-0000-0000-00005E540000}"/>
    <cellStyle name="_summary 2" xfId="21608" xr:uid="{00000000-0005-0000-0000-00005F540000}"/>
    <cellStyle name="_summary 2 2" xfId="21609" xr:uid="{00000000-0005-0000-0000-000060540000}"/>
    <cellStyle name="_summary 2 2 2" xfId="21610" xr:uid="{00000000-0005-0000-0000-000061540000}"/>
    <cellStyle name="_summary 2 3" xfId="21611" xr:uid="{00000000-0005-0000-0000-000062540000}"/>
    <cellStyle name="_summary 3" xfId="21612" xr:uid="{00000000-0005-0000-0000-000063540000}"/>
    <cellStyle name="_summary 3 2" xfId="21613" xr:uid="{00000000-0005-0000-0000-000064540000}"/>
    <cellStyle name="_summary 4" xfId="21614" xr:uid="{00000000-0005-0000-0000-000065540000}"/>
    <cellStyle name="_summary_0908 Gabarito exchange rate" xfId="21615" xr:uid="{00000000-0005-0000-0000-000066540000}"/>
    <cellStyle name="_summary_0908 Gabarito exchange rate 2" xfId="21616" xr:uid="{00000000-0005-0000-0000-000067540000}"/>
    <cellStyle name="_summary_0908 Gabarito exchange rate 2 2" xfId="21617" xr:uid="{00000000-0005-0000-0000-000068540000}"/>
    <cellStyle name="_summary_0908 Gabarito exchange rate 3" xfId="21618" xr:uid="{00000000-0005-0000-0000-000069540000}"/>
    <cellStyle name="_summary_Book5" xfId="21619" xr:uid="{00000000-0005-0000-0000-00006A540000}"/>
    <cellStyle name="_summary_Book5 2" xfId="21620" xr:uid="{00000000-0005-0000-0000-00006B540000}"/>
    <cellStyle name="_summary_Book5 2 2" xfId="21621" xr:uid="{00000000-0005-0000-0000-00006C540000}"/>
    <cellStyle name="_summary_Book5 3" xfId="21622" xr:uid="{00000000-0005-0000-0000-00006D540000}"/>
    <cellStyle name="_summary_Bplan RD 1001" xfId="21623" xr:uid="{00000000-0005-0000-0000-00006E540000}"/>
    <cellStyle name="_summary_Bplan RD 1001 2" xfId="21624" xr:uid="{00000000-0005-0000-0000-00006F540000}"/>
    <cellStyle name="_summary_Bplan RD 1001 2 2" xfId="21625" xr:uid="{00000000-0005-0000-0000-000070540000}"/>
    <cellStyle name="_summary_Bplan RD 1001 3" xfId="21626" xr:uid="{00000000-0005-0000-0000-000071540000}"/>
    <cellStyle name="_summary_Copy of 081027 ZBB Budget 2009 Decks - People_Cherry_V4" xfId="21627" xr:uid="{00000000-0005-0000-0000-000072540000}"/>
    <cellStyle name="_summary_Copy of 081027 ZBB Budget 2009 Decks - People_Cherry_V4 2" xfId="21628" xr:uid="{00000000-0005-0000-0000-000073540000}"/>
    <cellStyle name="_summary_Copy of 081027 ZBB Budget 2009 Decks - People_Cherry_V4 2 2" xfId="21629" xr:uid="{00000000-0005-0000-0000-000074540000}"/>
    <cellStyle name="_summary_Copy of 081027 ZBB Budget 2009 Decks - People_Cherry_V4 2 2 2" xfId="21630" xr:uid="{00000000-0005-0000-0000-000075540000}"/>
    <cellStyle name="_summary_Copy of 081027 ZBB Budget 2009 Decks - People_Cherry_V4 2 3" xfId="21631" xr:uid="{00000000-0005-0000-0000-000076540000}"/>
    <cellStyle name="_summary_Copy of 081027 ZBB Budget 2009 Decks - People_Cherry_V4 3" xfId="21632" xr:uid="{00000000-0005-0000-0000-000077540000}"/>
    <cellStyle name="_summary_Copy of 081027 ZBB Budget 2009 Decks - People_Cherry_V4 3 2" xfId="21633" xr:uid="{00000000-0005-0000-0000-000078540000}"/>
    <cellStyle name="_summary_Copy of 081027 ZBB Budget 2009 Decks - People_Cherry_V4 4" xfId="21634" xr:uid="{00000000-0005-0000-0000-000079540000}"/>
    <cellStyle name="_summary_LE Ebitda RD Feb-10 v2" xfId="21635" xr:uid="{00000000-0005-0000-0000-00007A540000}"/>
    <cellStyle name="_summary_LE Ebitda RD Feb-10 v2 2" xfId="21636" xr:uid="{00000000-0005-0000-0000-00007B540000}"/>
    <cellStyle name="_summary_LE Ebitda RD Feb-10 v2 2 2" xfId="21637" xr:uid="{00000000-0005-0000-0000-00007C540000}"/>
    <cellStyle name="_summary_LE Ebitda RD Feb-10 v2 3" xfId="21638" xr:uid="{00000000-0005-0000-0000-00007D540000}"/>
    <cellStyle name="_summary_People Package" xfId="21639" xr:uid="{00000000-0005-0000-0000-00007E540000}"/>
    <cellStyle name="_summary_People Package (2)" xfId="21640" xr:uid="{00000000-0005-0000-0000-00007F540000}"/>
    <cellStyle name="_summary_People Package (2) 2" xfId="21641" xr:uid="{00000000-0005-0000-0000-000080540000}"/>
    <cellStyle name="_summary_People Package (2) 2 2" xfId="21642" xr:uid="{00000000-0005-0000-0000-000081540000}"/>
    <cellStyle name="_summary_People Package (2) 2 2 2" xfId="21643" xr:uid="{00000000-0005-0000-0000-000082540000}"/>
    <cellStyle name="_summary_People Package (2) 2 3" xfId="21644" xr:uid="{00000000-0005-0000-0000-000083540000}"/>
    <cellStyle name="_summary_People Package (2) 3" xfId="21645" xr:uid="{00000000-0005-0000-0000-000084540000}"/>
    <cellStyle name="_summary_People Package (2) 3 2" xfId="21646" xr:uid="{00000000-0005-0000-0000-000085540000}"/>
    <cellStyle name="_summary_People Package (2) 4" xfId="21647" xr:uid="{00000000-0005-0000-0000-000086540000}"/>
    <cellStyle name="_summary_People Package 2" xfId="21648" xr:uid="{00000000-0005-0000-0000-000087540000}"/>
    <cellStyle name="_summary_People Package 2 2" xfId="21649" xr:uid="{00000000-0005-0000-0000-000088540000}"/>
    <cellStyle name="_summary_People Package 2 2 2" xfId="21650" xr:uid="{00000000-0005-0000-0000-000089540000}"/>
    <cellStyle name="_summary_People Package 2 3" xfId="21651" xr:uid="{00000000-0005-0000-0000-00008A540000}"/>
    <cellStyle name="_summary_People Package 3" xfId="21652" xr:uid="{00000000-0005-0000-0000-00008B540000}"/>
    <cellStyle name="_summary_People Package 3 2" xfId="21653" xr:uid="{00000000-0005-0000-0000-00008C540000}"/>
    <cellStyle name="_summary_People Package 4" xfId="21654" xr:uid="{00000000-0005-0000-0000-00008D540000}"/>
    <cellStyle name="_summary_People Package 4 2" xfId="21655" xr:uid="{00000000-0005-0000-0000-00008E540000}"/>
    <cellStyle name="_summary_People Package 5" xfId="21656" xr:uid="{00000000-0005-0000-0000-00008F540000}"/>
    <cellStyle name="_summary_People Package 6" xfId="21657" xr:uid="{00000000-0005-0000-0000-000090540000}"/>
    <cellStyle name="_summary_Sales and Marketing - revised" xfId="21658" xr:uid="{00000000-0005-0000-0000-000091540000}"/>
    <cellStyle name="_summary_Sales and Marketing - revised 2" xfId="21659" xr:uid="{00000000-0005-0000-0000-000092540000}"/>
    <cellStyle name="_summary_Sales and Marketing - revised 2 2" xfId="21660" xr:uid="{00000000-0005-0000-0000-000093540000}"/>
    <cellStyle name="_summary_Sales and Marketing - revised 3" xfId="21661" xr:uid="{00000000-0005-0000-0000-000094540000}"/>
    <cellStyle name="_summary_Sim Ebitda LE 0909 v4" xfId="21662" xr:uid="{00000000-0005-0000-0000-000095540000}"/>
    <cellStyle name="_summary_Sim Ebitda LE 0909 v4 2" xfId="21663" xr:uid="{00000000-0005-0000-0000-000096540000}"/>
    <cellStyle name="_summary_Sim Ebitda LE 0909 v4 2 2" xfId="21664" xr:uid="{00000000-0005-0000-0000-000097540000}"/>
    <cellStyle name="_summary_Sim Ebitda LE 0909 v4 3" xfId="21665" xr:uid="{00000000-0005-0000-0000-000098540000}"/>
    <cellStyle name="_summary_WF Ebitda RD Abr-10" xfId="21666" xr:uid="{00000000-0005-0000-0000-000099540000}"/>
    <cellStyle name="_summary_WF Ebitda RD Abr-10 2" xfId="21667" xr:uid="{00000000-0005-0000-0000-00009A540000}"/>
    <cellStyle name="_summary_WF Ebitda RD Abr-10 2 2" xfId="21668" xr:uid="{00000000-0005-0000-0000-00009B540000}"/>
    <cellStyle name="_summary_WF Ebitda RD Abr-10 3" xfId="21669" xr:uid="{00000000-0005-0000-0000-00009C540000}"/>
    <cellStyle name="_summary_WF Ebitda Sep09" xfId="21670" xr:uid="{00000000-0005-0000-0000-00009D540000}"/>
    <cellStyle name="_summary_WF Ebitda Sep09 2" xfId="21671" xr:uid="{00000000-0005-0000-0000-00009E540000}"/>
    <cellStyle name="_summary_WF Ebitda Sep09 2 2" xfId="21672" xr:uid="{00000000-0005-0000-0000-00009F540000}"/>
    <cellStyle name="_summary_WF Ebitda Sep09 3" xfId="21673" xr:uid="{00000000-0005-0000-0000-0000A0540000}"/>
    <cellStyle name="_summary_ZBB" xfId="21674" xr:uid="{00000000-0005-0000-0000-0000A1540000}"/>
    <cellStyle name="_summary_ZBB 2" xfId="21675" xr:uid="{00000000-0005-0000-0000-0000A2540000}"/>
    <cellStyle name="_summary_ZBB 2 2" xfId="21676" xr:uid="{00000000-0005-0000-0000-0000A3540000}"/>
    <cellStyle name="_summary_ZBB 2 2 2" xfId="21677" xr:uid="{00000000-0005-0000-0000-0000A4540000}"/>
    <cellStyle name="_summary_ZBB 2 3" xfId="21678" xr:uid="{00000000-0005-0000-0000-0000A5540000}"/>
    <cellStyle name="_summary_ZBB 3" xfId="21679" xr:uid="{00000000-0005-0000-0000-0000A6540000}"/>
    <cellStyle name="_summary_ZBB 3 2" xfId="21680" xr:uid="{00000000-0005-0000-0000-0000A7540000}"/>
    <cellStyle name="_summary_ZBB 4" xfId="21681" xr:uid="{00000000-0005-0000-0000-0000A8540000}"/>
    <cellStyle name="_summary_ZBB Budget 2009 Decks" xfId="21682" xr:uid="{00000000-0005-0000-0000-0000A9540000}"/>
    <cellStyle name="_summary_ZBB Budget 2009 Decks 2" xfId="21683" xr:uid="{00000000-0005-0000-0000-0000AA540000}"/>
    <cellStyle name="_summary_ZBB Budget 2009 Decks 2 2" xfId="21684" xr:uid="{00000000-0005-0000-0000-0000AB540000}"/>
    <cellStyle name="_summary_ZBB Budget 2009 Decks 2 2 2" xfId="21685" xr:uid="{00000000-0005-0000-0000-0000AC540000}"/>
    <cellStyle name="_summary_ZBB Budget 2009 Decks 2 3" xfId="21686" xr:uid="{00000000-0005-0000-0000-0000AD540000}"/>
    <cellStyle name="_summary_ZBB Budget 2009 Decks 3" xfId="21687" xr:uid="{00000000-0005-0000-0000-0000AE540000}"/>
    <cellStyle name="_summary_ZBB Budget 2009 Decks 3 2" xfId="21688" xr:uid="{00000000-0005-0000-0000-0000AF540000}"/>
    <cellStyle name="_summary_ZBB Budget 2009 Decks 4" xfId="21689" xr:uid="{00000000-0005-0000-0000-0000B0540000}"/>
    <cellStyle name="_summary_ZBB Budget 2009 Decks v2 china" xfId="21690" xr:uid="{00000000-0005-0000-0000-0000B1540000}"/>
    <cellStyle name="_summary_ZBB Budget 2009 Decks v2 china 2" xfId="21691" xr:uid="{00000000-0005-0000-0000-0000B2540000}"/>
    <cellStyle name="_summary_ZBB Budget 2009 Decks v2 china 2 2" xfId="21692" xr:uid="{00000000-0005-0000-0000-0000B3540000}"/>
    <cellStyle name="_summary_ZBB Budget 2009 Decks v2 china 2 2 2" xfId="21693" xr:uid="{00000000-0005-0000-0000-0000B4540000}"/>
    <cellStyle name="_summary_ZBB Budget 2009 Decks v2 china 2 3" xfId="21694" xr:uid="{00000000-0005-0000-0000-0000B5540000}"/>
    <cellStyle name="_summary_ZBB Budget 2009 Decks v2 china 3" xfId="21695" xr:uid="{00000000-0005-0000-0000-0000B6540000}"/>
    <cellStyle name="_summary_ZBB Budget 2009 Decks v2 china 3 2" xfId="21696" xr:uid="{00000000-0005-0000-0000-0000B7540000}"/>
    <cellStyle name="_summary_ZBB Budget 2009 Decks v2 china 4" xfId="21697" xr:uid="{00000000-0005-0000-0000-0000B8540000}"/>
    <cellStyle name="_summary_ZBB Budget 2009 Decks_with Korea Scope in (Only LE)" xfId="21698" xr:uid="{00000000-0005-0000-0000-0000B9540000}"/>
    <cellStyle name="_summary_ZBB Budget 2009 Decks_with Korea Scope in (Only LE) (2)" xfId="21699" xr:uid="{00000000-0005-0000-0000-0000BA540000}"/>
    <cellStyle name="_summary_ZBB Budget 2009 Decks_with Korea Scope in (Only LE) (2) 2" xfId="21700" xr:uid="{00000000-0005-0000-0000-0000BB540000}"/>
    <cellStyle name="_summary_ZBB Budget 2009 Decks_with Korea Scope in (Only LE) (2) 2 2" xfId="21701" xr:uid="{00000000-0005-0000-0000-0000BC540000}"/>
    <cellStyle name="_summary_ZBB Budget 2009 Decks_with Korea Scope in (Only LE) (2) 2 2 2" xfId="21702" xr:uid="{00000000-0005-0000-0000-0000BD540000}"/>
    <cellStyle name="_summary_ZBB Budget 2009 Decks_with Korea Scope in (Only LE) (2) 2 3" xfId="21703" xr:uid="{00000000-0005-0000-0000-0000BE540000}"/>
    <cellStyle name="_summary_ZBB Budget 2009 Decks_with Korea Scope in (Only LE) (2) 3" xfId="21704" xr:uid="{00000000-0005-0000-0000-0000BF540000}"/>
    <cellStyle name="_summary_ZBB Budget 2009 Decks_with Korea Scope in (Only LE) (2) 3 2" xfId="21705" xr:uid="{00000000-0005-0000-0000-0000C0540000}"/>
    <cellStyle name="_summary_ZBB Budget 2009 Decks_with Korea Scope in (Only LE) (2) 4" xfId="21706" xr:uid="{00000000-0005-0000-0000-0000C1540000}"/>
    <cellStyle name="_summary_ZBB Budget 2009 Decks_with Korea Scope in (Only LE) 2" xfId="21707" xr:uid="{00000000-0005-0000-0000-0000C2540000}"/>
    <cellStyle name="_summary_ZBB Budget 2009 Decks_with Korea Scope in (Only LE) 2 2" xfId="21708" xr:uid="{00000000-0005-0000-0000-0000C3540000}"/>
    <cellStyle name="_summary_ZBB Budget 2009 Decks_with Korea Scope in (Only LE) 2 2 2" xfId="21709" xr:uid="{00000000-0005-0000-0000-0000C4540000}"/>
    <cellStyle name="_summary_ZBB Budget 2009 Decks_with Korea Scope in (Only LE) 2 3" xfId="21710" xr:uid="{00000000-0005-0000-0000-0000C5540000}"/>
    <cellStyle name="_summary_ZBB Budget 2009 Decks_with Korea Scope in (Only LE) 3" xfId="21711" xr:uid="{00000000-0005-0000-0000-0000C6540000}"/>
    <cellStyle name="_summary_ZBB Budget 2009 Decks_with Korea Scope in (Only LE) 3 2" xfId="21712" xr:uid="{00000000-0005-0000-0000-0000C7540000}"/>
    <cellStyle name="_summary_ZBB Budget 2009 Decks_with Korea Scope in (Only LE) 4" xfId="21713" xr:uid="{00000000-0005-0000-0000-0000C8540000}"/>
    <cellStyle name="_summary_ZBB Budget 2009 Decks_with Korea Scope in (Only LE) 4 2" xfId="21714" xr:uid="{00000000-0005-0000-0000-0000C9540000}"/>
    <cellStyle name="_summary_ZBB Budget 2009 Decks_with Korea Scope in (Only LE) 5" xfId="21715" xr:uid="{00000000-0005-0000-0000-0000CA540000}"/>
    <cellStyle name="_summary_ZBB Budget 2009 Decks_with Korea Scope in (Only LE) 6" xfId="21716" xr:uid="{00000000-0005-0000-0000-0000CB540000}"/>
    <cellStyle name="_summary_ZBB standard Template Korea_081105" xfId="21717" xr:uid="{00000000-0005-0000-0000-0000CC540000}"/>
    <cellStyle name="_summary_ZBB standard Template Korea_081105 2" xfId="21718" xr:uid="{00000000-0005-0000-0000-0000CD540000}"/>
    <cellStyle name="_summary_ZBB standard Template Korea_081105 2 2" xfId="21719" xr:uid="{00000000-0005-0000-0000-0000CE540000}"/>
    <cellStyle name="_summary_ZBB standard Template Korea_081105 2 2 2" xfId="21720" xr:uid="{00000000-0005-0000-0000-0000CF540000}"/>
    <cellStyle name="_summary_ZBB standard Template Korea_081105 2 3" xfId="21721" xr:uid="{00000000-0005-0000-0000-0000D0540000}"/>
    <cellStyle name="_summary_ZBB standard Template Korea_081105 3" xfId="21722" xr:uid="{00000000-0005-0000-0000-0000D1540000}"/>
    <cellStyle name="_summary_ZBB standard Template Korea_081105 3 2" xfId="21723" xr:uid="{00000000-0005-0000-0000-0000D2540000}"/>
    <cellStyle name="_summary_ZBB standard Template Korea_081105 4" xfId="21724" xr:uid="{00000000-0005-0000-0000-0000D3540000}"/>
    <cellStyle name="_Target setting - People - 2009 - vs0 (2)" xfId="21725" xr:uid="{00000000-0005-0000-0000-0000D4540000}"/>
    <cellStyle name="_Target setting - People - 2009 - vs0 (2) 2" xfId="21726" xr:uid="{00000000-0005-0000-0000-0000D5540000}"/>
    <cellStyle name="_Target setting - People - 2009 - vs0 (2) 2 2" xfId="21727" xr:uid="{00000000-0005-0000-0000-0000D6540000}"/>
    <cellStyle name="_Target setting - People - 2009 - vs0 (2) 2 2 2" xfId="21728" xr:uid="{00000000-0005-0000-0000-0000D7540000}"/>
    <cellStyle name="_Target setting - People - 2009 - vs0 (2) 2 3" xfId="21729" xr:uid="{00000000-0005-0000-0000-0000D8540000}"/>
    <cellStyle name="_Target setting - People - 2009 - vs0 (2) 3" xfId="21730" xr:uid="{00000000-0005-0000-0000-0000D9540000}"/>
    <cellStyle name="_Target setting - People - 2009 - vs0 (2) 3 2" xfId="21731" xr:uid="{00000000-0005-0000-0000-0000DA540000}"/>
    <cellStyle name="_Target setting - People - 2009 - vs0 (2) 4" xfId="21732" xr:uid="{00000000-0005-0000-0000-0000DB540000}"/>
    <cellStyle name="_Target setting - People - 2009 - vs0 (2)_Copy of 081027 ZBB Budget 2009 Decks - People_Cherry_V4" xfId="21733" xr:uid="{00000000-0005-0000-0000-0000DC540000}"/>
    <cellStyle name="_Target setting - People - 2009 - vs0 (2)_Copy of 081027 ZBB Budget 2009 Decks - People_Cherry_V4 2" xfId="21734" xr:uid="{00000000-0005-0000-0000-0000DD540000}"/>
    <cellStyle name="_Target setting - People - 2009 - vs0 (2)_Copy of 081027 ZBB Budget 2009 Decks - People_Cherry_V4 2 2" xfId="21735" xr:uid="{00000000-0005-0000-0000-0000DE540000}"/>
    <cellStyle name="_Target setting - People - 2009 - vs0 (2)_Copy of 081027 ZBB Budget 2009 Decks - People_Cherry_V4 2 2 2" xfId="21736" xr:uid="{00000000-0005-0000-0000-0000DF540000}"/>
    <cellStyle name="_Target setting - People - 2009 - vs0 (2)_Copy of 081027 ZBB Budget 2009 Decks - People_Cherry_V4 2 3" xfId="21737" xr:uid="{00000000-0005-0000-0000-0000E0540000}"/>
    <cellStyle name="_Target setting - People - 2009 - vs0 (2)_Copy of 081027 ZBB Budget 2009 Decks - People_Cherry_V4 3" xfId="21738" xr:uid="{00000000-0005-0000-0000-0000E1540000}"/>
    <cellStyle name="_Target setting - People - 2009 - vs0 (2)_Copy of 081027 ZBB Budget 2009 Decks - People_Cherry_V4 3 2" xfId="21739" xr:uid="{00000000-0005-0000-0000-0000E2540000}"/>
    <cellStyle name="_Target setting - People - 2009 - vs0 (2)_Copy of 081027 ZBB Budget 2009 Decks - People_Cherry_V4 4" xfId="21740" xr:uid="{00000000-0005-0000-0000-0000E3540000}"/>
    <cellStyle name="_Target setting - People - 2009 - vs0 (2)_ZBB Budget 2009 Decks" xfId="21741" xr:uid="{00000000-0005-0000-0000-0000E4540000}"/>
    <cellStyle name="_Target setting - People - 2009 - vs0 (2)_ZBB Budget 2009 Decks 2" xfId="21742" xr:uid="{00000000-0005-0000-0000-0000E5540000}"/>
    <cellStyle name="_Target setting - People - 2009 - vs0 (2)_ZBB Budget 2009 Decks 2 2" xfId="21743" xr:uid="{00000000-0005-0000-0000-0000E6540000}"/>
    <cellStyle name="_Target setting - People - 2009 - vs0 (2)_ZBB Budget 2009 Decks 2 2 2" xfId="21744" xr:uid="{00000000-0005-0000-0000-0000E7540000}"/>
    <cellStyle name="_Target setting - People - 2009 - vs0 (2)_ZBB Budget 2009 Decks 2 3" xfId="21745" xr:uid="{00000000-0005-0000-0000-0000E8540000}"/>
    <cellStyle name="_Target setting - People - 2009 - vs0 (2)_ZBB Budget 2009 Decks 3" xfId="21746" xr:uid="{00000000-0005-0000-0000-0000E9540000}"/>
    <cellStyle name="_Target setting - People - 2009 - vs0 (2)_ZBB Budget 2009 Decks 3 2" xfId="21747" xr:uid="{00000000-0005-0000-0000-0000EA540000}"/>
    <cellStyle name="_Target setting - People - 2009 - vs0 (2)_ZBB Budget 2009 Decks 4" xfId="21748" xr:uid="{00000000-0005-0000-0000-0000EB540000}"/>
    <cellStyle name="_Target setting - People - 2009 - vs0 (2)_ZBB Budget 2009 Decks_with Korea Scope in (Only LE)" xfId="21749" xr:uid="{00000000-0005-0000-0000-0000EC540000}"/>
    <cellStyle name="_Target setting - People - 2009 - vs0 (2)_ZBB Budget 2009 Decks_with Korea Scope in (Only LE) (2)" xfId="21750" xr:uid="{00000000-0005-0000-0000-0000ED540000}"/>
    <cellStyle name="_Target setting - People - 2009 - vs0 (2)_ZBB Budget 2009 Decks_with Korea Scope in (Only LE) (2) 2" xfId="21751" xr:uid="{00000000-0005-0000-0000-0000EE540000}"/>
    <cellStyle name="_Target setting - People - 2009 - vs0 (2)_ZBB Budget 2009 Decks_with Korea Scope in (Only LE) (2) 2 2" xfId="21752" xr:uid="{00000000-0005-0000-0000-0000EF540000}"/>
    <cellStyle name="_Target setting - People - 2009 - vs0 (2)_ZBB Budget 2009 Decks_with Korea Scope in (Only LE) (2) 2 2 2" xfId="21753" xr:uid="{00000000-0005-0000-0000-0000F0540000}"/>
    <cellStyle name="_Target setting - People - 2009 - vs0 (2)_ZBB Budget 2009 Decks_with Korea Scope in (Only LE) (2) 2 3" xfId="21754" xr:uid="{00000000-0005-0000-0000-0000F1540000}"/>
    <cellStyle name="_Target setting - People - 2009 - vs0 (2)_ZBB Budget 2009 Decks_with Korea Scope in (Only LE) (2) 3" xfId="21755" xr:uid="{00000000-0005-0000-0000-0000F2540000}"/>
    <cellStyle name="_Target setting - People - 2009 - vs0 (2)_ZBB Budget 2009 Decks_with Korea Scope in (Only LE) (2) 3 2" xfId="21756" xr:uid="{00000000-0005-0000-0000-0000F3540000}"/>
    <cellStyle name="_Target setting - People - 2009 - vs0 (2)_ZBB Budget 2009 Decks_with Korea Scope in (Only LE) (2) 4" xfId="21757" xr:uid="{00000000-0005-0000-0000-0000F4540000}"/>
    <cellStyle name="_Target setting - People - 2009 - vs0 (2)_ZBB Budget 2009 Decks_with Korea Scope in (Only LE) 2" xfId="21758" xr:uid="{00000000-0005-0000-0000-0000F5540000}"/>
    <cellStyle name="_Target setting - People - 2009 - vs0 (2)_ZBB Budget 2009 Decks_with Korea Scope in (Only LE) 2 2" xfId="21759" xr:uid="{00000000-0005-0000-0000-0000F6540000}"/>
    <cellStyle name="_Target setting - People - 2009 - vs0 (2)_ZBB Budget 2009 Decks_with Korea Scope in (Only LE) 2 2 2" xfId="21760" xr:uid="{00000000-0005-0000-0000-0000F7540000}"/>
    <cellStyle name="_Target setting - People - 2009 - vs0 (2)_ZBB Budget 2009 Decks_with Korea Scope in (Only LE) 2 3" xfId="21761" xr:uid="{00000000-0005-0000-0000-0000F8540000}"/>
    <cellStyle name="_Target setting - People - 2009 - vs0 (2)_ZBB Budget 2009 Decks_with Korea Scope in (Only LE) 3" xfId="21762" xr:uid="{00000000-0005-0000-0000-0000F9540000}"/>
    <cellStyle name="_Target setting - People - 2009 - vs0 (2)_ZBB Budget 2009 Decks_with Korea Scope in (Only LE) 3 2" xfId="21763" xr:uid="{00000000-0005-0000-0000-0000FA540000}"/>
    <cellStyle name="_Target setting - People - 2009 - vs0 (2)_ZBB Budget 2009 Decks_with Korea Scope in (Only LE) 4" xfId="21764" xr:uid="{00000000-0005-0000-0000-0000FB540000}"/>
    <cellStyle name="_Target setting - People - 2009 - vs0 (2)_ZBB Budget 2009 Decks_with Korea Scope in (Only LE) 4 2" xfId="21765" xr:uid="{00000000-0005-0000-0000-0000FC540000}"/>
    <cellStyle name="_Target setting - People - 2009 - vs0 (2)_ZBB Budget 2009 Decks_with Korea Scope in (Only LE) 5" xfId="21766" xr:uid="{00000000-0005-0000-0000-0000FD540000}"/>
    <cellStyle name="_Target setting - People - 2009 - vs0 (2)_ZBB Budget 2009 Decks_with Korea Scope in (Only LE) 6" xfId="21767" xr:uid="{00000000-0005-0000-0000-0000FE540000}"/>
    <cellStyle name="_Target setting - People - 2009 - vs0 (4)" xfId="21768" xr:uid="{00000000-0005-0000-0000-0000FF540000}"/>
    <cellStyle name="_Target setting - People - 2009 - vs0 (4) 2" xfId="21769" xr:uid="{00000000-0005-0000-0000-000000550000}"/>
    <cellStyle name="_Target setting - People - 2009 - vs0 (4) 2 2" xfId="21770" xr:uid="{00000000-0005-0000-0000-000001550000}"/>
    <cellStyle name="_Target setting - People - 2009 - vs0 (4) 2 2 2" xfId="21771" xr:uid="{00000000-0005-0000-0000-000002550000}"/>
    <cellStyle name="_Target setting - People - 2009 - vs0 (4) 2 3" xfId="21772" xr:uid="{00000000-0005-0000-0000-000003550000}"/>
    <cellStyle name="_Target setting - People - 2009 - vs0 (4) 3" xfId="21773" xr:uid="{00000000-0005-0000-0000-000004550000}"/>
    <cellStyle name="_Target setting - People - 2009 - vs0 (4) 3 2" xfId="21774" xr:uid="{00000000-0005-0000-0000-000005550000}"/>
    <cellStyle name="_Target setting - People - 2009 - vs0 (4) 4" xfId="21775" xr:uid="{00000000-0005-0000-0000-000006550000}"/>
    <cellStyle name="_Target setting - People - 2009 - vs0 (4)_Copy of 081027 ZBB Budget 2009 Decks - People_Cherry_V4" xfId="21776" xr:uid="{00000000-0005-0000-0000-000007550000}"/>
    <cellStyle name="_Target setting - People - 2009 - vs0 (4)_Copy of 081027 ZBB Budget 2009 Decks - People_Cherry_V4 2" xfId="21777" xr:uid="{00000000-0005-0000-0000-000008550000}"/>
    <cellStyle name="_Target setting - People - 2009 - vs0 (4)_Copy of 081027 ZBB Budget 2009 Decks - People_Cherry_V4 2 2" xfId="21778" xr:uid="{00000000-0005-0000-0000-000009550000}"/>
    <cellStyle name="_Target setting - People - 2009 - vs0 (4)_Copy of 081027 ZBB Budget 2009 Decks - People_Cherry_V4 2 2 2" xfId="21779" xr:uid="{00000000-0005-0000-0000-00000A550000}"/>
    <cellStyle name="_Target setting - People - 2009 - vs0 (4)_Copy of 081027 ZBB Budget 2009 Decks - People_Cherry_V4 2 3" xfId="21780" xr:uid="{00000000-0005-0000-0000-00000B550000}"/>
    <cellStyle name="_Target setting - People - 2009 - vs0 (4)_Copy of 081027 ZBB Budget 2009 Decks - People_Cherry_V4 3" xfId="21781" xr:uid="{00000000-0005-0000-0000-00000C550000}"/>
    <cellStyle name="_Target setting - People - 2009 - vs0 (4)_Copy of 081027 ZBB Budget 2009 Decks - People_Cherry_V4 3 2" xfId="21782" xr:uid="{00000000-0005-0000-0000-00000D550000}"/>
    <cellStyle name="_Target setting - People - 2009 - vs0 (4)_Copy of 081027 ZBB Budget 2009 Decks - People_Cherry_V4 4" xfId="21783" xr:uid="{00000000-0005-0000-0000-00000E550000}"/>
    <cellStyle name="_Target setting - People - 2009 - vs0 (4)_ZBB Budget 2009 Decks" xfId="21784" xr:uid="{00000000-0005-0000-0000-00000F550000}"/>
    <cellStyle name="_Target setting - People - 2009 - vs0 (4)_ZBB Budget 2009 Decks 2" xfId="21785" xr:uid="{00000000-0005-0000-0000-000010550000}"/>
    <cellStyle name="_Target setting - People - 2009 - vs0 (4)_ZBB Budget 2009 Decks 2 2" xfId="21786" xr:uid="{00000000-0005-0000-0000-000011550000}"/>
    <cellStyle name="_Target setting - People - 2009 - vs0 (4)_ZBB Budget 2009 Decks 2 2 2" xfId="21787" xr:uid="{00000000-0005-0000-0000-000012550000}"/>
    <cellStyle name="_Target setting - People - 2009 - vs0 (4)_ZBB Budget 2009 Decks 2 3" xfId="21788" xr:uid="{00000000-0005-0000-0000-000013550000}"/>
    <cellStyle name="_Target setting - People - 2009 - vs0 (4)_ZBB Budget 2009 Decks 3" xfId="21789" xr:uid="{00000000-0005-0000-0000-000014550000}"/>
    <cellStyle name="_Target setting - People - 2009 - vs0 (4)_ZBB Budget 2009 Decks 3 2" xfId="21790" xr:uid="{00000000-0005-0000-0000-000015550000}"/>
    <cellStyle name="_Target setting - People - 2009 - vs0 (4)_ZBB Budget 2009 Decks 4" xfId="21791" xr:uid="{00000000-0005-0000-0000-000016550000}"/>
    <cellStyle name="_Target setting - People - 2009 - vs0 (4)_ZBB Budget 2009 Decks_with Korea Scope in (Only LE)" xfId="21792" xr:uid="{00000000-0005-0000-0000-000017550000}"/>
    <cellStyle name="_Target setting - People - 2009 - vs0 (4)_ZBB Budget 2009 Decks_with Korea Scope in (Only LE) (2)" xfId="21793" xr:uid="{00000000-0005-0000-0000-000018550000}"/>
    <cellStyle name="_Target setting - People - 2009 - vs0 (4)_ZBB Budget 2009 Decks_with Korea Scope in (Only LE) (2) 2" xfId="21794" xr:uid="{00000000-0005-0000-0000-000019550000}"/>
    <cellStyle name="_Target setting - People - 2009 - vs0 (4)_ZBB Budget 2009 Decks_with Korea Scope in (Only LE) (2) 2 2" xfId="21795" xr:uid="{00000000-0005-0000-0000-00001A550000}"/>
    <cellStyle name="_Target setting - People - 2009 - vs0 (4)_ZBB Budget 2009 Decks_with Korea Scope in (Only LE) (2) 2 2 2" xfId="21796" xr:uid="{00000000-0005-0000-0000-00001B550000}"/>
    <cellStyle name="_Target setting - People - 2009 - vs0 (4)_ZBB Budget 2009 Decks_with Korea Scope in (Only LE) (2) 2 3" xfId="21797" xr:uid="{00000000-0005-0000-0000-00001C550000}"/>
    <cellStyle name="_Target setting - People - 2009 - vs0 (4)_ZBB Budget 2009 Decks_with Korea Scope in (Only LE) (2) 3" xfId="21798" xr:uid="{00000000-0005-0000-0000-00001D550000}"/>
    <cellStyle name="_Target setting - People - 2009 - vs0 (4)_ZBB Budget 2009 Decks_with Korea Scope in (Only LE) (2) 3 2" xfId="21799" xr:uid="{00000000-0005-0000-0000-00001E550000}"/>
    <cellStyle name="_Target setting - People - 2009 - vs0 (4)_ZBB Budget 2009 Decks_with Korea Scope in (Only LE) (2) 4" xfId="21800" xr:uid="{00000000-0005-0000-0000-00001F550000}"/>
    <cellStyle name="_Target setting - People - 2009 - vs0 (4)_ZBB Budget 2009 Decks_with Korea Scope in (Only LE) 2" xfId="21801" xr:uid="{00000000-0005-0000-0000-000020550000}"/>
    <cellStyle name="_Target setting - People - 2009 - vs0 (4)_ZBB Budget 2009 Decks_with Korea Scope in (Only LE) 2 2" xfId="21802" xr:uid="{00000000-0005-0000-0000-000021550000}"/>
    <cellStyle name="_Target setting - People - 2009 - vs0 (4)_ZBB Budget 2009 Decks_with Korea Scope in (Only LE) 2 2 2" xfId="21803" xr:uid="{00000000-0005-0000-0000-000022550000}"/>
    <cellStyle name="_Target setting - People - 2009 - vs0 (4)_ZBB Budget 2009 Decks_with Korea Scope in (Only LE) 2 3" xfId="21804" xr:uid="{00000000-0005-0000-0000-000023550000}"/>
    <cellStyle name="_Target setting - People - 2009 - vs0 (4)_ZBB Budget 2009 Decks_with Korea Scope in (Only LE) 3" xfId="21805" xr:uid="{00000000-0005-0000-0000-000024550000}"/>
    <cellStyle name="_Target setting - People - 2009 - vs0 (4)_ZBB Budget 2009 Decks_with Korea Scope in (Only LE) 3 2" xfId="21806" xr:uid="{00000000-0005-0000-0000-000025550000}"/>
    <cellStyle name="_Target setting - People - 2009 - vs0 (4)_ZBB Budget 2009 Decks_with Korea Scope in (Only LE) 4" xfId="21807" xr:uid="{00000000-0005-0000-0000-000026550000}"/>
    <cellStyle name="_Target setting - People - 2009 - vs0 (4)_ZBB Budget 2009 Decks_with Korea Scope in (Only LE) 4 2" xfId="21808" xr:uid="{00000000-0005-0000-0000-000027550000}"/>
    <cellStyle name="_Target setting - People - 2009 - vs0 (4)_ZBB Budget 2009 Decks_with Korea Scope in (Only LE) 5" xfId="21809" xr:uid="{00000000-0005-0000-0000-000028550000}"/>
    <cellStyle name="_Target setting - People - 2009 - vs0 (4)_ZBB Budget 2009 Decks_with Korea Scope in (Only LE) 6" xfId="21810" xr:uid="{00000000-0005-0000-0000-000029550000}"/>
    <cellStyle name="_Technology Proposal CZ" xfId="21811" xr:uid="{00000000-0005-0000-0000-00002A550000}"/>
    <cellStyle name="_Technology Proposal CZ 2" xfId="21812" xr:uid="{00000000-0005-0000-0000-00002B550000}"/>
    <cellStyle name="_Technology Proposal CZ 2 2" xfId="21813" xr:uid="{00000000-0005-0000-0000-00002C550000}"/>
    <cellStyle name="_Technology Proposal CZ 2 2 2" xfId="21814" xr:uid="{00000000-0005-0000-0000-00002D550000}"/>
    <cellStyle name="_Technology Proposal CZ 2 3" xfId="21815" xr:uid="{00000000-0005-0000-0000-00002E550000}"/>
    <cellStyle name="_Technology Proposal CZ 3" xfId="21816" xr:uid="{00000000-0005-0000-0000-00002F550000}"/>
    <cellStyle name="_Technology Proposal CZ 3 2" xfId="21817" xr:uid="{00000000-0005-0000-0000-000030550000}"/>
    <cellStyle name="_Technology Proposal CZ 4" xfId="21818" xr:uid="{00000000-0005-0000-0000-000031550000}"/>
    <cellStyle name="_Technology Proposal CZ_Copy of 081027 ZBB Budget 2009 Decks - People_Cherry_V4" xfId="21819" xr:uid="{00000000-0005-0000-0000-000032550000}"/>
    <cellStyle name="_Technology Proposal CZ_Copy of 081027 ZBB Budget 2009 Decks - People_Cherry_V4 2" xfId="21820" xr:uid="{00000000-0005-0000-0000-000033550000}"/>
    <cellStyle name="_Technology Proposal CZ_Copy of 081027 ZBB Budget 2009 Decks - People_Cherry_V4 2 2" xfId="21821" xr:uid="{00000000-0005-0000-0000-000034550000}"/>
    <cellStyle name="_Technology Proposal CZ_Copy of 081027 ZBB Budget 2009 Decks - People_Cherry_V4 2 2 2" xfId="21822" xr:uid="{00000000-0005-0000-0000-000035550000}"/>
    <cellStyle name="_Technology Proposal CZ_Copy of 081027 ZBB Budget 2009 Decks - People_Cherry_V4 2 3" xfId="21823" xr:uid="{00000000-0005-0000-0000-000036550000}"/>
    <cellStyle name="_Technology Proposal CZ_Copy of 081027 ZBB Budget 2009 Decks - People_Cherry_V4 3" xfId="21824" xr:uid="{00000000-0005-0000-0000-000037550000}"/>
    <cellStyle name="_Technology Proposal CZ_Copy of 081027 ZBB Budget 2009 Decks - People_Cherry_V4 3 2" xfId="21825" xr:uid="{00000000-0005-0000-0000-000038550000}"/>
    <cellStyle name="_Technology Proposal CZ_Copy of 081027 ZBB Budget 2009 Decks - People_Cherry_V4 4" xfId="21826" xr:uid="{00000000-0005-0000-0000-000039550000}"/>
    <cellStyle name="_Technology Proposal CZ_ZBB Budget 2009 Decks" xfId="21827" xr:uid="{00000000-0005-0000-0000-00003A550000}"/>
    <cellStyle name="_Technology Proposal CZ_ZBB Budget 2009 Decks 2" xfId="21828" xr:uid="{00000000-0005-0000-0000-00003B550000}"/>
    <cellStyle name="_Technology Proposal CZ_ZBB Budget 2009 Decks 2 2" xfId="21829" xr:uid="{00000000-0005-0000-0000-00003C550000}"/>
    <cellStyle name="_Technology Proposal CZ_ZBB Budget 2009 Decks 2 2 2" xfId="21830" xr:uid="{00000000-0005-0000-0000-00003D550000}"/>
    <cellStyle name="_Technology Proposal CZ_ZBB Budget 2009 Decks 2 3" xfId="21831" xr:uid="{00000000-0005-0000-0000-00003E550000}"/>
    <cellStyle name="_Technology Proposal CZ_ZBB Budget 2009 Decks 3" xfId="21832" xr:uid="{00000000-0005-0000-0000-00003F550000}"/>
    <cellStyle name="_Technology Proposal CZ_ZBB Budget 2009 Decks 3 2" xfId="21833" xr:uid="{00000000-0005-0000-0000-000040550000}"/>
    <cellStyle name="_Technology Proposal CZ_ZBB Budget 2009 Decks 4" xfId="21834" xr:uid="{00000000-0005-0000-0000-000041550000}"/>
    <cellStyle name="_Technology Proposal CZ_ZBB Budget 2009 Decks_with Korea Scope in (Only LE)" xfId="21835" xr:uid="{00000000-0005-0000-0000-000042550000}"/>
    <cellStyle name="_Technology Proposal CZ_ZBB Budget 2009 Decks_with Korea Scope in (Only LE) (2)" xfId="21836" xr:uid="{00000000-0005-0000-0000-000043550000}"/>
    <cellStyle name="_Technology Proposal CZ_ZBB Budget 2009 Decks_with Korea Scope in (Only LE) (2) 2" xfId="21837" xr:uid="{00000000-0005-0000-0000-000044550000}"/>
    <cellStyle name="_Technology Proposal CZ_ZBB Budget 2009 Decks_with Korea Scope in (Only LE) (2) 2 2" xfId="21838" xr:uid="{00000000-0005-0000-0000-000045550000}"/>
    <cellStyle name="_Technology Proposal CZ_ZBB Budget 2009 Decks_with Korea Scope in (Only LE) (2) 2 2 2" xfId="21839" xr:uid="{00000000-0005-0000-0000-000046550000}"/>
    <cellStyle name="_Technology Proposal CZ_ZBB Budget 2009 Decks_with Korea Scope in (Only LE) (2) 2 3" xfId="21840" xr:uid="{00000000-0005-0000-0000-000047550000}"/>
    <cellStyle name="_Technology Proposal CZ_ZBB Budget 2009 Decks_with Korea Scope in (Only LE) (2) 3" xfId="21841" xr:uid="{00000000-0005-0000-0000-000048550000}"/>
    <cellStyle name="_Technology Proposal CZ_ZBB Budget 2009 Decks_with Korea Scope in (Only LE) (2) 3 2" xfId="21842" xr:uid="{00000000-0005-0000-0000-000049550000}"/>
    <cellStyle name="_Technology Proposal CZ_ZBB Budget 2009 Decks_with Korea Scope in (Only LE) (2) 4" xfId="21843" xr:uid="{00000000-0005-0000-0000-00004A550000}"/>
    <cellStyle name="_Technology Proposal CZ_ZBB Budget 2009 Decks_with Korea Scope in (Only LE) 2" xfId="21844" xr:uid="{00000000-0005-0000-0000-00004B550000}"/>
    <cellStyle name="_Technology Proposal CZ_ZBB Budget 2009 Decks_with Korea Scope in (Only LE) 2 2" xfId="21845" xr:uid="{00000000-0005-0000-0000-00004C550000}"/>
    <cellStyle name="_Technology Proposal CZ_ZBB Budget 2009 Decks_with Korea Scope in (Only LE) 2 2 2" xfId="21846" xr:uid="{00000000-0005-0000-0000-00004D550000}"/>
    <cellStyle name="_Technology Proposal CZ_ZBB Budget 2009 Decks_with Korea Scope in (Only LE) 2 3" xfId="21847" xr:uid="{00000000-0005-0000-0000-00004E550000}"/>
    <cellStyle name="_Technology Proposal CZ_ZBB Budget 2009 Decks_with Korea Scope in (Only LE) 3" xfId="21848" xr:uid="{00000000-0005-0000-0000-00004F550000}"/>
    <cellStyle name="_Technology Proposal CZ_ZBB Budget 2009 Decks_with Korea Scope in (Only LE) 3 2" xfId="21849" xr:uid="{00000000-0005-0000-0000-000050550000}"/>
    <cellStyle name="_Technology Proposal CZ_ZBB Budget 2009 Decks_with Korea Scope in (Only LE) 4" xfId="21850" xr:uid="{00000000-0005-0000-0000-000051550000}"/>
    <cellStyle name="_Technology Proposal CZ_ZBB Budget 2009 Decks_with Korea Scope in (Only LE) 4 2" xfId="21851" xr:uid="{00000000-0005-0000-0000-000052550000}"/>
    <cellStyle name="_Technology Proposal CZ_ZBB Budget 2009 Decks_with Korea Scope in (Only LE) 5" xfId="21852" xr:uid="{00000000-0005-0000-0000-000053550000}"/>
    <cellStyle name="_Technology Proposal CZ_ZBB Budget 2009 Decks_with Korea Scope in (Only LE) 6" xfId="21853" xr:uid="{00000000-0005-0000-0000-000054550000}"/>
    <cellStyle name="_Template (2)" xfId="21854" xr:uid="{00000000-0005-0000-0000-000055550000}"/>
    <cellStyle name="_Template (2) 2" xfId="21855" xr:uid="{00000000-0005-0000-0000-000056550000}"/>
    <cellStyle name="_Template (2) 2 2" xfId="21856" xr:uid="{00000000-0005-0000-0000-000057550000}"/>
    <cellStyle name="_Template (2) 3" xfId="21857" xr:uid="{00000000-0005-0000-0000-000058550000}"/>
    <cellStyle name="_Template Material SDG_GFs_Gente_2008" xfId="21858" xr:uid="{00000000-0005-0000-0000-000059550000}"/>
    <cellStyle name="_Template Support" xfId="21859" xr:uid="{00000000-0005-0000-0000-00005A550000}"/>
    <cellStyle name="_Template Support 2" xfId="21860" xr:uid="{00000000-0005-0000-0000-00005B550000}"/>
    <cellStyle name="_Template Support 2 2" xfId="21861" xr:uid="{00000000-0005-0000-0000-00005C550000}"/>
    <cellStyle name="_Template Support 2 2 2" xfId="21862" xr:uid="{00000000-0005-0000-0000-00005D550000}"/>
    <cellStyle name="_Template Support 2 3" xfId="21863" xr:uid="{00000000-0005-0000-0000-00005E550000}"/>
    <cellStyle name="_Template Support 3" xfId="21864" xr:uid="{00000000-0005-0000-0000-00005F550000}"/>
    <cellStyle name="_Template Support 3 2" xfId="21865" xr:uid="{00000000-0005-0000-0000-000060550000}"/>
    <cellStyle name="_Template Support 4" xfId="21866" xr:uid="{00000000-0005-0000-0000-000061550000}"/>
    <cellStyle name="_Template Support LAN 2" xfId="21867" xr:uid="{00000000-0005-0000-0000-000062550000}"/>
    <cellStyle name="_Template Support LAN 2 2" xfId="21868" xr:uid="{00000000-0005-0000-0000-000063550000}"/>
    <cellStyle name="_Template Support LAN 2 2 2" xfId="21869" xr:uid="{00000000-0005-0000-0000-000064550000}"/>
    <cellStyle name="_Template Support LAN 2 3" xfId="21870" xr:uid="{00000000-0005-0000-0000-000065550000}"/>
    <cellStyle name="_TENDENCIA V0309" xfId="21871" xr:uid="{00000000-0005-0000-0000-000066550000}"/>
    <cellStyle name="_TENDENCIA V0309 2" xfId="21872" xr:uid="{00000000-0005-0000-0000-000067550000}"/>
    <cellStyle name="_TENDENCIA V0309 2 2" xfId="21873" xr:uid="{00000000-0005-0000-0000-000068550000}"/>
    <cellStyle name="_TENDENCIA V0309 3" xfId="21874" xr:uid="{00000000-0005-0000-0000-000069550000}"/>
    <cellStyle name="_TENDENCIA V0409" xfId="21875" xr:uid="{00000000-0005-0000-0000-00006A550000}"/>
    <cellStyle name="_TENDENCIA V0409 2" xfId="21876" xr:uid="{00000000-0005-0000-0000-00006B550000}"/>
    <cellStyle name="_TENDENCIA V0409 2 2" xfId="21877" xr:uid="{00000000-0005-0000-0000-00006C550000}"/>
    <cellStyle name="_TENDENCIA V0409 3" xfId="21878" xr:uid="{00000000-0005-0000-0000-00006D550000}"/>
    <cellStyle name="_TENDENCIA V2" xfId="21879" xr:uid="{00000000-0005-0000-0000-00006E550000}"/>
    <cellStyle name="_TENDENCIA V2 2" xfId="21880" xr:uid="{00000000-0005-0000-0000-00006F550000}"/>
    <cellStyle name="_TENDENCIA V2 2 2" xfId="21881" xr:uid="{00000000-0005-0000-0000-000070550000}"/>
    <cellStyle name="_TENDENCIA V2 3" xfId="21882" xr:uid="{00000000-0005-0000-0000-000071550000}"/>
    <cellStyle name="_TENDENCIA0709 " xfId="21883" xr:uid="{00000000-0005-0000-0000-000072550000}"/>
    <cellStyle name="_TENDENCIA0709  2" xfId="21884" xr:uid="{00000000-0005-0000-0000-000073550000}"/>
    <cellStyle name="_TENDENCIA0709  2 2" xfId="21885" xr:uid="{00000000-0005-0000-0000-000074550000}"/>
    <cellStyle name="_TENDENCIA0709  3" xfId="21886" xr:uid="{00000000-0005-0000-0000-000075550000}"/>
    <cellStyle name="_TENDENCIA0909 " xfId="21887" xr:uid="{00000000-0005-0000-0000-000076550000}"/>
    <cellStyle name="_TENDENCIA0909  2" xfId="21888" xr:uid="{00000000-0005-0000-0000-000077550000}"/>
    <cellStyle name="_TENDENCIA0909  2 2" xfId="21889" xr:uid="{00000000-0005-0000-0000-000078550000}"/>
    <cellStyle name="_TENDENCIA0909  3" xfId="21890" xr:uid="{00000000-0005-0000-0000-000079550000}"/>
    <cellStyle name="_Tinkoff_Model_13May05" xfId="21891" xr:uid="{00000000-0005-0000-0000-00007A550000}"/>
    <cellStyle name="_Tinkoff_Model_13May05 2" xfId="21892" xr:uid="{00000000-0005-0000-0000-00007B550000}"/>
    <cellStyle name="_Tinkoff_Model_13May05 2 2" xfId="21893" xr:uid="{00000000-0005-0000-0000-00007C550000}"/>
    <cellStyle name="_Tinkoff_Model_13May05 3" xfId="21894" xr:uid="{00000000-0005-0000-0000-00007D550000}"/>
    <cellStyle name="_UA0470" xfId="21895" xr:uid="{00000000-0005-0000-0000-00007E550000}"/>
    <cellStyle name="_UA0470 2" xfId="21896" xr:uid="{00000000-0005-0000-0000-00007F550000}"/>
    <cellStyle name="_UA0470 2 2" xfId="21897" xr:uid="{00000000-0005-0000-0000-000080550000}"/>
    <cellStyle name="_UA0470 3" xfId="21898" xr:uid="{00000000-0005-0000-0000-000081550000}"/>
    <cellStyle name="_VE Modelo" xfId="21899" xr:uid="{00000000-0005-0000-0000-000082550000}"/>
    <cellStyle name="_VE Modelo 2" xfId="21900" xr:uid="{00000000-0005-0000-0000-000083550000}"/>
    <cellStyle name="_VE Modelo 2 2" xfId="21901" xr:uid="{00000000-0005-0000-0000-000084550000}"/>
    <cellStyle name="_VE Modelo 3" xfId="21902" xr:uid="{00000000-0005-0000-0000-000085550000}"/>
    <cellStyle name="_VIC" xfId="21903" xr:uid="{00000000-0005-0000-0000-000086550000}"/>
    <cellStyle name="_VIC 2" xfId="21904" xr:uid="{00000000-0005-0000-0000-000087550000}"/>
    <cellStyle name="_VIC 2 2" xfId="21905" xr:uid="{00000000-0005-0000-0000-000088550000}"/>
    <cellStyle name="_VIC 3" xfId="21906" xr:uid="{00000000-0005-0000-0000-000089550000}"/>
    <cellStyle name="_Visibilidade do Turnover 2008_Reg Leste" xfId="21907" xr:uid="{00000000-0005-0000-0000-00008A550000}"/>
    <cellStyle name="_Visibilidade do Turnover 2008_Reg Leste_MARÇO" xfId="21908" xr:uid="{00000000-0005-0000-0000-00008B550000}"/>
    <cellStyle name="_VLC" xfId="21909" xr:uid="{00000000-0005-0000-0000-00008C550000}"/>
    <cellStyle name="_VLC 2" xfId="21910" xr:uid="{00000000-0005-0000-0000-00008D550000}"/>
    <cellStyle name="_VLC 2 2" xfId="21911" xr:uid="{00000000-0005-0000-0000-00008E550000}"/>
    <cellStyle name="_VLC 2 2 2" xfId="21912" xr:uid="{00000000-0005-0000-0000-00008F550000}"/>
    <cellStyle name="_VLC 2 3" xfId="21913" xr:uid="{00000000-0005-0000-0000-000090550000}"/>
    <cellStyle name="_VLC 3" xfId="21914" xr:uid="{00000000-0005-0000-0000-000091550000}"/>
    <cellStyle name="_VLC 3 2" xfId="21915" xr:uid="{00000000-0005-0000-0000-000092550000}"/>
    <cellStyle name="_VLC 4" xfId="21916" xr:uid="{00000000-0005-0000-0000-000093550000}"/>
    <cellStyle name="_VLC Frango" xfId="21917" xr:uid="{00000000-0005-0000-0000-000094550000}"/>
    <cellStyle name="_VLC Frango 2" xfId="21918" xr:uid="{00000000-0005-0000-0000-000095550000}"/>
    <cellStyle name="_VLC Frango 2 2" xfId="21919" xr:uid="{00000000-0005-0000-0000-000096550000}"/>
    <cellStyle name="_VLC Frango 2 2 2" xfId="21920" xr:uid="{00000000-0005-0000-0000-000097550000}"/>
    <cellStyle name="_VLC Frango 2 3" xfId="21921" xr:uid="{00000000-0005-0000-0000-000098550000}"/>
    <cellStyle name="_VLC Frango 3" xfId="21922" xr:uid="{00000000-0005-0000-0000-000099550000}"/>
    <cellStyle name="_VLC Frango 3 2" xfId="21923" xr:uid="{00000000-0005-0000-0000-00009A550000}"/>
    <cellStyle name="_VLC Frango 4" xfId="21924" xr:uid="{00000000-0005-0000-0000-00009B550000}"/>
    <cellStyle name="_VLC Frango_0908 Gabarito exchange rate" xfId="21925" xr:uid="{00000000-0005-0000-0000-00009C550000}"/>
    <cellStyle name="_VLC Frango_0908 Gabarito exchange rate 2" xfId="21926" xr:uid="{00000000-0005-0000-0000-00009D550000}"/>
    <cellStyle name="_VLC Frango_0908 Gabarito exchange rate 2 2" xfId="21927" xr:uid="{00000000-0005-0000-0000-00009E550000}"/>
    <cellStyle name="_VLC Frango_0908 Gabarito exchange rate 3" xfId="21928" xr:uid="{00000000-0005-0000-0000-00009F550000}"/>
    <cellStyle name="_VLC Frango_Book5" xfId="21929" xr:uid="{00000000-0005-0000-0000-0000A0550000}"/>
    <cellStyle name="_VLC Frango_Book5 2" xfId="21930" xr:uid="{00000000-0005-0000-0000-0000A1550000}"/>
    <cellStyle name="_VLC Frango_Book5 2 2" xfId="21931" xr:uid="{00000000-0005-0000-0000-0000A2550000}"/>
    <cellStyle name="_VLC Frango_Book5 3" xfId="21932" xr:uid="{00000000-0005-0000-0000-0000A3550000}"/>
    <cellStyle name="_VLC Frango_Bplan RD 1001" xfId="21933" xr:uid="{00000000-0005-0000-0000-0000A4550000}"/>
    <cellStyle name="_VLC Frango_Bplan RD 1001 2" xfId="21934" xr:uid="{00000000-0005-0000-0000-0000A5550000}"/>
    <cellStyle name="_VLC Frango_Bplan RD 1001 2 2" xfId="21935" xr:uid="{00000000-0005-0000-0000-0000A6550000}"/>
    <cellStyle name="_VLC Frango_Bplan RD 1001 3" xfId="21936" xr:uid="{00000000-0005-0000-0000-0000A7550000}"/>
    <cellStyle name="_VLC Frango_Copy of 081027 ZBB Budget 2009 Decks - People_Cherry_V4" xfId="21937" xr:uid="{00000000-0005-0000-0000-0000A8550000}"/>
    <cellStyle name="_VLC Frango_Copy of 081027 ZBB Budget 2009 Decks - People_Cherry_V4 2" xfId="21938" xr:uid="{00000000-0005-0000-0000-0000A9550000}"/>
    <cellStyle name="_VLC Frango_Copy of 081027 ZBB Budget 2009 Decks - People_Cherry_V4 2 2" xfId="21939" xr:uid="{00000000-0005-0000-0000-0000AA550000}"/>
    <cellStyle name="_VLC Frango_Copy of 081027 ZBB Budget 2009 Decks - People_Cherry_V4 2 2 2" xfId="21940" xr:uid="{00000000-0005-0000-0000-0000AB550000}"/>
    <cellStyle name="_VLC Frango_Copy of 081027 ZBB Budget 2009 Decks - People_Cherry_V4 2 3" xfId="21941" xr:uid="{00000000-0005-0000-0000-0000AC550000}"/>
    <cellStyle name="_VLC Frango_Copy of 081027 ZBB Budget 2009 Decks - People_Cherry_V4 3" xfId="21942" xr:uid="{00000000-0005-0000-0000-0000AD550000}"/>
    <cellStyle name="_VLC Frango_Copy of 081027 ZBB Budget 2009 Decks - People_Cherry_V4 3 2" xfId="21943" xr:uid="{00000000-0005-0000-0000-0000AE550000}"/>
    <cellStyle name="_VLC Frango_Copy of 081027 ZBB Budget 2009 Decks - People_Cherry_V4 4" xfId="21944" xr:uid="{00000000-0005-0000-0000-0000AF550000}"/>
    <cellStyle name="_VLC Frango_LE Ebitda RD Feb-10 v2" xfId="21945" xr:uid="{00000000-0005-0000-0000-0000B0550000}"/>
    <cellStyle name="_VLC Frango_LE Ebitda RD Feb-10 v2 2" xfId="21946" xr:uid="{00000000-0005-0000-0000-0000B1550000}"/>
    <cellStyle name="_VLC Frango_LE Ebitda RD Feb-10 v2 2 2" xfId="21947" xr:uid="{00000000-0005-0000-0000-0000B2550000}"/>
    <cellStyle name="_VLC Frango_LE Ebitda RD Feb-10 v2 3" xfId="21948" xr:uid="{00000000-0005-0000-0000-0000B3550000}"/>
    <cellStyle name="_VLC Frango_People Package" xfId="21949" xr:uid="{00000000-0005-0000-0000-0000B4550000}"/>
    <cellStyle name="_VLC Frango_People Package (2)" xfId="21950" xr:uid="{00000000-0005-0000-0000-0000B5550000}"/>
    <cellStyle name="_VLC Frango_People Package (2) 2" xfId="21951" xr:uid="{00000000-0005-0000-0000-0000B6550000}"/>
    <cellStyle name="_VLC Frango_People Package (2) 2 2" xfId="21952" xr:uid="{00000000-0005-0000-0000-0000B7550000}"/>
    <cellStyle name="_VLC Frango_People Package (2) 2 2 2" xfId="21953" xr:uid="{00000000-0005-0000-0000-0000B8550000}"/>
    <cellStyle name="_VLC Frango_People Package (2) 2 3" xfId="21954" xr:uid="{00000000-0005-0000-0000-0000B9550000}"/>
    <cellStyle name="_VLC Frango_People Package (2) 3" xfId="21955" xr:uid="{00000000-0005-0000-0000-0000BA550000}"/>
    <cellStyle name="_VLC Frango_People Package (2) 3 2" xfId="21956" xr:uid="{00000000-0005-0000-0000-0000BB550000}"/>
    <cellStyle name="_VLC Frango_People Package (2) 4" xfId="21957" xr:uid="{00000000-0005-0000-0000-0000BC550000}"/>
    <cellStyle name="_VLC Frango_People Package 2" xfId="21958" xr:uid="{00000000-0005-0000-0000-0000BD550000}"/>
    <cellStyle name="_VLC Frango_People Package 2 2" xfId="21959" xr:uid="{00000000-0005-0000-0000-0000BE550000}"/>
    <cellStyle name="_VLC Frango_People Package 2 2 2" xfId="21960" xr:uid="{00000000-0005-0000-0000-0000BF550000}"/>
    <cellStyle name="_VLC Frango_People Package 2 3" xfId="21961" xr:uid="{00000000-0005-0000-0000-0000C0550000}"/>
    <cellStyle name="_VLC Frango_People Package 3" xfId="21962" xr:uid="{00000000-0005-0000-0000-0000C1550000}"/>
    <cellStyle name="_VLC Frango_People Package 3 2" xfId="21963" xr:uid="{00000000-0005-0000-0000-0000C2550000}"/>
    <cellStyle name="_VLC Frango_People Package 4" xfId="21964" xr:uid="{00000000-0005-0000-0000-0000C3550000}"/>
    <cellStyle name="_VLC Frango_People Package 4 2" xfId="21965" xr:uid="{00000000-0005-0000-0000-0000C4550000}"/>
    <cellStyle name="_VLC Frango_People Package 5" xfId="21966" xr:uid="{00000000-0005-0000-0000-0000C5550000}"/>
    <cellStyle name="_VLC Frango_People Package 6" xfId="21967" xr:uid="{00000000-0005-0000-0000-0000C6550000}"/>
    <cellStyle name="_VLC Frango_Sales and Marketing - revised" xfId="21968" xr:uid="{00000000-0005-0000-0000-0000C7550000}"/>
    <cellStyle name="_VLC Frango_Sales and Marketing - revised 2" xfId="21969" xr:uid="{00000000-0005-0000-0000-0000C8550000}"/>
    <cellStyle name="_VLC Frango_Sales and Marketing - revised 2 2" xfId="21970" xr:uid="{00000000-0005-0000-0000-0000C9550000}"/>
    <cellStyle name="_VLC Frango_Sales and Marketing - revised 3" xfId="21971" xr:uid="{00000000-0005-0000-0000-0000CA550000}"/>
    <cellStyle name="_VLC Frango_Sim Ebitda LE 0909 v4" xfId="21972" xr:uid="{00000000-0005-0000-0000-0000CB550000}"/>
    <cellStyle name="_VLC Frango_Sim Ebitda LE 0909 v4 2" xfId="21973" xr:uid="{00000000-0005-0000-0000-0000CC550000}"/>
    <cellStyle name="_VLC Frango_Sim Ebitda LE 0909 v4 2 2" xfId="21974" xr:uid="{00000000-0005-0000-0000-0000CD550000}"/>
    <cellStyle name="_VLC Frango_Sim Ebitda LE 0909 v4 3" xfId="21975" xr:uid="{00000000-0005-0000-0000-0000CE550000}"/>
    <cellStyle name="_VLC Frango_WF Ebitda RD Abr-10" xfId="21976" xr:uid="{00000000-0005-0000-0000-0000CF550000}"/>
    <cellStyle name="_VLC Frango_WF Ebitda RD Abr-10 2" xfId="21977" xr:uid="{00000000-0005-0000-0000-0000D0550000}"/>
    <cellStyle name="_VLC Frango_WF Ebitda RD Abr-10 2 2" xfId="21978" xr:uid="{00000000-0005-0000-0000-0000D1550000}"/>
    <cellStyle name="_VLC Frango_WF Ebitda RD Abr-10 3" xfId="21979" xr:uid="{00000000-0005-0000-0000-0000D2550000}"/>
    <cellStyle name="_VLC Frango_WF Ebitda Sep09" xfId="21980" xr:uid="{00000000-0005-0000-0000-0000D3550000}"/>
    <cellStyle name="_VLC Frango_WF Ebitda Sep09 2" xfId="21981" xr:uid="{00000000-0005-0000-0000-0000D4550000}"/>
    <cellStyle name="_VLC Frango_WF Ebitda Sep09 2 2" xfId="21982" xr:uid="{00000000-0005-0000-0000-0000D5550000}"/>
    <cellStyle name="_VLC Frango_WF Ebitda Sep09 3" xfId="21983" xr:uid="{00000000-0005-0000-0000-0000D6550000}"/>
    <cellStyle name="_VLC Frango_ZBB" xfId="21984" xr:uid="{00000000-0005-0000-0000-0000D7550000}"/>
    <cellStyle name="_VLC Frango_ZBB 2" xfId="21985" xr:uid="{00000000-0005-0000-0000-0000D8550000}"/>
    <cellStyle name="_VLC Frango_ZBB 2 2" xfId="21986" xr:uid="{00000000-0005-0000-0000-0000D9550000}"/>
    <cellStyle name="_VLC Frango_ZBB 2 2 2" xfId="21987" xr:uid="{00000000-0005-0000-0000-0000DA550000}"/>
    <cellStyle name="_VLC Frango_ZBB 2 3" xfId="21988" xr:uid="{00000000-0005-0000-0000-0000DB550000}"/>
    <cellStyle name="_VLC Frango_ZBB 3" xfId="21989" xr:uid="{00000000-0005-0000-0000-0000DC550000}"/>
    <cellStyle name="_VLC Frango_ZBB 3 2" xfId="21990" xr:uid="{00000000-0005-0000-0000-0000DD550000}"/>
    <cellStyle name="_VLC Frango_ZBB 4" xfId="21991" xr:uid="{00000000-0005-0000-0000-0000DE550000}"/>
    <cellStyle name="_VLC Frango_ZBB Budget 2009 Decks" xfId="21992" xr:uid="{00000000-0005-0000-0000-0000DF550000}"/>
    <cellStyle name="_VLC Frango_ZBB Budget 2009 Decks 2" xfId="21993" xr:uid="{00000000-0005-0000-0000-0000E0550000}"/>
    <cellStyle name="_VLC Frango_ZBB Budget 2009 Decks 2 2" xfId="21994" xr:uid="{00000000-0005-0000-0000-0000E1550000}"/>
    <cellStyle name="_VLC Frango_ZBB Budget 2009 Decks 2 2 2" xfId="21995" xr:uid="{00000000-0005-0000-0000-0000E2550000}"/>
    <cellStyle name="_VLC Frango_ZBB Budget 2009 Decks 2 3" xfId="21996" xr:uid="{00000000-0005-0000-0000-0000E3550000}"/>
    <cellStyle name="_VLC Frango_ZBB Budget 2009 Decks 3" xfId="21997" xr:uid="{00000000-0005-0000-0000-0000E4550000}"/>
    <cellStyle name="_VLC Frango_ZBB Budget 2009 Decks 3 2" xfId="21998" xr:uid="{00000000-0005-0000-0000-0000E5550000}"/>
    <cellStyle name="_VLC Frango_ZBB Budget 2009 Decks 4" xfId="21999" xr:uid="{00000000-0005-0000-0000-0000E6550000}"/>
    <cellStyle name="_VLC Frango_ZBB Budget 2009 Decks v2 china" xfId="22000" xr:uid="{00000000-0005-0000-0000-0000E7550000}"/>
    <cellStyle name="_VLC Frango_ZBB Budget 2009 Decks v2 china 2" xfId="22001" xr:uid="{00000000-0005-0000-0000-0000E8550000}"/>
    <cellStyle name="_VLC Frango_ZBB Budget 2009 Decks v2 china 2 2" xfId="22002" xr:uid="{00000000-0005-0000-0000-0000E9550000}"/>
    <cellStyle name="_VLC Frango_ZBB Budget 2009 Decks v2 china 2 2 2" xfId="22003" xr:uid="{00000000-0005-0000-0000-0000EA550000}"/>
    <cellStyle name="_VLC Frango_ZBB Budget 2009 Decks v2 china 2 3" xfId="22004" xr:uid="{00000000-0005-0000-0000-0000EB550000}"/>
    <cellStyle name="_VLC Frango_ZBB Budget 2009 Decks v2 china 3" xfId="22005" xr:uid="{00000000-0005-0000-0000-0000EC550000}"/>
    <cellStyle name="_VLC Frango_ZBB Budget 2009 Decks v2 china 3 2" xfId="22006" xr:uid="{00000000-0005-0000-0000-0000ED550000}"/>
    <cellStyle name="_VLC Frango_ZBB Budget 2009 Decks v2 china 4" xfId="22007" xr:uid="{00000000-0005-0000-0000-0000EE550000}"/>
    <cellStyle name="_VLC Frango_ZBB Budget 2009 Decks_with Korea Scope in (Only LE)" xfId="22008" xr:uid="{00000000-0005-0000-0000-0000EF550000}"/>
    <cellStyle name="_VLC Frango_ZBB Budget 2009 Decks_with Korea Scope in (Only LE) (2)" xfId="22009" xr:uid="{00000000-0005-0000-0000-0000F0550000}"/>
    <cellStyle name="_VLC Frango_ZBB Budget 2009 Decks_with Korea Scope in (Only LE) (2) 2" xfId="22010" xr:uid="{00000000-0005-0000-0000-0000F1550000}"/>
    <cellStyle name="_VLC Frango_ZBB Budget 2009 Decks_with Korea Scope in (Only LE) (2) 2 2" xfId="22011" xr:uid="{00000000-0005-0000-0000-0000F2550000}"/>
    <cellStyle name="_VLC Frango_ZBB Budget 2009 Decks_with Korea Scope in (Only LE) (2) 2 2 2" xfId="22012" xr:uid="{00000000-0005-0000-0000-0000F3550000}"/>
    <cellStyle name="_VLC Frango_ZBB Budget 2009 Decks_with Korea Scope in (Only LE) (2) 2 3" xfId="22013" xr:uid="{00000000-0005-0000-0000-0000F4550000}"/>
    <cellStyle name="_VLC Frango_ZBB Budget 2009 Decks_with Korea Scope in (Only LE) (2) 3" xfId="22014" xr:uid="{00000000-0005-0000-0000-0000F5550000}"/>
    <cellStyle name="_VLC Frango_ZBB Budget 2009 Decks_with Korea Scope in (Only LE) (2) 3 2" xfId="22015" xr:uid="{00000000-0005-0000-0000-0000F6550000}"/>
    <cellStyle name="_VLC Frango_ZBB Budget 2009 Decks_with Korea Scope in (Only LE) (2) 4" xfId="22016" xr:uid="{00000000-0005-0000-0000-0000F7550000}"/>
    <cellStyle name="_VLC Frango_ZBB Budget 2009 Decks_with Korea Scope in (Only LE) 2" xfId="22017" xr:uid="{00000000-0005-0000-0000-0000F8550000}"/>
    <cellStyle name="_VLC Frango_ZBB Budget 2009 Decks_with Korea Scope in (Only LE) 2 2" xfId="22018" xr:uid="{00000000-0005-0000-0000-0000F9550000}"/>
    <cellStyle name="_VLC Frango_ZBB Budget 2009 Decks_with Korea Scope in (Only LE) 2 2 2" xfId="22019" xr:uid="{00000000-0005-0000-0000-0000FA550000}"/>
    <cellStyle name="_VLC Frango_ZBB Budget 2009 Decks_with Korea Scope in (Only LE) 2 3" xfId="22020" xr:uid="{00000000-0005-0000-0000-0000FB550000}"/>
    <cellStyle name="_VLC Frango_ZBB Budget 2009 Decks_with Korea Scope in (Only LE) 3" xfId="22021" xr:uid="{00000000-0005-0000-0000-0000FC550000}"/>
    <cellStyle name="_VLC Frango_ZBB Budget 2009 Decks_with Korea Scope in (Only LE) 3 2" xfId="22022" xr:uid="{00000000-0005-0000-0000-0000FD550000}"/>
    <cellStyle name="_VLC Frango_ZBB Budget 2009 Decks_with Korea Scope in (Only LE) 4" xfId="22023" xr:uid="{00000000-0005-0000-0000-0000FE550000}"/>
    <cellStyle name="_VLC Frango_ZBB Budget 2009 Decks_with Korea Scope in (Only LE) 4 2" xfId="22024" xr:uid="{00000000-0005-0000-0000-0000FF550000}"/>
    <cellStyle name="_VLC Frango_ZBB Budget 2009 Decks_with Korea Scope in (Only LE) 5" xfId="22025" xr:uid="{00000000-0005-0000-0000-000000560000}"/>
    <cellStyle name="_VLC Frango_ZBB Budget 2009 Decks_with Korea Scope in (Only LE) 6" xfId="22026" xr:uid="{00000000-0005-0000-0000-000001560000}"/>
    <cellStyle name="_VLC Frango_ZBB standard Template Korea_081105" xfId="22027" xr:uid="{00000000-0005-0000-0000-000002560000}"/>
    <cellStyle name="_VLC Frango_ZBB standard Template Korea_081105 2" xfId="22028" xr:uid="{00000000-0005-0000-0000-000003560000}"/>
    <cellStyle name="_VLC Frango_ZBB standard Template Korea_081105 2 2" xfId="22029" xr:uid="{00000000-0005-0000-0000-000004560000}"/>
    <cellStyle name="_VLC Frango_ZBB standard Template Korea_081105 2 2 2" xfId="22030" xr:uid="{00000000-0005-0000-0000-000005560000}"/>
    <cellStyle name="_VLC Frango_ZBB standard Template Korea_081105 2 3" xfId="22031" xr:uid="{00000000-0005-0000-0000-000006560000}"/>
    <cellStyle name="_VLC Frango_ZBB standard Template Korea_081105 3" xfId="22032" xr:uid="{00000000-0005-0000-0000-000007560000}"/>
    <cellStyle name="_VLC Frango_ZBB standard Template Korea_081105 3 2" xfId="22033" xr:uid="{00000000-0005-0000-0000-000008560000}"/>
    <cellStyle name="_VLC Frango_ZBB standard Template Korea_081105 4" xfId="22034" xr:uid="{00000000-0005-0000-0000-000009560000}"/>
    <cellStyle name="_VLC other" xfId="22035" xr:uid="{00000000-0005-0000-0000-00000A560000}"/>
    <cellStyle name="_VLC other 2" xfId="22036" xr:uid="{00000000-0005-0000-0000-00000B560000}"/>
    <cellStyle name="_VLC other 2 2" xfId="22037" xr:uid="{00000000-0005-0000-0000-00000C560000}"/>
    <cellStyle name="_VLC other 2 2 2" xfId="22038" xr:uid="{00000000-0005-0000-0000-00000D560000}"/>
    <cellStyle name="_VLC other 2 3" xfId="22039" xr:uid="{00000000-0005-0000-0000-00000E560000}"/>
    <cellStyle name="_VLC other 3" xfId="22040" xr:uid="{00000000-0005-0000-0000-00000F560000}"/>
    <cellStyle name="_VLC other 3 2" xfId="22041" xr:uid="{00000000-0005-0000-0000-000010560000}"/>
    <cellStyle name="_VLC other 4" xfId="22042" xr:uid="{00000000-0005-0000-0000-000011560000}"/>
    <cellStyle name="_VLC other_0908 Gabarito exchange rate" xfId="22043" xr:uid="{00000000-0005-0000-0000-000012560000}"/>
    <cellStyle name="_VLC other_0908 Gabarito exchange rate 2" xfId="22044" xr:uid="{00000000-0005-0000-0000-000013560000}"/>
    <cellStyle name="_VLC other_0908 Gabarito exchange rate 2 2" xfId="22045" xr:uid="{00000000-0005-0000-0000-000014560000}"/>
    <cellStyle name="_VLC other_0908 Gabarito exchange rate 3" xfId="22046" xr:uid="{00000000-0005-0000-0000-000015560000}"/>
    <cellStyle name="_VLC other_Book5" xfId="22047" xr:uid="{00000000-0005-0000-0000-000016560000}"/>
    <cellStyle name="_VLC other_Book5 2" xfId="22048" xr:uid="{00000000-0005-0000-0000-000017560000}"/>
    <cellStyle name="_VLC other_Book5 2 2" xfId="22049" xr:uid="{00000000-0005-0000-0000-000018560000}"/>
    <cellStyle name="_VLC other_Book5 3" xfId="22050" xr:uid="{00000000-0005-0000-0000-000019560000}"/>
    <cellStyle name="_VLC other_Bplan RD 1001" xfId="22051" xr:uid="{00000000-0005-0000-0000-00001A560000}"/>
    <cellStyle name="_VLC other_Bplan RD 1001 2" xfId="22052" xr:uid="{00000000-0005-0000-0000-00001B560000}"/>
    <cellStyle name="_VLC other_Bplan RD 1001 2 2" xfId="22053" xr:uid="{00000000-0005-0000-0000-00001C560000}"/>
    <cellStyle name="_VLC other_Bplan RD 1001 3" xfId="22054" xr:uid="{00000000-0005-0000-0000-00001D560000}"/>
    <cellStyle name="_VLC other_Copy of 081027 ZBB Budget 2009 Decks - People_Cherry_V4" xfId="22055" xr:uid="{00000000-0005-0000-0000-00001E560000}"/>
    <cellStyle name="_VLC other_Copy of 081027 ZBB Budget 2009 Decks - People_Cherry_V4 2" xfId="22056" xr:uid="{00000000-0005-0000-0000-00001F560000}"/>
    <cellStyle name="_VLC other_Copy of 081027 ZBB Budget 2009 Decks - People_Cherry_V4 2 2" xfId="22057" xr:uid="{00000000-0005-0000-0000-000020560000}"/>
    <cellStyle name="_VLC other_Copy of 081027 ZBB Budget 2009 Decks - People_Cherry_V4 2 2 2" xfId="22058" xr:uid="{00000000-0005-0000-0000-000021560000}"/>
    <cellStyle name="_VLC other_Copy of 081027 ZBB Budget 2009 Decks - People_Cherry_V4 2 3" xfId="22059" xr:uid="{00000000-0005-0000-0000-000022560000}"/>
    <cellStyle name="_VLC other_Copy of 081027 ZBB Budget 2009 Decks - People_Cherry_V4 3" xfId="22060" xr:uid="{00000000-0005-0000-0000-000023560000}"/>
    <cellStyle name="_VLC other_Copy of 081027 ZBB Budget 2009 Decks - People_Cherry_V4 3 2" xfId="22061" xr:uid="{00000000-0005-0000-0000-000024560000}"/>
    <cellStyle name="_VLC other_Copy of 081027 ZBB Budget 2009 Decks - People_Cherry_V4 4" xfId="22062" xr:uid="{00000000-0005-0000-0000-000025560000}"/>
    <cellStyle name="_VLC other_LE Ebitda RD Feb-10 v2" xfId="22063" xr:uid="{00000000-0005-0000-0000-000026560000}"/>
    <cellStyle name="_VLC other_LE Ebitda RD Feb-10 v2 2" xfId="22064" xr:uid="{00000000-0005-0000-0000-000027560000}"/>
    <cellStyle name="_VLC other_LE Ebitda RD Feb-10 v2 2 2" xfId="22065" xr:uid="{00000000-0005-0000-0000-000028560000}"/>
    <cellStyle name="_VLC other_LE Ebitda RD Feb-10 v2 3" xfId="22066" xr:uid="{00000000-0005-0000-0000-000029560000}"/>
    <cellStyle name="_VLC other_People Package" xfId="22067" xr:uid="{00000000-0005-0000-0000-00002A560000}"/>
    <cellStyle name="_VLC other_People Package (2)" xfId="22068" xr:uid="{00000000-0005-0000-0000-00002B560000}"/>
    <cellStyle name="_VLC other_People Package (2) 2" xfId="22069" xr:uid="{00000000-0005-0000-0000-00002C560000}"/>
    <cellStyle name="_VLC other_People Package (2) 2 2" xfId="22070" xr:uid="{00000000-0005-0000-0000-00002D560000}"/>
    <cellStyle name="_VLC other_People Package (2) 2 2 2" xfId="22071" xr:uid="{00000000-0005-0000-0000-00002E560000}"/>
    <cellStyle name="_VLC other_People Package (2) 2 3" xfId="22072" xr:uid="{00000000-0005-0000-0000-00002F560000}"/>
    <cellStyle name="_VLC other_People Package (2) 3" xfId="22073" xr:uid="{00000000-0005-0000-0000-000030560000}"/>
    <cellStyle name="_VLC other_People Package (2) 3 2" xfId="22074" xr:uid="{00000000-0005-0000-0000-000031560000}"/>
    <cellStyle name="_VLC other_People Package (2) 4" xfId="22075" xr:uid="{00000000-0005-0000-0000-000032560000}"/>
    <cellStyle name="_VLC other_People Package 2" xfId="22076" xr:uid="{00000000-0005-0000-0000-000033560000}"/>
    <cellStyle name="_VLC other_People Package 2 2" xfId="22077" xr:uid="{00000000-0005-0000-0000-000034560000}"/>
    <cellStyle name="_VLC other_People Package 2 2 2" xfId="22078" xr:uid="{00000000-0005-0000-0000-000035560000}"/>
    <cellStyle name="_VLC other_People Package 2 3" xfId="22079" xr:uid="{00000000-0005-0000-0000-000036560000}"/>
    <cellStyle name="_VLC other_People Package 3" xfId="22080" xr:uid="{00000000-0005-0000-0000-000037560000}"/>
    <cellStyle name="_VLC other_People Package 3 2" xfId="22081" xr:uid="{00000000-0005-0000-0000-000038560000}"/>
    <cellStyle name="_VLC other_People Package 4" xfId="22082" xr:uid="{00000000-0005-0000-0000-000039560000}"/>
    <cellStyle name="_VLC other_People Package 4 2" xfId="22083" xr:uid="{00000000-0005-0000-0000-00003A560000}"/>
    <cellStyle name="_VLC other_People Package 5" xfId="22084" xr:uid="{00000000-0005-0000-0000-00003B560000}"/>
    <cellStyle name="_VLC other_People Package 6" xfId="22085" xr:uid="{00000000-0005-0000-0000-00003C560000}"/>
    <cellStyle name="_VLC other_Sales and Marketing - revised" xfId="22086" xr:uid="{00000000-0005-0000-0000-00003D560000}"/>
    <cellStyle name="_VLC other_Sales and Marketing - revised 2" xfId="22087" xr:uid="{00000000-0005-0000-0000-00003E560000}"/>
    <cellStyle name="_VLC other_Sales and Marketing - revised 2 2" xfId="22088" xr:uid="{00000000-0005-0000-0000-00003F560000}"/>
    <cellStyle name="_VLC other_Sales and Marketing - revised 3" xfId="22089" xr:uid="{00000000-0005-0000-0000-000040560000}"/>
    <cellStyle name="_VLC other_Sim Ebitda LE 0909 v4" xfId="22090" xr:uid="{00000000-0005-0000-0000-000041560000}"/>
    <cellStyle name="_VLC other_Sim Ebitda LE 0909 v4 2" xfId="22091" xr:uid="{00000000-0005-0000-0000-000042560000}"/>
    <cellStyle name="_VLC other_Sim Ebitda LE 0909 v4 2 2" xfId="22092" xr:uid="{00000000-0005-0000-0000-000043560000}"/>
    <cellStyle name="_VLC other_Sim Ebitda LE 0909 v4 3" xfId="22093" xr:uid="{00000000-0005-0000-0000-000044560000}"/>
    <cellStyle name="_VLC other_WF Ebitda RD Abr-10" xfId="22094" xr:uid="{00000000-0005-0000-0000-000045560000}"/>
    <cellStyle name="_VLC other_WF Ebitda RD Abr-10 2" xfId="22095" xr:uid="{00000000-0005-0000-0000-000046560000}"/>
    <cellStyle name="_VLC other_WF Ebitda RD Abr-10 2 2" xfId="22096" xr:uid="{00000000-0005-0000-0000-000047560000}"/>
    <cellStyle name="_VLC other_WF Ebitda RD Abr-10 3" xfId="22097" xr:uid="{00000000-0005-0000-0000-000048560000}"/>
    <cellStyle name="_VLC other_WF Ebitda Sep09" xfId="22098" xr:uid="{00000000-0005-0000-0000-000049560000}"/>
    <cellStyle name="_VLC other_WF Ebitda Sep09 2" xfId="22099" xr:uid="{00000000-0005-0000-0000-00004A560000}"/>
    <cellStyle name="_VLC other_WF Ebitda Sep09 2 2" xfId="22100" xr:uid="{00000000-0005-0000-0000-00004B560000}"/>
    <cellStyle name="_VLC other_WF Ebitda Sep09 3" xfId="22101" xr:uid="{00000000-0005-0000-0000-00004C560000}"/>
    <cellStyle name="_VLC other_ZBB" xfId="22102" xr:uid="{00000000-0005-0000-0000-00004D560000}"/>
    <cellStyle name="_VLC other_ZBB 2" xfId="22103" xr:uid="{00000000-0005-0000-0000-00004E560000}"/>
    <cellStyle name="_VLC other_ZBB 2 2" xfId="22104" xr:uid="{00000000-0005-0000-0000-00004F560000}"/>
    <cellStyle name="_VLC other_ZBB 2 2 2" xfId="22105" xr:uid="{00000000-0005-0000-0000-000050560000}"/>
    <cellStyle name="_VLC other_ZBB 2 3" xfId="22106" xr:uid="{00000000-0005-0000-0000-000051560000}"/>
    <cellStyle name="_VLC other_ZBB 3" xfId="22107" xr:uid="{00000000-0005-0000-0000-000052560000}"/>
    <cellStyle name="_VLC other_ZBB 3 2" xfId="22108" xr:uid="{00000000-0005-0000-0000-000053560000}"/>
    <cellStyle name="_VLC other_ZBB 4" xfId="22109" xr:uid="{00000000-0005-0000-0000-000054560000}"/>
    <cellStyle name="_VLC other_ZBB Budget 2009 Decks" xfId="22110" xr:uid="{00000000-0005-0000-0000-000055560000}"/>
    <cellStyle name="_VLC other_ZBB Budget 2009 Decks 2" xfId="22111" xr:uid="{00000000-0005-0000-0000-000056560000}"/>
    <cellStyle name="_VLC other_ZBB Budget 2009 Decks 2 2" xfId="22112" xr:uid="{00000000-0005-0000-0000-000057560000}"/>
    <cellStyle name="_VLC other_ZBB Budget 2009 Decks 2 2 2" xfId="22113" xr:uid="{00000000-0005-0000-0000-000058560000}"/>
    <cellStyle name="_VLC other_ZBB Budget 2009 Decks 2 3" xfId="22114" xr:uid="{00000000-0005-0000-0000-000059560000}"/>
    <cellStyle name="_VLC other_ZBB Budget 2009 Decks 3" xfId="22115" xr:uid="{00000000-0005-0000-0000-00005A560000}"/>
    <cellStyle name="_VLC other_ZBB Budget 2009 Decks 3 2" xfId="22116" xr:uid="{00000000-0005-0000-0000-00005B560000}"/>
    <cellStyle name="_VLC other_ZBB Budget 2009 Decks 4" xfId="22117" xr:uid="{00000000-0005-0000-0000-00005C560000}"/>
    <cellStyle name="_VLC other_ZBB Budget 2009 Decks v2 china" xfId="22118" xr:uid="{00000000-0005-0000-0000-00005D560000}"/>
    <cellStyle name="_VLC other_ZBB Budget 2009 Decks v2 china 2" xfId="22119" xr:uid="{00000000-0005-0000-0000-00005E560000}"/>
    <cellStyle name="_VLC other_ZBB Budget 2009 Decks v2 china 2 2" xfId="22120" xr:uid="{00000000-0005-0000-0000-00005F560000}"/>
    <cellStyle name="_VLC other_ZBB Budget 2009 Decks v2 china 2 2 2" xfId="22121" xr:uid="{00000000-0005-0000-0000-000060560000}"/>
    <cellStyle name="_VLC other_ZBB Budget 2009 Decks v2 china 2 3" xfId="22122" xr:uid="{00000000-0005-0000-0000-000061560000}"/>
    <cellStyle name="_VLC other_ZBB Budget 2009 Decks v2 china 3" xfId="22123" xr:uid="{00000000-0005-0000-0000-000062560000}"/>
    <cellStyle name="_VLC other_ZBB Budget 2009 Decks v2 china 3 2" xfId="22124" xr:uid="{00000000-0005-0000-0000-000063560000}"/>
    <cellStyle name="_VLC other_ZBB Budget 2009 Decks v2 china 4" xfId="22125" xr:uid="{00000000-0005-0000-0000-000064560000}"/>
    <cellStyle name="_VLC other_ZBB Budget 2009 Decks_with Korea Scope in (Only LE)" xfId="22126" xr:uid="{00000000-0005-0000-0000-000065560000}"/>
    <cellStyle name="_VLC other_ZBB Budget 2009 Decks_with Korea Scope in (Only LE) (2)" xfId="22127" xr:uid="{00000000-0005-0000-0000-000066560000}"/>
    <cellStyle name="_VLC other_ZBB Budget 2009 Decks_with Korea Scope in (Only LE) (2) 2" xfId="22128" xr:uid="{00000000-0005-0000-0000-000067560000}"/>
    <cellStyle name="_VLC other_ZBB Budget 2009 Decks_with Korea Scope in (Only LE) (2) 2 2" xfId="22129" xr:uid="{00000000-0005-0000-0000-000068560000}"/>
    <cellStyle name="_VLC other_ZBB Budget 2009 Decks_with Korea Scope in (Only LE) (2) 2 2 2" xfId="22130" xr:uid="{00000000-0005-0000-0000-000069560000}"/>
    <cellStyle name="_VLC other_ZBB Budget 2009 Decks_with Korea Scope in (Only LE) (2) 2 3" xfId="22131" xr:uid="{00000000-0005-0000-0000-00006A560000}"/>
    <cellStyle name="_VLC other_ZBB Budget 2009 Decks_with Korea Scope in (Only LE) (2) 3" xfId="22132" xr:uid="{00000000-0005-0000-0000-00006B560000}"/>
    <cellStyle name="_VLC other_ZBB Budget 2009 Decks_with Korea Scope in (Only LE) (2) 3 2" xfId="22133" xr:uid="{00000000-0005-0000-0000-00006C560000}"/>
    <cellStyle name="_VLC other_ZBB Budget 2009 Decks_with Korea Scope in (Only LE) (2) 4" xfId="22134" xr:uid="{00000000-0005-0000-0000-00006D560000}"/>
    <cellStyle name="_VLC other_ZBB Budget 2009 Decks_with Korea Scope in (Only LE) 2" xfId="22135" xr:uid="{00000000-0005-0000-0000-00006E560000}"/>
    <cellStyle name="_VLC other_ZBB Budget 2009 Decks_with Korea Scope in (Only LE) 2 2" xfId="22136" xr:uid="{00000000-0005-0000-0000-00006F560000}"/>
    <cellStyle name="_VLC other_ZBB Budget 2009 Decks_with Korea Scope in (Only LE) 2 2 2" xfId="22137" xr:uid="{00000000-0005-0000-0000-000070560000}"/>
    <cellStyle name="_VLC other_ZBB Budget 2009 Decks_with Korea Scope in (Only LE) 2 3" xfId="22138" xr:uid="{00000000-0005-0000-0000-000071560000}"/>
    <cellStyle name="_VLC other_ZBB Budget 2009 Decks_with Korea Scope in (Only LE) 3" xfId="22139" xr:uid="{00000000-0005-0000-0000-000072560000}"/>
    <cellStyle name="_VLC other_ZBB Budget 2009 Decks_with Korea Scope in (Only LE) 3 2" xfId="22140" xr:uid="{00000000-0005-0000-0000-000073560000}"/>
    <cellStyle name="_VLC other_ZBB Budget 2009 Decks_with Korea Scope in (Only LE) 4" xfId="22141" xr:uid="{00000000-0005-0000-0000-000074560000}"/>
    <cellStyle name="_VLC other_ZBB Budget 2009 Decks_with Korea Scope in (Only LE) 4 2" xfId="22142" xr:uid="{00000000-0005-0000-0000-000075560000}"/>
    <cellStyle name="_VLC other_ZBB Budget 2009 Decks_with Korea Scope in (Only LE) 5" xfId="22143" xr:uid="{00000000-0005-0000-0000-000076560000}"/>
    <cellStyle name="_VLC other_ZBB Budget 2009 Decks_with Korea Scope in (Only LE) 6" xfId="22144" xr:uid="{00000000-0005-0000-0000-000077560000}"/>
    <cellStyle name="_VLC other_ZBB standard Template Korea_081105" xfId="22145" xr:uid="{00000000-0005-0000-0000-000078560000}"/>
    <cellStyle name="_VLC other_ZBB standard Template Korea_081105 2" xfId="22146" xr:uid="{00000000-0005-0000-0000-000079560000}"/>
    <cellStyle name="_VLC other_ZBB standard Template Korea_081105 2 2" xfId="22147" xr:uid="{00000000-0005-0000-0000-00007A560000}"/>
    <cellStyle name="_VLC other_ZBB standard Template Korea_081105 2 2 2" xfId="22148" xr:uid="{00000000-0005-0000-0000-00007B560000}"/>
    <cellStyle name="_VLC other_ZBB standard Template Korea_081105 2 3" xfId="22149" xr:uid="{00000000-0005-0000-0000-00007C560000}"/>
    <cellStyle name="_VLC other_ZBB standard Template Korea_081105 3" xfId="22150" xr:uid="{00000000-0005-0000-0000-00007D560000}"/>
    <cellStyle name="_VLC other_ZBB standard Template Korea_081105 3 2" xfId="22151" xr:uid="{00000000-0005-0000-0000-00007E560000}"/>
    <cellStyle name="_VLC other_ZBB standard Template Korea_081105 4" xfId="22152" xr:uid="{00000000-0005-0000-0000-00007F560000}"/>
    <cellStyle name="_VLC_0908 Gabarito exchange rate" xfId="22153" xr:uid="{00000000-0005-0000-0000-000080560000}"/>
    <cellStyle name="_VLC_0908 Gabarito exchange rate 2" xfId="22154" xr:uid="{00000000-0005-0000-0000-000081560000}"/>
    <cellStyle name="_VLC_0908 Gabarito exchange rate 2 2" xfId="22155" xr:uid="{00000000-0005-0000-0000-000082560000}"/>
    <cellStyle name="_VLC_0908 Gabarito exchange rate 3" xfId="22156" xr:uid="{00000000-0005-0000-0000-000083560000}"/>
    <cellStyle name="_VLC_Book5" xfId="22157" xr:uid="{00000000-0005-0000-0000-000084560000}"/>
    <cellStyle name="_VLC_Book5 2" xfId="22158" xr:uid="{00000000-0005-0000-0000-000085560000}"/>
    <cellStyle name="_VLC_Book5 2 2" xfId="22159" xr:uid="{00000000-0005-0000-0000-000086560000}"/>
    <cellStyle name="_VLC_Book5 3" xfId="22160" xr:uid="{00000000-0005-0000-0000-000087560000}"/>
    <cellStyle name="_VLC_Bplan RD 1001" xfId="22161" xr:uid="{00000000-0005-0000-0000-000088560000}"/>
    <cellStyle name="_VLC_Bplan RD 1001 2" xfId="22162" xr:uid="{00000000-0005-0000-0000-000089560000}"/>
    <cellStyle name="_VLC_Bplan RD 1001 2 2" xfId="22163" xr:uid="{00000000-0005-0000-0000-00008A560000}"/>
    <cellStyle name="_VLC_Bplan RD 1001 3" xfId="22164" xr:uid="{00000000-0005-0000-0000-00008B560000}"/>
    <cellStyle name="_VLC_Copy of 081027 ZBB Budget 2009 Decks - People_Cherry_V4" xfId="22165" xr:uid="{00000000-0005-0000-0000-00008C560000}"/>
    <cellStyle name="_VLC_Copy of 081027 ZBB Budget 2009 Decks - People_Cherry_V4 2" xfId="22166" xr:uid="{00000000-0005-0000-0000-00008D560000}"/>
    <cellStyle name="_VLC_Copy of 081027 ZBB Budget 2009 Decks - People_Cherry_V4 2 2" xfId="22167" xr:uid="{00000000-0005-0000-0000-00008E560000}"/>
    <cellStyle name="_VLC_Copy of 081027 ZBB Budget 2009 Decks - People_Cherry_V4 2 2 2" xfId="22168" xr:uid="{00000000-0005-0000-0000-00008F560000}"/>
    <cellStyle name="_VLC_Copy of 081027 ZBB Budget 2009 Decks - People_Cherry_V4 2 3" xfId="22169" xr:uid="{00000000-0005-0000-0000-000090560000}"/>
    <cellStyle name="_VLC_Copy of 081027 ZBB Budget 2009 Decks - People_Cherry_V4 3" xfId="22170" xr:uid="{00000000-0005-0000-0000-000091560000}"/>
    <cellStyle name="_VLC_Copy of 081027 ZBB Budget 2009 Decks - People_Cherry_V4 3 2" xfId="22171" xr:uid="{00000000-0005-0000-0000-000092560000}"/>
    <cellStyle name="_VLC_Copy of 081027 ZBB Budget 2009 Decks - People_Cherry_V4 4" xfId="22172" xr:uid="{00000000-0005-0000-0000-000093560000}"/>
    <cellStyle name="_VLC_LE Ebitda RD Feb-10 v2" xfId="22173" xr:uid="{00000000-0005-0000-0000-000094560000}"/>
    <cellStyle name="_VLC_LE Ebitda RD Feb-10 v2 2" xfId="22174" xr:uid="{00000000-0005-0000-0000-000095560000}"/>
    <cellStyle name="_VLC_LE Ebitda RD Feb-10 v2 2 2" xfId="22175" xr:uid="{00000000-0005-0000-0000-000096560000}"/>
    <cellStyle name="_VLC_LE Ebitda RD Feb-10 v2 3" xfId="22176" xr:uid="{00000000-0005-0000-0000-000097560000}"/>
    <cellStyle name="_VLC_People Package" xfId="22177" xr:uid="{00000000-0005-0000-0000-000098560000}"/>
    <cellStyle name="_VLC_People Package (2)" xfId="22178" xr:uid="{00000000-0005-0000-0000-000099560000}"/>
    <cellStyle name="_VLC_People Package (2) 2" xfId="22179" xr:uid="{00000000-0005-0000-0000-00009A560000}"/>
    <cellStyle name="_VLC_People Package (2) 2 2" xfId="22180" xr:uid="{00000000-0005-0000-0000-00009B560000}"/>
    <cellStyle name="_VLC_People Package (2) 2 2 2" xfId="22181" xr:uid="{00000000-0005-0000-0000-00009C560000}"/>
    <cellStyle name="_VLC_People Package (2) 2 3" xfId="22182" xr:uid="{00000000-0005-0000-0000-00009D560000}"/>
    <cellStyle name="_VLC_People Package (2) 3" xfId="22183" xr:uid="{00000000-0005-0000-0000-00009E560000}"/>
    <cellStyle name="_VLC_People Package (2) 3 2" xfId="22184" xr:uid="{00000000-0005-0000-0000-00009F560000}"/>
    <cellStyle name="_VLC_People Package (2) 4" xfId="22185" xr:uid="{00000000-0005-0000-0000-0000A0560000}"/>
    <cellStyle name="_VLC_People Package 2" xfId="22186" xr:uid="{00000000-0005-0000-0000-0000A1560000}"/>
    <cellStyle name="_VLC_People Package 2 2" xfId="22187" xr:uid="{00000000-0005-0000-0000-0000A2560000}"/>
    <cellStyle name="_VLC_People Package 2 2 2" xfId="22188" xr:uid="{00000000-0005-0000-0000-0000A3560000}"/>
    <cellStyle name="_VLC_People Package 2 3" xfId="22189" xr:uid="{00000000-0005-0000-0000-0000A4560000}"/>
    <cellStyle name="_VLC_People Package 3" xfId="22190" xr:uid="{00000000-0005-0000-0000-0000A5560000}"/>
    <cellStyle name="_VLC_People Package 3 2" xfId="22191" xr:uid="{00000000-0005-0000-0000-0000A6560000}"/>
    <cellStyle name="_VLC_People Package 4" xfId="22192" xr:uid="{00000000-0005-0000-0000-0000A7560000}"/>
    <cellStyle name="_VLC_People Package 4 2" xfId="22193" xr:uid="{00000000-0005-0000-0000-0000A8560000}"/>
    <cellStyle name="_VLC_People Package 5" xfId="22194" xr:uid="{00000000-0005-0000-0000-0000A9560000}"/>
    <cellStyle name="_VLC_People Package 6" xfId="22195" xr:uid="{00000000-0005-0000-0000-0000AA560000}"/>
    <cellStyle name="_VLC_Sales and Marketing - revised" xfId="22196" xr:uid="{00000000-0005-0000-0000-0000AB560000}"/>
    <cellStyle name="_VLC_Sales and Marketing - revised 2" xfId="22197" xr:uid="{00000000-0005-0000-0000-0000AC560000}"/>
    <cellStyle name="_VLC_Sales and Marketing - revised 2 2" xfId="22198" xr:uid="{00000000-0005-0000-0000-0000AD560000}"/>
    <cellStyle name="_VLC_Sales and Marketing - revised 3" xfId="22199" xr:uid="{00000000-0005-0000-0000-0000AE560000}"/>
    <cellStyle name="_VLC_Sim Ebitda LE 0909 v4" xfId="22200" xr:uid="{00000000-0005-0000-0000-0000AF560000}"/>
    <cellStyle name="_VLC_Sim Ebitda LE 0909 v4 2" xfId="22201" xr:uid="{00000000-0005-0000-0000-0000B0560000}"/>
    <cellStyle name="_VLC_Sim Ebitda LE 0909 v4 2 2" xfId="22202" xr:uid="{00000000-0005-0000-0000-0000B1560000}"/>
    <cellStyle name="_VLC_Sim Ebitda LE 0909 v4 3" xfId="22203" xr:uid="{00000000-0005-0000-0000-0000B2560000}"/>
    <cellStyle name="_VLC_WF Ebitda RD Abr-10" xfId="22204" xr:uid="{00000000-0005-0000-0000-0000B3560000}"/>
    <cellStyle name="_VLC_WF Ebitda RD Abr-10 2" xfId="22205" xr:uid="{00000000-0005-0000-0000-0000B4560000}"/>
    <cellStyle name="_VLC_WF Ebitda RD Abr-10 2 2" xfId="22206" xr:uid="{00000000-0005-0000-0000-0000B5560000}"/>
    <cellStyle name="_VLC_WF Ebitda RD Abr-10 3" xfId="22207" xr:uid="{00000000-0005-0000-0000-0000B6560000}"/>
    <cellStyle name="_VLC_WF Ebitda Sep09" xfId="22208" xr:uid="{00000000-0005-0000-0000-0000B7560000}"/>
    <cellStyle name="_VLC_WF Ebitda Sep09 2" xfId="22209" xr:uid="{00000000-0005-0000-0000-0000B8560000}"/>
    <cellStyle name="_VLC_WF Ebitda Sep09 2 2" xfId="22210" xr:uid="{00000000-0005-0000-0000-0000B9560000}"/>
    <cellStyle name="_VLC_WF Ebitda Sep09 3" xfId="22211" xr:uid="{00000000-0005-0000-0000-0000BA560000}"/>
    <cellStyle name="_VLC_ZBB" xfId="22212" xr:uid="{00000000-0005-0000-0000-0000BB560000}"/>
    <cellStyle name="_VLC_ZBB 2" xfId="22213" xr:uid="{00000000-0005-0000-0000-0000BC560000}"/>
    <cellStyle name="_VLC_ZBB 2 2" xfId="22214" xr:uid="{00000000-0005-0000-0000-0000BD560000}"/>
    <cellStyle name="_VLC_ZBB 2 2 2" xfId="22215" xr:uid="{00000000-0005-0000-0000-0000BE560000}"/>
    <cellStyle name="_VLC_ZBB 2 3" xfId="22216" xr:uid="{00000000-0005-0000-0000-0000BF560000}"/>
    <cellStyle name="_VLC_ZBB 3" xfId="22217" xr:uid="{00000000-0005-0000-0000-0000C0560000}"/>
    <cellStyle name="_VLC_ZBB 3 2" xfId="22218" xr:uid="{00000000-0005-0000-0000-0000C1560000}"/>
    <cellStyle name="_VLC_ZBB 4" xfId="22219" xr:uid="{00000000-0005-0000-0000-0000C2560000}"/>
    <cellStyle name="_VLC_ZBB Budget 2009 Decks" xfId="22220" xr:uid="{00000000-0005-0000-0000-0000C3560000}"/>
    <cellStyle name="_VLC_ZBB Budget 2009 Decks 2" xfId="22221" xr:uid="{00000000-0005-0000-0000-0000C4560000}"/>
    <cellStyle name="_VLC_ZBB Budget 2009 Decks 2 2" xfId="22222" xr:uid="{00000000-0005-0000-0000-0000C5560000}"/>
    <cellStyle name="_VLC_ZBB Budget 2009 Decks 2 2 2" xfId="22223" xr:uid="{00000000-0005-0000-0000-0000C6560000}"/>
    <cellStyle name="_VLC_ZBB Budget 2009 Decks 2 3" xfId="22224" xr:uid="{00000000-0005-0000-0000-0000C7560000}"/>
    <cellStyle name="_VLC_ZBB Budget 2009 Decks 3" xfId="22225" xr:uid="{00000000-0005-0000-0000-0000C8560000}"/>
    <cellStyle name="_VLC_ZBB Budget 2009 Decks 3 2" xfId="22226" xr:uid="{00000000-0005-0000-0000-0000C9560000}"/>
    <cellStyle name="_VLC_ZBB Budget 2009 Decks 4" xfId="22227" xr:uid="{00000000-0005-0000-0000-0000CA560000}"/>
    <cellStyle name="_VLC_ZBB Budget 2009 Decks v2 china" xfId="22228" xr:uid="{00000000-0005-0000-0000-0000CB560000}"/>
    <cellStyle name="_VLC_ZBB Budget 2009 Decks v2 china 2" xfId="22229" xr:uid="{00000000-0005-0000-0000-0000CC560000}"/>
    <cellStyle name="_VLC_ZBB Budget 2009 Decks v2 china 2 2" xfId="22230" xr:uid="{00000000-0005-0000-0000-0000CD560000}"/>
    <cellStyle name="_VLC_ZBB Budget 2009 Decks v2 china 2 2 2" xfId="22231" xr:uid="{00000000-0005-0000-0000-0000CE560000}"/>
    <cellStyle name="_VLC_ZBB Budget 2009 Decks v2 china 2 3" xfId="22232" xr:uid="{00000000-0005-0000-0000-0000CF560000}"/>
    <cellStyle name="_VLC_ZBB Budget 2009 Decks v2 china 3" xfId="22233" xr:uid="{00000000-0005-0000-0000-0000D0560000}"/>
    <cellStyle name="_VLC_ZBB Budget 2009 Decks v2 china 3 2" xfId="22234" xr:uid="{00000000-0005-0000-0000-0000D1560000}"/>
    <cellStyle name="_VLC_ZBB Budget 2009 Decks v2 china 4" xfId="22235" xr:uid="{00000000-0005-0000-0000-0000D2560000}"/>
    <cellStyle name="_VLC_ZBB Budget 2009 Decks_with Korea Scope in (Only LE)" xfId="22236" xr:uid="{00000000-0005-0000-0000-0000D3560000}"/>
    <cellStyle name="_VLC_ZBB Budget 2009 Decks_with Korea Scope in (Only LE) (2)" xfId="22237" xr:uid="{00000000-0005-0000-0000-0000D4560000}"/>
    <cellStyle name="_VLC_ZBB Budget 2009 Decks_with Korea Scope in (Only LE) (2) 2" xfId="22238" xr:uid="{00000000-0005-0000-0000-0000D5560000}"/>
    <cellStyle name="_VLC_ZBB Budget 2009 Decks_with Korea Scope in (Only LE) (2) 2 2" xfId="22239" xr:uid="{00000000-0005-0000-0000-0000D6560000}"/>
    <cellStyle name="_VLC_ZBB Budget 2009 Decks_with Korea Scope in (Only LE) (2) 2 2 2" xfId="22240" xr:uid="{00000000-0005-0000-0000-0000D7560000}"/>
    <cellStyle name="_VLC_ZBB Budget 2009 Decks_with Korea Scope in (Only LE) (2) 2 3" xfId="22241" xr:uid="{00000000-0005-0000-0000-0000D8560000}"/>
    <cellStyle name="_VLC_ZBB Budget 2009 Decks_with Korea Scope in (Only LE) (2) 3" xfId="22242" xr:uid="{00000000-0005-0000-0000-0000D9560000}"/>
    <cellStyle name="_VLC_ZBB Budget 2009 Decks_with Korea Scope in (Only LE) (2) 3 2" xfId="22243" xr:uid="{00000000-0005-0000-0000-0000DA560000}"/>
    <cellStyle name="_VLC_ZBB Budget 2009 Decks_with Korea Scope in (Only LE) (2) 4" xfId="22244" xr:uid="{00000000-0005-0000-0000-0000DB560000}"/>
    <cellStyle name="_VLC_ZBB Budget 2009 Decks_with Korea Scope in (Only LE) 2" xfId="22245" xr:uid="{00000000-0005-0000-0000-0000DC560000}"/>
    <cellStyle name="_VLC_ZBB Budget 2009 Decks_with Korea Scope in (Only LE) 2 2" xfId="22246" xr:uid="{00000000-0005-0000-0000-0000DD560000}"/>
    <cellStyle name="_VLC_ZBB Budget 2009 Decks_with Korea Scope in (Only LE) 2 2 2" xfId="22247" xr:uid="{00000000-0005-0000-0000-0000DE560000}"/>
    <cellStyle name="_VLC_ZBB Budget 2009 Decks_with Korea Scope in (Only LE) 2 3" xfId="22248" xr:uid="{00000000-0005-0000-0000-0000DF560000}"/>
    <cellStyle name="_VLC_ZBB Budget 2009 Decks_with Korea Scope in (Only LE) 3" xfId="22249" xr:uid="{00000000-0005-0000-0000-0000E0560000}"/>
    <cellStyle name="_VLC_ZBB Budget 2009 Decks_with Korea Scope in (Only LE) 3 2" xfId="22250" xr:uid="{00000000-0005-0000-0000-0000E1560000}"/>
    <cellStyle name="_VLC_ZBB Budget 2009 Decks_with Korea Scope in (Only LE) 4" xfId="22251" xr:uid="{00000000-0005-0000-0000-0000E2560000}"/>
    <cellStyle name="_VLC_ZBB Budget 2009 Decks_with Korea Scope in (Only LE) 4 2" xfId="22252" xr:uid="{00000000-0005-0000-0000-0000E3560000}"/>
    <cellStyle name="_VLC_ZBB Budget 2009 Decks_with Korea Scope in (Only LE) 5" xfId="22253" xr:uid="{00000000-0005-0000-0000-0000E4560000}"/>
    <cellStyle name="_VLC_ZBB Budget 2009 Decks_with Korea Scope in (Only LE) 6" xfId="22254" xr:uid="{00000000-0005-0000-0000-0000E5560000}"/>
    <cellStyle name="_VLC_ZBB standard Template Korea_081105" xfId="22255" xr:uid="{00000000-0005-0000-0000-0000E6560000}"/>
    <cellStyle name="_VLC_ZBB standard Template Korea_081105 2" xfId="22256" xr:uid="{00000000-0005-0000-0000-0000E7560000}"/>
    <cellStyle name="_VLC_ZBB standard Template Korea_081105 2 2" xfId="22257" xr:uid="{00000000-0005-0000-0000-0000E8560000}"/>
    <cellStyle name="_VLC_ZBB standard Template Korea_081105 2 2 2" xfId="22258" xr:uid="{00000000-0005-0000-0000-0000E9560000}"/>
    <cellStyle name="_VLC_ZBB standard Template Korea_081105 2 3" xfId="22259" xr:uid="{00000000-0005-0000-0000-0000EA560000}"/>
    <cellStyle name="_VLC_ZBB standard Template Korea_081105 3" xfId="22260" xr:uid="{00000000-0005-0000-0000-0000EB560000}"/>
    <cellStyle name="_VLC_ZBB standard Template Korea_081105 3 2" xfId="22261" xr:uid="{00000000-0005-0000-0000-0000EC560000}"/>
    <cellStyle name="_VLC_ZBB standard Template Korea_081105 4" xfId="22262" xr:uid="{00000000-0005-0000-0000-0000ED560000}"/>
    <cellStyle name="_WK" xfId="22263" xr:uid="{00000000-0005-0000-0000-0000EE560000}"/>
    <cellStyle name="_WK 2" xfId="22264" xr:uid="{00000000-0005-0000-0000-0000EF560000}"/>
    <cellStyle name="_WK 2 2" xfId="22265" xr:uid="{00000000-0005-0000-0000-0000F0560000}"/>
    <cellStyle name="_WK 3" xfId="22266" xr:uid="{00000000-0005-0000-0000-0000F1560000}"/>
    <cellStyle name="_Worksheet in BUDGET 2008 -----Supply workshop templates(6) " xfId="22267" xr:uid="{00000000-0005-0000-0000-0000F2560000}"/>
    <cellStyle name="_Worksheet in BUDGET 2008 -----Supply workshop templates(6)  2" xfId="22268" xr:uid="{00000000-0005-0000-0000-0000F3560000}"/>
    <cellStyle name="_Worksheet in BUDGET 2008 -----Supply workshop templates(6)  2 2" xfId="22269" xr:uid="{00000000-0005-0000-0000-0000F4560000}"/>
    <cellStyle name="_Worksheet in BUDGET 2008 -----Supply workshop templates(6)  3" xfId="22270" xr:uid="{00000000-0005-0000-0000-0000F5560000}"/>
    <cellStyle name="_ZBB Budget 2009 Decks v2 china" xfId="22271" xr:uid="{00000000-0005-0000-0000-0000F6560000}"/>
    <cellStyle name="_ZBB Budget 2009 Decks v2 china 2" xfId="22272" xr:uid="{00000000-0005-0000-0000-0000F7560000}"/>
    <cellStyle name="_ZBB Budget 2009 Decks v2 china 2 2" xfId="22273" xr:uid="{00000000-0005-0000-0000-0000F8560000}"/>
    <cellStyle name="_ZBB Budget 2009 Decks v2 china 2 2 2" xfId="22274" xr:uid="{00000000-0005-0000-0000-0000F9560000}"/>
    <cellStyle name="_ZBB Budget 2009 Decks v2 china 2 3" xfId="22275" xr:uid="{00000000-0005-0000-0000-0000FA560000}"/>
    <cellStyle name="_ZBB Budget 2009 Decks v2 china 3" xfId="22276" xr:uid="{00000000-0005-0000-0000-0000FB560000}"/>
    <cellStyle name="_ZBB Budget 2009 Decks v2 china 3 2" xfId="22277" xr:uid="{00000000-0005-0000-0000-0000FC560000}"/>
    <cellStyle name="_ZBB Budget 2009 Decks v2 china 4" xfId="22278" xr:uid="{00000000-0005-0000-0000-0000FD560000}"/>
    <cellStyle name="_ZBB growth vs. targets RU change" xfId="22279" xr:uid="{00000000-0005-0000-0000-0000FE560000}"/>
    <cellStyle name="_ZBB growth vs. targets RU change 2" xfId="22280" xr:uid="{00000000-0005-0000-0000-0000FF560000}"/>
    <cellStyle name="_ZBB growth vs. targets RU change 2 2" xfId="22281" xr:uid="{00000000-0005-0000-0000-000000570000}"/>
    <cellStyle name="_ZBB growth vs. targets RU change 3" xfId="22282" xr:uid="{00000000-0005-0000-0000-000001570000}"/>
    <cellStyle name="_ZBB standard Template Korea_081105" xfId="22283" xr:uid="{00000000-0005-0000-0000-000002570000}"/>
    <cellStyle name="_ZBB standard Template Korea_081105 2" xfId="22284" xr:uid="{00000000-0005-0000-0000-000003570000}"/>
    <cellStyle name="_ZBB standard Template Korea_081105 2 2" xfId="22285" xr:uid="{00000000-0005-0000-0000-000004570000}"/>
    <cellStyle name="_ZBB standard Template Korea_081105 2 2 2" xfId="22286" xr:uid="{00000000-0005-0000-0000-000005570000}"/>
    <cellStyle name="_ZBB standard Template Korea_081105 2 3" xfId="22287" xr:uid="{00000000-0005-0000-0000-000006570000}"/>
    <cellStyle name="_ZBB standard Template Korea_081105 3" xfId="22288" xr:uid="{00000000-0005-0000-0000-000007570000}"/>
    <cellStyle name="_ZBB standard Template Korea_081105 3 2" xfId="22289" xr:uid="{00000000-0005-0000-0000-000008570000}"/>
    <cellStyle name="_ZBB standard Template Korea_081105 4" xfId="22290" xr:uid="{00000000-0005-0000-0000-000009570000}"/>
    <cellStyle name="_ZBB Summary DBI Jun08" xfId="22291" xr:uid="{00000000-0005-0000-0000-00000A570000}"/>
    <cellStyle name="_ZBB Summary DBI Jun08 2" xfId="22292" xr:uid="{00000000-0005-0000-0000-00000B570000}"/>
    <cellStyle name="_ZBB Summary DBI Jun08 2 2" xfId="22293" xr:uid="{00000000-0005-0000-0000-00000C570000}"/>
    <cellStyle name="_ZBB Summary DBI Jun08 3" xfId="22294" xr:uid="{00000000-0005-0000-0000-00000D570000}"/>
    <cellStyle name="_Лист1" xfId="22295" xr:uid="{00000000-0005-0000-0000-00000E570000}"/>
    <cellStyle name="_Лист1 2" xfId="22296" xr:uid="{00000000-0005-0000-0000-00000F570000}"/>
    <cellStyle name="_Лист1 2 2" xfId="22297" xr:uid="{00000000-0005-0000-0000-000010570000}"/>
    <cellStyle name="_Лист1 2 2 2" xfId="22298" xr:uid="{00000000-0005-0000-0000-000011570000}"/>
    <cellStyle name="_Лист1 2 3" xfId="22299" xr:uid="{00000000-0005-0000-0000-000012570000}"/>
    <cellStyle name="_Лист1 3" xfId="22300" xr:uid="{00000000-0005-0000-0000-000013570000}"/>
    <cellStyle name="_Лист1 3 2" xfId="22301" xr:uid="{00000000-0005-0000-0000-000014570000}"/>
    <cellStyle name="_Лист1 4" xfId="22302" xr:uid="{00000000-0005-0000-0000-000015570000}"/>
    <cellStyle name="_Лист1_0908 Gabarito exchange rate" xfId="22303" xr:uid="{00000000-0005-0000-0000-000016570000}"/>
    <cellStyle name="_Лист1_0908 Gabarito exchange rate 2" xfId="22304" xr:uid="{00000000-0005-0000-0000-000017570000}"/>
    <cellStyle name="_Лист1_0908 Gabarito exchange rate 2 2" xfId="22305" xr:uid="{00000000-0005-0000-0000-000018570000}"/>
    <cellStyle name="_Лист1_0908 Gabarito exchange rate 3" xfId="22306" xr:uid="{00000000-0005-0000-0000-000019570000}"/>
    <cellStyle name="_Лист1_Book5" xfId="22307" xr:uid="{00000000-0005-0000-0000-00001A570000}"/>
    <cellStyle name="_Лист1_Book5 2" xfId="22308" xr:uid="{00000000-0005-0000-0000-00001B570000}"/>
    <cellStyle name="_Лист1_Book5 2 2" xfId="22309" xr:uid="{00000000-0005-0000-0000-00001C570000}"/>
    <cellStyle name="_Лист1_Book5 3" xfId="22310" xr:uid="{00000000-0005-0000-0000-00001D570000}"/>
    <cellStyle name="_Лист1_Bplan RD 1001" xfId="22311" xr:uid="{00000000-0005-0000-0000-00001E570000}"/>
    <cellStyle name="_Лист1_Bplan RD 1001 2" xfId="22312" xr:uid="{00000000-0005-0000-0000-00001F570000}"/>
    <cellStyle name="_Лист1_Bplan RD 1001 2 2" xfId="22313" xr:uid="{00000000-0005-0000-0000-000020570000}"/>
    <cellStyle name="_Лист1_Bplan RD 1001 3" xfId="22314" xr:uid="{00000000-0005-0000-0000-000021570000}"/>
    <cellStyle name="_Лист1_Copy of 081027 ZBB Budget 2009 Decks - People_Cherry_V4" xfId="22315" xr:uid="{00000000-0005-0000-0000-000022570000}"/>
    <cellStyle name="_Лист1_Copy of 081027 ZBB Budget 2009 Decks - People_Cherry_V4 2" xfId="22316" xr:uid="{00000000-0005-0000-0000-000023570000}"/>
    <cellStyle name="_Лист1_Copy of 081027 ZBB Budget 2009 Decks - People_Cherry_V4 2 2" xfId="22317" xr:uid="{00000000-0005-0000-0000-000024570000}"/>
    <cellStyle name="_Лист1_Copy of 081027 ZBB Budget 2009 Decks - People_Cherry_V4 2 2 2" xfId="22318" xr:uid="{00000000-0005-0000-0000-000025570000}"/>
    <cellStyle name="_Лист1_Copy of 081027 ZBB Budget 2009 Decks - People_Cherry_V4 2 3" xfId="22319" xr:uid="{00000000-0005-0000-0000-000026570000}"/>
    <cellStyle name="_Лист1_Copy of 081027 ZBB Budget 2009 Decks - People_Cherry_V4 3" xfId="22320" xr:uid="{00000000-0005-0000-0000-000027570000}"/>
    <cellStyle name="_Лист1_Copy of 081027 ZBB Budget 2009 Decks - People_Cherry_V4 3 2" xfId="22321" xr:uid="{00000000-0005-0000-0000-000028570000}"/>
    <cellStyle name="_Лист1_Copy of 081027 ZBB Budget 2009 Decks - People_Cherry_V4 4" xfId="22322" xr:uid="{00000000-0005-0000-0000-000029570000}"/>
    <cellStyle name="_Лист1_LE Ebitda RD Feb-10 v2" xfId="22323" xr:uid="{00000000-0005-0000-0000-00002A570000}"/>
    <cellStyle name="_Лист1_LE Ebitda RD Feb-10 v2 2" xfId="22324" xr:uid="{00000000-0005-0000-0000-00002B570000}"/>
    <cellStyle name="_Лист1_LE Ebitda RD Feb-10 v2 2 2" xfId="22325" xr:uid="{00000000-0005-0000-0000-00002C570000}"/>
    <cellStyle name="_Лист1_LE Ebitda RD Feb-10 v2 3" xfId="22326" xr:uid="{00000000-0005-0000-0000-00002D570000}"/>
    <cellStyle name="_Лист1_People Package" xfId="22327" xr:uid="{00000000-0005-0000-0000-00002E570000}"/>
    <cellStyle name="_Лист1_People Package (2)" xfId="22328" xr:uid="{00000000-0005-0000-0000-00002F570000}"/>
    <cellStyle name="_Лист1_People Package (2) 2" xfId="22329" xr:uid="{00000000-0005-0000-0000-000030570000}"/>
    <cellStyle name="_Лист1_People Package (2) 2 2" xfId="22330" xr:uid="{00000000-0005-0000-0000-000031570000}"/>
    <cellStyle name="_Лист1_People Package (2) 2 2 2" xfId="22331" xr:uid="{00000000-0005-0000-0000-000032570000}"/>
    <cellStyle name="_Лист1_People Package (2) 2 3" xfId="22332" xr:uid="{00000000-0005-0000-0000-000033570000}"/>
    <cellStyle name="_Лист1_People Package (2) 3" xfId="22333" xr:uid="{00000000-0005-0000-0000-000034570000}"/>
    <cellStyle name="_Лист1_People Package (2) 3 2" xfId="22334" xr:uid="{00000000-0005-0000-0000-000035570000}"/>
    <cellStyle name="_Лист1_People Package (2) 4" xfId="22335" xr:uid="{00000000-0005-0000-0000-000036570000}"/>
    <cellStyle name="_Лист1_People Package 2" xfId="22336" xr:uid="{00000000-0005-0000-0000-000037570000}"/>
    <cellStyle name="_Лист1_People Package 2 2" xfId="22337" xr:uid="{00000000-0005-0000-0000-000038570000}"/>
    <cellStyle name="_Лист1_People Package 2 2 2" xfId="22338" xr:uid="{00000000-0005-0000-0000-000039570000}"/>
    <cellStyle name="_Лист1_People Package 2 3" xfId="22339" xr:uid="{00000000-0005-0000-0000-00003A570000}"/>
    <cellStyle name="_Лист1_People Package 3" xfId="22340" xr:uid="{00000000-0005-0000-0000-00003B570000}"/>
    <cellStyle name="_Лист1_People Package 3 2" xfId="22341" xr:uid="{00000000-0005-0000-0000-00003C570000}"/>
    <cellStyle name="_Лист1_People Package 4" xfId="22342" xr:uid="{00000000-0005-0000-0000-00003D570000}"/>
    <cellStyle name="_Лист1_People Package 4 2" xfId="22343" xr:uid="{00000000-0005-0000-0000-00003E570000}"/>
    <cellStyle name="_Лист1_People Package 5" xfId="22344" xr:uid="{00000000-0005-0000-0000-00003F570000}"/>
    <cellStyle name="_Лист1_People Package 6" xfId="22345" xr:uid="{00000000-0005-0000-0000-000040570000}"/>
    <cellStyle name="_Лист1_Sales and Marketing - revised" xfId="22346" xr:uid="{00000000-0005-0000-0000-000041570000}"/>
    <cellStyle name="_Лист1_Sales and Marketing - revised 2" xfId="22347" xr:uid="{00000000-0005-0000-0000-000042570000}"/>
    <cellStyle name="_Лист1_Sales and Marketing - revised 2 2" xfId="22348" xr:uid="{00000000-0005-0000-0000-000043570000}"/>
    <cellStyle name="_Лист1_Sales and Marketing - revised 3" xfId="22349" xr:uid="{00000000-0005-0000-0000-000044570000}"/>
    <cellStyle name="_Лист1_Sim Ebitda LE 0909 v4" xfId="22350" xr:uid="{00000000-0005-0000-0000-000045570000}"/>
    <cellStyle name="_Лист1_Sim Ebitda LE 0909 v4 2" xfId="22351" xr:uid="{00000000-0005-0000-0000-000046570000}"/>
    <cellStyle name="_Лист1_Sim Ebitda LE 0909 v4 2 2" xfId="22352" xr:uid="{00000000-0005-0000-0000-000047570000}"/>
    <cellStyle name="_Лист1_Sim Ebitda LE 0909 v4 3" xfId="22353" xr:uid="{00000000-0005-0000-0000-000048570000}"/>
    <cellStyle name="_Лист1_WF Ebitda RD Abr-10" xfId="22354" xr:uid="{00000000-0005-0000-0000-000049570000}"/>
    <cellStyle name="_Лист1_WF Ebitda RD Abr-10 2" xfId="22355" xr:uid="{00000000-0005-0000-0000-00004A570000}"/>
    <cellStyle name="_Лист1_WF Ebitda RD Abr-10 2 2" xfId="22356" xr:uid="{00000000-0005-0000-0000-00004B570000}"/>
    <cellStyle name="_Лист1_WF Ebitda RD Abr-10 3" xfId="22357" xr:uid="{00000000-0005-0000-0000-00004C570000}"/>
    <cellStyle name="_Лист1_WF Ebitda Sep09" xfId="22358" xr:uid="{00000000-0005-0000-0000-00004D570000}"/>
    <cellStyle name="_Лист1_WF Ebitda Sep09 2" xfId="22359" xr:uid="{00000000-0005-0000-0000-00004E570000}"/>
    <cellStyle name="_Лист1_WF Ebitda Sep09 2 2" xfId="22360" xr:uid="{00000000-0005-0000-0000-00004F570000}"/>
    <cellStyle name="_Лист1_WF Ebitda Sep09 3" xfId="22361" xr:uid="{00000000-0005-0000-0000-000050570000}"/>
    <cellStyle name="_Лист1_ZBB" xfId="22362" xr:uid="{00000000-0005-0000-0000-000051570000}"/>
    <cellStyle name="_Лист1_ZBB 2" xfId="22363" xr:uid="{00000000-0005-0000-0000-000052570000}"/>
    <cellStyle name="_Лист1_ZBB 2 2" xfId="22364" xr:uid="{00000000-0005-0000-0000-000053570000}"/>
    <cellStyle name="_Лист1_ZBB 2 2 2" xfId="22365" xr:uid="{00000000-0005-0000-0000-000054570000}"/>
    <cellStyle name="_Лист1_ZBB 2 3" xfId="22366" xr:uid="{00000000-0005-0000-0000-000055570000}"/>
    <cellStyle name="_Лист1_ZBB 3" xfId="22367" xr:uid="{00000000-0005-0000-0000-000056570000}"/>
    <cellStyle name="_Лист1_ZBB 3 2" xfId="22368" xr:uid="{00000000-0005-0000-0000-000057570000}"/>
    <cellStyle name="_Лист1_ZBB 4" xfId="22369" xr:uid="{00000000-0005-0000-0000-000058570000}"/>
    <cellStyle name="_Лист1_ZBB Budget 2009 Decks" xfId="22370" xr:uid="{00000000-0005-0000-0000-000059570000}"/>
    <cellStyle name="_Лист1_ZBB Budget 2009 Decks 2" xfId="22371" xr:uid="{00000000-0005-0000-0000-00005A570000}"/>
    <cellStyle name="_Лист1_ZBB Budget 2009 Decks 2 2" xfId="22372" xr:uid="{00000000-0005-0000-0000-00005B570000}"/>
    <cellStyle name="_Лист1_ZBB Budget 2009 Decks 2 2 2" xfId="22373" xr:uid="{00000000-0005-0000-0000-00005C570000}"/>
    <cellStyle name="_Лист1_ZBB Budget 2009 Decks 2 3" xfId="22374" xr:uid="{00000000-0005-0000-0000-00005D570000}"/>
    <cellStyle name="_Лист1_ZBB Budget 2009 Decks 3" xfId="22375" xr:uid="{00000000-0005-0000-0000-00005E570000}"/>
    <cellStyle name="_Лист1_ZBB Budget 2009 Decks 3 2" xfId="22376" xr:uid="{00000000-0005-0000-0000-00005F570000}"/>
    <cellStyle name="_Лист1_ZBB Budget 2009 Decks 4" xfId="22377" xr:uid="{00000000-0005-0000-0000-000060570000}"/>
    <cellStyle name="_Лист1_ZBB Budget 2009 Decks v2 china" xfId="22378" xr:uid="{00000000-0005-0000-0000-000061570000}"/>
    <cellStyle name="_Лист1_ZBB Budget 2009 Decks v2 china 2" xfId="22379" xr:uid="{00000000-0005-0000-0000-000062570000}"/>
    <cellStyle name="_Лист1_ZBB Budget 2009 Decks v2 china 2 2" xfId="22380" xr:uid="{00000000-0005-0000-0000-000063570000}"/>
    <cellStyle name="_Лист1_ZBB Budget 2009 Decks v2 china 2 2 2" xfId="22381" xr:uid="{00000000-0005-0000-0000-000064570000}"/>
    <cellStyle name="_Лист1_ZBB Budget 2009 Decks v2 china 2 3" xfId="22382" xr:uid="{00000000-0005-0000-0000-000065570000}"/>
    <cellStyle name="_Лист1_ZBB Budget 2009 Decks v2 china 3" xfId="22383" xr:uid="{00000000-0005-0000-0000-000066570000}"/>
    <cellStyle name="_Лист1_ZBB Budget 2009 Decks v2 china 3 2" xfId="22384" xr:uid="{00000000-0005-0000-0000-000067570000}"/>
    <cellStyle name="_Лист1_ZBB Budget 2009 Decks v2 china 4" xfId="22385" xr:uid="{00000000-0005-0000-0000-000068570000}"/>
    <cellStyle name="_Лист1_ZBB Budget 2009 Decks_with Korea Scope in (Only LE)" xfId="22386" xr:uid="{00000000-0005-0000-0000-000069570000}"/>
    <cellStyle name="_Лист1_ZBB Budget 2009 Decks_with Korea Scope in (Only LE) (2)" xfId="22387" xr:uid="{00000000-0005-0000-0000-00006A570000}"/>
    <cellStyle name="_Лист1_ZBB Budget 2009 Decks_with Korea Scope in (Only LE) (2) 2" xfId="22388" xr:uid="{00000000-0005-0000-0000-00006B570000}"/>
    <cellStyle name="_Лист1_ZBB Budget 2009 Decks_with Korea Scope in (Only LE) (2) 2 2" xfId="22389" xr:uid="{00000000-0005-0000-0000-00006C570000}"/>
    <cellStyle name="_Лист1_ZBB Budget 2009 Decks_with Korea Scope in (Only LE) (2) 2 2 2" xfId="22390" xr:uid="{00000000-0005-0000-0000-00006D570000}"/>
    <cellStyle name="_Лист1_ZBB Budget 2009 Decks_with Korea Scope in (Only LE) (2) 2 3" xfId="22391" xr:uid="{00000000-0005-0000-0000-00006E570000}"/>
    <cellStyle name="_Лист1_ZBB Budget 2009 Decks_with Korea Scope in (Only LE) (2) 3" xfId="22392" xr:uid="{00000000-0005-0000-0000-00006F570000}"/>
    <cellStyle name="_Лист1_ZBB Budget 2009 Decks_with Korea Scope in (Only LE) (2) 3 2" xfId="22393" xr:uid="{00000000-0005-0000-0000-000070570000}"/>
    <cellStyle name="_Лист1_ZBB Budget 2009 Decks_with Korea Scope in (Only LE) (2) 4" xfId="22394" xr:uid="{00000000-0005-0000-0000-000071570000}"/>
    <cellStyle name="_Лист1_ZBB Budget 2009 Decks_with Korea Scope in (Only LE) 2" xfId="22395" xr:uid="{00000000-0005-0000-0000-000072570000}"/>
    <cellStyle name="_Лист1_ZBB Budget 2009 Decks_with Korea Scope in (Only LE) 2 2" xfId="22396" xr:uid="{00000000-0005-0000-0000-000073570000}"/>
    <cellStyle name="_Лист1_ZBB Budget 2009 Decks_with Korea Scope in (Only LE) 2 2 2" xfId="22397" xr:uid="{00000000-0005-0000-0000-000074570000}"/>
    <cellStyle name="_Лист1_ZBB Budget 2009 Decks_with Korea Scope in (Only LE) 2 3" xfId="22398" xr:uid="{00000000-0005-0000-0000-000075570000}"/>
    <cellStyle name="_Лист1_ZBB Budget 2009 Decks_with Korea Scope in (Only LE) 3" xfId="22399" xr:uid="{00000000-0005-0000-0000-000076570000}"/>
    <cellStyle name="_Лист1_ZBB Budget 2009 Decks_with Korea Scope in (Only LE) 3 2" xfId="22400" xr:uid="{00000000-0005-0000-0000-000077570000}"/>
    <cellStyle name="_Лист1_ZBB Budget 2009 Decks_with Korea Scope in (Only LE) 4" xfId="22401" xr:uid="{00000000-0005-0000-0000-000078570000}"/>
    <cellStyle name="_Лист1_ZBB Budget 2009 Decks_with Korea Scope in (Only LE) 4 2" xfId="22402" xr:uid="{00000000-0005-0000-0000-000079570000}"/>
    <cellStyle name="_Лист1_ZBB Budget 2009 Decks_with Korea Scope in (Only LE) 5" xfId="22403" xr:uid="{00000000-0005-0000-0000-00007A570000}"/>
    <cellStyle name="_Лист1_ZBB Budget 2009 Decks_with Korea Scope in (Only LE) 6" xfId="22404" xr:uid="{00000000-0005-0000-0000-00007B570000}"/>
    <cellStyle name="_Лист1_ZBB standard Template Korea_081105" xfId="22405" xr:uid="{00000000-0005-0000-0000-00007C570000}"/>
    <cellStyle name="_Лист1_ZBB standard Template Korea_081105 2" xfId="22406" xr:uid="{00000000-0005-0000-0000-00007D570000}"/>
    <cellStyle name="_Лист1_ZBB standard Template Korea_081105 2 2" xfId="22407" xr:uid="{00000000-0005-0000-0000-00007E570000}"/>
    <cellStyle name="_Лист1_ZBB standard Template Korea_081105 2 2 2" xfId="22408" xr:uid="{00000000-0005-0000-0000-00007F570000}"/>
    <cellStyle name="_Лист1_ZBB standard Template Korea_081105 2 3" xfId="22409" xr:uid="{00000000-0005-0000-0000-000080570000}"/>
    <cellStyle name="_Лист1_ZBB standard Template Korea_081105 3" xfId="22410" xr:uid="{00000000-0005-0000-0000-000081570000}"/>
    <cellStyle name="_Лист1_ZBB standard Template Korea_081105 3 2" xfId="22411" xr:uid="{00000000-0005-0000-0000-000082570000}"/>
    <cellStyle name="_Лист1_ZBB standard Template Korea_081105 4" xfId="22412" xr:uid="{00000000-0005-0000-0000-000083570000}"/>
    <cellStyle name="،" xfId="22413" xr:uid="{00000000-0005-0000-0000-000084570000}"/>
    <cellStyle name="، 2" xfId="22414" xr:uid="{00000000-0005-0000-0000-000085570000}"/>
    <cellStyle name="، 2 2" xfId="22415" xr:uid="{00000000-0005-0000-0000-000086570000}"/>
    <cellStyle name="، 3" xfId="22416" xr:uid="{00000000-0005-0000-0000-000087570000}"/>
    <cellStyle name="’Ê‰Ý [0.00]_GE 3 MINIMUM" xfId="22417" xr:uid="{00000000-0005-0000-0000-000088570000}"/>
    <cellStyle name="’Ê‰Ý_GE 3 MINIMUM" xfId="22418" xr:uid="{00000000-0005-0000-0000-000089570000}"/>
    <cellStyle name="£ BP" xfId="22419" xr:uid="{00000000-0005-0000-0000-00008A570000}"/>
    <cellStyle name="£.0" xfId="22420" xr:uid="{00000000-0005-0000-0000-00008B570000}"/>
    <cellStyle name="¥ JY" xfId="22421" xr:uid="{00000000-0005-0000-0000-00008C570000}"/>
    <cellStyle name="=C:\WINNT\SYSTEM32\COMMAND.COM" xfId="22422" xr:uid="{00000000-0005-0000-0000-00008D570000}"/>
    <cellStyle name="=C:\WINNT\SYSTEM32\COMMAND.COM 2" xfId="22423" xr:uid="{00000000-0005-0000-0000-00008E570000}"/>
    <cellStyle name="=C:\WINNT\SYSTEM32\COMMAND.COM 2 2" xfId="22424" xr:uid="{00000000-0005-0000-0000-00008F570000}"/>
    <cellStyle name="=C:\WINNT\SYSTEM32\COMMAND.COM 3" xfId="22425" xr:uid="{00000000-0005-0000-0000-000090570000}"/>
    <cellStyle name="•W€_GE 3 MINIMUM" xfId="22426" xr:uid="{00000000-0005-0000-0000-000091570000}"/>
    <cellStyle name="•W_GE 3 MINIMUM" xfId="22427" xr:uid="{00000000-0005-0000-0000-000092570000}"/>
    <cellStyle name="_x0005_&amp;" xfId="22428" xr:uid="{00000000-0005-0000-0000-000093570000}"/>
    <cellStyle name="0" xfId="22429" xr:uid="{00000000-0005-0000-0000-000094570000}"/>
    <cellStyle name="0%" xfId="22430" xr:uid="{00000000-0005-0000-0000-000095570000}"/>
    <cellStyle name="0.0" xfId="22431" xr:uid="{00000000-0005-0000-0000-000096570000}"/>
    <cellStyle name="0.0 2" xfId="22432" xr:uid="{00000000-0005-0000-0000-000097570000}"/>
    <cellStyle name="0.0%" xfId="22433" xr:uid="{00000000-0005-0000-0000-000098570000}"/>
    <cellStyle name="0.0_Financial model Feb VE 3" xfId="22434" xr:uid="{00000000-0005-0000-0000-000099570000}"/>
    <cellStyle name="0.00" xfId="22435" xr:uid="{00000000-0005-0000-0000-00009A570000}"/>
    <cellStyle name="0.00%" xfId="22436" xr:uid="{00000000-0005-0000-0000-00009B570000}"/>
    <cellStyle name="0_Tinkoff_Model_13May05" xfId="22437" xr:uid="{00000000-0005-0000-0000-00009C570000}"/>
    <cellStyle name="000omit" xfId="22438" xr:uid="{00000000-0005-0000-0000-00009D570000}"/>
    <cellStyle name="1" xfId="22439" xr:uid="{00000000-0005-0000-0000-00009E570000}"/>
    <cellStyle name="1 2" xfId="22440" xr:uid="{00000000-0005-0000-0000-00009F570000}"/>
    <cellStyle name="1 2 2" xfId="22441" xr:uid="{00000000-0005-0000-0000-0000A0570000}"/>
    <cellStyle name="1 3" xfId="22442" xr:uid="{00000000-0005-0000-0000-0000A1570000}"/>
    <cellStyle name="1_2004-Sep-1_American Household_v1" xfId="22443" xr:uid="{00000000-0005-0000-0000-0000A2570000}"/>
    <cellStyle name="1_2004-Sep-1_American Household_v1 2" xfId="22444" xr:uid="{00000000-0005-0000-0000-0000A3570000}"/>
    <cellStyle name="1_2004-Sep-1_American Household_v1 2 2" xfId="22445" xr:uid="{00000000-0005-0000-0000-0000A4570000}"/>
    <cellStyle name="1_2004-Sep-1_American Household_v1 3" xfId="22446" xr:uid="{00000000-0005-0000-0000-0000A5570000}"/>
    <cellStyle name="1_Answers" xfId="22447" xr:uid="{00000000-0005-0000-0000-0000A6570000}"/>
    <cellStyle name="1_Answers 2" xfId="22448" xr:uid="{00000000-0005-0000-0000-0000A7570000}"/>
    <cellStyle name="1_Answers 2 2" xfId="22449" xr:uid="{00000000-0005-0000-0000-0000A8570000}"/>
    <cellStyle name="1_Answers 3" xfId="22450" xr:uid="{00000000-0005-0000-0000-0000A9570000}"/>
    <cellStyle name="1_Callaway LBO short form" xfId="22451" xr:uid="{00000000-0005-0000-0000-0000AA570000}"/>
    <cellStyle name="1_Callaway LBO short form 2" xfId="22452" xr:uid="{00000000-0005-0000-0000-0000AB570000}"/>
    <cellStyle name="1_Callaway LBO short form 2 2" xfId="22453" xr:uid="{00000000-0005-0000-0000-0000AC570000}"/>
    <cellStyle name="1_Callaway LBO short form 3" xfId="22454" xr:uid="{00000000-0005-0000-0000-0000AD570000}"/>
    <cellStyle name="1_comps file check010405" xfId="22455" xr:uid="{00000000-0005-0000-0000-0000AE570000}"/>
    <cellStyle name="1_comps file check010405 2" xfId="22456" xr:uid="{00000000-0005-0000-0000-0000AF570000}"/>
    <cellStyle name="1_comps file check010405 2 2" xfId="22457" xr:uid="{00000000-0005-0000-0000-0000B0570000}"/>
    <cellStyle name="1_comps file check010405 3" xfId="22458" xr:uid="{00000000-0005-0000-0000-0000B1570000}"/>
    <cellStyle name="1_cow cost of debt3.091204" xfId="22459" xr:uid="{00000000-0005-0000-0000-0000B2570000}"/>
    <cellStyle name="1_cow cost of debt3.091204 2" xfId="22460" xr:uid="{00000000-0005-0000-0000-0000B3570000}"/>
    <cellStyle name="1_cow cost of debt3.091204 2 2" xfId="22461" xr:uid="{00000000-0005-0000-0000-0000B4570000}"/>
    <cellStyle name="1_cow cost of debt3.091204 3" xfId="22462" xr:uid="{00000000-0005-0000-0000-0000B5570000}"/>
    <cellStyle name="1_dcf_9_7_99" xfId="22463" xr:uid="{00000000-0005-0000-0000-0000B6570000}"/>
    <cellStyle name="1_dcf_9_7_99 2" xfId="22464" xr:uid="{00000000-0005-0000-0000-0000B7570000}"/>
    <cellStyle name="1_dcf_9_7_99 2 2" xfId="22465" xr:uid="{00000000-0005-0000-0000-0000B8570000}"/>
    <cellStyle name="1_dcf_9_7_99 3" xfId="22466" xr:uid="{00000000-0005-0000-0000-0000B9570000}"/>
    <cellStyle name="1_dcf_9_7_99_accretion.temp" xfId="22467" xr:uid="{00000000-0005-0000-0000-0000BA570000}"/>
    <cellStyle name="1_dcf_9_7_99_accretion.temp 2" xfId="22468" xr:uid="{00000000-0005-0000-0000-0000BB570000}"/>
    <cellStyle name="1_dcf_9_7_99_accretion.temp 2 2" xfId="22469" xr:uid="{00000000-0005-0000-0000-0000BC570000}"/>
    <cellStyle name="1_dcf_9_7_99_accretion.temp 3" xfId="22470" xr:uid="{00000000-0005-0000-0000-0000BD570000}"/>
    <cellStyle name="1_DCF10.18.99" xfId="22471" xr:uid="{00000000-0005-0000-0000-0000BE570000}"/>
    <cellStyle name="1_DCF10.18.99 2" xfId="22472" xr:uid="{00000000-0005-0000-0000-0000BF570000}"/>
    <cellStyle name="1_DCF10.18.99 2 2" xfId="22473" xr:uid="{00000000-0005-0000-0000-0000C0570000}"/>
    <cellStyle name="1_DCF10.18.99 3" xfId="22474" xr:uid="{00000000-0005-0000-0000-0000C1570000}"/>
    <cellStyle name="1_DCF10.18.99_accretion.temp" xfId="22475" xr:uid="{00000000-0005-0000-0000-0000C2570000}"/>
    <cellStyle name="1_DCF10.18.99_accretion.temp 2" xfId="22476" xr:uid="{00000000-0005-0000-0000-0000C3570000}"/>
    <cellStyle name="1_DCF10.18.99_accretion.temp 2 2" xfId="22477" xr:uid="{00000000-0005-0000-0000-0000C4570000}"/>
    <cellStyle name="1_DCF10.18.99_accretion.temp 3" xfId="22478" xr:uid="{00000000-0005-0000-0000-0000C5570000}"/>
    <cellStyle name="1_financial model outline 102504" xfId="22479" xr:uid="{00000000-0005-0000-0000-0000C6570000}"/>
    <cellStyle name="1_foodlarge_FY2" xfId="22480" xr:uid="{00000000-0005-0000-0000-0000C7570000}"/>
    <cellStyle name="1_foodlarge_FY2 2" xfId="22481" xr:uid="{00000000-0005-0000-0000-0000C8570000}"/>
    <cellStyle name="1_foodlarge_FY2 2 2" xfId="22482" xr:uid="{00000000-0005-0000-0000-0000C9570000}"/>
    <cellStyle name="1_foodlarge_FY2 3" xfId="22483" xr:uid="{00000000-0005-0000-0000-0000CA570000}"/>
    <cellStyle name="1_Model 06029 v47 Fairness update 2" xfId="22484" xr:uid="{00000000-0005-0000-0000-0000CB570000}"/>
    <cellStyle name="1_Model 06029 v47 Fairness update 2 2" xfId="22485" xr:uid="{00000000-0005-0000-0000-0000CC570000}"/>
    <cellStyle name="1_Model 06029 v47 Fairness update 2 2 2" xfId="22486" xr:uid="{00000000-0005-0000-0000-0000CD570000}"/>
    <cellStyle name="1_Model 06029 v47 Fairness update 2 3" xfId="22487" xr:uid="{00000000-0005-0000-0000-0000CE570000}"/>
    <cellStyle name="1_Model 06029 v47 Fairness update 2_accretion.temp" xfId="22488" xr:uid="{00000000-0005-0000-0000-0000CF570000}"/>
    <cellStyle name="1_Model 06029 v47 Fairness update 2_accretion.temp 2" xfId="22489" xr:uid="{00000000-0005-0000-0000-0000D0570000}"/>
    <cellStyle name="1_Model 06029 v47 Fairness update 2_accretion.temp 2 2" xfId="22490" xr:uid="{00000000-0005-0000-0000-0000D1570000}"/>
    <cellStyle name="1_Model 06029 v47 Fairness update 2_accretion.temp 3" xfId="22491" xr:uid="{00000000-0005-0000-0000-0000D2570000}"/>
    <cellStyle name="1_Model 10-7-99" xfId="22492" xr:uid="{00000000-0005-0000-0000-0000D3570000}"/>
    <cellStyle name="1_Project Wave Model 07" xfId="22493" xr:uid="{00000000-0005-0000-0000-0000D4570000}"/>
    <cellStyle name="1_repurch" xfId="22494" xr:uid="{00000000-0005-0000-0000-0000D5570000}"/>
    <cellStyle name="1_repurch 2" xfId="22495" xr:uid="{00000000-0005-0000-0000-0000D6570000}"/>
    <cellStyle name="1_repurch 2 2" xfId="22496" xr:uid="{00000000-0005-0000-0000-0000D7570000}"/>
    <cellStyle name="1_repurch 3" xfId="22497" xr:uid="{00000000-0005-0000-0000-0000D8570000}"/>
    <cellStyle name="1_TNFI_DCF11.2.99" xfId="22498" xr:uid="{00000000-0005-0000-0000-0000D9570000}"/>
    <cellStyle name="1_TNFI_DCF11.2.99 2" xfId="22499" xr:uid="{00000000-0005-0000-0000-0000DA570000}"/>
    <cellStyle name="1_TNFI_DCF11.2.99 2 2" xfId="22500" xr:uid="{00000000-0005-0000-0000-0000DB570000}"/>
    <cellStyle name="1_TNFI_DCF11.2.99 3" xfId="22501" xr:uid="{00000000-0005-0000-0000-0000DC570000}"/>
    <cellStyle name="1_TNFI_DCF11.2.99_accretion.temp" xfId="22502" xr:uid="{00000000-0005-0000-0000-0000DD570000}"/>
    <cellStyle name="1_TNFI_DCF11.2.99_accretion.temp 2" xfId="22503" xr:uid="{00000000-0005-0000-0000-0000DE570000}"/>
    <cellStyle name="1_TNFI_DCF11.2.99_accretion.temp 2 2" xfId="22504" xr:uid="{00000000-0005-0000-0000-0000DF570000}"/>
    <cellStyle name="1_TNFI_DCF11.2.99_accretion.temp 3" xfId="22505" xr:uid="{00000000-0005-0000-0000-0000E0570000}"/>
    <cellStyle name="1_WACC Large-Cap" xfId="22506" xr:uid="{00000000-0005-0000-0000-0000E1570000}"/>
    <cellStyle name="10" xfId="22507" xr:uid="{00000000-0005-0000-0000-0000E2570000}"/>
    <cellStyle name="10 2" xfId="22508" xr:uid="{00000000-0005-0000-0000-0000E3570000}"/>
    <cellStyle name="10 2 2" xfId="22509" xr:uid="{00000000-0005-0000-0000-0000E4570000}"/>
    <cellStyle name="10 3" xfId="22510" xr:uid="{00000000-0005-0000-0000-0000E5570000}"/>
    <cellStyle name="1Decimal" xfId="22511" xr:uid="{00000000-0005-0000-0000-0000E6570000}"/>
    <cellStyle name="1Outputbox1" xfId="22512" xr:uid="{00000000-0005-0000-0000-0000E7570000}"/>
    <cellStyle name="1Outputbox1 2" xfId="22513" xr:uid="{00000000-0005-0000-0000-0000E8570000}"/>
    <cellStyle name="1Outputbox1 2 2" xfId="22514" xr:uid="{00000000-0005-0000-0000-0000E9570000}"/>
    <cellStyle name="1Outputbox1 2 2 2" xfId="22515" xr:uid="{00000000-0005-0000-0000-0000EA570000}"/>
    <cellStyle name="1Outputbox1 2 3" xfId="22516" xr:uid="{00000000-0005-0000-0000-0000EB570000}"/>
    <cellStyle name="1Outputbox1 2 3 2" xfId="22517" xr:uid="{00000000-0005-0000-0000-0000EC570000}"/>
    <cellStyle name="1Outputbox1 2 3 3" xfId="22518" xr:uid="{00000000-0005-0000-0000-0000ED570000}"/>
    <cellStyle name="1Outputbox1 2 4" xfId="22519" xr:uid="{00000000-0005-0000-0000-0000EE570000}"/>
    <cellStyle name="1Outputbox1 2 5" xfId="22520" xr:uid="{00000000-0005-0000-0000-0000EF570000}"/>
    <cellStyle name="1Outputbox1 3" xfId="22521" xr:uid="{00000000-0005-0000-0000-0000F0570000}"/>
    <cellStyle name="1Outputbox1 3 2" xfId="22522" xr:uid="{00000000-0005-0000-0000-0000F1570000}"/>
    <cellStyle name="1Outputbox1 3 2 2" xfId="22523" xr:uid="{00000000-0005-0000-0000-0000F2570000}"/>
    <cellStyle name="1Outputbox1 3 3" xfId="22524" xr:uid="{00000000-0005-0000-0000-0000F3570000}"/>
    <cellStyle name="1Outputbox1 3 3 2" xfId="22525" xr:uid="{00000000-0005-0000-0000-0000F4570000}"/>
    <cellStyle name="1Outputbox1 3 3 3" xfId="22526" xr:uid="{00000000-0005-0000-0000-0000F5570000}"/>
    <cellStyle name="1Outputbox1 3 4" xfId="22527" xr:uid="{00000000-0005-0000-0000-0000F6570000}"/>
    <cellStyle name="1Outputbox1 3 5" xfId="22528" xr:uid="{00000000-0005-0000-0000-0000F7570000}"/>
    <cellStyle name="1Outputbox1 4" xfId="22529" xr:uid="{00000000-0005-0000-0000-0000F8570000}"/>
    <cellStyle name="1Outputbox1 4 2" xfId="22530" xr:uid="{00000000-0005-0000-0000-0000F9570000}"/>
    <cellStyle name="1Outputbox1 4 2 2" xfId="22531" xr:uid="{00000000-0005-0000-0000-0000FA570000}"/>
    <cellStyle name="1Outputbox1 4 3" xfId="22532" xr:uid="{00000000-0005-0000-0000-0000FB570000}"/>
    <cellStyle name="1Outputbox1 4 3 2" xfId="22533" xr:uid="{00000000-0005-0000-0000-0000FC570000}"/>
    <cellStyle name="1Outputbox1 4 3 3" xfId="22534" xr:uid="{00000000-0005-0000-0000-0000FD570000}"/>
    <cellStyle name="1Outputbox1 4 4" xfId="22535" xr:uid="{00000000-0005-0000-0000-0000FE570000}"/>
    <cellStyle name="1Outputbox1 4 5" xfId="22536" xr:uid="{00000000-0005-0000-0000-0000FF570000}"/>
    <cellStyle name="1Outputbox1 5" xfId="22537" xr:uid="{00000000-0005-0000-0000-000000580000}"/>
    <cellStyle name="1Outputbox1 5 2" xfId="22538" xr:uid="{00000000-0005-0000-0000-000001580000}"/>
    <cellStyle name="1Outputbox1 6" xfId="22539" xr:uid="{00000000-0005-0000-0000-000002580000}"/>
    <cellStyle name="1Outputbox1 6 2" xfId="22540" xr:uid="{00000000-0005-0000-0000-000003580000}"/>
    <cellStyle name="1Outputbox1 6 3" xfId="22541" xr:uid="{00000000-0005-0000-0000-000004580000}"/>
    <cellStyle name="1Outputbox1 7" xfId="22542" xr:uid="{00000000-0005-0000-0000-000005580000}"/>
    <cellStyle name="1Outputbox1 8" xfId="22543" xr:uid="{00000000-0005-0000-0000-000006580000}"/>
    <cellStyle name="1Outputbox2" xfId="22544" xr:uid="{00000000-0005-0000-0000-000007580000}"/>
    <cellStyle name="1Outputbox2 2" xfId="22545" xr:uid="{00000000-0005-0000-0000-000008580000}"/>
    <cellStyle name="1Outputbox2 2 2" xfId="22546" xr:uid="{00000000-0005-0000-0000-000009580000}"/>
    <cellStyle name="1Outputbox2 2 2 2" xfId="22547" xr:uid="{00000000-0005-0000-0000-00000A580000}"/>
    <cellStyle name="1Outputbox2 2 3" xfId="22548" xr:uid="{00000000-0005-0000-0000-00000B580000}"/>
    <cellStyle name="1Outputbox2 3" xfId="22549" xr:uid="{00000000-0005-0000-0000-00000C580000}"/>
    <cellStyle name="1Outputbox2 3 2" xfId="22550" xr:uid="{00000000-0005-0000-0000-00000D580000}"/>
    <cellStyle name="1Outputbox2 4" xfId="22551" xr:uid="{00000000-0005-0000-0000-00000E580000}"/>
    <cellStyle name="1Outputheader" xfId="22552" xr:uid="{00000000-0005-0000-0000-00000F580000}"/>
    <cellStyle name="1Outputheader 2" xfId="22553" xr:uid="{00000000-0005-0000-0000-000010580000}"/>
    <cellStyle name="1Outputheader 2 2" xfId="22554" xr:uid="{00000000-0005-0000-0000-000011580000}"/>
    <cellStyle name="1Outputheader 2 2 2" xfId="22555" xr:uid="{00000000-0005-0000-0000-000012580000}"/>
    <cellStyle name="1Outputheader 2 3" xfId="22556" xr:uid="{00000000-0005-0000-0000-000013580000}"/>
    <cellStyle name="1Outputheader 2 3 2" xfId="22557" xr:uid="{00000000-0005-0000-0000-000014580000}"/>
    <cellStyle name="1Outputheader 2 3 3" xfId="22558" xr:uid="{00000000-0005-0000-0000-000015580000}"/>
    <cellStyle name="1Outputheader 2 4" xfId="22559" xr:uid="{00000000-0005-0000-0000-000016580000}"/>
    <cellStyle name="1Outputheader 2 5" xfId="22560" xr:uid="{00000000-0005-0000-0000-000017580000}"/>
    <cellStyle name="1Outputheader 3" xfId="22561" xr:uid="{00000000-0005-0000-0000-000018580000}"/>
    <cellStyle name="1Outputheader 3 2" xfId="22562" xr:uid="{00000000-0005-0000-0000-000019580000}"/>
    <cellStyle name="1Outputheader 3 2 2" xfId="22563" xr:uid="{00000000-0005-0000-0000-00001A580000}"/>
    <cellStyle name="1Outputheader 3 3" xfId="22564" xr:uid="{00000000-0005-0000-0000-00001B580000}"/>
    <cellStyle name="1Outputheader 3 3 2" xfId="22565" xr:uid="{00000000-0005-0000-0000-00001C580000}"/>
    <cellStyle name="1Outputheader 3 3 3" xfId="22566" xr:uid="{00000000-0005-0000-0000-00001D580000}"/>
    <cellStyle name="1Outputheader 3 4" xfId="22567" xr:uid="{00000000-0005-0000-0000-00001E580000}"/>
    <cellStyle name="1Outputheader 3 5" xfId="22568" xr:uid="{00000000-0005-0000-0000-00001F580000}"/>
    <cellStyle name="1Outputheader 4" xfId="22569" xr:uid="{00000000-0005-0000-0000-000020580000}"/>
    <cellStyle name="1Outputheader 4 2" xfId="22570" xr:uid="{00000000-0005-0000-0000-000021580000}"/>
    <cellStyle name="1Outputheader 4 2 2" xfId="22571" xr:uid="{00000000-0005-0000-0000-000022580000}"/>
    <cellStyle name="1Outputheader 4 3" xfId="22572" xr:uid="{00000000-0005-0000-0000-000023580000}"/>
    <cellStyle name="1Outputheader 4 3 2" xfId="22573" xr:uid="{00000000-0005-0000-0000-000024580000}"/>
    <cellStyle name="1Outputheader 4 3 3" xfId="22574" xr:uid="{00000000-0005-0000-0000-000025580000}"/>
    <cellStyle name="1Outputheader 4 4" xfId="22575" xr:uid="{00000000-0005-0000-0000-000026580000}"/>
    <cellStyle name="1Outputheader 4 5" xfId="22576" xr:uid="{00000000-0005-0000-0000-000027580000}"/>
    <cellStyle name="1Outputheader 5" xfId="22577" xr:uid="{00000000-0005-0000-0000-000028580000}"/>
    <cellStyle name="1Outputheader 5 2" xfId="22578" xr:uid="{00000000-0005-0000-0000-000029580000}"/>
    <cellStyle name="1Outputheader 6" xfId="22579" xr:uid="{00000000-0005-0000-0000-00002A580000}"/>
    <cellStyle name="1Outputheader 6 2" xfId="22580" xr:uid="{00000000-0005-0000-0000-00002B580000}"/>
    <cellStyle name="1Outputheader 6 3" xfId="22581" xr:uid="{00000000-0005-0000-0000-00002C580000}"/>
    <cellStyle name="1Outputheader 7" xfId="22582" xr:uid="{00000000-0005-0000-0000-00002D580000}"/>
    <cellStyle name="1Outputheader 8" xfId="22583" xr:uid="{00000000-0005-0000-0000-00002E580000}"/>
    <cellStyle name="1Outputheader2" xfId="22584" xr:uid="{00000000-0005-0000-0000-00002F580000}"/>
    <cellStyle name="1Outputheader2 2" xfId="22585" xr:uid="{00000000-0005-0000-0000-000030580000}"/>
    <cellStyle name="1Outputheader2 2 2" xfId="22586" xr:uid="{00000000-0005-0000-0000-000031580000}"/>
    <cellStyle name="1Outputheader2 2 2 2" xfId="22587" xr:uid="{00000000-0005-0000-0000-000032580000}"/>
    <cellStyle name="1Outputheader2 2 3" xfId="22588" xr:uid="{00000000-0005-0000-0000-000033580000}"/>
    <cellStyle name="1Outputheader2 3" xfId="22589" xr:uid="{00000000-0005-0000-0000-000034580000}"/>
    <cellStyle name="1Outputheader2 3 2" xfId="22590" xr:uid="{00000000-0005-0000-0000-000035580000}"/>
    <cellStyle name="1Outputheader2 4" xfId="22591" xr:uid="{00000000-0005-0000-0000-000036580000}"/>
    <cellStyle name="1Outputsubtitle" xfId="22592" xr:uid="{00000000-0005-0000-0000-000037580000}"/>
    <cellStyle name="1Outputsubtitle 2" xfId="22593" xr:uid="{00000000-0005-0000-0000-000038580000}"/>
    <cellStyle name="1Outputsubtitle 2 2" xfId="22594" xr:uid="{00000000-0005-0000-0000-000039580000}"/>
    <cellStyle name="1Outputsubtitle 2 2 2" xfId="22595" xr:uid="{00000000-0005-0000-0000-00003A580000}"/>
    <cellStyle name="1Outputsubtitle 2 3" xfId="22596" xr:uid="{00000000-0005-0000-0000-00003B580000}"/>
    <cellStyle name="1Outputsubtitle 3" xfId="22597" xr:uid="{00000000-0005-0000-0000-00003C580000}"/>
    <cellStyle name="1Outputsubtitle 3 2" xfId="22598" xr:uid="{00000000-0005-0000-0000-00003D580000}"/>
    <cellStyle name="1Outputsubtitle 4" xfId="22599" xr:uid="{00000000-0005-0000-0000-00003E580000}"/>
    <cellStyle name="1Outputtitle" xfId="22600" xr:uid="{00000000-0005-0000-0000-00003F580000}"/>
    <cellStyle name="1Outputtitle 2" xfId="22601" xr:uid="{00000000-0005-0000-0000-000040580000}"/>
    <cellStyle name="1Outputtitle 2 2" xfId="22602" xr:uid="{00000000-0005-0000-0000-000041580000}"/>
    <cellStyle name="1Outputtitle 2 2 2" xfId="22603" xr:uid="{00000000-0005-0000-0000-000042580000}"/>
    <cellStyle name="1Outputtitle 2 2 3" xfId="22604" xr:uid="{00000000-0005-0000-0000-000043580000}"/>
    <cellStyle name="1Outputtitle 2 3" xfId="22605" xr:uid="{00000000-0005-0000-0000-000044580000}"/>
    <cellStyle name="1Outputtitle 2 3 2" xfId="22606" xr:uid="{00000000-0005-0000-0000-000045580000}"/>
    <cellStyle name="1Outputtitle 2 4" xfId="22607" xr:uid="{00000000-0005-0000-0000-000046580000}"/>
    <cellStyle name="1Outputtitle 2 5" xfId="22608" xr:uid="{00000000-0005-0000-0000-000047580000}"/>
    <cellStyle name="1Outputtitle 3" xfId="22609" xr:uid="{00000000-0005-0000-0000-000048580000}"/>
    <cellStyle name="1Outputtitle 3 2" xfId="22610" xr:uid="{00000000-0005-0000-0000-000049580000}"/>
    <cellStyle name="1Outputtitle 3 2 2" xfId="22611" xr:uid="{00000000-0005-0000-0000-00004A580000}"/>
    <cellStyle name="1Outputtitle 3 2 3" xfId="22612" xr:uid="{00000000-0005-0000-0000-00004B580000}"/>
    <cellStyle name="1Outputtitle 3 3" xfId="22613" xr:uid="{00000000-0005-0000-0000-00004C580000}"/>
    <cellStyle name="1Outputtitle 3 3 2" xfId="22614" xr:uid="{00000000-0005-0000-0000-00004D580000}"/>
    <cellStyle name="1Outputtitle 3 4" xfId="22615" xr:uid="{00000000-0005-0000-0000-00004E580000}"/>
    <cellStyle name="1Outputtitle 3 5" xfId="22616" xr:uid="{00000000-0005-0000-0000-00004F580000}"/>
    <cellStyle name="1Outputtitle 4" xfId="22617" xr:uid="{00000000-0005-0000-0000-000050580000}"/>
    <cellStyle name="1Outputtitle 4 2" xfId="22618" xr:uid="{00000000-0005-0000-0000-000051580000}"/>
    <cellStyle name="1Outputtitle 5" xfId="22619" xr:uid="{00000000-0005-0000-0000-000052580000}"/>
    <cellStyle name="1Outputtitle 6" xfId="22620" xr:uid="{00000000-0005-0000-0000-000053580000}"/>
    <cellStyle name="1Profileheader" xfId="22621" xr:uid="{00000000-0005-0000-0000-000054580000}"/>
    <cellStyle name="1Profileheader 2" xfId="22622" xr:uid="{00000000-0005-0000-0000-000055580000}"/>
    <cellStyle name="1Profileheader 2 2" xfId="22623" xr:uid="{00000000-0005-0000-0000-000056580000}"/>
    <cellStyle name="1Profileheader 2 2 2" xfId="22624" xr:uid="{00000000-0005-0000-0000-000057580000}"/>
    <cellStyle name="1Profileheader 2 3" xfId="22625" xr:uid="{00000000-0005-0000-0000-000058580000}"/>
    <cellStyle name="1Profileheader 3" xfId="22626" xr:uid="{00000000-0005-0000-0000-000059580000}"/>
    <cellStyle name="1Profileheader 3 2" xfId="22627" xr:uid="{00000000-0005-0000-0000-00005A580000}"/>
    <cellStyle name="1Profileheader 4" xfId="22628" xr:uid="{00000000-0005-0000-0000-00005B580000}"/>
    <cellStyle name="1Profilelowerbox" xfId="22629" xr:uid="{00000000-0005-0000-0000-00005C580000}"/>
    <cellStyle name="1Profilelowerbox 2" xfId="22630" xr:uid="{00000000-0005-0000-0000-00005D580000}"/>
    <cellStyle name="1Profilelowerbox 2 2" xfId="22631" xr:uid="{00000000-0005-0000-0000-00005E580000}"/>
    <cellStyle name="1Profilelowerbox 3" xfId="22632" xr:uid="{00000000-0005-0000-0000-00005F580000}"/>
    <cellStyle name="1Profilesubheader" xfId="22633" xr:uid="{00000000-0005-0000-0000-000060580000}"/>
    <cellStyle name="1Profilesubheader 2" xfId="22634" xr:uid="{00000000-0005-0000-0000-000061580000}"/>
    <cellStyle name="1Profilesubheader 2 2" xfId="22635" xr:uid="{00000000-0005-0000-0000-000062580000}"/>
    <cellStyle name="1Profilesubheader 3" xfId="22636" xr:uid="{00000000-0005-0000-0000-000063580000}"/>
    <cellStyle name="1Profiletitle" xfId="22637" xr:uid="{00000000-0005-0000-0000-000064580000}"/>
    <cellStyle name="1Profiletitle 2" xfId="22638" xr:uid="{00000000-0005-0000-0000-000065580000}"/>
    <cellStyle name="1Profiletitle 2 2" xfId="22639" xr:uid="{00000000-0005-0000-0000-000066580000}"/>
    <cellStyle name="1Profiletitle 2 2 2" xfId="22640" xr:uid="{00000000-0005-0000-0000-000067580000}"/>
    <cellStyle name="1Profiletitle 2 2 3" xfId="22641" xr:uid="{00000000-0005-0000-0000-000068580000}"/>
    <cellStyle name="1Profiletitle 2 3" xfId="22642" xr:uid="{00000000-0005-0000-0000-000069580000}"/>
    <cellStyle name="1Profiletitle 2 3 2" xfId="22643" xr:uid="{00000000-0005-0000-0000-00006A580000}"/>
    <cellStyle name="1Profiletitle 2 4" xfId="22644" xr:uid="{00000000-0005-0000-0000-00006B580000}"/>
    <cellStyle name="1Profiletitle 2 5" xfId="22645" xr:uid="{00000000-0005-0000-0000-00006C580000}"/>
    <cellStyle name="1Profiletitle 3" xfId="22646" xr:uid="{00000000-0005-0000-0000-00006D580000}"/>
    <cellStyle name="1Profiletitle 3 2" xfId="22647" xr:uid="{00000000-0005-0000-0000-00006E580000}"/>
    <cellStyle name="1Profiletitle 3 2 2" xfId="22648" xr:uid="{00000000-0005-0000-0000-00006F580000}"/>
    <cellStyle name="1Profiletitle 3 2 3" xfId="22649" xr:uid="{00000000-0005-0000-0000-000070580000}"/>
    <cellStyle name="1Profiletitle 3 3" xfId="22650" xr:uid="{00000000-0005-0000-0000-000071580000}"/>
    <cellStyle name="1Profiletitle 3 3 2" xfId="22651" xr:uid="{00000000-0005-0000-0000-000072580000}"/>
    <cellStyle name="1Profiletitle 3 4" xfId="22652" xr:uid="{00000000-0005-0000-0000-000073580000}"/>
    <cellStyle name="1Profiletitle 3 5" xfId="22653" xr:uid="{00000000-0005-0000-0000-000074580000}"/>
    <cellStyle name="1Profiletitle 4" xfId="22654" xr:uid="{00000000-0005-0000-0000-000075580000}"/>
    <cellStyle name="1Profiletitle 4 2" xfId="22655" xr:uid="{00000000-0005-0000-0000-000076580000}"/>
    <cellStyle name="1Profiletitle 5" xfId="22656" xr:uid="{00000000-0005-0000-0000-000077580000}"/>
    <cellStyle name="1Profiletitle 6" xfId="22657" xr:uid="{00000000-0005-0000-0000-000078580000}"/>
    <cellStyle name="1Profiletopbox" xfId="22658" xr:uid="{00000000-0005-0000-0000-000079580000}"/>
    <cellStyle name="1Profiletopbox 2" xfId="22659" xr:uid="{00000000-0005-0000-0000-00007A580000}"/>
    <cellStyle name="1Profiletopbox 2 2" xfId="22660" xr:uid="{00000000-0005-0000-0000-00007B580000}"/>
    <cellStyle name="1Profiletopbox 3" xfId="22661" xr:uid="{00000000-0005-0000-0000-00007C580000}"/>
    <cellStyle name="20 % - Accent1" xfId="22662" xr:uid="{00000000-0005-0000-0000-00007D580000}"/>
    <cellStyle name="20 % - Accent1 2" xfId="22663" xr:uid="{00000000-0005-0000-0000-00007E580000}"/>
    <cellStyle name="20 % - Accent1 2 2" xfId="22664" xr:uid="{00000000-0005-0000-0000-00007F580000}"/>
    <cellStyle name="20 % - Accent1 3" xfId="22665" xr:uid="{00000000-0005-0000-0000-000080580000}"/>
    <cellStyle name="20 % - Accent2" xfId="22666" xr:uid="{00000000-0005-0000-0000-000081580000}"/>
    <cellStyle name="20 % - Accent2 2" xfId="22667" xr:uid="{00000000-0005-0000-0000-000082580000}"/>
    <cellStyle name="20 % - Accent2 2 2" xfId="22668" xr:uid="{00000000-0005-0000-0000-000083580000}"/>
    <cellStyle name="20 % - Accent2 3" xfId="22669" xr:uid="{00000000-0005-0000-0000-000084580000}"/>
    <cellStyle name="20 % - Accent3" xfId="22670" xr:uid="{00000000-0005-0000-0000-000085580000}"/>
    <cellStyle name="20 % - Accent3 2" xfId="22671" xr:uid="{00000000-0005-0000-0000-000086580000}"/>
    <cellStyle name="20 % - Accent3 2 2" xfId="22672" xr:uid="{00000000-0005-0000-0000-000087580000}"/>
    <cellStyle name="20 % - Accent3 3" xfId="22673" xr:uid="{00000000-0005-0000-0000-000088580000}"/>
    <cellStyle name="20 % - Accent4" xfId="22674" xr:uid="{00000000-0005-0000-0000-000089580000}"/>
    <cellStyle name="20 % - Accent4 2" xfId="22675" xr:uid="{00000000-0005-0000-0000-00008A580000}"/>
    <cellStyle name="20 % - Accent4 2 2" xfId="22676" xr:uid="{00000000-0005-0000-0000-00008B580000}"/>
    <cellStyle name="20 % - Accent4 3" xfId="22677" xr:uid="{00000000-0005-0000-0000-00008C580000}"/>
    <cellStyle name="20 % - Accent5" xfId="22678" xr:uid="{00000000-0005-0000-0000-00008D580000}"/>
    <cellStyle name="20 % - Accent5 2" xfId="22679" xr:uid="{00000000-0005-0000-0000-00008E580000}"/>
    <cellStyle name="20 % - Accent5 2 2" xfId="22680" xr:uid="{00000000-0005-0000-0000-00008F580000}"/>
    <cellStyle name="20 % - Accent5 3" xfId="22681" xr:uid="{00000000-0005-0000-0000-000090580000}"/>
    <cellStyle name="20 % - Accent6" xfId="22682" xr:uid="{00000000-0005-0000-0000-000091580000}"/>
    <cellStyle name="20 % - Accent6 2" xfId="22683" xr:uid="{00000000-0005-0000-0000-000092580000}"/>
    <cellStyle name="20 % - Accent6 2 2" xfId="22684" xr:uid="{00000000-0005-0000-0000-000093580000}"/>
    <cellStyle name="20 % - Accent6 3" xfId="22685" xr:uid="{00000000-0005-0000-0000-000094580000}"/>
    <cellStyle name="20% - Accent1 10" xfId="22686" xr:uid="{00000000-0005-0000-0000-000095580000}"/>
    <cellStyle name="20% - Accent1 10 2" xfId="22687" xr:uid="{00000000-0005-0000-0000-000096580000}"/>
    <cellStyle name="20% - Accent1 10 2 2" xfId="22688" xr:uid="{00000000-0005-0000-0000-000097580000}"/>
    <cellStyle name="20% - Accent1 10 2 2 2" xfId="22689" xr:uid="{00000000-0005-0000-0000-000098580000}"/>
    <cellStyle name="20% - Accent1 10 2 3" xfId="22690" xr:uid="{00000000-0005-0000-0000-000099580000}"/>
    <cellStyle name="20% - Accent1 10 2 3 2" xfId="22691" xr:uid="{00000000-0005-0000-0000-00009A580000}"/>
    <cellStyle name="20% - Accent1 10 2 4" xfId="22692" xr:uid="{00000000-0005-0000-0000-00009B580000}"/>
    <cellStyle name="20% - Accent1 10 3" xfId="22693" xr:uid="{00000000-0005-0000-0000-00009C580000}"/>
    <cellStyle name="20% - Accent1 10 3 2" xfId="22694" xr:uid="{00000000-0005-0000-0000-00009D580000}"/>
    <cellStyle name="20% - Accent1 10 3 2 2" xfId="22695" xr:uid="{00000000-0005-0000-0000-00009E580000}"/>
    <cellStyle name="20% - Accent1 10 3 3" xfId="22696" xr:uid="{00000000-0005-0000-0000-00009F580000}"/>
    <cellStyle name="20% - Accent1 10 3 3 2" xfId="22697" xr:uid="{00000000-0005-0000-0000-0000A0580000}"/>
    <cellStyle name="20% - Accent1 10 3 4" xfId="22698" xr:uid="{00000000-0005-0000-0000-0000A1580000}"/>
    <cellStyle name="20% - Accent1 10 4" xfId="22699" xr:uid="{00000000-0005-0000-0000-0000A2580000}"/>
    <cellStyle name="20% - Accent1 10 4 2" xfId="22700" xr:uid="{00000000-0005-0000-0000-0000A3580000}"/>
    <cellStyle name="20% - Accent1 10 5" xfId="22701" xr:uid="{00000000-0005-0000-0000-0000A4580000}"/>
    <cellStyle name="20% - Accent1 10 5 2" xfId="22702" xr:uid="{00000000-0005-0000-0000-0000A5580000}"/>
    <cellStyle name="20% - Accent1 10 6" xfId="22703" xr:uid="{00000000-0005-0000-0000-0000A6580000}"/>
    <cellStyle name="20% - Accent1 100" xfId="22704" xr:uid="{00000000-0005-0000-0000-0000A7580000}"/>
    <cellStyle name="20% - Accent1 100 2" xfId="22705" xr:uid="{00000000-0005-0000-0000-0000A8580000}"/>
    <cellStyle name="20% - Accent1 101" xfId="22706" xr:uid="{00000000-0005-0000-0000-0000A9580000}"/>
    <cellStyle name="20% - Accent1 101 2" xfId="22707" xr:uid="{00000000-0005-0000-0000-0000AA580000}"/>
    <cellStyle name="20% - Accent1 102" xfId="22708" xr:uid="{00000000-0005-0000-0000-0000AB580000}"/>
    <cellStyle name="20% - Accent1 102 2" xfId="22709" xr:uid="{00000000-0005-0000-0000-0000AC580000}"/>
    <cellStyle name="20% - Accent1 103" xfId="22710" xr:uid="{00000000-0005-0000-0000-0000AD580000}"/>
    <cellStyle name="20% - Accent1 103 2" xfId="22711" xr:uid="{00000000-0005-0000-0000-0000AE580000}"/>
    <cellStyle name="20% - Accent1 104" xfId="22712" xr:uid="{00000000-0005-0000-0000-0000AF580000}"/>
    <cellStyle name="20% - Accent1 104 2" xfId="22713" xr:uid="{00000000-0005-0000-0000-0000B0580000}"/>
    <cellStyle name="20% - Accent1 105" xfId="22714" xr:uid="{00000000-0005-0000-0000-0000B1580000}"/>
    <cellStyle name="20% - Accent1 105 2" xfId="22715" xr:uid="{00000000-0005-0000-0000-0000B2580000}"/>
    <cellStyle name="20% - Accent1 106" xfId="22716" xr:uid="{00000000-0005-0000-0000-0000B3580000}"/>
    <cellStyle name="20% - Accent1 106 2" xfId="22717" xr:uid="{00000000-0005-0000-0000-0000B4580000}"/>
    <cellStyle name="20% - Accent1 107" xfId="22718" xr:uid="{00000000-0005-0000-0000-0000B5580000}"/>
    <cellStyle name="20% - Accent1 107 2" xfId="22719" xr:uid="{00000000-0005-0000-0000-0000B6580000}"/>
    <cellStyle name="20% - Accent1 108" xfId="22720" xr:uid="{00000000-0005-0000-0000-0000B7580000}"/>
    <cellStyle name="20% - Accent1 108 2" xfId="22721" xr:uid="{00000000-0005-0000-0000-0000B8580000}"/>
    <cellStyle name="20% - Accent1 109" xfId="22722" xr:uid="{00000000-0005-0000-0000-0000B9580000}"/>
    <cellStyle name="20% - Accent1 109 2" xfId="22723" xr:uid="{00000000-0005-0000-0000-0000BA580000}"/>
    <cellStyle name="20% - Accent1 11" xfId="22724" xr:uid="{00000000-0005-0000-0000-0000BB580000}"/>
    <cellStyle name="20% - Accent1 11 2" xfId="22725" xr:uid="{00000000-0005-0000-0000-0000BC580000}"/>
    <cellStyle name="20% - Accent1 11 2 2" xfId="22726" xr:uid="{00000000-0005-0000-0000-0000BD580000}"/>
    <cellStyle name="20% - Accent1 11 2 2 2" xfId="22727" xr:uid="{00000000-0005-0000-0000-0000BE580000}"/>
    <cellStyle name="20% - Accent1 11 2 3" xfId="22728" xr:uid="{00000000-0005-0000-0000-0000BF580000}"/>
    <cellStyle name="20% - Accent1 11 2 3 2" xfId="22729" xr:uid="{00000000-0005-0000-0000-0000C0580000}"/>
    <cellStyle name="20% - Accent1 11 2 4" xfId="22730" xr:uid="{00000000-0005-0000-0000-0000C1580000}"/>
    <cellStyle name="20% - Accent1 11 3" xfId="22731" xr:uid="{00000000-0005-0000-0000-0000C2580000}"/>
    <cellStyle name="20% - Accent1 11 3 2" xfId="22732" xr:uid="{00000000-0005-0000-0000-0000C3580000}"/>
    <cellStyle name="20% - Accent1 11 3 2 2" xfId="22733" xr:uid="{00000000-0005-0000-0000-0000C4580000}"/>
    <cellStyle name="20% - Accent1 11 3 3" xfId="22734" xr:uid="{00000000-0005-0000-0000-0000C5580000}"/>
    <cellStyle name="20% - Accent1 11 3 3 2" xfId="22735" xr:uid="{00000000-0005-0000-0000-0000C6580000}"/>
    <cellStyle name="20% - Accent1 11 3 4" xfId="22736" xr:uid="{00000000-0005-0000-0000-0000C7580000}"/>
    <cellStyle name="20% - Accent1 11 4" xfId="22737" xr:uid="{00000000-0005-0000-0000-0000C8580000}"/>
    <cellStyle name="20% - Accent1 11 4 2" xfId="22738" xr:uid="{00000000-0005-0000-0000-0000C9580000}"/>
    <cellStyle name="20% - Accent1 11 5" xfId="22739" xr:uid="{00000000-0005-0000-0000-0000CA580000}"/>
    <cellStyle name="20% - Accent1 11 5 2" xfId="22740" xr:uid="{00000000-0005-0000-0000-0000CB580000}"/>
    <cellStyle name="20% - Accent1 11 6" xfId="22741" xr:uid="{00000000-0005-0000-0000-0000CC580000}"/>
    <cellStyle name="20% - Accent1 110" xfId="22742" xr:uid="{00000000-0005-0000-0000-0000CD580000}"/>
    <cellStyle name="20% - Accent1 110 2" xfId="22743" xr:uid="{00000000-0005-0000-0000-0000CE580000}"/>
    <cellStyle name="20% - Accent1 111" xfId="22744" xr:uid="{00000000-0005-0000-0000-0000CF580000}"/>
    <cellStyle name="20% - Accent1 111 2" xfId="22745" xr:uid="{00000000-0005-0000-0000-0000D0580000}"/>
    <cellStyle name="20% - Accent1 112" xfId="22746" xr:uid="{00000000-0005-0000-0000-0000D1580000}"/>
    <cellStyle name="20% - Accent1 112 2" xfId="22747" xr:uid="{00000000-0005-0000-0000-0000D2580000}"/>
    <cellStyle name="20% - Accent1 113" xfId="22748" xr:uid="{00000000-0005-0000-0000-0000D3580000}"/>
    <cellStyle name="20% - Accent1 113 2" xfId="22749" xr:uid="{00000000-0005-0000-0000-0000D4580000}"/>
    <cellStyle name="20% - Accent1 114" xfId="22750" xr:uid="{00000000-0005-0000-0000-0000D5580000}"/>
    <cellStyle name="20% - Accent1 114 2" xfId="22751" xr:uid="{00000000-0005-0000-0000-0000D6580000}"/>
    <cellStyle name="20% - Accent1 115" xfId="22752" xr:uid="{00000000-0005-0000-0000-0000D7580000}"/>
    <cellStyle name="20% - Accent1 115 2" xfId="22753" xr:uid="{00000000-0005-0000-0000-0000D8580000}"/>
    <cellStyle name="20% - Accent1 116" xfId="22754" xr:uid="{00000000-0005-0000-0000-0000D9580000}"/>
    <cellStyle name="20% - Accent1 116 2" xfId="22755" xr:uid="{00000000-0005-0000-0000-0000DA580000}"/>
    <cellStyle name="20% - Accent1 117" xfId="22756" xr:uid="{00000000-0005-0000-0000-0000DB580000}"/>
    <cellStyle name="20% - Accent1 117 2" xfId="22757" xr:uid="{00000000-0005-0000-0000-0000DC580000}"/>
    <cellStyle name="20% - Accent1 118" xfId="22758" xr:uid="{00000000-0005-0000-0000-0000DD580000}"/>
    <cellStyle name="20% - Accent1 118 2" xfId="22759" xr:uid="{00000000-0005-0000-0000-0000DE580000}"/>
    <cellStyle name="20% - Accent1 119" xfId="22760" xr:uid="{00000000-0005-0000-0000-0000DF580000}"/>
    <cellStyle name="20% - Accent1 119 2" xfId="22761" xr:uid="{00000000-0005-0000-0000-0000E0580000}"/>
    <cellStyle name="20% - Accent1 12" xfId="22762" xr:uid="{00000000-0005-0000-0000-0000E1580000}"/>
    <cellStyle name="20% - Accent1 12 2" xfId="22763" xr:uid="{00000000-0005-0000-0000-0000E2580000}"/>
    <cellStyle name="20% - Accent1 12 2 2" xfId="22764" xr:uid="{00000000-0005-0000-0000-0000E3580000}"/>
    <cellStyle name="20% - Accent1 12 2 2 2" xfId="22765" xr:uid="{00000000-0005-0000-0000-0000E4580000}"/>
    <cellStyle name="20% - Accent1 12 2 3" xfId="22766" xr:uid="{00000000-0005-0000-0000-0000E5580000}"/>
    <cellStyle name="20% - Accent1 12 2 3 2" xfId="22767" xr:uid="{00000000-0005-0000-0000-0000E6580000}"/>
    <cellStyle name="20% - Accent1 12 2 4" xfId="22768" xr:uid="{00000000-0005-0000-0000-0000E7580000}"/>
    <cellStyle name="20% - Accent1 12 3" xfId="22769" xr:uid="{00000000-0005-0000-0000-0000E8580000}"/>
    <cellStyle name="20% - Accent1 12 3 2" xfId="22770" xr:uid="{00000000-0005-0000-0000-0000E9580000}"/>
    <cellStyle name="20% - Accent1 12 3 2 2" xfId="22771" xr:uid="{00000000-0005-0000-0000-0000EA580000}"/>
    <cellStyle name="20% - Accent1 12 3 3" xfId="22772" xr:uid="{00000000-0005-0000-0000-0000EB580000}"/>
    <cellStyle name="20% - Accent1 12 3 3 2" xfId="22773" xr:uid="{00000000-0005-0000-0000-0000EC580000}"/>
    <cellStyle name="20% - Accent1 12 3 4" xfId="22774" xr:uid="{00000000-0005-0000-0000-0000ED580000}"/>
    <cellStyle name="20% - Accent1 12 4" xfId="22775" xr:uid="{00000000-0005-0000-0000-0000EE580000}"/>
    <cellStyle name="20% - Accent1 12 4 2" xfId="22776" xr:uid="{00000000-0005-0000-0000-0000EF580000}"/>
    <cellStyle name="20% - Accent1 12 5" xfId="22777" xr:uid="{00000000-0005-0000-0000-0000F0580000}"/>
    <cellStyle name="20% - Accent1 12 5 2" xfId="22778" xr:uid="{00000000-0005-0000-0000-0000F1580000}"/>
    <cellStyle name="20% - Accent1 12 6" xfId="22779" xr:uid="{00000000-0005-0000-0000-0000F2580000}"/>
    <cellStyle name="20% - Accent1 120" xfId="22780" xr:uid="{00000000-0005-0000-0000-0000F3580000}"/>
    <cellStyle name="20% - Accent1 120 2" xfId="22781" xr:uid="{00000000-0005-0000-0000-0000F4580000}"/>
    <cellStyle name="20% - Accent1 121" xfId="22782" xr:uid="{00000000-0005-0000-0000-0000F5580000}"/>
    <cellStyle name="20% - Accent1 121 2" xfId="22783" xr:uid="{00000000-0005-0000-0000-0000F6580000}"/>
    <cellStyle name="20% - Accent1 122" xfId="22784" xr:uid="{00000000-0005-0000-0000-0000F7580000}"/>
    <cellStyle name="20% - Accent1 122 2" xfId="22785" xr:uid="{00000000-0005-0000-0000-0000F8580000}"/>
    <cellStyle name="20% - Accent1 123" xfId="22786" xr:uid="{00000000-0005-0000-0000-0000F9580000}"/>
    <cellStyle name="20% - Accent1 123 2" xfId="22787" xr:uid="{00000000-0005-0000-0000-0000FA580000}"/>
    <cellStyle name="20% - Accent1 124" xfId="22788" xr:uid="{00000000-0005-0000-0000-0000FB580000}"/>
    <cellStyle name="20% - Accent1 124 2" xfId="22789" xr:uid="{00000000-0005-0000-0000-0000FC580000}"/>
    <cellStyle name="20% - Accent1 125" xfId="22790" xr:uid="{00000000-0005-0000-0000-0000FD580000}"/>
    <cellStyle name="20% - Accent1 125 2" xfId="22791" xr:uid="{00000000-0005-0000-0000-0000FE580000}"/>
    <cellStyle name="20% - Accent1 126" xfId="22792" xr:uid="{00000000-0005-0000-0000-0000FF580000}"/>
    <cellStyle name="20% - Accent1 126 2" xfId="22793" xr:uid="{00000000-0005-0000-0000-000000590000}"/>
    <cellStyle name="20% - Accent1 127" xfId="22794" xr:uid="{00000000-0005-0000-0000-000001590000}"/>
    <cellStyle name="20% - Accent1 127 2" xfId="22795" xr:uid="{00000000-0005-0000-0000-000002590000}"/>
    <cellStyle name="20% - Accent1 128" xfId="22796" xr:uid="{00000000-0005-0000-0000-000003590000}"/>
    <cellStyle name="20% - Accent1 128 2" xfId="22797" xr:uid="{00000000-0005-0000-0000-000004590000}"/>
    <cellStyle name="20% - Accent1 129" xfId="22798" xr:uid="{00000000-0005-0000-0000-000005590000}"/>
    <cellStyle name="20% - Accent1 129 2" xfId="22799" xr:uid="{00000000-0005-0000-0000-000006590000}"/>
    <cellStyle name="20% - Accent1 13" xfId="22800" xr:uid="{00000000-0005-0000-0000-000007590000}"/>
    <cellStyle name="20% - Accent1 13 2" xfId="22801" xr:uid="{00000000-0005-0000-0000-000008590000}"/>
    <cellStyle name="20% - Accent1 13 2 2" xfId="22802" xr:uid="{00000000-0005-0000-0000-000009590000}"/>
    <cellStyle name="20% - Accent1 13 3" xfId="22803" xr:uid="{00000000-0005-0000-0000-00000A590000}"/>
    <cellStyle name="20% - Accent1 13 3 2" xfId="22804" xr:uid="{00000000-0005-0000-0000-00000B590000}"/>
    <cellStyle name="20% - Accent1 13 4" xfId="22805" xr:uid="{00000000-0005-0000-0000-00000C590000}"/>
    <cellStyle name="20% - Accent1 130" xfId="22806" xr:uid="{00000000-0005-0000-0000-00000D590000}"/>
    <cellStyle name="20% - Accent1 130 2" xfId="22807" xr:uid="{00000000-0005-0000-0000-00000E590000}"/>
    <cellStyle name="20% - Accent1 131" xfId="22808" xr:uid="{00000000-0005-0000-0000-00000F590000}"/>
    <cellStyle name="20% - Accent1 131 2" xfId="22809" xr:uid="{00000000-0005-0000-0000-000010590000}"/>
    <cellStyle name="20% - Accent1 132" xfId="22810" xr:uid="{00000000-0005-0000-0000-000011590000}"/>
    <cellStyle name="20% - Accent1 132 2" xfId="22811" xr:uid="{00000000-0005-0000-0000-000012590000}"/>
    <cellStyle name="20% - Accent1 133" xfId="22812" xr:uid="{00000000-0005-0000-0000-000013590000}"/>
    <cellStyle name="20% - Accent1 133 2" xfId="22813" xr:uid="{00000000-0005-0000-0000-000014590000}"/>
    <cellStyle name="20% - Accent1 134" xfId="22814" xr:uid="{00000000-0005-0000-0000-000015590000}"/>
    <cellStyle name="20% - Accent1 134 2" xfId="22815" xr:uid="{00000000-0005-0000-0000-000016590000}"/>
    <cellStyle name="20% - Accent1 135" xfId="22816" xr:uid="{00000000-0005-0000-0000-000017590000}"/>
    <cellStyle name="20% - Accent1 135 2" xfId="22817" xr:uid="{00000000-0005-0000-0000-000018590000}"/>
    <cellStyle name="20% - Accent1 136" xfId="22818" xr:uid="{00000000-0005-0000-0000-000019590000}"/>
    <cellStyle name="20% - Accent1 136 2" xfId="22819" xr:uid="{00000000-0005-0000-0000-00001A590000}"/>
    <cellStyle name="20% - Accent1 137" xfId="22820" xr:uid="{00000000-0005-0000-0000-00001B590000}"/>
    <cellStyle name="20% - Accent1 137 2" xfId="22821" xr:uid="{00000000-0005-0000-0000-00001C590000}"/>
    <cellStyle name="20% - Accent1 138" xfId="22822" xr:uid="{00000000-0005-0000-0000-00001D590000}"/>
    <cellStyle name="20% - Accent1 138 2" xfId="22823" xr:uid="{00000000-0005-0000-0000-00001E590000}"/>
    <cellStyle name="20% - Accent1 139" xfId="22824" xr:uid="{00000000-0005-0000-0000-00001F590000}"/>
    <cellStyle name="20% - Accent1 139 2" xfId="22825" xr:uid="{00000000-0005-0000-0000-000020590000}"/>
    <cellStyle name="20% - Accent1 14" xfId="22826" xr:uid="{00000000-0005-0000-0000-000021590000}"/>
    <cellStyle name="20% - Accent1 14 2" xfId="22827" xr:uid="{00000000-0005-0000-0000-000022590000}"/>
    <cellStyle name="20% - Accent1 14 2 2" xfId="22828" xr:uid="{00000000-0005-0000-0000-000023590000}"/>
    <cellStyle name="20% - Accent1 14 3" xfId="22829" xr:uid="{00000000-0005-0000-0000-000024590000}"/>
    <cellStyle name="20% - Accent1 14 3 2" xfId="22830" xr:uid="{00000000-0005-0000-0000-000025590000}"/>
    <cellStyle name="20% - Accent1 14 4" xfId="22831" xr:uid="{00000000-0005-0000-0000-000026590000}"/>
    <cellStyle name="20% - Accent1 140" xfId="22832" xr:uid="{00000000-0005-0000-0000-000027590000}"/>
    <cellStyle name="20% - Accent1 140 2" xfId="22833" xr:uid="{00000000-0005-0000-0000-000028590000}"/>
    <cellStyle name="20% - Accent1 141" xfId="22834" xr:uid="{00000000-0005-0000-0000-000029590000}"/>
    <cellStyle name="20% - Accent1 141 2" xfId="22835" xr:uid="{00000000-0005-0000-0000-00002A590000}"/>
    <cellStyle name="20% - Accent1 142" xfId="22836" xr:uid="{00000000-0005-0000-0000-00002B590000}"/>
    <cellStyle name="20% - Accent1 142 2" xfId="22837" xr:uid="{00000000-0005-0000-0000-00002C590000}"/>
    <cellStyle name="20% - Accent1 143" xfId="22838" xr:uid="{00000000-0005-0000-0000-00002D590000}"/>
    <cellStyle name="20% - Accent1 143 2" xfId="22839" xr:uid="{00000000-0005-0000-0000-00002E590000}"/>
    <cellStyle name="20% - Accent1 144" xfId="22840" xr:uid="{00000000-0005-0000-0000-00002F590000}"/>
    <cellStyle name="20% - Accent1 144 2" xfId="22841" xr:uid="{00000000-0005-0000-0000-000030590000}"/>
    <cellStyle name="20% - Accent1 145" xfId="22842" xr:uid="{00000000-0005-0000-0000-000031590000}"/>
    <cellStyle name="20% - Accent1 145 2" xfId="22843" xr:uid="{00000000-0005-0000-0000-000032590000}"/>
    <cellStyle name="20% - Accent1 146" xfId="22844" xr:uid="{00000000-0005-0000-0000-000033590000}"/>
    <cellStyle name="20% - Accent1 146 2" xfId="22845" xr:uid="{00000000-0005-0000-0000-000034590000}"/>
    <cellStyle name="20% - Accent1 147" xfId="22846" xr:uid="{00000000-0005-0000-0000-000035590000}"/>
    <cellStyle name="20% - Accent1 147 2" xfId="22847" xr:uid="{00000000-0005-0000-0000-000036590000}"/>
    <cellStyle name="20% - Accent1 148" xfId="22848" xr:uid="{00000000-0005-0000-0000-000037590000}"/>
    <cellStyle name="20% - Accent1 148 2" xfId="22849" xr:uid="{00000000-0005-0000-0000-000038590000}"/>
    <cellStyle name="20% - Accent1 149" xfId="22850" xr:uid="{00000000-0005-0000-0000-000039590000}"/>
    <cellStyle name="20% - Accent1 149 2" xfId="22851" xr:uid="{00000000-0005-0000-0000-00003A590000}"/>
    <cellStyle name="20% - Accent1 15" xfId="22852" xr:uid="{00000000-0005-0000-0000-00003B590000}"/>
    <cellStyle name="20% - Accent1 15 2" xfId="22853" xr:uid="{00000000-0005-0000-0000-00003C590000}"/>
    <cellStyle name="20% - Accent1 15 2 2" xfId="22854" xr:uid="{00000000-0005-0000-0000-00003D590000}"/>
    <cellStyle name="20% - Accent1 15 3" xfId="22855" xr:uid="{00000000-0005-0000-0000-00003E590000}"/>
    <cellStyle name="20% - Accent1 15 3 2" xfId="22856" xr:uid="{00000000-0005-0000-0000-00003F590000}"/>
    <cellStyle name="20% - Accent1 15 4" xfId="22857" xr:uid="{00000000-0005-0000-0000-000040590000}"/>
    <cellStyle name="20% - Accent1 150" xfId="22858" xr:uid="{00000000-0005-0000-0000-000041590000}"/>
    <cellStyle name="20% - Accent1 150 2" xfId="22859" xr:uid="{00000000-0005-0000-0000-000042590000}"/>
    <cellStyle name="20% - Accent1 151" xfId="22860" xr:uid="{00000000-0005-0000-0000-000043590000}"/>
    <cellStyle name="20% - Accent1 151 2" xfId="22861" xr:uid="{00000000-0005-0000-0000-000044590000}"/>
    <cellStyle name="20% - Accent1 152" xfId="22862" xr:uid="{00000000-0005-0000-0000-000045590000}"/>
    <cellStyle name="20% - Accent1 152 2" xfId="22863" xr:uid="{00000000-0005-0000-0000-000046590000}"/>
    <cellStyle name="20% - Accent1 153" xfId="22864" xr:uid="{00000000-0005-0000-0000-000047590000}"/>
    <cellStyle name="20% - Accent1 153 2" xfId="22865" xr:uid="{00000000-0005-0000-0000-000048590000}"/>
    <cellStyle name="20% - Accent1 154" xfId="22866" xr:uid="{00000000-0005-0000-0000-000049590000}"/>
    <cellStyle name="20% - Accent1 154 2" xfId="22867" xr:uid="{00000000-0005-0000-0000-00004A590000}"/>
    <cellStyle name="20% - Accent1 155" xfId="22868" xr:uid="{00000000-0005-0000-0000-00004B590000}"/>
    <cellStyle name="20% - Accent1 155 2" xfId="22869" xr:uid="{00000000-0005-0000-0000-00004C590000}"/>
    <cellStyle name="20% - Accent1 156" xfId="22870" xr:uid="{00000000-0005-0000-0000-00004D590000}"/>
    <cellStyle name="20% - Accent1 156 2" xfId="22871" xr:uid="{00000000-0005-0000-0000-00004E590000}"/>
    <cellStyle name="20% - Accent1 157" xfId="22872" xr:uid="{00000000-0005-0000-0000-00004F590000}"/>
    <cellStyle name="20% - Accent1 157 2" xfId="22873" xr:uid="{00000000-0005-0000-0000-000050590000}"/>
    <cellStyle name="20% - Accent1 158" xfId="22874" xr:uid="{00000000-0005-0000-0000-000051590000}"/>
    <cellStyle name="20% - Accent1 158 2" xfId="22875" xr:uid="{00000000-0005-0000-0000-000052590000}"/>
    <cellStyle name="20% - Accent1 159" xfId="22876" xr:uid="{00000000-0005-0000-0000-000053590000}"/>
    <cellStyle name="20% - Accent1 159 2" xfId="22877" xr:uid="{00000000-0005-0000-0000-000054590000}"/>
    <cellStyle name="20% - Accent1 16" xfId="22878" xr:uid="{00000000-0005-0000-0000-000055590000}"/>
    <cellStyle name="20% - Accent1 16 2" xfId="22879" xr:uid="{00000000-0005-0000-0000-000056590000}"/>
    <cellStyle name="20% - Accent1 16 2 2" xfId="22880" xr:uid="{00000000-0005-0000-0000-000057590000}"/>
    <cellStyle name="20% - Accent1 16 3" xfId="22881" xr:uid="{00000000-0005-0000-0000-000058590000}"/>
    <cellStyle name="20% - Accent1 16 3 2" xfId="22882" xr:uid="{00000000-0005-0000-0000-000059590000}"/>
    <cellStyle name="20% - Accent1 16 4" xfId="22883" xr:uid="{00000000-0005-0000-0000-00005A590000}"/>
    <cellStyle name="20% - Accent1 160" xfId="22884" xr:uid="{00000000-0005-0000-0000-00005B590000}"/>
    <cellStyle name="20% - Accent1 160 2" xfId="22885" xr:uid="{00000000-0005-0000-0000-00005C590000}"/>
    <cellStyle name="20% - Accent1 161" xfId="22886" xr:uid="{00000000-0005-0000-0000-00005D590000}"/>
    <cellStyle name="20% - Accent1 161 2" xfId="22887" xr:uid="{00000000-0005-0000-0000-00005E590000}"/>
    <cellStyle name="20% - Accent1 162" xfId="22888" xr:uid="{00000000-0005-0000-0000-00005F590000}"/>
    <cellStyle name="20% - Accent1 162 2" xfId="22889" xr:uid="{00000000-0005-0000-0000-000060590000}"/>
    <cellStyle name="20% - Accent1 163" xfId="22890" xr:uid="{00000000-0005-0000-0000-000061590000}"/>
    <cellStyle name="20% - Accent1 163 2" xfId="22891" xr:uid="{00000000-0005-0000-0000-000062590000}"/>
    <cellStyle name="20% - Accent1 164" xfId="22892" xr:uid="{00000000-0005-0000-0000-000063590000}"/>
    <cellStyle name="20% - Accent1 164 2" xfId="22893" xr:uid="{00000000-0005-0000-0000-000064590000}"/>
    <cellStyle name="20% - Accent1 165" xfId="22894" xr:uid="{00000000-0005-0000-0000-000065590000}"/>
    <cellStyle name="20% - Accent1 165 2" xfId="22895" xr:uid="{00000000-0005-0000-0000-000066590000}"/>
    <cellStyle name="20% - Accent1 166" xfId="22896" xr:uid="{00000000-0005-0000-0000-000067590000}"/>
    <cellStyle name="20% - Accent1 166 2" xfId="22897" xr:uid="{00000000-0005-0000-0000-000068590000}"/>
    <cellStyle name="20% - Accent1 167" xfId="22898" xr:uid="{00000000-0005-0000-0000-000069590000}"/>
    <cellStyle name="20% - Accent1 167 2" xfId="22899" xr:uid="{00000000-0005-0000-0000-00006A590000}"/>
    <cellStyle name="20% - Accent1 168" xfId="22900" xr:uid="{00000000-0005-0000-0000-00006B590000}"/>
    <cellStyle name="20% - Accent1 168 2" xfId="22901" xr:uid="{00000000-0005-0000-0000-00006C590000}"/>
    <cellStyle name="20% - Accent1 169" xfId="22902" xr:uid="{00000000-0005-0000-0000-00006D590000}"/>
    <cellStyle name="20% - Accent1 169 2" xfId="22903" xr:uid="{00000000-0005-0000-0000-00006E590000}"/>
    <cellStyle name="20% - Accent1 17" xfId="22904" xr:uid="{00000000-0005-0000-0000-00006F590000}"/>
    <cellStyle name="20% - Accent1 17 2" xfId="22905" xr:uid="{00000000-0005-0000-0000-000070590000}"/>
    <cellStyle name="20% - Accent1 17 2 2" xfId="22906" xr:uid="{00000000-0005-0000-0000-000071590000}"/>
    <cellStyle name="20% - Accent1 17 3" xfId="22907" xr:uid="{00000000-0005-0000-0000-000072590000}"/>
    <cellStyle name="20% - Accent1 17 3 2" xfId="22908" xr:uid="{00000000-0005-0000-0000-000073590000}"/>
    <cellStyle name="20% - Accent1 17 4" xfId="22909" xr:uid="{00000000-0005-0000-0000-000074590000}"/>
    <cellStyle name="20% - Accent1 170" xfId="22910" xr:uid="{00000000-0005-0000-0000-000075590000}"/>
    <cellStyle name="20% - Accent1 170 2" xfId="22911" xr:uid="{00000000-0005-0000-0000-000076590000}"/>
    <cellStyle name="20% - Accent1 171" xfId="22912" xr:uid="{00000000-0005-0000-0000-000077590000}"/>
    <cellStyle name="20% - Accent1 171 2" xfId="22913" xr:uid="{00000000-0005-0000-0000-000078590000}"/>
    <cellStyle name="20% - Accent1 172" xfId="22914" xr:uid="{00000000-0005-0000-0000-000079590000}"/>
    <cellStyle name="20% - Accent1 172 2" xfId="22915" xr:uid="{00000000-0005-0000-0000-00007A590000}"/>
    <cellStyle name="20% - Accent1 173" xfId="22916" xr:uid="{00000000-0005-0000-0000-00007B590000}"/>
    <cellStyle name="20% - Accent1 173 2" xfId="22917" xr:uid="{00000000-0005-0000-0000-00007C590000}"/>
    <cellStyle name="20% - Accent1 174" xfId="22918" xr:uid="{00000000-0005-0000-0000-00007D590000}"/>
    <cellStyle name="20% - Accent1 174 2" xfId="22919" xr:uid="{00000000-0005-0000-0000-00007E590000}"/>
    <cellStyle name="20% - Accent1 175" xfId="22920" xr:uid="{00000000-0005-0000-0000-00007F590000}"/>
    <cellStyle name="20% - Accent1 175 2" xfId="22921" xr:uid="{00000000-0005-0000-0000-000080590000}"/>
    <cellStyle name="20% - Accent1 176" xfId="22922" xr:uid="{00000000-0005-0000-0000-000081590000}"/>
    <cellStyle name="20% - Accent1 176 2" xfId="22923" xr:uid="{00000000-0005-0000-0000-000082590000}"/>
    <cellStyle name="20% - Accent1 177" xfId="22924" xr:uid="{00000000-0005-0000-0000-000083590000}"/>
    <cellStyle name="20% - Accent1 177 2" xfId="22925" xr:uid="{00000000-0005-0000-0000-000084590000}"/>
    <cellStyle name="20% - Accent1 178" xfId="22926" xr:uid="{00000000-0005-0000-0000-000085590000}"/>
    <cellStyle name="20% - Accent1 178 2" xfId="22927" xr:uid="{00000000-0005-0000-0000-000086590000}"/>
    <cellStyle name="20% - Accent1 179" xfId="22928" xr:uid="{00000000-0005-0000-0000-000087590000}"/>
    <cellStyle name="20% - Accent1 179 2" xfId="22929" xr:uid="{00000000-0005-0000-0000-000088590000}"/>
    <cellStyle name="20% - Accent1 18" xfId="22930" xr:uid="{00000000-0005-0000-0000-000089590000}"/>
    <cellStyle name="20% - Accent1 18 2" xfId="22931" xr:uid="{00000000-0005-0000-0000-00008A590000}"/>
    <cellStyle name="20% - Accent1 18 2 2" xfId="22932" xr:uid="{00000000-0005-0000-0000-00008B590000}"/>
    <cellStyle name="20% - Accent1 18 3" xfId="22933" xr:uid="{00000000-0005-0000-0000-00008C590000}"/>
    <cellStyle name="20% - Accent1 18 3 2" xfId="22934" xr:uid="{00000000-0005-0000-0000-00008D590000}"/>
    <cellStyle name="20% - Accent1 18 4" xfId="22935" xr:uid="{00000000-0005-0000-0000-00008E590000}"/>
    <cellStyle name="20% - Accent1 180" xfId="22936" xr:uid="{00000000-0005-0000-0000-00008F590000}"/>
    <cellStyle name="20% - Accent1 180 2" xfId="22937" xr:uid="{00000000-0005-0000-0000-000090590000}"/>
    <cellStyle name="20% - Accent1 181" xfId="22938" xr:uid="{00000000-0005-0000-0000-000091590000}"/>
    <cellStyle name="20% - Accent1 181 2" xfId="22939" xr:uid="{00000000-0005-0000-0000-000092590000}"/>
    <cellStyle name="20% - Accent1 182" xfId="22940" xr:uid="{00000000-0005-0000-0000-000093590000}"/>
    <cellStyle name="20% - Accent1 182 2" xfId="22941" xr:uid="{00000000-0005-0000-0000-000094590000}"/>
    <cellStyle name="20% - Accent1 183" xfId="22942" xr:uid="{00000000-0005-0000-0000-000095590000}"/>
    <cellStyle name="20% - Accent1 183 2" xfId="22943" xr:uid="{00000000-0005-0000-0000-000096590000}"/>
    <cellStyle name="20% - Accent1 184" xfId="22944" xr:uid="{00000000-0005-0000-0000-000097590000}"/>
    <cellStyle name="20% - Accent1 184 2" xfId="22945" xr:uid="{00000000-0005-0000-0000-000098590000}"/>
    <cellStyle name="20% - Accent1 185" xfId="22946" xr:uid="{00000000-0005-0000-0000-000099590000}"/>
    <cellStyle name="20% - Accent1 185 2" xfId="22947" xr:uid="{00000000-0005-0000-0000-00009A590000}"/>
    <cellStyle name="20% - Accent1 186" xfId="22948" xr:uid="{00000000-0005-0000-0000-00009B590000}"/>
    <cellStyle name="20% - Accent1 186 2" xfId="22949" xr:uid="{00000000-0005-0000-0000-00009C590000}"/>
    <cellStyle name="20% - Accent1 187" xfId="22950" xr:uid="{00000000-0005-0000-0000-00009D590000}"/>
    <cellStyle name="20% - Accent1 187 2" xfId="22951" xr:uid="{00000000-0005-0000-0000-00009E590000}"/>
    <cellStyle name="20% - Accent1 188" xfId="22952" xr:uid="{00000000-0005-0000-0000-00009F590000}"/>
    <cellStyle name="20% - Accent1 188 2" xfId="22953" xr:uid="{00000000-0005-0000-0000-0000A0590000}"/>
    <cellStyle name="20% - Accent1 189" xfId="22954" xr:uid="{00000000-0005-0000-0000-0000A1590000}"/>
    <cellStyle name="20% - Accent1 189 2" xfId="22955" xr:uid="{00000000-0005-0000-0000-0000A2590000}"/>
    <cellStyle name="20% - Accent1 19" xfId="22956" xr:uid="{00000000-0005-0000-0000-0000A3590000}"/>
    <cellStyle name="20% - Accent1 19 2" xfId="22957" xr:uid="{00000000-0005-0000-0000-0000A4590000}"/>
    <cellStyle name="20% - Accent1 19 2 2" xfId="22958" xr:uid="{00000000-0005-0000-0000-0000A5590000}"/>
    <cellStyle name="20% - Accent1 19 3" xfId="22959" xr:uid="{00000000-0005-0000-0000-0000A6590000}"/>
    <cellStyle name="20% - Accent1 19 3 2" xfId="22960" xr:uid="{00000000-0005-0000-0000-0000A7590000}"/>
    <cellStyle name="20% - Accent1 19 4" xfId="22961" xr:uid="{00000000-0005-0000-0000-0000A8590000}"/>
    <cellStyle name="20% - Accent1 190" xfId="22962" xr:uid="{00000000-0005-0000-0000-0000A9590000}"/>
    <cellStyle name="20% - Accent1 190 2" xfId="22963" xr:uid="{00000000-0005-0000-0000-0000AA590000}"/>
    <cellStyle name="20% - Accent1 191" xfId="22964" xr:uid="{00000000-0005-0000-0000-0000AB590000}"/>
    <cellStyle name="20% - Accent1 191 2" xfId="22965" xr:uid="{00000000-0005-0000-0000-0000AC590000}"/>
    <cellStyle name="20% - Accent1 192" xfId="22966" xr:uid="{00000000-0005-0000-0000-0000AD590000}"/>
    <cellStyle name="20% - Accent1 192 2" xfId="22967" xr:uid="{00000000-0005-0000-0000-0000AE590000}"/>
    <cellStyle name="20% - Accent1 193" xfId="22968" xr:uid="{00000000-0005-0000-0000-0000AF590000}"/>
    <cellStyle name="20% - Accent1 193 2" xfId="22969" xr:uid="{00000000-0005-0000-0000-0000B0590000}"/>
    <cellStyle name="20% - Accent1 194" xfId="22970" xr:uid="{00000000-0005-0000-0000-0000B1590000}"/>
    <cellStyle name="20% - Accent1 194 2" xfId="22971" xr:uid="{00000000-0005-0000-0000-0000B2590000}"/>
    <cellStyle name="20% - Accent1 195" xfId="22972" xr:uid="{00000000-0005-0000-0000-0000B3590000}"/>
    <cellStyle name="20% - Accent1 195 2" xfId="22973" xr:uid="{00000000-0005-0000-0000-0000B4590000}"/>
    <cellStyle name="20% - Accent1 196" xfId="22974" xr:uid="{00000000-0005-0000-0000-0000B5590000}"/>
    <cellStyle name="20% - Accent1 196 2" xfId="22975" xr:uid="{00000000-0005-0000-0000-0000B6590000}"/>
    <cellStyle name="20% - Accent1 197" xfId="22976" xr:uid="{00000000-0005-0000-0000-0000B7590000}"/>
    <cellStyle name="20% - Accent1 197 2" xfId="22977" xr:uid="{00000000-0005-0000-0000-0000B8590000}"/>
    <cellStyle name="20% - Accent1 198" xfId="22978" xr:uid="{00000000-0005-0000-0000-0000B9590000}"/>
    <cellStyle name="20% - Accent1 198 2" xfId="22979" xr:uid="{00000000-0005-0000-0000-0000BA590000}"/>
    <cellStyle name="20% - Accent1 2" xfId="22980" xr:uid="{00000000-0005-0000-0000-0000BB590000}"/>
    <cellStyle name="20% - Accent1 2 2" xfId="22981" xr:uid="{00000000-0005-0000-0000-0000BC590000}"/>
    <cellStyle name="20% - Accent1 2 2 2" xfId="22982" xr:uid="{00000000-0005-0000-0000-0000BD590000}"/>
    <cellStyle name="20% - Accent1 2 2 2 2" xfId="22983" xr:uid="{00000000-0005-0000-0000-0000BE590000}"/>
    <cellStyle name="20% - Accent1 2 2 3" xfId="22984" xr:uid="{00000000-0005-0000-0000-0000BF590000}"/>
    <cellStyle name="20% - Accent1 2 2 3 2" xfId="22985" xr:uid="{00000000-0005-0000-0000-0000C0590000}"/>
    <cellStyle name="20% - Accent1 2 2 4" xfId="22986" xr:uid="{00000000-0005-0000-0000-0000C1590000}"/>
    <cellStyle name="20% - Accent1 2 2 4 2" xfId="22987" xr:uid="{00000000-0005-0000-0000-0000C2590000}"/>
    <cellStyle name="20% - Accent1 2 2 5" xfId="22988" xr:uid="{00000000-0005-0000-0000-0000C3590000}"/>
    <cellStyle name="20% - Accent1 2 2 5 2" xfId="22989" xr:uid="{00000000-0005-0000-0000-0000C4590000}"/>
    <cellStyle name="20% - Accent1 2 2 6" xfId="22990" xr:uid="{00000000-0005-0000-0000-0000C5590000}"/>
    <cellStyle name="20% - Accent1 2 3" xfId="22991" xr:uid="{00000000-0005-0000-0000-0000C6590000}"/>
    <cellStyle name="20% - Accent1 2 3 2" xfId="22992" xr:uid="{00000000-0005-0000-0000-0000C7590000}"/>
    <cellStyle name="20% - Accent1 2 4" xfId="22993" xr:uid="{00000000-0005-0000-0000-0000C8590000}"/>
    <cellStyle name="20% - Accent1 2 4 2" xfId="22994" xr:uid="{00000000-0005-0000-0000-0000C9590000}"/>
    <cellStyle name="20% - Accent1 2 5" xfId="22995" xr:uid="{00000000-0005-0000-0000-0000CA590000}"/>
    <cellStyle name="20% - Accent1 2 5 2" xfId="22996" xr:uid="{00000000-0005-0000-0000-0000CB590000}"/>
    <cellStyle name="20% - Accent1 2 6" xfId="22997" xr:uid="{00000000-0005-0000-0000-0000CC590000}"/>
    <cellStyle name="20% - Accent1 2 6 2" xfId="22998" xr:uid="{00000000-0005-0000-0000-0000CD590000}"/>
    <cellStyle name="20% - Accent1 2 7" xfId="22999" xr:uid="{00000000-0005-0000-0000-0000CE590000}"/>
    <cellStyle name="20% - Accent1 20" xfId="23000" xr:uid="{00000000-0005-0000-0000-0000CF590000}"/>
    <cellStyle name="20% - Accent1 20 2" xfId="23001" xr:uid="{00000000-0005-0000-0000-0000D0590000}"/>
    <cellStyle name="20% - Accent1 20 2 2" xfId="23002" xr:uid="{00000000-0005-0000-0000-0000D1590000}"/>
    <cellStyle name="20% - Accent1 20 3" xfId="23003" xr:uid="{00000000-0005-0000-0000-0000D2590000}"/>
    <cellStyle name="20% - Accent1 20 3 2" xfId="23004" xr:uid="{00000000-0005-0000-0000-0000D3590000}"/>
    <cellStyle name="20% - Accent1 20 4" xfId="23005" xr:uid="{00000000-0005-0000-0000-0000D4590000}"/>
    <cellStyle name="20% - Accent1 21" xfId="23006" xr:uid="{00000000-0005-0000-0000-0000D5590000}"/>
    <cellStyle name="20% - Accent1 21 2" xfId="23007" xr:uid="{00000000-0005-0000-0000-0000D6590000}"/>
    <cellStyle name="20% - Accent1 21 2 2" xfId="23008" xr:uid="{00000000-0005-0000-0000-0000D7590000}"/>
    <cellStyle name="20% - Accent1 21 3" xfId="23009" xr:uid="{00000000-0005-0000-0000-0000D8590000}"/>
    <cellStyle name="20% - Accent1 21 3 2" xfId="23010" xr:uid="{00000000-0005-0000-0000-0000D9590000}"/>
    <cellStyle name="20% - Accent1 21 4" xfId="23011" xr:uid="{00000000-0005-0000-0000-0000DA590000}"/>
    <cellStyle name="20% - Accent1 22" xfId="23012" xr:uid="{00000000-0005-0000-0000-0000DB590000}"/>
    <cellStyle name="20% - Accent1 22 2" xfId="23013" xr:uid="{00000000-0005-0000-0000-0000DC590000}"/>
    <cellStyle name="20% - Accent1 22 2 2" xfId="23014" xr:uid="{00000000-0005-0000-0000-0000DD590000}"/>
    <cellStyle name="20% - Accent1 22 3" xfId="23015" xr:uid="{00000000-0005-0000-0000-0000DE590000}"/>
    <cellStyle name="20% - Accent1 22 3 2" xfId="23016" xr:uid="{00000000-0005-0000-0000-0000DF590000}"/>
    <cellStyle name="20% - Accent1 22 4" xfId="23017" xr:uid="{00000000-0005-0000-0000-0000E0590000}"/>
    <cellStyle name="20% - Accent1 23" xfId="23018" xr:uid="{00000000-0005-0000-0000-0000E1590000}"/>
    <cellStyle name="20% - Accent1 23 2" xfId="23019" xr:uid="{00000000-0005-0000-0000-0000E2590000}"/>
    <cellStyle name="20% - Accent1 23 2 2" xfId="23020" xr:uid="{00000000-0005-0000-0000-0000E3590000}"/>
    <cellStyle name="20% - Accent1 23 3" xfId="23021" xr:uid="{00000000-0005-0000-0000-0000E4590000}"/>
    <cellStyle name="20% - Accent1 23 3 2" xfId="23022" xr:uid="{00000000-0005-0000-0000-0000E5590000}"/>
    <cellStyle name="20% - Accent1 23 4" xfId="23023" xr:uid="{00000000-0005-0000-0000-0000E6590000}"/>
    <cellStyle name="20% - Accent1 24" xfId="23024" xr:uid="{00000000-0005-0000-0000-0000E7590000}"/>
    <cellStyle name="20% - Accent1 24 2" xfId="23025" xr:uid="{00000000-0005-0000-0000-0000E8590000}"/>
    <cellStyle name="20% - Accent1 24 2 2" xfId="23026" xr:uid="{00000000-0005-0000-0000-0000E9590000}"/>
    <cellStyle name="20% - Accent1 24 3" xfId="23027" xr:uid="{00000000-0005-0000-0000-0000EA590000}"/>
    <cellStyle name="20% - Accent1 24 3 2" xfId="23028" xr:uid="{00000000-0005-0000-0000-0000EB590000}"/>
    <cellStyle name="20% - Accent1 24 4" xfId="23029" xr:uid="{00000000-0005-0000-0000-0000EC590000}"/>
    <cellStyle name="20% - Accent1 25" xfId="23030" xr:uid="{00000000-0005-0000-0000-0000ED590000}"/>
    <cellStyle name="20% - Accent1 25 2" xfId="23031" xr:uid="{00000000-0005-0000-0000-0000EE590000}"/>
    <cellStyle name="20% - Accent1 25 2 2" xfId="23032" xr:uid="{00000000-0005-0000-0000-0000EF590000}"/>
    <cellStyle name="20% - Accent1 25 3" xfId="23033" xr:uid="{00000000-0005-0000-0000-0000F0590000}"/>
    <cellStyle name="20% - Accent1 25 3 2" xfId="23034" xr:uid="{00000000-0005-0000-0000-0000F1590000}"/>
    <cellStyle name="20% - Accent1 25 4" xfId="23035" xr:uid="{00000000-0005-0000-0000-0000F2590000}"/>
    <cellStyle name="20% - Accent1 26" xfId="23036" xr:uid="{00000000-0005-0000-0000-0000F3590000}"/>
    <cellStyle name="20% - Accent1 26 2" xfId="23037" xr:uid="{00000000-0005-0000-0000-0000F4590000}"/>
    <cellStyle name="20% - Accent1 26 2 2" xfId="23038" xr:uid="{00000000-0005-0000-0000-0000F5590000}"/>
    <cellStyle name="20% - Accent1 26 3" xfId="23039" xr:uid="{00000000-0005-0000-0000-0000F6590000}"/>
    <cellStyle name="20% - Accent1 26 3 2" xfId="23040" xr:uid="{00000000-0005-0000-0000-0000F7590000}"/>
    <cellStyle name="20% - Accent1 26 4" xfId="23041" xr:uid="{00000000-0005-0000-0000-0000F8590000}"/>
    <cellStyle name="20% - Accent1 27" xfId="23042" xr:uid="{00000000-0005-0000-0000-0000F9590000}"/>
    <cellStyle name="20% - Accent1 27 2" xfId="23043" xr:uid="{00000000-0005-0000-0000-0000FA590000}"/>
    <cellStyle name="20% - Accent1 27 2 2" xfId="23044" xr:uid="{00000000-0005-0000-0000-0000FB590000}"/>
    <cellStyle name="20% - Accent1 27 3" xfId="23045" xr:uid="{00000000-0005-0000-0000-0000FC590000}"/>
    <cellStyle name="20% - Accent1 27 3 2" xfId="23046" xr:uid="{00000000-0005-0000-0000-0000FD590000}"/>
    <cellStyle name="20% - Accent1 27 4" xfId="23047" xr:uid="{00000000-0005-0000-0000-0000FE590000}"/>
    <cellStyle name="20% - Accent1 28" xfId="23048" xr:uid="{00000000-0005-0000-0000-0000FF590000}"/>
    <cellStyle name="20% - Accent1 28 2" xfId="23049" xr:uid="{00000000-0005-0000-0000-0000005A0000}"/>
    <cellStyle name="20% - Accent1 28 2 2" xfId="23050" xr:uid="{00000000-0005-0000-0000-0000015A0000}"/>
    <cellStyle name="20% - Accent1 28 3" xfId="23051" xr:uid="{00000000-0005-0000-0000-0000025A0000}"/>
    <cellStyle name="20% - Accent1 28 3 2" xfId="23052" xr:uid="{00000000-0005-0000-0000-0000035A0000}"/>
    <cellStyle name="20% - Accent1 28 4" xfId="23053" xr:uid="{00000000-0005-0000-0000-0000045A0000}"/>
    <cellStyle name="20% - Accent1 29" xfId="23054" xr:uid="{00000000-0005-0000-0000-0000055A0000}"/>
    <cellStyle name="20% - Accent1 29 2" xfId="23055" xr:uid="{00000000-0005-0000-0000-0000065A0000}"/>
    <cellStyle name="20% - Accent1 29 2 2" xfId="23056" xr:uid="{00000000-0005-0000-0000-0000075A0000}"/>
    <cellStyle name="20% - Accent1 29 3" xfId="23057" xr:uid="{00000000-0005-0000-0000-0000085A0000}"/>
    <cellStyle name="20% - Accent1 29 3 2" xfId="23058" xr:uid="{00000000-0005-0000-0000-0000095A0000}"/>
    <cellStyle name="20% - Accent1 29 4" xfId="23059" xr:uid="{00000000-0005-0000-0000-00000A5A0000}"/>
    <cellStyle name="20% - Accent1 3" xfId="23060" xr:uid="{00000000-0005-0000-0000-00000B5A0000}"/>
    <cellStyle name="20% - Accent1 3 2" xfId="23061" xr:uid="{00000000-0005-0000-0000-00000C5A0000}"/>
    <cellStyle name="20% - Accent1 3 2 2" xfId="23062" xr:uid="{00000000-0005-0000-0000-00000D5A0000}"/>
    <cellStyle name="20% - Accent1 3 3" xfId="23063" xr:uid="{00000000-0005-0000-0000-00000E5A0000}"/>
    <cellStyle name="20% - Accent1 3 3 2" xfId="23064" xr:uid="{00000000-0005-0000-0000-00000F5A0000}"/>
    <cellStyle name="20% - Accent1 3 4" xfId="23065" xr:uid="{00000000-0005-0000-0000-0000105A0000}"/>
    <cellStyle name="20% - Accent1 3 4 2" xfId="23066" xr:uid="{00000000-0005-0000-0000-0000115A0000}"/>
    <cellStyle name="20% - Accent1 3 5" xfId="23067" xr:uid="{00000000-0005-0000-0000-0000125A0000}"/>
    <cellStyle name="20% - Accent1 3 5 2" xfId="23068" xr:uid="{00000000-0005-0000-0000-0000135A0000}"/>
    <cellStyle name="20% - Accent1 3 6" xfId="23069" xr:uid="{00000000-0005-0000-0000-0000145A0000}"/>
    <cellStyle name="20% - Accent1 3 6 2" xfId="23070" xr:uid="{00000000-0005-0000-0000-0000155A0000}"/>
    <cellStyle name="20% - Accent1 3 7" xfId="23071" xr:uid="{00000000-0005-0000-0000-0000165A0000}"/>
    <cellStyle name="20% - Accent1 30" xfId="23072" xr:uid="{00000000-0005-0000-0000-0000175A0000}"/>
    <cellStyle name="20% - Accent1 30 2" xfId="23073" xr:uid="{00000000-0005-0000-0000-0000185A0000}"/>
    <cellStyle name="20% - Accent1 30 2 2" xfId="23074" xr:uid="{00000000-0005-0000-0000-0000195A0000}"/>
    <cellStyle name="20% - Accent1 30 3" xfId="23075" xr:uid="{00000000-0005-0000-0000-00001A5A0000}"/>
    <cellStyle name="20% - Accent1 30 3 2" xfId="23076" xr:uid="{00000000-0005-0000-0000-00001B5A0000}"/>
    <cellStyle name="20% - Accent1 30 4" xfId="23077" xr:uid="{00000000-0005-0000-0000-00001C5A0000}"/>
    <cellStyle name="20% - Accent1 31" xfId="23078" xr:uid="{00000000-0005-0000-0000-00001D5A0000}"/>
    <cellStyle name="20% - Accent1 31 2" xfId="23079" xr:uid="{00000000-0005-0000-0000-00001E5A0000}"/>
    <cellStyle name="20% - Accent1 31 2 2" xfId="23080" xr:uid="{00000000-0005-0000-0000-00001F5A0000}"/>
    <cellStyle name="20% - Accent1 31 3" xfId="23081" xr:uid="{00000000-0005-0000-0000-0000205A0000}"/>
    <cellStyle name="20% - Accent1 31 3 2" xfId="23082" xr:uid="{00000000-0005-0000-0000-0000215A0000}"/>
    <cellStyle name="20% - Accent1 31 4" xfId="23083" xr:uid="{00000000-0005-0000-0000-0000225A0000}"/>
    <cellStyle name="20% - Accent1 32" xfId="23084" xr:uid="{00000000-0005-0000-0000-0000235A0000}"/>
    <cellStyle name="20% - Accent1 32 2" xfId="23085" xr:uid="{00000000-0005-0000-0000-0000245A0000}"/>
    <cellStyle name="20% - Accent1 32 2 2" xfId="23086" xr:uid="{00000000-0005-0000-0000-0000255A0000}"/>
    <cellStyle name="20% - Accent1 32 3" xfId="23087" xr:uid="{00000000-0005-0000-0000-0000265A0000}"/>
    <cellStyle name="20% - Accent1 32 3 2" xfId="23088" xr:uid="{00000000-0005-0000-0000-0000275A0000}"/>
    <cellStyle name="20% - Accent1 32 4" xfId="23089" xr:uid="{00000000-0005-0000-0000-0000285A0000}"/>
    <cellStyle name="20% - Accent1 33" xfId="23090" xr:uid="{00000000-0005-0000-0000-0000295A0000}"/>
    <cellStyle name="20% - Accent1 33 2" xfId="23091" xr:uid="{00000000-0005-0000-0000-00002A5A0000}"/>
    <cellStyle name="20% - Accent1 33 2 2" xfId="23092" xr:uid="{00000000-0005-0000-0000-00002B5A0000}"/>
    <cellStyle name="20% - Accent1 33 3" xfId="23093" xr:uid="{00000000-0005-0000-0000-00002C5A0000}"/>
    <cellStyle name="20% - Accent1 33 3 2" xfId="23094" xr:uid="{00000000-0005-0000-0000-00002D5A0000}"/>
    <cellStyle name="20% - Accent1 33 4" xfId="23095" xr:uid="{00000000-0005-0000-0000-00002E5A0000}"/>
    <cellStyle name="20% - Accent1 34" xfId="23096" xr:uid="{00000000-0005-0000-0000-00002F5A0000}"/>
    <cellStyle name="20% - Accent1 34 2" xfId="23097" xr:uid="{00000000-0005-0000-0000-0000305A0000}"/>
    <cellStyle name="20% - Accent1 34 2 2" xfId="23098" xr:uid="{00000000-0005-0000-0000-0000315A0000}"/>
    <cellStyle name="20% - Accent1 34 3" xfId="23099" xr:uid="{00000000-0005-0000-0000-0000325A0000}"/>
    <cellStyle name="20% - Accent1 34 3 2" xfId="23100" xr:uid="{00000000-0005-0000-0000-0000335A0000}"/>
    <cellStyle name="20% - Accent1 34 4" xfId="23101" xr:uid="{00000000-0005-0000-0000-0000345A0000}"/>
    <cellStyle name="20% - Accent1 35" xfId="23102" xr:uid="{00000000-0005-0000-0000-0000355A0000}"/>
    <cellStyle name="20% - Accent1 35 2" xfId="23103" xr:uid="{00000000-0005-0000-0000-0000365A0000}"/>
    <cellStyle name="20% - Accent1 35 2 2" xfId="23104" xr:uid="{00000000-0005-0000-0000-0000375A0000}"/>
    <cellStyle name="20% - Accent1 35 3" xfId="23105" xr:uid="{00000000-0005-0000-0000-0000385A0000}"/>
    <cellStyle name="20% - Accent1 35 3 2" xfId="23106" xr:uid="{00000000-0005-0000-0000-0000395A0000}"/>
    <cellStyle name="20% - Accent1 35 4" xfId="23107" xr:uid="{00000000-0005-0000-0000-00003A5A0000}"/>
    <cellStyle name="20% - Accent1 36" xfId="23108" xr:uid="{00000000-0005-0000-0000-00003B5A0000}"/>
    <cellStyle name="20% - Accent1 36 2" xfId="23109" xr:uid="{00000000-0005-0000-0000-00003C5A0000}"/>
    <cellStyle name="20% - Accent1 36 2 2" xfId="23110" xr:uid="{00000000-0005-0000-0000-00003D5A0000}"/>
    <cellStyle name="20% - Accent1 36 3" xfId="23111" xr:uid="{00000000-0005-0000-0000-00003E5A0000}"/>
    <cellStyle name="20% - Accent1 36 3 2" xfId="23112" xr:uid="{00000000-0005-0000-0000-00003F5A0000}"/>
    <cellStyle name="20% - Accent1 36 4" xfId="23113" xr:uid="{00000000-0005-0000-0000-0000405A0000}"/>
    <cellStyle name="20% - Accent1 37" xfId="23114" xr:uid="{00000000-0005-0000-0000-0000415A0000}"/>
    <cellStyle name="20% - Accent1 37 2" xfId="23115" xr:uid="{00000000-0005-0000-0000-0000425A0000}"/>
    <cellStyle name="20% - Accent1 37 2 2" xfId="23116" xr:uid="{00000000-0005-0000-0000-0000435A0000}"/>
    <cellStyle name="20% - Accent1 37 3" xfId="23117" xr:uid="{00000000-0005-0000-0000-0000445A0000}"/>
    <cellStyle name="20% - Accent1 37 3 2" xfId="23118" xr:uid="{00000000-0005-0000-0000-0000455A0000}"/>
    <cellStyle name="20% - Accent1 37 4" xfId="23119" xr:uid="{00000000-0005-0000-0000-0000465A0000}"/>
    <cellStyle name="20% - Accent1 38" xfId="23120" xr:uid="{00000000-0005-0000-0000-0000475A0000}"/>
    <cellStyle name="20% - Accent1 38 2" xfId="23121" xr:uid="{00000000-0005-0000-0000-0000485A0000}"/>
    <cellStyle name="20% - Accent1 38 2 2" xfId="23122" xr:uid="{00000000-0005-0000-0000-0000495A0000}"/>
    <cellStyle name="20% - Accent1 38 3" xfId="23123" xr:uid="{00000000-0005-0000-0000-00004A5A0000}"/>
    <cellStyle name="20% - Accent1 38 3 2" xfId="23124" xr:uid="{00000000-0005-0000-0000-00004B5A0000}"/>
    <cellStyle name="20% - Accent1 38 4" xfId="23125" xr:uid="{00000000-0005-0000-0000-00004C5A0000}"/>
    <cellStyle name="20% - Accent1 39" xfId="23126" xr:uid="{00000000-0005-0000-0000-00004D5A0000}"/>
    <cellStyle name="20% - Accent1 39 2" xfId="23127" xr:uid="{00000000-0005-0000-0000-00004E5A0000}"/>
    <cellStyle name="20% - Accent1 39 2 2" xfId="23128" xr:uid="{00000000-0005-0000-0000-00004F5A0000}"/>
    <cellStyle name="20% - Accent1 39 3" xfId="23129" xr:uid="{00000000-0005-0000-0000-0000505A0000}"/>
    <cellStyle name="20% - Accent1 39 3 2" xfId="23130" xr:uid="{00000000-0005-0000-0000-0000515A0000}"/>
    <cellStyle name="20% - Accent1 39 4" xfId="23131" xr:uid="{00000000-0005-0000-0000-0000525A0000}"/>
    <cellStyle name="20% - Accent1 4" xfId="23132" xr:uid="{00000000-0005-0000-0000-0000535A0000}"/>
    <cellStyle name="20% - Accent1 4 2" xfId="23133" xr:uid="{00000000-0005-0000-0000-0000545A0000}"/>
    <cellStyle name="20% - Accent1 4 2 2" xfId="23134" xr:uid="{00000000-0005-0000-0000-0000555A0000}"/>
    <cellStyle name="20% - Accent1 4 3" xfId="23135" xr:uid="{00000000-0005-0000-0000-0000565A0000}"/>
    <cellStyle name="20% - Accent1 4 3 2" xfId="23136" xr:uid="{00000000-0005-0000-0000-0000575A0000}"/>
    <cellStyle name="20% - Accent1 4 4" xfId="23137" xr:uid="{00000000-0005-0000-0000-0000585A0000}"/>
    <cellStyle name="20% - Accent1 4 4 2" xfId="23138" xr:uid="{00000000-0005-0000-0000-0000595A0000}"/>
    <cellStyle name="20% - Accent1 4 5" xfId="23139" xr:uid="{00000000-0005-0000-0000-00005A5A0000}"/>
    <cellStyle name="20% - Accent1 4 5 2" xfId="23140" xr:uid="{00000000-0005-0000-0000-00005B5A0000}"/>
    <cellStyle name="20% - Accent1 4 6" xfId="23141" xr:uid="{00000000-0005-0000-0000-00005C5A0000}"/>
    <cellStyle name="20% - Accent1 4 6 2" xfId="23142" xr:uid="{00000000-0005-0000-0000-00005D5A0000}"/>
    <cellStyle name="20% - Accent1 4 7" xfId="23143" xr:uid="{00000000-0005-0000-0000-00005E5A0000}"/>
    <cellStyle name="20% - Accent1 40" xfId="23144" xr:uid="{00000000-0005-0000-0000-00005F5A0000}"/>
    <cellStyle name="20% - Accent1 40 2" xfId="23145" xr:uid="{00000000-0005-0000-0000-0000605A0000}"/>
    <cellStyle name="20% - Accent1 40 2 2" xfId="23146" xr:uid="{00000000-0005-0000-0000-0000615A0000}"/>
    <cellStyle name="20% - Accent1 40 3" xfId="23147" xr:uid="{00000000-0005-0000-0000-0000625A0000}"/>
    <cellStyle name="20% - Accent1 40 3 2" xfId="23148" xr:uid="{00000000-0005-0000-0000-0000635A0000}"/>
    <cellStyle name="20% - Accent1 40 4" xfId="23149" xr:uid="{00000000-0005-0000-0000-0000645A0000}"/>
    <cellStyle name="20% - Accent1 41" xfId="23150" xr:uid="{00000000-0005-0000-0000-0000655A0000}"/>
    <cellStyle name="20% - Accent1 41 2" xfId="23151" xr:uid="{00000000-0005-0000-0000-0000665A0000}"/>
    <cellStyle name="20% - Accent1 41 2 2" xfId="23152" xr:uid="{00000000-0005-0000-0000-0000675A0000}"/>
    <cellStyle name="20% - Accent1 41 3" xfId="23153" xr:uid="{00000000-0005-0000-0000-0000685A0000}"/>
    <cellStyle name="20% - Accent1 41 3 2" xfId="23154" xr:uid="{00000000-0005-0000-0000-0000695A0000}"/>
    <cellStyle name="20% - Accent1 41 4" xfId="23155" xr:uid="{00000000-0005-0000-0000-00006A5A0000}"/>
    <cellStyle name="20% - Accent1 42" xfId="23156" xr:uid="{00000000-0005-0000-0000-00006B5A0000}"/>
    <cellStyle name="20% - Accent1 42 2" xfId="23157" xr:uid="{00000000-0005-0000-0000-00006C5A0000}"/>
    <cellStyle name="20% - Accent1 42 2 2" xfId="23158" xr:uid="{00000000-0005-0000-0000-00006D5A0000}"/>
    <cellStyle name="20% - Accent1 42 3" xfId="23159" xr:uid="{00000000-0005-0000-0000-00006E5A0000}"/>
    <cellStyle name="20% - Accent1 42 3 2" xfId="23160" xr:uid="{00000000-0005-0000-0000-00006F5A0000}"/>
    <cellStyle name="20% - Accent1 42 4" xfId="23161" xr:uid="{00000000-0005-0000-0000-0000705A0000}"/>
    <cellStyle name="20% - Accent1 43" xfId="23162" xr:uid="{00000000-0005-0000-0000-0000715A0000}"/>
    <cellStyle name="20% - Accent1 43 2" xfId="23163" xr:uid="{00000000-0005-0000-0000-0000725A0000}"/>
    <cellStyle name="20% - Accent1 43 2 2" xfId="23164" xr:uid="{00000000-0005-0000-0000-0000735A0000}"/>
    <cellStyle name="20% - Accent1 43 3" xfId="23165" xr:uid="{00000000-0005-0000-0000-0000745A0000}"/>
    <cellStyle name="20% - Accent1 43 3 2" xfId="23166" xr:uid="{00000000-0005-0000-0000-0000755A0000}"/>
    <cellStyle name="20% - Accent1 43 4" xfId="23167" xr:uid="{00000000-0005-0000-0000-0000765A0000}"/>
    <cellStyle name="20% - Accent1 44" xfId="23168" xr:uid="{00000000-0005-0000-0000-0000775A0000}"/>
    <cellStyle name="20% - Accent1 44 2" xfId="23169" xr:uid="{00000000-0005-0000-0000-0000785A0000}"/>
    <cellStyle name="20% - Accent1 44 2 2" xfId="23170" xr:uid="{00000000-0005-0000-0000-0000795A0000}"/>
    <cellStyle name="20% - Accent1 44 3" xfId="23171" xr:uid="{00000000-0005-0000-0000-00007A5A0000}"/>
    <cellStyle name="20% - Accent1 44 3 2" xfId="23172" xr:uid="{00000000-0005-0000-0000-00007B5A0000}"/>
    <cellStyle name="20% - Accent1 44 4" xfId="23173" xr:uid="{00000000-0005-0000-0000-00007C5A0000}"/>
    <cellStyle name="20% - Accent1 45" xfId="23174" xr:uid="{00000000-0005-0000-0000-00007D5A0000}"/>
    <cellStyle name="20% - Accent1 45 2" xfId="23175" xr:uid="{00000000-0005-0000-0000-00007E5A0000}"/>
    <cellStyle name="20% - Accent1 45 2 2" xfId="23176" xr:uid="{00000000-0005-0000-0000-00007F5A0000}"/>
    <cellStyle name="20% - Accent1 45 3" xfId="23177" xr:uid="{00000000-0005-0000-0000-0000805A0000}"/>
    <cellStyle name="20% - Accent1 45 3 2" xfId="23178" xr:uid="{00000000-0005-0000-0000-0000815A0000}"/>
    <cellStyle name="20% - Accent1 45 4" xfId="23179" xr:uid="{00000000-0005-0000-0000-0000825A0000}"/>
    <cellStyle name="20% - Accent1 46" xfId="23180" xr:uid="{00000000-0005-0000-0000-0000835A0000}"/>
    <cellStyle name="20% - Accent1 46 2" xfId="23181" xr:uid="{00000000-0005-0000-0000-0000845A0000}"/>
    <cellStyle name="20% - Accent1 46 2 2" xfId="23182" xr:uid="{00000000-0005-0000-0000-0000855A0000}"/>
    <cellStyle name="20% - Accent1 46 3" xfId="23183" xr:uid="{00000000-0005-0000-0000-0000865A0000}"/>
    <cellStyle name="20% - Accent1 46 3 2" xfId="23184" xr:uid="{00000000-0005-0000-0000-0000875A0000}"/>
    <cellStyle name="20% - Accent1 46 4" xfId="23185" xr:uid="{00000000-0005-0000-0000-0000885A0000}"/>
    <cellStyle name="20% - Accent1 47" xfId="23186" xr:uid="{00000000-0005-0000-0000-0000895A0000}"/>
    <cellStyle name="20% - Accent1 47 2" xfId="23187" xr:uid="{00000000-0005-0000-0000-00008A5A0000}"/>
    <cellStyle name="20% - Accent1 47 2 2" xfId="23188" xr:uid="{00000000-0005-0000-0000-00008B5A0000}"/>
    <cellStyle name="20% - Accent1 47 3" xfId="23189" xr:uid="{00000000-0005-0000-0000-00008C5A0000}"/>
    <cellStyle name="20% - Accent1 47 3 2" xfId="23190" xr:uid="{00000000-0005-0000-0000-00008D5A0000}"/>
    <cellStyle name="20% - Accent1 47 4" xfId="23191" xr:uid="{00000000-0005-0000-0000-00008E5A0000}"/>
    <cellStyle name="20% - Accent1 48" xfId="23192" xr:uid="{00000000-0005-0000-0000-00008F5A0000}"/>
    <cellStyle name="20% - Accent1 48 2" xfId="23193" xr:uid="{00000000-0005-0000-0000-0000905A0000}"/>
    <cellStyle name="20% - Accent1 48 2 2" xfId="23194" xr:uid="{00000000-0005-0000-0000-0000915A0000}"/>
    <cellStyle name="20% - Accent1 48 3" xfId="23195" xr:uid="{00000000-0005-0000-0000-0000925A0000}"/>
    <cellStyle name="20% - Accent1 48 3 2" xfId="23196" xr:uid="{00000000-0005-0000-0000-0000935A0000}"/>
    <cellStyle name="20% - Accent1 48 4" xfId="23197" xr:uid="{00000000-0005-0000-0000-0000945A0000}"/>
    <cellStyle name="20% - Accent1 49" xfId="23198" xr:uid="{00000000-0005-0000-0000-0000955A0000}"/>
    <cellStyle name="20% - Accent1 49 2" xfId="23199" xr:uid="{00000000-0005-0000-0000-0000965A0000}"/>
    <cellStyle name="20% - Accent1 49 2 2" xfId="23200" xr:uid="{00000000-0005-0000-0000-0000975A0000}"/>
    <cellStyle name="20% - Accent1 49 3" xfId="23201" xr:uid="{00000000-0005-0000-0000-0000985A0000}"/>
    <cellStyle name="20% - Accent1 49 3 2" xfId="23202" xr:uid="{00000000-0005-0000-0000-0000995A0000}"/>
    <cellStyle name="20% - Accent1 49 4" xfId="23203" xr:uid="{00000000-0005-0000-0000-00009A5A0000}"/>
    <cellStyle name="20% - Accent1 5" xfId="23204" xr:uid="{00000000-0005-0000-0000-00009B5A0000}"/>
    <cellStyle name="20% - Accent1 5 2" xfId="23205" xr:uid="{00000000-0005-0000-0000-00009C5A0000}"/>
    <cellStyle name="20% - Accent1 5 2 2" xfId="23206" xr:uid="{00000000-0005-0000-0000-00009D5A0000}"/>
    <cellStyle name="20% - Accent1 5 3" xfId="23207" xr:uid="{00000000-0005-0000-0000-00009E5A0000}"/>
    <cellStyle name="20% - Accent1 5 3 2" xfId="23208" xr:uid="{00000000-0005-0000-0000-00009F5A0000}"/>
    <cellStyle name="20% - Accent1 5 4" xfId="23209" xr:uid="{00000000-0005-0000-0000-0000A05A0000}"/>
    <cellStyle name="20% - Accent1 5 4 2" xfId="23210" xr:uid="{00000000-0005-0000-0000-0000A15A0000}"/>
    <cellStyle name="20% - Accent1 5 5" xfId="23211" xr:uid="{00000000-0005-0000-0000-0000A25A0000}"/>
    <cellStyle name="20% - Accent1 5 5 2" xfId="23212" xr:uid="{00000000-0005-0000-0000-0000A35A0000}"/>
    <cellStyle name="20% - Accent1 5 6" xfId="23213" xr:uid="{00000000-0005-0000-0000-0000A45A0000}"/>
    <cellStyle name="20% - Accent1 50" xfId="23214" xr:uid="{00000000-0005-0000-0000-0000A55A0000}"/>
    <cellStyle name="20% - Accent1 50 2" xfId="23215" xr:uid="{00000000-0005-0000-0000-0000A65A0000}"/>
    <cellStyle name="20% - Accent1 50 2 2" xfId="23216" xr:uid="{00000000-0005-0000-0000-0000A75A0000}"/>
    <cellStyle name="20% - Accent1 50 3" xfId="23217" xr:uid="{00000000-0005-0000-0000-0000A85A0000}"/>
    <cellStyle name="20% - Accent1 50 3 2" xfId="23218" xr:uid="{00000000-0005-0000-0000-0000A95A0000}"/>
    <cellStyle name="20% - Accent1 50 4" xfId="23219" xr:uid="{00000000-0005-0000-0000-0000AA5A0000}"/>
    <cellStyle name="20% - Accent1 51" xfId="23220" xr:uid="{00000000-0005-0000-0000-0000AB5A0000}"/>
    <cellStyle name="20% - Accent1 51 2" xfId="23221" xr:uid="{00000000-0005-0000-0000-0000AC5A0000}"/>
    <cellStyle name="20% - Accent1 51 2 2" xfId="23222" xr:uid="{00000000-0005-0000-0000-0000AD5A0000}"/>
    <cellStyle name="20% - Accent1 51 3" xfId="23223" xr:uid="{00000000-0005-0000-0000-0000AE5A0000}"/>
    <cellStyle name="20% - Accent1 51 3 2" xfId="23224" xr:uid="{00000000-0005-0000-0000-0000AF5A0000}"/>
    <cellStyle name="20% - Accent1 51 4" xfId="23225" xr:uid="{00000000-0005-0000-0000-0000B05A0000}"/>
    <cellStyle name="20% - Accent1 52" xfId="23226" xr:uid="{00000000-0005-0000-0000-0000B15A0000}"/>
    <cellStyle name="20% - Accent1 52 2" xfId="23227" xr:uid="{00000000-0005-0000-0000-0000B25A0000}"/>
    <cellStyle name="20% - Accent1 52 2 2" xfId="23228" xr:uid="{00000000-0005-0000-0000-0000B35A0000}"/>
    <cellStyle name="20% - Accent1 52 3" xfId="23229" xr:uid="{00000000-0005-0000-0000-0000B45A0000}"/>
    <cellStyle name="20% - Accent1 52 3 2" xfId="23230" xr:uid="{00000000-0005-0000-0000-0000B55A0000}"/>
    <cellStyle name="20% - Accent1 52 4" xfId="23231" xr:uid="{00000000-0005-0000-0000-0000B65A0000}"/>
    <cellStyle name="20% - Accent1 53" xfId="23232" xr:uid="{00000000-0005-0000-0000-0000B75A0000}"/>
    <cellStyle name="20% - Accent1 53 2" xfId="23233" xr:uid="{00000000-0005-0000-0000-0000B85A0000}"/>
    <cellStyle name="20% - Accent1 53 2 2" xfId="23234" xr:uid="{00000000-0005-0000-0000-0000B95A0000}"/>
    <cellStyle name="20% - Accent1 53 3" xfId="23235" xr:uid="{00000000-0005-0000-0000-0000BA5A0000}"/>
    <cellStyle name="20% - Accent1 53 3 2" xfId="23236" xr:uid="{00000000-0005-0000-0000-0000BB5A0000}"/>
    <cellStyle name="20% - Accent1 53 4" xfId="23237" xr:uid="{00000000-0005-0000-0000-0000BC5A0000}"/>
    <cellStyle name="20% - Accent1 54" xfId="23238" xr:uid="{00000000-0005-0000-0000-0000BD5A0000}"/>
    <cellStyle name="20% - Accent1 54 2" xfId="23239" xr:uid="{00000000-0005-0000-0000-0000BE5A0000}"/>
    <cellStyle name="20% - Accent1 54 2 2" xfId="23240" xr:uid="{00000000-0005-0000-0000-0000BF5A0000}"/>
    <cellStyle name="20% - Accent1 54 3" xfId="23241" xr:uid="{00000000-0005-0000-0000-0000C05A0000}"/>
    <cellStyle name="20% - Accent1 54 3 2" xfId="23242" xr:uid="{00000000-0005-0000-0000-0000C15A0000}"/>
    <cellStyle name="20% - Accent1 54 4" xfId="23243" xr:uid="{00000000-0005-0000-0000-0000C25A0000}"/>
    <cellStyle name="20% - Accent1 55" xfId="23244" xr:uid="{00000000-0005-0000-0000-0000C35A0000}"/>
    <cellStyle name="20% - Accent1 55 2" xfId="23245" xr:uid="{00000000-0005-0000-0000-0000C45A0000}"/>
    <cellStyle name="20% - Accent1 55 2 2" xfId="23246" xr:uid="{00000000-0005-0000-0000-0000C55A0000}"/>
    <cellStyle name="20% - Accent1 55 3" xfId="23247" xr:uid="{00000000-0005-0000-0000-0000C65A0000}"/>
    <cellStyle name="20% - Accent1 55 3 2" xfId="23248" xr:uid="{00000000-0005-0000-0000-0000C75A0000}"/>
    <cellStyle name="20% - Accent1 55 4" xfId="23249" xr:uid="{00000000-0005-0000-0000-0000C85A0000}"/>
    <cellStyle name="20% - Accent1 56" xfId="23250" xr:uid="{00000000-0005-0000-0000-0000C95A0000}"/>
    <cellStyle name="20% - Accent1 56 2" xfId="23251" xr:uid="{00000000-0005-0000-0000-0000CA5A0000}"/>
    <cellStyle name="20% - Accent1 56 2 2" xfId="23252" xr:uid="{00000000-0005-0000-0000-0000CB5A0000}"/>
    <cellStyle name="20% - Accent1 56 3" xfId="23253" xr:uid="{00000000-0005-0000-0000-0000CC5A0000}"/>
    <cellStyle name="20% - Accent1 56 3 2" xfId="23254" xr:uid="{00000000-0005-0000-0000-0000CD5A0000}"/>
    <cellStyle name="20% - Accent1 56 4" xfId="23255" xr:uid="{00000000-0005-0000-0000-0000CE5A0000}"/>
    <cellStyle name="20% - Accent1 57" xfId="23256" xr:uid="{00000000-0005-0000-0000-0000CF5A0000}"/>
    <cellStyle name="20% - Accent1 57 2" xfId="23257" xr:uid="{00000000-0005-0000-0000-0000D05A0000}"/>
    <cellStyle name="20% - Accent1 57 2 2" xfId="23258" xr:uid="{00000000-0005-0000-0000-0000D15A0000}"/>
    <cellStyle name="20% - Accent1 57 3" xfId="23259" xr:uid="{00000000-0005-0000-0000-0000D25A0000}"/>
    <cellStyle name="20% - Accent1 57 3 2" xfId="23260" xr:uid="{00000000-0005-0000-0000-0000D35A0000}"/>
    <cellStyle name="20% - Accent1 57 4" xfId="23261" xr:uid="{00000000-0005-0000-0000-0000D45A0000}"/>
    <cellStyle name="20% - Accent1 58" xfId="23262" xr:uid="{00000000-0005-0000-0000-0000D55A0000}"/>
    <cellStyle name="20% - Accent1 58 2" xfId="23263" xr:uid="{00000000-0005-0000-0000-0000D65A0000}"/>
    <cellStyle name="20% - Accent1 58 2 2" xfId="23264" xr:uid="{00000000-0005-0000-0000-0000D75A0000}"/>
    <cellStyle name="20% - Accent1 58 3" xfId="23265" xr:uid="{00000000-0005-0000-0000-0000D85A0000}"/>
    <cellStyle name="20% - Accent1 58 3 2" xfId="23266" xr:uid="{00000000-0005-0000-0000-0000D95A0000}"/>
    <cellStyle name="20% - Accent1 58 4" xfId="23267" xr:uid="{00000000-0005-0000-0000-0000DA5A0000}"/>
    <cellStyle name="20% - Accent1 59" xfId="23268" xr:uid="{00000000-0005-0000-0000-0000DB5A0000}"/>
    <cellStyle name="20% - Accent1 59 2" xfId="23269" xr:uid="{00000000-0005-0000-0000-0000DC5A0000}"/>
    <cellStyle name="20% - Accent1 59 2 2" xfId="23270" xr:uid="{00000000-0005-0000-0000-0000DD5A0000}"/>
    <cellStyle name="20% - Accent1 59 3" xfId="23271" xr:uid="{00000000-0005-0000-0000-0000DE5A0000}"/>
    <cellStyle name="20% - Accent1 6" xfId="23272" xr:uid="{00000000-0005-0000-0000-0000DF5A0000}"/>
    <cellStyle name="20% - Accent1 6 2" xfId="23273" xr:uid="{00000000-0005-0000-0000-0000E05A0000}"/>
    <cellStyle name="20% - Accent1 6 2 2" xfId="23274" xr:uid="{00000000-0005-0000-0000-0000E15A0000}"/>
    <cellStyle name="20% - Accent1 6 3" xfId="23275" xr:uid="{00000000-0005-0000-0000-0000E25A0000}"/>
    <cellStyle name="20% - Accent1 6 3 2" xfId="23276" xr:uid="{00000000-0005-0000-0000-0000E35A0000}"/>
    <cellStyle name="20% - Accent1 6 4" xfId="23277" xr:uid="{00000000-0005-0000-0000-0000E45A0000}"/>
    <cellStyle name="20% - Accent1 6 4 2" xfId="23278" xr:uid="{00000000-0005-0000-0000-0000E55A0000}"/>
    <cellStyle name="20% - Accent1 6 5" xfId="23279" xr:uid="{00000000-0005-0000-0000-0000E65A0000}"/>
    <cellStyle name="20% - Accent1 6 5 2" xfId="23280" xr:uid="{00000000-0005-0000-0000-0000E75A0000}"/>
    <cellStyle name="20% - Accent1 6 6" xfId="23281" xr:uid="{00000000-0005-0000-0000-0000E85A0000}"/>
    <cellStyle name="20% - Accent1 60" xfId="23282" xr:uid="{00000000-0005-0000-0000-0000E95A0000}"/>
    <cellStyle name="20% - Accent1 60 2" xfId="23283" xr:uid="{00000000-0005-0000-0000-0000EA5A0000}"/>
    <cellStyle name="20% - Accent1 61" xfId="23284" xr:uid="{00000000-0005-0000-0000-0000EB5A0000}"/>
    <cellStyle name="20% - Accent1 61 2" xfId="23285" xr:uid="{00000000-0005-0000-0000-0000EC5A0000}"/>
    <cellStyle name="20% - Accent1 62" xfId="23286" xr:uid="{00000000-0005-0000-0000-0000ED5A0000}"/>
    <cellStyle name="20% - Accent1 62 2" xfId="23287" xr:uid="{00000000-0005-0000-0000-0000EE5A0000}"/>
    <cellStyle name="20% - Accent1 63" xfId="23288" xr:uid="{00000000-0005-0000-0000-0000EF5A0000}"/>
    <cellStyle name="20% - Accent1 63 2" xfId="23289" xr:uid="{00000000-0005-0000-0000-0000F05A0000}"/>
    <cellStyle name="20% - Accent1 64" xfId="23290" xr:uid="{00000000-0005-0000-0000-0000F15A0000}"/>
    <cellStyle name="20% - Accent1 64 2" xfId="23291" xr:uid="{00000000-0005-0000-0000-0000F25A0000}"/>
    <cellStyle name="20% - Accent1 65" xfId="23292" xr:uid="{00000000-0005-0000-0000-0000F35A0000}"/>
    <cellStyle name="20% - Accent1 65 2" xfId="23293" xr:uid="{00000000-0005-0000-0000-0000F45A0000}"/>
    <cellStyle name="20% - Accent1 66" xfId="23294" xr:uid="{00000000-0005-0000-0000-0000F55A0000}"/>
    <cellStyle name="20% - Accent1 66 2" xfId="23295" xr:uid="{00000000-0005-0000-0000-0000F65A0000}"/>
    <cellStyle name="20% - Accent1 67" xfId="23296" xr:uid="{00000000-0005-0000-0000-0000F75A0000}"/>
    <cellStyle name="20% - Accent1 67 2" xfId="23297" xr:uid="{00000000-0005-0000-0000-0000F85A0000}"/>
    <cellStyle name="20% - Accent1 68" xfId="23298" xr:uid="{00000000-0005-0000-0000-0000F95A0000}"/>
    <cellStyle name="20% - Accent1 68 2" xfId="23299" xr:uid="{00000000-0005-0000-0000-0000FA5A0000}"/>
    <cellStyle name="20% - Accent1 69" xfId="23300" xr:uid="{00000000-0005-0000-0000-0000FB5A0000}"/>
    <cellStyle name="20% - Accent1 69 2" xfId="23301" xr:uid="{00000000-0005-0000-0000-0000FC5A0000}"/>
    <cellStyle name="20% - Accent1 7" xfId="23302" xr:uid="{00000000-0005-0000-0000-0000FD5A0000}"/>
    <cellStyle name="20% - Accent1 7 2" xfId="23303" xr:uid="{00000000-0005-0000-0000-0000FE5A0000}"/>
    <cellStyle name="20% - Accent1 7 2 2" xfId="23304" xr:uid="{00000000-0005-0000-0000-0000FF5A0000}"/>
    <cellStyle name="20% - Accent1 7 3" xfId="23305" xr:uid="{00000000-0005-0000-0000-0000005B0000}"/>
    <cellStyle name="20% - Accent1 7 3 2" xfId="23306" xr:uid="{00000000-0005-0000-0000-0000015B0000}"/>
    <cellStyle name="20% - Accent1 7 4" xfId="23307" xr:uid="{00000000-0005-0000-0000-0000025B0000}"/>
    <cellStyle name="20% - Accent1 7 4 2" xfId="23308" xr:uid="{00000000-0005-0000-0000-0000035B0000}"/>
    <cellStyle name="20% - Accent1 7 5" xfId="23309" xr:uid="{00000000-0005-0000-0000-0000045B0000}"/>
    <cellStyle name="20% - Accent1 7 5 2" xfId="23310" xr:uid="{00000000-0005-0000-0000-0000055B0000}"/>
    <cellStyle name="20% - Accent1 7 6" xfId="23311" xr:uid="{00000000-0005-0000-0000-0000065B0000}"/>
    <cellStyle name="20% - Accent1 70" xfId="23312" xr:uid="{00000000-0005-0000-0000-0000075B0000}"/>
    <cellStyle name="20% - Accent1 70 2" xfId="23313" xr:uid="{00000000-0005-0000-0000-0000085B0000}"/>
    <cellStyle name="20% - Accent1 71" xfId="23314" xr:uid="{00000000-0005-0000-0000-0000095B0000}"/>
    <cellStyle name="20% - Accent1 71 2" xfId="23315" xr:uid="{00000000-0005-0000-0000-00000A5B0000}"/>
    <cellStyle name="20% - Accent1 72" xfId="23316" xr:uid="{00000000-0005-0000-0000-00000B5B0000}"/>
    <cellStyle name="20% - Accent1 72 2" xfId="23317" xr:uid="{00000000-0005-0000-0000-00000C5B0000}"/>
    <cellStyle name="20% - Accent1 73" xfId="23318" xr:uid="{00000000-0005-0000-0000-00000D5B0000}"/>
    <cellStyle name="20% - Accent1 73 2" xfId="23319" xr:uid="{00000000-0005-0000-0000-00000E5B0000}"/>
    <cellStyle name="20% - Accent1 74" xfId="23320" xr:uid="{00000000-0005-0000-0000-00000F5B0000}"/>
    <cellStyle name="20% - Accent1 74 2" xfId="23321" xr:uid="{00000000-0005-0000-0000-0000105B0000}"/>
    <cellStyle name="20% - Accent1 75" xfId="23322" xr:uid="{00000000-0005-0000-0000-0000115B0000}"/>
    <cellStyle name="20% - Accent1 75 2" xfId="23323" xr:uid="{00000000-0005-0000-0000-0000125B0000}"/>
    <cellStyle name="20% - Accent1 76" xfId="23324" xr:uid="{00000000-0005-0000-0000-0000135B0000}"/>
    <cellStyle name="20% - Accent1 76 2" xfId="23325" xr:uid="{00000000-0005-0000-0000-0000145B0000}"/>
    <cellStyle name="20% - Accent1 77" xfId="23326" xr:uid="{00000000-0005-0000-0000-0000155B0000}"/>
    <cellStyle name="20% - Accent1 77 2" xfId="23327" xr:uid="{00000000-0005-0000-0000-0000165B0000}"/>
    <cellStyle name="20% - Accent1 78" xfId="23328" xr:uid="{00000000-0005-0000-0000-0000175B0000}"/>
    <cellStyle name="20% - Accent1 78 2" xfId="23329" xr:uid="{00000000-0005-0000-0000-0000185B0000}"/>
    <cellStyle name="20% - Accent1 79" xfId="23330" xr:uid="{00000000-0005-0000-0000-0000195B0000}"/>
    <cellStyle name="20% - Accent1 79 2" xfId="23331" xr:uid="{00000000-0005-0000-0000-00001A5B0000}"/>
    <cellStyle name="20% - Accent1 8" xfId="23332" xr:uid="{00000000-0005-0000-0000-00001B5B0000}"/>
    <cellStyle name="20% - Accent1 8 2" xfId="23333" xr:uid="{00000000-0005-0000-0000-00001C5B0000}"/>
    <cellStyle name="20% - Accent1 8 2 2" xfId="23334" xr:uid="{00000000-0005-0000-0000-00001D5B0000}"/>
    <cellStyle name="20% - Accent1 8 3" xfId="23335" xr:uid="{00000000-0005-0000-0000-00001E5B0000}"/>
    <cellStyle name="20% - Accent1 8 3 2" xfId="23336" xr:uid="{00000000-0005-0000-0000-00001F5B0000}"/>
    <cellStyle name="20% - Accent1 8 4" xfId="23337" xr:uid="{00000000-0005-0000-0000-0000205B0000}"/>
    <cellStyle name="20% - Accent1 8 4 2" xfId="23338" xr:uid="{00000000-0005-0000-0000-0000215B0000}"/>
    <cellStyle name="20% - Accent1 8 5" xfId="23339" xr:uid="{00000000-0005-0000-0000-0000225B0000}"/>
    <cellStyle name="20% - Accent1 8 5 2" xfId="23340" xr:uid="{00000000-0005-0000-0000-0000235B0000}"/>
    <cellStyle name="20% - Accent1 8 6" xfId="23341" xr:uid="{00000000-0005-0000-0000-0000245B0000}"/>
    <cellStyle name="20% - Accent1 80" xfId="23342" xr:uid="{00000000-0005-0000-0000-0000255B0000}"/>
    <cellStyle name="20% - Accent1 80 2" xfId="23343" xr:uid="{00000000-0005-0000-0000-0000265B0000}"/>
    <cellStyle name="20% - Accent1 81" xfId="23344" xr:uid="{00000000-0005-0000-0000-0000275B0000}"/>
    <cellStyle name="20% - Accent1 81 2" xfId="23345" xr:uid="{00000000-0005-0000-0000-0000285B0000}"/>
    <cellStyle name="20% - Accent1 82" xfId="23346" xr:uid="{00000000-0005-0000-0000-0000295B0000}"/>
    <cellStyle name="20% - Accent1 82 2" xfId="23347" xr:uid="{00000000-0005-0000-0000-00002A5B0000}"/>
    <cellStyle name="20% - Accent1 83" xfId="23348" xr:uid="{00000000-0005-0000-0000-00002B5B0000}"/>
    <cellStyle name="20% - Accent1 83 2" xfId="23349" xr:uid="{00000000-0005-0000-0000-00002C5B0000}"/>
    <cellStyle name="20% - Accent1 84" xfId="23350" xr:uid="{00000000-0005-0000-0000-00002D5B0000}"/>
    <cellStyle name="20% - Accent1 84 2" xfId="23351" xr:uid="{00000000-0005-0000-0000-00002E5B0000}"/>
    <cellStyle name="20% - Accent1 85" xfId="23352" xr:uid="{00000000-0005-0000-0000-00002F5B0000}"/>
    <cellStyle name="20% - Accent1 85 2" xfId="23353" xr:uid="{00000000-0005-0000-0000-0000305B0000}"/>
    <cellStyle name="20% - Accent1 86" xfId="23354" xr:uid="{00000000-0005-0000-0000-0000315B0000}"/>
    <cellStyle name="20% - Accent1 86 2" xfId="23355" xr:uid="{00000000-0005-0000-0000-0000325B0000}"/>
    <cellStyle name="20% - Accent1 87" xfId="23356" xr:uid="{00000000-0005-0000-0000-0000335B0000}"/>
    <cellStyle name="20% - Accent1 87 2" xfId="23357" xr:uid="{00000000-0005-0000-0000-0000345B0000}"/>
    <cellStyle name="20% - Accent1 88" xfId="23358" xr:uid="{00000000-0005-0000-0000-0000355B0000}"/>
    <cellStyle name="20% - Accent1 88 2" xfId="23359" xr:uid="{00000000-0005-0000-0000-0000365B0000}"/>
    <cellStyle name="20% - Accent1 89" xfId="23360" xr:uid="{00000000-0005-0000-0000-0000375B0000}"/>
    <cellStyle name="20% - Accent1 89 2" xfId="23361" xr:uid="{00000000-0005-0000-0000-0000385B0000}"/>
    <cellStyle name="20% - Accent1 9" xfId="23362" xr:uid="{00000000-0005-0000-0000-0000395B0000}"/>
    <cellStyle name="20% - Accent1 9 2" xfId="23363" xr:uid="{00000000-0005-0000-0000-00003A5B0000}"/>
    <cellStyle name="20% - Accent1 9 2 2" xfId="23364" xr:uid="{00000000-0005-0000-0000-00003B5B0000}"/>
    <cellStyle name="20% - Accent1 9 3" xfId="23365" xr:uid="{00000000-0005-0000-0000-00003C5B0000}"/>
    <cellStyle name="20% - Accent1 9 3 2" xfId="23366" xr:uid="{00000000-0005-0000-0000-00003D5B0000}"/>
    <cellStyle name="20% - Accent1 9 4" xfId="23367" xr:uid="{00000000-0005-0000-0000-00003E5B0000}"/>
    <cellStyle name="20% - Accent1 9 4 2" xfId="23368" xr:uid="{00000000-0005-0000-0000-00003F5B0000}"/>
    <cellStyle name="20% - Accent1 9 5" xfId="23369" xr:uid="{00000000-0005-0000-0000-0000405B0000}"/>
    <cellStyle name="20% - Accent1 9 5 2" xfId="23370" xr:uid="{00000000-0005-0000-0000-0000415B0000}"/>
    <cellStyle name="20% - Accent1 9 6" xfId="23371" xr:uid="{00000000-0005-0000-0000-0000425B0000}"/>
    <cellStyle name="20% - Accent1 90" xfId="23372" xr:uid="{00000000-0005-0000-0000-0000435B0000}"/>
    <cellStyle name="20% - Accent1 90 2" xfId="23373" xr:uid="{00000000-0005-0000-0000-0000445B0000}"/>
    <cellStyle name="20% - Accent1 91" xfId="23374" xr:uid="{00000000-0005-0000-0000-0000455B0000}"/>
    <cellStyle name="20% - Accent1 91 2" xfId="23375" xr:uid="{00000000-0005-0000-0000-0000465B0000}"/>
    <cellStyle name="20% - Accent1 92" xfId="23376" xr:uid="{00000000-0005-0000-0000-0000475B0000}"/>
    <cellStyle name="20% - Accent1 92 2" xfId="23377" xr:uid="{00000000-0005-0000-0000-0000485B0000}"/>
    <cellStyle name="20% - Accent1 93" xfId="23378" xr:uid="{00000000-0005-0000-0000-0000495B0000}"/>
    <cellStyle name="20% - Accent1 93 2" xfId="23379" xr:uid="{00000000-0005-0000-0000-00004A5B0000}"/>
    <cellStyle name="20% - Accent1 94" xfId="23380" xr:uid="{00000000-0005-0000-0000-00004B5B0000}"/>
    <cellStyle name="20% - Accent1 94 2" xfId="23381" xr:uid="{00000000-0005-0000-0000-00004C5B0000}"/>
    <cellStyle name="20% - Accent1 95" xfId="23382" xr:uid="{00000000-0005-0000-0000-00004D5B0000}"/>
    <cellStyle name="20% - Accent1 95 2" xfId="23383" xr:uid="{00000000-0005-0000-0000-00004E5B0000}"/>
    <cellStyle name="20% - Accent1 96" xfId="23384" xr:uid="{00000000-0005-0000-0000-00004F5B0000}"/>
    <cellStyle name="20% - Accent1 96 2" xfId="23385" xr:uid="{00000000-0005-0000-0000-0000505B0000}"/>
    <cellStyle name="20% - Accent1 97" xfId="23386" xr:uid="{00000000-0005-0000-0000-0000515B0000}"/>
    <cellStyle name="20% - Accent1 97 2" xfId="23387" xr:uid="{00000000-0005-0000-0000-0000525B0000}"/>
    <cellStyle name="20% - Accent1 98" xfId="23388" xr:uid="{00000000-0005-0000-0000-0000535B0000}"/>
    <cellStyle name="20% - Accent1 98 2" xfId="23389" xr:uid="{00000000-0005-0000-0000-0000545B0000}"/>
    <cellStyle name="20% - Accent1 99" xfId="23390" xr:uid="{00000000-0005-0000-0000-0000555B0000}"/>
    <cellStyle name="20% - Accent1 99 2" xfId="23391" xr:uid="{00000000-0005-0000-0000-0000565B0000}"/>
    <cellStyle name="20% - Accent2 10" xfId="23392" xr:uid="{00000000-0005-0000-0000-0000575B0000}"/>
    <cellStyle name="20% - Accent2 10 2" xfId="23393" xr:uid="{00000000-0005-0000-0000-0000585B0000}"/>
    <cellStyle name="20% - Accent2 10 2 2" xfId="23394" xr:uid="{00000000-0005-0000-0000-0000595B0000}"/>
    <cellStyle name="20% - Accent2 10 2 2 2" xfId="23395" xr:uid="{00000000-0005-0000-0000-00005A5B0000}"/>
    <cellStyle name="20% - Accent2 10 2 3" xfId="23396" xr:uid="{00000000-0005-0000-0000-00005B5B0000}"/>
    <cellStyle name="20% - Accent2 10 2 3 2" xfId="23397" xr:uid="{00000000-0005-0000-0000-00005C5B0000}"/>
    <cellStyle name="20% - Accent2 10 2 4" xfId="23398" xr:uid="{00000000-0005-0000-0000-00005D5B0000}"/>
    <cellStyle name="20% - Accent2 10 3" xfId="23399" xr:uid="{00000000-0005-0000-0000-00005E5B0000}"/>
    <cellStyle name="20% - Accent2 10 3 2" xfId="23400" xr:uid="{00000000-0005-0000-0000-00005F5B0000}"/>
    <cellStyle name="20% - Accent2 10 3 2 2" xfId="23401" xr:uid="{00000000-0005-0000-0000-0000605B0000}"/>
    <cellStyle name="20% - Accent2 10 3 3" xfId="23402" xr:uid="{00000000-0005-0000-0000-0000615B0000}"/>
    <cellStyle name="20% - Accent2 10 3 3 2" xfId="23403" xr:uid="{00000000-0005-0000-0000-0000625B0000}"/>
    <cellStyle name="20% - Accent2 10 3 4" xfId="23404" xr:uid="{00000000-0005-0000-0000-0000635B0000}"/>
    <cellStyle name="20% - Accent2 10 4" xfId="23405" xr:uid="{00000000-0005-0000-0000-0000645B0000}"/>
    <cellStyle name="20% - Accent2 10 4 2" xfId="23406" xr:uid="{00000000-0005-0000-0000-0000655B0000}"/>
    <cellStyle name="20% - Accent2 10 5" xfId="23407" xr:uid="{00000000-0005-0000-0000-0000665B0000}"/>
    <cellStyle name="20% - Accent2 10 5 2" xfId="23408" xr:uid="{00000000-0005-0000-0000-0000675B0000}"/>
    <cellStyle name="20% - Accent2 10 6" xfId="23409" xr:uid="{00000000-0005-0000-0000-0000685B0000}"/>
    <cellStyle name="20% - Accent2 100" xfId="23410" xr:uid="{00000000-0005-0000-0000-0000695B0000}"/>
    <cellStyle name="20% - Accent2 100 2" xfId="23411" xr:uid="{00000000-0005-0000-0000-00006A5B0000}"/>
    <cellStyle name="20% - Accent2 101" xfId="23412" xr:uid="{00000000-0005-0000-0000-00006B5B0000}"/>
    <cellStyle name="20% - Accent2 101 2" xfId="23413" xr:uid="{00000000-0005-0000-0000-00006C5B0000}"/>
    <cellStyle name="20% - Accent2 102" xfId="23414" xr:uid="{00000000-0005-0000-0000-00006D5B0000}"/>
    <cellStyle name="20% - Accent2 102 2" xfId="23415" xr:uid="{00000000-0005-0000-0000-00006E5B0000}"/>
    <cellStyle name="20% - Accent2 103" xfId="23416" xr:uid="{00000000-0005-0000-0000-00006F5B0000}"/>
    <cellStyle name="20% - Accent2 103 2" xfId="23417" xr:uid="{00000000-0005-0000-0000-0000705B0000}"/>
    <cellStyle name="20% - Accent2 104" xfId="23418" xr:uid="{00000000-0005-0000-0000-0000715B0000}"/>
    <cellStyle name="20% - Accent2 104 2" xfId="23419" xr:uid="{00000000-0005-0000-0000-0000725B0000}"/>
    <cellStyle name="20% - Accent2 105" xfId="23420" xr:uid="{00000000-0005-0000-0000-0000735B0000}"/>
    <cellStyle name="20% - Accent2 105 2" xfId="23421" xr:uid="{00000000-0005-0000-0000-0000745B0000}"/>
    <cellStyle name="20% - Accent2 106" xfId="23422" xr:uid="{00000000-0005-0000-0000-0000755B0000}"/>
    <cellStyle name="20% - Accent2 106 2" xfId="23423" xr:uid="{00000000-0005-0000-0000-0000765B0000}"/>
    <cellStyle name="20% - Accent2 107" xfId="23424" xr:uid="{00000000-0005-0000-0000-0000775B0000}"/>
    <cellStyle name="20% - Accent2 107 2" xfId="23425" xr:uid="{00000000-0005-0000-0000-0000785B0000}"/>
    <cellStyle name="20% - Accent2 108" xfId="23426" xr:uid="{00000000-0005-0000-0000-0000795B0000}"/>
    <cellStyle name="20% - Accent2 108 2" xfId="23427" xr:uid="{00000000-0005-0000-0000-00007A5B0000}"/>
    <cellStyle name="20% - Accent2 109" xfId="23428" xr:uid="{00000000-0005-0000-0000-00007B5B0000}"/>
    <cellStyle name="20% - Accent2 109 2" xfId="23429" xr:uid="{00000000-0005-0000-0000-00007C5B0000}"/>
    <cellStyle name="20% - Accent2 11" xfId="23430" xr:uid="{00000000-0005-0000-0000-00007D5B0000}"/>
    <cellStyle name="20% - Accent2 11 2" xfId="23431" xr:uid="{00000000-0005-0000-0000-00007E5B0000}"/>
    <cellStyle name="20% - Accent2 11 2 2" xfId="23432" xr:uid="{00000000-0005-0000-0000-00007F5B0000}"/>
    <cellStyle name="20% - Accent2 11 2 2 2" xfId="23433" xr:uid="{00000000-0005-0000-0000-0000805B0000}"/>
    <cellStyle name="20% - Accent2 11 2 3" xfId="23434" xr:uid="{00000000-0005-0000-0000-0000815B0000}"/>
    <cellStyle name="20% - Accent2 11 2 3 2" xfId="23435" xr:uid="{00000000-0005-0000-0000-0000825B0000}"/>
    <cellStyle name="20% - Accent2 11 2 4" xfId="23436" xr:uid="{00000000-0005-0000-0000-0000835B0000}"/>
    <cellStyle name="20% - Accent2 11 3" xfId="23437" xr:uid="{00000000-0005-0000-0000-0000845B0000}"/>
    <cellStyle name="20% - Accent2 11 3 2" xfId="23438" xr:uid="{00000000-0005-0000-0000-0000855B0000}"/>
    <cellStyle name="20% - Accent2 11 3 2 2" xfId="23439" xr:uid="{00000000-0005-0000-0000-0000865B0000}"/>
    <cellStyle name="20% - Accent2 11 3 3" xfId="23440" xr:uid="{00000000-0005-0000-0000-0000875B0000}"/>
    <cellStyle name="20% - Accent2 11 3 3 2" xfId="23441" xr:uid="{00000000-0005-0000-0000-0000885B0000}"/>
    <cellStyle name="20% - Accent2 11 3 4" xfId="23442" xr:uid="{00000000-0005-0000-0000-0000895B0000}"/>
    <cellStyle name="20% - Accent2 11 4" xfId="23443" xr:uid="{00000000-0005-0000-0000-00008A5B0000}"/>
    <cellStyle name="20% - Accent2 11 4 2" xfId="23444" xr:uid="{00000000-0005-0000-0000-00008B5B0000}"/>
    <cellStyle name="20% - Accent2 11 5" xfId="23445" xr:uid="{00000000-0005-0000-0000-00008C5B0000}"/>
    <cellStyle name="20% - Accent2 11 5 2" xfId="23446" xr:uid="{00000000-0005-0000-0000-00008D5B0000}"/>
    <cellStyle name="20% - Accent2 11 6" xfId="23447" xr:uid="{00000000-0005-0000-0000-00008E5B0000}"/>
    <cellStyle name="20% - Accent2 110" xfId="23448" xr:uid="{00000000-0005-0000-0000-00008F5B0000}"/>
    <cellStyle name="20% - Accent2 110 2" xfId="23449" xr:uid="{00000000-0005-0000-0000-0000905B0000}"/>
    <cellStyle name="20% - Accent2 111" xfId="23450" xr:uid="{00000000-0005-0000-0000-0000915B0000}"/>
    <cellStyle name="20% - Accent2 111 2" xfId="23451" xr:uid="{00000000-0005-0000-0000-0000925B0000}"/>
    <cellStyle name="20% - Accent2 112" xfId="23452" xr:uid="{00000000-0005-0000-0000-0000935B0000}"/>
    <cellStyle name="20% - Accent2 112 2" xfId="23453" xr:uid="{00000000-0005-0000-0000-0000945B0000}"/>
    <cellStyle name="20% - Accent2 113" xfId="23454" xr:uid="{00000000-0005-0000-0000-0000955B0000}"/>
    <cellStyle name="20% - Accent2 113 2" xfId="23455" xr:uid="{00000000-0005-0000-0000-0000965B0000}"/>
    <cellStyle name="20% - Accent2 114" xfId="23456" xr:uid="{00000000-0005-0000-0000-0000975B0000}"/>
    <cellStyle name="20% - Accent2 114 2" xfId="23457" xr:uid="{00000000-0005-0000-0000-0000985B0000}"/>
    <cellStyle name="20% - Accent2 115" xfId="23458" xr:uid="{00000000-0005-0000-0000-0000995B0000}"/>
    <cellStyle name="20% - Accent2 115 2" xfId="23459" xr:uid="{00000000-0005-0000-0000-00009A5B0000}"/>
    <cellStyle name="20% - Accent2 116" xfId="23460" xr:uid="{00000000-0005-0000-0000-00009B5B0000}"/>
    <cellStyle name="20% - Accent2 116 2" xfId="23461" xr:uid="{00000000-0005-0000-0000-00009C5B0000}"/>
    <cellStyle name="20% - Accent2 117" xfId="23462" xr:uid="{00000000-0005-0000-0000-00009D5B0000}"/>
    <cellStyle name="20% - Accent2 117 2" xfId="23463" xr:uid="{00000000-0005-0000-0000-00009E5B0000}"/>
    <cellStyle name="20% - Accent2 118" xfId="23464" xr:uid="{00000000-0005-0000-0000-00009F5B0000}"/>
    <cellStyle name="20% - Accent2 118 2" xfId="23465" xr:uid="{00000000-0005-0000-0000-0000A05B0000}"/>
    <cellStyle name="20% - Accent2 119" xfId="23466" xr:uid="{00000000-0005-0000-0000-0000A15B0000}"/>
    <cellStyle name="20% - Accent2 119 2" xfId="23467" xr:uid="{00000000-0005-0000-0000-0000A25B0000}"/>
    <cellStyle name="20% - Accent2 12" xfId="23468" xr:uid="{00000000-0005-0000-0000-0000A35B0000}"/>
    <cellStyle name="20% - Accent2 12 2" xfId="23469" xr:uid="{00000000-0005-0000-0000-0000A45B0000}"/>
    <cellStyle name="20% - Accent2 12 2 2" xfId="23470" xr:uid="{00000000-0005-0000-0000-0000A55B0000}"/>
    <cellStyle name="20% - Accent2 12 2 2 2" xfId="23471" xr:uid="{00000000-0005-0000-0000-0000A65B0000}"/>
    <cellStyle name="20% - Accent2 12 2 3" xfId="23472" xr:uid="{00000000-0005-0000-0000-0000A75B0000}"/>
    <cellStyle name="20% - Accent2 12 2 3 2" xfId="23473" xr:uid="{00000000-0005-0000-0000-0000A85B0000}"/>
    <cellStyle name="20% - Accent2 12 2 4" xfId="23474" xr:uid="{00000000-0005-0000-0000-0000A95B0000}"/>
    <cellStyle name="20% - Accent2 12 3" xfId="23475" xr:uid="{00000000-0005-0000-0000-0000AA5B0000}"/>
    <cellStyle name="20% - Accent2 12 3 2" xfId="23476" xr:uid="{00000000-0005-0000-0000-0000AB5B0000}"/>
    <cellStyle name="20% - Accent2 12 3 2 2" xfId="23477" xr:uid="{00000000-0005-0000-0000-0000AC5B0000}"/>
    <cellStyle name="20% - Accent2 12 3 3" xfId="23478" xr:uid="{00000000-0005-0000-0000-0000AD5B0000}"/>
    <cellStyle name="20% - Accent2 12 3 3 2" xfId="23479" xr:uid="{00000000-0005-0000-0000-0000AE5B0000}"/>
    <cellStyle name="20% - Accent2 12 3 4" xfId="23480" xr:uid="{00000000-0005-0000-0000-0000AF5B0000}"/>
    <cellStyle name="20% - Accent2 12 4" xfId="23481" xr:uid="{00000000-0005-0000-0000-0000B05B0000}"/>
    <cellStyle name="20% - Accent2 12 4 2" xfId="23482" xr:uid="{00000000-0005-0000-0000-0000B15B0000}"/>
    <cellStyle name="20% - Accent2 12 5" xfId="23483" xr:uid="{00000000-0005-0000-0000-0000B25B0000}"/>
    <cellStyle name="20% - Accent2 12 5 2" xfId="23484" xr:uid="{00000000-0005-0000-0000-0000B35B0000}"/>
    <cellStyle name="20% - Accent2 12 6" xfId="23485" xr:uid="{00000000-0005-0000-0000-0000B45B0000}"/>
    <cellStyle name="20% - Accent2 120" xfId="23486" xr:uid="{00000000-0005-0000-0000-0000B55B0000}"/>
    <cellStyle name="20% - Accent2 120 2" xfId="23487" xr:uid="{00000000-0005-0000-0000-0000B65B0000}"/>
    <cellStyle name="20% - Accent2 121" xfId="23488" xr:uid="{00000000-0005-0000-0000-0000B75B0000}"/>
    <cellStyle name="20% - Accent2 121 2" xfId="23489" xr:uid="{00000000-0005-0000-0000-0000B85B0000}"/>
    <cellStyle name="20% - Accent2 122" xfId="23490" xr:uid="{00000000-0005-0000-0000-0000B95B0000}"/>
    <cellStyle name="20% - Accent2 122 2" xfId="23491" xr:uid="{00000000-0005-0000-0000-0000BA5B0000}"/>
    <cellStyle name="20% - Accent2 123" xfId="23492" xr:uid="{00000000-0005-0000-0000-0000BB5B0000}"/>
    <cellStyle name="20% - Accent2 123 2" xfId="23493" xr:uid="{00000000-0005-0000-0000-0000BC5B0000}"/>
    <cellStyle name="20% - Accent2 124" xfId="23494" xr:uid="{00000000-0005-0000-0000-0000BD5B0000}"/>
    <cellStyle name="20% - Accent2 124 2" xfId="23495" xr:uid="{00000000-0005-0000-0000-0000BE5B0000}"/>
    <cellStyle name="20% - Accent2 125" xfId="23496" xr:uid="{00000000-0005-0000-0000-0000BF5B0000}"/>
    <cellStyle name="20% - Accent2 125 2" xfId="23497" xr:uid="{00000000-0005-0000-0000-0000C05B0000}"/>
    <cellStyle name="20% - Accent2 126" xfId="23498" xr:uid="{00000000-0005-0000-0000-0000C15B0000}"/>
    <cellStyle name="20% - Accent2 126 2" xfId="23499" xr:uid="{00000000-0005-0000-0000-0000C25B0000}"/>
    <cellStyle name="20% - Accent2 127" xfId="23500" xr:uid="{00000000-0005-0000-0000-0000C35B0000}"/>
    <cellStyle name="20% - Accent2 127 2" xfId="23501" xr:uid="{00000000-0005-0000-0000-0000C45B0000}"/>
    <cellStyle name="20% - Accent2 128" xfId="23502" xr:uid="{00000000-0005-0000-0000-0000C55B0000}"/>
    <cellStyle name="20% - Accent2 128 2" xfId="23503" xr:uid="{00000000-0005-0000-0000-0000C65B0000}"/>
    <cellStyle name="20% - Accent2 129" xfId="23504" xr:uid="{00000000-0005-0000-0000-0000C75B0000}"/>
    <cellStyle name="20% - Accent2 129 2" xfId="23505" xr:uid="{00000000-0005-0000-0000-0000C85B0000}"/>
    <cellStyle name="20% - Accent2 13" xfId="23506" xr:uid="{00000000-0005-0000-0000-0000C95B0000}"/>
    <cellStyle name="20% - Accent2 13 2" xfId="23507" xr:uid="{00000000-0005-0000-0000-0000CA5B0000}"/>
    <cellStyle name="20% - Accent2 13 2 2" xfId="23508" xr:uid="{00000000-0005-0000-0000-0000CB5B0000}"/>
    <cellStyle name="20% - Accent2 13 3" xfId="23509" xr:uid="{00000000-0005-0000-0000-0000CC5B0000}"/>
    <cellStyle name="20% - Accent2 13 3 2" xfId="23510" xr:uid="{00000000-0005-0000-0000-0000CD5B0000}"/>
    <cellStyle name="20% - Accent2 13 4" xfId="23511" xr:uid="{00000000-0005-0000-0000-0000CE5B0000}"/>
    <cellStyle name="20% - Accent2 130" xfId="23512" xr:uid="{00000000-0005-0000-0000-0000CF5B0000}"/>
    <cellStyle name="20% - Accent2 130 2" xfId="23513" xr:uid="{00000000-0005-0000-0000-0000D05B0000}"/>
    <cellStyle name="20% - Accent2 131" xfId="23514" xr:uid="{00000000-0005-0000-0000-0000D15B0000}"/>
    <cellStyle name="20% - Accent2 131 2" xfId="23515" xr:uid="{00000000-0005-0000-0000-0000D25B0000}"/>
    <cellStyle name="20% - Accent2 132" xfId="23516" xr:uid="{00000000-0005-0000-0000-0000D35B0000}"/>
    <cellStyle name="20% - Accent2 132 2" xfId="23517" xr:uid="{00000000-0005-0000-0000-0000D45B0000}"/>
    <cellStyle name="20% - Accent2 133" xfId="23518" xr:uid="{00000000-0005-0000-0000-0000D55B0000}"/>
    <cellStyle name="20% - Accent2 133 2" xfId="23519" xr:uid="{00000000-0005-0000-0000-0000D65B0000}"/>
    <cellStyle name="20% - Accent2 134" xfId="23520" xr:uid="{00000000-0005-0000-0000-0000D75B0000}"/>
    <cellStyle name="20% - Accent2 134 2" xfId="23521" xr:uid="{00000000-0005-0000-0000-0000D85B0000}"/>
    <cellStyle name="20% - Accent2 135" xfId="23522" xr:uid="{00000000-0005-0000-0000-0000D95B0000}"/>
    <cellStyle name="20% - Accent2 135 2" xfId="23523" xr:uid="{00000000-0005-0000-0000-0000DA5B0000}"/>
    <cellStyle name="20% - Accent2 136" xfId="23524" xr:uid="{00000000-0005-0000-0000-0000DB5B0000}"/>
    <cellStyle name="20% - Accent2 136 2" xfId="23525" xr:uid="{00000000-0005-0000-0000-0000DC5B0000}"/>
    <cellStyle name="20% - Accent2 137" xfId="23526" xr:uid="{00000000-0005-0000-0000-0000DD5B0000}"/>
    <cellStyle name="20% - Accent2 137 2" xfId="23527" xr:uid="{00000000-0005-0000-0000-0000DE5B0000}"/>
    <cellStyle name="20% - Accent2 138" xfId="23528" xr:uid="{00000000-0005-0000-0000-0000DF5B0000}"/>
    <cellStyle name="20% - Accent2 138 2" xfId="23529" xr:uid="{00000000-0005-0000-0000-0000E05B0000}"/>
    <cellStyle name="20% - Accent2 139" xfId="23530" xr:uid="{00000000-0005-0000-0000-0000E15B0000}"/>
    <cellStyle name="20% - Accent2 139 2" xfId="23531" xr:uid="{00000000-0005-0000-0000-0000E25B0000}"/>
    <cellStyle name="20% - Accent2 14" xfId="23532" xr:uid="{00000000-0005-0000-0000-0000E35B0000}"/>
    <cellStyle name="20% - Accent2 14 2" xfId="23533" xr:uid="{00000000-0005-0000-0000-0000E45B0000}"/>
    <cellStyle name="20% - Accent2 14 2 2" xfId="23534" xr:uid="{00000000-0005-0000-0000-0000E55B0000}"/>
    <cellStyle name="20% - Accent2 14 3" xfId="23535" xr:uid="{00000000-0005-0000-0000-0000E65B0000}"/>
    <cellStyle name="20% - Accent2 14 3 2" xfId="23536" xr:uid="{00000000-0005-0000-0000-0000E75B0000}"/>
    <cellStyle name="20% - Accent2 14 4" xfId="23537" xr:uid="{00000000-0005-0000-0000-0000E85B0000}"/>
    <cellStyle name="20% - Accent2 140" xfId="23538" xr:uid="{00000000-0005-0000-0000-0000E95B0000}"/>
    <cellStyle name="20% - Accent2 140 2" xfId="23539" xr:uid="{00000000-0005-0000-0000-0000EA5B0000}"/>
    <cellStyle name="20% - Accent2 141" xfId="23540" xr:uid="{00000000-0005-0000-0000-0000EB5B0000}"/>
    <cellStyle name="20% - Accent2 141 2" xfId="23541" xr:uid="{00000000-0005-0000-0000-0000EC5B0000}"/>
    <cellStyle name="20% - Accent2 142" xfId="23542" xr:uid="{00000000-0005-0000-0000-0000ED5B0000}"/>
    <cellStyle name="20% - Accent2 142 2" xfId="23543" xr:uid="{00000000-0005-0000-0000-0000EE5B0000}"/>
    <cellStyle name="20% - Accent2 143" xfId="23544" xr:uid="{00000000-0005-0000-0000-0000EF5B0000}"/>
    <cellStyle name="20% - Accent2 143 2" xfId="23545" xr:uid="{00000000-0005-0000-0000-0000F05B0000}"/>
    <cellStyle name="20% - Accent2 144" xfId="23546" xr:uid="{00000000-0005-0000-0000-0000F15B0000}"/>
    <cellStyle name="20% - Accent2 144 2" xfId="23547" xr:uid="{00000000-0005-0000-0000-0000F25B0000}"/>
    <cellStyle name="20% - Accent2 145" xfId="23548" xr:uid="{00000000-0005-0000-0000-0000F35B0000}"/>
    <cellStyle name="20% - Accent2 145 2" xfId="23549" xr:uid="{00000000-0005-0000-0000-0000F45B0000}"/>
    <cellStyle name="20% - Accent2 146" xfId="23550" xr:uid="{00000000-0005-0000-0000-0000F55B0000}"/>
    <cellStyle name="20% - Accent2 146 2" xfId="23551" xr:uid="{00000000-0005-0000-0000-0000F65B0000}"/>
    <cellStyle name="20% - Accent2 147" xfId="23552" xr:uid="{00000000-0005-0000-0000-0000F75B0000}"/>
    <cellStyle name="20% - Accent2 147 2" xfId="23553" xr:uid="{00000000-0005-0000-0000-0000F85B0000}"/>
    <cellStyle name="20% - Accent2 148" xfId="23554" xr:uid="{00000000-0005-0000-0000-0000F95B0000}"/>
    <cellStyle name="20% - Accent2 148 2" xfId="23555" xr:uid="{00000000-0005-0000-0000-0000FA5B0000}"/>
    <cellStyle name="20% - Accent2 149" xfId="23556" xr:uid="{00000000-0005-0000-0000-0000FB5B0000}"/>
    <cellStyle name="20% - Accent2 149 2" xfId="23557" xr:uid="{00000000-0005-0000-0000-0000FC5B0000}"/>
    <cellStyle name="20% - Accent2 15" xfId="23558" xr:uid="{00000000-0005-0000-0000-0000FD5B0000}"/>
    <cellStyle name="20% - Accent2 15 2" xfId="23559" xr:uid="{00000000-0005-0000-0000-0000FE5B0000}"/>
    <cellStyle name="20% - Accent2 15 2 2" xfId="23560" xr:uid="{00000000-0005-0000-0000-0000FF5B0000}"/>
    <cellStyle name="20% - Accent2 15 3" xfId="23561" xr:uid="{00000000-0005-0000-0000-0000005C0000}"/>
    <cellStyle name="20% - Accent2 15 3 2" xfId="23562" xr:uid="{00000000-0005-0000-0000-0000015C0000}"/>
    <cellStyle name="20% - Accent2 15 4" xfId="23563" xr:uid="{00000000-0005-0000-0000-0000025C0000}"/>
    <cellStyle name="20% - Accent2 150" xfId="23564" xr:uid="{00000000-0005-0000-0000-0000035C0000}"/>
    <cellStyle name="20% - Accent2 150 2" xfId="23565" xr:uid="{00000000-0005-0000-0000-0000045C0000}"/>
    <cellStyle name="20% - Accent2 151" xfId="23566" xr:uid="{00000000-0005-0000-0000-0000055C0000}"/>
    <cellStyle name="20% - Accent2 151 2" xfId="23567" xr:uid="{00000000-0005-0000-0000-0000065C0000}"/>
    <cellStyle name="20% - Accent2 152" xfId="23568" xr:uid="{00000000-0005-0000-0000-0000075C0000}"/>
    <cellStyle name="20% - Accent2 152 2" xfId="23569" xr:uid="{00000000-0005-0000-0000-0000085C0000}"/>
    <cellStyle name="20% - Accent2 153" xfId="23570" xr:uid="{00000000-0005-0000-0000-0000095C0000}"/>
    <cellStyle name="20% - Accent2 153 2" xfId="23571" xr:uid="{00000000-0005-0000-0000-00000A5C0000}"/>
    <cellStyle name="20% - Accent2 154" xfId="23572" xr:uid="{00000000-0005-0000-0000-00000B5C0000}"/>
    <cellStyle name="20% - Accent2 154 2" xfId="23573" xr:uid="{00000000-0005-0000-0000-00000C5C0000}"/>
    <cellStyle name="20% - Accent2 155" xfId="23574" xr:uid="{00000000-0005-0000-0000-00000D5C0000}"/>
    <cellStyle name="20% - Accent2 155 2" xfId="23575" xr:uid="{00000000-0005-0000-0000-00000E5C0000}"/>
    <cellStyle name="20% - Accent2 156" xfId="23576" xr:uid="{00000000-0005-0000-0000-00000F5C0000}"/>
    <cellStyle name="20% - Accent2 156 2" xfId="23577" xr:uid="{00000000-0005-0000-0000-0000105C0000}"/>
    <cellStyle name="20% - Accent2 157" xfId="23578" xr:uid="{00000000-0005-0000-0000-0000115C0000}"/>
    <cellStyle name="20% - Accent2 157 2" xfId="23579" xr:uid="{00000000-0005-0000-0000-0000125C0000}"/>
    <cellStyle name="20% - Accent2 158" xfId="23580" xr:uid="{00000000-0005-0000-0000-0000135C0000}"/>
    <cellStyle name="20% - Accent2 158 2" xfId="23581" xr:uid="{00000000-0005-0000-0000-0000145C0000}"/>
    <cellStyle name="20% - Accent2 159" xfId="23582" xr:uid="{00000000-0005-0000-0000-0000155C0000}"/>
    <cellStyle name="20% - Accent2 159 2" xfId="23583" xr:uid="{00000000-0005-0000-0000-0000165C0000}"/>
    <cellStyle name="20% - Accent2 16" xfId="23584" xr:uid="{00000000-0005-0000-0000-0000175C0000}"/>
    <cellStyle name="20% - Accent2 16 2" xfId="23585" xr:uid="{00000000-0005-0000-0000-0000185C0000}"/>
    <cellStyle name="20% - Accent2 16 2 2" xfId="23586" xr:uid="{00000000-0005-0000-0000-0000195C0000}"/>
    <cellStyle name="20% - Accent2 16 3" xfId="23587" xr:uid="{00000000-0005-0000-0000-00001A5C0000}"/>
    <cellStyle name="20% - Accent2 16 3 2" xfId="23588" xr:uid="{00000000-0005-0000-0000-00001B5C0000}"/>
    <cellStyle name="20% - Accent2 16 4" xfId="23589" xr:uid="{00000000-0005-0000-0000-00001C5C0000}"/>
    <cellStyle name="20% - Accent2 160" xfId="23590" xr:uid="{00000000-0005-0000-0000-00001D5C0000}"/>
    <cellStyle name="20% - Accent2 160 2" xfId="23591" xr:uid="{00000000-0005-0000-0000-00001E5C0000}"/>
    <cellStyle name="20% - Accent2 161" xfId="23592" xr:uid="{00000000-0005-0000-0000-00001F5C0000}"/>
    <cellStyle name="20% - Accent2 161 2" xfId="23593" xr:uid="{00000000-0005-0000-0000-0000205C0000}"/>
    <cellStyle name="20% - Accent2 162" xfId="23594" xr:uid="{00000000-0005-0000-0000-0000215C0000}"/>
    <cellStyle name="20% - Accent2 162 2" xfId="23595" xr:uid="{00000000-0005-0000-0000-0000225C0000}"/>
    <cellStyle name="20% - Accent2 163" xfId="23596" xr:uid="{00000000-0005-0000-0000-0000235C0000}"/>
    <cellStyle name="20% - Accent2 163 2" xfId="23597" xr:uid="{00000000-0005-0000-0000-0000245C0000}"/>
    <cellStyle name="20% - Accent2 164" xfId="23598" xr:uid="{00000000-0005-0000-0000-0000255C0000}"/>
    <cellStyle name="20% - Accent2 164 2" xfId="23599" xr:uid="{00000000-0005-0000-0000-0000265C0000}"/>
    <cellStyle name="20% - Accent2 165" xfId="23600" xr:uid="{00000000-0005-0000-0000-0000275C0000}"/>
    <cellStyle name="20% - Accent2 165 2" xfId="23601" xr:uid="{00000000-0005-0000-0000-0000285C0000}"/>
    <cellStyle name="20% - Accent2 166" xfId="23602" xr:uid="{00000000-0005-0000-0000-0000295C0000}"/>
    <cellStyle name="20% - Accent2 166 2" xfId="23603" xr:uid="{00000000-0005-0000-0000-00002A5C0000}"/>
    <cellStyle name="20% - Accent2 167" xfId="23604" xr:uid="{00000000-0005-0000-0000-00002B5C0000}"/>
    <cellStyle name="20% - Accent2 167 2" xfId="23605" xr:uid="{00000000-0005-0000-0000-00002C5C0000}"/>
    <cellStyle name="20% - Accent2 168" xfId="23606" xr:uid="{00000000-0005-0000-0000-00002D5C0000}"/>
    <cellStyle name="20% - Accent2 168 2" xfId="23607" xr:uid="{00000000-0005-0000-0000-00002E5C0000}"/>
    <cellStyle name="20% - Accent2 169" xfId="23608" xr:uid="{00000000-0005-0000-0000-00002F5C0000}"/>
    <cellStyle name="20% - Accent2 169 2" xfId="23609" xr:uid="{00000000-0005-0000-0000-0000305C0000}"/>
    <cellStyle name="20% - Accent2 17" xfId="23610" xr:uid="{00000000-0005-0000-0000-0000315C0000}"/>
    <cellStyle name="20% - Accent2 17 2" xfId="23611" xr:uid="{00000000-0005-0000-0000-0000325C0000}"/>
    <cellStyle name="20% - Accent2 17 2 2" xfId="23612" xr:uid="{00000000-0005-0000-0000-0000335C0000}"/>
    <cellStyle name="20% - Accent2 17 3" xfId="23613" xr:uid="{00000000-0005-0000-0000-0000345C0000}"/>
    <cellStyle name="20% - Accent2 17 3 2" xfId="23614" xr:uid="{00000000-0005-0000-0000-0000355C0000}"/>
    <cellStyle name="20% - Accent2 17 4" xfId="23615" xr:uid="{00000000-0005-0000-0000-0000365C0000}"/>
    <cellStyle name="20% - Accent2 170" xfId="23616" xr:uid="{00000000-0005-0000-0000-0000375C0000}"/>
    <cellStyle name="20% - Accent2 170 2" xfId="23617" xr:uid="{00000000-0005-0000-0000-0000385C0000}"/>
    <cellStyle name="20% - Accent2 171" xfId="23618" xr:uid="{00000000-0005-0000-0000-0000395C0000}"/>
    <cellStyle name="20% - Accent2 171 2" xfId="23619" xr:uid="{00000000-0005-0000-0000-00003A5C0000}"/>
    <cellStyle name="20% - Accent2 172" xfId="23620" xr:uid="{00000000-0005-0000-0000-00003B5C0000}"/>
    <cellStyle name="20% - Accent2 172 2" xfId="23621" xr:uid="{00000000-0005-0000-0000-00003C5C0000}"/>
    <cellStyle name="20% - Accent2 173" xfId="23622" xr:uid="{00000000-0005-0000-0000-00003D5C0000}"/>
    <cellStyle name="20% - Accent2 173 2" xfId="23623" xr:uid="{00000000-0005-0000-0000-00003E5C0000}"/>
    <cellStyle name="20% - Accent2 174" xfId="23624" xr:uid="{00000000-0005-0000-0000-00003F5C0000}"/>
    <cellStyle name="20% - Accent2 174 2" xfId="23625" xr:uid="{00000000-0005-0000-0000-0000405C0000}"/>
    <cellStyle name="20% - Accent2 175" xfId="23626" xr:uid="{00000000-0005-0000-0000-0000415C0000}"/>
    <cellStyle name="20% - Accent2 175 2" xfId="23627" xr:uid="{00000000-0005-0000-0000-0000425C0000}"/>
    <cellStyle name="20% - Accent2 176" xfId="23628" xr:uid="{00000000-0005-0000-0000-0000435C0000}"/>
    <cellStyle name="20% - Accent2 176 2" xfId="23629" xr:uid="{00000000-0005-0000-0000-0000445C0000}"/>
    <cellStyle name="20% - Accent2 177" xfId="23630" xr:uid="{00000000-0005-0000-0000-0000455C0000}"/>
    <cellStyle name="20% - Accent2 177 2" xfId="23631" xr:uid="{00000000-0005-0000-0000-0000465C0000}"/>
    <cellStyle name="20% - Accent2 178" xfId="23632" xr:uid="{00000000-0005-0000-0000-0000475C0000}"/>
    <cellStyle name="20% - Accent2 178 2" xfId="23633" xr:uid="{00000000-0005-0000-0000-0000485C0000}"/>
    <cellStyle name="20% - Accent2 179" xfId="23634" xr:uid="{00000000-0005-0000-0000-0000495C0000}"/>
    <cellStyle name="20% - Accent2 179 2" xfId="23635" xr:uid="{00000000-0005-0000-0000-00004A5C0000}"/>
    <cellStyle name="20% - Accent2 18" xfId="23636" xr:uid="{00000000-0005-0000-0000-00004B5C0000}"/>
    <cellStyle name="20% - Accent2 18 2" xfId="23637" xr:uid="{00000000-0005-0000-0000-00004C5C0000}"/>
    <cellStyle name="20% - Accent2 18 2 2" xfId="23638" xr:uid="{00000000-0005-0000-0000-00004D5C0000}"/>
    <cellStyle name="20% - Accent2 18 3" xfId="23639" xr:uid="{00000000-0005-0000-0000-00004E5C0000}"/>
    <cellStyle name="20% - Accent2 18 3 2" xfId="23640" xr:uid="{00000000-0005-0000-0000-00004F5C0000}"/>
    <cellStyle name="20% - Accent2 18 4" xfId="23641" xr:uid="{00000000-0005-0000-0000-0000505C0000}"/>
    <cellStyle name="20% - Accent2 180" xfId="23642" xr:uid="{00000000-0005-0000-0000-0000515C0000}"/>
    <cellStyle name="20% - Accent2 180 2" xfId="23643" xr:uid="{00000000-0005-0000-0000-0000525C0000}"/>
    <cellStyle name="20% - Accent2 181" xfId="23644" xr:uid="{00000000-0005-0000-0000-0000535C0000}"/>
    <cellStyle name="20% - Accent2 181 2" xfId="23645" xr:uid="{00000000-0005-0000-0000-0000545C0000}"/>
    <cellStyle name="20% - Accent2 182" xfId="23646" xr:uid="{00000000-0005-0000-0000-0000555C0000}"/>
    <cellStyle name="20% - Accent2 182 2" xfId="23647" xr:uid="{00000000-0005-0000-0000-0000565C0000}"/>
    <cellStyle name="20% - Accent2 183" xfId="23648" xr:uid="{00000000-0005-0000-0000-0000575C0000}"/>
    <cellStyle name="20% - Accent2 183 2" xfId="23649" xr:uid="{00000000-0005-0000-0000-0000585C0000}"/>
    <cellStyle name="20% - Accent2 184" xfId="23650" xr:uid="{00000000-0005-0000-0000-0000595C0000}"/>
    <cellStyle name="20% - Accent2 184 2" xfId="23651" xr:uid="{00000000-0005-0000-0000-00005A5C0000}"/>
    <cellStyle name="20% - Accent2 185" xfId="23652" xr:uid="{00000000-0005-0000-0000-00005B5C0000}"/>
    <cellStyle name="20% - Accent2 185 2" xfId="23653" xr:uid="{00000000-0005-0000-0000-00005C5C0000}"/>
    <cellStyle name="20% - Accent2 186" xfId="23654" xr:uid="{00000000-0005-0000-0000-00005D5C0000}"/>
    <cellStyle name="20% - Accent2 186 2" xfId="23655" xr:uid="{00000000-0005-0000-0000-00005E5C0000}"/>
    <cellStyle name="20% - Accent2 187" xfId="23656" xr:uid="{00000000-0005-0000-0000-00005F5C0000}"/>
    <cellStyle name="20% - Accent2 187 2" xfId="23657" xr:uid="{00000000-0005-0000-0000-0000605C0000}"/>
    <cellStyle name="20% - Accent2 188" xfId="23658" xr:uid="{00000000-0005-0000-0000-0000615C0000}"/>
    <cellStyle name="20% - Accent2 188 2" xfId="23659" xr:uid="{00000000-0005-0000-0000-0000625C0000}"/>
    <cellStyle name="20% - Accent2 189" xfId="23660" xr:uid="{00000000-0005-0000-0000-0000635C0000}"/>
    <cellStyle name="20% - Accent2 189 2" xfId="23661" xr:uid="{00000000-0005-0000-0000-0000645C0000}"/>
    <cellStyle name="20% - Accent2 19" xfId="23662" xr:uid="{00000000-0005-0000-0000-0000655C0000}"/>
    <cellStyle name="20% - Accent2 19 2" xfId="23663" xr:uid="{00000000-0005-0000-0000-0000665C0000}"/>
    <cellStyle name="20% - Accent2 19 2 2" xfId="23664" xr:uid="{00000000-0005-0000-0000-0000675C0000}"/>
    <cellStyle name="20% - Accent2 19 3" xfId="23665" xr:uid="{00000000-0005-0000-0000-0000685C0000}"/>
    <cellStyle name="20% - Accent2 19 3 2" xfId="23666" xr:uid="{00000000-0005-0000-0000-0000695C0000}"/>
    <cellStyle name="20% - Accent2 19 4" xfId="23667" xr:uid="{00000000-0005-0000-0000-00006A5C0000}"/>
    <cellStyle name="20% - Accent2 190" xfId="23668" xr:uid="{00000000-0005-0000-0000-00006B5C0000}"/>
    <cellStyle name="20% - Accent2 190 2" xfId="23669" xr:uid="{00000000-0005-0000-0000-00006C5C0000}"/>
    <cellStyle name="20% - Accent2 191" xfId="23670" xr:uid="{00000000-0005-0000-0000-00006D5C0000}"/>
    <cellStyle name="20% - Accent2 191 2" xfId="23671" xr:uid="{00000000-0005-0000-0000-00006E5C0000}"/>
    <cellStyle name="20% - Accent2 192" xfId="23672" xr:uid="{00000000-0005-0000-0000-00006F5C0000}"/>
    <cellStyle name="20% - Accent2 192 2" xfId="23673" xr:uid="{00000000-0005-0000-0000-0000705C0000}"/>
    <cellStyle name="20% - Accent2 193" xfId="23674" xr:uid="{00000000-0005-0000-0000-0000715C0000}"/>
    <cellStyle name="20% - Accent2 193 2" xfId="23675" xr:uid="{00000000-0005-0000-0000-0000725C0000}"/>
    <cellStyle name="20% - Accent2 194" xfId="23676" xr:uid="{00000000-0005-0000-0000-0000735C0000}"/>
    <cellStyle name="20% - Accent2 194 2" xfId="23677" xr:uid="{00000000-0005-0000-0000-0000745C0000}"/>
    <cellStyle name="20% - Accent2 195" xfId="23678" xr:uid="{00000000-0005-0000-0000-0000755C0000}"/>
    <cellStyle name="20% - Accent2 195 2" xfId="23679" xr:uid="{00000000-0005-0000-0000-0000765C0000}"/>
    <cellStyle name="20% - Accent2 196" xfId="23680" xr:uid="{00000000-0005-0000-0000-0000775C0000}"/>
    <cellStyle name="20% - Accent2 196 2" xfId="23681" xr:uid="{00000000-0005-0000-0000-0000785C0000}"/>
    <cellStyle name="20% - Accent2 197" xfId="23682" xr:uid="{00000000-0005-0000-0000-0000795C0000}"/>
    <cellStyle name="20% - Accent2 197 2" xfId="23683" xr:uid="{00000000-0005-0000-0000-00007A5C0000}"/>
    <cellStyle name="20% - Accent2 198" xfId="23684" xr:uid="{00000000-0005-0000-0000-00007B5C0000}"/>
    <cellStyle name="20% - Accent2 198 2" xfId="23685" xr:uid="{00000000-0005-0000-0000-00007C5C0000}"/>
    <cellStyle name="20% - Accent2 2" xfId="23686" xr:uid="{00000000-0005-0000-0000-00007D5C0000}"/>
    <cellStyle name="20% - Accent2 2 2" xfId="23687" xr:uid="{00000000-0005-0000-0000-00007E5C0000}"/>
    <cellStyle name="20% - Accent2 2 2 2" xfId="23688" xr:uid="{00000000-0005-0000-0000-00007F5C0000}"/>
    <cellStyle name="20% - Accent2 2 2 2 2" xfId="23689" xr:uid="{00000000-0005-0000-0000-0000805C0000}"/>
    <cellStyle name="20% - Accent2 2 2 3" xfId="23690" xr:uid="{00000000-0005-0000-0000-0000815C0000}"/>
    <cellStyle name="20% - Accent2 2 2 3 2" xfId="23691" xr:uid="{00000000-0005-0000-0000-0000825C0000}"/>
    <cellStyle name="20% - Accent2 2 2 4" xfId="23692" xr:uid="{00000000-0005-0000-0000-0000835C0000}"/>
    <cellStyle name="20% - Accent2 2 2 4 2" xfId="23693" xr:uid="{00000000-0005-0000-0000-0000845C0000}"/>
    <cellStyle name="20% - Accent2 2 2 5" xfId="23694" xr:uid="{00000000-0005-0000-0000-0000855C0000}"/>
    <cellStyle name="20% - Accent2 2 2 5 2" xfId="23695" xr:uid="{00000000-0005-0000-0000-0000865C0000}"/>
    <cellStyle name="20% - Accent2 2 2 6" xfId="23696" xr:uid="{00000000-0005-0000-0000-0000875C0000}"/>
    <cellStyle name="20% - Accent2 2 3" xfId="23697" xr:uid="{00000000-0005-0000-0000-0000885C0000}"/>
    <cellStyle name="20% - Accent2 2 3 2" xfId="23698" xr:uid="{00000000-0005-0000-0000-0000895C0000}"/>
    <cellStyle name="20% - Accent2 2 4" xfId="23699" xr:uid="{00000000-0005-0000-0000-00008A5C0000}"/>
    <cellStyle name="20% - Accent2 2 4 2" xfId="23700" xr:uid="{00000000-0005-0000-0000-00008B5C0000}"/>
    <cellStyle name="20% - Accent2 2 5" xfId="23701" xr:uid="{00000000-0005-0000-0000-00008C5C0000}"/>
    <cellStyle name="20% - Accent2 2 5 2" xfId="23702" xr:uid="{00000000-0005-0000-0000-00008D5C0000}"/>
    <cellStyle name="20% - Accent2 2 6" xfId="23703" xr:uid="{00000000-0005-0000-0000-00008E5C0000}"/>
    <cellStyle name="20% - Accent2 2 6 2" xfId="23704" xr:uid="{00000000-0005-0000-0000-00008F5C0000}"/>
    <cellStyle name="20% - Accent2 2 7" xfId="23705" xr:uid="{00000000-0005-0000-0000-0000905C0000}"/>
    <cellStyle name="20% - Accent2 20" xfId="23706" xr:uid="{00000000-0005-0000-0000-0000915C0000}"/>
    <cellStyle name="20% - Accent2 20 2" xfId="23707" xr:uid="{00000000-0005-0000-0000-0000925C0000}"/>
    <cellStyle name="20% - Accent2 20 2 2" xfId="23708" xr:uid="{00000000-0005-0000-0000-0000935C0000}"/>
    <cellStyle name="20% - Accent2 20 3" xfId="23709" xr:uid="{00000000-0005-0000-0000-0000945C0000}"/>
    <cellStyle name="20% - Accent2 20 3 2" xfId="23710" xr:uid="{00000000-0005-0000-0000-0000955C0000}"/>
    <cellStyle name="20% - Accent2 20 4" xfId="23711" xr:uid="{00000000-0005-0000-0000-0000965C0000}"/>
    <cellStyle name="20% - Accent2 21" xfId="23712" xr:uid="{00000000-0005-0000-0000-0000975C0000}"/>
    <cellStyle name="20% - Accent2 21 2" xfId="23713" xr:uid="{00000000-0005-0000-0000-0000985C0000}"/>
    <cellStyle name="20% - Accent2 21 2 2" xfId="23714" xr:uid="{00000000-0005-0000-0000-0000995C0000}"/>
    <cellStyle name="20% - Accent2 21 3" xfId="23715" xr:uid="{00000000-0005-0000-0000-00009A5C0000}"/>
    <cellStyle name="20% - Accent2 21 3 2" xfId="23716" xr:uid="{00000000-0005-0000-0000-00009B5C0000}"/>
    <cellStyle name="20% - Accent2 21 4" xfId="23717" xr:uid="{00000000-0005-0000-0000-00009C5C0000}"/>
    <cellStyle name="20% - Accent2 22" xfId="23718" xr:uid="{00000000-0005-0000-0000-00009D5C0000}"/>
    <cellStyle name="20% - Accent2 22 2" xfId="23719" xr:uid="{00000000-0005-0000-0000-00009E5C0000}"/>
    <cellStyle name="20% - Accent2 22 2 2" xfId="23720" xr:uid="{00000000-0005-0000-0000-00009F5C0000}"/>
    <cellStyle name="20% - Accent2 22 3" xfId="23721" xr:uid="{00000000-0005-0000-0000-0000A05C0000}"/>
    <cellStyle name="20% - Accent2 22 3 2" xfId="23722" xr:uid="{00000000-0005-0000-0000-0000A15C0000}"/>
    <cellStyle name="20% - Accent2 22 4" xfId="23723" xr:uid="{00000000-0005-0000-0000-0000A25C0000}"/>
    <cellStyle name="20% - Accent2 23" xfId="23724" xr:uid="{00000000-0005-0000-0000-0000A35C0000}"/>
    <cellStyle name="20% - Accent2 23 2" xfId="23725" xr:uid="{00000000-0005-0000-0000-0000A45C0000}"/>
    <cellStyle name="20% - Accent2 23 2 2" xfId="23726" xr:uid="{00000000-0005-0000-0000-0000A55C0000}"/>
    <cellStyle name="20% - Accent2 23 3" xfId="23727" xr:uid="{00000000-0005-0000-0000-0000A65C0000}"/>
    <cellStyle name="20% - Accent2 23 3 2" xfId="23728" xr:uid="{00000000-0005-0000-0000-0000A75C0000}"/>
    <cellStyle name="20% - Accent2 23 4" xfId="23729" xr:uid="{00000000-0005-0000-0000-0000A85C0000}"/>
    <cellStyle name="20% - Accent2 24" xfId="23730" xr:uid="{00000000-0005-0000-0000-0000A95C0000}"/>
    <cellStyle name="20% - Accent2 24 2" xfId="23731" xr:uid="{00000000-0005-0000-0000-0000AA5C0000}"/>
    <cellStyle name="20% - Accent2 24 2 2" xfId="23732" xr:uid="{00000000-0005-0000-0000-0000AB5C0000}"/>
    <cellStyle name="20% - Accent2 24 3" xfId="23733" xr:uid="{00000000-0005-0000-0000-0000AC5C0000}"/>
    <cellStyle name="20% - Accent2 24 3 2" xfId="23734" xr:uid="{00000000-0005-0000-0000-0000AD5C0000}"/>
    <cellStyle name="20% - Accent2 24 4" xfId="23735" xr:uid="{00000000-0005-0000-0000-0000AE5C0000}"/>
    <cellStyle name="20% - Accent2 25" xfId="23736" xr:uid="{00000000-0005-0000-0000-0000AF5C0000}"/>
    <cellStyle name="20% - Accent2 25 2" xfId="23737" xr:uid="{00000000-0005-0000-0000-0000B05C0000}"/>
    <cellStyle name="20% - Accent2 25 2 2" xfId="23738" xr:uid="{00000000-0005-0000-0000-0000B15C0000}"/>
    <cellStyle name="20% - Accent2 25 3" xfId="23739" xr:uid="{00000000-0005-0000-0000-0000B25C0000}"/>
    <cellStyle name="20% - Accent2 25 3 2" xfId="23740" xr:uid="{00000000-0005-0000-0000-0000B35C0000}"/>
    <cellStyle name="20% - Accent2 25 4" xfId="23741" xr:uid="{00000000-0005-0000-0000-0000B45C0000}"/>
    <cellStyle name="20% - Accent2 26" xfId="23742" xr:uid="{00000000-0005-0000-0000-0000B55C0000}"/>
    <cellStyle name="20% - Accent2 26 2" xfId="23743" xr:uid="{00000000-0005-0000-0000-0000B65C0000}"/>
    <cellStyle name="20% - Accent2 26 2 2" xfId="23744" xr:uid="{00000000-0005-0000-0000-0000B75C0000}"/>
    <cellStyle name="20% - Accent2 26 3" xfId="23745" xr:uid="{00000000-0005-0000-0000-0000B85C0000}"/>
    <cellStyle name="20% - Accent2 26 3 2" xfId="23746" xr:uid="{00000000-0005-0000-0000-0000B95C0000}"/>
    <cellStyle name="20% - Accent2 26 4" xfId="23747" xr:uid="{00000000-0005-0000-0000-0000BA5C0000}"/>
    <cellStyle name="20% - Accent2 27" xfId="23748" xr:uid="{00000000-0005-0000-0000-0000BB5C0000}"/>
    <cellStyle name="20% - Accent2 27 2" xfId="23749" xr:uid="{00000000-0005-0000-0000-0000BC5C0000}"/>
    <cellStyle name="20% - Accent2 27 2 2" xfId="23750" xr:uid="{00000000-0005-0000-0000-0000BD5C0000}"/>
    <cellStyle name="20% - Accent2 27 3" xfId="23751" xr:uid="{00000000-0005-0000-0000-0000BE5C0000}"/>
    <cellStyle name="20% - Accent2 27 3 2" xfId="23752" xr:uid="{00000000-0005-0000-0000-0000BF5C0000}"/>
    <cellStyle name="20% - Accent2 27 4" xfId="23753" xr:uid="{00000000-0005-0000-0000-0000C05C0000}"/>
    <cellStyle name="20% - Accent2 28" xfId="23754" xr:uid="{00000000-0005-0000-0000-0000C15C0000}"/>
    <cellStyle name="20% - Accent2 28 2" xfId="23755" xr:uid="{00000000-0005-0000-0000-0000C25C0000}"/>
    <cellStyle name="20% - Accent2 28 2 2" xfId="23756" xr:uid="{00000000-0005-0000-0000-0000C35C0000}"/>
    <cellStyle name="20% - Accent2 28 3" xfId="23757" xr:uid="{00000000-0005-0000-0000-0000C45C0000}"/>
    <cellStyle name="20% - Accent2 28 3 2" xfId="23758" xr:uid="{00000000-0005-0000-0000-0000C55C0000}"/>
    <cellStyle name="20% - Accent2 28 4" xfId="23759" xr:uid="{00000000-0005-0000-0000-0000C65C0000}"/>
    <cellStyle name="20% - Accent2 29" xfId="23760" xr:uid="{00000000-0005-0000-0000-0000C75C0000}"/>
    <cellStyle name="20% - Accent2 29 2" xfId="23761" xr:uid="{00000000-0005-0000-0000-0000C85C0000}"/>
    <cellStyle name="20% - Accent2 29 2 2" xfId="23762" xr:uid="{00000000-0005-0000-0000-0000C95C0000}"/>
    <cellStyle name="20% - Accent2 29 3" xfId="23763" xr:uid="{00000000-0005-0000-0000-0000CA5C0000}"/>
    <cellStyle name="20% - Accent2 29 3 2" xfId="23764" xr:uid="{00000000-0005-0000-0000-0000CB5C0000}"/>
    <cellStyle name="20% - Accent2 29 4" xfId="23765" xr:uid="{00000000-0005-0000-0000-0000CC5C0000}"/>
    <cellStyle name="20% - Accent2 3" xfId="23766" xr:uid="{00000000-0005-0000-0000-0000CD5C0000}"/>
    <cellStyle name="20% - Accent2 3 2" xfId="23767" xr:uid="{00000000-0005-0000-0000-0000CE5C0000}"/>
    <cellStyle name="20% - Accent2 3 2 2" xfId="23768" xr:uid="{00000000-0005-0000-0000-0000CF5C0000}"/>
    <cellStyle name="20% - Accent2 3 3" xfId="23769" xr:uid="{00000000-0005-0000-0000-0000D05C0000}"/>
    <cellStyle name="20% - Accent2 3 3 2" xfId="23770" xr:uid="{00000000-0005-0000-0000-0000D15C0000}"/>
    <cellStyle name="20% - Accent2 3 4" xfId="23771" xr:uid="{00000000-0005-0000-0000-0000D25C0000}"/>
    <cellStyle name="20% - Accent2 3 4 2" xfId="23772" xr:uid="{00000000-0005-0000-0000-0000D35C0000}"/>
    <cellStyle name="20% - Accent2 3 5" xfId="23773" xr:uid="{00000000-0005-0000-0000-0000D45C0000}"/>
    <cellStyle name="20% - Accent2 3 5 2" xfId="23774" xr:uid="{00000000-0005-0000-0000-0000D55C0000}"/>
    <cellStyle name="20% - Accent2 3 6" xfId="23775" xr:uid="{00000000-0005-0000-0000-0000D65C0000}"/>
    <cellStyle name="20% - Accent2 3 6 2" xfId="23776" xr:uid="{00000000-0005-0000-0000-0000D75C0000}"/>
    <cellStyle name="20% - Accent2 3 7" xfId="23777" xr:uid="{00000000-0005-0000-0000-0000D85C0000}"/>
    <cellStyle name="20% - Accent2 30" xfId="23778" xr:uid="{00000000-0005-0000-0000-0000D95C0000}"/>
    <cellStyle name="20% - Accent2 30 2" xfId="23779" xr:uid="{00000000-0005-0000-0000-0000DA5C0000}"/>
    <cellStyle name="20% - Accent2 30 2 2" xfId="23780" xr:uid="{00000000-0005-0000-0000-0000DB5C0000}"/>
    <cellStyle name="20% - Accent2 30 3" xfId="23781" xr:uid="{00000000-0005-0000-0000-0000DC5C0000}"/>
    <cellStyle name="20% - Accent2 30 3 2" xfId="23782" xr:uid="{00000000-0005-0000-0000-0000DD5C0000}"/>
    <cellStyle name="20% - Accent2 30 4" xfId="23783" xr:uid="{00000000-0005-0000-0000-0000DE5C0000}"/>
    <cellStyle name="20% - Accent2 31" xfId="23784" xr:uid="{00000000-0005-0000-0000-0000DF5C0000}"/>
    <cellStyle name="20% - Accent2 31 2" xfId="23785" xr:uid="{00000000-0005-0000-0000-0000E05C0000}"/>
    <cellStyle name="20% - Accent2 31 2 2" xfId="23786" xr:uid="{00000000-0005-0000-0000-0000E15C0000}"/>
    <cellStyle name="20% - Accent2 31 3" xfId="23787" xr:uid="{00000000-0005-0000-0000-0000E25C0000}"/>
    <cellStyle name="20% - Accent2 31 3 2" xfId="23788" xr:uid="{00000000-0005-0000-0000-0000E35C0000}"/>
    <cellStyle name="20% - Accent2 31 4" xfId="23789" xr:uid="{00000000-0005-0000-0000-0000E45C0000}"/>
    <cellStyle name="20% - Accent2 32" xfId="23790" xr:uid="{00000000-0005-0000-0000-0000E55C0000}"/>
    <cellStyle name="20% - Accent2 32 2" xfId="23791" xr:uid="{00000000-0005-0000-0000-0000E65C0000}"/>
    <cellStyle name="20% - Accent2 32 2 2" xfId="23792" xr:uid="{00000000-0005-0000-0000-0000E75C0000}"/>
    <cellStyle name="20% - Accent2 32 3" xfId="23793" xr:uid="{00000000-0005-0000-0000-0000E85C0000}"/>
    <cellStyle name="20% - Accent2 32 3 2" xfId="23794" xr:uid="{00000000-0005-0000-0000-0000E95C0000}"/>
    <cellStyle name="20% - Accent2 32 4" xfId="23795" xr:uid="{00000000-0005-0000-0000-0000EA5C0000}"/>
    <cellStyle name="20% - Accent2 33" xfId="23796" xr:uid="{00000000-0005-0000-0000-0000EB5C0000}"/>
    <cellStyle name="20% - Accent2 33 2" xfId="23797" xr:uid="{00000000-0005-0000-0000-0000EC5C0000}"/>
    <cellStyle name="20% - Accent2 33 2 2" xfId="23798" xr:uid="{00000000-0005-0000-0000-0000ED5C0000}"/>
    <cellStyle name="20% - Accent2 33 3" xfId="23799" xr:uid="{00000000-0005-0000-0000-0000EE5C0000}"/>
    <cellStyle name="20% - Accent2 33 3 2" xfId="23800" xr:uid="{00000000-0005-0000-0000-0000EF5C0000}"/>
    <cellStyle name="20% - Accent2 33 4" xfId="23801" xr:uid="{00000000-0005-0000-0000-0000F05C0000}"/>
    <cellStyle name="20% - Accent2 34" xfId="23802" xr:uid="{00000000-0005-0000-0000-0000F15C0000}"/>
    <cellStyle name="20% - Accent2 34 2" xfId="23803" xr:uid="{00000000-0005-0000-0000-0000F25C0000}"/>
    <cellStyle name="20% - Accent2 34 2 2" xfId="23804" xr:uid="{00000000-0005-0000-0000-0000F35C0000}"/>
    <cellStyle name="20% - Accent2 34 3" xfId="23805" xr:uid="{00000000-0005-0000-0000-0000F45C0000}"/>
    <cellStyle name="20% - Accent2 34 3 2" xfId="23806" xr:uid="{00000000-0005-0000-0000-0000F55C0000}"/>
    <cellStyle name="20% - Accent2 34 4" xfId="23807" xr:uid="{00000000-0005-0000-0000-0000F65C0000}"/>
    <cellStyle name="20% - Accent2 35" xfId="23808" xr:uid="{00000000-0005-0000-0000-0000F75C0000}"/>
    <cellStyle name="20% - Accent2 35 2" xfId="23809" xr:uid="{00000000-0005-0000-0000-0000F85C0000}"/>
    <cellStyle name="20% - Accent2 35 2 2" xfId="23810" xr:uid="{00000000-0005-0000-0000-0000F95C0000}"/>
    <cellStyle name="20% - Accent2 35 3" xfId="23811" xr:uid="{00000000-0005-0000-0000-0000FA5C0000}"/>
    <cellStyle name="20% - Accent2 35 3 2" xfId="23812" xr:uid="{00000000-0005-0000-0000-0000FB5C0000}"/>
    <cellStyle name="20% - Accent2 35 4" xfId="23813" xr:uid="{00000000-0005-0000-0000-0000FC5C0000}"/>
    <cellStyle name="20% - Accent2 36" xfId="23814" xr:uid="{00000000-0005-0000-0000-0000FD5C0000}"/>
    <cellStyle name="20% - Accent2 36 2" xfId="23815" xr:uid="{00000000-0005-0000-0000-0000FE5C0000}"/>
    <cellStyle name="20% - Accent2 36 2 2" xfId="23816" xr:uid="{00000000-0005-0000-0000-0000FF5C0000}"/>
    <cellStyle name="20% - Accent2 36 3" xfId="23817" xr:uid="{00000000-0005-0000-0000-0000005D0000}"/>
    <cellStyle name="20% - Accent2 36 3 2" xfId="23818" xr:uid="{00000000-0005-0000-0000-0000015D0000}"/>
    <cellStyle name="20% - Accent2 36 4" xfId="23819" xr:uid="{00000000-0005-0000-0000-0000025D0000}"/>
    <cellStyle name="20% - Accent2 37" xfId="23820" xr:uid="{00000000-0005-0000-0000-0000035D0000}"/>
    <cellStyle name="20% - Accent2 37 2" xfId="23821" xr:uid="{00000000-0005-0000-0000-0000045D0000}"/>
    <cellStyle name="20% - Accent2 37 2 2" xfId="23822" xr:uid="{00000000-0005-0000-0000-0000055D0000}"/>
    <cellStyle name="20% - Accent2 37 3" xfId="23823" xr:uid="{00000000-0005-0000-0000-0000065D0000}"/>
    <cellStyle name="20% - Accent2 37 3 2" xfId="23824" xr:uid="{00000000-0005-0000-0000-0000075D0000}"/>
    <cellStyle name="20% - Accent2 37 4" xfId="23825" xr:uid="{00000000-0005-0000-0000-0000085D0000}"/>
    <cellStyle name="20% - Accent2 38" xfId="23826" xr:uid="{00000000-0005-0000-0000-0000095D0000}"/>
    <cellStyle name="20% - Accent2 38 2" xfId="23827" xr:uid="{00000000-0005-0000-0000-00000A5D0000}"/>
    <cellStyle name="20% - Accent2 38 2 2" xfId="23828" xr:uid="{00000000-0005-0000-0000-00000B5D0000}"/>
    <cellStyle name="20% - Accent2 38 3" xfId="23829" xr:uid="{00000000-0005-0000-0000-00000C5D0000}"/>
    <cellStyle name="20% - Accent2 38 3 2" xfId="23830" xr:uid="{00000000-0005-0000-0000-00000D5D0000}"/>
    <cellStyle name="20% - Accent2 38 4" xfId="23831" xr:uid="{00000000-0005-0000-0000-00000E5D0000}"/>
    <cellStyle name="20% - Accent2 39" xfId="23832" xr:uid="{00000000-0005-0000-0000-00000F5D0000}"/>
    <cellStyle name="20% - Accent2 39 2" xfId="23833" xr:uid="{00000000-0005-0000-0000-0000105D0000}"/>
    <cellStyle name="20% - Accent2 39 2 2" xfId="23834" xr:uid="{00000000-0005-0000-0000-0000115D0000}"/>
    <cellStyle name="20% - Accent2 39 3" xfId="23835" xr:uid="{00000000-0005-0000-0000-0000125D0000}"/>
    <cellStyle name="20% - Accent2 39 3 2" xfId="23836" xr:uid="{00000000-0005-0000-0000-0000135D0000}"/>
    <cellStyle name="20% - Accent2 39 4" xfId="23837" xr:uid="{00000000-0005-0000-0000-0000145D0000}"/>
    <cellStyle name="20% - Accent2 4" xfId="23838" xr:uid="{00000000-0005-0000-0000-0000155D0000}"/>
    <cellStyle name="20% - Accent2 4 2" xfId="23839" xr:uid="{00000000-0005-0000-0000-0000165D0000}"/>
    <cellStyle name="20% - Accent2 4 2 2" xfId="23840" xr:uid="{00000000-0005-0000-0000-0000175D0000}"/>
    <cellStyle name="20% - Accent2 4 3" xfId="23841" xr:uid="{00000000-0005-0000-0000-0000185D0000}"/>
    <cellStyle name="20% - Accent2 4 3 2" xfId="23842" xr:uid="{00000000-0005-0000-0000-0000195D0000}"/>
    <cellStyle name="20% - Accent2 4 4" xfId="23843" xr:uid="{00000000-0005-0000-0000-00001A5D0000}"/>
    <cellStyle name="20% - Accent2 4 4 2" xfId="23844" xr:uid="{00000000-0005-0000-0000-00001B5D0000}"/>
    <cellStyle name="20% - Accent2 4 5" xfId="23845" xr:uid="{00000000-0005-0000-0000-00001C5D0000}"/>
    <cellStyle name="20% - Accent2 4 5 2" xfId="23846" xr:uid="{00000000-0005-0000-0000-00001D5D0000}"/>
    <cellStyle name="20% - Accent2 4 6" xfId="23847" xr:uid="{00000000-0005-0000-0000-00001E5D0000}"/>
    <cellStyle name="20% - Accent2 4 6 2" xfId="23848" xr:uid="{00000000-0005-0000-0000-00001F5D0000}"/>
    <cellStyle name="20% - Accent2 4 7" xfId="23849" xr:uid="{00000000-0005-0000-0000-0000205D0000}"/>
    <cellStyle name="20% - Accent2 40" xfId="23850" xr:uid="{00000000-0005-0000-0000-0000215D0000}"/>
    <cellStyle name="20% - Accent2 40 2" xfId="23851" xr:uid="{00000000-0005-0000-0000-0000225D0000}"/>
    <cellStyle name="20% - Accent2 40 2 2" xfId="23852" xr:uid="{00000000-0005-0000-0000-0000235D0000}"/>
    <cellStyle name="20% - Accent2 40 3" xfId="23853" xr:uid="{00000000-0005-0000-0000-0000245D0000}"/>
    <cellStyle name="20% - Accent2 40 3 2" xfId="23854" xr:uid="{00000000-0005-0000-0000-0000255D0000}"/>
    <cellStyle name="20% - Accent2 40 4" xfId="23855" xr:uid="{00000000-0005-0000-0000-0000265D0000}"/>
    <cellStyle name="20% - Accent2 41" xfId="23856" xr:uid="{00000000-0005-0000-0000-0000275D0000}"/>
    <cellStyle name="20% - Accent2 41 2" xfId="23857" xr:uid="{00000000-0005-0000-0000-0000285D0000}"/>
    <cellStyle name="20% - Accent2 41 2 2" xfId="23858" xr:uid="{00000000-0005-0000-0000-0000295D0000}"/>
    <cellStyle name="20% - Accent2 41 3" xfId="23859" xr:uid="{00000000-0005-0000-0000-00002A5D0000}"/>
    <cellStyle name="20% - Accent2 41 3 2" xfId="23860" xr:uid="{00000000-0005-0000-0000-00002B5D0000}"/>
    <cellStyle name="20% - Accent2 41 4" xfId="23861" xr:uid="{00000000-0005-0000-0000-00002C5D0000}"/>
    <cellStyle name="20% - Accent2 42" xfId="23862" xr:uid="{00000000-0005-0000-0000-00002D5D0000}"/>
    <cellStyle name="20% - Accent2 42 2" xfId="23863" xr:uid="{00000000-0005-0000-0000-00002E5D0000}"/>
    <cellStyle name="20% - Accent2 42 2 2" xfId="23864" xr:uid="{00000000-0005-0000-0000-00002F5D0000}"/>
    <cellStyle name="20% - Accent2 42 3" xfId="23865" xr:uid="{00000000-0005-0000-0000-0000305D0000}"/>
    <cellStyle name="20% - Accent2 42 3 2" xfId="23866" xr:uid="{00000000-0005-0000-0000-0000315D0000}"/>
    <cellStyle name="20% - Accent2 42 4" xfId="23867" xr:uid="{00000000-0005-0000-0000-0000325D0000}"/>
    <cellStyle name="20% - Accent2 43" xfId="23868" xr:uid="{00000000-0005-0000-0000-0000335D0000}"/>
    <cellStyle name="20% - Accent2 43 2" xfId="23869" xr:uid="{00000000-0005-0000-0000-0000345D0000}"/>
    <cellStyle name="20% - Accent2 43 2 2" xfId="23870" xr:uid="{00000000-0005-0000-0000-0000355D0000}"/>
    <cellStyle name="20% - Accent2 43 3" xfId="23871" xr:uid="{00000000-0005-0000-0000-0000365D0000}"/>
    <cellStyle name="20% - Accent2 43 3 2" xfId="23872" xr:uid="{00000000-0005-0000-0000-0000375D0000}"/>
    <cellStyle name="20% - Accent2 43 4" xfId="23873" xr:uid="{00000000-0005-0000-0000-0000385D0000}"/>
    <cellStyle name="20% - Accent2 44" xfId="23874" xr:uid="{00000000-0005-0000-0000-0000395D0000}"/>
    <cellStyle name="20% - Accent2 44 2" xfId="23875" xr:uid="{00000000-0005-0000-0000-00003A5D0000}"/>
    <cellStyle name="20% - Accent2 44 2 2" xfId="23876" xr:uid="{00000000-0005-0000-0000-00003B5D0000}"/>
    <cellStyle name="20% - Accent2 44 3" xfId="23877" xr:uid="{00000000-0005-0000-0000-00003C5D0000}"/>
    <cellStyle name="20% - Accent2 44 3 2" xfId="23878" xr:uid="{00000000-0005-0000-0000-00003D5D0000}"/>
    <cellStyle name="20% - Accent2 44 4" xfId="23879" xr:uid="{00000000-0005-0000-0000-00003E5D0000}"/>
    <cellStyle name="20% - Accent2 45" xfId="23880" xr:uid="{00000000-0005-0000-0000-00003F5D0000}"/>
    <cellStyle name="20% - Accent2 45 2" xfId="23881" xr:uid="{00000000-0005-0000-0000-0000405D0000}"/>
    <cellStyle name="20% - Accent2 45 2 2" xfId="23882" xr:uid="{00000000-0005-0000-0000-0000415D0000}"/>
    <cellStyle name="20% - Accent2 45 3" xfId="23883" xr:uid="{00000000-0005-0000-0000-0000425D0000}"/>
    <cellStyle name="20% - Accent2 45 3 2" xfId="23884" xr:uid="{00000000-0005-0000-0000-0000435D0000}"/>
    <cellStyle name="20% - Accent2 45 4" xfId="23885" xr:uid="{00000000-0005-0000-0000-0000445D0000}"/>
    <cellStyle name="20% - Accent2 46" xfId="23886" xr:uid="{00000000-0005-0000-0000-0000455D0000}"/>
    <cellStyle name="20% - Accent2 46 2" xfId="23887" xr:uid="{00000000-0005-0000-0000-0000465D0000}"/>
    <cellStyle name="20% - Accent2 46 2 2" xfId="23888" xr:uid="{00000000-0005-0000-0000-0000475D0000}"/>
    <cellStyle name="20% - Accent2 46 3" xfId="23889" xr:uid="{00000000-0005-0000-0000-0000485D0000}"/>
    <cellStyle name="20% - Accent2 46 3 2" xfId="23890" xr:uid="{00000000-0005-0000-0000-0000495D0000}"/>
    <cellStyle name="20% - Accent2 46 4" xfId="23891" xr:uid="{00000000-0005-0000-0000-00004A5D0000}"/>
    <cellStyle name="20% - Accent2 47" xfId="23892" xr:uid="{00000000-0005-0000-0000-00004B5D0000}"/>
    <cellStyle name="20% - Accent2 47 2" xfId="23893" xr:uid="{00000000-0005-0000-0000-00004C5D0000}"/>
    <cellStyle name="20% - Accent2 47 2 2" xfId="23894" xr:uid="{00000000-0005-0000-0000-00004D5D0000}"/>
    <cellStyle name="20% - Accent2 47 3" xfId="23895" xr:uid="{00000000-0005-0000-0000-00004E5D0000}"/>
    <cellStyle name="20% - Accent2 47 3 2" xfId="23896" xr:uid="{00000000-0005-0000-0000-00004F5D0000}"/>
    <cellStyle name="20% - Accent2 47 4" xfId="23897" xr:uid="{00000000-0005-0000-0000-0000505D0000}"/>
    <cellStyle name="20% - Accent2 48" xfId="23898" xr:uid="{00000000-0005-0000-0000-0000515D0000}"/>
    <cellStyle name="20% - Accent2 48 2" xfId="23899" xr:uid="{00000000-0005-0000-0000-0000525D0000}"/>
    <cellStyle name="20% - Accent2 48 2 2" xfId="23900" xr:uid="{00000000-0005-0000-0000-0000535D0000}"/>
    <cellStyle name="20% - Accent2 48 3" xfId="23901" xr:uid="{00000000-0005-0000-0000-0000545D0000}"/>
    <cellStyle name="20% - Accent2 48 3 2" xfId="23902" xr:uid="{00000000-0005-0000-0000-0000555D0000}"/>
    <cellStyle name="20% - Accent2 48 4" xfId="23903" xr:uid="{00000000-0005-0000-0000-0000565D0000}"/>
    <cellStyle name="20% - Accent2 49" xfId="23904" xr:uid="{00000000-0005-0000-0000-0000575D0000}"/>
    <cellStyle name="20% - Accent2 49 2" xfId="23905" xr:uid="{00000000-0005-0000-0000-0000585D0000}"/>
    <cellStyle name="20% - Accent2 49 2 2" xfId="23906" xr:uid="{00000000-0005-0000-0000-0000595D0000}"/>
    <cellStyle name="20% - Accent2 49 3" xfId="23907" xr:uid="{00000000-0005-0000-0000-00005A5D0000}"/>
    <cellStyle name="20% - Accent2 49 3 2" xfId="23908" xr:uid="{00000000-0005-0000-0000-00005B5D0000}"/>
    <cellStyle name="20% - Accent2 49 4" xfId="23909" xr:uid="{00000000-0005-0000-0000-00005C5D0000}"/>
    <cellStyle name="20% - Accent2 5" xfId="23910" xr:uid="{00000000-0005-0000-0000-00005D5D0000}"/>
    <cellStyle name="20% - Accent2 5 2" xfId="23911" xr:uid="{00000000-0005-0000-0000-00005E5D0000}"/>
    <cellStyle name="20% - Accent2 5 2 2" xfId="23912" xr:uid="{00000000-0005-0000-0000-00005F5D0000}"/>
    <cellStyle name="20% - Accent2 5 3" xfId="23913" xr:uid="{00000000-0005-0000-0000-0000605D0000}"/>
    <cellStyle name="20% - Accent2 5 3 2" xfId="23914" xr:uid="{00000000-0005-0000-0000-0000615D0000}"/>
    <cellStyle name="20% - Accent2 5 4" xfId="23915" xr:uid="{00000000-0005-0000-0000-0000625D0000}"/>
    <cellStyle name="20% - Accent2 5 4 2" xfId="23916" xr:uid="{00000000-0005-0000-0000-0000635D0000}"/>
    <cellStyle name="20% - Accent2 5 5" xfId="23917" xr:uid="{00000000-0005-0000-0000-0000645D0000}"/>
    <cellStyle name="20% - Accent2 5 5 2" xfId="23918" xr:uid="{00000000-0005-0000-0000-0000655D0000}"/>
    <cellStyle name="20% - Accent2 5 6" xfId="23919" xr:uid="{00000000-0005-0000-0000-0000665D0000}"/>
    <cellStyle name="20% - Accent2 50" xfId="23920" xr:uid="{00000000-0005-0000-0000-0000675D0000}"/>
    <cellStyle name="20% - Accent2 50 2" xfId="23921" xr:uid="{00000000-0005-0000-0000-0000685D0000}"/>
    <cellStyle name="20% - Accent2 50 2 2" xfId="23922" xr:uid="{00000000-0005-0000-0000-0000695D0000}"/>
    <cellStyle name="20% - Accent2 50 3" xfId="23923" xr:uid="{00000000-0005-0000-0000-00006A5D0000}"/>
    <cellStyle name="20% - Accent2 50 3 2" xfId="23924" xr:uid="{00000000-0005-0000-0000-00006B5D0000}"/>
    <cellStyle name="20% - Accent2 50 4" xfId="23925" xr:uid="{00000000-0005-0000-0000-00006C5D0000}"/>
    <cellStyle name="20% - Accent2 51" xfId="23926" xr:uid="{00000000-0005-0000-0000-00006D5D0000}"/>
    <cellStyle name="20% - Accent2 51 2" xfId="23927" xr:uid="{00000000-0005-0000-0000-00006E5D0000}"/>
    <cellStyle name="20% - Accent2 51 2 2" xfId="23928" xr:uid="{00000000-0005-0000-0000-00006F5D0000}"/>
    <cellStyle name="20% - Accent2 51 3" xfId="23929" xr:uid="{00000000-0005-0000-0000-0000705D0000}"/>
    <cellStyle name="20% - Accent2 51 3 2" xfId="23930" xr:uid="{00000000-0005-0000-0000-0000715D0000}"/>
    <cellStyle name="20% - Accent2 51 4" xfId="23931" xr:uid="{00000000-0005-0000-0000-0000725D0000}"/>
    <cellStyle name="20% - Accent2 52" xfId="23932" xr:uid="{00000000-0005-0000-0000-0000735D0000}"/>
    <cellStyle name="20% - Accent2 52 2" xfId="23933" xr:uid="{00000000-0005-0000-0000-0000745D0000}"/>
    <cellStyle name="20% - Accent2 52 2 2" xfId="23934" xr:uid="{00000000-0005-0000-0000-0000755D0000}"/>
    <cellStyle name="20% - Accent2 52 3" xfId="23935" xr:uid="{00000000-0005-0000-0000-0000765D0000}"/>
    <cellStyle name="20% - Accent2 52 3 2" xfId="23936" xr:uid="{00000000-0005-0000-0000-0000775D0000}"/>
    <cellStyle name="20% - Accent2 52 4" xfId="23937" xr:uid="{00000000-0005-0000-0000-0000785D0000}"/>
    <cellStyle name="20% - Accent2 53" xfId="23938" xr:uid="{00000000-0005-0000-0000-0000795D0000}"/>
    <cellStyle name="20% - Accent2 53 2" xfId="23939" xr:uid="{00000000-0005-0000-0000-00007A5D0000}"/>
    <cellStyle name="20% - Accent2 53 2 2" xfId="23940" xr:uid="{00000000-0005-0000-0000-00007B5D0000}"/>
    <cellStyle name="20% - Accent2 53 3" xfId="23941" xr:uid="{00000000-0005-0000-0000-00007C5D0000}"/>
    <cellStyle name="20% - Accent2 53 3 2" xfId="23942" xr:uid="{00000000-0005-0000-0000-00007D5D0000}"/>
    <cellStyle name="20% - Accent2 53 4" xfId="23943" xr:uid="{00000000-0005-0000-0000-00007E5D0000}"/>
    <cellStyle name="20% - Accent2 54" xfId="23944" xr:uid="{00000000-0005-0000-0000-00007F5D0000}"/>
    <cellStyle name="20% - Accent2 54 2" xfId="23945" xr:uid="{00000000-0005-0000-0000-0000805D0000}"/>
    <cellStyle name="20% - Accent2 54 2 2" xfId="23946" xr:uid="{00000000-0005-0000-0000-0000815D0000}"/>
    <cellStyle name="20% - Accent2 54 3" xfId="23947" xr:uid="{00000000-0005-0000-0000-0000825D0000}"/>
    <cellStyle name="20% - Accent2 54 3 2" xfId="23948" xr:uid="{00000000-0005-0000-0000-0000835D0000}"/>
    <cellStyle name="20% - Accent2 54 4" xfId="23949" xr:uid="{00000000-0005-0000-0000-0000845D0000}"/>
    <cellStyle name="20% - Accent2 55" xfId="23950" xr:uid="{00000000-0005-0000-0000-0000855D0000}"/>
    <cellStyle name="20% - Accent2 55 2" xfId="23951" xr:uid="{00000000-0005-0000-0000-0000865D0000}"/>
    <cellStyle name="20% - Accent2 55 2 2" xfId="23952" xr:uid="{00000000-0005-0000-0000-0000875D0000}"/>
    <cellStyle name="20% - Accent2 55 3" xfId="23953" xr:uid="{00000000-0005-0000-0000-0000885D0000}"/>
    <cellStyle name="20% - Accent2 55 3 2" xfId="23954" xr:uid="{00000000-0005-0000-0000-0000895D0000}"/>
    <cellStyle name="20% - Accent2 55 4" xfId="23955" xr:uid="{00000000-0005-0000-0000-00008A5D0000}"/>
    <cellStyle name="20% - Accent2 56" xfId="23956" xr:uid="{00000000-0005-0000-0000-00008B5D0000}"/>
    <cellStyle name="20% - Accent2 56 2" xfId="23957" xr:uid="{00000000-0005-0000-0000-00008C5D0000}"/>
    <cellStyle name="20% - Accent2 56 2 2" xfId="23958" xr:uid="{00000000-0005-0000-0000-00008D5D0000}"/>
    <cellStyle name="20% - Accent2 56 3" xfId="23959" xr:uid="{00000000-0005-0000-0000-00008E5D0000}"/>
    <cellStyle name="20% - Accent2 56 3 2" xfId="23960" xr:uid="{00000000-0005-0000-0000-00008F5D0000}"/>
    <cellStyle name="20% - Accent2 56 4" xfId="23961" xr:uid="{00000000-0005-0000-0000-0000905D0000}"/>
    <cellStyle name="20% - Accent2 57" xfId="23962" xr:uid="{00000000-0005-0000-0000-0000915D0000}"/>
    <cellStyle name="20% - Accent2 57 2" xfId="23963" xr:uid="{00000000-0005-0000-0000-0000925D0000}"/>
    <cellStyle name="20% - Accent2 57 2 2" xfId="23964" xr:uid="{00000000-0005-0000-0000-0000935D0000}"/>
    <cellStyle name="20% - Accent2 57 3" xfId="23965" xr:uid="{00000000-0005-0000-0000-0000945D0000}"/>
    <cellStyle name="20% - Accent2 57 3 2" xfId="23966" xr:uid="{00000000-0005-0000-0000-0000955D0000}"/>
    <cellStyle name="20% - Accent2 57 4" xfId="23967" xr:uid="{00000000-0005-0000-0000-0000965D0000}"/>
    <cellStyle name="20% - Accent2 58" xfId="23968" xr:uid="{00000000-0005-0000-0000-0000975D0000}"/>
    <cellStyle name="20% - Accent2 58 2" xfId="23969" xr:uid="{00000000-0005-0000-0000-0000985D0000}"/>
    <cellStyle name="20% - Accent2 58 2 2" xfId="23970" xr:uid="{00000000-0005-0000-0000-0000995D0000}"/>
    <cellStyle name="20% - Accent2 58 3" xfId="23971" xr:uid="{00000000-0005-0000-0000-00009A5D0000}"/>
    <cellStyle name="20% - Accent2 58 3 2" xfId="23972" xr:uid="{00000000-0005-0000-0000-00009B5D0000}"/>
    <cellStyle name="20% - Accent2 58 4" xfId="23973" xr:uid="{00000000-0005-0000-0000-00009C5D0000}"/>
    <cellStyle name="20% - Accent2 59" xfId="23974" xr:uid="{00000000-0005-0000-0000-00009D5D0000}"/>
    <cellStyle name="20% - Accent2 59 2" xfId="23975" xr:uid="{00000000-0005-0000-0000-00009E5D0000}"/>
    <cellStyle name="20% - Accent2 59 2 2" xfId="23976" xr:uid="{00000000-0005-0000-0000-00009F5D0000}"/>
    <cellStyle name="20% - Accent2 59 3" xfId="23977" xr:uid="{00000000-0005-0000-0000-0000A05D0000}"/>
    <cellStyle name="20% - Accent2 6" xfId="23978" xr:uid="{00000000-0005-0000-0000-0000A15D0000}"/>
    <cellStyle name="20% - Accent2 6 2" xfId="23979" xr:uid="{00000000-0005-0000-0000-0000A25D0000}"/>
    <cellStyle name="20% - Accent2 6 2 2" xfId="23980" xr:uid="{00000000-0005-0000-0000-0000A35D0000}"/>
    <cellStyle name="20% - Accent2 6 3" xfId="23981" xr:uid="{00000000-0005-0000-0000-0000A45D0000}"/>
    <cellStyle name="20% - Accent2 6 3 2" xfId="23982" xr:uid="{00000000-0005-0000-0000-0000A55D0000}"/>
    <cellStyle name="20% - Accent2 6 4" xfId="23983" xr:uid="{00000000-0005-0000-0000-0000A65D0000}"/>
    <cellStyle name="20% - Accent2 6 4 2" xfId="23984" xr:uid="{00000000-0005-0000-0000-0000A75D0000}"/>
    <cellStyle name="20% - Accent2 6 5" xfId="23985" xr:uid="{00000000-0005-0000-0000-0000A85D0000}"/>
    <cellStyle name="20% - Accent2 6 5 2" xfId="23986" xr:uid="{00000000-0005-0000-0000-0000A95D0000}"/>
    <cellStyle name="20% - Accent2 6 6" xfId="23987" xr:uid="{00000000-0005-0000-0000-0000AA5D0000}"/>
    <cellStyle name="20% - Accent2 60" xfId="23988" xr:uid="{00000000-0005-0000-0000-0000AB5D0000}"/>
    <cellStyle name="20% - Accent2 60 2" xfId="23989" xr:uid="{00000000-0005-0000-0000-0000AC5D0000}"/>
    <cellStyle name="20% - Accent2 61" xfId="23990" xr:uid="{00000000-0005-0000-0000-0000AD5D0000}"/>
    <cellStyle name="20% - Accent2 61 2" xfId="23991" xr:uid="{00000000-0005-0000-0000-0000AE5D0000}"/>
    <cellStyle name="20% - Accent2 62" xfId="23992" xr:uid="{00000000-0005-0000-0000-0000AF5D0000}"/>
    <cellStyle name="20% - Accent2 62 2" xfId="23993" xr:uid="{00000000-0005-0000-0000-0000B05D0000}"/>
    <cellStyle name="20% - Accent2 63" xfId="23994" xr:uid="{00000000-0005-0000-0000-0000B15D0000}"/>
    <cellStyle name="20% - Accent2 63 2" xfId="23995" xr:uid="{00000000-0005-0000-0000-0000B25D0000}"/>
    <cellStyle name="20% - Accent2 64" xfId="23996" xr:uid="{00000000-0005-0000-0000-0000B35D0000}"/>
    <cellStyle name="20% - Accent2 64 2" xfId="23997" xr:uid="{00000000-0005-0000-0000-0000B45D0000}"/>
    <cellStyle name="20% - Accent2 65" xfId="23998" xr:uid="{00000000-0005-0000-0000-0000B55D0000}"/>
    <cellStyle name="20% - Accent2 65 2" xfId="23999" xr:uid="{00000000-0005-0000-0000-0000B65D0000}"/>
    <cellStyle name="20% - Accent2 66" xfId="24000" xr:uid="{00000000-0005-0000-0000-0000B75D0000}"/>
    <cellStyle name="20% - Accent2 66 2" xfId="24001" xr:uid="{00000000-0005-0000-0000-0000B85D0000}"/>
    <cellStyle name="20% - Accent2 67" xfId="24002" xr:uid="{00000000-0005-0000-0000-0000B95D0000}"/>
    <cellStyle name="20% - Accent2 67 2" xfId="24003" xr:uid="{00000000-0005-0000-0000-0000BA5D0000}"/>
    <cellStyle name="20% - Accent2 68" xfId="24004" xr:uid="{00000000-0005-0000-0000-0000BB5D0000}"/>
    <cellStyle name="20% - Accent2 68 2" xfId="24005" xr:uid="{00000000-0005-0000-0000-0000BC5D0000}"/>
    <cellStyle name="20% - Accent2 69" xfId="24006" xr:uid="{00000000-0005-0000-0000-0000BD5D0000}"/>
    <cellStyle name="20% - Accent2 69 2" xfId="24007" xr:uid="{00000000-0005-0000-0000-0000BE5D0000}"/>
    <cellStyle name="20% - Accent2 7" xfId="24008" xr:uid="{00000000-0005-0000-0000-0000BF5D0000}"/>
    <cellStyle name="20% - Accent2 7 2" xfId="24009" xr:uid="{00000000-0005-0000-0000-0000C05D0000}"/>
    <cellStyle name="20% - Accent2 7 2 2" xfId="24010" xr:uid="{00000000-0005-0000-0000-0000C15D0000}"/>
    <cellStyle name="20% - Accent2 7 3" xfId="24011" xr:uid="{00000000-0005-0000-0000-0000C25D0000}"/>
    <cellStyle name="20% - Accent2 7 3 2" xfId="24012" xr:uid="{00000000-0005-0000-0000-0000C35D0000}"/>
    <cellStyle name="20% - Accent2 7 4" xfId="24013" xr:uid="{00000000-0005-0000-0000-0000C45D0000}"/>
    <cellStyle name="20% - Accent2 7 4 2" xfId="24014" xr:uid="{00000000-0005-0000-0000-0000C55D0000}"/>
    <cellStyle name="20% - Accent2 7 5" xfId="24015" xr:uid="{00000000-0005-0000-0000-0000C65D0000}"/>
    <cellStyle name="20% - Accent2 7 5 2" xfId="24016" xr:uid="{00000000-0005-0000-0000-0000C75D0000}"/>
    <cellStyle name="20% - Accent2 7 6" xfId="24017" xr:uid="{00000000-0005-0000-0000-0000C85D0000}"/>
    <cellStyle name="20% - Accent2 70" xfId="24018" xr:uid="{00000000-0005-0000-0000-0000C95D0000}"/>
    <cellStyle name="20% - Accent2 70 2" xfId="24019" xr:uid="{00000000-0005-0000-0000-0000CA5D0000}"/>
    <cellStyle name="20% - Accent2 71" xfId="24020" xr:uid="{00000000-0005-0000-0000-0000CB5D0000}"/>
    <cellStyle name="20% - Accent2 71 2" xfId="24021" xr:uid="{00000000-0005-0000-0000-0000CC5D0000}"/>
    <cellStyle name="20% - Accent2 72" xfId="24022" xr:uid="{00000000-0005-0000-0000-0000CD5D0000}"/>
    <cellStyle name="20% - Accent2 72 2" xfId="24023" xr:uid="{00000000-0005-0000-0000-0000CE5D0000}"/>
    <cellStyle name="20% - Accent2 73" xfId="24024" xr:uid="{00000000-0005-0000-0000-0000CF5D0000}"/>
    <cellStyle name="20% - Accent2 73 2" xfId="24025" xr:uid="{00000000-0005-0000-0000-0000D05D0000}"/>
    <cellStyle name="20% - Accent2 74" xfId="24026" xr:uid="{00000000-0005-0000-0000-0000D15D0000}"/>
    <cellStyle name="20% - Accent2 74 2" xfId="24027" xr:uid="{00000000-0005-0000-0000-0000D25D0000}"/>
    <cellStyle name="20% - Accent2 75" xfId="24028" xr:uid="{00000000-0005-0000-0000-0000D35D0000}"/>
    <cellStyle name="20% - Accent2 75 2" xfId="24029" xr:uid="{00000000-0005-0000-0000-0000D45D0000}"/>
    <cellStyle name="20% - Accent2 76" xfId="24030" xr:uid="{00000000-0005-0000-0000-0000D55D0000}"/>
    <cellStyle name="20% - Accent2 76 2" xfId="24031" xr:uid="{00000000-0005-0000-0000-0000D65D0000}"/>
    <cellStyle name="20% - Accent2 77" xfId="24032" xr:uid="{00000000-0005-0000-0000-0000D75D0000}"/>
    <cellStyle name="20% - Accent2 77 2" xfId="24033" xr:uid="{00000000-0005-0000-0000-0000D85D0000}"/>
    <cellStyle name="20% - Accent2 78" xfId="24034" xr:uid="{00000000-0005-0000-0000-0000D95D0000}"/>
    <cellStyle name="20% - Accent2 78 2" xfId="24035" xr:uid="{00000000-0005-0000-0000-0000DA5D0000}"/>
    <cellStyle name="20% - Accent2 79" xfId="24036" xr:uid="{00000000-0005-0000-0000-0000DB5D0000}"/>
    <cellStyle name="20% - Accent2 79 2" xfId="24037" xr:uid="{00000000-0005-0000-0000-0000DC5D0000}"/>
    <cellStyle name="20% - Accent2 8" xfId="24038" xr:uid="{00000000-0005-0000-0000-0000DD5D0000}"/>
    <cellStyle name="20% - Accent2 8 2" xfId="24039" xr:uid="{00000000-0005-0000-0000-0000DE5D0000}"/>
    <cellStyle name="20% - Accent2 8 2 2" xfId="24040" xr:uid="{00000000-0005-0000-0000-0000DF5D0000}"/>
    <cellStyle name="20% - Accent2 8 3" xfId="24041" xr:uid="{00000000-0005-0000-0000-0000E05D0000}"/>
    <cellStyle name="20% - Accent2 8 3 2" xfId="24042" xr:uid="{00000000-0005-0000-0000-0000E15D0000}"/>
    <cellStyle name="20% - Accent2 8 4" xfId="24043" xr:uid="{00000000-0005-0000-0000-0000E25D0000}"/>
    <cellStyle name="20% - Accent2 8 4 2" xfId="24044" xr:uid="{00000000-0005-0000-0000-0000E35D0000}"/>
    <cellStyle name="20% - Accent2 8 5" xfId="24045" xr:uid="{00000000-0005-0000-0000-0000E45D0000}"/>
    <cellStyle name="20% - Accent2 8 5 2" xfId="24046" xr:uid="{00000000-0005-0000-0000-0000E55D0000}"/>
    <cellStyle name="20% - Accent2 8 6" xfId="24047" xr:uid="{00000000-0005-0000-0000-0000E65D0000}"/>
    <cellStyle name="20% - Accent2 80" xfId="24048" xr:uid="{00000000-0005-0000-0000-0000E75D0000}"/>
    <cellStyle name="20% - Accent2 80 2" xfId="24049" xr:uid="{00000000-0005-0000-0000-0000E85D0000}"/>
    <cellStyle name="20% - Accent2 81" xfId="24050" xr:uid="{00000000-0005-0000-0000-0000E95D0000}"/>
    <cellStyle name="20% - Accent2 81 2" xfId="24051" xr:uid="{00000000-0005-0000-0000-0000EA5D0000}"/>
    <cellStyle name="20% - Accent2 82" xfId="24052" xr:uid="{00000000-0005-0000-0000-0000EB5D0000}"/>
    <cellStyle name="20% - Accent2 82 2" xfId="24053" xr:uid="{00000000-0005-0000-0000-0000EC5D0000}"/>
    <cellStyle name="20% - Accent2 83" xfId="24054" xr:uid="{00000000-0005-0000-0000-0000ED5D0000}"/>
    <cellStyle name="20% - Accent2 83 2" xfId="24055" xr:uid="{00000000-0005-0000-0000-0000EE5D0000}"/>
    <cellStyle name="20% - Accent2 84" xfId="24056" xr:uid="{00000000-0005-0000-0000-0000EF5D0000}"/>
    <cellStyle name="20% - Accent2 84 2" xfId="24057" xr:uid="{00000000-0005-0000-0000-0000F05D0000}"/>
    <cellStyle name="20% - Accent2 85" xfId="24058" xr:uid="{00000000-0005-0000-0000-0000F15D0000}"/>
    <cellStyle name="20% - Accent2 85 2" xfId="24059" xr:uid="{00000000-0005-0000-0000-0000F25D0000}"/>
    <cellStyle name="20% - Accent2 86" xfId="24060" xr:uid="{00000000-0005-0000-0000-0000F35D0000}"/>
    <cellStyle name="20% - Accent2 86 2" xfId="24061" xr:uid="{00000000-0005-0000-0000-0000F45D0000}"/>
    <cellStyle name="20% - Accent2 87" xfId="24062" xr:uid="{00000000-0005-0000-0000-0000F55D0000}"/>
    <cellStyle name="20% - Accent2 87 2" xfId="24063" xr:uid="{00000000-0005-0000-0000-0000F65D0000}"/>
    <cellStyle name="20% - Accent2 88" xfId="24064" xr:uid="{00000000-0005-0000-0000-0000F75D0000}"/>
    <cellStyle name="20% - Accent2 88 2" xfId="24065" xr:uid="{00000000-0005-0000-0000-0000F85D0000}"/>
    <cellStyle name="20% - Accent2 89" xfId="24066" xr:uid="{00000000-0005-0000-0000-0000F95D0000}"/>
    <cellStyle name="20% - Accent2 89 2" xfId="24067" xr:uid="{00000000-0005-0000-0000-0000FA5D0000}"/>
    <cellStyle name="20% - Accent2 9" xfId="24068" xr:uid="{00000000-0005-0000-0000-0000FB5D0000}"/>
    <cellStyle name="20% - Accent2 9 2" xfId="24069" xr:uid="{00000000-0005-0000-0000-0000FC5D0000}"/>
    <cellStyle name="20% - Accent2 9 2 2" xfId="24070" xr:uid="{00000000-0005-0000-0000-0000FD5D0000}"/>
    <cellStyle name="20% - Accent2 9 3" xfId="24071" xr:uid="{00000000-0005-0000-0000-0000FE5D0000}"/>
    <cellStyle name="20% - Accent2 9 3 2" xfId="24072" xr:uid="{00000000-0005-0000-0000-0000FF5D0000}"/>
    <cellStyle name="20% - Accent2 9 4" xfId="24073" xr:uid="{00000000-0005-0000-0000-0000005E0000}"/>
    <cellStyle name="20% - Accent2 9 4 2" xfId="24074" xr:uid="{00000000-0005-0000-0000-0000015E0000}"/>
    <cellStyle name="20% - Accent2 9 5" xfId="24075" xr:uid="{00000000-0005-0000-0000-0000025E0000}"/>
    <cellStyle name="20% - Accent2 9 5 2" xfId="24076" xr:uid="{00000000-0005-0000-0000-0000035E0000}"/>
    <cellStyle name="20% - Accent2 9 6" xfId="24077" xr:uid="{00000000-0005-0000-0000-0000045E0000}"/>
    <cellStyle name="20% - Accent2 90" xfId="24078" xr:uid="{00000000-0005-0000-0000-0000055E0000}"/>
    <cellStyle name="20% - Accent2 90 2" xfId="24079" xr:uid="{00000000-0005-0000-0000-0000065E0000}"/>
    <cellStyle name="20% - Accent2 91" xfId="24080" xr:uid="{00000000-0005-0000-0000-0000075E0000}"/>
    <cellStyle name="20% - Accent2 91 2" xfId="24081" xr:uid="{00000000-0005-0000-0000-0000085E0000}"/>
    <cellStyle name="20% - Accent2 92" xfId="24082" xr:uid="{00000000-0005-0000-0000-0000095E0000}"/>
    <cellStyle name="20% - Accent2 92 2" xfId="24083" xr:uid="{00000000-0005-0000-0000-00000A5E0000}"/>
    <cellStyle name="20% - Accent2 93" xfId="24084" xr:uid="{00000000-0005-0000-0000-00000B5E0000}"/>
    <cellStyle name="20% - Accent2 93 2" xfId="24085" xr:uid="{00000000-0005-0000-0000-00000C5E0000}"/>
    <cellStyle name="20% - Accent2 94" xfId="24086" xr:uid="{00000000-0005-0000-0000-00000D5E0000}"/>
    <cellStyle name="20% - Accent2 94 2" xfId="24087" xr:uid="{00000000-0005-0000-0000-00000E5E0000}"/>
    <cellStyle name="20% - Accent2 95" xfId="24088" xr:uid="{00000000-0005-0000-0000-00000F5E0000}"/>
    <cellStyle name="20% - Accent2 95 2" xfId="24089" xr:uid="{00000000-0005-0000-0000-0000105E0000}"/>
    <cellStyle name="20% - Accent2 96" xfId="24090" xr:uid="{00000000-0005-0000-0000-0000115E0000}"/>
    <cellStyle name="20% - Accent2 96 2" xfId="24091" xr:uid="{00000000-0005-0000-0000-0000125E0000}"/>
    <cellStyle name="20% - Accent2 97" xfId="24092" xr:uid="{00000000-0005-0000-0000-0000135E0000}"/>
    <cellStyle name="20% - Accent2 97 2" xfId="24093" xr:uid="{00000000-0005-0000-0000-0000145E0000}"/>
    <cellStyle name="20% - Accent2 98" xfId="24094" xr:uid="{00000000-0005-0000-0000-0000155E0000}"/>
    <cellStyle name="20% - Accent2 98 2" xfId="24095" xr:uid="{00000000-0005-0000-0000-0000165E0000}"/>
    <cellStyle name="20% - Accent2 99" xfId="24096" xr:uid="{00000000-0005-0000-0000-0000175E0000}"/>
    <cellStyle name="20% - Accent2 99 2" xfId="24097" xr:uid="{00000000-0005-0000-0000-0000185E0000}"/>
    <cellStyle name="20% - Accent3 10" xfId="24098" xr:uid="{00000000-0005-0000-0000-0000195E0000}"/>
    <cellStyle name="20% - Accent3 10 2" xfId="24099" xr:uid="{00000000-0005-0000-0000-00001A5E0000}"/>
    <cellStyle name="20% - Accent3 10 2 2" xfId="24100" xr:uid="{00000000-0005-0000-0000-00001B5E0000}"/>
    <cellStyle name="20% - Accent3 10 2 2 2" xfId="24101" xr:uid="{00000000-0005-0000-0000-00001C5E0000}"/>
    <cellStyle name="20% - Accent3 10 2 3" xfId="24102" xr:uid="{00000000-0005-0000-0000-00001D5E0000}"/>
    <cellStyle name="20% - Accent3 10 2 3 2" xfId="24103" xr:uid="{00000000-0005-0000-0000-00001E5E0000}"/>
    <cellStyle name="20% - Accent3 10 2 4" xfId="24104" xr:uid="{00000000-0005-0000-0000-00001F5E0000}"/>
    <cellStyle name="20% - Accent3 10 3" xfId="24105" xr:uid="{00000000-0005-0000-0000-0000205E0000}"/>
    <cellStyle name="20% - Accent3 10 3 2" xfId="24106" xr:uid="{00000000-0005-0000-0000-0000215E0000}"/>
    <cellStyle name="20% - Accent3 10 3 2 2" xfId="24107" xr:uid="{00000000-0005-0000-0000-0000225E0000}"/>
    <cellStyle name="20% - Accent3 10 3 3" xfId="24108" xr:uid="{00000000-0005-0000-0000-0000235E0000}"/>
    <cellStyle name="20% - Accent3 10 3 3 2" xfId="24109" xr:uid="{00000000-0005-0000-0000-0000245E0000}"/>
    <cellStyle name="20% - Accent3 10 3 4" xfId="24110" xr:uid="{00000000-0005-0000-0000-0000255E0000}"/>
    <cellStyle name="20% - Accent3 10 4" xfId="24111" xr:uid="{00000000-0005-0000-0000-0000265E0000}"/>
    <cellStyle name="20% - Accent3 10 4 2" xfId="24112" xr:uid="{00000000-0005-0000-0000-0000275E0000}"/>
    <cellStyle name="20% - Accent3 10 5" xfId="24113" xr:uid="{00000000-0005-0000-0000-0000285E0000}"/>
    <cellStyle name="20% - Accent3 10 5 2" xfId="24114" xr:uid="{00000000-0005-0000-0000-0000295E0000}"/>
    <cellStyle name="20% - Accent3 10 6" xfId="24115" xr:uid="{00000000-0005-0000-0000-00002A5E0000}"/>
    <cellStyle name="20% - Accent3 100" xfId="24116" xr:uid="{00000000-0005-0000-0000-00002B5E0000}"/>
    <cellStyle name="20% - Accent3 100 2" xfId="24117" xr:uid="{00000000-0005-0000-0000-00002C5E0000}"/>
    <cellStyle name="20% - Accent3 101" xfId="24118" xr:uid="{00000000-0005-0000-0000-00002D5E0000}"/>
    <cellStyle name="20% - Accent3 101 2" xfId="24119" xr:uid="{00000000-0005-0000-0000-00002E5E0000}"/>
    <cellStyle name="20% - Accent3 102" xfId="24120" xr:uid="{00000000-0005-0000-0000-00002F5E0000}"/>
    <cellStyle name="20% - Accent3 102 2" xfId="24121" xr:uid="{00000000-0005-0000-0000-0000305E0000}"/>
    <cellStyle name="20% - Accent3 103" xfId="24122" xr:uid="{00000000-0005-0000-0000-0000315E0000}"/>
    <cellStyle name="20% - Accent3 103 2" xfId="24123" xr:uid="{00000000-0005-0000-0000-0000325E0000}"/>
    <cellStyle name="20% - Accent3 104" xfId="24124" xr:uid="{00000000-0005-0000-0000-0000335E0000}"/>
    <cellStyle name="20% - Accent3 104 2" xfId="24125" xr:uid="{00000000-0005-0000-0000-0000345E0000}"/>
    <cellStyle name="20% - Accent3 105" xfId="24126" xr:uid="{00000000-0005-0000-0000-0000355E0000}"/>
    <cellStyle name="20% - Accent3 105 2" xfId="24127" xr:uid="{00000000-0005-0000-0000-0000365E0000}"/>
    <cellStyle name="20% - Accent3 106" xfId="24128" xr:uid="{00000000-0005-0000-0000-0000375E0000}"/>
    <cellStyle name="20% - Accent3 106 2" xfId="24129" xr:uid="{00000000-0005-0000-0000-0000385E0000}"/>
    <cellStyle name="20% - Accent3 107" xfId="24130" xr:uid="{00000000-0005-0000-0000-0000395E0000}"/>
    <cellStyle name="20% - Accent3 107 2" xfId="24131" xr:uid="{00000000-0005-0000-0000-00003A5E0000}"/>
    <cellStyle name="20% - Accent3 108" xfId="24132" xr:uid="{00000000-0005-0000-0000-00003B5E0000}"/>
    <cellStyle name="20% - Accent3 108 2" xfId="24133" xr:uid="{00000000-0005-0000-0000-00003C5E0000}"/>
    <cellStyle name="20% - Accent3 109" xfId="24134" xr:uid="{00000000-0005-0000-0000-00003D5E0000}"/>
    <cellStyle name="20% - Accent3 109 2" xfId="24135" xr:uid="{00000000-0005-0000-0000-00003E5E0000}"/>
    <cellStyle name="20% - Accent3 11" xfId="24136" xr:uid="{00000000-0005-0000-0000-00003F5E0000}"/>
    <cellStyle name="20% - Accent3 11 2" xfId="24137" xr:uid="{00000000-0005-0000-0000-0000405E0000}"/>
    <cellStyle name="20% - Accent3 11 2 2" xfId="24138" xr:uid="{00000000-0005-0000-0000-0000415E0000}"/>
    <cellStyle name="20% - Accent3 11 2 2 2" xfId="24139" xr:uid="{00000000-0005-0000-0000-0000425E0000}"/>
    <cellStyle name="20% - Accent3 11 2 3" xfId="24140" xr:uid="{00000000-0005-0000-0000-0000435E0000}"/>
    <cellStyle name="20% - Accent3 11 2 3 2" xfId="24141" xr:uid="{00000000-0005-0000-0000-0000445E0000}"/>
    <cellStyle name="20% - Accent3 11 2 4" xfId="24142" xr:uid="{00000000-0005-0000-0000-0000455E0000}"/>
    <cellStyle name="20% - Accent3 11 3" xfId="24143" xr:uid="{00000000-0005-0000-0000-0000465E0000}"/>
    <cellStyle name="20% - Accent3 11 3 2" xfId="24144" xr:uid="{00000000-0005-0000-0000-0000475E0000}"/>
    <cellStyle name="20% - Accent3 11 3 2 2" xfId="24145" xr:uid="{00000000-0005-0000-0000-0000485E0000}"/>
    <cellStyle name="20% - Accent3 11 3 3" xfId="24146" xr:uid="{00000000-0005-0000-0000-0000495E0000}"/>
    <cellStyle name="20% - Accent3 11 3 3 2" xfId="24147" xr:uid="{00000000-0005-0000-0000-00004A5E0000}"/>
    <cellStyle name="20% - Accent3 11 3 4" xfId="24148" xr:uid="{00000000-0005-0000-0000-00004B5E0000}"/>
    <cellStyle name="20% - Accent3 11 4" xfId="24149" xr:uid="{00000000-0005-0000-0000-00004C5E0000}"/>
    <cellStyle name="20% - Accent3 11 4 2" xfId="24150" xr:uid="{00000000-0005-0000-0000-00004D5E0000}"/>
    <cellStyle name="20% - Accent3 11 5" xfId="24151" xr:uid="{00000000-0005-0000-0000-00004E5E0000}"/>
    <cellStyle name="20% - Accent3 11 5 2" xfId="24152" xr:uid="{00000000-0005-0000-0000-00004F5E0000}"/>
    <cellStyle name="20% - Accent3 11 6" xfId="24153" xr:uid="{00000000-0005-0000-0000-0000505E0000}"/>
    <cellStyle name="20% - Accent3 110" xfId="24154" xr:uid="{00000000-0005-0000-0000-0000515E0000}"/>
    <cellStyle name="20% - Accent3 110 2" xfId="24155" xr:uid="{00000000-0005-0000-0000-0000525E0000}"/>
    <cellStyle name="20% - Accent3 111" xfId="24156" xr:uid="{00000000-0005-0000-0000-0000535E0000}"/>
    <cellStyle name="20% - Accent3 111 2" xfId="24157" xr:uid="{00000000-0005-0000-0000-0000545E0000}"/>
    <cellStyle name="20% - Accent3 112" xfId="24158" xr:uid="{00000000-0005-0000-0000-0000555E0000}"/>
    <cellStyle name="20% - Accent3 112 2" xfId="24159" xr:uid="{00000000-0005-0000-0000-0000565E0000}"/>
    <cellStyle name="20% - Accent3 113" xfId="24160" xr:uid="{00000000-0005-0000-0000-0000575E0000}"/>
    <cellStyle name="20% - Accent3 113 2" xfId="24161" xr:uid="{00000000-0005-0000-0000-0000585E0000}"/>
    <cellStyle name="20% - Accent3 114" xfId="24162" xr:uid="{00000000-0005-0000-0000-0000595E0000}"/>
    <cellStyle name="20% - Accent3 114 2" xfId="24163" xr:uid="{00000000-0005-0000-0000-00005A5E0000}"/>
    <cellStyle name="20% - Accent3 115" xfId="24164" xr:uid="{00000000-0005-0000-0000-00005B5E0000}"/>
    <cellStyle name="20% - Accent3 115 2" xfId="24165" xr:uid="{00000000-0005-0000-0000-00005C5E0000}"/>
    <cellStyle name="20% - Accent3 116" xfId="24166" xr:uid="{00000000-0005-0000-0000-00005D5E0000}"/>
    <cellStyle name="20% - Accent3 116 2" xfId="24167" xr:uid="{00000000-0005-0000-0000-00005E5E0000}"/>
    <cellStyle name="20% - Accent3 117" xfId="24168" xr:uid="{00000000-0005-0000-0000-00005F5E0000}"/>
    <cellStyle name="20% - Accent3 117 2" xfId="24169" xr:uid="{00000000-0005-0000-0000-0000605E0000}"/>
    <cellStyle name="20% - Accent3 118" xfId="24170" xr:uid="{00000000-0005-0000-0000-0000615E0000}"/>
    <cellStyle name="20% - Accent3 118 2" xfId="24171" xr:uid="{00000000-0005-0000-0000-0000625E0000}"/>
    <cellStyle name="20% - Accent3 119" xfId="24172" xr:uid="{00000000-0005-0000-0000-0000635E0000}"/>
    <cellStyle name="20% - Accent3 119 2" xfId="24173" xr:uid="{00000000-0005-0000-0000-0000645E0000}"/>
    <cellStyle name="20% - Accent3 12" xfId="24174" xr:uid="{00000000-0005-0000-0000-0000655E0000}"/>
    <cellStyle name="20% - Accent3 12 2" xfId="24175" xr:uid="{00000000-0005-0000-0000-0000665E0000}"/>
    <cellStyle name="20% - Accent3 12 2 2" xfId="24176" xr:uid="{00000000-0005-0000-0000-0000675E0000}"/>
    <cellStyle name="20% - Accent3 12 2 2 2" xfId="24177" xr:uid="{00000000-0005-0000-0000-0000685E0000}"/>
    <cellStyle name="20% - Accent3 12 2 3" xfId="24178" xr:uid="{00000000-0005-0000-0000-0000695E0000}"/>
    <cellStyle name="20% - Accent3 12 2 3 2" xfId="24179" xr:uid="{00000000-0005-0000-0000-00006A5E0000}"/>
    <cellStyle name="20% - Accent3 12 2 4" xfId="24180" xr:uid="{00000000-0005-0000-0000-00006B5E0000}"/>
    <cellStyle name="20% - Accent3 12 3" xfId="24181" xr:uid="{00000000-0005-0000-0000-00006C5E0000}"/>
    <cellStyle name="20% - Accent3 12 3 2" xfId="24182" xr:uid="{00000000-0005-0000-0000-00006D5E0000}"/>
    <cellStyle name="20% - Accent3 12 3 2 2" xfId="24183" xr:uid="{00000000-0005-0000-0000-00006E5E0000}"/>
    <cellStyle name="20% - Accent3 12 3 3" xfId="24184" xr:uid="{00000000-0005-0000-0000-00006F5E0000}"/>
    <cellStyle name="20% - Accent3 12 3 3 2" xfId="24185" xr:uid="{00000000-0005-0000-0000-0000705E0000}"/>
    <cellStyle name="20% - Accent3 12 3 4" xfId="24186" xr:uid="{00000000-0005-0000-0000-0000715E0000}"/>
    <cellStyle name="20% - Accent3 12 4" xfId="24187" xr:uid="{00000000-0005-0000-0000-0000725E0000}"/>
    <cellStyle name="20% - Accent3 12 4 2" xfId="24188" xr:uid="{00000000-0005-0000-0000-0000735E0000}"/>
    <cellStyle name="20% - Accent3 12 5" xfId="24189" xr:uid="{00000000-0005-0000-0000-0000745E0000}"/>
    <cellStyle name="20% - Accent3 12 5 2" xfId="24190" xr:uid="{00000000-0005-0000-0000-0000755E0000}"/>
    <cellStyle name="20% - Accent3 12 6" xfId="24191" xr:uid="{00000000-0005-0000-0000-0000765E0000}"/>
    <cellStyle name="20% - Accent3 120" xfId="24192" xr:uid="{00000000-0005-0000-0000-0000775E0000}"/>
    <cellStyle name="20% - Accent3 120 2" xfId="24193" xr:uid="{00000000-0005-0000-0000-0000785E0000}"/>
    <cellStyle name="20% - Accent3 121" xfId="24194" xr:uid="{00000000-0005-0000-0000-0000795E0000}"/>
    <cellStyle name="20% - Accent3 121 2" xfId="24195" xr:uid="{00000000-0005-0000-0000-00007A5E0000}"/>
    <cellStyle name="20% - Accent3 122" xfId="24196" xr:uid="{00000000-0005-0000-0000-00007B5E0000}"/>
    <cellStyle name="20% - Accent3 122 2" xfId="24197" xr:uid="{00000000-0005-0000-0000-00007C5E0000}"/>
    <cellStyle name="20% - Accent3 123" xfId="24198" xr:uid="{00000000-0005-0000-0000-00007D5E0000}"/>
    <cellStyle name="20% - Accent3 123 2" xfId="24199" xr:uid="{00000000-0005-0000-0000-00007E5E0000}"/>
    <cellStyle name="20% - Accent3 124" xfId="24200" xr:uid="{00000000-0005-0000-0000-00007F5E0000}"/>
    <cellStyle name="20% - Accent3 124 2" xfId="24201" xr:uid="{00000000-0005-0000-0000-0000805E0000}"/>
    <cellStyle name="20% - Accent3 125" xfId="24202" xr:uid="{00000000-0005-0000-0000-0000815E0000}"/>
    <cellStyle name="20% - Accent3 125 2" xfId="24203" xr:uid="{00000000-0005-0000-0000-0000825E0000}"/>
    <cellStyle name="20% - Accent3 126" xfId="24204" xr:uid="{00000000-0005-0000-0000-0000835E0000}"/>
    <cellStyle name="20% - Accent3 126 2" xfId="24205" xr:uid="{00000000-0005-0000-0000-0000845E0000}"/>
    <cellStyle name="20% - Accent3 127" xfId="24206" xr:uid="{00000000-0005-0000-0000-0000855E0000}"/>
    <cellStyle name="20% - Accent3 127 2" xfId="24207" xr:uid="{00000000-0005-0000-0000-0000865E0000}"/>
    <cellStyle name="20% - Accent3 128" xfId="24208" xr:uid="{00000000-0005-0000-0000-0000875E0000}"/>
    <cellStyle name="20% - Accent3 128 2" xfId="24209" xr:uid="{00000000-0005-0000-0000-0000885E0000}"/>
    <cellStyle name="20% - Accent3 129" xfId="24210" xr:uid="{00000000-0005-0000-0000-0000895E0000}"/>
    <cellStyle name="20% - Accent3 129 2" xfId="24211" xr:uid="{00000000-0005-0000-0000-00008A5E0000}"/>
    <cellStyle name="20% - Accent3 13" xfId="24212" xr:uid="{00000000-0005-0000-0000-00008B5E0000}"/>
    <cellStyle name="20% - Accent3 13 2" xfId="24213" xr:uid="{00000000-0005-0000-0000-00008C5E0000}"/>
    <cellStyle name="20% - Accent3 13 2 2" xfId="24214" xr:uid="{00000000-0005-0000-0000-00008D5E0000}"/>
    <cellStyle name="20% - Accent3 13 3" xfId="24215" xr:uid="{00000000-0005-0000-0000-00008E5E0000}"/>
    <cellStyle name="20% - Accent3 13 3 2" xfId="24216" xr:uid="{00000000-0005-0000-0000-00008F5E0000}"/>
    <cellStyle name="20% - Accent3 13 4" xfId="24217" xr:uid="{00000000-0005-0000-0000-0000905E0000}"/>
    <cellStyle name="20% - Accent3 130" xfId="24218" xr:uid="{00000000-0005-0000-0000-0000915E0000}"/>
    <cellStyle name="20% - Accent3 130 2" xfId="24219" xr:uid="{00000000-0005-0000-0000-0000925E0000}"/>
    <cellStyle name="20% - Accent3 131" xfId="24220" xr:uid="{00000000-0005-0000-0000-0000935E0000}"/>
    <cellStyle name="20% - Accent3 131 2" xfId="24221" xr:uid="{00000000-0005-0000-0000-0000945E0000}"/>
    <cellStyle name="20% - Accent3 132" xfId="24222" xr:uid="{00000000-0005-0000-0000-0000955E0000}"/>
    <cellStyle name="20% - Accent3 132 2" xfId="24223" xr:uid="{00000000-0005-0000-0000-0000965E0000}"/>
    <cellStyle name="20% - Accent3 133" xfId="24224" xr:uid="{00000000-0005-0000-0000-0000975E0000}"/>
    <cellStyle name="20% - Accent3 133 2" xfId="24225" xr:uid="{00000000-0005-0000-0000-0000985E0000}"/>
    <cellStyle name="20% - Accent3 134" xfId="24226" xr:uid="{00000000-0005-0000-0000-0000995E0000}"/>
    <cellStyle name="20% - Accent3 134 2" xfId="24227" xr:uid="{00000000-0005-0000-0000-00009A5E0000}"/>
    <cellStyle name="20% - Accent3 135" xfId="24228" xr:uid="{00000000-0005-0000-0000-00009B5E0000}"/>
    <cellStyle name="20% - Accent3 135 2" xfId="24229" xr:uid="{00000000-0005-0000-0000-00009C5E0000}"/>
    <cellStyle name="20% - Accent3 136" xfId="24230" xr:uid="{00000000-0005-0000-0000-00009D5E0000}"/>
    <cellStyle name="20% - Accent3 136 2" xfId="24231" xr:uid="{00000000-0005-0000-0000-00009E5E0000}"/>
    <cellStyle name="20% - Accent3 137" xfId="24232" xr:uid="{00000000-0005-0000-0000-00009F5E0000}"/>
    <cellStyle name="20% - Accent3 137 2" xfId="24233" xr:uid="{00000000-0005-0000-0000-0000A05E0000}"/>
    <cellStyle name="20% - Accent3 138" xfId="24234" xr:uid="{00000000-0005-0000-0000-0000A15E0000}"/>
    <cellStyle name="20% - Accent3 138 2" xfId="24235" xr:uid="{00000000-0005-0000-0000-0000A25E0000}"/>
    <cellStyle name="20% - Accent3 139" xfId="24236" xr:uid="{00000000-0005-0000-0000-0000A35E0000}"/>
    <cellStyle name="20% - Accent3 139 2" xfId="24237" xr:uid="{00000000-0005-0000-0000-0000A45E0000}"/>
    <cellStyle name="20% - Accent3 14" xfId="24238" xr:uid="{00000000-0005-0000-0000-0000A55E0000}"/>
    <cellStyle name="20% - Accent3 14 2" xfId="24239" xr:uid="{00000000-0005-0000-0000-0000A65E0000}"/>
    <cellStyle name="20% - Accent3 14 2 2" xfId="24240" xr:uid="{00000000-0005-0000-0000-0000A75E0000}"/>
    <cellStyle name="20% - Accent3 14 3" xfId="24241" xr:uid="{00000000-0005-0000-0000-0000A85E0000}"/>
    <cellStyle name="20% - Accent3 14 3 2" xfId="24242" xr:uid="{00000000-0005-0000-0000-0000A95E0000}"/>
    <cellStyle name="20% - Accent3 14 4" xfId="24243" xr:uid="{00000000-0005-0000-0000-0000AA5E0000}"/>
    <cellStyle name="20% - Accent3 140" xfId="24244" xr:uid="{00000000-0005-0000-0000-0000AB5E0000}"/>
    <cellStyle name="20% - Accent3 140 2" xfId="24245" xr:uid="{00000000-0005-0000-0000-0000AC5E0000}"/>
    <cellStyle name="20% - Accent3 141" xfId="24246" xr:uid="{00000000-0005-0000-0000-0000AD5E0000}"/>
    <cellStyle name="20% - Accent3 141 2" xfId="24247" xr:uid="{00000000-0005-0000-0000-0000AE5E0000}"/>
    <cellStyle name="20% - Accent3 142" xfId="24248" xr:uid="{00000000-0005-0000-0000-0000AF5E0000}"/>
    <cellStyle name="20% - Accent3 142 2" xfId="24249" xr:uid="{00000000-0005-0000-0000-0000B05E0000}"/>
    <cellStyle name="20% - Accent3 143" xfId="24250" xr:uid="{00000000-0005-0000-0000-0000B15E0000}"/>
    <cellStyle name="20% - Accent3 143 2" xfId="24251" xr:uid="{00000000-0005-0000-0000-0000B25E0000}"/>
    <cellStyle name="20% - Accent3 144" xfId="24252" xr:uid="{00000000-0005-0000-0000-0000B35E0000}"/>
    <cellStyle name="20% - Accent3 144 2" xfId="24253" xr:uid="{00000000-0005-0000-0000-0000B45E0000}"/>
    <cellStyle name="20% - Accent3 145" xfId="24254" xr:uid="{00000000-0005-0000-0000-0000B55E0000}"/>
    <cellStyle name="20% - Accent3 145 2" xfId="24255" xr:uid="{00000000-0005-0000-0000-0000B65E0000}"/>
    <cellStyle name="20% - Accent3 146" xfId="24256" xr:uid="{00000000-0005-0000-0000-0000B75E0000}"/>
    <cellStyle name="20% - Accent3 146 2" xfId="24257" xr:uid="{00000000-0005-0000-0000-0000B85E0000}"/>
    <cellStyle name="20% - Accent3 147" xfId="24258" xr:uid="{00000000-0005-0000-0000-0000B95E0000}"/>
    <cellStyle name="20% - Accent3 147 2" xfId="24259" xr:uid="{00000000-0005-0000-0000-0000BA5E0000}"/>
    <cellStyle name="20% - Accent3 148" xfId="24260" xr:uid="{00000000-0005-0000-0000-0000BB5E0000}"/>
    <cellStyle name="20% - Accent3 148 2" xfId="24261" xr:uid="{00000000-0005-0000-0000-0000BC5E0000}"/>
    <cellStyle name="20% - Accent3 149" xfId="24262" xr:uid="{00000000-0005-0000-0000-0000BD5E0000}"/>
    <cellStyle name="20% - Accent3 149 2" xfId="24263" xr:uid="{00000000-0005-0000-0000-0000BE5E0000}"/>
    <cellStyle name="20% - Accent3 15" xfId="24264" xr:uid="{00000000-0005-0000-0000-0000BF5E0000}"/>
    <cellStyle name="20% - Accent3 15 2" xfId="24265" xr:uid="{00000000-0005-0000-0000-0000C05E0000}"/>
    <cellStyle name="20% - Accent3 15 2 2" xfId="24266" xr:uid="{00000000-0005-0000-0000-0000C15E0000}"/>
    <cellStyle name="20% - Accent3 15 3" xfId="24267" xr:uid="{00000000-0005-0000-0000-0000C25E0000}"/>
    <cellStyle name="20% - Accent3 15 3 2" xfId="24268" xr:uid="{00000000-0005-0000-0000-0000C35E0000}"/>
    <cellStyle name="20% - Accent3 15 4" xfId="24269" xr:uid="{00000000-0005-0000-0000-0000C45E0000}"/>
    <cellStyle name="20% - Accent3 150" xfId="24270" xr:uid="{00000000-0005-0000-0000-0000C55E0000}"/>
    <cellStyle name="20% - Accent3 150 2" xfId="24271" xr:uid="{00000000-0005-0000-0000-0000C65E0000}"/>
    <cellStyle name="20% - Accent3 151" xfId="24272" xr:uid="{00000000-0005-0000-0000-0000C75E0000}"/>
    <cellStyle name="20% - Accent3 151 2" xfId="24273" xr:uid="{00000000-0005-0000-0000-0000C85E0000}"/>
    <cellStyle name="20% - Accent3 152" xfId="24274" xr:uid="{00000000-0005-0000-0000-0000C95E0000}"/>
    <cellStyle name="20% - Accent3 152 2" xfId="24275" xr:uid="{00000000-0005-0000-0000-0000CA5E0000}"/>
    <cellStyle name="20% - Accent3 153" xfId="24276" xr:uid="{00000000-0005-0000-0000-0000CB5E0000}"/>
    <cellStyle name="20% - Accent3 153 2" xfId="24277" xr:uid="{00000000-0005-0000-0000-0000CC5E0000}"/>
    <cellStyle name="20% - Accent3 154" xfId="24278" xr:uid="{00000000-0005-0000-0000-0000CD5E0000}"/>
    <cellStyle name="20% - Accent3 154 2" xfId="24279" xr:uid="{00000000-0005-0000-0000-0000CE5E0000}"/>
    <cellStyle name="20% - Accent3 155" xfId="24280" xr:uid="{00000000-0005-0000-0000-0000CF5E0000}"/>
    <cellStyle name="20% - Accent3 155 2" xfId="24281" xr:uid="{00000000-0005-0000-0000-0000D05E0000}"/>
    <cellStyle name="20% - Accent3 156" xfId="24282" xr:uid="{00000000-0005-0000-0000-0000D15E0000}"/>
    <cellStyle name="20% - Accent3 156 2" xfId="24283" xr:uid="{00000000-0005-0000-0000-0000D25E0000}"/>
    <cellStyle name="20% - Accent3 157" xfId="24284" xr:uid="{00000000-0005-0000-0000-0000D35E0000}"/>
    <cellStyle name="20% - Accent3 157 2" xfId="24285" xr:uid="{00000000-0005-0000-0000-0000D45E0000}"/>
    <cellStyle name="20% - Accent3 158" xfId="24286" xr:uid="{00000000-0005-0000-0000-0000D55E0000}"/>
    <cellStyle name="20% - Accent3 158 2" xfId="24287" xr:uid="{00000000-0005-0000-0000-0000D65E0000}"/>
    <cellStyle name="20% - Accent3 159" xfId="24288" xr:uid="{00000000-0005-0000-0000-0000D75E0000}"/>
    <cellStyle name="20% - Accent3 159 2" xfId="24289" xr:uid="{00000000-0005-0000-0000-0000D85E0000}"/>
    <cellStyle name="20% - Accent3 16" xfId="24290" xr:uid="{00000000-0005-0000-0000-0000D95E0000}"/>
    <cellStyle name="20% - Accent3 16 2" xfId="24291" xr:uid="{00000000-0005-0000-0000-0000DA5E0000}"/>
    <cellStyle name="20% - Accent3 16 2 2" xfId="24292" xr:uid="{00000000-0005-0000-0000-0000DB5E0000}"/>
    <cellStyle name="20% - Accent3 16 3" xfId="24293" xr:uid="{00000000-0005-0000-0000-0000DC5E0000}"/>
    <cellStyle name="20% - Accent3 16 3 2" xfId="24294" xr:uid="{00000000-0005-0000-0000-0000DD5E0000}"/>
    <cellStyle name="20% - Accent3 16 4" xfId="24295" xr:uid="{00000000-0005-0000-0000-0000DE5E0000}"/>
    <cellStyle name="20% - Accent3 160" xfId="24296" xr:uid="{00000000-0005-0000-0000-0000DF5E0000}"/>
    <cellStyle name="20% - Accent3 160 2" xfId="24297" xr:uid="{00000000-0005-0000-0000-0000E05E0000}"/>
    <cellStyle name="20% - Accent3 161" xfId="24298" xr:uid="{00000000-0005-0000-0000-0000E15E0000}"/>
    <cellStyle name="20% - Accent3 161 2" xfId="24299" xr:uid="{00000000-0005-0000-0000-0000E25E0000}"/>
    <cellStyle name="20% - Accent3 162" xfId="24300" xr:uid="{00000000-0005-0000-0000-0000E35E0000}"/>
    <cellStyle name="20% - Accent3 162 2" xfId="24301" xr:uid="{00000000-0005-0000-0000-0000E45E0000}"/>
    <cellStyle name="20% - Accent3 163" xfId="24302" xr:uid="{00000000-0005-0000-0000-0000E55E0000}"/>
    <cellStyle name="20% - Accent3 163 2" xfId="24303" xr:uid="{00000000-0005-0000-0000-0000E65E0000}"/>
    <cellStyle name="20% - Accent3 164" xfId="24304" xr:uid="{00000000-0005-0000-0000-0000E75E0000}"/>
    <cellStyle name="20% - Accent3 164 2" xfId="24305" xr:uid="{00000000-0005-0000-0000-0000E85E0000}"/>
    <cellStyle name="20% - Accent3 165" xfId="24306" xr:uid="{00000000-0005-0000-0000-0000E95E0000}"/>
    <cellStyle name="20% - Accent3 165 2" xfId="24307" xr:uid="{00000000-0005-0000-0000-0000EA5E0000}"/>
    <cellStyle name="20% - Accent3 166" xfId="24308" xr:uid="{00000000-0005-0000-0000-0000EB5E0000}"/>
    <cellStyle name="20% - Accent3 166 2" xfId="24309" xr:uid="{00000000-0005-0000-0000-0000EC5E0000}"/>
    <cellStyle name="20% - Accent3 167" xfId="24310" xr:uid="{00000000-0005-0000-0000-0000ED5E0000}"/>
    <cellStyle name="20% - Accent3 167 2" xfId="24311" xr:uid="{00000000-0005-0000-0000-0000EE5E0000}"/>
    <cellStyle name="20% - Accent3 168" xfId="24312" xr:uid="{00000000-0005-0000-0000-0000EF5E0000}"/>
    <cellStyle name="20% - Accent3 168 2" xfId="24313" xr:uid="{00000000-0005-0000-0000-0000F05E0000}"/>
    <cellStyle name="20% - Accent3 169" xfId="24314" xr:uid="{00000000-0005-0000-0000-0000F15E0000}"/>
    <cellStyle name="20% - Accent3 169 2" xfId="24315" xr:uid="{00000000-0005-0000-0000-0000F25E0000}"/>
    <cellStyle name="20% - Accent3 17" xfId="24316" xr:uid="{00000000-0005-0000-0000-0000F35E0000}"/>
    <cellStyle name="20% - Accent3 17 2" xfId="24317" xr:uid="{00000000-0005-0000-0000-0000F45E0000}"/>
    <cellStyle name="20% - Accent3 17 2 2" xfId="24318" xr:uid="{00000000-0005-0000-0000-0000F55E0000}"/>
    <cellStyle name="20% - Accent3 17 3" xfId="24319" xr:uid="{00000000-0005-0000-0000-0000F65E0000}"/>
    <cellStyle name="20% - Accent3 17 3 2" xfId="24320" xr:uid="{00000000-0005-0000-0000-0000F75E0000}"/>
    <cellStyle name="20% - Accent3 17 4" xfId="24321" xr:uid="{00000000-0005-0000-0000-0000F85E0000}"/>
    <cellStyle name="20% - Accent3 170" xfId="24322" xr:uid="{00000000-0005-0000-0000-0000F95E0000}"/>
    <cellStyle name="20% - Accent3 170 2" xfId="24323" xr:uid="{00000000-0005-0000-0000-0000FA5E0000}"/>
    <cellStyle name="20% - Accent3 171" xfId="24324" xr:uid="{00000000-0005-0000-0000-0000FB5E0000}"/>
    <cellStyle name="20% - Accent3 171 2" xfId="24325" xr:uid="{00000000-0005-0000-0000-0000FC5E0000}"/>
    <cellStyle name="20% - Accent3 172" xfId="24326" xr:uid="{00000000-0005-0000-0000-0000FD5E0000}"/>
    <cellStyle name="20% - Accent3 172 2" xfId="24327" xr:uid="{00000000-0005-0000-0000-0000FE5E0000}"/>
    <cellStyle name="20% - Accent3 173" xfId="24328" xr:uid="{00000000-0005-0000-0000-0000FF5E0000}"/>
    <cellStyle name="20% - Accent3 173 2" xfId="24329" xr:uid="{00000000-0005-0000-0000-0000005F0000}"/>
    <cellStyle name="20% - Accent3 174" xfId="24330" xr:uid="{00000000-0005-0000-0000-0000015F0000}"/>
    <cellStyle name="20% - Accent3 174 2" xfId="24331" xr:uid="{00000000-0005-0000-0000-0000025F0000}"/>
    <cellStyle name="20% - Accent3 175" xfId="24332" xr:uid="{00000000-0005-0000-0000-0000035F0000}"/>
    <cellStyle name="20% - Accent3 175 2" xfId="24333" xr:uid="{00000000-0005-0000-0000-0000045F0000}"/>
    <cellStyle name="20% - Accent3 176" xfId="24334" xr:uid="{00000000-0005-0000-0000-0000055F0000}"/>
    <cellStyle name="20% - Accent3 176 2" xfId="24335" xr:uid="{00000000-0005-0000-0000-0000065F0000}"/>
    <cellStyle name="20% - Accent3 177" xfId="24336" xr:uid="{00000000-0005-0000-0000-0000075F0000}"/>
    <cellStyle name="20% - Accent3 177 2" xfId="24337" xr:uid="{00000000-0005-0000-0000-0000085F0000}"/>
    <cellStyle name="20% - Accent3 178" xfId="24338" xr:uid="{00000000-0005-0000-0000-0000095F0000}"/>
    <cellStyle name="20% - Accent3 178 2" xfId="24339" xr:uid="{00000000-0005-0000-0000-00000A5F0000}"/>
    <cellStyle name="20% - Accent3 179" xfId="24340" xr:uid="{00000000-0005-0000-0000-00000B5F0000}"/>
    <cellStyle name="20% - Accent3 179 2" xfId="24341" xr:uid="{00000000-0005-0000-0000-00000C5F0000}"/>
    <cellStyle name="20% - Accent3 18" xfId="24342" xr:uid="{00000000-0005-0000-0000-00000D5F0000}"/>
    <cellStyle name="20% - Accent3 18 2" xfId="24343" xr:uid="{00000000-0005-0000-0000-00000E5F0000}"/>
    <cellStyle name="20% - Accent3 18 2 2" xfId="24344" xr:uid="{00000000-0005-0000-0000-00000F5F0000}"/>
    <cellStyle name="20% - Accent3 18 3" xfId="24345" xr:uid="{00000000-0005-0000-0000-0000105F0000}"/>
    <cellStyle name="20% - Accent3 18 3 2" xfId="24346" xr:uid="{00000000-0005-0000-0000-0000115F0000}"/>
    <cellStyle name="20% - Accent3 18 4" xfId="24347" xr:uid="{00000000-0005-0000-0000-0000125F0000}"/>
    <cellStyle name="20% - Accent3 180" xfId="24348" xr:uid="{00000000-0005-0000-0000-0000135F0000}"/>
    <cellStyle name="20% - Accent3 180 2" xfId="24349" xr:uid="{00000000-0005-0000-0000-0000145F0000}"/>
    <cellStyle name="20% - Accent3 181" xfId="24350" xr:uid="{00000000-0005-0000-0000-0000155F0000}"/>
    <cellStyle name="20% - Accent3 181 2" xfId="24351" xr:uid="{00000000-0005-0000-0000-0000165F0000}"/>
    <cellStyle name="20% - Accent3 182" xfId="24352" xr:uid="{00000000-0005-0000-0000-0000175F0000}"/>
    <cellStyle name="20% - Accent3 182 2" xfId="24353" xr:uid="{00000000-0005-0000-0000-0000185F0000}"/>
    <cellStyle name="20% - Accent3 183" xfId="24354" xr:uid="{00000000-0005-0000-0000-0000195F0000}"/>
    <cellStyle name="20% - Accent3 183 2" xfId="24355" xr:uid="{00000000-0005-0000-0000-00001A5F0000}"/>
    <cellStyle name="20% - Accent3 184" xfId="24356" xr:uid="{00000000-0005-0000-0000-00001B5F0000}"/>
    <cellStyle name="20% - Accent3 184 2" xfId="24357" xr:uid="{00000000-0005-0000-0000-00001C5F0000}"/>
    <cellStyle name="20% - Accent3 185" xfId="24358" xr:uid="{00000000-0005-0000-0000-00001D5F0000}"/>
    <cellStyle name="20% - Accent3 185 2" xfId="24359" xr:uid="{00000000-0005-0000-0000-00001E5F0000}"/>
    <cellStyle name="20% - Accent3 186" xfId="24360" xr:uid="{00000000-0005-0000-0000-00001F5F0000}"/>
    <cellStyle name="20% - Accent3 186 2" xfId="24361" xr:uid="{00000000-0005-0000-0000-0000205F0000}"/>
    <cellStyle name="20% - Accent3 187" xfId="24362" xr:uid="{00000000-0005-0000-0000-0000215F0000}"/>
    <cellStyle name="20% - Accent3 187 2" xfId="24363" xr:uid="{00000000-0005-0000-0000-0000225F0000}"/>
    <cellStyle name="20% - Accent3 188" xfId="24364" xr:uid="{00000000-0005-0000-0000-0000235F0000}"/>
    <cellStyle name="20% - Accent3 188 2" xfId="24365" xr:uid="{00000000-0005-0000-0000-0000245F0000}"/>
    <cellStyle name="20% - Accent3 189" xfId="24366" xr:uid="{00000000-0005-0000-0000-0000255F0000}"/>
    <cellStyle name="20% - Accent3 189 2" xfId="24367" xr:uid="{00000000-0005-0000-0000-0000265F0000}"/>
    <cellStyle name="20% - Accent3 19" xfId="24368" xr:uid="{00000000-0005-0000-0000-0000275F0000}"/>
    <cellStyle name="20% - Accent3 19 2" xfId="24369" xr:uid="{00000000-0005-0000-0000-0000285F0000}"/>
    <cellStyle name="20% - Accent3 19 2 2" xfId="24370" xr:uid="{00000000-0005-0000-0000-0000295F0000}"/>
    <cellStyle name="20% - Accent3 19 3" xfId="24371" xr:uid="{00000000-0005-0000-0000-00002A5F0000}"/>
    <cellStyle name="20% - Accent3 19 3 2" xfId="24372" xr:uid="{00000000-0005-0000-0000-00002B5F0000}"/>
    <cellStyle name="20% - Accent3 19 4" xfId="24373" xr:uid="{00000000-0005-0000-0000-00002C5F0000}"/>
    <cellStyle name="20% - Accent3 190" xfId="24374" xr:uid="{00000000-0005-0000-0000-00002D5F0000}"/>
    <cellStyle name="20% - Accent3 190 2" xfId="24375" xr:uid="{00000000-0005-0000-0000-00002E5F0000}"/>
    <cellStyle name="20% - Accent3 191" xfId="24376" xr:uid="{00000000-0005-0000-0000-00002F5F0000}"/>
    <cellStyle name="20% - Accent3 191 2" xfId="24377" xr:uid="{00000000-0005-0000-0000-0000305F0000}"/>
    <cellStyle name="20% - Accent3 192" xfId="24378" xr:uid="{00000000-0005-0000-0000-0000315F0000}"/>
    <cellStyle name="20% - Accent3 192 2" xfId="24379" xr:uid="{00000000-0005-0000-0000-0000325F0000}"/>
    <cellStyle name="20% - Accent3 193" xfId="24380" xr:uid="{00000000-0005-0000-0000-0000335F0000}"/>
    <cellStyle name="20% - Accent3 193 2" xfId="24381" xr:uid="{00000000-0005-0000-0000-0000345F0000}"/>
    <cellStyle name="20% - Accent3 194" xfId="24382" xr:uid="{00000000-0005-0000-0000-0000355F0000}"/>
    <cellStyle name="20% - Accent3 194 2" xfId="24383" xr:uid="{00000000-0005-0000-0000-0000365F0000}"/>
    <cellStyle name="20% - Accent3 195" xfId="24384" xr:uid="{00000000-0005-0000-0000-0000375F0000}"/>
    <cellStyle name="20% - Accent3 195 2" xfId="24385" xr:uid="{00000000-0005-0000-0000-0000385F0000}"/>
    <cellStyle name="20% - Accent3 196" xfId="24386" xr:uid="{00000000-0005-0000-0000-0000395F0000}"/>
    <cellStyle name="20% - Accent3 196 2" xfId="24387" xr:uid="{00000000-0005-0000-0000-00003A5F0000}"/>
    <cellStyle name="20% - Accent3 197" xfId="24388" xr:uid="{00000000-0005-0000-0000-00003B5F0000}"/>
    <cellStyle name="20% - Accent3 197 2" xfId="24389" xr:uid="{00000000-0005-0000-0000-00003C5F0000}"/>
    <cellStyle name="20% - Accent3 198" xfId="24390" xr:uid="{00000000-0005-0000-0000-00003D5F0000}"/>
    <cellStyle name="20% - Accent3 198 2" xfId="24391" xr:uid="{00000000-0005-0000-0000-00003E5F0000}"/>
    <cellStyle name="20% - Accent3 2" xfId="24392" xr:uid="{00000000-0005-0000-0000-00003F5F0000}"/>
    <cellStyle name="20% - Accent3 2 2" xfId="24393" xr:uid="{00000000-0005-0000-0000-0000405F0000}"/>
    <cellStyle name="20% - Accent3 2 2 2" xfId="24394" xr:uid="{00000000-0005-0000-0000-0000415F0000}"/>
    <cellStyle name="20% - Accent3 2 2 2 2" xfId="24395" xr:uid="{00000000-0005-0000-0000-0000425F0000}"/>
    <cellStyle name="20% - Accent3 2 2 3" xfId="24396" xr:uid="{00000000-0005-0000-0000-0000435F0000}"/>
    <cellStyle name="20% - Accent3 2 2 3 2" xfId="24397" xr:uid="{00000000-0005-0000-0000-0000445F0000}"/>
    <cellStyle name="20% - Accent3 2 2 4" xfId="24398" xr:uid="{00000000-0005-0000-0000-0000455F0000}"/>
    <cellStyle name="20% - Accent3 2 2 4 2" xfId="24399" xr:uid="{00000000-0005-0000-0000-0000465F0000}"/>
    <cellStyle name="20% - Accent3 2 2 5" xfId="24400" xr:uid="{00000000-0005-0000-0000-0000475F0000}"/>
    <cellStyle name="20% - Accent3 2 2 5 2" xfId="24401" xr:uid="{00000000-0005-0000-0000-0000485F0000}"/>
    <cellStyle name="20% - Accent3 2 2 6" xfId="24402" xr:uid="{00000000-0005-0000-0000-0000495F0000}"/>
    <cellStyle name="20% - Accent3 2 3" xfId="24403" xr:uid="{00000000-0005-0000-0000-00004A5F0000}"/>
    <cellStyle name="20% - Accent3 2 3 2" xfId="24404" xr:uid="{00000000-0005-0000-0000-00004B5F0000}"/>
    <cellStyle name="20% - Accent3 2 4" xfId="24405" xr:uid="{00000000-0005-0000-0000-00004C5F0000}"/>
    <cellStyle name="20% - Accent3 2 4 2" xfId="24406" xr:uid="{00000000-0005-0000-0000-00004D5F0000}"/>
    <cellStyle name="20% - Accent3 2 5" xfId="24407" xr:uid="{00000000-0005-0000-0000-00004E5F0000}"/>
    <cellStyle name="20% - Accent3 2 5 2" xfId="24408" xr:uid="{00000000-0005-0000-0000-00004F5F0000}"/>
    <cellStyle name="20% - Accent3 2 6" xfId="24409" xr:uid="{00000000-0005-0000-0000-0000505F0000}"/>
    <cellStyle name="20% - Accent3 2 6 2" xfId="24410" xr:uid="{00000000-0005-0000-0000-0000515F0000}"/>
    <cellStyle name="20% - Accent3 2 7" xfId="24411" xr:uid="{00000000-0005-0000-0000-0000525F0000}"/>
    <cellStyle name="20% - Accent3 20" xfId="24412" xr:uid="{00000000-0005-0000-0000-0000535F0000}"/>
    <cellStyle name="20% - Accent3 20 2" xfId="24413" xr:uid="{00000000-0005-0000-0000-0000545F0000}"/>
    <cellStyle name="20% - Accent3 20 2 2" xfId="24414" xr:uid="{00000000-0005-0000-0000-0000555F0000}"/>
    <cellStyle name="20% - Accent3 20 3" xfId="24415" xr:uid="{00000000-0005-0000-0000-0000565F0000}"/>
    <cellStyle name="20% - Accent3 20 3 2" xfId="24416" xr:uid="{00000000-0005-0000-0000-0000575F0000}"/>
    <cellStyle name="20% - Accent3 20 4" xfId="24417" xr:uid="{00000000-0005-0000-0000-0000585F0000}"/>
    <cellStyle name="20% - Accent3 21" xfId="24418" xr:uid="{00000000-0005-0000-0000-0000595F0000}"/>
    <cellStyle name="20% - Accent3 21 2" xfId="24419" xr:uid="{00000000-0005-0000-0000-00005A5F0000}"/>
    <cellStyle name="20% - Accent3 21 2 2" xfId="24420" xr:uid="{00000000-0005-0000-0000-00005B5F0000}"/>
    <cellStyle name="20% - Accent3 21 3" xfId="24421" xr:uid="{00000000-0005-0000-0000-00005C5F0000}"/>
    <cellStyle name="20% - Accent3 21 3 2" xfId="24422" xr:uid="{00000000-0005-0000-0000-00005D5F0000}"/>
    <cellStyle name="20% - Accent3 21 4" xfId="24423" xr:uid="{00000000-0005-0000-0000-00005E5F0000}"/>
    <cellStyle name="20% - Accent3 22" xfId="24424" xr:uid="{00000000-0005-0000-0000-00005F5F0000}"/>
    <cellStyle name="20% - Accent3 22 2" xfId="24425" xr:uid="{00000000-0005-0000-0000-0000605F0000}"/>
    <cellStyle name="20% - Accent3 22 2 2" xfId="24426" xr:uid="{00000000-0005-0000-0000-0000615F0000}"/>
    <cellStyle name="20% - Accent3 22 3" xfId="24427" xr:uid="{00000000-0005-0000-0000-0000625F0000}"/>
    <cellStyle name="20% - Accent3 22 3 2" xfId="24428" xr:uid="{00000000-0005-0000-0000-0000635F0000}"/>
    <cellStyle name="20% - Accent3 22 4" xfId="24429" xr:uid="{00000000-0005-0000-0000-0000645F0000}"/>
    <cellStyle name="20% - Accent3 23" xfId="24430" xr:uid="{00000000-0005-0000-0000-0000655F0000}"/>
    <cellStyle name="20% - Accent3 23 2" xfId="24431" xr:uid="{00000000-0005-0000-0000-0000665F0000}"/>
    <cellStyle name="20% - Accent3 23 2 2" xfId="24432" xr:uid="{00000000-0005-0000-0000-0000675F0000}"/>
    <cellStyle name="20% - Accent3 23 3" xfId="24433" xr:uid="{00000000-0005-0000-0000-0000685F0000}"/>
    <cellStyle name="20% - Accent3 23 3 2" xfId="24434" xr:uid="{00000000-0005-0000-0000-0000695F0000}"/>
    <cellStyle name="20% - Accent3 23 4" xfId="24435" xr:uid="{00000000-0005-0000-0000-00006A5F0000}"/>
    <cellStyle name="20% - Accent3 24" xfId="24436" xr:uid="{00000000-0005-0000-0000-00006B5F0000}"/>
    <cellStyle name="20% - Accent3 24 2" xfId="24437" xr:uid="{00000000-0005-0000-0000-00006C5F0000}"/>
    <cellStyle name="20% - Accent3 24 2 2" xfId="24438" xr:uid="{00000000-0005-0000-0000-00006D5F0000}"/>
    <cellStyle name="20% - Accent3 24 3" xfId="24439" xr:uid="{00000000-0005-0000-0000-00006E5F0000}"/>
    <cellStyle name="20% - Accent3 24 3 2" xfId="24440" xr:uid="{00000000-0005-0000-0000-00006F5F0000}"/>
    <cellStyle name="20% - Accent3 24 4" xfId="24441" xr:uid="{00000000-0005-0000-0000-0000705F0000}"/>
    <cellStyle name="20% - Accent3 25" xfId="24442" xr:uid="{00000000-0005-0000-0000-0000715F0000}"/>
    <cellStyle name="20% - Accent3 25 2" xfId="24443" xr:uid="{00000000-0005-0000-0000-0000725F0000}"/>
    <cellStyle name="20% - Accent3 25 2 2" xfId="24444" xr:uid="{00000000-0005-0000-0000-0000735F0000}"/>
    <cellStyle name="20% - Accent3 25 3" xfId="24445" xr:uid="{00000000-0005-0000-0000-0000745F0000}"/>
    <cellStyle name="20% - Accent3 25 3 2" xfId="24446" xr:uid="{00000000-0005-0000-0000-0000755F0000}"/>
    <cellStyle name="20% - Accent3 25 4" xfId="24447" xr:uid="{00000000-0005-0000-0000-0000765F0000}"/>
    <cellStyle name="20% - Accent3 26" xfId="24448" xr:uid="{00000000-0005-0000-0000-0000775F0000}"/>
    <cellStyle name="20% - Accent3 26 2" xfId="24449" xr:uid="{00000000-0005-0000-0000-0000785F0000}"/>
    <cellStyle name="20% - Accent3 26 2 2" xfId="24450" xr:uid="{00000000-0005-0000-0000-0000795F0000}"/>
    <cellStyle name="20% - Accent3 26 3" xfId="24451" xr:uid="{00000000-0005-0000-0000-00007A5F0000}"/>
    <cellStyle name="20% - Accent3 26 3 2" xfId="24452" xr:uid="{00000000-0005-0000-0000-00007B5F0000}"/>
    <cellStyle name="20% - Accent3 26 4" xfId="24453" xr:uid="{00000000-0005-0000-0000-00007C5F0000}"/>
    <cellStyle name="20% - Accent3 27" xfId="24454" xr:uid="{00000000-0005-0000-0000-00007D5F0000}"/>
    <cellStyle name="20% - Accent3 27 2" xfId="24455" xr:uid="{00000000-0005-0000-0000-00007E5F0000}"/>
    <cellStyle name="20% - Accent3 27 2 2" xfId="24456" xr:uid="{00000000-0005-0000-0000-00007F5F0000}"/>
    <cellStyle name="20% - Accent3 27 3" xfId="24457" xr:uid="{00000000-0005-0000-0000-0000805F0000}"/>
    <cellStyle name="20% - Accent3 27 3 2" xfId="24458" xr:uid="{00000000-0005-0000-0000-0000815F0000}"/>
    <cellStyle name="20% - Accent3 27 4" xfId="24459" xr:uid="{00000000-0005-0000-0000-0000825F0000}"/>
    <cellStyle name="20% - Accent3 28" xfId="24460" xr:uid="{00000000-0005-0000-0000-0000835F0000}"/>
    <cellStyle name="20% - Accent3 28 2" xfId="24461" xr:uid="{00000000-0005-0000-0000-0000845F0000}"/>
    <cellStyle name="20% - Accent3 28 2 2" xfId="24462" xr:uid="{00000000-0005-0000-0000-0000855F0000}"/>
    <cellStyle name="20% - Accent3 28 3" xfId="24463" xr:uid="{00000000-0005-0000-0000-0000865F0000}"/>
    <cellStyle name="20% - Accent3 28 3 2" xfId="24464" xr:uid="{00000000-0005-0000-0000-0000875F0000}"/>
    <cellStyle name="20% - Accent3 28 4" xfId="24465" xr:uid="{00000000-0005-0000-0000-0000885F0000}"/>
    <cellStyle name="20% - Accent3 29" xfId="24466" xr:uid="{00000000-0005-0000-0000-0000895F0000}"/>
    <cellStyle name="20% - Accent3 29 2" xfId="24467" xr:uid="{00000000-0005-0000-0000-00008A5F0000}"/>
    <cellStyle name="20% - Accent3 29 2 2" xfId="24468" xr:uid="{00000000-0005-0000-0000-00008B5F0000}"/>
    <cellStyle name="20% - Accent3 29 3" xfId="24469" xr:uid="{00000000-0005-0000-0000-00008C5F0000}"/>
    <cellStyle name="20% - Accent3 29 3 2" xfId="24470" xr:uid="{00000000-0005-0000-0000-00008D5F0000}"/>
    <cellStyle name="20% - Accent3 29 4" xfId="24471" xr:uid="{00000000-0005-0000-0000-00008E5F0000}"/>
    <cellStyle name="20% - Accent3 3" xfId="24472" xr:uid="{00000000-0005-0000-0000-00008F5F0000}"/>
    <cellStyle name="20% - Accent3 3 2" xfId="24473" xr:uid="{00000000-0005-0000-0000-0000905F0000}"/>
    <cellStyle name="20% - Accent3 3 2 2" xfId="24474" xr:uid="{00000000-0005-0000-0000-0000915F0000}"/>
    <cellStyle name="20% - Accent3 3 3" xfId="24475" xr:uid="{00000000-0005-0000-0000-0000925F0000}"/>
    <cellStyle name="20% - Accent3 3 3 2" xfId="24476" xr:uid="{00000000-0005-0000-0000-0000935F0000}"/>
    <cellStyle name="20% - Accent3 3 4" xfId="24477" xr:uid="{00000000-0005-0000-0000-0000945F0000}"/>
    <cellStyle name="20% - Accent3 3 4 2" xfId="24478" xr:uid="{00000000-0005-0000-0000-0000955F0000}"/>
    <cellStyle name="20% - Accent3 3 5" xfId="24479" xr:uid="{00000000-0005-0000-0000-0000965F0000}"/>
    <cellStyle name="20% - Accent3 3 5 2" xfId="24480" xr:uid="{00000000-0005-0000-0000-0000975F0000}"/>
    <cellStyle name="20% - Accent3 3 6" xfId="24481" xr:uid="{00000000-0005-0000-0000-0000985F0000}"/>
    <cellStyle name="20% - Accent3 3 6 2" xfId="24482" xr:uid="{00000000-0005-0000-0000-0000995F0000}"/>
    <cellStyle name="20% - Accent3 3 7" xfId="24483" xr:uid="{00000000-0005-0000-0000-00009A5F0000}"/>
    <cellStyle name="20% - Accent3 30" xfId="24484" xr:uid="{00000000-0005-0000-0000-00009B5F0000}"/>
    <cellStyle name="20% - Accent3 30 2" xfId="24485" xr:uid="{00000000-0005-0000-0000-00009C5F0000}"/>
    <cellStyle name="20% - Accent3 30 2 2" xfId="24486" xr:uid="{00000000-0005-0000-0000-00009D5F0000}"/>
    <cellStyle name="20% - Accent3 30 3" xfId="24487" xr:uid="{00000000-0005-0000-0000-00009E5F0000}"/>
    <cellStyle name="20% - Accent3 30 3 2" xfId="24488" xr:uid="{00000000-0005-0000-0000-00009F5F0000}"/>
    <cellStyle name="20% - Accent3 30 4" xfId="24489" xr:uid="{00000000-0005-0000-0000-0000A05F0000}"/>
    <cellStyle name="20% - Accent3 31" xfId="24490" xr:uid="{00000000-0005-0000-0000-0000A15F0000}"/>
    <cellStyle name="20% - Accent3 31 2" xfId="24491" xr:uid="{00000000-0005-0000-0000-0000A25F0000}"/>
    <cellStyle name="20% - Accent3 31 2 2" xfId="24492" xr:uid="{00000000-0005-0000-0000-0000A35F0000}"/>
    <cellStyle name="20% - Accent3 31 3" xfId="24493" xr:uid="{00000000-0005-0000-0000-0000A45F0000}"/>
    <cellStyle name="20% - Accent3 31 3 2" xfId="24494" xr:uid="{00000000-0005-0000-0000-0000A55F0000}"/>
    <cellStyle name="20% - Accent3 31 4" xfId="24495" xr:uid="{00000000-0005-0000-0000-0000A65F0000}"/>
    <cellStyle name="20% - Accent3 32" xfId="24496" xr:uid="{00000000-0005-0000-0000-0000A75F0000}"/>
    <cellStyle name="20% - Accent3 32 2" xfId="24497" xr:uid="{00000000-0005-0000-0000-0000A85F0000}"/>
    <cellStyle name="20% - Accent3 32 2 2" xfId="24498" xr:uid="{00000000-0005-0000-0000-0000A95F0000}"/>
    <cellStyle name="20% - Accent3 32 3" xfId="24499" xr:uid="{00000000-0005-0000-0000-0000AA5F0000}"/>
    <cellStyle name="20% - Accent3 32 3 2" xfId="24500" xr:uid="{00000000-0005-0000-0000-0000AB5F0000}"/>
    <cellStyle name="20% - Accent3 32 4" xfId="24501" xr:uid="{00000000-0005-0000-0000-0000AC5F0000}"/>
    <cellStyle name="20% - Accent3 33" xfId="24502" xr:uid="{00000000-0005-0000-0000-0000AD5F0000}"/>
    <cellStyle name="20% - Accent3 33 2" xfId="24503" xr:uid="{00000000-0005-0000-0000-0000AE5F0000}"/>
    <cellStyle name="20% - Accent3 33 2 2" xfId="24504" xr:uid="{00000000-0005-0000-0000-0000AF5F0000}"/>
    <cellStyle name="20% - Accent3 33 3" xfId="24505" xr:uid="{00000000-0005-0000-0000-0000B05F0000}"/>
    <cellStyle name="20% - Accent3 33 3 2" xfId="24506" xr:uid="{00000000-0005-0000-0000-0000B15F0000}"/>
    <cellStyle name="20% - Accent3 33 4" xfId="24507" xr:uid="{00000000-0005-0000-0000-0000B25F0000}"/>
    <cellStyle name="20% - Accent3 34" xfId="24508" xr:uid="{00000000-0005-0000-0000-0000B35F0000}"/>
    <cellStyle name="20% - Accent3 34 2" xfId="24509" xr:uid="{00000000-0005-0000-0000-0000B45F0000}"/>
    <cellStyle name="20% - Accent3 34 2 2" xfId="24510" xr:uid="{00000000-0005-0000-0000-0000B55F0000}"/>
    <cellStyle name="20% - Accent3 34 3" xfId="24511" xr:uid="{00000000-0005-0000-0000-0000B65F0000}"/>
    <cellStyle name="20% - Accent3 34 3 2" xfId="24512" xr:uid="{00000000-0005-0000-0000-0000B75F0000}"/>
    <cellStyle name="20% - Accent3 34 4" xfId="24513" xr:uid="{00000000-0005-0000-0000-0000B85F0000}"/>
    <cellStyle name="20% - Accent3 35" xfId="24514" xr:uid="{00000000-0005-0000-0000-0000B95F0000}"/>
    <cellStyle name="20% - Accent3 35 2" xfId="24515" xr:uid="{00000000-0005-0000-0000-0000BA5F0000}"/>
    <cellStyle name="20% - Accent3 35 2 2" xfId="24516" xr:uid="{00000000-0005-0000-0000-0000BB5F0000}"/>
    <cellStyle name="20% - Accent3 35 3" xfId="24517" xr:uid="{00000000-0005-0000-0000-0000BC5F0000}"/>
    <cellStyle name="20% - Accent3 35 3 2" xfId="24518" xr:uid="{00000000-0005-0000-0000-0000BD5F0000}"/>
    <cellStyle name="20% - Accent3 35 4" xfId="24519" xr:uid="{00000000-0005-0000-0000-0000BE5F0000}"/>
    <cellStyle name="20% - Accent3 36" xfId="24520" xr:uid="{00000000-0005-0000-0000-0000BF5F0000}"/>
    <cellStyle name="20% - Accent3 36 2" xfId="24521" xr:uid="{00000000-0005-0000-0000-0000C05F0000}"/>
    <cellStyle name="20% - Accent3 36 2 2" xfId="24522" xr:uid="{00000000-0005-0000-0000-0000C15F0000}"/>
    <cellStyle name="20% - Accent3 36 3" xfId="24523" xr:uid="{00000000-0005-0000-0000-0000C25F0000}"/>
    <cellStyle name="20% - Accent3 36 3 2" xfId="24524" xr:uid="{00000000-0005-0000-0000-0000C35F0000}"/>
    <cellStyle name="20% - Accent3 36 4" xfId="24525" xr:uid="{00000000-0005-0000-0000-0000C45F0000}"/>
    <cellStyle name="20% - Accent3 37" xfId="24526" xr:uid="{00000000-0005-0000-0000-0000C55F0000}"/>
    <cellStyle name="20% - Accent3 37 2" xfId="24527" xr:uid="{00000000-0005-0000-0000-0000C65F0000}"/>
    <cellStyle name="20% - Accent3 37 2 2" xfId="24528" xr:uid="{00000000-0005-0000-0000-0000C75F0000}"/>
    <cellStyle name="20% - Accent3 37 3" xfId="24529" xr:uid="{00000000-0005-0000-0000-0000C85F0000}"/>
    <cellStyle name="20% - Accent3 37 3 2" xfId="24530" xr:uid="{00000000-0005-0000-0000-0000C95F0000}"/>
    <cellStyle name="20% - Accent3 37 4" xfId="24531" xr:uid="{00000000-0005-0000-0000-0000CA5F0000}"/>
    <cellStyle name="20% - Accent3 38" xfId="24532" xr:uid="{00000000-0005-0000-0000-0000CB5F0000}"/>
    <cellStyle name="20% - Accent3 38 2" xfId="24533" xr:uid="{00000000-0005-0000-0000-0000CC5F0000}"/>
    <cellStyle name="20% - Accent3 38 2 2" xfId="24534" xr:uid="{00000000-0005-0000-0000-0000CD5F0000}"/>
    <cellStyle name="20% - Accent3 38 3" xfId="24535" xr:uid="{00000000-0005-0000-0000-0000CE5F0000}"/>
    <cellStyle name="20% - Accent3 38 3 2" xfId="24536" xr:uid="{00000000-0005-0000-0000-0000CF5F0000}"/>
    <cellStyle name="20% - Accent3 38 4" xfId="24537" xr:uid="{00000000-0005-0000-0000-0000D05F0000}"/>
    <cellStyle name="20% - Accent3 39" xfId="24538" xr:uid="{00000000-0005-0000-0000-0000D15F0000}"/>
    <cellStyle name="20% - Accent3 39 2" xfId="24539" xr:uid="{00000000-0005-0000-0000-0000D25F0000}"/>
    <cellStyle name="20% - Accent3 39 2 2" xfId="24540" xr:uid="{00000000-0005-0000-0000-0000D35F0000}"/>
    <cellStyle name="20% - Accent3 39 3" xfId="24541" xr:uid="{00000000-0005-0000-0000-0000D45F0000}"/>
    <cellStyle name="20% - Accent3 39 3 2" xfId="24542" xr:uid="{00000000-0005-0000-0000-0000D55F0000}"/>
    <cellStyle name="20% - Accent3 39 4" xfId="24543" xr:uid="{00000000-0005-0000-0000-0000D65F0000}"/>
    <cellStyle name="20% - Accent3 4" xfId="24544" xr:uid="{00000000-0005-0000-0000-0000D75F0000}"/>
    <cellStyle name="20% - Accent3 4 2" xfId="24545" xr:uid="{00000000-0005-0000-0000-0000D85F0000}"/>
    <cellStyle name="20% - Accent3 4 2 2" xfId="24546" xr:uid="{00000000-0005-0000-0000-0000D95F0000}"/>
    <cellStyle name="20% - Accent3 4 3" xfId="24547" xr:uid="{00000000-0005-0000-0000-0000DA5F0000}"/>
    <cellStyle name="20% - Accent3 4 3 2" xfId="24548" xr:uid="{00000000-0005-0000-0000-0000DB5F0000}"/>
    <cellStyle name="20% - Accent3 4 4" xfId="24549" xr:uid="{00000000-0005-0000-0000-0000DC5F0000}"/>
    <cellStyle name="20% - Accent3 4 4 2" xfId="24550" xr:uid="{00000000-0005-0000-0000-0000DD5F0000}"/>
    <cellStyle name="20% - Accent3 4 5" xfId="24551" xr:uid="{00000000-0005-0000-0000-0000DE5F0000}"/>
    <cellStyle name="20% - Accent3 4 5 2" xfId="24552" xr:uid="{00000000-0005-0000-0000-0000DF5F0000}"/>
    <cellStyle name="20% - Accent3 4 6" xfId="24553" xr:uid="{00000000-0005-0000-0000-0000E05F0000}"/>
    <cellStyle name="20% - Accent3 4 6 2" xfId="24554" xr:uid="{00000000-0005-0000-0000-0000E15F0000}"/>
    <cellStyle name="20% - Accent3 4 7" xfId="24555" xr:uid="{00000000-0005-0000-0000-0000E25F0000}"/>
    <cellStyle name="20% - Accent3 40" xfId="24556" xr:uid="{00000000-0005-0000-0000-0000E35F0000}"/>
    <cellStyle name="20% - Accent3 40 2" xfId="24557" xr:uid="{00000000-0005-0000-0000-0000E45F0000}"/>
    <cellStyle name="20% - Accent3 40 2 2" xfId="24558" xr:uid="{00000000-0005-0000-0000-0000E55F0000}"/>
    <cellStyle name="20% - Accent3 40 3" xfId="24559" xr:uid="{00000000-0005-0000-0000-0000E65F0000}"/>
    <cellStyle name="20% - Accent3 40 3 2" xfId="24560" xr:uid="{00000000-0005-0000-0000-0000E75F0000}"/>
    <cellStyle name="20% - Accent3 40 4" xfId="24561" xr:uid="{00000000-0005-0000-0000-0000E85F0000}"/>
    <cellStyle name="20% - Accent3 41" xfId="24562" xr:uid="{00000000-0005-0000-0000-0000E95F0000}"/>
    <cellStyle name="20% - Accent3 41 2" xfId="24563" xr:uid="{00000000-0005-0000-0000-0000EA5F0000}"/>
    <cellStyle name="20% - Accent3 41 2 2" xfId="24564" xr:uid="{00000000-0005-0000-0000-0000EB5F0000}"/>
    <cellStyle name="20% - Accent3 41 3" xfId="24565" xr:uid="{00000000-0005-0000-0000-0000EC5F0000}"/>
    <cellStyle name="20% - Accent3 41 3 2" xfId="24566" xr:uid="{00000000-0005-0000-0000-0000ED5F0000}"/>
    <cellStyle name="20% - Accent3 41 4" xfId="24567" xr:uid="{00000000-0005-0000-0000-0000EE5F0000}"/>
    <cellStyle name="20% - Accent3 42" xfId="24568" xr:uid="{00000000-0005-0000-0000-0000EF5F0000}"/>
    <cellStyle name="20% - Accent3 42 2" xfId="24569" xr:uid="{00000000-0005-0000-0000-0000F05F0000}"/>
    <cellStyle name="20% - Accent3 42 2 2" xfId="24570" xr:uid="{00000000-0005-0000-0000-0000F15F0000}"/>
    <cellStyle name="20% - Accent3 42 3" xfId="24571" xr:uid="{00000000-0005-0000-0000-0000F25F0000}"/>
    <cellStyle name="20% - Accent3 42 3 2" xfId="24572" xr:uid="{00000000-0005-0000-0000-0000F35F0000}"/>
    <cellStyle name="20% - Accent3 42 4" xfId="24573" xr:uid="{00000000-0005-0000-0000-0000F45F0000}"/>
    <cellStyle name="20% - Accent3 43" xfId="24574" xr:uid="{00000000-0005-0000-0000-0000F55F0000}"/>
    <cellStyle name="20% - Accent3 43 2" xfId="24575" xr:uid="{00000000-0005-0000-0000-0000F65F0000}"/>
    <cellStyle name="20% - Accent3 43 2 2" xfId="24576" xr:uid="{00000000-0005-0000-0000-0000F75F0000}"/>
    <cellStyle name="20% - Accent3 43 3" xfId="24577" xr:uid="{00000000-0005-0000-0000-0000F85F0000}"/>
    <cellStyle name="20% - Accent3 43 3 2" xfId="24578" xr:uid="{00000000-0005-0000-0000-0000F95F0000}"/>
    <cellStyle name="20% - Accent3 43 4" xfId="24579" xr:uid="{00000000-0005-0000-0000-0000FA5F0000}"/>
    <cellStyle name="20% - Accent3 44" xfId="24580" xr:uid="{00000000-0005-0000-0000-0000FB5F0000}"/>
    <cellStyle name="20% - Accent3 44 2" xfId="24581" xr:uid="{00000000-0005-0000-0000-0000FC5F0000}"/>
    <cellStyle name="20% - Accent3 44 2 2" xfId="24582" xr:uid="{00000000-0005-0000-0000-0000FD5F0000}"/>
    <cellStyle name="20% - Accent3 44 3" xfId="24583" xr:uid="{00000000-0005-0000-0000-0000FE5F0000}"/>
    <cellStyle name="20% - Accent3 44 3 2" xfId="24584" xr:uid="{00000000-0005-0000-0000-0000FF5F0000}"/>
    <cellStyle name="20% - Accent3 44 4" xfId="24585" xr:uid="{00000000-0005-0000-0000-000000600000}"/>
    <cellStyle name="20% - Accent3 45" xfId="24586" xr:uid="{00000000-0005-0000-0000-000001600000}"/>
    <cellStyle name="20% - Accent3 45 2" xfId="24587" xr:uid="{00000000-0005-0000-0000-000002600000}"/>
    <cellStyle name="20% - Accent3 45 2 2" xfId="24588" xr:uid="{00000000-0005-0000-0000-000003600000}"/>
    <cellStyle name="20% - Accent3 45 3" xfId="24589" xr:uid="{00000000-0005-0000-0000-000004600000}"/>
    <cellStyle name="20% - Accent3 45 3 2" xfId="24590" xr:uid="{00000000-0005-0000-0000-000005600000}"/>
    <cellStyle name="20% - Accent3 45 4" xfId="24591" xr:uid="{00000000-0005-0000-0000-000006600000}"/>
    <cellStyle name="20% - Accent3 46" xfId="24592" xr:uid="{00000000-0005-0000-0000-000007600000}"/>
    <cellStyle name="20% - Accent3 46 2" xfId="24593" xr:uid="{00000000-0005-0000-0000-000008600000}"/>
    <cellStyle name="20% - Accent3 46 2 2" xfId="24594" xr:uid="{00000000-0005-0000-0000-000009600000}"/>
    <cellStyle name="20% - Accent3 46 3" xfId="24595" xr:uid="{00000000-0005-0000-0000-00000A600000}"/>
    <cellStyle name="20% - Accent3 46 3 2" xfId="24596" xr:uid="{00000000-0005-0000-0000-00000B600000}"/>
    <cellStyle name="20% - Accent3 46 4" xfId="24597" xr:uid="{00000000-0005-0000-0000-00000C600000}"/>
    <cellStyle name="20% - Accent3 47" xfId="24598" xr:uid="{00000000-0005-0000-0000-00000D600000}"/>
    <cellStyle name="20% - Accent3 47 2" xfId="24599" xr:uid="{00000000-0005-0000-0000-00000E600000}"/>
    <cellStyle name="20% - Accent3 47 2 2" xfId="24600" xr:uid="{00000000-0005-0000-0000-00000F600000}"/>
    <cellStyle name="20% - Accent3 47 3" xfId="24601" xr:uid="{00000000-0005-0000-0000-000010600000}"/>
    <cellStyle name="20% - Accent3 47 3 2" xfId="24602" xr:uid="{00000000-0005-0000-0000-000011600000}"/>
    <cellStyle name="20% - Accent3 47 4" xfId="24603" xr:uid="{00000000-0005-0000-0000-000012600000}"/>
    <cellStyle name="20% - Accent3 48" xfId="24604" xr:uid="{00000000-0005-0000-0000-000013600000}"/>
    <cellStyle name="20% - Accent3 48 2" xfId="24605" xr:uid="{00000000-0005-0000-0000-000014600000}"/>
    <cellStyle name="20% - Accent3 48 2 2" xfId="24606" xr:uid="{00000000-0005-0000-0000-000015600000}"/>
    <cellStyle name="20% - Accent3 48 3" xfId="24607" xr:uid="{00000000-0005-0000-0000-000016600000}"/>
    <cellStyle name="20% - Accent3 48 3 2" xfId="24608" xr:uid="{00000000-0005-0000-0000-000017600000}"/>
    <cellStyle name="20% - Accent3 48 4" xfId="24609" xr:uid="{00000000-0005-0000-0000-000018600000}"/>
    <cellStyle name="20% - Accent3 49" xfId="24610" xr:uid="{00000000-0005-0000-0000-000019600000}"/>
    <cellStyle name="20% - Accent3 49 2" xfId="24611" xr:uid="{00000000-0005-0000-0000-00001A600000}"/>
    <cellStyle name="20% - Accent3 49 2 2" xfId="24612" xr:uid="{00000000-0005-0000-0000-00001B600000}"/>
    <cellStyle name="20% - Accent3 49 3" xfId="24613" xr:uid="{00000000-0005-0000-0000-00001C600000}"/>
    <cellStyle name="20% - Accent3 49 3 2" xfId="24614" xr:uid="{00000000-0005-0000-0000-00001D600000}"/>
    <cellStyle name="20% - Accent3 49 4" xfId="24615" xr:uid="{00000000-0005-0000-0000-00001E600000}"/>
    <cellStyle name="20% - Accent3 5" xfId="24616" xr:uid="{00000000-0005-0000-0000-00001F600000}"/>
    <cellStyle name="20% - Accent3 5 2" xfId="24617" xr:uid="{00000000-0005-0000-0000-000020600000}"/>
    <cellStyle name="20% - Accent3 5 2 2" xfId="24618" xr:uid="{00000000-0005-0000-0000-000021600000}"/>
    <cellStyle name="20% - Accent3 5 3" xfId="24619" xr:uid="{00000000-0005-0000-0000-000022600000}"/>
    <cellStyle name="20% - Accent3 5 3 2" xfId="24620" xr:uid="{00000000-0005-0000-0000-000023600000}"/>
    <cellStyle name="20% - Accent3 5 4" xfId="24621" xr:uid="{00000000-0005-0000-0000-000024600000}"/>
    <cellStyle name="20% - Accent3 5 4 2" xfId="24622" xr:uid="{00000000-0005-0000-0000-000025600000}"/>
    <cellStyle name="20% - Accent3 5 5" xfId="24623" xr:uid="{00000000-0005-0000-0000-000026600000}"/>
    <cellStyle name="20% - Accent3 5 5 2" xfId="24624" xr:uid="{00000000-0005-0000-0000-000027600000}"/>
    <cellStyle name="20% - Accent3 5 6" xfId="24625" xr:uid="{00000000-0005-0000-0000-000028600000}"/>
    <cellStyle name="20% - Accent3 50" xfId="24626" xr:uid="{00000000-0005-0000-0000-000029600000}"/>
    <cellStyle name="20% - Accent3 50 2" xfId="24627" xr:uid="{00000000-0005-0000-0000-00002A600000}"/>
    <cellStyle name="20% - Accent3 50 2 2" xfId="24628" xr:uid="{00000000-0005-0000-0000-00002B600000}"/>
    <cellStyle name="20% - Accent3 50 3" xfId="24629" xr:uid="{00000000-0005-0000-0000-00002C600000}"/>
    <cellStyle name="20% - Accent3 50 3 2" xfId="24630" xr:uid="{00000000-0005-0000-0000-00002D600000}"/>
    <cellStyle name="20% - Accent3 50 4" xfId="24631" xr:uid="{00000000-0005-0000-0000-00002E600000}"/>
    <cellStyle name="20% - Accent3 51" xfId="24632" xr:uid="{00000000-0005-0000-0000-00002F600000}"/>
    <cellStyle name="20% - Accent3 51 2" xfId="24633" xr:uid="{00000000-0005-0000-0000-000030600000}"/>
    <cellStyle name="20% - Accent3 51 2 2" xfId="24634" xr:uid="{00000000-0005-0000-0000-000031600000}"/>
    <cellStyle name="20% - Accent3 51 3" xfId="24635" xr:uid="{00000000-0005-0000-0000-000032600000}"/>
    <cellStyle name="20% - Accent3 51 3 2" xfId="24636" xr:uid="{00000000-0005-0000-0000-000033600000}"/>
    <cellStyle name="20% - Accent3 51 4" xfId="24637" xr:uid="{00000000-0005-0000-0000-000034600000}"/>
    <cellStyle name="20% - Accent3 52" xfId="24638" xr:uid="{00000000-0005-0000-0000-000035600000}"/>
    <cellStyle name="20% - Accent3 52 2" xfId="24639" xr:uid="{00000000-0005-0000-0000-000036600000}"/>
    <cellStyle name="20% - Accent3 52 2 2" xfId="24640" xr:uid="{00000000-0005-0000-0000-000037600000}"/>
    <cellStyle name="20% - Accent3 52 3" xfId="24641" xr:uid="{00000000-0005-0000-0000-000038600000}"/>
    <cellStyle name="20% - Accent3 52 3 2" xfId="24642" xr:uid="{00000000-0005-0000-0000-000039600000}"/>
    <cellStyle name="20% - Accent3 52 4" xfId="24643" xr:uid="{00000000-0005-0000-0000-00003A600000}"/>
    <cellStyle name="20% - Accent3 53" xfId="24644" xr:uid="{00000000-0005-0000-0000-00003B600000}"/>
    <cellStyle name="20% - Accent3 53 2" xfId="24645" xr:uid="{00000000-0005-0000-0000-00003C600000}"/>
    <cellStyle name="20% - Accent3 53 2 2" xfId="24646" xr:uid="{00000000-0005-0000-0000-00003D600000}"/>
    <cellStyle name="20% - Accent3 53 3" xfId="24647" xr:uid="{00000000-0005-0000-0000-00003E600000}"/>
    <cellStyle name="20% - Accent3 53 3 2" xfId="24648" xr:uid="{00000000-0005-0000-0000-00003F600000}"/>
    <cellStyle name="20% - Accent3 53 4" xfId="24649" xr:uid="{00000000-0005-0000-0000-000040600000}"/>
    <cellStyle name="20% - Accent3 54" xfId="24650" xr:uid="{00000000-0005-0000-0000-000041600000}"/>
    <cellStyle name="20% - Accent3 54 2" xfId="24651" xr:uid="{00000000-0005-0000-0000-000042600000}"/>
    <cellStyle name="20% - Accent3 54 2 2" xfId="24652" xr:uid="{00000000-0005-0000-0000-000043600000}"/>
    <cellStyle name="20% - Accent3 54 3" xfId="24653" xr:uid="{00000000-0005-0000-0000-000044600000}"/>
    <cellStyle name="20% - Accent3 54 3 2" xfId="24654" xr:uid="{00000000-0005-0000-0000-000045600000}"/>
    <cellStyle name="20% - Accent3 54 4" xfId="24655" xr:uid="{00000000-0005-0000-0000-000046600000}"/>
    <cellStyle name="20% - Accent3 55" xfId="24656" xr:uid="{00000000-0005-0000-0000-000047600000}"/>
    <cellStyle name="20% - Accent3 55 2" xfId="24657" xr:uid="{00000000-0005-0000-0000-000048600000}"/>
    <cellStyle name="20% - Accent3 55 2 2" xfId="24658" xr:uid="{00000000-0005-0000-0000-000049600000}"/>
    <cellStyle name="20% - Accent3 55 3" xfId="24659" xr:uid="{00000000-0005-0000-0000-00004A600000}"/>
    <cellStyle name="20% - Accent3 55 3 2" xfId="24660" xr:uid="{00000000-0005-0000-0000-00004B600000}"/>
    <cellStyle name="20% - Accent3 55 4" xfId="24661" xr:uid="{00000000-0005-0000-0000-00004C600000}"/>
    <cellStyle name="20% - Accent3 56" xfId="24662" xr:uid="{00000000-0005-0000-0000-00004D600000}"/>
    <cellStyle name="20% - Accent3 56 2" xfId="24663" xr:uid="{00000000-0005-0000-0000-00004E600000}"/>
    <cellStyle name="20% - Accent3 56 2 2" xfId="24664" xr:uid="{00000000-0005-0000-0000-00004F600000}"/>
    <cellStyle name="20% - Accent3 56 3" xfId="24665" xr:uid="{00000000-0005-0000-0000-000050600000}"/>
    <cellStyle name="20% - Accent3 56 3 2" xfId="24666" xr:uid="{00000000-0005-0000-0000-000051600000}"/>
    <cellStyle name="20% - Accent3 56 4" xfId="24667" xr:uid="{00000000-0005-0000-0000-000052600000}"/>
    <cellStyle name="20% - Accent3 57" xfId="24668" xr:uid="{00000000-0005-0000-0000-000053600000}"/>
    <cellStyle name="20% - Accent3 57 2" xfId="24669" xr:uid="{00000000-0005-0000-0000-000054600000}"/>
    <cellStyle name="20% - Accent3 57 2 2" xfId="24670" xr:uid="{00000000-0005-0000-0000-000055600000}"/>
    <cellStyle name="20% - Accent3 57 3" xfId="24671" xr:uid="{00000000-0005-0000-0000-000056600000}"/>
    <cellStyle name="20% - Accent3 57 3 2" xfId="24672" xr:uid="{00000000-0005-0000-0000-000057600000}"/>
    <cellStyle name="20% - Accent3 57 4" xfId="24673" xr:uid="{00000000-0005-0000-0000-000058600000}"/>
    <cellStyle name="20% - Accent3 58" xfId="24674" xr:uid="{00000000-0005-0000-0000-000059600000}"/>
    <cellStyle name="20% - Accent3 58 2" xfId="24675" xr:uid="{00000000-0005-0000-0000-00005A600000}"/>
    <cellStyle name="20% - Accent3 58 2 2" xfId="24676" xr:uid="{00000000-0005-0000-0000-00005B600000}"/>
    <cellStyle name="20% - Accent3 58 3" xfId="24677" xr:uid="{00000000-0005-0000-0000-00005C600000}"/>
    <cellStyle name="20% - Accent3 58 3 2" xfId="24678" xr:uid="{00000000-0005-0000-0000-00005D600000}"/>
    <cellStyle name="20% - Accent3 58 4" xfId="24679" xr:uid="{00000000-0005-0000-0000-00005E600000}"/>
    <cellStyle name="20% - Accent3 59" xfId="24680" xr:uid="{00000000-0005-0000-0000-00005F600000}"/>
    <cellStyle name="20% - Accent3 59 2" xfId="24681" xr:uid="{00000000-0005-0000-0000-000060600000}"/>
    <cellStyle name="20% - Accent3 59 2 2" xfId="24682" xr:uid="{00000000-0005-0000-0000-000061600000}"/>
    <cellStyle name="20% - Accent3 59 3" xfId="24683" xr:uid="{00000000-0005-0000-0000-000062600000}"/>
    <cellStyle name="20% - Accent3 6" xfId="24684" xr:uid="{00000000-0005-0000-0000-000063600000}"/>
    <cellStyle name="20% - Accent3 6 2" xfId="24685" xr:uid="{00000000-0005-0000-0000-000064600000}"/>
    <cellStyle name="20% - Accent3 6 2 2" xfId="24686" xr:uid="{00000000-0005-0000-0000-000065600000}"/>
    <cellStyle name="20% - Accent3 6 3" xfId="24687" xr:uid="{00000000-0005-0000-0000-000066600000}"/>
    <cellStyle name="20% - Accent3 6 3 2" xfId="24688" xr:uid="{00000000-0005-0000-0000-000067600000}"/>
    <cellStyle name="20% - Accent3 6 4" xfId="24689" xr:uid="{00000000-0005-0000-0000-000068600000}"/>
    <cellStyle name="20% - Accent3 6 4 2" xfId="24690" xr:uid="{00000000-0005-0000-0000-000069600000}"/>
    <cellStyle name="20% - Accent3 6 5" xfId="24691" xr:uid="{00000000-0005-0000-0000-00006A600000}"/>
    <cellStyle name="20% - Accent3 6 5 2" xfId="24692" xr:uid="{00000000-0005-0000-0000-00006B600000}"/>
    <cellStyle name="20% - Accent3 6 6" xfId="24693" xr:uid="{00000000-0005-0000-0000-00006C600000}"/>
    <cellStyle name="20% - Accent3 60" xfId="24694" xr:uid="{00000000-0005-0000-0000-00006D600000}"/>
    <cellStyle name="20% - Accent3 60 2" xfId="24695" xr:uid="{00000000-0005-0000-0000-00006E600000}"/>
    <cellStyle name="20% - Accent3 61" xfId="24696" xr:uid="{00000000-0005-0000-0000-00006F600000}"/>
    <cellStyle name="20% - Accent3 61 2" xfId="24697" xr:uid="{00000000-0005-0000-0000-000070600000}"/>
    <cellStyle name="20% - Accent3 62" xfId="24698" xr:uid="{00000000-0005-0000-0000-000071600000}"/>
    <cellStyle name="20% - Accent3 62 2" xfId="24699" xr:uid="{00000000-0005-0000-0000-000072600000}"/>
    <cellStyle name="20% - Accent3 63" xfId="24700" xr:uid="{00000000-0005-0000-0000-000073600000}"/>
    <cellStyle name="20% - Accent3 63 2" xfId="24701" xr:uid="{00000000-0005-0000-0000-000074600000}"/>
    <cellStyle name="20% - Accent3 64" xfId="24702" xr:uid="{00000000-0005-0000-0000-000075600000}"/>
    <cellStyle name="20% - Accent3 64 2" xfId="24703" xr:uid="{00000000-0005-0000-0000-000076600000}"/>
    <cellStyle name="20% - Accent3 65" xfId="24704" xr:uid="{00000000-0005-0000-0000-000077600000}"/>
    <cellStyle name="20% - Accent3 65 2" xfId="24705" xr:uid="{00000000-0005-0000-0000-000078600000}"/>
    <cellStyle name="20% - Accent3 66" xfId="24706" xr:uid="{00000000-0005-0000-0000-000079600000}"/>
    <cellStyle name="20% - Accent3 66 2" xfId="24707" xr:uid="{00000000-0005-0000-0000-00007A600000}"/>
    <cellStyle name="20% - Accent3 67" xfId="24708" xr:uid="{00000000-0005-0000-0000-00007B600000}"/>
    <cellStyle name="20% - Accent3 67 2" xfId="24709" xr:uid="{00000000-0005-0000-0000-00007C600000}"/>
    <cellStyle name="20% - Accent3 68" xfId="24710" xr:uid="{00000000-0005-0000-0000-00007D600000}"/>
    <cellStyle name="20% - Accent3 68 2" xfId="24711" xr:uid="{00000000-0005-0000-0000-00007E600000}"/>
    <cellStyle name="20% - Accent3 69" xfId="24712" xr:uid="{00000000-0005-0000-0000-00007F600000}"/>
    <cellStyle name="20% - Accent3 69 2" xfId="24713" xr:uid="{00000000-0005-0000-0000-000080600000}"/>
    <cellStyle name="20% - Accent3 7" xfId="24714" xr:uid="{00000000-0005-0000-0000-000081600000}"/>
    <cellStyle name="20% - Accent3 7 2" xfId="24715" xr:uid="{00000000-0005-0000-0000-000082600000}"/>
    <cellStyle name="20% - Accent3 7 2 2" xfId="24716" xr:uid="{00000000-0005-0000-0000-000083600000}"/>
    <cellStyle name="20% - Accent3 7 3" xfId="24717" xr:uid="{00000000-0005-0000-0000-000084600000}"/>
    <cellStyle name="20% - Accent3 7 3 2" xfId="24718" xr:uid="{00000000-0005-0000-0000-000085600000}"/>
    <cellStyle name="20% - Accent3 7 4" xfId="24719" xr:uid="{00000000-0005-0000-0000-000086600000}"/>
    <cellStyle name="20% - Accent3 7 4 2" xfId="24720" xr:uid="{00000000-0005-0000-0000-000087600000}"/>
    <cellStyle name="20% - Accent3 7 5" xfId="24721" xr:uid="{00000000-0005-0000-0000-000088600000}"/>
    <cellStyle name="20% - Accent3 7 5 2" xfId="24722" xr:uid="{00000000-0005-0000-0000-000089600000}"/>
    <cellStyle name="20% - Accent3 7 6" xfId="24723" xr:uid="{00000000-0005-0000-0000-00008A600000}"/>
    <cellStyle name="20% - Accent3 70" xfId="24724" xr:uid="{00000000-0005-0000-0000-00008B600000}"/>
    <cellStyle name="20% - Accent3 70 2" xfId="24725" xr:uid="{00000000-0005-0000-0000-00008C600000}"/>
    <cellStyle name="20% - Accent3 71" xfId="24726" xr:uid="{00000000-0005-0000-0000-00008D600000}"/>
    <cellStyle name="20% - Accent3 71 2" xfId="24727" xr:uid="{00000000-0005-0000-0000-00008E600000}"/>
    <cellStyle name="20% - Accent3 72" xfId="24728" xr:uid="{00000000-0005-0000-0000-00008F600000}"/>
    <cellStyle name="20% - Accent3 72 2" xfId="24729" xr:uid="{00000000-0005-0000-0000-000090600000}"/>
    <cellStyle name="20% - Accent3 73" xfId="24730" xr:uid="{00000000-0005-0000-0000-000091600000}"/>
    <cellStyle name="20% - Accent3 73 2" xfId="24731" xr:uid="{00000000-0005-0000-0000-000092600000}"/>
    <cellStyle name="20% - Accent3 74" xfId="24732" xr:uid="{00000000-0005-0000-0000-000093600000}"/>
    <cellStyle name="20% - Accent3 74 2" xfId="24733" xr:uid="{00000000-0005-0000-0000-000094600000}"/>
    <cellStyle name="20% - Accent3 75" xfId="24734" xr:uid="{00000000-0005-0000-0000-000095600000}"/>
    <cellStyle name="20% - Accent3 75 2" xfId="24735" xr:uid="{00000000-0005-0000-0000-000096600000}"/>
    <cellStyle name="20% - Accent3 76" xfId="24736" xr:uid="{00000000-0005-0000-0000-000097600000}"/>
    <cellStyle name="20% - Accent3 76 2" xfId="24737" xr:uid="{00000000-0005-0000-0000-000098600000}"/>
    <cellStyle name="20% - Accent3 77" xfId="24738" xr:uid="{00000000-0005-0000-0000-000099600000}"/>
    <cellStyle name="20% - Accent3 77 2" xfId="24739" xr:uid="{00000000-0005-0000-0000-00009A600000}"/>
    <cellStyle name="20% - Accent3 78" xfId="24740" xr:uid="{00000000-0005-0000-0000-00009B600000}"/>
    <cellStyle name="20% - Accent3 78 2" xfId="24741" xr:uid="{00000000-0005-0000-0000-00009C600000}"/>
    <cellStyle name="20% - Accent3 79" xfId="24742" xr:uid="{00000000-0005-0000-0000-00009D600000}"/>
    <cellStyle name="20% - Accent3 79 2" xfId="24743" xr:uid="{00000000-0005-0000-0000-00009E600000}"/>
    <cellStyle name="20% - Accent3 8" xfId="24744" xr:uid="{00000000-0005-0000-0000-00009F600000}"/>
    <cellStyle name="20% - Accent3 8 2" xfId="24745" xr:uid="{00000000-0005-0000-0000-0000A0600000}"/>
    <cellStyle name="20% - Accent3 8 2 2" xfId="24746" xr:uid="{00000000-0005-0000-0000-0000A1600000}"/>
    <cellStyle name="20% - Accent3 8 3" xfId="24747" xr:uid="{00000000-0005-0000-0000-0000A2600000}"/>
    <cellStyle name="20% - Accent3 8 3 2" xfId="24748" xr:uid="{00000000-0005-0000-0000-0000A3600000}"/>
    <cellStyle name="20% - Accent3 8 4" xfId="24749" xr:uid="{00000000-0005-0000-0000-0000A4600000}"/>
    <cellStyle name="20% - Accent3 8 4 2" xfId="24750" xr:uid="{00000000-0005-0000-0000-0000A5600000}"/>
    <cellStyle name="20% - Accent3 8 5" xfId="24751" xr:uid="{00000000-0005-0000-0000-0000A6600000}"/>
    <cellStyle name="20% - Accent3 8 5 2" xfId="24752" xr:uid="{00000000-0005-0000-0000-0000A7600000}"/>
    <cellStyle name="20% - Accent3 8 6" xfId="24753" xr:uid="{00000000-0005-0000-0000-0000A8600000}"/>
    <cellStyle name="20% - Accent3 80" xfId="24754" xr:uid="{00000000-0005-0000-0000-0000A9600000}"/>
    <cellStyle name="20% - Accent3 80 2" xfId="24755" xr:uid="{00000000-0005-0000-0000-0000AA600000}"/>
    <cellStyle name="20% - Accent3 81" xfId="24756" xr:uid="{00000000-0005-0000-0000-0000AB600000}"/>
    <cellStyle name="20% - Accent3 81 2" xfId="24757" xr:uid="{00000000-0005-0000-0000-0000AC600000}"/>
    <cellStyle name="20% - Accent3 82" xfId="24758" xr:uid="{00000000-0005-0000-0000-0000AD600000}"/>
    <cellStyle name="20% - Accent3 82 2" xfId="24759" xr:uid="{00000000-0005-0000-0000-0000AE600000}"/>
    <cellStyle name="20% - Accent3 83" xfId="24760" xr:uid="{00000000-0005-0000-0000-0000AF600000}"/>
    <cellStyle name="20% - Accent3 83 2" xfId="24761" xr:uid="{00000000-0005-0000-0000-0000B0600000}"/>
    <cellStyle name="20% - Accent3 84" xfId="24762" xr:uid="{00000000-0005-0000-0000-0000B1600000}"/>
    <cellStyle name="20% - Accent3 84 2" xfId="24763" xr:uid="{00000000-0005-0000-0000-0000B2600000}"/>
    <cellStyle name="20% - Accent3 85" xfId="24764" xr:uid="{00000000-0005-0000-0000-0000B3600000}"/>
    <cellStyle name="20% - Accent3 85 2" xfId="24765" xr:uid="{00000000-0005-0000-0000-0000B4600000}"/>
    <cellStyle name="20% - Accent3 86" xfId="24766" xr:uid="{00000000-0005-0000-0000-0000B5600000}"/>
    <cellStyle name="20% - Accent3 86 2" xfId="24767" xr:uid="{00000000-0005-0000-0000-0000B6600000}"/>
    <cellStyle name="20% - Accent3 87" xfId="24768" xr:uid="{00000000-0005-0000-0000-0000B7600000}"/>
    <cellStyle name="20% - Accent3 87 2" xfId="24769" xr:uid="{00000000-0005-0000-0000-0000B8600000}"/>
    <cellStyle name="20% - Accent3 88" xfId="24770" xr:uid="{00000000-0005-0000-0000-0000B9600000}"/>
    <cellStyle name="20% - Accent3 88 2" xfId="24771" xr:uid="{00000000-0005-0000-0000-0000BA600000}"/>
    <cellStyle name="20% - Accent3 89" xfId="24772" xr:uid="{00000000-0005-0000-0000-0000BB600000}"/>
    <cellStyle name="20% - Accent3 89 2" xfId="24773" xr:uid="{00000000-0005-0000-0000-0000BC600000}"/>
    <cellStyle name="20% - Accent3 9" xfId="24774" xr:uid="{00000000-0005-0000-0000-0000BD600000}"/>
    <cellStyle name="20% - Accent3 9 2" xfId="24775" xr:uid="{00000000-0005-0000-0000-0000BE600000}"/>
    <cellStyle name="20% - Accent3 9 2 2" xfId="24776" xr:uid="{00000000-0005-0000-0000-0000BF600000}"/>
    <cellStyle name="20% - Accent3 9 3" xfId="24777" xr:uid="{00000000-0005-0000-0000-0000C0600000}"/>
    <cellStyle name="20% - Accent3 9 3 2" xfId="24778" xr:uid="{00000000-0005-0000-0000-0000C1600000}"/>
    <cellStyle name="20% - Accent3 9 4" xfId="24779" xr:uid="{00000000-0005-0000-0000-0000C2600000}"/>
    <cellStyle name="20% - Accent3 9 4 2" xfId="24780" xr:uid="{00000000-0005-0000-0000-0000C3600000}"/>
    <cellStyle name="20% - Accent3 9 5" xfId="24781" xr:uid="{00000000-0005-0000-0000-0000C4600000}"/>
    <cellStyle name="20% - Accent3 9 5 2" xfId="24782" xr:uid="{00000000-0005-0000-0000-0000C5600000}"/>
    <cellStyle name="20% - Accent3 9 6" xfId="24783" xr:uid="{00000000-0005-0000-0000-0000C6600000}"/>
    <cellStyle name="20% - Accent3 90" xfId="24784" xr:uid="{00000000-0005-0000-0000-0000C7600000}"/>
    <cellStyle name="20% - Accent3 90 2" xfId="24785" xr:uid="{00000000-0005-0000-0000-0000C8600000}"/>
    <cellStyle name="20% - Accent3 91" xfId="24786" xr:uid="{00000000-0005-0000-0000-0000C9600000}"/>
    <cellStyle name="20% - Accent3 91 2" xfId="24787" xr:uid="{00000000-0005-0000-0000-0000CA600000}"/>
    <cellStyle name="20% - Accent3 92" xfId="24788" xr:uid="{00000000-0005-0000-0000-0000CB600000}"/>
    <cellStyle name="20% - Accent3 92 2" xfId="24789" xr:uid="{00000000-0005-0000-0000-0000CC600000}"/>
    <cellStyle name="20% - Accent3 93" xfId="24790" xr:uid="{00000000-0005-0000-0000-0000CD600000}"/>
    <cellStyle name="20% - Accent3 93 2" xfId="24791" xr:uid="{00000000-0005-0000-0000-0000CE600000}"/>
    <cellStyle name="20% - Accent3 94" xfId="24792" xr:uid="{00000000-0005-0000-0000-0000CF600000}"/>
    <cellStyle name="20% - Accent3 94 2" xfId="24793" xr:uid="{00000000-0005-0000-0000-0000D0600000}"/>
    <cellStyle name="20% - Accent3 95" xfId="24794" xr:uid="{00000000-0005-0000-0000-0000D1600000}"/>
    <cellStyle name="20% - Accent3 95 2" xfId="24795" xr:uid="{00000000-0005-0000-0000-0000D2600000}"/>
    <cellStyle name="20% - Accent3 96" xfId="24796" xr:uid="{00000000-0005-0000-0000-0000D3600000}"/>
    <cellStyle name="20% - Accent3 96 2" xfId="24797" xr:uid="{00000000-0005-0000-0000-0000D4600000}"/>
    <cellStyle name="20% - Accent3 97" xfId="24798" xr:uid="{00000000-0005-0000-0000-0000D5600000}"/>
    <cellStyle name="20% - Accent3 97 2" xfId="24799" xr:uid="{00000000-0005-0000-0000-0000D6600000}"/>
    <cellStyle name="20% - Accent3 98" xfId="24800" xr:uid="{00000000-0005-0000-0000-0000D7600000}"/>
    <cellStyle name="20% - Accent3 98 2" xfId="24801" xr:uid="{00000000-0005-0000-0000-0000D8600000}"/>
    <cellStyle name="20% - Accent3 99" xfId="24802" xr:uid="{00000000-0005-0000-0000-0000D9600000}"/>
    <cellStyle name="20% - Accent3 99 2" xfId="24803" xr:uid="{00000000-0005-0000-0000-0000DA600000}"/>
    <cellStyle name="20% - Accent4 10" xfId="24804" xr:uid="{00000000-0005-0000-0000-0000DB600000}"/>
    <cellStyle name="20% - Accent4 10 2" xfId="24805" xr:uid="{00000000-0005-0000-0000-0000DC600000}"/>
    <cellStyle name="20% - Accent4 10 2 2" xfId="24806" xr:uid="{00000000-0005-0000-0000-0000DD600000}"/>
    <cellStyle name="20% - Accent4 10 2 2 2" xfId="24807" xr:uid="{00000000-0005-0000-0000-0000DE600000}"/>
    <cellStyle name="20% - Accent4 10 2 3" xfId="24808" xr:uid="{00000000-0005-0000-0000-0000DF600000}"/>
    <cellStyle name="20% - Accent4 10 2 3 2" xfId="24809" xr:uid="{00000000-0005-0000-0000-0000E0600000}"/>
    <cellStyle name="20% - Accent4 10 2 4" xfId="24810" xr:uid="{00000000-0005-0000-0000-0000E1600000}"/>
    <cellStyle name="20% - Accent4 10 3" xfId="24811" xr:uid="{00000000-0005-0000-0000-0000E2600000}"/>
    <cellStyle name="20% - Accent4 10 3 2" xfId="24812" xr:uid="{00000000-0005-0000-0000-0000E3600000}"/>
    <cellStyle name="20% - Accent4 10 3 2 2" xfId="24813" xr:uid="{00000000-0005-0000-0000-0000E4600000}"/>
    <cellStyle name="20% - Accent4 10 3 3" xfId="24814" xr:uid="{00000000-0005-0000-0000-0000E5600000}"/>
    <cellStyle name="20% - Accent4 10 3 3 2" xfId="24815" xr:uid="{00000000-0005-0000-0000-0000E6600000}"/>
    <cellStyle name="20% - Accent4 10 3 4" xfId="24816" xr:uid="{00000000-0005-0000-0000-0000E7600000}"/>
    <cellStyle name="20% - Accent4 10 4" xfId="24817" xr:uid="{00000000-0005-0000-0000-0000E8600000}"/>
    <cellStyle name="20% - Accent4 10 4 2" xfId="24818" xr:uid="{00000000-0005-0000-0000-0000E9600000}"/>
    <cellStyle name="20% - Accent4 10 5" xfId="24819" xr:uid="{00000000-0005-0000-0000-0000EA600000}"/>
    <cellStyle name="20% - Accent4 10 5 2" xfId="24820" xr:uid="{00000000-0005-0000-0000-0000EB600000}"/>
    <cellStyle name="20% - Accent4 10 6" xfId="24821" xr:uid="{00000000-0005-0000-0000-0000EC600000}"/>
    <cellStyle name="20% - Accent4 100" xfId="24822" xr:uid="{00000000-0005-0000-0000-0000ED600000}"/>
    <cellStyle name="20% - Accent4 100 2" xfId="24823" xr:uid="{00000000-0005-0000-0000-0000EE600000}"/>
    <cellStyle name="20% - Accent4 101" xfId="24824" xr:uid="{00000000-0005-0000-0000-0000EF600000}"/>
    <cellStyle name="20% - Accent4 101 2" xfId="24825" xr:uid="{00000000-0005-0000-0000-0000F0600000}"/>
    <cellStyle name="20% - Accent4 102" xfId="24826" xr:uid="{00000000-0005-0000-0000-0000F1600000}"/>
    <cellStyle name="20% - Accent4 102 2" xfId="24827" xr:uid="{00000000-0005-0000-0000-0000F2600000}"/>
    <cellStyle name="20% - Accent4 103" xfId="24828" xr:uid="{00000000-0005-0000-0000-0000F3600000}"/>
    <cellStyle name="20% - Accent4 103 2" xfId="24829" xr:uid="{00000000-0005-0000-0000-0000F4600000}"/>
    <cellStyle name="20% - Accent4 104" xfId="24830" xr:uid="{00000000-0005-0000-0000-0000F5600000}"/>
    <cellStyle name="20% - Accent4 104 2" xfId="24831" xr:uid="{00000000-0005-0000-0000-0000F6600000}"/>
    <cellStyle name="20% - Accent4 105" xfId="24832" xr:uid="{00000000-0005-0000-0000-0000F7600000}"/>
    <cellStyle name="20% - Accent4 105 2" xfId="24833" xr:uid="{00000000-0005-0000-0000-0000F8600000}"/>
    <cellStyle name="20% - Accent4 106" xfId="24834" xr:uid="{00000000-0005-0000-0000-0000F9600000}"/>
    <cellStyle name="20% - Accent4 106 2" xfId="24835" xr:uid="{00000000-0005-0000-0000-0000FA600000}"/>
    <cellStyle name="20% - Accent4 107" xfId="24836" xr:uid="{00000000-0005-0000-0000-0000FB600000}"/>
    <cellStyle name="20% - Accent4 107 2" xfId="24837" xr:uid="{00000000-0005-0000-0000-0000FC600000}"/>
    <cellStyle name="20% - Accent4 108" xfId="24838" xr:uid="{00000000-0005-0000-0000-0000FD600000}"/>
    <cellStyle name="20% - Accent4 108 2" xfId="24839" xr:uid="{00000000-0005-0000-0000-0000FE600000}"/>
    <cellStyle name="20% - Accent4 109" xfId="24840" xr:uid="{00000000-0005-0000-0000-0000FF600000}"/>
    <cellStyle name="20% - Accent4 109 2" xfId="24841" xr:uid="{00000000-0005-0000-0000-000000610000}"/>
    <cellStyle name="20% - Accent4 11" xfId="24842" xr:uid="{00000000-0005-0000-0000-000001610000}"/>
    <cellStyle name="20% - Accent4 11 2" xfId="24843" xr:uid="{00000000-0005-0000-0000-000002610000}"/>
    <cellStyle name="20% - Accent4 11 2 2" xfId="24844" xr:uid="{00000000-0005-0000-0000-000003610000}"/>
    <cellStyle name="20% - Accent4 11 2 2 2" xfId="24845" xr:uid="{00000000-0005-0000-0000-000004610000}"/>
    <cellStyle name="20% - Accent4 11 2 3" xfId="24846" xr:uid="{00000000-0005-0000-0000-000005610000}"/>
    <cellStyle name="20% - Accent4 11 2 3 2" xfId="24847" xr:uid="{00000000-0005-0000-0000-000006610000}"/>
    <cellStyle name="20% - Accent4 11 2 4" xfId="24848" xr:uid="{00000000-0005-0000-0000-000007610000}"/>
    <cellStyle name="20% - Accent4 11 3" xfId="24849" xr:uid="{00000000-0005-0000-0000-000008610000}"/>
    <cellStyle name="20% - Accent4 11 3 2" xfId="24850" xr:uid="{00000000-0005-0000-0000-000009610000}"/>
    <cellStyle name="20% - Accent4 11 3 2 2" xfId="24851" xr:uid="{00000000-0005-0000-0000-00000A610000}"/>
    <cellStyle name="20% - Accent4 11 3 3" xfId="24852" xr:uid="{00000000-0005-0000-0000-00000B610000}"/>
    <cellStyle name="20% - Accent4 11 3 3 2" xfId="24853" xr:uid="{00000000-0005-0000-0000-00000C610000}"/>
    <cellStyle name="20% - Accent4 11 3 4" xfId="24854" xr:uid="{00000000-0005-0000-0000-00000D610000}"/>
    <cellStyle name="20% - Accent4 11 4" xfId="24855" xr:uid="{00000000-0005-0000-0000-00000E610000}"/>
    <cellStyle name="20% - Accent4 11 4 2" xfId="24856" xr:uid="{00000000-0005-0000-0000-00000F610000}"/>
    <cellStyle name="20% - Accent4 11 5" xfId="24857" xr:uid="{00000000-0005-0000-0000-000010610000}"/>
    <cellStyle name="20% - Accent4 11 5 2" xfId="24858" xr:uid="{00000000-0005-0000-0000-000011610000}"/>
    <cellStyle name="20% - Accent4 11 6" xfId="24859" xr:uid="{00000000-0005-0000-0000-000012610000}"/>
    <cellStyle name="20% - Accent4 110" xfId="24860" xr:uid="{00000000-0005-0000-0000-000013610000}"/>
    <cellStyle name="20% - Accent4 110 2" xfId="24861" xr:uid="{00000000-0005-0000-0000-000014610000}"/>
    <cellStyle name="20% - Accent4 111" xfId="24862" xr:uid="{00000000-0005-0000-0000-000015610000}"/>
    <cellStyle name="20% - Accent4 111 2" xfId="24863" xr:uid="{00000000-0005-0000-0000-000016610000}"/>
    <cellStyle name="20% - Accent4 112" xfId="24864" xr:uid="{00000000-0005-0000-0000-000017610000}"/>
    <cellStyle name="20% - Accent4 112 2" xfId="24865" xr:uid="{00000000-0005-0000-0000-000018610000}"/>
    <cellStyle name="20% - Accent4 113" xfId="24866" xr:uid="{00000000-0005-0000-0000-000019610000}"/>
    <cellStyle name="20% - Accent4 113 2" xfId="24867" xr:uid="{00000000-0005-0000-0000-00001A610000}"/>
    <cellStyle name="20% - Accent4 114" xfId="24868" xr:uid="{00000000-0005-0000-0000-00001B610000}"/>
    <cellStyle name="20% - Accent4 114 2" xfId="24869" xr:uid="{00000000-0005-0000-0000-00001C610000}"/>
    <cellStyle name="20% - Accent4 115" xfId="24870" xr:uid="{00000000-0005-0000-0000-00001D610000}"/>
    <cellStyle name="20% - Accent4 115 2" xfId="24871" xr:uid="{00000000-0005-0000-0000-00001E610000}"/>
    <cellStyle name="20% - Accent4 116" xfId="24872" xr:uid="{00000000-0005-0000-0000-00001F610000}"/>
    <cellStyle name="20% - Accent4 116 2" xfId="24873" xr:uid="{00000000-0005-0000-0000-000020610000}"/>
    <cellStyle name="20% - Accent4 117" xfId="24874" xr:uid="{00000000-0005-0000-0000-000021610000}"/>
    <cellStyle name="20% - Accent4 117 2" xfId="24875" xr:uid="{00000000-0005-0000-0000-000022610000}"/>
    <cellStyle name="20% - Accent4 118" xfId="24876" xr:uid="{00000000-0005-0000-0000-000023610000}"/>
    <cellStyle name="20% - Accent4 118 2" xfId="24877" xr:uid="{00000000-0005-0000-0000-000024610000}"/>
    <cellStyle name="20% - Accent4 119" xfId="24878" xr:uid="{00000000-0005-0000-0000-000025610000}"/>
    <cellStyle name="20% - Accent4 119 2" xfId="24879" xr:uid="{00000000-0005-0000-0000-000026610000}"/>
    <cellStyle name="20% - Accent4 12" xfId="24880" xr:uid="{00000000-0005-0000-0000-000027610000}"/>
    <cellStyle name="20% - Accent4 12 2" xfId="24881" xr:uid="{00000000-0005-0000-0000-000028610000}"/>
    <cellStyle name="20% - Accent4 12 2 2" xfId="24882" xr:uid="{00000000-0005-0000-0000-000029610000}"/>
    <cellStyle name="20% - Accent4 12 2 2 2" xfId="24883" xr:uid="{00000000-0005-0000-0000-00002A610000}"/>
    <cellStyle name="20% - Accent4 12 2 3" xfId="24884" xr:uid="{00000000-0005-0000-0000-00002B610000}"/>
    <cellStyle name="20% - Accent4 12 2 3 2" xfId="24885" xr:uid="{00000000-0005-0000-0000-00002C610000}"/>
    <cellStyle name="20% - Accent4 12 2 4" xfId="24886" xr:uid="{00000000-0005-0000-0000-00002D610000}"/>
    <cellStyle name="20% - Accent4 12 3" xfId="24887" xr:uid="{00000000-0005-0000-0000-00002E610000}"/>
    <cellStyle name="20% - Accent4 12 3 2" xfId="24888" xr:uid="{00000000-0005-0000-0000-00002F610000}"/>
    <cellStyle name="20% - Accent4 12 3 2 2" xfId="24889" xr:uid="{00000000-0005-0000-0000-000030610000}"/>
    <cellStyle name="20% - Accent4 12 3 3" xfId="24890" xr:uid="{00000000-0005-0000-0000-000031610000}"/>
    <cellStyle name="20% - Accent4 12 3 3 2" xfId="24891" xr:uid="{00000000-0005-0000-0000-000032610000}"/>
    <cellStyle name="20% - Accent4 12 3 4" xfId="24892" xr:uid="{00000000-0005-0000-0000-000033610000}"/>
    <cellStyle name="20% - Accent4 12 4" xfId="24893" xr:uid="{00000000-0005-0000-0000-000034610000}"/>
    <cellStyle name="20% - Accent4 12 4 2" xfId="24894" xr:uid="{00000000-0005-0000-0000-000035610000}"/>
    <cellStyle name="20% - Accent4 12 5" xfId="24895" xr:uid="{00000000-0005-0000-0000-000036610000}"/>
    <cellStyle name="20% - Accent4 12 5 2" xfId="24896" xr:uid="{00000000-0005-0000-0000-000037610000}"/>
    <cellStyle name="20% - Accent4 12 6" xfId="24897" xr:uid="{00000000-0005-0000-0000-000038610000}"/>
    <cellStyle name="20% - Accent4 120" xfId="24898" xr:uid="{00000000-0005-0000-0000-000039610000}"/>
    <cellStyle name="20% - Accent4 120 2" xfId="24899" xr:uid="{00000000-0005-0000-0000-00003A610000}"/>
    <cellStyle name="20% - Accent4 121" xfId="24900" xr:uid="{00000000-0005-0000-0000-00003B610000}"/>
    <cellStyle name="20% - Accent4 121 2" xfId="24901" xr:uid="{00000000-0005-0000-0000-00003C610000}"/>
    <cellStyle name="20% - Accent4 122" xfId="24902" xr:uid="{00000000-0005-0000-0000-00003D610000}"/>
    <cellStyle name="20% - Accent4 122 2" xfId="24903" xr:uid="{00000000-0005-0000-0000-00003E610000}"/>
    <cellStyle name="20% - Accent4 123" xfId="24904" xr:uid="{00000000-0005-0000-0000-00003F610000}"/>
    <cellStyle name="20% - Accent4 123 2" xfId="24905" xr:uid="{00000000-0005-0000-0000-000040610000}"/>
    <cellStyle name="20% - Accent4 124" xfId="24906" xr:uid="{00000000-0005-0000-0000-000041610000}"/>
    <cellStyle name="20% - Accent4 124 2" xfId="24907" xr:uid="{00000000-0005-0000-0000-000042610000}"/>
    <cellStyle name="20% - Accent4 125" xfId="24908" xr:uid="{00000000-0005-0000-0000-000043610000}"/>
    <cellStyle name="20% - Accent4 125 2" xfId="24909" xr:uid="{00000000-0005-0000-0000-000044610000}"/>
    <cellStyle name="20% - Accent4 126" xfId="24910" xr:uid="{00000000-0005-0000-0000-000045610000}"/>
    <cellStyle name="20% - Accent4 126 2" xfId="24911" xr:uid="{00000000-0005-0000-0000-000046610000}"/>
    <cellStyle name="20% - Accent4 127" xfId="24912" xr:uid="{00000000-0005-0000-0000-000047610000}"/>
    <cellStyle name="20% - Accent4 127 2" xfId="24913" xr:uid="{00000000-0005-0000-0000-000048610000}"/>
    <cellStyle name="20% - Accent4 128" xfId="24914" xr:uid="{00000000-0005-0000-0000-000049610000}"/>
    <cellStyle name="20% - Accent4 128 2" xfId="24915" xr:uid="{00000000-0005-0000-0000-00004A610000}"/>
    <cellStyle name="20% - Accent4 129" xfId="24916" xr:uid="{00000000-0005-0000-0000-00004B610000}"/>
    <cellStyle name="20% - Accent4 129 2" xfId="24917" xr:uid="{00000000-0005-0000-0000-00004C610000}"/>
    <cellStyle name="20% - Accent4 13" xfId="24918" xr:uid="{00000000-0005-0000-0000-00004D610000}"/>
    <cellStyle name="20% - Accent4 13 2" xfId="24919" xr:uid="{00000000-0005-0000-0000-00004E610000}"/>
    <cellStyle name="20% - Accent4 13 2 2" xfId="24920" xr:uid="{00000000-0005-0000-0000-00004F610000}"/>
    <cellStyle name="20% - Accent4 13 3" xfId="24921" xr:uid="{00000000-0005-0000-0000-000050610000}"/>
    <cellStyle name="20% - Accent4 13 3 2" xfId="24922" xr:uid="{00000000-0005-0000-0000-000051610000}"/>
    <cellStyle name="20% - Accent4 13 4" xfId="24923" xr:uid="{00000000-0005-0000-0000-000052610000}"/>
    <cellStyle name="20% - Accent4 130" xfId="24924" xr:uid="{00000000-0005-0000-0000-000053610000}"/>
    <cellStyle name="20% - Accent4 130 2" xfId="24925" xr:uid="{00000000-0005-0000-0000-000054610000}"/>
    <cellStyle name="20% - Accent4 131" xfId="24926" xr:uid="{00000000-0005-0000-0000-000055610000}"/>
    <cellStyle name="20% - Accent4 131 2" xfId="24927" xr:uid="{00000000-0005-0000-0000-000056610000}"/>
    <cellStyle name="20% - Accent4 132" xfId="24928" xr:uid="{00000000-0005-0000-0000-000057610000}"/>
    <cellStyle name="20% - Accent4 132 2" xfId="24929" xr:uid="{00000000-0005-0000-0000-000058610000}"/>
    <cellStyle name="20% - Accent4 133" xfId="24930" xr:uid="{00000000-0005-0000-0000-000059610000}"/>
    <cellStyle name="20% - Accent4 133 2" xfId="24931" xr:uid="{00000000-0005-0000-0000-00005A610000}"/>
    <cellStyle name="20% - Accent4 134" xfId="24932" xr:uid="{00000000-0005-0000-0000-00005B610000}"/>
    <cellStyle name="20% - Accent4 134 2" xfId="24933" xr:uid="{00000000-0005-0000-0000-00005C610000}"/>
    <cellStyle name="20% - Accent4 135" xfId="24934" xr:uid="{00000000-0005-0000-0000-00005D610000}"/>
    <cellStyle name="20% - Accent4 135 2" xfId="24935" xr:uid="{00000000-0005-0000-0000-00005E610000}"/>
    <cellStyle name="20% - Accent4 136" xfId="24936" xr:uid="{00000000-0005-0000-0000-00005F610000}"/>
    <cellStyle name="20% - Accent4 136 2" xfId="24937" xr:uid="{00000000-0005-0000-0000-000060610000}"/>
    <cellStyle name="20% - Accent4 137" xfId="24938" xr:uid="{00000000-0005-0000-0000-000061610000}"/>
    <cellStyle name="20% - Accent4 137 2" xfId="24939" xr:uid="{00000000-0005-0000-0000-000062610000}"/>
    <cellStyle name="20% - Accent4 138" xfId="24940" xr:uid="{00000000-0005-0000-0000-000063610000}"/>
    <cellStyle name="20% - Accent4 138 2" xfId="24941" xr:uid="{00000000-0005-0000-0000-000064610000}"/>
    <cellStyle name="20% - Accent4 139" xfId="24942" xr:uid="{00000000-0005-0000-0000-000065610000}"/>
    <cellStyle name="20% - Accent4 139 2" xfId="24943" xr:uid="{00000000-0005-0000-0000-000066610000}"/>
    <cellStyle name="20% - Accent4 14" xfId="24944" xr:uid="{00000000-0005-0000-0000-000067610000}"/>
    <cellStyle name="20% - Accent4 14 2" xfId="24945" xr:uid="{00000000-0005-0000-0000-000068610000}"/>
    <cellStyle name="20% - Accent4 14 2 2" xfId="24946" xr:uid="{00000000-0005-0000-0000-000069610000}"/>
    <cellStyle name="20% - Accent4 14 3" xfId="24947" xr:uid="{00000000-0005-0000-0000-00006A610000}"/>
    <cellStyle name="20% - Accent4 14 3 2" xfId="24948" xr:uid="{00000000-0005-0000-0000-00006B610000}"/>
    <cellStyle name="20% - Accent4 14 4" xfId="24949" xr:uid="{00000000-0005-0000-0000-00006C610000}"/>
    <cellStyle name="20% - Accent4 140" xfId="24950" xr:uid="{00000000-0005-0000-0000-00006D610000}"/>
    <cellStyle name="20% - Accent4 140 2" xfId="24951" xr:uid="{00000000-0005-0000-0000-00006E610000}"/>
    <cellStyle name="20% - Accent4 141" xfId="24952" xr:uid="{00000000-0005-0000-0000-00006F610000}"/>
    <cellStyle name="20% - Accent4 141 2" xfId="24953" xr:uid="{00000000-0005-0000-0000-000070610000}"/>
    <cellStyle name="20% - Accent4 142" xfId="24954" xr:uid="{00000000-0005-0000-0000-000071610000}"/>
    <cellStyle name="20% - Accent4 142 2" xfId="24955" xr:uid="{00000000-0005-0000-0000-000072610000}"/>
    <cellStyle name="20% - Accent4 143" xfId="24956" xr:uid="{00000000-0005-0000-0000-000073610000}"/>
    <cellStyle name="20% - Accent4 143 2" xfId="24957" xr:uid="{00000000-0005-0000-0000-000074610000}"/>
    <cellStyle name="20% - Accent4 144" xfId="24958" xr:uid="{00000000-0005-0000-0000-000075610000}"/>
    <cellStyle name="20% - Accent4 144 2" xfId="24959" xr:uid="{00000000-0005-0000-0000-000076610000}"/>
    <cellStyle name="20% - Accent4 145" xfId="24960" xr:uid="{00000000-0005-0000-0000-000077610000}"/>
    <cellStyle name="20% - Accent4 145 2" xfId="24961" xr:uid="{00000000-0005-0000-0000-000078610000}"/>
    <cellStyle name="20% - Accent4 146" xfId="24962" xr:uid="{00000000-0005-0000-0000-000079610000}"/>
    <cellStyle name="20% - Accent4 146 2" xfId="24963" xr:uid="{00000000-0005-0000-0000-00007A610000}"/>
    <cellStyle name="20% - Accent4 147" xfId="24964" xr:uid="{00000000-0005-0000-0000-00007B610000}"/>
    <cellStyle name="20% - Accent4 147 2" xfId="24965" xr:uid="{00000000-0005-0000-0000-00007C610000}"/>
    <cellStyle name="20% - Accent4 148" xfId="24966" xr:uid="{00000000-0005-0000-0000-00007D610000}"/>
    <cellStyle name="20% - Accent4 148 2" xfId="24967" xr:uid="{00000000-0005-0000-0000-00007E610000}"/>
    <cellStyle name="20% - Accent4 149" xfId="24968" xr:uid="{00000000-0005-0000-0000-00007F610000}"/>
    <cellStyle name="20% - Accent4 149 2" xfId="24969" xr:uid="{00000000-0005-0000-0000-000080610000}"/>
    <cellStyle name="20% - Accent4 15" xfId="24970" xr:uid="{00000000-0005-0000-0000-000081610000}"/>
    <cellStyle name="20% - Accent4 15 2" xfId="24971" xr:uid="{00000000-0005-0000-0000-000082610000}"/>
    <cellStyle name="20% - Accent4 15 2 2" xfId="24972" xr:uid="{00000000-0005-0000-0000-000083610000}"/>
    <cellStyle name="20% - Accent4 15 3" xfId="24973" xr:uid="{00000000-0005-0000-0000-000084610000}"/>
    <cellStyle name="20% - Accent4 15 3 2" xfId="24974" xr:uid="{00000000-0005-0000-0000-000085610000}"/>
    <cellStyle name="20% - Accent4 15 4" xfId="24975" xr:uid="{00000000-0005-0000-0000-000086610000}"/>
    <cellStyle name="20% - Accent4 150" xfId="24976" xr:uid="{00000000-0005-0000-0000-000087610000}"/>
    <cellStyle name="20% - Accent4 150 2" xfId="24977" xr:uid="{00000000-0005-0000-0000-000088610000}"/>
    <cellStyle name="20% - Accent4 151" xfId="24978" xr:uid="{00000000-0005-0000-0000-000089610000}"/>
    <cellStyle name="20% - Accent4 151 2" xfId="24979" xr:uid="{00000000-0005-0000-0000-00008A610000}"/>
    <cellStyle name="20% - Accent4 152" xfId="24980" xr:uid="{00000000-0005-0000-0000-00008B610000}"/>
    <cellStyle name="20% - Accent4 152 2" xfId="24981" xr:uid="{00000000-0005-0000-0000-00008C610000}"/>
    <cellStyle name="20% - Accent4 153" xfId="24982" xr:uid="{00000000-0005-0000-0000-00008D610000}"/>
    <cellStyle name="20% - Accent4 153 2" xfId="24983" xr:uid="{00000000-0005-0000-0000-00008E610000}"/>
    <cellStyle name="20% - Accent4 154" xfId="24984" xr:uid="{00000000-0005-0000-0000-00008F610000}"/>
    <cellStyle name="20% - Accent4 154 2" xfId="24985" xr:uid="{00000000-0005-0000-0000-000090610000}"/>
    <cellStyle name="20% - Accent4 155" xfId="24986" xr:uid="{00000000-0005-0000-0000-000091610000}"/>
    <cellStyle name="20% - Accent4 155 2" xfId="24987" xr:uid="{00000000-0005-0000-0000-000092610000}"/>
    <cellStyle name="20% - Accent4 156" xfId="24988" xr:uid="{00000000-0005-0000-0000-000093610000}"/>
    <cellStyle name="20% - Accent4 156 2" xfId="24989" xr:uid="{00000000-0005-0000-0000-000094610000}"/>
    <cellStyle name="20% - Accent4 157" xfId="24990" xr:uid="{00000000-0005-0000-0000-000095610000}"/>
    <cellStyle name="20% - Accent4 157 2" xfId="24991" xr:uid="{00000000-0005-0000-0000-000096610000}"/>
    <cellStyle name="20% - Accent4 158" xfId="24992" xr:uid="{00000000-0005-0000-0000-000097610000}"/>
    <cellStyle name="20% - Accent4 158 2" xfId="24993" xr:uid="{00000000-0005-0000-0000-000098610000}"/>
    <cellStyle name="20% - Accent4 159" xfId="24994" xr:uid="{00000000-0005-0000-0000-000099610000}"/>
    <cellStyle name="20% - Accent4 159 2" xfId="24995" xr:uid="{00000000-0005-0000-0000-00009A610000}"/>
    <cellStyle name="20% - Accent4 16" xfId="24996" xr:uid="{00000000-0005-0000-0000-00009B610000}"/>
    <cellStyle name="20% - Accent4 16 2" xfId="24997" xr:uid="{00000000-0005-0000-0000-00009C610000}"/>
    <cellStyle name="20% - Accent4 16 2 2" xfId="24998" xr:uid="{00000000-0005-0000-0000-00009D610000}"/>
    <cellStyle name="20% - Accent4 16 3" xfId="24999" xr:uid="{00000000-0005-0000-0000-00009E610000}"/>
    <cellStyle name="20% - Accent4 16 3 2" xfId="25000" xr:uid="{00000000-0005-0000-0000-00009F610000}"/>
    <cellStyle name="20% - Accent4 16 4" xfId="25001" xr:uid="{00000000-0005-0000-0000-0000A0610000}"/>
    <cellStyle name="20% - Accent4 160" xfId="25002" xr:uid="{00000000-0005-0000-0000-0000A1610000}"/>
    <cellStyle name="20% - Accent4 160 2" xfId="25003" xr:uid="{00000000-0005-0000-0000-0000A2610000}"/>
    <cellStyle name="20% - Accent4 161" xfId="25004" xr:uid="{00000000-0005-0000-0000-0000A3610000}"/>
    <cellStyle name="20% - Accent4 161 2" xfId="25005" xr:uid="{00000000-0005-0000-0000-0000A4610000}"/>
    <cellStyle name="20% - Accent4 162" xfId="25006" xr:uid="{00000000-0005-0000-0000-0000A5610000}"/>
    <cellStyle name="20% - Accent4 162 2" xfId="25007" xr:uid="{00000000-0005-0000-0000-0000A6610000}"/>
    <cellStyle name="20% - Accent4 163" xfId="25008" xr:uid="{00000000-0005-0000-0000-0000A7610000}"/>
    <cellStyle name="20% - Accent4 163 2" xfId="25009" xr:uid="{00000000-0005-0000-0000-0000A8610000}"/>
    <cellStyle name="20% - Accent4 164" xfId="25010" xr:uid="{00000000-0005-0000-0000-0000A9610000}"/>
    <cellStyle name="20% - Accent4 164 2" xfId="25011" xr:uid="{00000000-0005-0000-0000-0000AA610000}"/>
    <cellStyle name="20% - Accent4 165" xfId="25012" xr:uid="{00000000-0005-0000-0000-0000AB610000}"/>
    <cellStyle name="20% - Accent4 165 2" xfId="25013" xr:uid="{00000000-0005-0000-0000-0000AC610000}"/>
    <cellStyle name="20% - Accent4 166" xfId="25014" xr:uid="{00000000-0005-0000-0000-0000AD610000}"/>
    <cellStyle name="20% - Accent4 166 2" xfId="25015" xr:uid="{00000000-0005-0000-0000-0000AE610000}"/>
    <cellStyle name="20% - Accent4 167" xfId="25016" xr:uid="{00000000-0005-0000-0000-0000AF610000}"/>
    <cellStyle name="20% - Accent4 167 2" xfId="25017" xr:uid="{00000000-0005-0000-0000-0000B0610000}"/>
    <cellStyle name="20% - Accent4 168" xfId="25018" xr:uid="{00000000-0005-0000-0000-0000B1610000}"/>
    <cellStyle name="20% - Accent4 168 2" xfId="25019" xr:uid="{00000000-0005-0000-0000-0000B2610000}"/>
    <cellStyle name="20% - Accent4 169" xfId="25020" xr:uid="{00000000-0005-0000-0000-0000B3610000}"/>
    <cellStyle name="20% - Accent4 169 2" xfId="25021" xr:uid="{00000000-0005-0000-0000-0000B4610000}"/>
    <cellStyle name="20% - Accent4 17" xfId="25022" xr:uid="{00000000-0005-0000-0000-0000B5610000}"/>
    <cellStyle name="20% - Accent4 17 2" xfId="25023" xr:uid="{00000000-0005-0000-0000-0000B6610000}"/>
    <cellStyle name="20% - Accent4 17 2 2" xfId="25024" xr:uid="{00000000-0005-0000-0000-0000B7610000}"/>
    <cellStyle name="20% - Accent4 17 3" xfId="25025" xr:uid="{00000000-0005-0000-0000-0000B8610000}"/>
    <cellStyle name="20% - Accent4 17 3 2" xfId="25026" xr:uid="{00000000-0005-0000-0000-0000B9610000}"/>
    <cellStyle name="20% - Accent4 17 4" xfId="25027" xr:uid="{00000000-0005-0000-0000-0000BA610000}"/>
    <cellStyle name="20% - Accent4 170" xfId="25028" xr:uid="{00000000-0005-0000-0000-0000BB610000}"/>
    <cellStyle name="20% - Accent4 170 2" xfId="25029" xr:uid="{00000000-0005-0000-0000-0000BC610000}"/>
    <cellStyle name="20% - Accent4 171" xfId="25030" xr:uid="{00000000-0005-0000-0000-0000BD610000}"/>
    <cellStyle name="20% - Accent4 171 2" xfId="25031" xr:uid="{00000000-0005-0000-0000-0000BE610000}"/>
    <cellStyle name="20% - Accent4 172" xfId="25032" xr:uid="{00000000-0005-0000-0000-0000BF610000}"/>
    <cellStyle name="20% - Accent4 172 2" xfId="25033" xr:uid="{00000000-0005-0000-0000-0000C0610000}"/>
    <cellStyle name="20% - Accent4 173" xfId="25034" xr:uid="{00000000-0005-0000-0000-0000C1610000}"/>
    <cellStyle name="20% - Accent4 173 2" xfId="25035" xr:uid="{00000000-0005-0000-0000-0000C2610000}"/>
    <cellStyle name="20% - Accent4 174" xfId="25036" xr:uid="{00000000-0005-0000-0000-0000C3610000}"/>
    <cellStyle name="20% - Accent4 174 2" xfId="25037" xr:uid="{00000000-0005-0000-0000-0000C4610000}"/>
    <cellStyle name="20% - Accent4 175" xfId="25038" xr:uid="{00000000-0005-0000-0000-0000C5610000}"/>
    <cellStyle name="20% - Accent4 175 2" xfId="25039" xr:uid="{00000000-0005-0000-0000-0000C6610000}"/>
    <cellStyle name="20% - Accent4 176" xfId="25040" xr:uid="{00000000-0005-0000-0000-0000C7610000}"/>
    <cellStyle name="20% - Accent4 176 2" xfId="25041" xr:uid="{00000000-0005-0000-0000-0000C8610000}"/>
    <cellStyle name="20% - Accent4 177" xfId="25042" xr:uid="{00000000-0005-0000-0000-0000C9610000}"/>
    <cellStyle name="20% - Accent4 177 2" xfId="25043" xr:uid="{00000000-0005-0000-0000-0000CA610000}"/>
    <cellStyle name="20% - Accent4 178" xfId="25044" xr:uid="{00000000-0005-0000-0000-0000CB610000}"/>
    <cellStyle name="20% - Accent4 178 2" xfId="25045" xr:uid="{00000000-0005-0000-0000-0000CC610000}"/>
    <cellStyle name="20% - Accent4 179" xfId="25046" xr:uid="{00000000-0005-0000-0000-0000CD610000}"/>
    <cellStyle name="20% - Accent4 179 2" xfId="25047" xr:uid="{00000000-0005-0000-0000-0000CE610000}"/>
    <cellStyle name="20% - Accent4 18" xfId="25048" xr:uid="{00000000-0005-0000-0000-0000CF610000}"/>
    <cellStyle name="20% - Accent4 18 2" xfId="25049" xr:uid="{00000000-0005-0000-0000-0000D0610000}"/>
    <cellStyle name="20% - Accent4 18 2 2" xfId="25050" xr:uid="{00000000-0005-0000-0000-0000D1610000}"/>
    <cellStyle name="20% - Accent4 18 3" xfId="25051" xr:uid="{00000000-0005-0000-0000-0000D2610000}"/>
    <cellStyle name="20% - Accent4 18 3 2" xfId="25052" xr:uid="{00000000-0005-0000-0000-0000D3610000}"/>
    <cellStyle name="20% - Accent4 18 4" xfId="25053" xr:uid="{00000000-0005-0000-0000-0000D4610000}"/>
    <cellStyle name="20% - Accent4 180" xfId="25054" xr:uid="{00000000-0005-0000-0000-0000D5610000}"/>
    <cellStyle name="20% - Accent4 180 2" xfId="25055" xr:uid="{00000000-0005-0000-0000-0000D6610000}"/>
    <cellStyle name="20% - Accent4 181" xfId="25056" xr:uid="{00000000-0005-0000-0000-0000D7610000}"/>
    <cellStyle name="20% - Accent4 181 2" xfId="25057" xr:uid="{00000000-0005-0000-0000-0000D8610000}"/>
    <cellStyle name="20% - Accent4 182" xfId="25058" xr:uid="{00000000-0005-0000-0000-0000D9610000}"/>
    <cellStyle name="20% - Accent4 182 2" xfId="25059" xr:uid="{00000000-0005-0000-0000-0000DA610000}"/>
    <cellStyle name="20% - Accent4 183" xfId="25060" xr:uid="{00000000-0005-0000-0000-0000DB610000}"/>
    <cellStyle name="20% - Accent4 183 2" xfId="25061" xr:uid="{00000000-0005-0000-0000-0000DC610000}"/>
    <cellStyle name="20% - Accent4 184" xfId="25062" xr:uid="{00000000-0005-0000-0000-0000DD610000}"/>
    <cellStyle name="20% - Accent4 184 2" xfId="25063" xr:uid="{00000000-0005-0000-0000-0000DE610000}"/>
    <cellStyle name="20% - Accent4 185" xfId="25064" xr:uid="{00000000-0005-0000-0000-0000DF610000}"/>
    <cellStyle name="20% - Accent4 185 2" xfId="25065" xr:uid="{00000000-0005-0000-0000-0000E0610000}"/>
    <cellStyle name="20% - Accent4 186" xfId="25066" xr:uid="{00000000-0005-0000-0000-0000E1610000}"/>
    <cellStyle name="20% - Accent4 186 2" xfId="25067" xr:uid="{00000000-0005-0000-0000-0000E2610000}"/>
    <cellStyle name="20% - Accent4 187" xfId="25068" xr:uid="{00000000-0005-0000-0000-0000E3610000}"/>
    <cellStyle name="20% - Accent4 187 2" xfId="25069" xr:uid="{00000000-0005-0000-0000-0000E4610000}"/>
    <cellStyle name="20% - Accent4 188" xfId="25070" xr:uid="{00000000-0005-0000-0000-0000E5610000}"/>
    <cellStyle name="20% - Accent4 188 2" xfId="25071" xr:uid="{00000000-0005-0000-0000-0000E6610000}"/>
    <cellStyle name="20% - Accent4 189" xfId="25072" xr:uid="{00000000-0005-0000-0000-0000E7610000}"/>
    <cellStyle name="20% - Accent4 189 2" xfId="25073" xr:uid="{00000000-0005-0000-0000-0000E8610000}"/>
    <cellStyle name="20% - Accent4 19" xfId="25074" xr:uid="{00000000-0005-0000-0000-0000E9610000}"/>
    <cellStyle name="20% - Accent4 19 2" xfId="25075" xr:uid="{00000000-0005-0000-0000-0000EA610000}"/>
    <cellStyle name="20% - Accent4 19 2 2" xfId="25076" xr:uid="{00000000-0005-0000-0000-0000EB610000}"/>
    <cellStyle name="20% - Accent4 19 3" xfId="25077" xr:uid="{00000000-0005-0000-0000-0000EC610000}"/>
    <cellStyle name="20% - Accent4 19 3 2" xfId="25078" xr:uid="{00000000-0005-0000-0000-0000ED610000}"/>
    <cellStyle name="20% - Accent4 19 4" xfId="25079" xr:uid="{00000000-0005-0000-0000-0000EE610000}"/>
    <cellStyle name="20% - Accent4 190" xfId="25080" xr:uid="{00000000-0005-0000-0000-0000EF610000}"/>
    <cellStyle name="20% - Accent4 190 2" xfId="25081" xr:uid="{00000000-0005-0000-0000-0000F0610000}"/>
    <cellStyle name="20% - Accent4 191" xfId="25082" xr:uid="{00000000-0005-0000-0000-0000F1610000}"/>
    <cellStyle name="20% - Accent4 191 2" xfId="25083" xr:uid="{00000000-0005-0000-0000-0000F2610000}"/>
    <cellStyle name="20% - Accent4 192" xfId="25084" xr:uid="{00000000-0005-0000-0000-0000F3610000}"/>
    <cellStyle name="20% - Accent4 192 2" xfId="25085" xr:uid="{00000000-0005-0000-0000-0000F4610000}"/>
    <cellStyle name="20% - Accent4 193" xfId="25086" xr:uid="{00000000-0005-0000-0000-0000F5610000}"/>
    <cellStyle name="20% - Accent4 193 2" xfId="25087" xr:uid="{00000000-0005-0000-0000-0000F6610000}"/>
    <cellStyle name="20% - Accent4 194" xfId="25088" xr:uid="{00000000-0005-0000-0000-0000F7610000}"/>
    <cellStyle name="20% - Accent4 194 2" xfId="25089" xr:uid="{00000000-0005-0000-0000-0000F8610000}"/>
    <cellStyle name="20% - Accent4 195" xfId="25090" xr:uid="{00000000-0005-0000-0000-0000F9610000}"/>
    <cellStyle name="20% - Accent4 195 2" xfId="25091" xr:uid="{00000000-0005-0000-0000-0000FA610000}"/>
    <cellStyle name="20% - Accent4 196" xfId="25092" xr:uid="{00000000-0005-0000-0000-0000FB610000}"/>
    <cellStyle name="20% - Accent4 196 2" xfId="25093" xr:uid="{00000000-0005-0000-0000-0000FC610000}"/>
    <cellStyle name="20% - Accent4 197" xfId="25094" xr:uid="{00000000-0005-0000-0000-0000FD610000}"/>
    <cellStyle name="20% - Accent4 197 2" xfId="25095" xr:uid="{00000000-0005-0000-0000-0000FE610000}"/>
    <cellStyle name="20% - Accent4 198" xfId="25096" xr:uid="{00000000-0005-0000-0000-0000FF610000}"/>
    <cellStyle name="20% - Accent4 198 2" xfId="25097" xr:uid="{00000000-0005-0000-0000-000000620000}"/>
    <cellStyle name="20% - Accent4 2" xfId="25098" xr:uid="{00000000-0005-0000-0000-000001620000}"/>
    <cellStyle name="20% - Accent4 2 2" xfId="25099" xr:uid="{00000000-0005-0000-0000-000002620000}"/>
    <cellStyle name="20% - Accent4 2 2 2" xfId="25100" xr:uid="{00000000-0005-0000-0000-000003620000}"/>
    <cellStyle name="20% - Accent4 2 2 2 2" xfId="25101" xr:uid="{00000000-0005-0000-0000-000004620000}"/>
    <cellStyle name="20% - Accent4 2 2 3" xfId="25102" xr:uid="{00000000-0005-0000-0000-000005620000}"/>
    <cellStyle name="20% - Accent4 2 2 3 2" xfId="25103" xr:uid="{00000000-0005-0000-0000-000006620000}"/>
    <cellStyle name="20% - Accent4 2 2 4" xfId="25104" xr:uid="{00000000-0005-0000-0000-000007620000}"/>
    <cellStyle name="20% - Accent4 2 2 4 2" xfId="25105" xr:uid="{00000000-0005-0000-0000-000008620000}"/>
    <cellStyle name="20% - Accent4 2 2 5" xfId="25106" xr:uid="{00000000-0005-0000-0000-000009620000}"/>
    <cellStyle name="20% - Accent4 2 2 5 2" xfId="25107" xr:uid="{00000000-0005-0000-0000-00000A620000}"/>
    <cellStyle name="20% - Accent4 2 2 6" xfId="25108" xr:uid="{00000000-0005-0000-0000-00000B620000}"/>
    <cellStyle name="20% - Accent4 2 3" xfId="25109" xr:uid="{00000000-0005-0000-0000-00000C620000}"/>
    <cellStyle name="20% - Accent4 2 3 2" xfId="25110" xr:uid="{00000000-0005-0000-0000-00000D620000}"/>
    <cellStyle name="20% - Accent4 2 4" xfId="25111" xr:uid="{00000000-0005-0000-0000-00000E620000}"/>
    <cellStyle name="20% - Accent4 2 4 2" xfId="25112" xr:uid="{00000000-0005-0000-0000-00000F620000}"/>
    <cellStyle name="20% - Accent4 2 5" xfId="25113" xr:uid="{00000000-0005-0000-0000-000010620000}"/>
    <cellStyle name="20% - Accent4 2 5 2" xfId="25114" xr:uid="{00000000-0005-0000-0000-000011620000}"/>
    <cellStyle name="20% - Accent4 2 6" xfId="25115" xr:uid="{00000000-0005-0000-0000-000012620000}"/>
    <cellStyle name="20% - Accent4 2 6 2" xfId="25116" xr:uid="{00000000-0005-0000-0000-000013620000}"/>
    <cellStyle name="20% - Accent4 2 7" xfId="25117" xr:uid="{00000000-0005-0000-0000-000014620000}"/>
    <cellStyle name="20% - Accent4 20" xfId="25118" xr:uid="{00000000-0005-0000-0000-000015620000}"/>
    <cellStyle name="20% - Accent4 20 2" xfId="25119" xr:uid="{00000000-0005-0000-0000-000016620000}"/>
    <cellStyle name="20% - Accent4 20 2 2" xfId="25120" xr:uid="{00000000-0005-0000-0000-000017620000}"/>
    <cellStyle name="20% - Accent4 20 3" xfId="25121" xr:uid="{00000000-0005-0000-0000-000018620000}"/>
    <cellStyle name="20% - Accent4 20 3 2" xfId="25122" xr:uid="{00000000-0005-0000-0000-000019620000}"/>
    <cellStyle name="20% - Accent4 20 4" xfId="25123" xr:uid="{00000000-0005-0000-0000-00001A620000}"/>
    <cellStyle name="20% - Accent4 21" xfId="25124" xr:uid="{00000000-0005-0000-0000-00001B620000}"/>
    <cellStyle name="20% - Accent4 21 2" xfId="25125" xr:uid="{00000000-0005-0000-0000-00001C620000}"/>
    <cellStyle name="20% - Accent4 21 2 2" xfId="25126" xr:uid="{00000000-0005-0000-0000-00001D620000}"/>
    <cellStyle name="20% - Accent4 21 3" xfId="25127" xr:uid="{00000000-0005-0000-0000-00001E620000}"/>
    <cellStyle name="20% - Accent4 21 3 2" xfId="25128" xr:uid="{00000000-0005-0000-0000-00001F620000}"/>
    <cellStyle name="20% - Accent4 21 4" xfId="25129" xr:uid="{00000000-0005-0000-0000-000020620000}"/>
    <cellStyle name="20% - Accent4 22" xfId="25130" xr:uid="{00000000-0005-0000-0000-000021620000}"/>
    <cellStyle name="20% - Accent4 22 2" xfId="25131" xr:uid="{00000000-0005-0000-0000-000022620000}"/>
    <cellStyle name="20% - Accent4 22 2 2" xfId="25132" xr:uid="{00000000-0005-0000-0000-000023620000}"/>
    <cellStyle name="20% - Accent4 22 3" xfId="25133" xr:uid="{00000000-0005-0000-0000-000024620000}"/>
    <cellStyle name="20% - Accent4 22 3 2" xfId="25134" xr:uid="{00000000-0005-0000-0000-000025620000}"/>
    <cellStyle name="20% - Accent4 22 4" xfId="25135" xr:uid="{00000000-0005-0000-0000-000026620000}"/>
    <cellStyle name="20% - Accent4 23" xfId="25136" xr:uid="{00000000-0005-0000-0000-000027620000}"/>
    <cellStyle name="20% - Accent4 23 2" xfId="25137" xr:uid="{00000000-0005-0000-0000-000028620000}"/>
    <cellStyle name="20% - Accent4 23 2 2" xfId="25138" xr:uid="{00000000-0005-0000-0000-000029620000}"/>
    <cellStyle name="20% - Accent4 23 3" xfId="25139" xr:uid="{00000000-0005-0000-0000-00002A620000}"/>
    <cellStyle name="20% - Accent4 23 3 2" xfId="25140" xr:uid="{00000000-0005-0000-0000-00002B620000}"/>
    <cellStyle name="20% - Accent4 23 4" xfId="25141" xr:uid="{00000000-0005-0000-0000-00002C620000}"/>
    <cellStyle name="20% - Accent4 24" xfId="25142" xr:uid="{00000000-0005-0000-0000-00002D620000}"/>
    <cellStyle name="20% - Accent4 24 2" xfId="25143" xr:uid="{00000000-0005-0000-0000-00002E620000}"/>
    <cellStyle name="20% - Accent4 24 2 2" xfId="25144" xr:uid="{00000000-0005-0000-0000-00002F620000}"/>
    <cellStyle name="20% - Accent4 24 3" xfId="25145" xr:uid="{00000000-0005-0000-0000-000030620000}"/>
    <cellStyle name="20% - Accent4 24 3 2" xfId="25146" xr:uid="{00000000-0005-0000-0000-000031620000}"/>
    <cellStyle name="20% - Accent4 24 4" xfId="25147" xr:uid="{00000000-0005-0000-0000-000032620000}"/>
    <cellStyle name="20% - Accent4 25" xfId="25148" xr:uid="{00000000-0005-0000-0000-000033620000}"/>
    <cellStyle name="20% - Accent4 25 2" xfId="25149" xr:uid="{00000000-0005-0000-0000-000034620000}"/>
    <cellStyle name="20% - Accent4 25 2 2" xfId="25150" xr:uid="{00000000-0005-0000-0000-000035620000}"/>
    <cellStyle name="20% - Accent4 25 3" xfId="25151" xr:uid="{00000000-0005-0000-0000-000036620000}"/>
    <cellStyle name="20% - Accent4 25 3 2" xfId="25152" xr:uid="{00000000-0005-0000-0000-000037620000}"/>
    <cellStyle name="20% - Accent4 25 4" xfId="25153" xr:uid="{00000000-0005-0000-0000-000038620000}"/>
    <cellStyle name="20% - Accent4 26" xfId="25154" xr:uid="{00000000-0005-0000-0000-000039620000}"/>
    <cellStyle name="20% - Accent4 26 2" xfId="25155" xr:uid="{00000000-0005-0000-0000-00003A620000}"/>
    <cellStyle name="20% - Accent4 26 2 2" xfId="25156" xr:uid="{00000000-0005-0000-0000-00003B620000}"/>
    <cellStyle name="20% - Accent4 26 3" xfId="25157" xr:uid="{00000000-0005-0000-0000-00003C620000}"/>
    <cellStyle name="20% - Accent4 26 3 2" xfId="25158" xr:uid="{00000000-0005-0000-0000-00003D620000}"/>
    <cellStyle name="20% - Accent4 26 4" xfId="25159" xr:uid="{00000000-0005-0000-0000-00003E620000}"/>
    <cellStyle name="20% - Accent4 27" xfId="25160" xr:uid="{00000000-0005-0000-0000-00003F620000}"/>
    <cellStyle name="20% - Accent4 27 2" xfId="25161" xr:uid="{00000000-0005-0000-0000-000040620000}"/>
    <cellStyle name="20% - Accent4 27 2 2" xfId="25162" xr:uid="{00000000-0005-0000-0000-000041620000}"/>
    <cellStyle name="20% - Accent4 27 3" xfId="25163" xr:uid="{00000000-0005-0000-0000-000042620000}"/>
    <cellStyle name="20% - Accent4 27 3 2" xfId="25164" xr:uid="{00000000-0005-0000-0000-000043620000}"/>
    <cellStyle name="20% - Accent4 27 4" xfId="25165" xr:uid="{00000000-0005-0000-0000-000044620000}"/>
    <cellStyle name="20% - Accent4 28" xfId="25166" xr:uid="{00000000-0005-0000-0000-000045620000}"/>
    <cellStyle name="20% - Accent4 28 2" xfId="25167" xr:uid="{00000000-0005-0000-0000-000046620000}"/>
    <cellStyle name="20% - Accent4 28 2 2" xfId="25168" xr:uid="{00000000-0005-0000-0000-000047620000}"/>
    <cellStyle name="20% - Accent4 28 3" xfId="25169" xr:uid="{00000000-0005-0000-0000-000048620000}"/>
    <cellStyle name="20% - Accent4 28 3 2" xfId="25170" xr:uid="{00000000-0005-0000-0000-000049620000}"/>
    <cellStyle name="20% - Accent4 28 4" xfId="25171" xr:uid="{00000000-0005-0000-0000-00004A620000}"/>
    <cellStyle name="20% - Accent4 29" xfId="25172" xr:uid="{00000000-0005-0000-0000-00004B620000}"/>
    <cellStyle name="20% - Accent4 29 2" xfId="25173" xr:uid="{00000000-0005-0000-0000-00004C620000}"/>
    <cellStyle name="20% - Accent4 29 2 2" xfId="25174" xr:uid="{00000000-0005-0000-0000-00004D620000}"/>
    <cellStyle name="20% - Accent4 29 3" xfId="25175" xr:uid="{00000000-0005-0000-0000-00004E620000}"/>
    <cellStyle name="20% - Accent4 29 3 2" xfId="25176" xr:uid="{00000000-0005-0000-0000-00004F620000}"/>
    <cellStyle name="20% - Accent4 29 4" xfId="25177" xr:uid="{00000000-0005-0000-0000-000050620000}"/>
    <cellStyle name="20% - Accent4 3" xfId="25178" xr:uid="{00000000-0005-0000-0000-000051620000}"/>
    <cellStyle name="20% - Accent4 3 2" xfId="25179" xr:uid="{00000000-0005-0000-0000-000052620000}"/>
    <cellStyle name="20% - Accent4 3 2 2" xfId="25180" xr:uid="{00000000-0005-0000-0000-000053620000}"/>
    <cellStyle name="20% - Accent4 3 3" xfId="25181" xr:uid="{00000000-0005-0000-0000-000054620000}"/>
    <cellStyle name="20% - Accent4 3 3 2" xfId="25182" xr:uid="{00000000-0005-0000-0000-000055620000}"/>
    <cellStyle name="20% - Accent4 3 4" xfId="25183" xr:uid="{00000000-0005-0000-0000-000056620000}"/>
    <cellStyle name="20% - Accent4 3 4 2" xfId="25184" xr:uid="{00000000-0005-0000-0000-000057620000}"/>
    <cellStyle name="20% - Accent4 3 5" xfId="25185" xr:uid="{00000000-0005-0000-0000-000058620000}"/>
    <cellStyle name="20% - Accent4 3 5 2" xfId="25186" xr:uid="{00000000-0005-0000-0000-000059620000}"/>
    <cellStyle name="20% - Accent4 3 6" xfId="25187" xr:uid="{00000000-0005-0000-0000-00005A620000}"/>
    <cellStyle name="20% - Accent4 3 6 2" xfId="25188" xr:uid="{00000000-0005-0000-0000-00005B620000}"/>
    <cellStyle name="20% - Accent4 3 7" xfId="25189" xr:uid="{00000000-0005-0000-0000-00005C620000}"/>
    <cellStyle name="20% - Accent4 30" xfId="25190" xr:uid="{00000000-0005-0000-0000-00005D620000}"/>
    <cellStyle name="20% - Accent4 30 2" xfId="25191" xr:uid="{00000000-0005-0000-0000-00005E620000}"/>
    <cellStyle name="20% - Accent4 30 2 2" xfId="25192" xr:uid="{00000000-0005-0000-0000-00005F620000}"/>
    <cellStyle name="20% - Accent4 30 3" xfId="25193" xr:uid="{00000000-0005-0000-0000-000060620000}"/>
    <cellStyle name="20% - Accent4 30 3 2" xfId="25194" xr:uid="{00000000-0005-0000-0000-000061620000}"/>
    <cellStyle name="20% - Accent4 30 4" xfId="25195" xr:uid="{00000000-0005-0000-0000-000062620000}"/>
    <cellStyle name="20% - Accent4 31" xfId="25196" xr:uid="{00000000-0005-0000-0000-000063620000}"/>
    <cellStyle name="20% - Accent4 31 2" xfId="25197" xr:uid="{00000000-0005-0000-0000-000064620000}"/>
    <cellStyle name="20% - Accent4 31 2 2" xfId="25198" xr:uid="{00000000-0005-0000-0000-000065620000}"/>
    <cellStyle name="20% - Accent4 31 3" xfId="25199" xr:uid="{00000000-0005-0000-0000-000066620000}"/>
    <cellStyle name="20% - Accent4 31 3 2" xfId="25200" xr:uid="{00000000-0005-0000-0000-000067620000}"/>
    <cellStyle name="20% - Accent4 31 4" xfId="25201" xr:uid="{00000000-0005-0000-0000-000068620000}"/>
    <cellStyle name="20% - Accent4 32" xfId="25202" xr:uid="{00000000-0005-0000-0000-000069620000}"/>
    <cellStyle name="20% - Accent4 32 2" xfId="25203" xr:uid="{00000000-0005-0000-0000-00006A620000}"/>
    <cellStyle name="20% - Accent4 32 2 2" xfId="25204" xr:uid="{00000000-0005-0000-0000-00006B620000}"/>
    <cellStyle name="20% - Accent4 32 3" xfId="25205" xr:uid="{00000000-0005-0000-0000-00006C620000}"/>
    <cellStyle name="20% - Accent4 32 3 2" xfId="25206" xr:uid="{00000000-0005-0000-0000-00006D620000}"/>
    <cellStyle name="20% - Accent4 32 4" xfId="25207" xr:uid="{00000000-0005-0000-0000-00006E620000}"/>
    <cellStyle name="20% - Accent4 33" xfId="25208" xr:uid="{00000000-0005-0000-0000-00006F620000}"/>
    <cellStyle name="20% - Accent4 33 2" xfId="25209" xr:uid="{00000000-0005-0000-0000-000070620000}"/>
    <cellStyle name="20% - Accent4 33 2 2" xfId="25210" xr:uid="{00000000-0005-0000-0000-000071620000}"/>
    <cellStyle name="20% - Accent4 33 3" xfId="25211" xr:uid="{00000000-0005-0000-0000-000072620000}"/>
    <cellStyle name="20% - Accent4 33 3 2" xfId="25212" xr:uid="{00000000-0005-0000-0000-000073620000}"/>
    <cellStyle name="20% - Accent4 33 4" xfId="25213" xr:uid="{00000000-0005-0000-0000-000074620000}"/>
    <cellStyle name="20% - Accent4 34" xfId="25214" xr:uid="{00000000-0005-0000-0000-000075620000}"/>
    <cellStyle name="20% - Accent4 34 2" xfId="25215" xr:uid="{00000000-0005-0000-0000-000076620000}"/>
    <cellStyle name="20% - Accent4 34 2 2" xfId="25216" xr:uid="{00000000-0005-0000-0000-000077620000}"/>
    <cellStyle name="20% - Accent4 34 3" xfId="25217" xr:uid="{00000000-0005-0000-0000-000078620000}"/>
    <cellStyle name="20% - Accent4 34 3 2" xfId="25218" xr:uid="{00000000-0005-0000-0000-000079620000}"/>
    <cellStyle name="20% - Accent4 34 4" xfId="25219" xr:uid="{00000000-0005-0000-0000-00007A620000}"/>
    <cellStyle name="20% - Accent4 35" xfId="25220" xr:uid="{00000000-0005-0000-0000-00007B620000}"/>
    <cellStyle name="20% - Accent4 35 2" xfId="25221" xr:uid="{00000000-0005-0000-0000-00007C620000}"/>
    <cellStyle name="20% - Accent4 35 2 2" xfId="25222" xr:uid="{00000000-0005-0000-0000-00007D620000}"/>
    <cellStyle name="20% - Accent4 35 3" xfId="25223" xr:uid="{00000000-0005-0000-0000-00007E620000}"/>
    <cellStyle name="20% - Accent4 35 3 2" xfId="25224" xr:uid="{00000000-0005-0000-0000-00007F620000}"/>
    <cellStyle name="20% - Accent4 35 4" xfId="25225" xr:uid="{00000000-0005-0000-0000-000080620000}"/>
    <cellStyle name="20% - Accent4 36" xfId="25226" xr:uid="{00000000-0005-0000-0000-000081620000}"/>
    <cellStyle name="20% - Accent4 36 2" xfId="25227" xr:uid="{00000000-0005-0000-0000-000082620000}"/>
    <cellStyle name="20% - Accent4 36 2 2" xfId="25228" xr:uid="{00000000-0005-0000-0000-000083620000}"/>
    <cellStyle name="20% - Accent4 36 3" xfId="25229" xr:uid="{00000000-0005-0000-0000-000084620000}"/>
    <cellStyle name="20% - Accent4 36 3 2" xfId="25230" xr:uid="{00000000-0005-0000-0000-000085620000}"/>
    <cellStyle name="20% - Accent4 36 4" xfId="25231" xr:uid="{00000000-0005-0000-0000-000086620000}"/>
    <cellStyle name="20% - Accent4 37" xfId="25232" xr:uid="{00000000-0005-0000-0000-000087620000}"/>
    <cellStyle name="20% - Accent4 37 2" xfId="25233" xr:uid="{00000000-0005-0000-0000-000088620000}"/>
    <cellStyle name="20% - Accent4 37 2 2" xfId="25234" xr:uid="{00000000-0005-0000-0000-000089620000}"/>
    <cellStyle name="20% - Accent4 37 3" xfId="25235" xr:uid="{00000000-0005-0000-0000-00008A620000}"/>
    <cellStyle name="20% - Accent4 37 3 2" xfId="25236" xr:uid="{00000000-0005-0000-0000-00008B620000}"/>
    <cellStyle name="20% - Accent4 37 4" xfId="25237" xr:uid="{00000000-0005-0000-0000-00008C620000}"/>
    <cellStyle name="20% - Accent4 38" xfId="25238" xr:uid="{00000000-0005-0000-0000-00008D620000}"/>
    <cellStyle name="20% - Accent4 38 2" xfId="25239" xr:uid="{00000000-0005-0000-0000-00008E620000}"/>
    <cellStyle name="20% - Accent4 38 2 2" xfId="25240" xr:uid="{00000000-0005-0000-0000-00008F620000}"/>
    <cellStyle name="20% - Accent4 38 3" xfId="25241" xr:uid="{00000000-0005-0000-0000-000090620000}"/>
    <cellStyle name="20% - Accent4 38 3 2" xfId="25242" xr:uid="{00000000-0005-0000-0000-000091620000}"/>
    <cellStyle name="20% - Accent4 38 4" xfId="25243" xr:uid="{00000000-0005-0000-0000-000092620000}"/>
    <cellStyle name="20% - Accent4 39" xfId="25244" xr:uid="{00000000-0005-0000-0000-000093620000}"/>
    <cellStyle name="20% - Accent4 39 2" xfId="25245" xr:uid="{00000000-0005-0000-0000-000094620000}"/>
    <cellStyle name="20% - Accent4 39 2 2" xfId="25246" xr:uid="{00000000-0005-0000-0000-000095620000}"/>
    <cellStyle name="20% - Accent4 39 3" xfId="25247" xr:uid="{00000000-0005-0000-0000-000096620000}"/>
    <cellStyle name="20% - Accent4 39 3 2" xfId="25248" xr:uid="{00000000-0005-0000-0000-000097620000}"/>
    <cellStyle name="20% - Accent4 39 4" xfId="25249" xr:uid="{00000000-0005-0000-0000-000098620000}"/>
    <cellStyle name="20% - Accent4 4" xfId="25250" xr:uid="{00000000-0005-0000-0000-000099620000}"/>
    <cellStyle name="20% - Accent4 4 2" xfId="25251" xr:uid="{00000000-0005-0000-0000-00009A620000}"/>
    <cellStyle name="20% - Accent4 4 2 2" xfId="25252" xr:uid="{00000000-0005-0000-0000-00009B620000}"/>
    <cellStyle name="20% - Accent4 4 3" xfId="25253" xr:uid="{00000000-0005-0000-0000-00009C620000}"/>
    <cellStyle name="20% - Accent4 4 3 2" xfId="25254" xr:uid="{00000000-0005-0000-0000-00009D620000}"/>
    <cellStyle name="20% - Accent4 4 4" xfId="25255" xr:uid="{00000000-0005-0000-0000-00009E620000}"/>
    <cellStyle name="20% - Accent4 4 4 2" xfId="25256" xr:uid="{00000000-0005-0000-0000-00009F620000}"/>
    <cellStyle name="20% - Accent4 4 5" xfId="25257" xr:uid="{00000000-0005-0000-0000-0000A0620000}"/>
    <cellStyle name="20% - Accent4 4 5 2" xfId="25258" xr:uid="{00000000-0005-0000-0000-0000A1620000}"/>
    <cellStyle name="20% - Accent4 4 6" xfId="25259" xr:uid="{00000000-0005-0000-0000-0000A2620000}"/>
    <cellStyle name="20% - Accent4 4 6 2" xfId="25260" xr:uid="{00000000-0005-0000-0000-0000A3620000}"/>
    <cellStyle name="20% - Accent4 4 7" xfId="25261" xr:uid="{00000000-0005-0000-0000-0000A4620000}"/>
    <cellStyle name="20% - Accent4 40" xfId="25262" xr:uid="{00000000-0005-0000-0000-0000A5620000}"/>
    <cellStyle name="20% - Accent4 40 2" xfId="25263" xr:uid="{00000000-0005-0000-0000-0000A6620000}"/>
    <cellStyle name="20% - Accent4 40 2 2" xfId="25264" xr:uid="{00000000-0005-0000-0000-0000A7620000}"/>
    <cellStyle name="20% - Accent4 40 3" xfId="25265" xr:uid="{00000000-0005-0000-0000-0000A8620000}"/>
    <cellStyle name="20% - Accent4 40 3 2" xfId="25266" xr:uid="{00000000-0005-0000-0000-0000A9620000}"/>
    <cellStyle name="20% - Accent4 40 4" xfId="25267" xr:uid="{00000000-0005-0000-0000-0000AA620000}"/>
    <cellStyle name="20% - Accent4 41" xfId="25268" xr:uid="{00000000-0005-0000-0000-0000AB620000}"/>
    <cellStyle name="20% - Accent4 41 2" xfId="25269" xr:uid="{00000000-0005-0000-0000-0000AC620000}"/>
    <cellStyle name="20% - Accent4 41 2 2" xfId="25270" xr:uid="{00000000-0005-0000-0000-0000AD620000}"/>
    <cellStyle name="20% - Accent4 41 3" xfId="25271" xr:uid="{00000000-0005-0000-0000-0000AE620000}"/>
    <cellStyle name="20% - Accent4 41 3 2" xfId="25272" xr:uid="{00000000-0005-0000-0000-0000AF620000}"/>
    <cellStyle name="20% - Accent4 41 4" xfId="25273" xr:uid="{00000000-0005-0000-0000-0000B0620000}"/>
    <cellStyle name="20% - Accent4 42" xfId="25274" xr:uid="{00000000-0005-0000-0000-0000B1620000}"/>
    <cellStyle name="20% - Accent4 42 2" xfId="25275" xr:uid="{00000000-0005-0000-0000-0000B2620000}"/>
    <cellStyle name="20% - Accent4 42 2 2" xfId="25276" xr:uid="{00000000-0005-0000-0000-0000B3620000}"/>
    <cellStyle name="20% - Accent4 42 3" xfId="25277" xr:uid="{00000000-0005-0000-0000-0000B4620000}"/>
    <cellStyle name="20% - Accent4 42 3 2" xfId="25278" xr:uid="{00000000-0005-0000-0000-0000B5620000}"/>
    <cellStyle name="20% - Accent4 42 4" xfId="25279" xr:uid="{00000000-0005-0000-0000-0000B6620000}"/>
    <cellStyle name="20% - Accent4 43" xfId="25280" xr:uid="{00000000-0005-0000-0000-0000B7620000}"/>
    <cellStyle name="20% - Accent4 43 2" xfId="25281" xr:uid="{00000000-0005-0000-0000-0000B8620000}"/>
    <cellStyle name="20% - Accent4 43 2 2" xfId="25282" xr:uid="{00000000-0005-0000-0000-0000B9620000}"/>
    <cellStyle name="20% - Accent4 43 3" xfId="25283" xr:uid="{00000000-0005-0000-0000-0000BA620000}"/>
    <cellStyle name="20% - Accent4 43 3 2" xfId="25284" xr:uid="{00000000-0005-0000-0000-0000BB620000}"/>
    <cellStyle name="20% - Accent4 43 4" xfId="25285" xr:uid="{00000000-0005-0000-0000-0000BC620000}"/>
    <cellStyle name="20% - Accent4 44" xfId="25286" xr:uid="{00000000-0005-0000-0000-0000BD620000}"/>
    <cellStyle name="20% - Accent4 44 2" xfId="25287" xr:uid="{00000000-0005-0000-0000-0000BE620000}"/>
    <cellStyle name="20% - Accent4 44 2 2" xfId="25288" xr:uid="{00000000-0005-0000-0000-0000BF620000}"/>
    <cellStyle name="20% - Accent4 44 3" xfId="25289" xr:uid="{00000000-0005-0000-0000-0000C0620000}"/>
    <cellStyle name="20% - Accent4 44 3 2" xfId="25290" xr:uid="{00000000-0005-0000-0000-0000C1620000}"/>
    <cellStyle name="20% - Accent4 44 4" xfId="25291" xr:uid="{00000000-0005-0000-0000-0000C2620000}"/>
    <cellStyle name="20% - Accent4 45" xfId="25292" xr:uid="{00000000-0005-0000-0000-0000C3620000}"/>
    <cellStyle name="20% - Accent4 45 2" xfId="25293" xr:uid="{00000000-0005-0000-0000-0000C4620000}"/>
    <cellStyle name="20% - Accent4 45 2 2" xfId="25294" xr:uid="{00000000-0005-0000-0000-0000C5620000}"/>
    <cellStyle name="20% - Accent4 45 3" xfId="25295" xr:uid="{00000000-0005-0000-0000-0000C6620000}"/>
    <cellStyle name="20% - Accent4 45 3 2" xfId="25296" xr:uid="{00000000-0005-0000-0000-0000C7620000}"/>
    <cellStyle name="20% - Accent4 45 4" xfId="25297" xr:uid="{00000000-0005-0000-0000-0000C8620000}"/>
    <cellStyle name="20% - Accent4 46" xfId="25298" xr:uid="{00000000-0005-0000-0000-0000C9620000}"/>
    <cellStyle name="20% - Accent4 46 2" xfId="25299" xr:uid="{00000000-0005-0000-0000-0000CA620000}"/>
    <cellStyle name="20% - Accent4 46 2 2" xfId="25300" xr:uid="{00000000-0005-0000-0000-0000CB620000}"/>
    <cellStyle name="20% - Accent4 46 3" xfId="25301" xr:uid="{00000000-0005-0000-0000-0000CC620000}"/>
    <cellStyle name="20% - Accent4 46 3 2" xfId="25302" xr:uid="{00000000-0005-0000-0000-0000CD620000}"/>
    <cellStyle name="20% - Accent4 46 4" xfId="25303" xr:uid="{00000000-0005-0000-0000-0000CE620000}"/>
    <cellStyle name="20% - Accent4 47" xfId="25304" xr:uid="{00000000-0005-0000-0000-0000CF620000}"/>
    <cellStyle name="20% - Accent4 47 2" xfId="25305" xr:uid="{00000000-0005-0000-0000-0000D0620000}"/>
    <cellStyle name="20% - Accent4 47 2 2" xfId="25306" xr:uid="{00000000-0005-0000-0000-0000D1620000}"/>
    <cellStyle name="20% - Accent4 47 3" xfId="25307" xr:uid="{00000000-0005-0000-0000-0000D2620000}"/>
    <cellStyle name="20% - Accent4 47 3 2" xfId="25308" xr:uid="{00000000-0005-0000-0000-0000D3620000}"/>
    <cellStyle name="20% - Accent4 47 4" xfId="25309" xr:uid="{00000000-0005-0000-0000-0000D4620000}"/>
    <cellStyle name="20% - Accent4 48" xfId="25310" xr:uid="{00000000-0005-0000-0000-0000D5620000}"/>
    <cellStyle name="20% - Accent4 48 2" xfId="25311" xr:uid="{00000000-0005-0000-0000-0000D6620000}"/>
    <cellStyle name="20% - Accent4 48 2 2" xfId="25312" xr:uid="{00000000-0005-0000-0000-0000D7620000}"/>
    <cellStyle name="20% - Accent4 48 3" xfId="25313" xr:uid="{00000000-0005-0000-0000-0000D8620000}"/>
    <cellStyle name="20% - Accent4 48 3 2" xfId="25314" xr:uid="{00000000-0005-0000-0000-0000D9620000}"/>
    <cellStyle name="20% - Accent4 48 4" xfId="25315" xr:uid="{00000000-0005-0000-0000-0000DA620000}"/>
    <cellStyle name="20% - Accent4 49" xfId="25316" xr:uid="{00000000-0005-0000-0000-0000DB620000}"/>
    <cellStyle name="20% - Accent4 49 2" xfId="25317" xr:uid="{00000000-0005-0000-0000-0000DC620000}"/>
    <cellStyle name="20% - Accent4 49 2 2" xfId="25318" xr:uid="{00000000-0005-0000-0000-0000DD620000}"/>
    <cellStyle name="20% - Accent4 49 3" xfId="25319" xr:uid="{00000000-0005-0000-0000-0000DE620000}"/>
    <cellStyle name="20% - Accent4 49 3 2" xfId="25320" xr:uid="{00000000-0005-0000-0000-0000DF620000}"/>
    <cellStyle name="20% - Accent4 49 4" xfId="25321" xr:uid="{00000000-0005-0000-0000-0000E0620000}"/>
    <cellStyle name="20% - Accent4 5" xfId="25322" xr:uid="{00000000-0005-0000-0000-0000E1620000}"/>
    <cellStyle name="20% - Accent4 5 2" xfId="25323" xr:uid="{00000000-0005-0000-0000-0000E2620000}"/>
    <cellStyle name="20% - Accent4 5 2 2" xfId="25324" xr:uid="{00000000-0005-0000-0000-0000E3620000}"/>
    <cellStyle name="20% - Accent4 5 3" xfId="25325" xr:uid="{00000000-0005-0000-0000-0000E4620000}"/>
    <cellStyle name="20% - Accent4 5 3 2" xfId="25326" xr:uid="{00000000-0005-0000-0000-0000E5620000}"/>
    <cellStyle name="20% - Accent4 5 4" xfId="25327" xr:uid="{00000000-0005-0000-0000-0000E6620000}"/>
    <cellStyle name="20% - Accent4 5 4 2" xfId="25328" xr:uid="{00000000-0005-0000-0000-0000E7620000}"/>
    <cellStyle name="20% - Accent4 5 5" xfId="25329" xr:uid="{00000000-0005-0000-0000-0000E8620000}"/>
    <cellStyle name="20% - Accent4 5 5 2" xfId="25330" xr:uid="{00000000-0005-0000-0000-0000E9620000}"/>
    <cellStyle name="20% - Accent4 5 6" xfId="25331" xr:uid="{00000000-0005-0000-0000-0000EA620000}"/>
    <cellStyle name="20% - Accent4 50" xfId="25332" xr:uid="{00000000-0005-0000-0000-0000EB620000}"/>
    <cellStyle name="20% - Accent4 50 2" xfId="25333" xr:uid="{00000000-0005-0000-0000-0000EC620000}"/>
    <cellStyle name="20% - Accent4 50 2 2" xfId="25334" xr:uid="{00000000-0005-0000-0000-0000ED620000}"/>
    <cellStyle name="20% - Accent4 50 3" xfId="25335" xr:uid="{00000000-0005-0000-0000-0000EE620000}"/>
    <cellStyle name="20% - Accent4 50 3 2" xfId="25336" xr:uid="{00000000-0005-0000-0000-0000EF620000}"/>
    <cellStyle name="20% - Accent4 50 4" xfId="25337" xr:uid="{00000000-0005-0000-0000-0000F0620000}"/>
    <cellStyle name="20% - Accent4 51" xfId="25338" xr:uid="{00000000-0005-0000-0000-0000F1620000}"/>
    <cellStyle name="20% - Accent4 51 2" xfId="25339" xr:uid="{00000000-0005-0000-0000-0000F2620000}"/>
    <cellStyle name="20% - Accent4 51 2 2" xfId="25340" xr:uid="{00000000-0005-0000-0000-0000F3620000}"/>
    <cellStyle name="20% - Accent4 51 3" xfId="25341" xr:uid="{00000000-0005-0000-0000-0000F4620000}"/>
    <cellStyle name="20% - Accent4 51 3 2" xfId="25342" xr:uid="{00000000-0005-0000-0000-0000F5620000}"/>
    <cellStyle name="20% - Accent4 51 4" xfId="25343" xr:uid="{00000000-0005-0000-0000-0000F6620000}"/>
    <cellStyle name="20% - Accent4 52" xfId="25344" xr:uid="{00000000-0005-0000-0000-0000F7620000}"/>
    <cellStyle name="20% - Accent4 52 2" xfId="25345" xr:uid="{00000000-0005-0000-0000-0000F8620000}"/>
    <cellStyle name="20% - Accent4 52 2 2" xfId="25346" xr:uid="{00000000-0005-0000-0000-0000F9620000}"/>
    <cellStyle name="20% - Accent4 52 3" xfId="25347" xr:uid="{00000000-0005-0000-0000-0000FA620000}"/>
    <cellStyle name="20% - Accent4 52 3 2" xfId="25348" xr:uid="{00000000-0005-0000-0000-0000FB620000}"/>
    <cellStyle name="20% - Accent4 52 4" xfId="25349" xr:uid="{00000000-0005-0000-0000-0000FC620000}"/>
    <cellStyle name="20% - Accent4 53" xfId="25350" xr:uid="{00000000-0005-0000-0000-0000FD620000}"/>
    <cellStyle name="20% - Accent4 53 2" xfId="25351" xr:uid="{00000000-0005-0000-0000-0000FE620000}"/>
    <cellStyle name="20% - Accent4 53 2 2" xfId="25352" xr:uid="{00000000-0005-0000-0000-0000FF620000}"/>
    <cellStyle name="20% - Accent4 53 3" xfId="25353" xr:uid="{00000000-0005-0000-0000-000000630000}"/>
    <cellStyle name="20% - Accent4 53 3 2" xfId="25354" xr:uid="{00000000-0005-0000-0000-000001630000}"/>
    <cellStyle name="20% - Accent4 53 4" xfId="25355" xr:uid="{00000000-0005-0000-0000-000002630000}"/>
    <cellStyle name="20% - Accent4 54" xfId="25356" xr:uid="{00000000-0005-0000-0000-000003630000}"/>
    <cellStyle name="20% - Accent4 54 2" xfId="25357" xr:uid="{00000000-0005-0000-0000-000004630000}"/>
    <cellStyle name="20% - Accent4 54 2 2" xfId="25358" xr:uid="{00000000-0005-0000-0000-000005630000}"/>
    <cellStyle name="20% - Accent4 54 3" xfId="25359" xr:uid="{00000000-0005-0000-0000-000006630000}"/>
    <cellStyle name="20% - Accent4 54 3 2" xfId="25360" xr:uid="{00000000-0005-0000-0000-000007630000}"/>
    <cellStyle name="20% - Accent4 54 4" xfId="25361" xr:uid="{00000000-0005-0000-0000-000008630000}"/>
    <cellStyle name="20% - Accent4 55" xfId="25362" xr:uid="{00000000-0005-0000-0000-000009630000}"/>
    <cellStyle name="20% - Accent4 55 2" xfId="25363" xr:uid="{00000000-0005-0000-0000-00000A630000}"/>
    <cellStyle name="20% - Accent4 55 2 2" xfId="25364" xr:uid="{00000000-0005-0000-0000-00000B630000}"/>
    <cellStyle name="20% - Accent4 55 3" xfId="25365" xr:uid="{00000000-0005-0000-0000-00000C630000}"/>
    <cellStyle name="20% - Accent4 55 3 2" xfId="25366" xr:uid="{00000000-0005-0000-0000-00000D630000}"/>
    <cellStyle name="20% - Accent4 55 4" xfId="25367" xr:uid="{00000000-0005-0000-0000-00000E630000}"/>
    <cellStyle name="20% - Accent4 56" xfId="25368" xr:uid="{00000000-0005-0000-0000-00000F630000}"/>
    <cellStyle name="20% - Accent4 56 2" xfId="25369" xr:uid="{00000000-0005-0000-0000-000010630000}"/>
    <cellStyle name="20% - Accent4 56 2 2" xfId="25370" xr:uid="{00000000-0005-0000-0000-000011630000}"/>
    <cellStyle name="20% - Accent4 56 3" xfId="25371" xr:uid="{00000000-0005-0000-0000-000012630000}"/>
    <cellStyle name="20% - Accent4 56 3 2" xfId="25372" xr:uid="{00000000-0005-0000-0000-000013630000}"/>
    <cellStyle name="20% - Accent4 56 4" xfId="25373" xr:uid="{00000000-0005-0000-0000-000014630000}"/>
    <cellStyle name="20% - Accent4 57" xfId="25374" xr:uid="{00000000-0005-0000-0000-000015630000}"/>
    <cellStyle name="20% - Accent4 57 2" xfId="25375" xr:uid="{00000000-0005-0000-0000-000016630000}"/>
    <cellStyle name="20% - Accent4 57 2 2" xfId="25376" xr:uid="{00000000-0005-0000-0000-000017630000}"/>
    <cellStyle name="20% - Accent4 57 3" xfId="25377" xr:uid="{00000000-0005-0000-0000-000018630000}"/>
    <cellStyle name="20% - Accent4 57 3 2" xfId="25378" xr:uid="{00000000-0005-0000-0000-000019630000}"/>
    <cellStyle name="20% - Accent4 57 4" xfId="25379" xr:uid="{00000000-0005-0000-0000-00001A630000}"/>
    <cellStyle name="20% - Accent4 58" xfId="25380" xr:uid="{00000000-0005-0000-0000-00001B630000}"/>
    <cellStyle name="20% - Accent4 58 2" xfId="25381" xr:uid="{00000000-0005-0000-0000-00001C630000}"/>
    <cellStyle name="20% - Accent4 58 2 2" xfId="25382" xr:uid="{00000000-0005-0000-0000-00001D630000}"/>
    <cellStyle name="20% - Accent4 58 3" xfId="25383" xr:uid="{00000000-0005-0000-0000-00001E630000}"/>
    <cellStyle name="20% - Accent4 58 3 2" xfId="25384" xr:uid="{00000000-0005-0000-0000-00001F630000}"/>
    <cellStyle name="20% - Accent4 58 4" xfId="25385" xr:uid="{00000000-0005-0000-0000-000020630000}"/>
    <cellStyle name="20% - Accent4 59" xfId="25386" xr:uid="{00000000-0005-0000-0000-000021630000}"/>
    <cellStyle name="20% - Accent4 59 2" xfId="25387" xr:uid="{00000000-0005-0000-0000-000022630000}"/>
    <cellStyle name="20% - Accent4 59 2 2" xfId="25388" xr:uid="{00000000-0005-0000-0000-000023630000}"/>
    <cellStyle name="20% - Accent4 59 3" xfId="25389" xr:uid="{00000000-0005-0000-0000-000024630000}"/>
    <cellStyle name="20% - Accent4 6" xfId="25390" xr:uid="{00000000-0005-0000-0000-000025630000}"/>
    <cellStyle name="20% - Accent4 6 2" xfId="25391" xr:uid="{00000000-0005-0000-0000-000026630000}"/>
    <cellStyle name="20% - Accent4 6 2 2" xfId="25392" xr:uid="{00000000-0005-0000-0000-000027630000}"/>
    <cellStyle name="20% - Accent4 6 3" xfId="25393" xr:uid="{00000000-0005-0000-0000-000028630000}"/>
    <cellStyle name="20% - Accent4 6 3 2" xfId="25394" xr:uid="{00000000-0005-0000-0000-000029630000}"/>
    <cellStyle name="20% - Accent4 6 4" xfId="25395" xr:uid="{00000000-0005-0000-0000-00002A630000}"/>
    <cellStyle name="20% - Accent4 6 4 2" xfId="25396" xr:uid="{00000000-0005-0000-0000-00002B630000}"/>
    <cellStyle name="20% - Accent4 6 5" xfId="25397" xr:uid="{00000000-0005-0000-0000-00002C630000}"/>
    <cellStyle name="20% - Accent4 6 5 2" xfId="25398" xr:uid="{00000000-0005-0000-0000-00002D630000}"/>
    <cellStyle name="20% - Accent4 6 6" xfId="25399" xr:uid="{00000000-0005-0000-0000-00002E630000}"/>
    <cellStyle name="20% - Accent4 60" xfId="25400" xr:uid="{00000000-0005-0000-0000-00002F630000}"/>
    <cellStyle name="20% - Accent4 60 2" xfId="25401" xr:uid="{00000000-0005-0000-0000-000030630000}"/>
    <cellStyle name="20% - Accent4 61" xfId="25402" xr:uid="{00000000-0005-0000-0000-000031630000}"/>
    <cellStyle name="20% - Accent4 61 2" xfId="25403" xr:uid="{00000000-0005-0000-0000-000032630000}"/>
    <cellStyle name="20% - Accent4 62" xfId="25404" xr:uid="{00000000-0005-0000-0000-000033630000}"/>
    <cellStyle name="20% - Accent4 62 2" xfId="25405" xr:uid="{00000000-0005-0000-0000-000034630000}"/>
    <cellStyle name="20% - Accent4 63" xfId="25406" xr:uid="{00000000-0005-0000-0000-000035630000}"/>
    <cellStyle name="20% - Accent4 63 2" xfId="25407" xr:uid="{00000000-0005-0000-0000-000036630000}"/>
    <cellStyle name="20% - Accent4 64" xfId="25408" xr:uid="{00000000-0005-0000-0000-000037630000}"/>
    <cellStyle name="20% - Accent4 64 2" xfId="25409" xr:uid="{00000000-0005-0000-0000-000038630000}"/>
    <cellStyle name="20% - Accent4 65" xfId="25410" xr:uid="{00000000-0005-0000-0000-000039630000}"/>
    <cellStyle name="20% - Accent4 65 2" xfId="25411" xr:uid="{00000000-0005-0000-0000-00003A630000}"/>
    <cellStyle name="20% - Accent4 66" xfId="25412" xr:uid="{00000000-0005-0000-0000-00003B630000}"/>
    <cellStyle name="20% - Accent4 66 2" xfId="25413" xr:uid="{00000000-0005-0000-0000-00003C630000}"/>
    <cellStyle name="20% - Accent4 67" xfId="25414" xr:uid="{00000000-0005-0000-0000-00003D630000}"/>
    <cellStyle name="20% - Accent4 67 2" xfId="25415" xr:uid="{00000000-0005-0000-0000-00003E630000}"/>
    <cellStyle name="20% - Accent4 68" xfId="25416" xr:uid="{00000000-0005-0000-0000-00003F630000}"/>
    <cellStyle name="20% - Accent4 68 2" xfId="25417" xr:uid="{00000000-0005-0000-0000-000040630000}"/>
    <cellStyle name="20% - Accent4 69" xfId="25418" xr:uid="{00000000-0005-0000-0000-000041630000}"/>
    <cellStyle name="20% - Accent4 69 2" xfId="25419" xr:uid="{00000000-0005-0000-0000-000042630000}"/>
    <cellStyle name="20% - Accent4 7" xfId="25420" xr:uid="{00000000-0005-0000-0000-000043630000}"/>
    <cellStyle name="20% - Accent4 7 2" xfId="25421" xr:uid="{00000000-0005-0000-0000-000044630000}"/>
    <cellStyle name="20% - Accent4 7 2 2" xfId="25422" xr:uid="{00000000-0005-0000-0000-000045630000}"/>
    <cellStyle name="20% - Accent4 7 3" xfId="25423" xr:uid="{00000000-0005-0000-0000-000046630000}"/>
    <cellStyle name="20% - Accent4 7 3 2" xfId="25424" xr:uid="{00000000-0005-0000-0000-000047630000}"/>
    <cellStyle name="20% - Accent4 7 4" xfId="25425" xr:uid="{00000000-0005-0000-0000-000048630000}"/>
    <cellStyle name="20% - Accent4 7 4 2" xfId="25426" xr:uid="{00000000-0005-0000-0000-000049630000}"/>
    <cellStyle name="20% - Accent4 7 5" xfId="25427" xr:uid="{00000000-0005-0000-0000-00004A630000}"/>
    <cellStyle name="20% - Accent4 7 5 2" xfId="25428" xr:uid="{00000000-0005-0000-0000-00004B630000}"/>
    <cellStyle name="20% - Accent4 7 6" xfId="25429" xr:uid="{00000000-0005-0000-0000-00004C630000}"/>
    <cellStyle name="20% - Accent4 70" xfId="25430" xr:uid="{00000000-0005-0000-0000-00004D630000}"/>
    <cellStyle name="20% - Accent4 70 2" xfId="25431" xr:uid="{00000000-0005-0000-0000-00004E630000}"/>
    <cellStyle name="20% - Accent4 71" xfId="25432" xr:uid="{00000000-0005-0000-0000-00004F630000}"/>
    <cellStyle name="20% - Accent4 71 2" xfId="25433" xr:uid="{00000000-0005-0000-0000-000050630000}"/>
    <cellStyle name="20% - Accent4 72" xfId="25434" xr:uid="{00000000-0005-0000-0000-000051630000}"/>
    <cellStyle name="20% - Accent4 72 2" xfId="25435" xr:uid="{00000000-0005-0000-0000-000052630000}"/>
    <cellStyle name="20% - Accent4 73" xfId="25436" xr:uid="{00000000-0005-0000-0000-000053630000}"/>
    <cellStyle name="20% - Accent4 73 2" xfId="25437" xr:uid="{00000000-0005-0000-0000-000054630000}"/>
    <cellStyle name="20% - Accent4 74" xfId="25438" xr:uid="{00000000-0005-0000-0000-000055630000}"/>
    <cellStyle name="20% - Accent4 74 2" xfId="25439" xr:uid="{00000000-0005-0000-0000-000056630000}"/>
    <cellStyle name="20% - Accent4 75" xfId="25440" xr:uid="{00000000-0005-0000-0000-000057630000}"/>
    <cellStyle name="20% - Accent4 75 2" xfId="25441" xr:uid="{00000000-0005-0000-0000-000058630000}"/>
    <cellStyle name="20% - Accent4 76" xfId="25442" xr:uid="{00000000-0005-0000-0000-000059630000}"/>
    <cellStyle name="20% - Accent4 76 2" xfId="25443" xr:uid="{00000000-0005-0000-0000-00005A630000}"/>
    <cellStyle name="20% - Accent4 77" xfId="25444" xr:uid="{00000000-0005-0000-0000-00005B630000}"/>
    <cellStyle name="20% - Accent4 77 2" xfId="25445" xr:uid="{00000000-0005-0000-0000-00005C630000}"/>
    <cellStyle name="20% - Accent4 78" xfId="25446" xr:uid="{00000000-0005-0000-0000-00005D630000}"/>
    <cellStyle name="20% - Accent4 78 2" xfId="25447" xr:uid="{00000000-0005-0000-0000-00005E630000}"/>
    <cellStyle name="20% - Accent4 79" xfId="25448" xr:uid="{00000000-0005-0000-0000-00005F630000}"/>
    <cellStyle name="20% - Accent4 79 2" xfId="25449" xr:uid="{00000000-0005-0000-0000-000060630000}"/>
    <cellStyle name="20% - Accent4 8" xfId="25450" xr:uid="{00000000-0005-0000-0000-000061630000}"/>
    <cellStyle name="20% - Accent4 8 2" xfId="25451" xr:uid="{00000000-0005-0000-0000-000062630000}"/>
    <cellStyle name="20% - Accent4 8 2 2" xfId="25452" xr:uid="{00000000-0005-0000-0000-000063630000}"/>
    <cellStyle name="20% - Accent4 8 3" xfId="25453" xr:uid="{00000000-0005-0000-0000-000064630000}"/>
    <cellStyle name="20% - Accent4 8 3 2" xfId="25454" xr:uid="{00000000-0005-0000-0000-000065630000}"/>
    <cellStyle name="20% - Accent4 8 4" xfId="25455" xr:uid="{00000000-0005-0000-0000-000066630000}"/>
    <cellStyle name="20% - Accent4 8 4 2" xfId="25456" xr:uid="{00000000-0005-0000-0000-000067630000}"/>
    <cellStyle name="20% - Accent4 8 5" xfId="25457" xr:uid="{00000000-0005-0000-0000-000068630000}"/>
    <cellStyle name="20% - Accent4 8 5 2" xfId="25458" xr:uid="{00000000-0005-0000-0000-000069630000}"/>
    <cellStyle name="20% - Accent4 8 6" xfId="25459" xr:uid="{00000000-0005-0000-0000-00006A630000}"/>
    <cellStyle name="20% - Accent4 80" xfId="25460" xr:uid="{00000000-0005-0000-0000-00006B630000}"/>
    <cellStyle name="20% - Accent4 80 2" xfId="25461" xr:uid="{00000000-0005-0000-0000-00006C630000}"/>
    <cellStyle name="20% - Accent4 81" xfId="25462" xr:uid="{00000000-0005-0000-0000-00006D630000}"/>
    <cellStyle name="20% - Accent4 81 2" xfId="25463" xr:uid="{00000000-0005-0000-0000-00006E630000}"/>
    <cellStyle name="20% - Accent4 82" xfId="25464" xr:uid="{00000000-0005-0000-0000-00006F630000}"/>
    <cellStyle name="20% - Accent4 82 2" xfId="25465" xr:uid="{00000000-0005-0000-0000-000070630000}"/>
    <cellStyle name="20% - Accent4 83" xfId="25466" xr:uid="{00000000-0005-0000-0000-000071630000}"/>
    <cellStyle name="20% - Accent4 83 2" xfId="25467" xr:uid="{00000000-0005-0000-0000-000072630000}"/>
    <cellStyle name="20% - Accent4 84" xfId="25468" xr:uid="{00000000-0005-0000-0000-000073630000}"/>
    <cellStyle name="20% - Accent4 84 2" xfId="25469" xr:uid="{00000000-0005-0000-0000-000074630000}"/>
    <cellStyle name="20% - Accent4 85" xfId="25470" xr:uid="{00000000-0005-0000-0000-000075630000}"/>
    <cellStyle name="20% - Accent4 85 2" xfId="25471" xr:uid="{00000000-0005-0000-0000-000076630000}"/>
    <cellStyle name="20% - Accent4 86" xfId="25472" xr:uid="{00000000-0005-0000-0000-000077630000}"/>
    <cellStyle name="20% - Accent4 86 2" xfId="25473" xr:uid="{00000000-0005-0000-0000-000078630000}"/>
    <cellStyle name="20% - Accent4 87" xfId="25474" xr:uid="{00000000-0005-0000-0000-000079630000}"/>
    <cellStyle name="20% - Accent4 87 2" xfId="25475" xr:uid="{00000000-0005-0000-0000-00007A630000}"/>
    <cellStyle name="20% - Accent4 88" xfId="25476" xr:uid="{00000000-0005-0000-0000-00007B630000}"/>
    <cellStyle name="20% - Accent4 88 2" xfId="25477" xr:uid="{00000000-0005-0000-0000-00007C630000}"/>
    <cellStyle name="20% - Accent4 89" xfId="25478" xr:uid="{00000000-0005-0000-0000-00007D630000}"/>
    <cellStyle name="20% - Accent4 89 2" xfId="25479" xr:uid="{00000000-0005-0000-0000-00007E630000}"/>
    <cellStyle name="20% - Accent4 9" xfId="25480" xr:uid="{00000000-0005-0000-0000-00007F630000}"/>
    <cellStyle name="20% - Accent4 9 2" xfId="25481" xr:uid="{00000000-0005-0000-0000-000080630000}"/>
    <cellStyle name="20% - Accent4 9 2 2" xfId="25482" xr:uid="{00000000-0005-0000-0000-000081630000}"/>
    <cellStyle name="20% - Accent4 9 3" xfId="25483" xr:uid="{00000000-0005-0000-0000-000082630000}"/>
    <cellStyle name="20% - Accent4 9 3 2" xfId="25484" xr:uid="{00000000-0005-0000-0000-000083630000}"/>
    <cellStyle name="20% - Accent4 9 4" xfId="25485" xr:uid="{00000000-0005-0000-0000-000084630000}"/>
    <cellStyle name="20% - Accent4 9 4 2" xfId="25486" xr:uid="{00000000-0005-0000-0000-000085630000}"/>
    <cellStyle name="20% - Accent4 9 5" xfId="25487" xr:uid="{00000000-0005-0000-0000-000086630000}"/>
    <cellStyle name="20% - Accent4 9 5 2" xfId="25488" xr:uid="{00000000-0005-0000-0000-000087630000}"/>
    <cellStyle name="20% - Accent4 9 6" xfId="25489" xr:uid="{00000000-0005-0000-0000-000088630000}"/>
    <cellStyle name="20% - Accent4 90" xfId="25490" xr:uid="{00000000-0005-0000-0000-000089630000}"/>
    <cellStyle name="20% - Accent4 90 2" xfId="25491" xr:uid="{00000000-0005-0000-0000-00008A630000}"/>
    <cellStyle name="20% - Accent4 91" xfId="25492" xr:uid="{00000000-0005-0000-0000-00008B630000}"/>
    <cellStyle name="20% - Accent4 91 2" xfId="25493" xr:uid="{00000000-0005-0000-0000-00008C630000}"/>
    <cellStyle name="20% - Accent4 92" xfId="25494" xr:uid="{00000000-0005-0000-0000-00008D630000}"/>
    <cellStyle name="20% - Accent4 92 2" xfId="25495" xr:uid="{00000000-0005-0000-0000-00008E630000}"/>
    <cellStyle name="20% - Accent4 93" xfId="25496" xr:uid="{00000000-0005-0000-0000-00008F630000}"/>
    <cellStyle name="20% - Accent4 93 2" xfId="25497" xr:uid="{00000000-0005-0000-0000-000090630000}"/>
    <cellStyle name="20% - Accent4 94" xfId="25498" xr:uid="{00000000-0005-0000-0000-000091630000}"/>
    <cellStyle name="20% - Accent4 94 2" xfId="25499" xr:uid="{00000000-0005-0000-0000-000092630000}"/>
    <cellStyle name="20% - Accent4 95" xfId="25500" xr:uid="{00000000-0005-0000-0000-000093630000}"/>
    <cellStyle name="20% - Accent4 95 2" xfId="25501" xr:uid="{00000000-0005-0000-0000-000094630000}"/>
    <cellStyle name="20% - Accent4 96" xfId="25502" xr:uid="{00000000-0005-0000-0000-000095630000}"/>
    <cellStyle name="20% - Accent4 96 2" xfId="25503" xr:uid="{00000000-0005-0000-0000-000096630000}"/>
    <cellStyle name="20% - Accent4 97" xfId="25504" xr:uid="{00000000-0005-0000-0000-000097630000}"/>
    <cellStyle name="20% - Accent4 97 2" xfId="25505" xr:uid="{00000000-0005-0000-0000-000098630000}"/>
    <cellStyle name="20% - Accent4 98" xfId="25506" xr:uid="{00000000-0005-0000-0000-000099630000}"/>
    <cellStyle name="20% - Accent4 98 2" xfId="25507" xr:uid="{00000000-0005-0000-0000-00009A630000}"/>
    <cellStyle name="20% - Accent4 99" xfId="25508" xr:uid="{00000000-0005-0000-0000-00009B630000}"/>
    <cellStyle name="20% - Accent4 99 2" xfId="25509" xr:uid="{00000000-0005-0000-0000-00009C630000}"/>
    <cellStyle name="20% - Accent5 10" xfId="25510" xr:uid="{00000000-0005-0000-0000-00009D630000}"/>
    <cellStyle name="20% - Accent5 10 2" xfId="25511" xr:uid="{00000000-0005-0000-0000-00009E630000}"/>
    <cellStyle name="20% - Accent5 10 2 2" xfId="25512" xr:uid="{00000000-0005-0000-0000-00009F630000}"/>
    <cellStyle name="20% - Accent5 10 2 2 2" xfId="25513" xr:uid="{00000000-0005-0000-0000-0000A0630000}"/>
    <cellStyle name="20% - Accent5 10 2 3" xfId="25514" xr:uid="{00000000-0005-0000-0000-0000A1630000}"/>
    <cellStyle name="20% - Accent5 10 2 3 2" xfId="25515" xr:uid="{00000000-0005-0000-0000-0000A2630000}"/>
    <cellStyle name="20% - Accent5 10 2 4" xfId="25516" xr:uid="{00000000-0005-0000-0000-0000A3630000}"/>
    <cellStyle name="20% - Accent5 10 3" xfId="25517" xr:uid="{00000000-0005-0000-0000-0000A4630000}"/>
    <cellStyle name="20% - Accent5 10 3 2" xfId="25518" xr:uid="{00000000-0005-0000-0000-0000A5630000}"/>
    <cellStyle name="20% - Accent5 10 3 2 2" xfId="25519" xr:uid="{00000000-0005-0000-0000-0000A6630000}"/>
    <cellStyle name="20% - Accent5 10 3 3" xfId="25520" xr:uid="{00000000-0005-0000-0000-0000A7630000}"/>
    <cellStyle name="20% - Accent5 10 3 3 2" xfId="25521" xr:uid="{00000000-0005-0000-0000-0000A8630000}"/>
    <cellStyle name="20% - Accent5 10 3 4" xfId="25522" xr:uid="{00000000-0005-0000-0000-0000A9630000}"/>
    <cellStyle name="20% - Accent5 10 4" xfId="25523" xr:uid="{00000000-0005-0000-0000-0000AA630000}"/>
    <cellStyle name="20% - Accent5 10 4 2" xfId="25524" xr:uid="{00000000-0005-0000-0000-0000AB630000}"/>
    <cellStyle name="20% - Accent5 10 5" xfId="25525" xr:uid="{00000000-0005-0000-0000-0000AC630000}"/>
    <cellStyle name="20% - Accent5 10 5 2" xfId="25526" xr:uid="{00000000-0005-0000-0000-0000AD630000}"/>
    <cellStyle name="20% - Accent5 10 6" xfId="25527" xr:uid="{00000000-0005-0000-0000-0000AE630000}"/>
    <cellStyle name="20% - Accent5 100" xfId="25528" xr:uid="{00000000-0005-0000-0000-0000AF630000}"/>
    <cellStyle name="20% - Accent5 100 2" xfId="25529" xr:uid="{00000000-0005-0000-0000-0000B0630000}"/>
    <cellStyle name="20% - Accent5 101" xfId="25530" xr:uid="{00000000-0005-0000-0000-0000B1630000}"/>
    <cellStyle name="20% - Accent5 101 2" xfId="25531" xr:uid="{00000000-0005-0000-0000-0000B2630000}"/>
    <cellStyle name="20% - Accent5 102" xfId="25532" xr:uid="{00000000-0005-0000-0000-0000B3630000}"/>
    <cellStyle name="20% - Accent5 102 2" xfId="25533" xr:uid="{00000000-0005-0000-0000-0000B4630000}"/>
    <cellStyle name="20% - Accent5 103" xfId="25534" xr:uid="{00000000-0005-0000-0000-0000B5630000}"/>
    <cellStyle name="20% - Accent5 103 2" xfId="25535" xr:uid="{00000000-0005-0000-0000-0000B6630000}"/>
    <cellStyle name="20% - Accent5 104" xfId="25536" xr:uid="{00000000-0005-0000-0000-0000B7630000}"/>
    <cellStyle name="20% - Accent5 104 2" xfId="25537" xr:uid="{00000000-0005-0000-0000-0000B8630000}"/>
    <cellStyle name="20% - Accent5 105" xfId="25538" xr:uid="{00000000-0005-0000-0000-0000B9630000}"/>
    <cellStyle name="20% - Accent5 105 2" xfId="25539" xr:uid="{00000000-0005-0000-0000-0000BA630000}"/>
    <cellStyle name="20% - Accent5 106" xfId="25540" xr:uid="{00000000-0005-0000-0000-0000BB630000}"/>
    <cellStyle name="20% - Accent5 106 2" xfId="25541" xr:uid="{00000000-0005-0000-0000-0000BC630000}"/>
    <cellStyle name="20% - Accent5 107" xfId="25542" xr:uid="{00000000-0005-0000-0000-0000BD630000}"/>
    <cellStyle name="20% - Accent5 107 2" xfId="25543" xr:uid="{00000000-0005-0000-0000-0000BE630000}"/>
    <cellStyle name="20% - Accent5 108" xfId="25544" xr:uid="{00000000-0005-0000-0000-0000BF630000}"/>
    <cellStyle name="20% - Accent5 108 2" xfId="25545" xr:uid="{00000000-0005-0000-0000-0000C0630000}"/>
    <cellStyle name="20% - Accent5 109" xfId="25546" xr:uid="{00000000-0005-0000-0000-0000C1630000}"/>
    <cellStyle name="20% - Accent5 109 2" xfId="25547" xr:uid="{00000000-0005-0000-0000-0000C2630000}"/>
    <cellStyle name="20% - Accent5 11" xfId="25548" xr:uid="{00000000-0005-0000-0000-0000C3630000}"/>
    <cellStyle name="20% - Accent5 11 2" xfId="25549" xr:uid="{00000000-0005-0000-0000-0000C4630000}"/>
    <cellStyle name="20% - Accent5 11 2 2" xfId="25550" xr:uid="{00000000-0005-0000-0000-0000C5630000}"/>
    <cellStyle name="20% - Accent5 11 2 2 2" xfId="25551" xr:uid="{00000000-0005-0000-0000-0000C6630000}"/>
    <cellStyle name="20% - Accent5 11 2 3" xfId="25552" xr:uid="{00000000-0005-0000-0000-0000C7630000}"/>
    <cellStyle name="20% - Accent5 11 2 3 2" xfId="25553" xr:uid="{00000000-0005-0000-0000-0000C8630000}"/>
    <cellStyle name="20% - Accent5 11 2 4" xfId="25554" xr:uid="{00000000-0005-0000-0000-0000C9630000}"/>
    <cellStyle name="20% - Accent5 11 3" xfId="25555" xr:uid="{00000000-0005-0000-0000-0000CA630000}"/>
    <cellStyle name="20% - Accent5 11 3 2" xfId="25556" xr:uid="{00000000-0005-0000-0000-0000CB630000}"/>
    <cellStyle name="20% - Accent5 11 3 2 2" xfId="25557" xr:uid="{00000000-0005-0000-0000-0000CC630000}"/>
    <cellStyle name="20% - Accent5 11 3 3" xfId="25558" xr:uid="{00000000-0005-0000-0000-0000CD630000}"/>
    <cellStyle name="20% - Accent5 11 3 3 2" xfId="25559" xr:uid="{00000000-0005-0000-0000-0000CE630000}"/>
    <cellStyle name="20% - Accent5 11 3 4" xfId="25560" xr:uid="{00000000-0005-0000-0000-0000CF630000}"/>
    <cellStyle name="20% - Accent5 11 4" xfId="25561" xr:uid="{00000000-0005-0000-0000-0000D0630000}"/>
    <cellStyle name="20% - Accent5 11 4 2" xfId="25562" xr:uid="{00000000-0005-0000-0000-0000D1630000}"/>
    <cellStyle name="20% - Accent5 11 5" xfId="25563" xr:uid="{00000000-0005-0000-0000-0000D2630000}"/>
    <cellStyle name="20% - Accent5 11 5 2" xfId="25564" xr:uid="{00000000-0005-0000-0000-0000D3630000}"/>
    <cellStyle name="20% - Accent5 11 6" xfId="25565" xr:uid="{00000000-0005-0000-0000-0000D4630000}"/>
    <cellStyle name="20% - Accent5 110" xfId="25566" xr:uid="{00000000-0005-0000-0000-0000D5630000}"/>
    <cellStyle name="20% - Accent5 110 2" xfId="25567" xr:uid="{00000000-0005-0000-0000-0000D6630000}"/>
    <cellStyle name="20% - Accent5 111" xfId="25568" xr:uid="{00000000-0005-0000-0000-0000D7630000}"/>
    <cellStyle name="20% - Accent5 111 2" xfId="25569" xr:uid="{00000000-0005-0000-0000-0000D8630000}"/>
    <cellStyle name="20% - Accent5 112" xfId="25570" xr:uid="{00000000-0005-0000-0000-0000D9630000}"/>
    <cellStyle name="20% - Accent5 112 2" xfId="25571" xr:uid="{00000000-0005-0000-0000-0000DA630000}"/>
    <cellStyle name="20% - Accent5 113" xfId="25572" xr:uid="{00000000-0005-0000-0000-0000DB630000}"/>
    <cellStyle name="20% - Accent5 113 2" xfId="25573" xr:uid="{00000000-0005-0000-0000-0000DC630000}"/>
    <cellStyle name="20% - Accent5 114" xfId="25574" xr:uid="{00000000-0005-0000-0000-0000DD630000}"/>
    <cellStyle name="20% - Accent5 114 2" xfId="25575" xr:uid="{00000000-0005-0000-0000-0000DE630000}"/>
    <cellStyle name="20% - Accent5 115" xfId="25576" xr:uid="{00000000-0005-0000-0000-0000DF630000}"/>
    <cellStyle name="20% - Accent5 115 2" xfId="25577" xr:uid="{00000000-0005-0000-0000-0000E0630000}"/>
    <cellStyle name="20% - Accent5 116" xfId="25578" xr:uid="{00000000-0005-0000-0000-0000E1630000}"/>
    <cellStyle name="20% - Accent5 116 2" xfId="25579" xr:uid="{00000000-0005-0000-0000-0000E2630000}"/>
    <cellStyle name="20% - Accent5 117" xfId="25580" xr:uid="{00000000-0005-0000-0000-0000E3630000}"/>
    <cellStyle name="20% - Accent5 117 2" xfId="25581" xr:uid="{00000000-0005-0000-0000-0000E4630000}"/>
    <cellStyle name="20% - Accent5 118" xfId="25582" xr:uid="{00000000-0005-0000-0000-0000E5630000}"/>
    <cellStyle name="20% - Accent5 118 2" xfId="25583" xr:uid="{00000000-0005-0000-0000-0000E6630000}"/>
    <cellStyle name="20% - Accent5 119" xfId="25584" xr:uid="{00000000-0005-0000-0000-0000E7630000}"/>
    <cellStyle name="20% - Accent5 119 2" xfId="25585" xr:uid="{00000000-0005-0000-0000-0000E8630000}"/>
    <cellStyle name="20% - Accent5 12" xfId="25586" xr:uid="{00000000-0005-0000-0000-0000E9630000}"/>
    <cellStyle name="20% - Accent5 12 2" xfId="25587" xr:uid="{00000000-0005-0000-0000-0000EA630000}"/>
    <cellStyle name="20% - Accent5 12 2 2" xfId="25588" xr:uid="{00000000-0005-0000-0000-0000EB630000}"/>
    <cellStyle name="20% - Accent5 12 2 2 2" xfId="25589" xr:uid="{00000000-0005-0000-0000-0000EC630000}"/>
    <cellStyle name="20% - Accent5 12 2 3" xfId="25590" xr:uid="{00000000-0005-0000-0000-0000ED630000}"/>
    <cellStyle name="20% - Accent5 12 2 3 2" xfId="25591" xr:uid="{00000000-0005-0000-0000-0000EE630000}"/>
    <cellStyle name="20% - Accent5 12 2 4" xfId="25592" xr:uid="{00000000-0005-0000-0000-0000EF630000}"/>
    <cellStyle name="20% - Accent5 12 3" xfId="25593" xr:uid="{00000000-0005-0000-0000-0000F0630000}"/>
    <cellStyle name="20% - Accent5 12 3 2" xfId="25594" xr:uid="{00000000-0005-0000-0000-0000F1630000}"/>
    <cellStyle name="20% - Accent5 12 3 2 2" xfId="25595" xr:uid="{00000000-0005-0000-0000-0000F2630000}"/>
    <cellStyle name="20% - Accent5 12 3 3" xfId="25596" xr:uid="{00000000-0005-0000-0000-0000F3630000}"/>
    <cellStyle name="20% - Accent5 12 3 3 2" xfId="25597" xr:uid="{00000000-0005-0000-0000-0000F4630000}"/>
    <cellStyle name="20% - Accent5 12 3 4" xfId="25598" xr:uid="{00000000-0005-0000-0000-0000F5630000}"/>
    <cellStyle name="20% - Accent5 12 4" xfId="25599" xr:uid="{00000000-0005-0000-0000-0000F6630000}"/>
    <cellStyle name="20% - Accent5 12 4 2" xfId="25600" xr:uid="{00000000-0005-0000-0000-0000F7630000}"/>
    <cellStyle name="20% - Accent5 12 5" xfId="25601" xr:uid="{00000000-0005-0000-0000-0000F8630000}"/>
    <cellStyle name="20% - Accent5 12 5 2" xfId="25602" xr:uid="{00000000-0005-0000-0000-0000F9630000}"/>
    <cellStyle name="20% - Accent5 12 6" xfId="25603" xr:uid="{00000000-0005-0000-0000-0000FA630000}"/>
    <cellStyle name="20% - Accent5 120" xfId="25604" xr:uid="{00000000-0005-0000-0000-0000FB630000}"/>
    <cellStyle name="20% - Accent5 120 2" xfId="25605" xr:uid="{00000000-0005-0000-0000-0000FC630000}"/>
    <cellStyle name="20% - Accent5 121" xfId="25606" xr:uid="{00000000-0005-0000-0000-0000FD630000}"/>
    <cellStyle name="20% - Accent5 121 2" xfId="25607" xr:uid="{00000000-0005-0000-0000-0000FE630000}"/>
    <cellStyle name="20% - Accent5 122" xfId="25608" xr:uid="{00000000-0005-0000-0000-0000FF630000}"/>
    <cellStyle name="20% - Accent5 122 2" xfId="25609" xr:uid="{00000000-0005-0000-0000-000000640000}"/>
    <cellStyle name="20% - Accent5 123" xfId="25610" xr:uid="{00000000-0005-0000-0000-000001640000}"/>
    <cellStyle name="20% - Accent5 123 2" xfId="25611" xr:uid="{00000000-0005-0000-0000-000002640000}"/>
    <cellStyle name="20% - Accent5 124" xfId="25612" xr:uid="{00000000-0005-0000-0000-000003640000}"/>
    <cellStyle name="20% - Accent5 124 2" xfId="25613" xr:uid="{00000000-0005-0000-0000-000004640000}"/>
    <cellStyle name="20% - Accent5 125" xfId="25614" xr:uid="{00000000-0005-0000-0000-000005640000}"/>
    <cellStyle name="20% - Accent5 125 2" xfId="25615" xr:uid="{00000000-0005-0000-0000-000006640000}"/>
    <cellStyle name="20% - Accent5 126" xfId="25616" xr:uid="{00000000-0005-0000-0000-000007640000}"/>
    <cellStyle name="20% - Accent5 126 2" xfId="25617" xr:uid="{00000000-0005-0000-0000-000008640000}"/>
    <cellStyle name="20% - Accent5 127" xfId="25618" xr:uid="{00000000-0005-0000-0000-000009640000}"/>
    <cellStyle name="20% - Accent5 127 2" xfId="25619" xr:uid="{00000000-0005-0000-0000-00000A640000}"/>
    <cellStyle name="20% - Accent5 128" xfId="25620" xr:uid="{00000000-0005-0000-0000-00000B640000}"/>
    <cellStyle name="20% - Accent5 128 2" xfId="25621" xr:uid="{00000000-0005-0000-0000-00000C640000}"/>
    <cellStyle name="20% - Accent5 129" xfId="25622" xr:uid="{00000000-0005-0000-0000-00000D640000}"/>
    <cellStyle name="20% - Accent5 129 2" xfId="25623" xr:uid="{00000000-0005-0000-0000-00000E640000}"/>
    <cellStyle name="20% - Accent5 13" xfId="25624" xr:uid="{00000000-0005-0000-0000-00000F640000}"/>
    <cellStyle name="20% - Accent5 13 2" xfId="25625" xr:uid="{00000000-0005-0000-0000-000010640000}"/>
    <cellStyle name="20% - Accent5 13 2 2" xfId="25626" xr:uid="{00000000-0005-0000-0000-000011640000}"/>
    <cellStyle name="20% - Accent5 13 3" xfId="25627" xr:uid="{00000000-0005-0000-0000-000012640000}"/>
    <cellStyle name="20% - Accent5 13 3 2" xfId="25628" xr:uid="{00000000-0005-0000-0000-000013640000}"/>
    <cellStyle name="20% - Accent5 13 4" xfId="25629" xr:uid="{00000000-0005-0000-0000-000014640000}"/>
    <cellStyle name="20% - Accent5 130" xfId="25630" xr:uid="{00000000-0005-0000-0000-000015640000}"/>
    <cellStyle name="20% - Accent5 130 2" xfId="25631" xr:uid="{00000000-0005-0000-0000-000016640000}"/>
    <cellStyle name="20% - Accent5 131" xfId="25632" xr:uid="{00000000-0005-0000-0000-000017640000}"/>
    <cellStyle name="20% - Accent5 131 2" xfId="25633" xr:uid="{00000000-0005-0000-0000-000018640000}"/>
    <cellStyle name="20% - Accent5 132" xfId="25634" xr:uid="{00000000-0005-0000-0000-000019640000}"/>
    <cellStyle name="20% - Accent5 132 2" xfId="25635" xr:uid="{00000000-0005-0000-0000-00001A640000}"/>
    <cellStyle name="20% - Accent5 133" xfId="25636" xr:uid="{00000000-0005-0000-0000-00001B640000}"/>
    <cellStyle name="20% - Accent5 133 2" xfId="25637" xr:uid="{00000000-0005-0000-0000-00001C640000}"/>
    <cellStyle name="20% - Accent5 134" xfId="25638" xr:uid="{00000000-0005-0000-0000-00001D640000}"/>
    <cellStyle name="20% - Accent5 134 2" xfId="25639" xr:uid="{00000000-0005-0000-0000-00001E640000}"/>
    <cellStyle name="20% - Accent5 135" xfId="25640" xr:uid="{00000000-0005-0000-0000-00001F640000}"/>
    <cellStyle name="20% - Accent5 135 2" xfId="25641" xr:uid="{00000000-0005-0000-0000-000020640000}"/>
    <cellStyle name="20% - Accent5 136" xfId="25642" xr:uid="{00000000-0005-0000-0000-000021640000}"/>
    <cellStyle name="20% - Accent5 136 2" xfId="25643" xr:uid="{00000000-0005-0000-0000-000022640000}"/>
    <cellStyle name="20% - Accent5 137" xfId="25644" xr:uid="{00000000-0005-0000-0000-000023640000}"/>
    <cellStyle name="20% - Accent5 137 2" xfId="25645" xr:uid="{00000000-0005-0000-0000-000024640000}"/>
    <cellStyle name="20% - Accent5 138" xfId="25646" xr:uid="{00000000-0005-0000-0000-000025640000}"/>
    <cellStyle name="20% - Accent5 138 2" xfId="25647" xr:uid="{00000000-0005-0000-0000-000026640000}"/>
    <cellStyle name="20% - Accent5 139" xfId="25648" xr:uid="{00000000-0005-0000-0000-000027640000}"/>
    <cellStyle name="20% - Accent5 139 2" xfId="25649" xr:uid="{00000000-0005-0000-0000-000028640000}"/>
    <cellStyle name="20% - Accent5 14" xfId="25650" xr:uid="{00000000-0005-0000-0000-000029640000}"/>
    <cellStyle name="20% - Accent5 14 2" xfId="25651" xr:uid="{00000000-0005-0000-0000-00002A640000}"/>
    <cellStyle name="20% - Accent5 14 2 2" xfId="25652" xr:uid="{00000000-0005-0000-0000-00002B640000}"/>
    <cellStyle name="20% - Accent5 14 3" xfId="25653" xr:uid="{00000000-0005-0000-0000-00002C640000}"/>
    <cellStyle name="20% - Accent5 14 3 2" xfId="25654" xr:uid="{00000000-0005-0000-0000-00002D640000}"/>
    <cellStyle name="20% - Accent5 14 4" xfId="25655" xr:uid="{00000000-0005-0000-0000-00002E640000}"/>
    <cellStyle name="20% - Accent5 140" xfId="25656" xr:uid="{00000000-0005-0000-0000-00002F640000}"/>
    <cellStyle name="20% - Accent5 140 2" xfId="25657" xr:uid="{00000000-0005-0000-0000-000030640000}"/>
    <cellStyle name="20% - Accent5 141" xfId="25658" xr:uid="{00000000-0005-0000-0000-000031640000}"/>
    <cellStyle name="20% - Accent5 141 2" xfId="25659" xr:uid="{00000000-0005-0000-0000-000032640000}"/>
    <cellStyle name="20% - Accent5 142" xfId="25660" xr:uid="{00000000-0005-0000-0000-000033640000}"/>
    <cellStyle name="20% - Accent5 142 2" xfId="25661" xr:uid="{00000000-0005-0000-0000-000034640000}"/>
    <cellStyle name="20% - Accent5 143" xfId="25662" xr:uid="{00000000-0005-0000-0000-000035640000}"/>
    <cellStyle name="20% - Accent5 143 2" xfId="25663" xr:uid="{00000000-0005-0000-0000-000036640000}"/>
    <cellStyle name="20% - Accent5 144" xfId="25664" xr:uid="{00000000-0005-0000-0000-000037640000}"/>
    <cellStyle name="20% - Accent5 144 2" xfId="25665" xr:uid="{00000000-0005-0000-0000-000038640000}"/>
    <cellStyle name="20% - Accent5 145" xfId="25666" xr:uid="{00000000-0005-0000-0000-000039640000}"/>
    <cellStyle name="20% - Accent5 145 2" xfId="25667" xr:uid="{00000000-0005-0000-0000-00003A640000}"/>
    <cellStyle name="20% - Accent5 146" xfId="25668" xr:uid="{00000000-0005-0000-0000-00003B640000}"/>
    <cellStyle name="20% - Accent5 146 2" xfId="25669" xr:uid="{00000000-0005-0000-0000-00003C640000}"/>
    <cellStyle name="20% - Accent5 147" xfId="25670" xr:uid="{00000000-0005-0000-0000-00003D640000}"/>
    <cellStyle name="20% - Accent5 147 2" xfId="25671" xr:uid="{00000000-0005-0000-0000-00003E640000}"/>
    <cellStyle name="20% - Accent5 148" xfId="25672" xr:uid="{00000000-0005-0000-0000-00003F640000}"/>
    <cellStyle name="20% - Accent5 148 2" xfId="25673" xr:uid="{00000000-0005-0000-0000-000040640000}"/>
    <cellStyle name="20% - Accent5 149" xfId="25674" xr:uid="{00000000-0005-0000-0000-000041640000}"/>
    <cellStyle name="20% - Accent5 149 2" xfId="25675" xr:uid="{00000000-0005-0000-0000-000042640000}"/>
    <cellStyle name="20% - Accent5 15" xfId="25676" xr:uid="{00000000-0005-0000-0000-000043640000}"/>
    <cellStyle name="20% - Accent5 15 2" xfId="25677" xr:uid="{00000000-0005-0000-0000-000044640000}"/>
    <cellStyle name="20% - Accent5 15 2 2" xfId="25678" xr:uid="{00000000-0005-0000-0000-000045640000}"/>
    <cellStyle name="20% - Accent5 15 3" xfId="25679" xr:uid="{00000000-0005-0000-0000-000046640000}"/>
    <cellStyle name="20% - Accent5 15 3 2" xfId="25680" xr:uid="{00000000-0005-0000-0000-000047640000}"/>
    <cellStyle name="20% - Accent5 15 4" xfId="25681" xr:uid="{00000000-0005-0000-0000-000048640000}"/>
    <cellStyle name="20% - Accent5 150" xfId="25682" xr:uid="{00000000-0005-0000-0000-000049640000}"/>
    <cellStyle name="20% - Accent5 150 2" xfId="25683" xr:uid="{00000000-0005-0000-0000-00004A640000}"/>
    <cellStyle name="20% - Accent5 151" xfId="25684" xr:uid="{00000000-0005-0000-0000-00004B640000}"/>
    <cellStyle name="20% - Accent5 151 2" xfId="25685" xr:uid="{00000000-0005-0000-0000-00004C640000}"/>
    <cellStyle name="20% - Accent5 152" xfId="25686" xr:uid="{00000000-0005-0000-0000-00004D640000}"/>
    <cellStyle name="20% - Accent5 152 2" xfId="25687" xr:uid="{00000000-0005-0000-0000-00004E640000}"/>
    <cellStyle name="20% - Accent5 153" xfId="25688" xr:uid="{00000000-0005-0000-0000-00004F640000}"/>
    <cellStyle name="20% - Accent5 153 2" xfId="25689" xr:uid="{00000000-0005-0000-0000-000050640000}"/>
    <cellStyle name="20% - Accent5 154" xfId="25690" xr:uid="{00000000-0005-0000-0000-000051640000}"/>
    <cellStyle name="20% - Accent5 154 2" xfId="25691" xr:uid="{00000000-0005-0000-0000-000052640000}"/>
    <cellStyle name="20% - Accent5 155" xfId="25692" xr:uid="{00000000-0005-0000-0000-000053640000}"/>
    <cellStyle name="20% - Accent5 155 2" xfId="25693" xr:uid="{00000000-0005-0000-0000-000054640000}"/>
    <cellStyle name="20% - Accent5 156" xfId="25694" xr:uid="{00000000-0005-0000-0000-000055640000}"/>
    <cellStyle name="20% - Accent5 156 2" xfId="25695" xr:uid="{00000000-0005-0000-0000-000056640000}"/>
    <cellStyle name="20% - Accent5 157" xfId="25696" xr:uid="{00000000-0005-0000-0000-000057640000}"/>
    <cellStyle name="20% - Accent5 157 2" xfId="25697" xr:uid="{00000000-0005-0000-0000-000058640000}"/>
    <cellStyle name="20% - Accent5 158" xfId="25698" xr:uid="{00000000-0005-0000-0000-000059640000}"/>
    <cellStyle name="20% - Accent5 158 2" xfId="25699" xr:uid="{00000000-0005-0000-0000-00005A640000}"/>
    <cellStyle name="20% - Accent5 159" xfId="25700" xr:uid="{00000000-0005-0000-0000-00005B640000}"/>
    <cellStyle name="20% - Accent5 159 2" xfId="25701" xr:uid="{00000000-0005-0000-0000-00005C640000}"/>
    <cellStyle name="20% - Accent5 16" xfId="25702" xr:uid="{00000000-0005-0000-0000-00005D640000}"/>
    <cellStyle name="20% - Accent5 16 2" xfId="25703" xr:uid="{00000000-0005-0000-0000-00005E640000}"/>
    <cellStyle name="20% - Accent5 16 2 2" xfId="25704" xr:uid="{00000000-0005-0000-0000-00005F640000}"/>
    <cellStyle name="20% - Accent5 16 3" xfId="25705" xr:uid="{00000000-0005-0000-0000-000060640000}"/>
    <cellStyle name="20% - Accent5 16 3 2" xfId="25706" xr:uid="{00000000-0005-0000-0000-000061640000}"/>
    <cellStyle name="20% - Accent5 16 4" xfId="25707" xr:uid="{00000000-0005-0000-0000-000062640000}"/>
    <cellStyle name="20% - Accent5 160" xfId="25708" xr:uid="{00000000-0005-0000-0000-000063640000}"/>
    <cellStyle name="20% - Accent5 160 2" xfId="25709" xr:uid="{00000000-0005-0000-0000-000064640000}"/>
    <cellStyle name="20% - Accent5 161" xfId="25710" xr:uid="{00000000-0005-0000-0000-000065640000}"/>
    <cellStyle name="20% - Accent5 161 2" xfId="25711" xr:uid="{00000000-0005-0000-0000-000066640000}"/>
    <cellStyle name="20% - Accent5 162" xfId="25712" xr:uid="{00000000-0005-0000-0000-000067640000}"/>
    <cellStyle name="20% - Accent5 162 2" xfId="25713" xr:uid="{00000000-0005-0000-0000-000068640000}"/>
    <cellStyle name="20% - Accent5 163" xfId="25714" xr:uid="{00000000-0005-0000-0000-000069640000}"/>
    <cellStyle name="20% - Accent5 163 2" xfId="25715" xr:uid="{00000000-0005-0000-0000-00006A640000}"/>
    <cellStyle name="20% - Accent5 164" xfId="25716" xr:uid="{00000000-0005-0000-0000-00006B640000}"/>
    <cellStyle name="20% - Accent5 164 2" xfId="25717" xr:uid="{00000000-0005-0000-0000-00006C640000}"/>
    <cellStyle name="20% - Accent5 165" xfId="25718" xr:uid="{00000000-0005-0000-0000-00006D640000}"/>
    <cellStyle name="20% - Accent5 165 2" xfId="25719" xr:uid="{00000000-0005-0000-0000-00006E640000}"/>
    <cellStyle name="20% - Accent5 166" xfId="25720" xr:uid="{00000000-0005-0000-0000-00006F640000}"/>
    <cellStyle name="20% - Accent5 166 2" xfId="25721" xr:uid="{00000000-0005-0000-0000-000070640000}"/>
    <cellStyle name="20% - Accent5 167" xfId="25722" xr:uid="{00000000-0005-0000-0000-000071640000}"/>
    <cellStyle name="20% - Accent5 167 2" xfId="25723" xr:uid="{00000000-0005-0000-0000-000072640000}"/>
    <cellStyle name="20% - Accent5 168" xfId="25724" xr:uid="{00000000-0005-0000-0000-000073640000}"/>
    <cellStyle name="20% - Accent5 168 2" xfId="25725" xr:uid="{00000000-0005-0000-0000-000074640000}"/>
    <cellStyle name="20% - Accent5 169" xfId="25726" xr:uid="{00000000-0005-0000-0000-000075640000}"/>
    <cellStyle name="20% - Accent5 169 2" xfId="25727" xr:uid="{00000000-0005-0000-0000-000076640000}"/>
    <cellStyle name="20% - Accent5 17" xfId="25728" xr:uid="{00000000-0005-0000-0000-000077640000}"/>
    <cellStyle name="20% - Accent5 17 2" xfId="25729" xr:uid="{00000000-0005-0000-0000-000078640000}"/>
    <cellStyle name="20% - Accent5 17 2 2" xfId="25730" xr:uid="{00000000-0005-0000-0000-000079640000}"/>
    <cellStyle name="20% - Accent5 17 3" xfId="25731" xr:uid="{00000000-0005-0000-0000-00007A640000}"/>
    <cellStyle name="20% - Accent5 17 3 2" xfId="25732" xr:uid="{00000000-0005-0000-0000-00007B640000}"/>
    <cellStyle name="20% - Accent5 17 4" xfId="25733" xr:uid="{00000000-0005-0000-0000-00007C640000}"/>
    <cellStyle name="20% - Accent5 170" xfId="25734" xr:uid="{00000000-0005-0000-0000-00007D640000}"/>
    <cellStyle name="20% - Accent5 170 2" xfId="25735" xr:uid="{00000000-0005-0000-0000-00007E640000}"/>
    <cellStyle name="20% - Accent5 171" xfId="25736" xr:uid="{00000000-0005-0000-0000-00007F640000}"/>
    <cellStyle name="20% - Accent5 171 2" xfId="25737" xr:uid="{00000000-0005-0000-0000-000080640000}"/>
    <cellStyle name="20% - Accent5 172" xfId="25738" xr:uid="{00000000-0005-0000-0000-000081640000}"/>
    <cellStyle name="20% - Accent5 172 2" xfId="25739" xr:uid="{00000000-0005-0000-0000-000082640000}"/>
    <cellStyle name="20% - Accent5 173" xfId="25740" xr:uid="{00000000-0005-0000-0000-000083640000}"/>
    <cellStyle name="20% - Accent5 173 2" xfId="25741" xr:uid="{00000000-0005-0000-0000-000084640000}"/>
    <cellStyle name="20% - Accent5 174" xfId="25742" xr:uid="{00000000-0005-0000-0000-000085640000}"/>
    <cellStyle name="20% - Accent5 174 2" xfId="25743" xr:uid="{00000000-0005-0000-0000-000086640000}"/>
    <cellStyle name="20% - Accent5 175" xfId="25744" xr:uid="{00000000-0005-0000-0000-000087640000}"/>
    <cellStyle name="20% - Accent5 175 2" xfId="25745" xr:uid="{00000000-0005-0000-0000-000088640000}"/>
    <cellStyle name="20% - Accent5 176" xfId="25746" xr:uid="{00000000-0005-0000-0000-000089640000}"/>
    <cellStyle name="20% - Accent5 176 2" xfId="25747" xr:uid="{00000000-0005-0000-0000-00008A640000}"/>
    <cellStyle name="20% - Accent5 177" xfId="25748" xr:uid="{00000000-0005-0000-0000-00008B640000}"/>
    <cellStyle name="20% - Accent5 177 2" xfId="25749" xr:uid="{00000000-0005-0000-0000-00008C640000}"/>
    <cellStyle name="20% - Accent5 178" xfId="25750" xr:uid="{00000000-0005-0000-0000-00008D640000}"/>
    <cellStyle name="20% - Accent5 178 2" xfId="25751" xr:uid="{00000000-0005-0000-0000-00008E640000}"/>
    <cellStyle name="20% - Accent5 179" xfId="25752" xr:uid="{00000000-0005-0000-0000-00008F640000}"/>
    <cellStyle name="20% - Accent5 179 2" xfId="25753" xr:uid="{00000000-0005-0000-0000-000090640000}"/>
    <cellStyle name="20% - Accent5 18" xfId="25754" xr:uid="{00000000-0005-0000-0000-000091640000}"/>
    <cellStyle name="20% - Accent5 18 2" xfId="25755" xr:uid="{00000000-0005-0000-0000-000092640000}"/>
    <cellStyle name="20% - Accent5 18 2 2" xfId="25756" xr:uid="{00000000-0005-0000-0000-000093640000}"/>
    <cellStyle name="20% - Accent5 18 3" xfId="25757" xr:uid="{00000000-0005-0000-0000-000094640000}"/>
    <cellStyle name="20% - Accent5 18 3 2" xfId="25758" xr:uid="{00000000-0005-0000-0000-000095640000}"/>
    <cellStyle name="20% - Accent5 18 4" xfId="25759" xr:uid="{00000000-0005-0000-0000-000096640000}"/>
    <cellStyle name="20% - Accent5 180" xfId="25760" xr:uid="{00000000-0005-0000-0000-000097640000}"/>
    <cellStyle name="20% - Accent5 180 2" xfId="25761" xr:uid="{00000000-0005-0000-0000-000098640000}"/>
    <cellStyle name="20% - Accent5 181" xfId="25762" xr:uid="{00000000-0005-0000-0000-000099640000}"/>
    <cellStyle name="20% - Accent5 181 2" xfId="25763" xr:uid="{00000000-0005-0000-0000-00009A640000}"/>
    <cellStyle name="20% - Accent5 182" xfId="25764" xr:uid="{00000000-0005-0000-0000-00009B640000}"/>
    <cellStyle name="20% - Accent5 182 2" xfId="25765" xr:uid="{00000000-0005-0000-0000-00009C640000}"/>
    <cellStyle name="20% - Accent5 183" xfId="25766" xr:uid="{00000000-0005-0000-0000-00009D640000}"/>
    <cellStyle name="20% - Accent5 183 2" xfId="25767" xr:uid="{00000000-0005-0000-0000-00009E640000}"/>
    <cellStyle name="20% - Accent5 184" xfId="25768" xr:uid="{00000000-0005-0000-0000-00009F640000}"/>
    <cellStyle name="20% - Accent5 184 2" xfId="25769" xr:uid="{00000000-0005-0000-0000-0000A0640000}"/>
    <cellStyle name="20% - Accent5 185" xfId="25770" xr:uid="{00000000-0005-0000-0000-0000A1640000}"/>
    <cellStyle name="20% - Accent5 185 2" xfId="25771" xr:uid="{00000000-0005-0000-0000-0000A2640000}"/>
    <cellStyle name="20% - Accent5 186" xfId="25772" xr:uid="{00000000-0005-0000-0000-0000A3640000}"/>
    <cellStyle name="20% - Accent5 186 2" xfId="25773" xr:uid="{00000000-0005-0000-0000-0000A4640000}"/>
    <cellStyle name="20% - Accent5 187" xfId="25774" xr:uid="{00000000-0005-0000-0000-0000A5640000}"/>
    <cellStyle name="20% - Accent5 187 2" xfId="25775" xr:uid="{00000000-0005-0000-0000-0000A6640000}"/>
    <cellStyle name="20% - Accent5 188" xfId="25776" xr:uid="{00000000-0005-0000-0000-0000A7640000}"/>
    <cellStyle name="20% - Accent5 188 2" xfId="25777" xr:uid="{00000000-0005-0000-0000-0000A8640000}"/>
    <cellStyle name="20% - Accent5 189" xfId="25778" xr:uid="{00000000-0005-0000-0000-0000A9640000}"/>
    <cellStyle name="20% - Accent5 189 2" xfId="25779" xr:uid="{00000000-0005-0000-0000-0000AA640000}"/>
    <cellStyle name="20% - Accent5 19" xfId="25780" xr:uid="{00000000-0005-0000-0000-0000AB640000}"/>
    <cellStyle name="20% - Accent5 19 2" xfId="25781" xr:uid="{00000000-0005-0000-0000-0000AC640000}"/>
    <cellStyle name="20% - Accent5 19 2 2" xfId="25782" xr:uid="{00000000-0005-0000-0000-0000AD640000}"/>
    <cellStyle name="20% - Accent5 19 3" xfId="25783" xr:uid="{00000000-0005-0000-0000-0000AE640000}"/>
    <cellStyle name="20% - Accent5 19 3 2" xfId="25784" xr:uid="{00000000-0005-0000-0000-0000AF640000}"/>
    <cellStyle name="20% - Accent5 19 4" xfId="25785" xr:uid="{00000000-0005-0000-0000-0000B0640000}"/>
    <cellStyle name="20% - Accent5 190" xfId="25786" xr:uid="{00000000-0005-0000-0000-0000B1640000}"/>
    <cellStyle name="20% - Accent5 190 2" xfId="25787" xr:uid="{00000000-0005-0000-0000-0000B2640000}"/>
    <cellStyle name="20% - Accent5 191" xfId="25788" xr:uid="{00000000-0005-0000-0000-0000B3640000}"/>
    <cellStyle name="20% - Accent5 191 2" xfId="25789" xr:uid="{00000000-0005-0000-0000-0000B4640000}"/>
    <cellStyle name="20% - Accent5 192" xfId="25790" xr:uid="{00000000-0005-0000-0000-0000B5640000}"/>
    <cellStyle name="20% - Accent5 192 2" xfId="25791" xr:uid="{00000000-0005-0000-0000-0000B6640000}"/>
    <cellStyle name="20% - Accent5 193" xfId="25792" xr:uid="{00000000-0005-0000-0000-0000B7640000}"/>
    <cellStyle name="20% - Accent5 193 2" xfId="25793" xr:uid="{00000000-0005-0000-0000-0000B8640000}"/>
    <cellStyle name="20% - Accent5 194" xfId="25794" xr:uid="{00000000-0005-0000-0000-0000B9640000}"/>
    <cellStyle name="20% - Accent5 194 2" xfId="25795" xr:uid="{00000000-0005-0000-0000-0000BA640000}"/>
    <cellStyle name="20% - Accent5 195" xfId="25796" xr:uid="{00000000-0005-0000-0000-0000BB640000}"/>
    <cellStyle name="20% - Accent5 195 2" xfId="25797" xr:uid="{00000000-0005-0000-0000-0000BC640000}"/>
    <cellStyle name="20% - Accent5 196" xfId="25798" xr:uid="{00000000-0005-0000-0000-0000BD640000}"/>
    <cellStyle name="20% - Accent5 196 2" xfId="25799" xr:uid="{00000000-0005-0000-0000-0000BE640000}"/>
    <cellStyle name="20% - Accent5 197" xfId="25800" xr:uid="{00000000-0005-0000-0000-0000BF640000}"/>
    <cellStyle name="20% - Accent5 197 2" xfId="25801" xr:uid="{00000000-0005-0000-0000-0000C0640000}"/>
    <cellStyle name="20% - Accent5 198" xfId="25802" xr:uid="{00000000-0005-0000-0000-0000C1640000}"/>
    <cellStyle name="20% - Accent5 198 2" xfId="25803" xr:uid="{00000000-0005-0000-0000-0000C2640000}"/>
    <cellStyle name="20% - Accent5 2" xfId="25804" xr:uid="{00000000-0005-0000-0000-0000C3640000}"/>
    <cellStyle name="20% - Accent5 2 2" xfId="25805" xr:uid="{00000000-0005-0000-0000-0000C4640000}"/>
    <cellStyle name="20% - Accent5 2 2 2" xfId="25806" xr:uid="{00000000-0005-0000-0000-0000C5640000}"/>
    <cellStyle name="20% - Accent5 2 2 2 2" xfId="25807" xr:uid="{00000000-0005-0000-0000-0000C6640000}"/>
    <cellStyle name="20% - Accent5 2 2 3" xfId="25808" xr:uid="{00000000-0005-0000-0000-0000C7640000}"/>
    <cellStyle name="20% - Accent5 2 2 3 2" xfId="25809" xr:uid="{00000000-0005-0000-0000-0000C8640000}"/>
    <cellStyle name="20% - Accent5 2 2 4" xfId="25810" xr:uid="{00000000-0005-0000-0000-0000C9640000}"/>
    <cellStyle name="20% - Accent5 2 2 4 2" xfId="25811" xr:uid="{00000000-0005-0000-0000-0000CA640000}"/>
    <cellStyle name="20% - Accent5 2 2 5" xfId="25812" xr:uid="{00000000-0005-0000-0000-0000CB640000}"/>
    <cellStyle name="20% - Accent5 2 2 5 2" xfId="25813" xr:uid="{00000000-0005-0000-0000-0000CC640000}"/>
    <cellStyle name="20% - Accent5 2 2 6" xfId="25814" xr:uid="{00000000-0005-0000-0000-0000CD640000}"/>
    <cellStyle name="20% - Accent5 2 3" xfId="25815" xr:uid="{00000000-0005-0000-0000-0000CE640000}"/>
    <cellStyle name="20% - Accent5 2 3 2" xfId="25816" xr:uid="{00000000-0005-0000-0000-0000CF640000}"/>
    <cellStyle name="20% - Accent5 2 4" xfId="25817" xr:uid="{00000000-0005-0000-0000-0000D0640000}"/>
    <cellStyle name="20% - Accent5 2 4 2" xfId="25818" xr:uid="{00000000-0005-0000-0000-0000D1640000}"/>
    <cellStyle name="20% - Accent5 2 5" xfId="25819" xr:uid="{00000000-0005-0000-0000-0000D2640000}"/>
    <cellStyle name="20% - Accent5 2 5 2" xfId="25820" xr:uid="{00000000-0005-0000-0000-0000D3640000}"/>
    <cellStyle name="20% - Accent5 2 6" xfId="25821" xr:uid="{00000000-0005-0000-0000-0000D4640000}"/>
    <cellStyle name="20% - Accent5 2 6 2" xfId="25822" xr:uid="{00000000-0005-0000-0000-0000D5640000}"/>
    <cellStyle name="20% - Accent5 2 7" xfId="25823" xr:uid="{00000000-0005-0000-0000-0000D6640000}"/>
    <cellStyle name="20% - Accent5 20" xfId="25824" xr:uid="{00000000-0005-0000-0000-0000D7640000}"/>
    <cellStyle name="20% - Accent5 20 2" xfId="25825" xr:uid="{00000000-0005-0000-0000-0000D8640000}"/>
    <cellStyle name="20% - Accent5 20 2 2" xfId="25826" xr:uid="{00000000-0005-0000-0000-0000D9640000}"/>
    <cellStyle name="20% - Accent5 20 3" xfId="25827" xr:uid="{00000000-0005-0000-0000-0000DA640000}"/>
    <cellStyle name="20% - Accent5 20 3 2" xfId="25828" xr:uid="{00000000-0005-0000-0000-0000DB640000}"/>
    <cellStyle name="20% - Accent5 20 4" xfId="25829" xr:uid="{00000000-0005-0000-0000-0000DC640000}"/>
    <cellStyle name="20% - Accent5 21" xfId="25830" xr:uid="{00000000-0005-0000-0000-0000DD640000}"/>
    <cellStyle name="20% - Accent5 21 2" xfId="25831" xr:uid="{00000000-0005-0000-0000-0000DE640000}"/>
    <cellStyle name="20% - Accent5 21 2 2" xfId="25832" xr:uid="{00000000-0005-0000-0000-0000DF640000}"/>
    <cellStyle name="20% - Accent5 21 3" xfId="25833" xr:uid="{00000000-0005-0000-0000-0000E0640000}"/>
    <cellStyle name="20% - Accent5 21 3 2" xfId="25834" xr:uid="{00000000-0005-0000-0000-0000E1640000}"/>
    <cellStyle name="20% - Accent5 21 4" xfId="25835" xr:uid="{00000000-0005-0000-0000-0000E2640000}"/>
    <cellStyle name="20% - Accent5 22" xfId="25836" xr:uid="{00000000-0005-0000-0000-0000E3640000}"/>
    <cellStyle name="20% - Accent5 22 2" xfId="25837" xr:uid="{00000000-0005-0000-0000-0000E4640000}"/>
    <cellStyle name="20% - Accent5 22 2 2" xfId="25838" xr:uid="{00000000-0005-0000-0000-0000E5640000}"/>
    <cellStyle name="20% - Accent5 22 3" xfId="25839" xr:uid="{00000000-0005-0000-0000-0000E6640000}"/>
    <cellStyle name="20% - Accent5 22 3 2" xfId="25840" xr:uid="{00000000-0005-0000-0000-0000E7640000}"/>
    <cellStyle name="20% - Accent5 22 4" xfId="25841" xr:uid="{00000000-0005-0000-0000-0000E8640000}"/>
    <cellStyle name="20% - Accent5 23" xfId="25842" xr:uid="{00000000-0005-0000-0000-0000E9640000}"/>
    <cellStyle name="20% - Accent5 23 2" xfId="25843" xr:uid="{00000000-0005-0000-0000-0000EA640000}"/>
    <cellStyle name="20% - Accent5 23 2 2" xfId="25844" xr:uid="{00000000-0005-0000-0000-0000EB640000}"/>
    <cellStyle name="20% - Accent5 23 3" xfId="25845" xr:uid="{00000000-0005-0000-0000-0000EC640000}"/>
    <cellStyle name="20% - Accent5 23 3 2" xfId="25846" xr:uid="{00000000-0005-0000-0000-0000ED640000}"/>
    <cellStyle name="20% - Accent5 23 4" xfId="25847" xr:uid="{00000000-0005-0000-0000-0000EE640000}"/>
    <cellStyle name="20% - Accent5 24" xfId="25848" xr:uid="{00000000-0005-0000-0000-0000EF640000}"/>
    <cellStyle name="20% - Accent5 24 2" xfId="25849" xr:uid="{00000000-0005-0000-0000-0000F0640000}"/>
    <cellStyle name="20% - Accent5 24 2 2" xfId="25850" xr:uid="{00000000-0005-0000-0000-0000F1640000}"/>
    <cellStyle name="20% - Accent5 24 3" xfId="25851" xr:uid="{00000000-0005-0000-0000-0000F2640000}"/>
    <cellStyle name="20% - Accent5 24 3 2" xfId="25852" xr:uid="{00000000-0005-0000-0000-0000F3640000}"/>
    <cellStyle name="20% - Accent5 24 4" xfId="25853" xr:uid="{00000000-0005-0000-0000-0000F4640000}"/>
    <cellStyle name="20% - Accent5 25" xfId="25854" xr:uid="{00000000-0005-0000-0000-0000F5640000}"/>
    <cellStyle name="20% - Accent5 25 2" xfId="25855" xr:uid="{00000000-0005-0000-0000-0000F6640000}"/>
    <cellStyle name="20% - Accent5 25 2 2" xfId="25856" xr:uid="{00000000-0005-0000-0000-0000F7640000}"/>
    <cellStyle name="20% - Accent5 25 3" xfId="25857" xr:uid="{00000000-0005-0000-0000-0000F8640000}"/>
    <cellStyle name="20% - Accent5 25 3 2" xfId="25858" xr:uid="{00000000-0005-0000-0000-0000F9640000}"/>
    <cellStyle name="20% - Accent5 25 4" xfId="25859" xr:uid="{00000000-0005-0000-0000-0000FA640000}"/>
    <cellStyle name="20% - Accent5 26" xfId="25860" xr:uid="{00000000-0005-0000-0000-0000FB640000}"/>
    <cellStyle name="20% - Accent5 26 2" xfId="25861" xr:uid="{00000000-0005-0000-0000-0000FC640000}"/>
    <cellStyle name="20% - Accent5 26 2 2" xfId="25862" xr:uid="{00000000-0005-0000-0000-0000FD640000}"/>
    <cellStyle name="20% - Accent5 26 3" xfId="25863" xr:uid="{00000000-0005-0000-0000-0000FE640000}"/>
    <cellStyle name="20% - Accent5 26 3 2" xfId="25864" xr:uid="{00000000-0005-0000-0000-0000FF640000}"/>
    <cellStyle name="20% - Accent5 26 4" xfId="25865" xr:uid="{00000000-0005-0000-0000-000000650000}"/>
    <cellStyle name="20% - Accent5 27" xfId="25866" xr:uid="{00000000-0005-0000-0000-000001650000}"/>
    <cellStyle name="20% - Accent5 27 2" xfId="25867" xr:uid="{00000000-0005-0000-0000-000002650000}"/>
    <cellStyle name="20% - Accent5 27 2 2" xfId="25868" xr:uid="{00000000-0005-0000-0000-000003650000}"/>
    <cellStyle name="20% - Accent5 27 3" xfId="25869" xr:uid="{00000000-0005-0000-0000-000004650000}"/>
    <cellStyle name="20% - Accent5 27 3 2" xfId="25870" xr:uid="{00000000-0005-0000-0000-000005650000}"/>
    <cellStyle name="20% - Accent5 27 4" xfId="25871" xr:uid="{00000000-0005-0000-0000-000006650000}"/>
    <cellStyle name="20% - Accent5 28" xfId="25872" xr:uid="{00000000-0005-0000-0000-000007650000}"/>
    <cellStyle name="20% - Accent5 28 2" xfId="25873" xr:uid="{00000000-0005-0000-0000-000008650000}"/>
    <cellStyle name="20% - Accent5 28 2 2" xfId="25874" xr:uid="{00000000-0005-0000-0000-000009650000}"/>
    <cellStyle name="20% - Accent5 28 3" xfId="25875" xr:uid="{00000000-0005-0000-0000-00000A650000}"/>
    <cellStyle name="20% - Accent5 28 3 2" xfId="25876" xr:uid="{00000000-0005-0000-0000-00000B650000}"/>
    <cellStyle name="20% - Accent5 28 4" xfId="25877" xr:uid="{00000000-0005-0000-0000-00000C650000}"/>
    <cellStyle name="20% - Accent5 29" xfId="25878" xr:uid="{00000000-0005-0000-0000-00000D650000}"/>
    <cellStyle name="20% - Accent5 29 2" xfId="25879" xr:uid="{00000000-0005-0000-0000-00000E650000}"/>
    <cellStyle name="20% - Accent5 29 2 2" xfId="25880" xr:uid="{00000000-0005-0000-0000-00000F650000}"/>
    <cellStyle name="20% - Accent5 29 3" xfId="25881" xr:uid="{00000000-0005-0000-0000-000010650000}"/>
    <cellStyle name="20% - Accent5 29 3 2" xfId="25882" xr:uid="{00000000-0005-0000-0000-000011650000}"/>
    <cellStyle name="20% - Accent5 29 4" xfId="25883" xr:uid="{00000000-0005-0000-0000-000012650000}"/>
    <cellStyle name="20% - Accent5 3" xfId="25884" xr:uid="{00000000-0005-0000-0000-000013650000}"/>
    <cellStyle name="20% - Accent5 3 2" xfId="25885" xr:uid="{00000000-0005-0000-0000-000014650000}"/>
    <cellStyle name="20% - Accent5 3 2 2" xfId="25886" xr:uid="{00000000-0005-0000-0000-000015650000}"/>
    <cellStyle name="20% - Accent5 3 3" xfId="25887" xr:uid="{00000000-0005-0000-0000-000016650000}"/>
    <cellStyle name="20% - Accent5 3 3 2" xfId="25888" xr:uid="{00000000-0005-0000-0000-000017650000}"/>
    <cellStyle name="20% - Accent5 3 4" xfId="25889" xr:uid="{00000000-0005-0000-0000-000018650000}"/>
    <cellStyle name="20% - Accent5 3 4 2" xfId="25890" xr:uid="{00000000-0005-0000-0000-000019650000}"/>
    <cellStyle name="20% - Accent5 3 5" xfId="25891" xr:uid="{00000000-0005-0000-0000-00001A650000}"/>
    <cellStyle name="20% - Accent5 3 5 2" xfId="25892" xr:uid="{00000000-0005-0000-0000-00001B650000}"/>
    <cellStyle name="20% - Accent5 3 6" xfId="25893" xr:uid="{00000000-0005-0000-0000-00001C650000}"/>
    <cellStyle name="20% - Accent5 3 6 2" xfId="25894" xr:uid="{00000000-0005-0000-0000-00001D650000}"/>
    <cellStyle name="20% - Accent5 3 7" xfId="25895" xr:uid="{00000000-0005-0000-0000-00001E650000}"/>
    <cellStyle name="20% - Accent5 30" xfId="25896" xr:uid="{00000000-0005-0000-0000-00001F650000}"/>
    <cellStyle name="20% - Accent5 30 2" xfId="25897" xr:uid="{00000000-0005-0000-0000-000020650000}"/>
    <cellStyle name="20% - Accent5 30 2 2" xfId="25898" xr:uid="{00000000-0005-0000-0000-000021650000}"/>
    <cellStyle name="20% - Accent5 30 3" xfId="25899" xr:uid="{00000000-0005-0000-0000-000022650000}"/>
    <cellStyle name="20% - Accent5 30 3 2" xfId="25900" xr:uid="{00000000-0005-0000-0000-000023650000}"/>
    <cellStyle name="20% - Accent5 30 4" xfId="25901" xr:uid="{00000000-0005-0000-0000-000024650000}"/>
    <cellStyle name="20% - Accent5 31" xfId="25902" xr:uid="{00000000-0005-0000-0000-000025650000}"/>
    <cellStyle name="20% - Accent5 31 2" xfId="25903" xr:uid="{00000000-0005-0000-0000-000026650000}"/>
    <cellStyle name="20% - Accent5 31 2 2" xfId="25904" xr:uid="{00000000-0005-0000-0000-000027650000}"/>
    <cellStyle name="20% - Accent5 31 3" xfId="25905" xr:uid="{00000000-0005-0000-0000-000028650000}"/>
    <cellStyle name="20% - Accent5 31 3 2" xfId="25906" xr:uid="{00000000-0005-0000-0000-000029650000}"/>
    <cellStyle name="20% - Accent5 31 4" xfId="25907" xr:uid="{00000000-0005-0000-0000-00002A650000}"/>
    <cellStyle name="20% - Accent5 32" xfId="25908" xr:uid="{00000000-0005-0000-0000-00002B650000}"/>
    <cellStyle name="20% - Accent5 32 2" xfId="25909" xr:uid="{00000000-0005-0000-0000-00002C650000}"/>
    <cellStyle name="20% - Accent5 32 2 2" xfId="25910" xr:uid="{00000000-0005-0000-0000-00002D650000}"/>
    <cellStyle name="20% - Accent5 32 3" xfId="25911" xr:uid="{00000000-0005-0000-0000-00002E650000}"/>
    <cellStyle name="20% - Accent5 32 3 2" xfId="25912" xr:uid="{00000000-0005-0000-0000-00002F650000}"/>
    <cellStyle name="20% - Accent5 32 4" xfId="25913" xr:uid="{00000000-0005-0000-0000-000030650000}"/>
    <cellStyle name="20% - Accent5 33" xfId="25914" xr:uid="{00000000-0005-0000-0000-000031650000}"/>
    <cellStyle name="20% - Accent5 33 2" xfId="25915" xr:uid="{00000000-0005-0000-0000-000032650000}"/>
    <cellStyle name="20% - Accent5 33 2 2" xfId="25916" xr:uid="{00000000-0005-0000-0000-000033650000}"/>
    <cellStyle name="20% - Accent5 33 3" xfId="25917" xr:uid="{00000000-0005-0000-0000-000034650000}"/>
    <cellStyle name="20% - Accent5 33 3 2" xfId="25918" xr:uid="{00000000-0005-0000-0000-000035650000}"/>
    <cellStyle name="20% - Accent5 33 4" xfId="25919" xr:uid="{00000000-0005-0000-0000-000036650000}"/>
    <cellStyle name="20% - Accent5 34" xfId="25920" xr:uid="{00000000-0005-0000-0000-000037650000}"/>
    <cellStyle name="20% - Accent5 34 2" xfId="25921" xr:uid="{00000000-0005-0000-0000-000038650000}"/>
    <cellStyle name="20% - Accent5 34 2 2" xfId="25922" xr:uid="{00000000-0005-0000-0000-000039650000}"/>
    <cellStyle name="20% - Accent5 34 3" xfId="25923" xr:uid="{00000000-0005-0000-0000-00003A650000}"/>
    <cellStyle name="20% - Accent5 34 3 2" xfId="25924" xr:uid="{00000000-0005-0000-0000-00003B650000}"/>
    <cellStyle name="20% - Accent5 34 4" xfId="25925" xr:uid="{00000000-0005-0000-0000-00003C650000}"/>
    <cellStyle name="20% - Accent5 35" xfId="25926" xr:uid="{00000000-0005-0000-0000-00003D650000}"/>
    <cellStyle name="20% - Accent5 35 2" xfId="25927" xr:uid="{00000000-0005-0000-0000-00003E650000}"/>
    <cellStyle name="20% - Accent5 35 2 2" xfId="25928" xr:uid="{00000000-0005-0000-0000-00003F650000}"/>
    <cellStyle name="20% - Accent5 35 3" xfId="25929" xr:uid="{00000000-0005-0000-0000-000040650000}"/>
    <cellStyle name="20% - Accent5 35 3 2" xfId="25930" xr:uid="{00000000-0005-0000-0000-000041650000}"/>
    <cellStyle name="20% - Accent5 35 4" xfId="25931" xr:uid="{00000000-0005-0000-0000-000042650000}"/>
    <cellStyle name="20% - Accent5 36" xfId="25932" xr:uid="{00000000-0005-0000-0000-000043650000}"/>
    <cellStyle name="20% - Accent5 36 2" xfId="25933" xr:uid="{00000000-0005-0000-0000-000044650000}"/>
    <cellStyle name="20% - Accent5 36 2 2" xfId="25934" xr:uid="{00000000-0005-0000-0000-000045650000}"/>
    <cellStyle name="20% - Accent5 36 3" xfId="25935" xr:uid="{00000000-0005-0000-0000-000046650000}"/>
    <cellStyle name="20% - Accent5 36 3 2" xfId="25936" xr:uid="{00000000-0005-0000-0000-000047650000}"/>
    <cellStyle name="20% - Accent5 36 4" xfId="25937" xr:uid="{00000000-0005-0000-0000-000048650000}"/>
    <cellStyle name="20% - Accent5 37" xfId="25938" xr:uid="{00000000-0005-0000-0000-000049650000}"/>
    <cellStyle name="20% - Accent5 37 2" xfId="25939" xr:uid="{00000000-0005-0000-0000-00004A650000}"/>
    <cellStyle name="20% - Accent5 37 2 2" xfId="25940" xr:uid="{00000000-0005-0000-0000-00004B650000}"/>
    <cellStyle name="20% - Accent5 37 3" xfId="25941" xr:uid="{00000000-0005-0000-0000-00004C650000}"/>
    <cellStyle name="20% - Accent5 37 3 2" xfId="25942" xr:uid="{00000000-0005-0000-0000-00004D650000}"/>
    <cellStyle name="20% - Accent5 37 4" xfId="25943" xr:uid="{00000000-0005-0000-0000-00004E650000}"/>
    <cellStyle name="20% - Accent5 38" xfId="25944" xr:uid="{00000000-0005-0000-0000-00004F650000}"/>
    <cellStyle name="20% - Accent5 38 2" xfId="25945" xr:uid="{00000000-0005-0000-0000-000050650000}"/>
    <cellStyle name="20% - Accent5 38 2 2" xfId="25946" xr:uid="{00000000-0005-0000-0000-000051650000}"/>
    <cellStyle name="20% - Accent5 38 3" xfId="25947" xr:uid="{00000000-0005-0000-0000-000052650000}"/>
    <cellStyle name="20% - Accent5 38 3 2" xfId="25948" xr:uid="{00000000-0005-0000-0000-000053650000}"/>
    <cellStyle name="20% - Accent5 38 4" xfId="25949" xr:uid="{00000000-0005-0000-0000-000054650000}"/>
    <cellStyle name="20% - Accent5 39" xfId="25950" xr:uid="{00000000-0005-0000-0000-000055650000}"/>
    <cellStyle name="20% - Accent5 39 2" xfId="25951" xr:uid="{00000000-0005-0000-0000-000056650000}"/>
    <cellStyle name="20% - Accent5 39 2 2" xfId="25952" xr:uid="{00000000-0005-0000-0000-000057650000}"/>
    <cellStyle name="20% - Accent5 39 3" xfId="25953" xr:uid="{00000000-0005-0000-0000-000058650000}"/>
    <cellStyle name="20% - Accent5 39 3 2" xfId="25954" xr:uid="{00000000-0005-0000-0000-000059650000}"/>
    <cellStyle name="20% - Accent5 39 4" xfId="25955" xr:uid="{00000000-0005-0000-0000-00005A650000}"/>
    <cellStyle name="20% - Accent5 4" xfId="25956" xr:uid="{00000000-0005-0000-0000-00005B650000}"/>
    <cellStyle name="20% - Accent5 4 2" xfId="25957" xr:uid="{00000000-0005-0000-0000-00005C650000}"/>
    <cellStyle name="20% - Accent5 4 2 2" xfId="25958" xr:uid="{00000000-0005-0000-0000-00005D650000}"/>
    <cellStyle name="20% - Accent5 4 3" xfId="25959" xr:uid="{00000000-0005-0000-0000-00005E650000}"/>
    <cellStyle name="20% - Accent5 4 3 2" xfId="25960" xr:uid="{00000000-0005-0000-0000-00005F650000}"/>
    <cellStyle name="20% - Accent5 4 4" xfId="25961" xr:uid="{00000000-0005-0000-0000-000060650000}"/>
    <cellStyle name="20% - Accent5 4 4 2" xfId="25962" xr:uid="{00000000-0005-0000-0000-000061650000}"/>
    <cellStyle name="20% - Accent5 4 5" xfId="25963" xr:uid="{00000000-0005-0000-0000-000062650000}"/>
    <cellStyle name="20% - Accent5 4 5 2" xfId="25964" xr:uid="{00000000-0005-0000-0000-000063650000}"/>
    <cellStyle name="20% - Accent5 4 6" xfId="25965" xr:uid="{00000000-0005-0000-0000-000064650000}"/>
    <cellStyle name="20% - Accent5 4 6 2" xfId="25966" xr:uid="{00000000-0005-0000-0000-000065650000}"/>
    <cellStyle name="20% - Accent5 4 7" xfId="25967" xr:uid="{00000000-0005-0000-0000-000066650000}"/>
    <cellStyle name="20% - Accent5 40" xfId="25968" xr:uid="{00000000-0005-0000-0000-000067650000}"/>
    <cellStyle name="20% - Accent5 40 2" xfId="25969" xr:uid="{00000000-0005-0000-0000-000068650000}"/>
    <cellStyle name="20% - Accent5 40 2 2" xfId="25970" xr:uid="{00000000-0005-0000-0000-000069650000}"/>
    <cellStyle name="20% - Accent5 40 3" xfId="25971" xr:uid="{00000000-0005-0000-0000-00006A650000}"/>
    <cellStyle name="20% - Accent5 40 3 2" xfId="25972" xr:uid="{00000000-0005-0000-0000-00006B650000}"/>
    <cellStyle name="20% - Accent5 40 4" xfId="25973" xr:uid="{00000000-0005-0000-0000-00006C650000}"/>
    <cellStyle name="20% - Accent5 41" xfId="25974" xr:uid="{00000000-0005-0000-0000-00006D650000}"/>
    <cellStyle name="20% - Accent5 41 2" xfId="25975" xr:uid="{00000000-0005-0000-0000-00006E650000}"/>
    <cellStyle name="20% - Accent5 41 2 2" xfId="25976" xr:uid="{00000000-0005-0000-0000-00006F650000}"/>
    <cellStyle name="20% - Accent5 41 3" xfId="25977" xr:uid="{00000000-0005-0000-0000-000070650000}"/>
    <cellStyle name="20% - Accent5 41 3 2" xfId="25978" xr:uid="{00000000-0005-0000-0000-000071650000}"/>
    <cellStyle name="20% - Accent5 41 4" xfId="25979" xr:uid="{00000000-0005-0000-0000-000072650000}"/>
    <cellStyle name="20% - Accent5 42" xfId="25980" xr:uid="{00000000-0005-0000-0000-000073650000}"/>
    <cellStyle name="20% - Accent5 42 2" xfId="25981" xr:uid="{00000000-0005-0000-0000-000074650000}"/>
    <cellStyle name="20% - Accent5 42 2 2" xfId="25982" xr:uid="{00000000-0005-0000-0000-000075650000}"/>
    <cellStyle name="20% - Accent5 42 3" xfId="25983" xr:uid="{00000000-0005-0000-0000-000076650000}"/>
    <cellStyle name="20% - Accent5 42 3 2" xfId="25984" xr:uid="{00000000-0005-0000-0000-000077650000}"/>
    <cellStyle name="20% - Accent5 42 4" xfId="25985" xr:uid="{00000000-0005-0000-0000-000078650000}"/>
    <cellStyle name="20% - Accent5 43" xfId="25986" xr:uid="{00000000-0005-0000-0000-000079650000}"/>
    <cellStyle name="20% - Accent5 43 2" xfId="25987" xr:uid="{00000000-0005-0000-0000-00007A650000}"/>
    <cellStyle name="20% - Accent5 43 2 2" xfId="25988" xr:uid="{00000000-0005-0000-0000-00007B650000}"/>
    <cellStyle name="20% - Accent5 43 3" xfId="25989" xr:uid="{00000000-0005-0000-0000-00007C650000}"/>
    <cellStyle name="20% - Accent5 43 3 2" xfId="25990" xr:uid="{00000000-0005-0000-0000-00007D650000}"/>
    <cellStyle name="20% - Accent5 43 4" xfId="25991" xr:uid="{00000000-0005-0000-0000-00007E650000}"/>
    <cellStyle name="20% - Accent5 44" xfId="25992" xr:uid="{00000000-0005-0000-0000-00007F650000}"/>
    <cellStyle name="20% - Accent5 44 2" xfId="25993" xr:uid="{00000000-0005-0000-0000-000080650000}"/>
    <cellStyle name="20% - Accent5 44 2 2" xfId="25994" xr:uid="{00000000-0005-0000-0000-000081650000}"/>
    <cellStyle name="20% - Accent5 44 3" xfId="25995" xr:uid="{00000000-0005-0000-0000-000082650000}"/>
    <cellStyle name="20% - Accent5 44 3 2" xfId="25996" xr:uid="{00000000-0005-0000-0000-000083650000}"/>
    <cellStyle name="20% - Accent5 44 4" xfId="25997" xr:uid="{00000000-0005-0000-0000-000084650000}"/>
    <cellStyle name="20% - Accent5 45" xfId="25998" xr:uid="{00000000-0005-0000-0000-000085650000}"/>
    <cellStyle name="20% - Accent5 45 2" xfId="25999" xr:uid="{00000000-0005-0000-0000-000086650000}"/>
    <cellStyle name="20% - Accent5 45 2 2" xfId="26000" xr:uid="{00000000-0005-0000-0000-000087650000}"/>
    <cellStyle name="20% - Accent5 45 3" xfId="26001" xr:uid="{00000000-0005-0000-0000-000088650000}"/>
    <cellStyle name="20% - Accent5 45 3 2" xfId="26002" xr:uid="{00000000-0005-0000-0000-000089650000}"/>
    <cellStyle name="20% - Accent5 45 4" xfId="26003" xr:uid="{00000000-0005-0000-0000-00008A650000}"/>
    <cellStyle name="20% - Accent5 46" xfId="26004" xr:uid="{00000000-0005-0000-0000-00008B650000}"/>
    <cellStyle name="20% - Accent5 46 2" xfId="26005" xr:uid="{00000000-0005-0000-0000-00008C650000}"/>
    <cellStyle name="20% - Accent5 46 2 2" xfId="26006" xr:uid="{00000000-0005-0000-0000-00008D650000}"/>
    <cellStyle name="20% - Accent5 46 3" xfId="26007" xr:uid="{00000000-0005-0000-0000-00008E650000}"/>
    <cellStyle name="20% - Accent5 46 3 2" xfId="26008" xr:uid="{00000000-0005-0000-0000-00008F650000}"/>
    <cellStyle name="20% - Accent5 46 4" xfId="26009" xr:uid="{00000000-0005-0000-0000-000090650000}"/>
    <cellStyle name="20% - Accent5 47" xfId="26010" xr:uid="{00000000-0005-0000-0000-000091650000}"/>
    <cellStyle name="20% - Accent5 47 2" xfId="26011" xr:uid="{00000000-0005-0000-0000-000092650000}"/>
    <cellStyle name="20% - Accent5 47 2 2" xfId="26012" xr:uid="{00000000-0005-0000-0000-000093650000}"/>
    <cellStyle name="20% - Accent5 47 3" xfId="26013" xr:uid="{00000000-0005-0000-0000-000094650000}"/>
    <cellStyle name="20% - Accent5 47 3 2" xfId="26014" xr:uid="{00000000-0005-0000-0000-000095650000}"/>
    <cellStyle name="20% - Accent5 47 4" xfId="26015" xr:uid="{00000000-0005-0000-0000-000096650000}"/>
    <cellStyle name="20% - Accent5 48" xfId="26016" xr:uid="{00000000-0005-0000-0000-000097650000}"/>
    <cellStyle name="20% - Accent5 48 2" xfId="26017" xr:uid="{00000000-0005-0000-0000-000098650000}"/>
    <cellStyle name="20% - Accent5 48 2 2" xfId="26018" xr:uid="{00000000-0005-0000-0000-000099650000}"/>
    <cellStyle name="20% - Accent5 48 3" xfId="26019" xr:uid="{00000000-0005-0000-0000-00009A650000}"/>
    <cellStyle name="20% - Accent5 48 3 2" xfId="26020" xr:uid="{00000000-0005-0000-0000-00009B650000}"/>
    <cellStyle name="20% - Accent5 48 4" xfId="26021" xr:uid="{00000000-0005-0000-0000-00009C650000}"/>
    <cellStyle name="20% - Accent5 49" xfId="26022" xr:uid="{00000000-0005-0000-0000-00009D650000}"/>
    <cellStyle name="20% - Accent5 49 2" xfId="26023" xr:uid="{00000000-0005-0000-0000-00009E650000}"/>
    <cellStyle name="20% - Accent5 49 2 2" xfId="26024" xr:uid="{00000000-0005-0000-0000-00009F650000}"/>
    <cellStyle name="20% - Accent5 49 3" xfId="26025" xr:uid="{00000000-0005-0000-0000-0000A0650000}"/>
    <cellStyle name="20% - Accent5 49 3 2" xfId="26026" xr:uid="{00000000-0005-0000-0000-0000A1650000}"/>
    <cellStyle name="20% - Accent5 49 4" xfId="26027" xr:uid="{00000000-0005-0000-0000-0000A2650000}"/>
    <cellStyle name="20% - Accent5 5" xfId="26028" xr:uid="{00000000-0005-0000-0000-0000A3650000}"/>
    <cellStyle name="20% - Accent5 5 2" xfId="26029" xr:uid="{00000000-0005-0000-0000-0000A4650000}"/>
    <cellStyle name="20% - Accent5 5 2 2" xfId="26030" xr:uid="{00000000-0005-0000-0000-0000A5650000}"/>
    <cellStyle name="20% - Accent5 5 3" xfId="26031" xr:uid="{00000000-0005-0000-0000-0000A6650000}"/>
    <cellStyle name="20% - Accent5 5 3 2" xfId="26032" xr:uid="{00000000-0005-0000-0000-0000A7650000}"/>
    <cellStyle name="20% - Accent5 5 4" xfId="26033" xr:uid="{00000000-0005-0000-0000-0000A8650000}"/>
    <cellStyle name="20% - Accent5 5 4 2" xfId="26034" xr:uid="{00000000-0005-0000-0000-0000A9650000}"/>
    <cellStyle name="20% - Accent5 5 5" xfId="26035" xr:uid="{00000000-0005-0000-0000-0000AA650000}"/>
    <cellStyle name="20% - Accent5 5 5 2" xfId="26036" xr:uid="{00000000-0005-0000-0000-0000AB650000}"/>
    <cellStyle name="20% - Accent5 5 6" xfId="26037" xr:uid="{00000000-0005-0000-0000-0000AC650000}"/>
    <cellStyle name="20% - Accent5 50" xfId="26038" xr:uid="{00000000-0005-0000-0000-0000AD650000}"/>
    <cellStyle name="20% - Accent5 50 2" xfId="26039" xr:uid="{00000000-0005-0000-0000-0000AE650000}"/>
    <cellStyle name="20% - Accent5 50 2 2" xfId="26040" xr:uid="{00000000-0005-0000-0000-0000AF650000}"/>
    <cellStyle name="20% - Accent5 50 3" xfId="26041" xr:uid="{00000000-0005-0000-0000-0000B0650000}"/>
    <cellStyle name="20% - Accent5 50 3 2" xfId="26042" xr:uid="{00000000-0005-0000-0000-0000B1650000}"/>
    <cellStyle name="20% - Accent5 50 4" xfId="26043" xr:uid="{00000000-0005-0000-0000-0000B2650000}"/>
    <cellStyle name="20% - Accent5 51" xfId="26044" xr:uid="{00000000-0005-0000-0000-0000B3650000}"/>
    <cellStyle name="20% - Accent5 51 2" xfId="26045" xr:uid="{00000000-0005-0000-0000-0000B4650000}"/>
    <cellStyle name="20% - Accent5 51 2 2" xfId="26046" xr:uid="{00000000-0005-0000-0000-0000B5650000}"/>
    <cellStyle name="20% - Accent5 51 3" xfId="26047" xr:uid="{00000000-0005-0000-0000-0000B6650000}"/>
    <cellStyle name="20% - Accent5 51 3 2" xfId="26048" xr:uid="{00000000-0005-0000-0000-0000B7650000}"/>
    <cellStyle name="20% - Accent5 51 4" xfId="26049" xr:uid="{00000000-0005-0000-0000-0000B8650000}"/>
    <cellStyle name="20% - Accent5 52" xfId="26050" xr:uid="{00000000-0005-0000-0000-0000B9650000}"/>
    <cellStyle name="20% - Accent5 52 2" xfId="26051" xr:uid="{00000000-0005-0000-0000-0000BA650000}"/>
    <cellStyle name="20% - Accent5 52 2 2" xfId="26052" xr:uid="{00000000-0005-0000-0000-0000BB650000}"/>
    <cellStyle name="20% - Accent5 52 3" xfId="26053" xr:uid="{00000000-0005-0000-0000-0000BC650000}"/>
    <cellStyle name="20% - Accent5 52 3 2" xfId="26054" xr:uid="{00000000-0005-0000-0000-0000BD650000}"/>
    <cellStyle name="20% - Accent5 52 4" xfId="26055" xr:uid="{00000000-0005-0000-0000-0000BE650000}"/>
    <cellStyle name="20% - Accent5 53" xfId="26056" xr:uid="{00000000-0005-0000-0000-0000BF650000}"/>
    <cellStyle name="20% - Accent5 53 2" xfId="26057" xr:uid="{00000000-0005-0000-0000-0000C0650000}"/>
    <cellStyle name="20% - Accent5 53 2 2" xfId="26058" xr:uid="{00000000-0005-0000-0000-0000C1650000}"/>
    <cellStyle name="20% - Accent5 53 3" xfId="26059" xr:uid="{00000000-0005-0000-0000-0000C2650000}"/>
    <cellStyle name="20% - Accent5 53 3 2" xfId="26060" xr:uid="{00000000-0005-0000-0000-0000C3650000}"/>
    <cellStyle name="20% - Accent5 53 4" xfId="26061" xr:uid="{00000000-0005-0000-0000-0000C4650000}"/>
    <cellStyle name="20% - Accent5 54" xfId="26062" xr:uid="{00000000-0005-0000-0000-0000C5650000}"/>
    <cellStyle name="20% - Accent5 54 2" xfId="26063" xr:uid="{00000000-0005-0000-0000-0000C6650000}"/>
    <cellStyle name="20% - Accent5 54 2 2" xfId="26064" xr:uid="{00000000-0005-0000-0000-0000C7650000}"/>
    <cellStyle name="20% - Accent5 54 3" xfId="26065" xr:uid="{00000000-0005-0000-0000-0000C8650000}"/>
    <cellStyle name="20% - Accent5 54 3 2" xfId="26066" xr:uid="{00000000-0005-0000-0000-0000C9650000}"/>
    <cellStyle name="20% - Accent5 54 4" xfId="26067" xr:uid="{00000000-0005-0000-0000-0000CA650000}"/>
    <cellStyle name="20% - Accent5 55" xfId="26068" xr:uid="{00000000-0005-0000-0000-0000CB650000}"/>
    <cellStyle name="20% - Accent5 55 2" xfId="26069" xr:uid="{00000000-0005-0000-0000-0000CC650000}"/>
    <cellStyle name="20% - Accent5 55 2 2" xfId="26070" xr:uid="{00000000-0005-0000-0000-0000CD650000}"/>
    <cellStyle name="20% - Accent5 55 3" xfId="26071" xr:uid="{00000000-0005-0000-0000-0000CE650000}"/>
    <cellStyle name="20% - Accent5 55 3 2" xfId="26072" xr:uid="{00000000-0005-0000-0000-0000CF650000}"/>
    <cellStyle name="20% - Accent5 55 4" xfId="26073" xr:uid="{00000000-0005-0000-0000-0000D0650000}"/>
    <cellStyle name="20% - Accent5 56" xfId="26074" xr:uid="{00000000-0005-0000-0000-0000D1650000}"/>
    <cellStyle name="20% - Accent5 56 2" xfId="26075" xr:uid="{00000000-0005-0000-0000-0000D2650000}"/>
    <cellStyle name="20% - Accent5 56 2 2" xfId="26076" xr:uid="{00000000-0005-0000-0000-0000D3650000}"/>
    <cellStyle name="20% - Accent5 56 3" xfId="26077" xr:uid="{00000000-0005-0000-0000-0000D4650000}"/>
    <cellStyle name="20% - Accent5 56 3 2" xfId="26078" xr:uid="{00000000-0005-0000-0000-0000D5650000}"/>
    <cellStyle name="20% - Accent5 56 4" xfId="26079" xr:uid="{00000000-0005-0000-0000-0000D6650000}"/>
    <cellStyle name="20% - Accent5 57" xfId="26080" xr:uid="{00000000-0005-0000-0000-0000D7650000}"/>
    <cellStyle name="20% - Accent5 57 2" xfId="26081" xr:uid="{00000000-0005-0000-0000-0000D8650000}"/>
    <cellStyle name="20% - Accent5 57 2 2" xfId="26082" xr:uid="{00000000-0005-0000-0000-0000D9650000}"/>
    <cellStyle name="20% - Accent5 57 3" xfId="26083" xr:uid="{00000000-0005-0000-0000-0000DA650000}"/>
    <cellStyle name="20% - Accent5 57 3 2" xfId="26084" xr:uid="{00000000-0005-0000-0000-0000DB650000}"/>
    <cellStyle name="20% - Accent5 57 4" xfId="26085" xr:uid="{00000000-0005-0000-0000-0000DC650000}"/>
    <cellStyle name="20% - Accent5 58" xfId="26086" xr:uid="{00000000-0005-0000-0000-0000DD650000}"/>
    <cellStyle name="20% - Accent5 58 2" xfId="26087" xr:uid="{00000000-0005-0000-0000-0000DE650000}"/>
    <cellStyle name="20% - Accent5 58 2 2" xfId="26088" xr:uid="{00000000-0005-0000-0000-0000DF650000}"/>
    <cellStyle name="20% - Accent5 58 3" xfId="26089" xr:uid="{00000000-0005-0000-0000-0000E0650000}"/>
    <cellStyle name="20% - Accent5 58 3 2" xfId="26090" xr:uid="{00000000-0005-0000-0000-0000E1650000}"/>
    <cellStyle name="20% - Accent5 58 4" xfId="26091" xr:uid="{00000000-0005-0000-0000-0000E2650000}"/>
    <cellStyle name="20% - Accent5 59" xfId="26092" xr:uid="{00000000-0005-0000-0000-0000E3650000}"/>
    <cellStyle name="20% - Accent5 59 2" xfId="26093" xr:uid="{00000000-0005-0000-0000-0000E4650000}"/>
    <cellStyle name="20% - Accent5 59 2 2" xfId="26094" xr:uid="{00000000-0005-0000-0000-0000E5650000}"/>
    <cellStyle name="20% - Accent5 59 3" xfId="26095" xr:uid="{00000000-0005-0000-0000-0000E6650000}"/>
    <cellStyle name="20% - Accent5 6" xfId="26096" xr:uid="{00000000-0005-0000-0000-0000E7650000}"/>
    <cellStyle name="20% - Accent5 6 2" xfId="26097" xr:uid="{00000000-0005-0000-0000-0000E8650000}"/>
    <cellStyle name="20% - Accent5 6 2 2" xfId="26098" xr:uid="{00000000-0005-0000-0000-0000E9650000}"/>
    <cellStyle name="20% - Accent5 6 3" xfId="26099" xr:uid="{00000000-0005-0000-0000-0000EA650000}"/>
    <cellStyle name="20% - Accent5 6 3 2" xfId="26100" xr:uid="{00000000-0005-0000-0000-0000EB650000}"/>
    <cellStyle name="20% - Accent5 6 4" xfId="26101" xr:uid="{00000000-0005-0000-0000-0000EC650000}"/>
    <cellStyle name="20% - Accent5 6 4 2" xfId="26102" xr:uid="{00000000-0005-0000-0000-0000ED650000}"/>
    <cellStyle name="20% - Accent5 6 5" xfId="26103" xr:uid="{00000000-0005-0000-0000-0000EE650000}"/>
    <cellStyle name="20% - Accent5 6 5 2" xfId="26104" xr:uid="{00000000-0005-0000-0000-0000EF650000}"/>
    <cellStyle name="20% - Accent5 6 6" xfId="26105" xr:uid="{00000000-0005-0000-0000-0000F0650000}"/>
    <cellStyle name="20% - Accent5 60" xfId="26106" xr:uid="{00000000-0005-0000-0000-0000F1650000}"/>
    <cellStyle name="20% - Accent5 60 2" xfId="26107" xr:uid="{00000000-0005-0000-0000-0000F2650000}"/>
    <cellStyle name="20% - Accent5 61" xfId="26108" xr:uid="{00000000-0005-0000-0000-0000F3650000}"/>
    <cellStyle name="20% - Accent5 61 2" xfId="26109" xr:uid="{00000000-0005-0000-0000-0000F4650000}"/>
    <cellStyle name="20% - Accent5 62" xfId="26110" xr:uid="{00000000-0005-0000-0000-0000F5650000}"/>
    <cellStyle name="20% - Accent5 62 2" xfId="26111" xr:uid="{00000000-0005-0000-0000-0000F6650000}"/>
    <cellStyle name="20% - Accent5 63" xfId="26112" xr:uid="{00000000-0005-0000-0000-0000F7650000}"/>
    <cellStyle name="20% - Accent5 63 2" xfId="26113" xr:uid="{00000000-0005-0000-0000-0000F8650000}"/>
    <cellStyle name="20% - Accent5 64" xfId="26114" xr:uid="{00000000-0005-0000-0000-0000F9650000}"/>
    <cellStyle name="20% - Accent5 64 2" xfId="26115" xr:uid="{00000000-0005-0000-0000-0000FA650000}"/>
    <cellStyle name="20% - Accent5 65" xfId="26116" xr:uid="{00000000-0005-0000-0000-0000FB650000}"/>
    <cellStyle name="20% - Accent5 65 2" xfId="26117" xr:uid="{00000000-0005-0000-0000-0000FC650000}"/>
    <cellStyle name="20% - Accent5 66" xfId="26118" xr:uid="{00000000-0005-0000-0000-0000FD650000}"/>
    <cellStyle name="20% - Accent5 66 2" xfId="26119" xr:uid="{00000000-0005-0000-0000-0000FE650000}"/>
    <cellStyle name="20% - Accent5 67" xfId="26120" xr:uid="{00000000-0005-0000-0000-0000FF650000}"/>
    <cellStyle name="20% - Accent5 67 2" xfId="26121" xr:uid="{00000000-0005-0000-0000-000000660000}"/>
    <cellStyle name="20% - Accent5 68" xfId="26122" xr:uid="{00000000-0005-0000-0000-000001660000}"/>
    <cellStyle name="20% - Accent5 68 2" xfId="26123" xr:uid="{00000000-0005-0000-0000-000002660000}"/>
    <cellStyle name="20% - Accent5 69" xfId="26124" xr:uid="{00000000-0005-0000-0000-000003660000}"/>
    <cellStyle name="20% - Accent5 69 2" xfId="26125" xr:uid="{00000000-0005-0000-0000-000004660000}"/>
    <cellStyle name="20% - Accent5 7" xfId="26126" xr:uid="{00000000-0005-0000-0000-000005660000}"/>
    <cellStyle name="20% - Accent5 7 2" xfId="26127" xr:uid="{00000000-0005-0000-0000-000006660000}"/>
    <cellStyle name="20% - Accent5 7 2 2" xfId="26128" xr:uid="{00000000-0005-0000-0000-000007660000}"/>
    <cellStyle name="20% - Accent5 7 3" xfId="26129" xr:uid="{00000000-0005-0000-0000-000008660000}"/>
    <cellStyle name="20% - Accent5 7 3 2" xfId="26130" xr:uid="{00000000-0005-0000-0000-000009660000}"/>
    <cellStyle name="20% - Accent5 7 4" xfId="26131" xr:uid="{00000000-0005-0000-0000-00000A660000}"/>
    <cellStyle name="20% - Accent5 7 4 2" xfId="26132" xr:uid="{00000000-0005-0000-0000-00000B660000}"/>
    <cellStyle name="20% - Accent5 7 5" xfId="26133" xr:uid="{00000000-0005-0000-0000-00000C660000}"/>
    <cellStyle name="20% - Accent5 7 5 2" xfId="26134" xr:uid="{00000000-0005-0000-0000-00000D660000}"/>
    <cellStyle name="20% - Accent5 7 6" xfId="26135" xr:uid="{00000000-0005-0000-0000-00000E660000}"/>
    <cellStyle name="20% - Accent5 70" xfId="26136" xr:uid="{00000000-0005-0000-0000-00000F660000}"/>
    <cellStyle name="20% - Accent5 70 2" xfId="26137" xr:uid="{00000000-0005-0000-0000-000010660000}"/>
    <cellStyle name="20% - Accent5 71" xfId="26138" xr:uid="{00000000-0005-0000-0000-000011660000}"/>
    <cellStyle name="20% - Accent5 71 2" xfId="26139" xr:uid="{00000000-0005-0000-0000-000012660000}"/>
    <cellStyle name="20% - Accent5 72" xfId="26140" xr:uid="{00000000-0005-0000-0000-000013660000}"/>
    <cellStyle name="20% - Accent5 72 2" xfId="26141" xr:uid="{00000000-0005-0000-0000-000014660000}"/>
    <cellStyle name="20% - Accent5 73" xfId="26142" xr:uid="{00000000-0005-0000-0000-000015660000}"/>
    <cellStyle name="20% - Accent5 73 2" xfId="26143" xr:uid="{00000000-0005-0000-0000-000016660000}"/>
    <cellStyle name="20% - Accent5 74" xfId="26144" xr:uid="{00000000-0005-0000-0000-000017660000}"/>
    <cellStyle name="20% - Accent5 74 2" xfId="26145" xr:uid="{00000000-0005-0000-0000-000018660000}"/>
    <cellStyle name="20% - Accent5 75" xfId="26146" xr:uid="{00000000-0005-0000-0000-000019660000}"/>
    <cellStyle name="20% - Accent5 75 2" xfId="26147" xr:uid="{00000000-0005-0000-0000-00001A660000}"/>
    <cellStyle name="20% - Accent5 76" xfId="26148" xr:uid="{00000000-0005-0000-0000-00001B660000}"/>
    <cellStyle name="20% - Accent5 76 2" xfId="26149" xr:uid="{00000000-0005-0000-0000-00001C660000}"/>
    <cellStyle name="20% - Accent5 77" xfId="26150" xr:uid="{00000000-0005-0000-0000-00001D660000}"/>
    <cellStyle name="20% - Accent5 77 2" xfId="26151" xr:uid="{00000000-0005-0000-0000-00001E660000}"/>
    <cellStyle name="20% - Accent5 78" xfId="26152" xr:uid="{00000000-0005-0000-0000-00001F660000}"/>
    <cellStyle name="20% - Accent5 78 2" xfId="26153" xr:uid="{00000000-0005-0000-0000-000020660000}"/>
    <cellStyle name="20% - Accent5 79" xfId="26154" xr:uid="{00000000-0005-0000-0000-000021660000}"/>
    <cellStyle name="20% - Accent5 79 2" xfId="26155" xr:uid="{00000000-0005-0000-0000-000022660000}"/>
    <cellStyle name="20% - Accent5 8" xfId="26156" xr:uid="{00000000-0005-0000-0000-000023660000}"/>
    <cellStyle name="20% - Accent5 8 2" xfId="26157" xr:uid="{00000000-0005-0000-0000-000024660000}"/>
    <cellStyle name="20% - Accent5 8 2 2" xfId="26158" xr:uid="{00000000-0005-0000-0000-000025660000}"/>
    <cellStyle name="20% - Accent5 8 3" xfId="26159" xr:uid="{00000000-0005-0000-0000-000026660000}"/>
    <cellStyle name="20% - Accent5 8 3 2" xfId="26160" xr:uid="{00000000-0005-0000-0000-000027660000}"/>
    <cellStyle name="20% - Accent5 8 4" xfId="26161" xr:uid="{00000000-0005-0000-0000-000028660000}"/>
    <cellStyle name="20% - Accent5 8 4 2" xfId="26162" xr:uid="{00000000-0005-0000-0000-000029660000}"/>
    <cellStyle name="20% - Accent5 8 5" xfId="26163" xr:uid="{00000000-0005-0000-0000-00002A660000}"/>
    <cellStyle name="20% - Accent5 8 5 2" xfId="26164" xr:uid="{00000000-0005-0000-0000-00002B660000}"/>
    <cellStyle name="20% - Accent5 8 6" xfId="26165" xr:uid="{00000000-0005-0000-0000-00002C660000}"/>
    <cellStyle name="20% - Accent5 80" xfId="26166" xr:uid="{00000000-0005-0000-0000-00002D660000}"/>
    <cellStyle name="20% - Accent5 80 2" xfId="26167" xr:uid="{00000000-0005-0000-0000-00002E660000}"/>
    <cellStyle name="20% - Accent5 81" xfId="26168" xr:uid="{00000000-0005-0000-0000-00002F660000}"/>
    <cellStyle name="20% - Accent5 81 2" xfId="26169" xr:uid="{00000000-0005-0000-0000-000030660000}"/>
    <cellStyle name="20% - Accent5 82" xfId="26170" xr:uid="{00000000-0005-0000-0000-000031660000}"/>
    <cellStyle name="20% - Accent5 82 2" xfId="26171" xr:uid="{00000000-0005-0000-0000-000032660000}"/>
    <cellStyle name="20% - Accent5 83" xfId="26172" xr:uid="{00000000-0005-0000-0000-000033660000}"/>
    <cellStyle name="20% - Accent5 83 2" xfId="26173" xr:uid="{00000000-0005-0000-0000-000034660000}"/>
    <cellStyle name="20% - Accent5 84" xfId="26174" xr:uid="{00000000-0005-0000-0000-000035660000}"/>
    <cellStyle name="20% - Accent5 84 2" xfId="26175" xr:uid="{00000000-0005-0000-0000-000036660000}"/>
    <cellStyle name="20% - Accent5 85" xfId="26176" xr:uid="{00000000-0005-0000-0000-000037660000}"/>
    <cellStyle name="20% - Accent5 85 2" xfId="26177" xr:uid="{00000000-0005-0000-0000-000038660000}"/>
    <cellStyle name="20% - Accent5 86" xfId="26178" xr:uid="{00000000-0005-0000-0000-000039660000}"/>
    <cellStyle name="20% - Accent5 86 2" xfId="26179" xr:uid="{00000000-0005-0000-0000-00003A660000}"/>
    <cellStyle name="20% - Accent5 87" xfId="26180" xr:uid="{00000000-0005-0000-0000-00003B660000}"/>
    <cellStyle name="20% - Accent5 87 2" xfId="26181" xr:uid="{00000000-0005-0000-0000-00003C660000}"/>
    <cellStyle name="20% - Accent5 88" xfId="26182" xr:uid="{00000000-0005-0000-0000-00003D660000}"/>
    <cellStyle name="20% - Accent5 88 2" xfId="26183" xr:uid="{00000000-0005-0000-0000-00003E660000}"/>
    <cellStyle name="20% - Accent5 89" xfId="26184" xr:uid="{00000000-0005-0000-0000-00003F660000}"/>
    <cellStyle name="20% - Accent5 89 2" xfId="26185" xr:uid="{00000000-0005-0000-0000-000040660000}"/>
    <cellStyle name="20% - Accent5 9" xfId="26186" xr:uid="{00000000-0005-0000-0000-000041660000}"/>
    <cellStyle name="20% - Accent5 9 2" xfId="26187" xr:uid="{00000000-0005-0000-0000-000042660000}"/>
    <cellStyle name="20% - Accent5 9 2 2" xfId="26188" xr:uid="{00000000-0005-0000-0000-000043660000}"/>
    <cellStyle name="20% - Accent5 9 3" xfId="26189" xr:uid="{00000000-0005-0000-0000-000044660000}"/>
    <cellStyle name="20% - Accent5 9 3 2" xfId="26190" xr:uid="{00000000-0005-0000-0000-000045660000}"/>
    <cellStyle name="20% - Accent5 9 4" xfId="26191" xr:uid="{00000000-0005-0000-0000-000046660000}"/>
    <cellStyle name="20% - Accent5 9 4 2" xfId="26192" xr:uid="{00000000-0005-0000-0000-000047660000}"/>
    <cellStyle name="20% - Accent5 9 5" xfId="26193" xr:uid="{00000000-0005-0000-0000-000048660000}"/>
    <cellStyle name="20% - Accent5 9 5 2" xfId="26194" xr:uid="{00000000-0005-0000-0000-000049660000}"/>
    <cellStyle name="20% - Accent5 9 6" xfId="26195" xr:uid="{00000000-0005-0000-0000-00004A660000}"/>
    <cellStyle name="20% - Accent5 90" xfId="26196" xr:uid="{00000000-0005-0000-0000-00004B660000}"/>
    <cellStyle name="20% - Accent5 90 2" xfId="26197" xr:uid="{00000000-0005-0000-0000-00004C660000}"/>
    <cellStyle name="20% - Accent5 91" xfId="26198" xr:uid="{00000000-0005-0000-0000-00004D660000}"/>
    <cellStyle name="20% - Accent5 91 2" xfId="26199" xr:uid="{00000000-0005-0000-0000-00004E660000}"/>
    <cellStyle name="20% - Accent5 92" xfId="26200" xr:uid="{00000000-0005-0000-0000-00004F660000}"/>
    <cellStyle name="20% - Accent5 92 2" xfId="26201" xr:uid="{00000000-0005-0000-0000-000050660000}"/>
    <cellStyle name="20% - Accent5 93" xfId="26202" xr:uid="{00000000-0005-0000-0000-000051660000}"/>
    <cellStyle name="20% - Accent5 93 2" xfId="26203" xr:uid="{00000000-0005-0000-0000-000052660000}"/>
    <cellStyle name="20% - Accent5 94" xfId="26204" xr:uid="{00000000-0005-0000-0000-000053660000}"/>
    <cellStyle name="20% - Accent5 94 2" xfId="26205" xr:uid="{00000000-0005-0000-0000-000054660000}"/>
    <cellStyle name="20% - Accent5 95" xfId="26206" xr:uid="{00000000-0005-0000-0000-000055660000}"/>
    <cellStyle name="20% - Accent5 95 2" xfId="26207" xr:uid="{00000000-0005-0000-0000-000056660000}"/>
    <cellStyle name="20% - Accent5 96" xfId="26208" xr:uid="{00000000-0005-0000-0000-000057660000}"/>
    <cellStyle name="20% - Accent5 96 2" xfId="26209" xr:uid="{00000000-0005-0000-0000-000058660000}"/>
    <cellStyle name="20% - Accent5 97" xfId="26210" xr:uid="{00000000-0005-0000-0000-000059660000}"/>
    <cellStyle name="20% - Accent5 97 2" xfId="26211" xr:uid="{00000000-0005-0000-0000-00005A660000}"/>
    <cellStyle name="20% - Accent5 98" xfId="26212" xr:uid="{00000000-0005-0000-0000-00005B660000}"/>
    <cellStyle name="20% - Accent5 98 2" xfId="26213" xr:uid="{00000000-0005-0000-0000-00005C660000}"/>
    <cellStyle name="20% - Accent5 99" xfId="26214" xr:uid="{00000000-0005-0000-0000-00005D660000}"/>
    <cellStyle name="20% - Accent5 99 2" xfId="26215" xr:uid="{00000000-0005-0000-0000-00005E660000}"/>
    <cellStyle name="20% - Accent6 10" xfId="26216" xr:uid="{00000000-0005-0000-0000-00005F660000}"/>
    <cellStyle name="20% - Accent6 10 2" xfId="26217" xr:uid="{00000000-0005-0000-0000-000060660000}"/>
    <cellStyle name="20% - Accent6 10 2 2" xfId="26218" xr:uid="{00000000-0005-0000-0000-000061660000}"/>
    <cellStyle name="20% - Accent6 10 2 2 2" xfId="26219" xr:uid="{00000000-0005-0000-0000-000062660000}"/>
    <cellStyle name="20% - Accent6 10 2 3" xfId="26220" xr:uid="{00000000-0005-0000-0000-000063660000}"/>
    <cellStyle name="20% - Accent6 10 2 3 2" xfId="26221" xr:uid="{00000000-0005-0000-0000-000064660000}"/>
    <cellStyle name="20% - Accent6 10 2 4" xfId="26222" xr:uid="{00000000-0005-0000-0000-000065660000}"/>
    <cellStyle name="20% - Accent6 10 3" xfId="26223" xr:uid="{00000000-0005-0000-0000-000066660000}"/>
    <cellStyle name="20% - Accent6 10 3 2" xfId="26224" xr:uid="{00000000-0005-0000-0000-000067660000}"/>
    <cellStyle name="20% - Accent6 10 3 2 2" xfId="26225" xr:uid="{00000000-0005-0000-0000-000068660000}"/>
    <cellStyle name="20% - Accent6 10 3 3" xfId="26226" xr:uid="{00000000-0005-0000-0000-000069660000}"/>
    <cellStyle name="20% - Accent6 10 3 3 2" xfId="26227" xr:uid="{00000000-0005-0000-0000-00006A660000}"/>
    <cellStyle name="20% - Accent6 10 3 4" xfId="26228" xr:uid="{00000000-0005-0000-0000-00006B660000}"/>
    <cellStyle name="20% - Accent6 10 4" xfId="26229" xr:uid="{00000000-0005-0000-0000-00006C660000}"/>
    <cellStyle name="20% - Accent6 10 4 2" xfId="26230" xr:uid="{00000000-0005-0000-0000-00006D660000}"/>
    <cellStyle name="20% - Accent6 10 5" xfId="26231" xr:uid="{00000000-0005-0000-0000-00006E660000}"/>
    <cellStyle name="20% - Accent6 10 5 2" xfId="26232" xr:uid="{00000000-0005-0000-0000-00006F660000}"/>
    <cellStyle name="20% - Accent6 10 6" xfId="26233" xr:uid="{00000000-0005-0000-0000-000070660000}"/>
    <cellStyle name="20% - Accent6 100" xfId="26234" xr:uid="{00000000-0005-0000-0000-000071660000}"/>
    <cellStyle name="20% - Accent6 100 2" xfId="26235" xr:uid="{00000000-0005-0000-0000-000072660000}"/>
    <cellStyle name="20% - Accent6 101" xfId="26236" xr:uid="{00000000-0005-0000-0000-000073660000}"/>
    <cellStyle name="20% - Accent6 101 2" xfId="26237" xr:uid="{00000000-0005-0000-0000-000074660000}"/>
    <cellStyle name="20% - Accent6 102" xfId="26238" xr:uid="{00000000-0005-0000-0000-000075660000}"/>
    <cellStyle name="20% - Accent6 102 2" xfId="26239" xr:uid="{00000000-0005-0000-0000-000076660000}"/>
    <cellStyle name="20% - Accent6 103" xfId="26240" xr:uid="{00000000-0005-0000-0000-000077660000}"/>
    <cellStyle name="20% - Accent6 103 2" xfId="26241" xr:uid="{00000000-0005-0000-0000-000078660000}"/>
    <cellStyle name="20% - Accent6 104" xfId="26242" xr:uid="{00000000-0005-0000-0000-000079660000}"/>
    <cellStyle name="20% - Accent6 104 2" xfId="26243" xr:uid="{00000000-0005-0000-0000-00007A660000}"/>
    <cellStyle name="20% - Accent6 105" xfId="26244" xr:uid="{00000000-0005-0000-0000-00007B660000}"/>
    <cellStyle name="20% - Accent6 105 2" xfId="26245" xr:uid="{00000000-0005-0000-0000-00007C660000}"/>
    <cellStyle name="20% - Accent6 106" xfId="26246" xr:uid="{00000000-0005-0000-0000-00007D660000}"/>
    <cellStyle name="20% - Accent6 106 2" xfId="26247" xr:uid="{00000000-0005-0000-0000-00007E660000}"/>
    <cellStyle name="20% - Accent6 107" xfId="26248" xr:uid="{00000000-0005-0000-0000-00007F660000}"/>
    <cellStyle name="20% - Accent6 107 2" xfId="26249" xr:uid="{00000000-0005-0000-0000-000080660000}"/>
    <cellStyle name="20% - Accent6 108" xfId="26250" xr:uid="{00000000-0005-0000-0000-000081660000}"/>
    <cellStyle name="20% - Accent6 108 2" xfId="26251" xr:uid="{00000000-0005-0000-0000-000082660000}"/>
    <cellStyle name="20% - Accent6 109" xfId="26252" xr:uid="{00000000-0005-0000-0000-000083660000}"/>
    <cellStyle name="20% - Accent6 109 2" xfId="26253" xr:uid="{00000000-0005-0000-0000-000084660000}"/>
    <cellStyle name="20% - Accent6 11" xfId="26254" xr:uid="{00000000-0005-0000-0000-000085660000}"/>
    <cellStyle name="20% - Accent6 11 2" xfId="26255" xr:uid="{00000000-0005-0000-0000-000086660000}"/>
    <cellStyle name="20% - Accent6 11 2 2" xfId="26256" xr:uid="{00000000-0005-0000-0000-000087660000}"/>
    <cellStyle name="20% - Accent6 11 2 2 2" xfId="26257" xr:uid="{00000000-0005-0000-0000-000088660000}"/>
    <cellStyle name="20% - Accent6 11 2 3" xfId="26258" xr:uid="{00000000-0005-0000-0000-000089660000}"/>
    <cellStyle name="20% - Accent6 11 2 3 2" xfId="26259" xr:uid="{00000000-0005-0000-0000-00008A660000}"/>
    <cellStyle name="20% - Accent6 11 2 4" xfId="26260" xr:uid="{00000000-0005-0000-0000-00008B660000}"/>
    <cellStyle name="20% - Accent6 11 3" xfId="26261" xr:uid="{00000000-0005-0000-0000-00008C660000}"/>
    <cellStyle name="20% - Accent6 11 3 2" xfId="26262" xr:uid="{00000000-0005-0000-0000-00008D660000}"/>
    <cellStyle name="20% - Accent6 11 3 2 2" xfId="26263" xr:uid="{00000000-0005-0000-0000-00008E660000}"/>
    <cellStyle name="20% - Accent6 11 3 3" xfId="26264" xr:uid="{00000000-0005-0000-0000-00008F660000}"/>
    <cellStyle name="20% - Accent6 11 3 3 2" xfId="26265" xr:uid="{00000000-0005-0000-0000-000090660000}"/>
    <cellStyle name="20% - Accent6 11 3 4" xfId="26266" xr:uid="{00000000-0005-0000-0000-000091660000}"/>
    <cellStyle name="20% - Accent6 11 4" xfId="26267" xr:uid="{00000000-0005-0000-0000-000092660000}"/>
    <cellStyle name="20% - Accent6 11 4 2" xfId="26268" xr:uid="{00000000-0005-0000-0000-000093660000}"/>
    <cellStyle name="20% - Accent6 11 5" xfId="26269" xr:uid="{00000000-0005-0000-0000-000094660000}"/>
    <cellStyle name="20% - Accent6 11 5 2" xfId="26270" xr:uid="{00000000-0005-0000-0000-000095660000}"/>
    <cellStyle name="20% - Accent6 11 6" xfId="26271" xr:uid="{00000000-0005-0000-0000-000096660000}"/>
    <cellStyle name="20% - Accent6 110" xfId="26272" xr:uid="{00000000-0005-0000-0000-000097660000}"/>
    <cellStyle name="20% - Accent6 110 2" xfId="26273" xr:uid="{00000000-0005-0000-0000-000098660000}"/>
    <cellStyle name="20% - Accent6 111" xfId="26274" xr:uid="{00000000-0005-0000-0000-000099660000}"/>
    <cellStyle name="20% - Accent6 111 2" xfId="26275" xr:uid="{00000000-0005-0000-0000-00009A660000}"/>
    <cellStyle name="20% - Accent6 112" xfId="26276" xr:uid="{00000000-0005-0000-0000-00009B660000}"/>
    <cellStyle name="20% - Accent6 112 2" xfId="26277" xr:uid="{00000000-0005-0000-0000-00009C660000}"/>
    <cellStyle name="20% - Accent6 113" xfId="26278" xr:uid="{00000000-0005-0000-0000-00009D660000}"/>
    <cellStyle name="20% - Accent6 113 2" xfId="26279" xr:uid="{00000000-0005-0000-0000-00009E660000}"/>
    <cellStyle name="20% - Accent6 114" xfId="26280" xr:uid="{00000000-0005-0000-0000-00009F660000}"/>
    <cellStyle name="20% - Accent6 114 2" xfId="26281" xr:uid="{00000000-0005-0000-0000-0000A0660000}"/>
    <cellStyle name="20% - Accent6 115" xfId="26282" xr:uid="{00000000-0005-0000-0000-0000A1660000}"/>
    <cellStyle name="20% - Accent6 115 2" xfId="26283" xr:uid="{00000000-0005-0000-0000-0000A2660000}"/>
    <cellStyle name="20% - Accent6 116" xfId="26284" xr:uid="{00000000-0005-0000-0000-0000A3660000}"/>
    <cellStyle name="20% - Accent6 116 2" xfId="26285" xr:uid="{00000000-0005-0000-0000-0000A4660000}"/>
    <cellStyle name="20% - Accent6 117" xfId="26286" xr:uid="{00000000-0005-0000-0000-0000A5660000}"/>
    <cellStyle name="20% - Accent6 117 2" xfId="26287" xr:uid="{00000000-0005-0000-0000-0000A6660000}"/>
    <cellStyle name="20% - Accent6 118" xfId="26288" xr:uid="{00000000-0005-0000-0000-0000A7660000}"/>
    <cellStyle name="20% - Accent6 118 2" xfId="26289" xr:uid="{00000000-0005-0000-0000-0000A8660000}"/>
    <cellStyle name="20% - Accent6 119" xfId="26290" xr:uid="{00000000-0005-0000-0000-0000A9660000}"/>
    <cellStyle name="20% - Accent6 119 2" xfId="26291" xr:uid="{00000000-0005-0000-0000-0000AA660000}"/>
    <cellStyle name="20% - Accent6 12" xfId="26292" xr:uid="{00000000-0005-0000-0000-0000AB660000}"/>
    <cellStyle name="20% - Accent6 12 2" xfId="26293" xr:uid="{00000000-0005-0000-0000-0000AC660000}"/>
    <cellStyle name="20% - Accent6 12 2 2" xfId="26294" xr:uid="{00000000-0005-0000-0000-0000AD660000}"/>
    <cellStyle name="20% - Accent6 12 2 2 2" xfId="26295" xr:uid="{00000000-0005-0000-0000-0000AE660000}"/>
    <cellStyle name="20% - Accent6 12 2 3" xfId="26296" xr:uid="{00000000-0005-0000-0000-0000AF660000}"/>
    <cellStyle name="20% - Accent6 12 2 3 2" xfId="26297" xr:uid="{00000000-0005-0000-0000-0000B0660000}"/>
    <cellStyle name="20% - Accent6 12 2 4" xfId="26298" xr:uid="{00000000-0005-0000-0000-0000B1660000}"/>
    <cellStyle name="20% - Accent6 12 3" xfId="26299" xr:uid="{00000000-0005-0000-0000-0000B2660000}"/>
    <cellStyle name="20% - Accent6 12 3 2" xfId="26300" xr:uid="{00000000-0005-0000-0000-0000B3660000}"/>
    <cellStyle name="20% - Accent6 12 3 2 2" xfId="26301" xr:uid="{00000000-0005-0000-0000-0000B4660000}"/>
    <cellStyle name="20% - Accent6 12 3 3" xfId="26302" xr:uid="{00000000-0005-0000-0000-0000B5660000}"/>
    <cellStyle name="20% - Accent6 12 3 3 2" xfId="26303" xr:uid="{00000000-0005-0000-0000-0000B6660000}"/>
    <cellStyle name="20% - Accent6 12 3 4" xfId="26304" xr:uid="{00000000-0005-0000-0000-0000B7660000}"/>
    <cellStyle name="20% - Accent6 12 4" xfId="26305" xr:uid="{00000000-0005-0000-0000-0000B8660000}"/>
    <cellStyle name="20% - Accent6 12 4 2" xfId="26306" xr:uid="{00000000-0005-0000-0000-0000B9660000}"/>
    <cellStyle name="20% - Accent6 12 5" xfId="26307" xr:uid="{00000000-0005-0000-0000-0000BA660000}"/>
    <cellStyle name="20% - Accent6 12 5 2" xfId="26308" xr:uid="{00000000-0005-0000-0000-0000BB660000}"/>
    <cellStyle name="20% - Accent6 12 6" xfId="26309" xr:uid="{00000000-0005-0000-0000-0000BC660000}"/>
    <cellStyle name="20% - Accent6 120" xfId="26310" xr:uid="{00000000-0005-0000-0000-0000BD660000}"/>
    <cellStyle name="20% - Accent6 120 2" xfId="26311" xr:uid="{00000000-0005-0000-0000-0000BE660000}"/>
    <cellStyle name="20% - Accent6 121" xfId="26312" xr:uid="{00000000-0005-0000-0000-0000BF660000}"/>
    <cellStyle name="20% - Accent6 121 2" xfId="26313" xr:uid="{00000000-0005-0000-0000-0000C0660000}"/>
    <cellStyle name="20% - Accent6 122" xfId="26314" xr:uid="{00000000-0005-0000-0000-0000C1660000}"/>
    <cellStyle name="20% - Accent6 122 2" xfId="26315" xr:uid="{00000000-0005-0000-0000-0000C2660000}"/>
    <cellStyle name="20% - Accent6 123" xfId="26316" xr:uid="{00000000-0005-0000-0000-0000C3660000}"/>
    <cellStyle name="20% - Accent6 123 2" xfId="26317" xr:uid="{00000000-0005-0000-0000-0000C4660000}"/>
    <cellStyle name="20% - Accent6 124" xfId="26318" xr:uid="{00000000-0005-0000-0000-0000C5660000}"/>
    <cellStyle name="20% - Accent6 124 2" xfId="26319" xr:uid="{00000000-0005-0000-0000-0000C6660000}"/>
    <cellStyle name="20% - Accent6 125" xfId="26320" xr:uid="{00000000-0005-0000-0000-0000C7660000}"/>
    <cellStyle name="20% - Accent6 125 2" xfId="26321" xr:uid="{00000000-0005-0000-0000-0000C8660000}"/>
    <cellStyle name="20% - Accent6 126" xfId="26322" xr:uid="{00000000-0005-0000-0000-0000C9660000}"/>
    <cellStyle name="20% - Accent6 126 2" xfId="26323" xr:uid="{00000000-0005-0000-0000-0000CA660000}"/>
    <cellStyle name="20% - Accent6 127" xfId="26324" xr:uid="{00000000-0005-0000-0000-0000CB660000}"/>
    <cellStyle name="20% - Accent6 127 2" xfId="26325" xr:uid="{00000000-0005-0000-0000-0000CC660000}"/>
    <cellStyle name="20% - Accent6 128" xfId="26326" xr:uid="{00000000-0005-0000-0000-0000CD660000}"/>
    <cellStyle name="20% - Accent6 128 2" xfId="26327" xr:uid="{00000000-0005-0000-0000-0000CE660000}"/>
    <cellStyle name="20% - Accent6 129" xfId="26328" xr:uid="{00000000-0005-0000-0000-0000CF660000}"/>
    <cellStyle name="20% - Accent6 129 2" xfId="26329" xr:uid="{00000000-0005-0000-0000-0000D0660000}"/>
    <cellStyle name="20% - Accent6 13" xfId="26330" xr:uid="{00000000-0005-0000-0000-0000D1660000}"/>
    <cellStyle name="20% - Accent6 13 2" xfId="26331" xr:uid="{00000000-0005-0000-0000-0000D2660000}"/>
    <cellStyle name="20% - Accent6 13 2 2" xfId="26332" xr:uid="{00000000-0005-0000-0000-0000D3660000}"/>
    <cellStyle name="20% - Accent6 13 3" xfId="26333" xr:uid="{00000000-0005-0000-0000-0000D4660000}"/>
    <cellStyle name="20% - Accent6 13 3 2" xfId="26334" xr:uid="{00000000-0005-0000-0000-0000D5660000}"/>
    <cellStyle name="20% - Accent6 13 4" xfId="26335" xr:uid="{00000000-0005-0000-0000-0000D6660000}"/>
    <cellStyle name="20% - Accent6 130" xfId="26336" xr:uid="{00000000-0005-0000-0000-0000D7660000}"/>
    <cellStyle name="20% - Accent6 130 2" xfId="26337" xr:uid="{00000000-0005-0000-0000-0000D8660000}"/>
    <cellStyle name="20% - Accent6 131" xfId="26338" xr:uid="{00000000-0005-0000-0000-0000D9660000}"/>
    <cellStyle name="20% - Accent6 131 2" xfId="26339" xr:uid="{00000000-0005-0000-0000-0000DA660000}"/>
    <cellStyle name="20% - Accent6 132" xfId="26340" xr:uid="{00000000-0005-0000-0000-0000DB660000}"/>
    <cellStyle name="20% - Accent6 132 2" xfId="26341" xr:uid="{00000000-0005-0000-0000-0000DC660000}"/>
    <cellStyle name="20% - Accent6 133" xfId="26342" xr:uid="{00000000-0005-0000-0000-0000DD660000}"/>
    <cellStyle name="20% - Accent6 133 2" xfId="26343" xr:uid="{00000000-0005-0000-0000-0000DE660000}"/>
    <cellStyle name="20% - Accent6 134" xfId="26344" xr:uid="{00000000-0005-0000-0000-0000DF660000}"/>
    <cellStyle name="20% - Accent6 134 2" xfId="26345" xr:uid="{00000000-0005-0000-0000-0000E0660000}"/>
    <cellStyle name="20% - Accent6 135" xfId="26346" xr:uid="{00000000-0005-0000-0000-0000E1660000}"/>
    <cellStyle name="20% - Accent6 135 2" xfId="26347" xr:uid="{00000000-0005-0000-0000-0000E2660000}"/>
    <cellStyle name="20% - Accent6 136" xfId="26348" xr:uid="{00000000-0005-0000-0000-0000E3660000}"/>
    <cellStyle name="20% - Accent6 136 2" xfId="26349" xr:uid="{00000000-0005-0000-0000-0000E4660000}"/>
    <cellStyle name="20% - Accent6 137" xfId="26350" xr:uid="{00000000-0005-0000-0000-0000E5660000}"/>
    <cellStyle name="20% - Accent6 137 2" xfId="26351" xr:uid="{00000000-0005-0000-0000-0000E6660000}"/>
    <cellStyle name="20% - Accent6 138" xfId="26352" xr:uid="{00000000-0005-0000-0000-0000E7660000}"/>
    <cellStyle name="20% - Accent6 138 2" xfId="26353" xr:uid="{00000000-0005-0000-0000-0000E8660000}"/>
    <cellStyle name="20% - Accent6 139" xfId="26354" xr:uid="{00000000-0005-0000-0000-0000E9660000}"/>
    <cellStyle name="20% - Accent6 139 2" xfId="26355" xr:uid="{00000000-0005-0000-0000-0000EA660000}"/>
    <cellStyle name="20% - Accent6 14" xfId="26356" xr:uid="{00000000-0005-0000-0000-0000EB660000}"/>
    <cellStyle name="20% - Accent6 14 2" xfId="26357" xr:uid="{00000000-0005-0000-0000-0000EC660000}"/>
    <cellStyle name="20% - Accent6 14 2 2" xfId="26358" xr:uid="{00000000-0005-0000-0000-0000ED660000}"/>
    <cellStyle name="20% - Accent6 14 3" xfId="26359" xr:uid="{00000000-0005-0000-0000-0000EE660000}"/>
    <cellStyle name="20% - Accent6 14 3 2" xfId="26360" xr:uid="{00000000-0005-0000-0000-0000EF660000}"/>
    <cellStyle name="20% - Accent6 14 4" xfId="26361" xr:uid="{00000000-0005-0000-0000-0000F0660000}"/>
    <cellStyle name="20% - Accent6 140" xfId="26362" xr:uid="{00000000-0005-0000-0000-0000F1660000}"/>
    <cellStyle name="20% - Accent6 140 2" xfId="26363" xr:uid="{00000000-0005-0000-0000-0000F2660000}"/>
    <cellStyle name="20% - Accent6 141" xfId="26364" xr:uid="{00000000-0005-0000-0000-0000F3660000}"/>
    <cellStyle name="20% - Accent6 141 2" xfId="26365" xr:uid="{00000000-0005-0000-0000-0000F4660000}"/>
    <cellStyle name="20% - Accent6 142" xfId="26366" xr:uid="{00000000-0005-0000-0000-0000F5660000}"/>
    <cellStyle name="20% - Accent6 142 2" xfId="26367" xr:uid="{00000000-0005-0000-0000-0000F6660000}"/>
    <cellStyle name="20% - Accent6 143" xfId="26368" xr:uid="{00000000-0005-0000-0000-0000F7660000}"/>
    <cellStyle name="20% - Accent6 143 2" xfId="26369" xr:uid="{00000000-0005-0000-0000-0000F8660000}"/>
    <cellStyle name="20% - Accent6 144" xfId="26370" xr:uid="{00000000-0005-0000-0000-0000F9660000}"/>
    <cellStyle name="20% - Accent6 144 2" xfId="26371" xr:uid="{00000000-0005-0000-0000-0000FA660000}"/>
    <cellStyle name="20% - Accent6 145" xfId="26372" xr:uid="{00000000-0005-0000-0000-0000FB660000}"/>
    <cellStyle name="20% - Accent6 145 2" xfId="26373" xr:uid="{00000000-0005-0000-0000-0000FC660000}"/>
    <cellStyle name="20% - Accent6 146" xfId="26374" xr:uid="{00000000-0005-0000-0000-0000FD660000}"/>
    <cellStyle name="20% - Accent6 146 2" xfId="26375" xr:uid="{00000000-0005-0000-0000-0000FE660000}"/>
    <cellStyle name="20% - Accent6 147" xfId="26376" xr:uid="{00000000-0005-0000-0000-0000FF660000}"/>
    <cellStyle name="20% - Accent6 147 2" xfId="26377" xr:uid="{00000000-0005-0000-0000-000000670000}"/>
    <cellStyle name="20% - Accent6 148" xfId="26378" xr:uid="{00000000-0005-0000-0000-000001670000}"/>
    <cellStyle name="20% - Accent6 148 2" xfId="26379" xr:uid="{00000000-0005-0000-0000-000002670000}"/>
    <cellStyle name="20% - Accent6 149" xfId="26380" xr:uid="{00000000-0005-0000-0000-000003670000}"/>
    <cellStyle name="20% - Accent6 149 2" xfId="26381" xr:uid="{00000000-0005-0000-0000-000004670000}"/>
    <cellStyle name="20% - Accent6 15" xfId="26382" xr:uid="{00000000-0005-0000-0000-000005670000}"/>
    <cellStyle name="20% - Accent6 15 2" xfId="26383" xr:uid="{00000000-0005-0000-0000-000006670000}"/>
    <cellStyle name="20% - Accent6 15 2 2" xfId="26384" xr:uid="{00000000-0005-0000-0000-000007670000}"/>
    <cellStyle name="20% - Accent6 15 3" xfId="26385" xr:uid="{00000000-0005-0000-0000-000008670000}"/>
    <cellStyle name="20% - Accent6 15 3 2" xfId="26386" xr:uid="{00000000-0005-0000-0000-000009670000}"/>
    <cellStyle name="20% - Accent6 15 4" xfId="26387" xr:uid="{00000000-0005-0000-0000-00000A670000}"/>
    <cellStyle name="20% - Accent6 150" xfId="26388" xr:uid="{00000000-0005-0000-0000-00000B670000}"/>
    <cellStyle name="20% - Accent6 150 2" xfId="26389" xr:uid="{00000000-0005-0000-0000-00000C670000}"/>
    <cellStyle name="20% - Accent6 151" xfId="26390" xr:uid="{00000000-0005-0000-0000-00000D670000}"/>
    <cellStyle name="20% - Accent6 151 2" xfId="26391" xr:uid="{00000000-0005-0000-0000-00000E670000}"/>
    <cellStyle name="20% - Accent6 152" xfId="26392" xr:uid="{00000000-0005-0000-0000-00000F670000}"/>
    <cellStyle name="20% - Accent6 152 2" xfId="26393" xr:uid="{00000000-0005-0000-0000-000010670000}"/>
    <cellStyle name="20% - Accent6 153" xfId="26394" xr:uid="{00000000-0005-0000-0000-000011670000}"/>
    <cellStyle name="20% - Accent6 153 2" xfId="26395" xr:uid="{00000000-0005-0000-0000-000012670000}"/>
    <cellStyle name="20% - Accent6 154" xfId="26396" xr:uid="{00000000-0005-0000-0000-000013670000}"/>
    <cellStyle name="20% - Accent6 154 2" xfId="26397" xr:uid="{00000000-0005-0000-0000-000014670000}"/>
    <cellStyle name="20% - Accent6 155" xfId="26398" xr:uid="{00000000-0005-0000-0000-000015670000}"/>
    <cellStyle name="20% - Accent6 155 2" xfId="26399" xr:uid="{00000000-0005-0000-0000-000016670000}"/>
    <cellStyle name="20% - Accent6 156" xfId="26400" xr:uid="{00000000-0005-0000-0000-000017670000}"/>
    <cellStyle name="20% - Accent6 156 2" xfId="26401" xr:uid="{00000000-0005-0000-0000-000018670000}"/>
    <cellStyle name="20% - Accent6 157" xfId="26402" xr:uid="{00000000-0005-0000-0000-000019670000}"/>
    <cellStyle name="20% - Accent6 157 2" xfId="26403" xr:uid="{00000000-0005-0000-0000-00001A670000}"/>
    <cellStyle name="20% - Accent6 158" xfId="26404" xr:uid="{00000000-0005-0000-0000-00001B670000}"/>
    <cellStyle name="20% - Accent6 158 2" xfId="26405" xr:uid="{00000000-0005-0000-0000-00001C670000}"/>
    <cellStyle name="20% - Accent6 159" xfId="26406" xr:uid="{00000000-0005-0000-0000-00001D670000}"/>
    <cellStyle name="20% - Accent6 159 2" xfId="26407" xr:uid="{00000000-0005-0000-0000-00001E670000}"/>
    <cellStyle name="20% - Accent6 16" xfId="26408" xr:uid="{00000000-0005-0000-0000-00001F670000}"/>
    <cellStyle name="20% - Accent6 16 2" xfId="26409" xr:uid="{00000000-0005-0000-0000-000020670000}"/>
    <cellStyle name="20% - Accent6 16 2 2" xfId="26410" xr:uid="{00000000-0005-0000-0000-000021670000}"/>
    <cellStyle name="20% - Accent6 16 3" xfId="26411" xr:uid="{00000000-0005-0000-0000-000022670000}"/>
    <cellStyle name="20% - Accent6 16 3 2" xfId="26412" xr:uid="{00000000-0005-0000-0000-000023670000}"/>
    <cellStyle name="20% - Accent6 16 4" xfId="26413" xr:uid="{00000000-0005-0000-0000-000024670000}"/>
    <cellStyle name="20% - Accent6 160" xfId="26414" xr:uid="{00000000-0005-0000-0000-000025670000}"/>
    <cellStyle name="20% - Accent6 160 2" xfId="26415" xr:uid="{00000000-0005-0000-0000-000026670000}"/>
    <cellStyle name="20% - Accent6 161" xfId="26416" xr:uid="{00000000-0005-0000-0000-000027670000}"/>
    <cellStyle name="20% - Accent6 161 2" xfId="26417" xr:uid="{00000000-0005-0000-0000-000028670000}"/>
    <cellStyle name="20% - Accent6 162" xfId="26418" xr:uid="{00000000-0005-0000-0000-000029670000}"/>
    <cellStyle name="20% - Accent6 162 2" xfId="26419" xr:uid="{00000000-0005-0000-0000-00002A670000}"/>
    <cellStyle name="20% - Accent6 163" xfId="26420" xr:uid="{00000000-0005-0000-0000-00002B670000}"/>
    <cellStyle name="20% - Accent6 163 2" xfId="26421" xr:uid="{00000000-0005-0000-0000-00002C670000}"/>
    <cellStyle name="20% - Accent6 164" xfId="26422" xr:uid="{00000000-0005-0000-0000-00002D670000}"/>
    <cellStyle name="20% - Accent6 164 2" xfId="26423" xr:uid="{00000000-0005-0000-0000-00002E670000}"/>
    <cellStyle name="20% - Accent6 165" xfId="26424" xr:uid="{00000000-0005-0000-0000-00002F670000}"/>
    <cellStyle name="20% - Accent6 165 2" xfId="26425" xr:uid="{00000000-0005-0000-0000-000030670000}"/>
    <cellStyle name="20% - Accent6 166" xfId="26426" xr:uid="{00000000-0005-0000-0000-000031670000}"/>
    <cellStyle name="20% - Accent6 166 2" xfId="26427" xr:uid="{00000000-0005-0000-0000-000032670000}"/>
    <cellStyle name="20% - Accent6 167" xfId="26428" xr:uid="{00000000-0005-0000-0000-000033670000}"/>
    <cellStyle name="20% - Accent6 167 2" xfId="26429" xr:uid="{00000000-0005-0000-0000-000034670000}"/>
    <cellStyle name="20% - Accent6 168" xfId="26430" xr:uid="{00000000-0005-0000-0000-000035670000}"/>
    <cellStyle name="20% - Accent6 168 2" xfId="26431" xr:uid="{00000000-0005-0000-0000-000036670000}"/>
    <cellStyle name="20% - Accent6 169" xfId="26432" xr:uid="{00000000-0005-0000-0000-000037670000}"/>
    <cellStyle name="20% - Accent6 169 2" xfId="26433" xr:uid="{00000000-0005-0000-0000-000038670000}"/>
    <cellStyle name="20% - Accent6 17" xfId="26434" xr:uid="{00000000-0005-0000-0000-000039670000}"/>
    <cellStyle name="20% - Accent6 17 2" xfId="26435" xr:uid="{00000000-0005-0000-0000-00003A670000}"/>
    <cellStyle name="20% - Accent6 17 2 2" xfId="26436" xr:uid="{00000000-0005-0000-0000-00003B670000}"/>
    <cellStyle name="20% - Accent6 17 3" xfId="26437" xr:uid="{00000000-0005-0000-0000-00003C670000}"/>
    <cellStyle name="20% - Accent6 17 3 2" xfId="26438" xr:uid="{00000000-0005-0000-0000-00003D670000}"/>
    <cellStyle name="20% - Accent6 17 4" xfId="26439" xr:uid="{00000000-0005-0000-0000-00003E670000}"/>
    <cellStyle name="20% - Accent6 170" xfId="26440" xr:uid="{00000000-0005-0000-0000-00003F670000}"/>
    <cellStyle name="20% - Accent6 170 2" xfId="26441" xr:uid="{00000000-0005-0000-0000-000040670000}"/>
    <cellStyle name="20% - Accent6 171" xfId="26442" xr:uid="{00000000-0005-0000-0000-000041670000}"/>
    <cellStyle name="20% - Accent6 171 2" xfId="26443" xr:uid="{00000000-0005-0000-0000-000042670000}"/>
    <cellStyle name="20% - Accent6 172" xfId="26444" xr:uid="{00000000-0005-0000-0000-000043670000}"/>
    <cellStyle name="20% - Accent6 172 2" xfId="26445" xr:uid="{00000000-0005-0000-0000-000044670000}"/>
    <cellStyle name="20% - Accent6 173" xfId="26446" xr:uid="{00000000-0005-0000-0000-000045670000}"/>
    <cellStyle name="20% - Accent6 173 2" xfId="26447" xr:uid="{00000000-0005-0000-0000-000046670000}"/>
    <cellStyle name="20% - Accent6 174" xfId="26448" xr:uid="{00000000-0005-0000-0000-000047670000}"/>
    <cellStyle name="20% - Accent6 174 2" xfId="26449" xr:uid="{00000000-0005-0000-0000-000048670000}"/>
    <cellStyle name="20% - Accent6 175" xfId="26450" xr:uid="{00000000-0005-0000-0000-000049670000}"/>
    <cellStyle name="20% - Accent6 175 2" xfId="26451" xr:uid="{00000000-0005-0000-0000-00004A670000}"/>
    <cellStyle name="20% - Accent6 176" xfId="26452" xr:uid="{00000000-0005-0000-0000-00004B670000}"/>
    <cellStyle name="20% - Accent6 176 2" xfId="26453" xr:uid="{00000000-0005-0000-0000-00004C670000}"/>
    <cellStyle name="20% - Accent6 177" xfId="26454" xr:uid="{00000000-0005-0000-0000-00004D670000}"/>
    <cellStyle name="20% - Accent6 177 2" xfId="26455" xr:uid="{00000000-0005-0000-0000-00004E670000}"/>
    <cellStyle name="20% - Accent6 178" xfId="26456" xr:uid="{00000000-0005-0000-0000-00004F670000}"/>
    <cellStyle name="20% - Accent6 178 2" xfId="26457" xr:uid="{00000000-0005-0000-0000-000050670000}"/>
    <cellStyle name="20% - Accent6 179" xfId="26458" xr:uid="{00000000-0005-0000-0000-000051670000}"/>
    <cellStyle name="20% - Accent6 179 2" xfId="26459" xr:uid="{00000000-0005-0000-0000-000052670000}"/>
    <cellStyle name="20% - Accent6 18" xfId="26460" xr:uid="{00000000-0005-0000-0000-000053670000}"/>
    <cellStyle name="20% - Accent6 18 2" xfId="26461" xr:uid="{00000000-0005-0000-0000-000054670000}"/>
    <cellStyle name="20% - Accent6 18 2 2" xfId="26462" xr:uid="{00000000-0005-0000-0000-000055670000}"/>
    <cellStyle name="20% - Accent6 18 3" xfId="26463" xr:uid="{00000000-0005-0000-0000-000056670000}"/>
    <cellStyle name="20% - Accent6 18 3 2" xfId="26464" xr:uid="{00000000-0005-0000-0000-000057670000}"/>
    <cellStyle name="20% - Accent6 18 4" xfId="26465" xr:uid="{00000000-0005-0000-0000-000058670000}"/>
    <cellStyle name="20% - Accent6 180" xfId="26466" xr:uid="{00000000-0005-0000-0000-000059670000}"/>
    <cellStyle name="20% - Accent6 180 2" xfId="26467" xr:uid="{00000000-0005-0000-0000-00005A670000}"/>
    <cellStyle name="20% - Accent6 181" xfId="26468" xr:uid="{00000000-0005-0000-0000-00005B670000}"/>
    <cellStyle name="20% - Accent6 181 2" xfId="26469" xr:uid="{00000000-0005-0000-0000-00005C670000}"/>
    <cellStyle name="20% - Accent6 182" xfId="26470" xr:uid="{00000000-0005-0000-0000-00005D670000}"/>
    <cellStyle name="20% - Accent6 182 2" xfId="26471" xr:uid="{00000000-0005-0000-0000-00005E670000}"/>
    <cellStyle name="20% - Accent6 183" xfId="26472" xr:uid="{00000000-0005-0000-0000-00005F670000}"/>
    <cellStyle name="20% - Accent6 183 2" xfId="26473" xr:uid="{00000000-0005-0000-0000-000060670000}"/>
    <cellStyle name="20% - Accent6 184" xfId="26474" xr:uid="{00000000-0005-0000-0000-000061670000}"/>
    <cellStyle name="20% - Accent6 184 2" xfId="26475" xr:uid="{00000000-0005-0000-0000-000062670000}"/>
    <cellStyle name="20% - Accent6 185" xfId="26476" xr:uid="{00000000-0005-0000-0000-000063670000}"/>
    <cellStyle name="20% - Accent6 185 2" xfId="26477" xr:uid="{00000000-0005-0000-0000-000064670000}"/>
    <cellStyle name="20% - Accent6 186" xfId="26478" xr:uid="{00000000-0005-0000-0000-000065670000}"/>
    <cellStyle name="20% - Accent6 186 2" xfId="26479" xr:uid="{00000000-0005-0000-0000-000066670000}"/>
    <cellStyle name="20% - Accent6 187" xfId="26480" xr:uid="{00000000-0005-0000-0000-000067670000}"/>
    <cellStyle name="20% - Accent6 187 2" xfId="26481" xr:uid="{00000000-0005-0000-0000-000068670000}"/>
    <cellStyle name="20% - Accent6 188" xfId="26482" xr:uid="{00000000-0005-0000-0000-000069670000}"/>
    <cellStyle name="20% - Accent6 188 2" xfId="26483" xr:uid="{00000000-0005-0000-0000-00006A670000}"/>
    <cellStyle name="20% - Accent6 189" xfId="26484" xr:uid="{00000000-0005-0000-0000-00006B670000}"/>
    <cellStyle name="20% - Accent6 189 2" xfId="26485" xr:uid="{00000000-0005-0000-0000-00006C670000}"/>
    <cellStyle name="20% - Accent6 19" xfId="26486" xr:uid="{00000000-0005-0000-0000-00006D670000}"/>
    <cellStyle name="20% - Accent6 19 2" xfId="26487" xr:uid="{00000000-0005-0000-0000-00006E670000}"/>
    <cellStyle name="20% - Accent6 19 2 2" xfId="26488" xr:uid="{00000000-0005-0000-0000-00006F670000}"/>
    <cellStyle name="20% - Accent6 19 3" xfId="26489" xr:uid="{00000000-0005-0000-0000-000070670000}"/>
    <cellStyle name="20% - Accent6 19 3 2" xfId="26490" xr:uid="{00000000-0005-0000-0000-000071670000}"/>
    <cellStyle name="20% - Accent6 19 4" xfId="26491" xr:uid="{00000000-0005-0000-0000-000072670000}"/>
    <cellStyle name="20% - Accent6 190" xfId="26492" xr:uid="{00000000-0005-0000-0000-000073670000}"/>
    <cellStyle name="20% - Accent6 190 2" xfId="26493" xr:uid="{00000000-0005-0000-0000-000074670000}"/>
    <cellStyle name="20% - Accent6 191" xfId="26494" xr:uid="{00000000-0005-0000-0000-000075670000}"/>
    <cellStyle name="20% - Accent6 191 2" xfId="26495" xr:uid="{00000000-0005-0000-0000-000076670000}"/>
    <cellStyle name="20% - Accent6 192" xfId="26496" xr:uid="{00000000-0005-0000-0000-000077670000}"/>
    <cellStyle name="20% - Accent6 192 2" xfId="26497" xr:uid="{00000000-0005-0000-0000-000078670000}"/>
    <cellStyle name="20% - Accent6 193" xfId="26498" xr:uid="{00000000-0005-0000-0000-000079670000}"/>
    <cellStyle name="20% - Accent6 193 2" xfId="26499" xr:uid="{00000000-0005-0000-0000-00007A670000}"/>
    <cellStyle name="20% - Accent6 194" xfId="26500" xr:uid="{00000000-0005-0000-0000-00007B670000}"/>
    <cellStyle name="20% - Accent6 194 2" xfId="26501" xr:uid="{00000000-0005-0000-0000-00007C670000}"/>
    <cellStyle name="20% - Accent6 195" xfId="26502" xr:uid="{00000000-0005-0000-0000-00007D670000}"/>
    <cellStyle name="20% - Accent6 195 2" xfId="26503" xr:uid="{00000000-0005-0000-0000-00007E670000}"/>
    <cellStyle name="20% - Accent6 196" xfId="26504" xr:uid="{00000000-0005-0000-0000-00007F670000}"/>
    <cellStyle name="20% - Accent6 196 2" xfId="26505" xr:uid="{00000000-0005-0000-0000-000080670000}"/>
    <cellStyle name="20% - Accent6 197" xfId="26506" xr:uid="{00000000-0005-0000-0000-000081670000}"/>
    <cellStyle name="20% - Accent6 197 2" xfId="26507" xr:uid="{00000000-0005-0000-0000-000082670000}"/>
    <cellStyle name="20% - Accent6 198" xfId="26508" xr:uid="{00000000-0005-0000-0000-000083670000}"/>
    <cellStyle name="20% - Accent6 198 2" xfId="26509" xr:uid="{00000000-0005-0000-0000-000084670000}"/>
    <cellStyle name="20% - Accent6 2" xfId="26510" xr:uid="{00000000-0005-0000-0000-000085670000}"/>
    <cellStyle name="20% - Accent6 2 2" xfId="26511" xr:uid="{00000000-0005-0000-0000-000086670000}"/>
    <cellStyle name="20% - Accent6 2 2 2" xfId="26512" xr:uid="{00000000-0005-0000-0000-000087670000}"/>
    <cellStyle name="20% - Accent6 2 2 2 2" xfId="26513" xr:uid="{00000000-0005-0000-0000-000088670000}"/>
    <cellStyle name="20% - Accent6 2 2 3" xfId="26514" xr:uid="{00000000-0005-0000-0000-000089670000}"/>
    <cellStyle name="20% - Accent6 2 2 3 2" xfId="26515" xr:uid="{00000000-0005-0000-0000-00008A670000}"/>
    <cellStyle name="20% - Accent6 2 2 4" xfId="26516" xr:uid="{00000000-0005-0000-0000-00008B670000}"/>
    <cellStyle name="20% - Accent6 2 2 4 2" xfId="26517" xr:uid="{00000000-0005-0000-0000-00008C670000}"/>
    <cellStyle name="20% - Accent6 2 2 5" xfId="26518" xr:uid="{00000000-0005-0000-0000-00008D670000}"/>
    <cellStyle name="20% - Accent6 2 2 5 2" xfId="26519" xr:uid="{00000000-0005-0000-0000-00008E670000}"/>
    <cellStyle name="20% - Accent6 2 2 6" xfId="26520" xr:uid="{00000000-0005-0000-0000-00008F670000}"/>
    <cellStyle name="20% - Accent6 2 3" xfId="26521" xr:uid="{00000000-0005-0000-0000-000090670000}"/>
    <cellStyle name="20% - Accent6 2 3 2" xfId="26522" xr:uid="{00000000-0005-0000-0000-000091670000}"/>
    <cellStyle name="20% - Accent6 2 4" xfId="26523" xr:uid="{00000000-0005-0000-0000-000092670000}"/>
    <cellStyle name="20% - Accent6 2 4 2" xfId="26524" xr:uid="{00000000-0005-0000-0000-000093670000}"/>
    <cellStyle name="20% - Accent6 2 5" xfId="26525" xr:uid="{00000000-0005-0000-0000-000094670000}"/>
    <cellStyle name="20% - Accent6 2 5 2" xfId="26526" xr:uid="{00000000-0005-0000-0000-000095670000}"/>
    <cellStyle name="20% - Accent6 2 6" xfId="26527" xr:uid="{00000000-0005-0000-0000-000096670000}"/>
    <cellStyle name="20% - Accent6 2 6 2" xfId="26528" xr:uid="{00000000-0005-0000-0000-000097670000}"/>
    <cellStyle name="20% - Accent6 2 7" xfId="26529" xr:uid="{00000000-0005-0000-0000-000098670000}"/>
    <cellStyle name="20% - Accent6 20" xfId="26530" xr:uid="{00000000-0005-0000-0000-000099670000}"/>
    <cellStyle name="20% - Accent6 20 2" xfId="26531" xr:uid="{00000000-0005-0000-0000-00009A670000}"/>
    <cellStyle name="20% - Accent6 20 2 2" xfId="26532" xr:uid="{00000000-0005-0000-0000-00009B670000}"/>
    <cellStyle name="20% - Accent6 20 3" xfId="26533" xr:uid="{00000000-0005-0000-0000-00009C670000}"/>
    <cellStyle name="20% - Accent6 20 3 2" xfId="26534" xr:uid="{00000000-0005-0000-0000-00009D670000}"/>
    <cellStyle name="20% - Accent6 20 4" xfId="26535" xr:uid="{00000000-0005-0000-0000-00009E670000}"/>
    <cellStyle name="20% - Accent6 21" xfId="26536" xr:uid="{00000000-0005-0000-0000-00009F670000}"/>
    <cellStyle name="20% - Accent6 21 2" xfId="26537" xr:uid="{00000000-0005-0000-0000-0000A0670000}"/>
    <cellStyle name="20% - Accent6 21 2 2" xfId="26538" xr:uid="{00000000-0005-0000-0000-0000A1670000}"/>
    <cellStyle name="20% - Accent6 21 3" xfId="26539" xr:uid="{00000000-0005-0000-0000-0000A2670000}"/>
    <cellStyle name="20% - Accent6 21 3 2" xfId="26540" xr:uid="{00000000-0005-0000-0000-0000A3670000}"/>
    <cellStyle name="20% - Accent6 21 4" xfId="26541" xr:uid="{00000000-0005-0000-0000-0000A4670000}"/>
    <cellStyle name="20% - Accent6 22" xfId="26542" xr:uid="{00000000-0005-0000-0000-0000A5670000}"/>
    <cellStyle name="20% - Accent6 22 2" xfId="26543" xr:uid="{00000000-0005-0000-0000-0000A6670000}"/>
    <cellStyle name="20% - Accent6 22 2 2" xfId="26544" xr:uid="{00000000-0005-0000-0000-0000A7670000}"/>
    <cellStyle name="20% - Accent6 22 3" xfId="26545" xr:uid="{00000000-0005-0000-0000-0000A8670000}"/>
    <cellStyle name="20% - Accent6 22 3 2" xfId="26546" xr:uid="{00000000-0005-0000-0000-0000A9670000}"/>
    <cellStyle name="20% - Accent6 22 4" xfId="26547" xr:uid="{00000000-0005-0000-0000-0000AA670000}"/>
    <cellStyle name="20% - Accent6 23" xfId="26548" xr:uid="{00000000-0005-0000-0000-0000AB670000}"/>
    <cellStyle name="20% - Accent6 23 2" xfId="26549" xr:uid="{00000000-0005-0000-0000-0000AC670000}"/>
    <cellStyle name="20% - Accent6 23 2 2" xfId="26550" xr:uid="{00000000-0005-0000-0000-0000AD670000}"/>
    <cellStyle name="20% - Accent6 23 3" xfId="26551" xr:uid="{00000000-0005-0000-0000-0000AE670000}"/>
    <cellStyle name="20% - Accent6 23 3 2" xfId="26552" xr:uid="{00000000-0005-0000-0000-0000AF670000}"/>
    <cellStyle name="20% - Accent6 23 4" xfId="26553" xr:uid="{00000000-0005-0000-0000-0000B0670000}"/>
    <cellStyle name="20% - Accent6 24" xfId="26554" xr:uid="{00000000-0005-0000-0000-0000B1670000}"/>
    <cellStyle name="20% - Accent6 24 2" xfId="26555" xr:uid="{00000000-0005-0000-0000-0000B2670000}"/>
    <cellStyle name="20% - Accent6 24 2 2" xfId="26556" xr:uid="{00000000-0005-0000-0000-0000B3670000}"/>
    <cellStyle name="20% - Accent6 24 3" xfId="26557" xr:uid="{00000000-0005-0000-0000-0000B4670000}"/>
    <cellStyle name="20% - Accent6 24 3 2" xfId="26558" xr:uid="{00000000-0005-0000-0000-0000B5670000}"/>
    <cellStyle name="20% - Accent6 24 4" xfId="26559" xr:uid="{00000000-0005-0000-0000-0000B6670000}"/>
    <cellStyle name="20% - Accent6 25" xfId="26560" xr:uid="{00000000-0005-0000-0000-0000B7670000}"/>
    <cellStyle name="20% - Accent6 25 2" xfId="26561" xr:uid="{00000000-0005-0000-0000-0000B8670000}"/>
    <cellStyle name="20% - Accent6 25 2 2" xfId="26562" xr:uid="{00000000-0005-0000-0000-0000B9670000}"/>
    <cellStyle name="20% - Accent6 25 3" xfId="26563" xr:uid="{00000000-0005-0000-0000-0000BA670000}"/>
    <cellStyle name="20% - Accent6 25 3 2" xfId="26564" xr:uid="{00000000-0005-0000-0000-0000BB670000}"/>
    <cellStyle name="20% - Accent6 25 4" xfId="26565" xr:uid="{00000000-0005-0000-0000-0000BC670000}"/>
    <cellStyle name="20% - Accent6 26" xfId="26566" xr:uid="{00000000-0005-0000-0000-0000BD670000}"/>
    <cellStyle name="20% - Accent6 26 2" xfId="26567" xr:uid="{00000000-0005-0000-0000-0000BE670000}"/>
    <cellStyle name="20% - Accent6 26 2 2" xfId="26568" xr:uid="{00000000-0005-0000-0000-0000BF670000}"/>
    <cellStyle name="20% - Accent6 26 3" xfId="26569" xr:uid="{00000000-0005-0000-0000-0000C0670000}"/>
    <cellStyle name="20% - Accent6 26 3 2" xfId="26570" xr:uid="{00000000-0005-0000-0000-0000C1670000}"/>
    <cellStyle name="20% - Accent6 26 4" xfId="26571" xr:uid="{00000000-0005-0000-0000-0000C2670000}"/>
    <cellStyle name="20% - Accent6 27" xfId="26572" xr:uid="{00000000-0005-0000-0000-0000C3670000}"/>
    <cellStyle name="20% - Accent6 27 2" xfId="26573" xr:uid="{00000000-0005-0000-0000-0000C4670000}"/>
    <cellStyle name="20% - Accent6 27 2 2" xfId="26574" xr:uid="{00000000-0005-0000-0000-0000C5670000}"/>
    <cellStyle name="20% - Accent6 27 3" xfId="26575" xr:uid="{00000000-0005-0000-0000-0000C6670000}"/>
    <cellStyle name="20% - Accent6 27 3 2" xfId="26576" xr:uid="{00000000-0005-0000-0000-0000C7670000}"/>
    <cellStyle name="20% - Accent6 27 4" xfId="26577" xr:uid="{00000000-0005-0000-0000-0000C8670000}"/>
    <cellStyle name="20% - Accent6 28" xfId="26578" xr:uid="{00000000-0005-0000-0000-0000C9670000}"/>
    <cellStyle name="20% - Accent6 28 2" xfId="26579" xr:uid="{00000000-0005-0000-0000-0000CA670000}"/>
    <cellStyle name="20% - Accent6 28 2 2" xfId="26580" xr:uid="{00000000-0005-0000-0000-0000CB670000}"/>
    <cellStyle name="20% - Accent6 28 3" xfId="26581" xr:uid="{00000000-0005-0000-0000-0000CC670000}"/>
    <cellStyle name="20% - Accent6 28 3 2" xfId="26582" xr:uid="{00000000-0005-0000-0000-0000CD670000}"/>
    <cellStyle name="20% - Accent6 28 4" xfId="26583" xr:uid="{00000000-0005-0000-0000-0000CE670000}"/>
    <cellStyle name="20% - Accent6 29" xfId="26584" xr:uid="{00000000-0005-0000-0000-0000CF670000}"/>
    <cellStyle name="20% - Accent6 29 2" xfId="26585" xr:uid="{00000000-0005-0000-0000-0000D0670000}"/>
    <cellStyle name="20% - Accent6 29 2 2" xfId="26586" xr:uid="{00000000-0005-0000-0000-0000D1670000}"/>
    <cellStyle name="20% - Accent6 29 3" xfId="26587" xr:uid="{00000000-0005-0000-0000-0000D2670000}"/>
    <cellStyle name="20% - Accent6 29 3 2" xfId="26588" xr:uid="{00000000-0005-0000-0000-0000D3670000}"/>
    <cellStyle name="20% - Accent6 29 4" xfId="26589" xr:uid="{00000000-0005-0000-0000-0000D4670000}"/>
    <cellStyle name="20% - Accent6 3" xfId="26590" xr:uid="{00000000-0005-0000-0000-0000D5670000}"/>
    <cellStyle name="20% - Accent6 3 2" xfId="26591" xr:uid="{00000000-0005-0000-0000-0000D6670000}"/>
    <cellStyle name="20% - Accent6 3 2 2" xfId="26592" xr:uid="{00000000-0005-0000-0000-0000D7670000}"/>
    <cellStyle name="20% - Accent6 3 3" xfId="26593" xr:uid="{00000000-0005-0000-0000-0000D8670000}"/>
    <cellStyle name="20% - Accent6 3 3 2" xfId="26594" xr:uid="{00000000-0005-0000-0000-0000D9670000}"/>
    <cellStyle name="20% - Accent6 3 4" xfId="26595" xr:uid="{00000000-0005-0000-0000-0000DA670000}"/>
    <cellStyle name="20% - Accent6 3 4 2" xfId="26596" xr:uid="{00000000-0005-0000-0000-0000DB670000}"/>
    <cellStyle name="20% - Accent6 3 5" xfId="26597" xr:uid="{00000000-0005-0000-0000-0000DC670000}"/>
    <cellStyle name="20% - Accent6 3 5 2" xfId="26598" xr:uid="{00000000-0005-0000-0000-0000DD670000}"/>
    <cellStyle name="20% - Accent6 3 6" xfId="26599" xr:uid="{00000000-0005-0000-0000-0000DE670000}"/>
    <cellStyle name="20% - Accent6 3 6 2" xfId="26600" xr:uid="{00000000-0005-0000-0000-0000DF670000}"/>
    <cellStyle name="20% - Accent6 3 7" xfId="26601" xr:uid="{00000000-0005-0000-0000-0000E0670000}"/>
    <cellStyle name="20% - Accent6 30" xfId="26602" xr:uid="{00000000-0005-0000-0000-0000E1670000}"/>
    <cellStyle name="20% - Accent6 30 2" xfId="26603" xr:uid="{00000000-0005-0000-0000-0000E2670000}"/>
    <cellStyle name="20% - Accent6 30 2 2" xfId="26604" xr:uid="{00000000-0005-0000-0000-0000E3670000}"/>
    <cellStyle name="20% - Accent6 30 3" xfId="26605" xr:uid="{00000000-0005-0000-0000-0000E4670000}"/>
    <cellStyle name="20% - Accent6 30 3 2" xfId="26606" xr:uid="{00000000-0005-0000-0000-0000E5670000}"/>
    <cellStyle name="20% - Accent6 30 4" xfId="26607" xr:uid="{00000000-0005-0000-0000-0000E6670000}"/>
    <cellStyle name="20% - Accent6 31" xfId="26608" xr:uid="{00000000-0005-0000-0000-0000E7670000}"/>
    <cellStyle name="20% - Accent6 31 2" xfId="26609" xr:uid="{00000000-0005-0000-0000-0000E8670000}"/>
    <cellStyle name="20% - Accent6 31 2 2" xfId="26610" xr:uid="{00000000-0005-0000-0000-0000E9670000}"/>
    <cellStyle name="20% - Accent6 31 3" xfId="26611" xr:uid="{00000000-0005-0000-0000-0000EA670000}"/>
    <cellStyle name="20% - Accent6 31 3 2" xfId="26612" xr:uid="{00000000-0005-0000-0000-0000EB670000}"/>
    <cellStyle name="20% - Accent6 31 4" xfId="26613" xr:uid="{00000000-0005-0000-0000-0000EC670000}"/>
    <cellStyle name="20% - Accent6 32" xfId="26614" xr:uid="{00000000-0005-0000-0000-0000ED670000}"/>
    <cellStyle name="20% - Accent6 32 2" xfId="26615" xr:uid="{00000000-0005-0000-0000-0000EE670000}"/>
    <cellStyle name="20% - Accent6 32 2 2" xfId="26616" xr:uid="{00000000-0005-0000-0000-0000EF670000}"/>
    <cellStyle name="20% - Accent6 32 3" xfId="26617" xr:uid="{00000000-0005-0000-0000-0000F0670000}"/>
    <cellStyle name="20% - Accent6 32 3 2" xfId="26618" xr:uid="{00000000-0005-0000-0000-0000F1670000}"/>
    <cellStyle name="20% - Accent6 32 4" xfId="26619" xr:uid="{00000000-0005-0000-0000-0000F2670000}"/>
    <cellStyle name="20% - Accent6 33" xfId="26620" xr:uid="{00000000-0005-0000-0000-0000F3670000}"/>
    <cellStyle name="20% - Accent6 33 2" xfId="26621" xr:uid="{00000000-0005-0000-0000-0000F4670000}"/>
    <cellStyle name="20% - Accent6 33 2 2" xfId="26622" xr:uid="{00000000-0005-0000-0000-0000F5670000}"/>
    <cellStyle name="20% - Accent6 33 3" xfId="26623" xr:uid="{00000000-0005-0000-0000-0000F6670000}"/>
    <cellStyle name="20% - Accent6 33 3 2" xfId="26624" xr:uid="{00000000-0005-0000-0000-0000F7670000}"/>
    <cellStyle name="20% - Accent6 33 4" xfId="26625" xr:uid="{00000000-0005-0000-0000-0000F8670000}"/>
    <cellStyle name="20% - Accent6 34" xfId="26626" xr:uid="{00000000-0005-0000-0000-0000F9670000}"/>
    <cellStyle name="20% - Accent6 34 2" xfId="26627" xr:uid="{00000000-0005-0000-0000-0000FA670000}"/>
    <cellStyle name="20% - Accent6 34 2 2" xfId="26628" xr:uid="{00000000-0005-0000-0000-0000FB670000}"/>
    <cellStyle name="20% - Accent6 34 3" xfId="26629" xr:uid="{00000000-0005-0000-0000-0000FC670000}"/>
    <cellStyle name="20% - Accent6 34 3 2" xfId="26630" xr:uid="{00000000-0005-0000-0000-0000FD670000}"/>
    <cellStyle name="20% - Accent6 34 4" xfId="26631" xr:uid="{00000000-0005-0000-0000-0000FE670000}"/>
    <cellStyle name="20% - Accent6 35" xfId="26632" xr:uid="{00000000-0005-0000-0000-0000FF670000}"/>
    <cellStyle name="20% - Accent6 35 2" xfId="26633" xr:uid="{00000000-0005-0000-0000-000000680000}"/>
    <cellStyle name="20% - Accent6 35 2 2" xfId="26634" xr:uid="{00000000-0005-0000-0000-000001680000}"/>
    <cellStyle name="20% - Accent6 35 3" xfId="26635" xr:uid="{00000000-0005-0000-0000-000002680000}"/>
    <cellStyle name="20% - Accent6 35 3 2" xfId="26636" xr:uid="{00000000-0005-0000-0000-000003680000}"/>
    <cellStyle name="20% - Accent6 35 4" xfId="26637" xr:uid="{00000000-0005-0000-0000-000004680000}"/>
    <cellStyle name="20% - Accent6 36" xfId="26638" xr:uid="{00000000-0005-0000-0000-000005680000}"/>
    <cellStyle name="20% - Accent6 36 2" xfId="26639" xr:uid="{00000000-0005-0000-0000-000006680000}"/>
    <cellStyle name="20% - Accent6 36 2 2" xfId="26640" xr:uid="{00000000-0005-0000-0000-000007680000}"/>
    <cellStyle name="20% - Accent6 36 3" xfId="26641" xr:uid="{00000000-0005-0000-0000-000008680000}"/>
    <cellStyle name="20% - Accent6 36 3 2" xfId="26642" xr:uid="{00000000-0005-0000-0000-000009680000}"/>
    <cellStyle name="20% - Accent6 36 4" xfId="26643" xr:uid="{00000000-0005-0000-0000-00000A680000}"/>
    <cellStyle name="20% - Accent6 37" xfId="26644" xr:uid="{00000000-0005-0000-0000-00000B680000}"/>
    <cellStyle name="20% - Accent6 37 2" xfId="26645" xr:uid="{00000000-0005-0000-0000-00000C680000}"/>
    <cellStyle name="20% - Accent6 37 2 2" xfId="26646" xr:uid="{00000000-0005-0000-0000-00000D680000}"/>
    <cellStyle name="20% - Accent6 37 3" xfId="26647" xr:uid="{00000000-0005-0000-0000-00000E680000}"/>
    <cellStyle name="20% - Accent6 37 3 2" xfId="26648" xr:uid="{00000000-0005-0000-0000-00000F680000}"/>
    <cellStyle name="20% - Accent6 37 4" xfId="26649" xr:uid="{00000000-0005-0000-0000-000010680000}"/>
    <cellStyle name="20% - Accent6 38" xfId="26650" xr:uid="{00000000-0005-0000-0000-000011680000}"/>
    <cellStyle name="20% - Accent6 38 2" xfId="26651" xr:uid="{00000000-0005-0000-0000-000012680000}"/>
    <cellStyle name="20% - Accent6 38 2 2" xfId="26652" xr:uid="{00000000-0005-0000-0000-000013680000}"/>
    <cellStyle name="20% - Accent6 38 3" xfId="26653" xr:uid="{00000000-0005-0000-0000-000014680000}"/>
    <cellStyle name="20% - Accent6 38 3 2" xfId="26654" xr:uid="{00000000-0005-0000-0000-000015680000}"/>
    <cellStyle name="20% - Accent6 38 4" xfId="26655" xr:uid="{00000000-0005-0000-0000-000016680000}"/>
    <cellStyle name="20% - Accent6 39" xfId="26656" xr:uid="{00000000-0005-0000-0000-000017680000}"/>
    <cellStyle name="20% - Accent6 39 2" xfId="26657" xr:uid="{00000000-0005-0000-0000-000018680000}"/>
    <cellStyle name="20% - Accent6 39 2 2" xfId="26658" xr:uid="{00000000-0005-0000-0000-000019680000}"/>
    <cellStyle name="20% - Accent6 39 3" xfId="26659" xr:uid="{00000000-0005-0000-0000-00001A680000}"/>
    <cellStyle name="20% - Accent6 39 3 2" xfId="26660" xr:uid="{00000000-0005-0000-0000-00001B680000}"/>
    <cellStyle name="20% - Accent6 39 4" xfId="26661" xr:uid="{00000000-0005-0000-0000-00001C680000}"/>
    <cellStyle name="20% - Accent6 4" xfId="26662" xr:uid="{00000000-0005-0000-0000-00001D680000}"/>
    <cellStyle name="20% - Accent6 4 2" xfId="26663" xr:uid="{00000000-0005-0000-0000-00001E680000}"/>
    <cellStyle name="20% - Accent6 4 2 2" xfId="26664" xr:uid="{00000000-0005-0000-0000-00001F680000}"/>
    <cellStyle name="20% - Accent6 4 3" xfId="26665" xr:uid="{00000000-0005-0000-0000-000020680000}"/>
    <cellStyle name="20% - Accent6 4 3 2" xfId="26666" xr:uid="{00000000-0005-0000-0000-000021680000}"/>
    <cellStyle name="20% - Accent6 4 4" xfId="26667" xr:uid="{00000000-0005-0000-0000-000022680000}"/>
    <cellStyle name="20% - Accent6 4 4 2" xfId="26668" xr:uid="{00000000-0005-0000-0000-000023680000}"/>
    <cellStyle name="20% - Accent6 4 5" xfId="26669" xr:uid="{00000000-0005-0000-0000-000024680000}"/>
    <cellStyle name="20% - Accent6 4 5 2" xfId="26670" xr:uid="{00000000-0005-0000-0000-000025680000}"/>
    <cellStyle name="20% - Accent6 4 6" xfId="26671" xr:uid="{00000000-0005-0000-0000-000026680000}"/>
    <cellStyle name="20% - Accent6 4 6 2" xfId="26672" xr:uid="{00000000-0005-0000-0000-000027680000}"/>
    <cellStyle name="20% - Accent6 4 7" xfId="26673" xr:uid="{00000000-0005-0000-0000-000028680000}"/>
    <cellStyle name="20% - Accent6 40" xfId="26674" xr:uid="{00000000-0005-0000-0000-000029680000}"/>
    <cellStyle name="20% - Accent6 40 2" xfId="26675" xr:uid="{00000000-0005-0000-0000-00002A680000}"/>
    <cellStyle name="20% - Accent6 40 2 2" xfId="26676" xr:uid="{00000000-0005-0000-0000-00002B680000}"/>
    <cellStyle name="20% - Accent6 40 3" xfId="26677" xr:uid="{00000000-0005-0000-0000-00002C680000}"/>
    <cellStyle name="20% - Accent6 40 3 2" xfId="26678" xr:uid="{00000000-0005-0000-0000-00002D680000}"/>
    <cellStyle name="20% - Accent6 40 4" xfId="26679" xr:uid="{00000000-0005-0000-0000-00002E680000}"/>
    <cellStyle name="20% - Accent6 41" xfId="26680" xr:uid="{00000000-0005-0000-0000-00002F680000}"/>
    <cellStyle name="20% - Accent6 41 2" xfId="26681" xr:uid="{00000000-0005-0000-0000-000030680000}"/>
    <cellStyle name="20% - Accent6 41 2 2" xfId="26682" xr:uid="{00000000-0005-0000-0000-000031680000}"/>
    <cellStyle name="20% - Accent6 41 3" xfId="26683" xr:uid="{00000000-0005-0000-0000-000032680000}"/>
    <cellStyle name="20% - Accent6 41 3 2" xfId="26684" xr:uid="{00000000-0005-0000-0000-000033680000}"/>
    <cellStyle name="20% - Accent6 41 4" xfId="26685" xr:uid="{00000000-0005-0000-0000-000034680000}"/>
    <cellStyle name="20% - Accent6 42" xfId="26686" xr:uid="{00000000-0005-0000-0000-000035680000}"/>
    <cellStyle name="20% - Accent6 42 2" xfId="26687" xr:uid="{00000000-0005-0000-0000-000036680000}"/>
    <cellStyle name="20% - Accent6 42 2 2" xfId="26688" xr:uid="{00000000-0005-0000-0000-000037680000}"/>
    <cellStyle name="20% - Accent6 42 3" xfId="26689" xr:uid="{00000000-0005-0000-0000-000038680000}"/>
    <cellStyle name="20% - Accent6 42 3 2" xfId="26690" xr:uid="{00000000-0005-0000-0000-000039680000}"/>
    <cellStyle name="20% - Accent6 42 4" xfId="26691" xr:uid="{00000000-0005-0000-0000-00003A680000}"/>
    <cellStyle name="20% - Accent6 43" xfId="26692" xr:uid="{00000000-0005-0000-0000-00003B680000}"/>
    <cellStyle name="20% - Accent6 43 2" xfId="26693" xr:uid="{00000000-0005-0000-0000-00003C680000}"/>
    <cellStyle name="20% - Accent6 43 2 2" xfId="26694" xr:uid="{00000000-0005-0000-0000-00003D680000}"/>
    <cellStyle name="20% - Accent6 43 3" xfId="26695" xr:uid="{00000000-0005-0000-0000-00003E680000}"/>
    <cellStyle name="20% - Accent6 43 3 2" xfId="26696" xr:uid="{00000000-0005-0000-0000-00003F680000}"/>
    <cellStyle name="20% - Accent6 43 4" xfId="26697" xr:uid="{00000000-0005-0000-0000-000040680000}"/>
    <cellStyle name="20% - Accent6 44" xfId="26698" xr:uid="{00000000-0005-0000-0000-000041680000}"/>
    <cellStyle name="20% - Accent6 44 2" xfId="26699" xr:uid="{00000000-0005-0000-0000-000042680000}"/>
    <cellStyle name="20% - Accent6 44 2 2" xfId="26700" xr:uid="{00000000-0005-0000-0000-000043680000}"/>
    <cellStyle name="20% - Accent6 44 3" xfId="26701" xr:uid="{00000000-0005-0000-0000-000044680000}"/>
    <cellStyle name="20% - Accent6 44 3 2" xfId="26702" xr:uid="{00000000-0005-0000-0000-000045680000}"/>
    <cellStyle name="20% - Accent6 44 4" xfId="26703" xr:uid="{00000000-0005-0000-0000-000046680000}"/>
    <cellStyle name="20% - Accent6 45" xfId="26704" xr:uid="{00000000-0005-0000-0000-000047680000}"/>
    <cellStyle name="20% - Accent6 45 2" xfId="26705" xr:uid="{00000000-0005-0000-0000-000048680000}"/>
    <cellStyle name="20% - Accent6 45 2 2" xfId="26706" xr:uid="{00000000-0005-0000-0000-000049680000}"/>
    <cellStyle name="20% - Accent6 45 3" xfId="26707" xr:uid="{00000000-0005-0000-0000-00004A680000}"/>
    <cellStyle name="20% - Accent6 45 3 2" xfId="26708" xr:uid="{00000000-0005-0000-0000-00004B680000}"/>
    <cellStyle name="20% - Accent6 45 4" xfId="26709" xr:uid="{00000000-0005-0000-0000-00004C680000}"/>
    <cellStyle name="20% - Accent6 46" xfId="26710" xr:uid="{00000000-0005-0000-0000-00004D680000}"/>
    <cellStyle name="20% - Accent6 46 2" xfId="26711" xr:uid="{00000000-0005-0000-0000-00004E680000}"/>
    <cellStyle name="20% - Accent6 46 2 2" xfId="26712" xr:uid="{00000000-0005-0000-0000-00004F680000}"/>
    <cellStyle name="20% - Accent6 46 3" xfId="26713" xr:uid="{00000000-0005-0000-0000-000050680000}"/>
    <cellStyle name="20% - Accent6 46 3 2" xfId="26714" xr:uid="{00000000-0005-0000-0000-000051680000}"/>
    <cellStyle name="20% - Accent6 46 4" xfId="26715" xr:uid="{00000000-0005-0000-0000-000052680000}"/>
    <cellStyle name="20% - Accent6 47" xfId="26716" xr:uid="{00000000-0005-0000-0000-000053680000}"/>
    <cellStyle name="20% - Accent6 47 2" xfId="26717" xr:uid="{00000000-0005-0000-0000-000054680000}"/>
    <cellStyle name="20% - Accent6 47 2 2" xfId="26718" xr:uid="{00000000-0005-0000-0000-000055680000}"/>
    <cellStyle name="20% - Accent6 47 3" xfId="26719" xr:uid="{00000000-0005-0000-0000-000056680000}"/>
    <cellStyle name="20% - Accent6 47 3 2" xfId="26720" xr:uid="{00000000-0005-0000-0000-000057680000}"/>
    <cellStyle name="20% - Accent6 47 4" xfId="26721" xr:uid="{00000000-0005-0000-0000-000058680000}"/>
    <cellStyle name="20% - Accent6 48" xfId="26722" xr:uid="{00000000-0005-0000-0000-000059680000}"/>
    <cellStyle name="20% - Accent6 48 2" xfId="26723" xr:uid="{00000000-0005-0000-0000-00005A680000}"/>
    <cellStyle name="20% - Accent6 48 2 2" xfId="26724" xr:uid="{00000000-0005-0000-0000-00005B680000}"/>
    <cellStyle name="20% - Accent6 48 3" xfId="26725" xr:uid="{00000000-0005-0000-0000-00005C680000}"/>
    <cellStyle name="20% - Accent6 48 3 2" xfId="26726" xr:uid="{00000000-0005-0000-0000-00005D680000}"/>
    <cellStyle name="20% - Accent6 48 4" xfId="26727" xr:uid="{00000000-0005-0000-0000-00005E680000}"/>
    <cellStyle name="20% - Accent6 49" xfId="26728" xr:uid="{00000000-0005-0000-0000-00005F680000}"/>
    <cellStyle name="20% - Accent6 49 2" xfId="26729" xr:uid="{00000000-0005-0000-0000-000060680000}"/>
    <cellStyle name="20% - Accent6 49 2 2" xfId="26730" xr:uid="{00000000-0005-0000-0000-000061680000}"/>
    <cellStyle name="20% - Accent6 49 3" xfId="26731" xr:uid="{00000000-0005-0000-0000-000062680000}"/>
    <cellStyle name="20% - Accent6 49 3 2" xfId="26732" xr:uid="{00000000-0005-0000-0000-000063680000}"/>
    <cellStyle name="20% - Accent6 49 4" xfId="26733" xr:uid="{00000000-0005-0000-0000-000064680000}"/>
    <cellStyle name="20% - Accent6 5" xfId="26734" xr:uid="{00000000-0005-0000-0000-000065680000}"/>
    <cellStyle name="20% - Accent6 5 2" xfId="26735" xr:uid="{00000000-0005-0000-0000-000066680000}"/>
    <cellStyle name="20% - Accent6 5 2 2" xfId="26736" xr:uid="{00000000-0005-0000-0000-000067680000}"/>
    <cellStyle name="20% - Accent6 5 3" xfId="26737" xr:uid="{00000000-0005-0000-0000-000068680000}"/>
    <cellStyle name="20% - Accent6 5 3 2" xfId="26738" xr:uid="{00000000-0005-0000-0000-000069680000}"/>
    <cellStyle name="20% - Accent6 5 4" xfId="26739" xr:uid="{00000000-0005-0000-0000-00006A680000}"/>
    <cellStyle name="20% - Accent6 5 4 2" xfId="26740" xr:uid="{00000000-0005-0000-0000-00006B680000}"/>
    <cellStyle name="20% - Accent6 5 5" xfId="26741" xr:uid="{00000000-0005-0000-0000-00006C680000}"/>
    <cellStyle name="20% - Accent6 5 5 2" xfId="26742" xr:uid="{00000000-0005-0000-0000-00006D680000}"/>
    <cellStyle name="20% - Accent6 5 6" xfId="26743" xr:uid="{00000000-0005-0000-0000-00006E680000}"/>
    <cellStyle name="20% - Accent6 50" xfId="26744" xr:uid="{00000000-0005-0000-0000-00006F680000}"/>
    <cellStyle name="20% - Accent6 50 2" xfId="26745" xr:uid="{00000000-0005-0000-0000-000070680000}"/>
    <cellStyle name="20% - Accent6 50 2 2" xfId="26746" xr:uid="{00000000-0005-0000-0000-000071680000}"/>
    <cellStyle name="20% - Accent6 50 3" xfId="26747" xr:uid="{00000000-0005-0000-0000-000072680000}"/>
    <cellStyle name="20% - Accent6 50 3 2" xfId="26748" xr:uid="{00000000-0005-0000-0000-000073680000}"/>
    <cellStyle name="20% - Accent6 50 4" xfId="26749" xr:uid="{00000000-0005-0000-0000-000074680000}"/>
    <cellStyle name="20% - Accent6 51" xfId="26750" xr:uid="{00000000-0005-0000-0000-000075680000}"/>
    <cellStyle name="20% - Accent6 51 2" xfId="26751" xr:uid="{00000000-0005-0000-0000-000076680000}"/>
    <cellStyle name="20% - Accent6 51 2 2" xfId="26752" xr:uid="{00000000-0005-0000-0000-000077680000}"/>
    <cellStyle name="20% - Accent6 51 3" xfId="26753" xr:uid="{00000000-0005-0000-0000-000078680000}"/>
    <cellStyle name="20% - Accent6 51 3 2" xfId="26754" xr:uid="{00000000-0005-0000-0000-000079680000}"/>
    <cellStyle name="20% - Accent6 51 4" xfId="26755" xr:uid="{00000000-0005-0000-0000-00007A680000}"/>
    <cellStyle name="20% - Accent6 52" xfId="26756" xr:uid="{00000000-0005-0000-0000-00007B680000}"/>
    <cellStyle name="20% - Accent6 52 2" xfId="26757" xr:uid="{00000000-0005-0000-0000-00007C680000}"/>
    <cellStyle name="20% - Accent6 52 2 2" xfId="26758" xr:uid="{00000000-0005-0000-0000-00007D680000}"/>
    <cellStyle name="20% - Accent6 52 3" xfId="26759" xr:uid="{00000000-0005-0000-0000-00007E680000}"/>
    <cellStyle name="20% - Accent6 52 3 2" xfId="26760" xr:uid="{00000000-0005-0000-0000-00007F680000}"/>
    <cellStyle name="20% - Accent6 52 4" xfId="26761" xr:uid="{00000000-0005-0000-0000-000080680000}"/>
    <cellStyle name="20% - Accent6 53" xfId="26762" xr:uid="{00000000-0005-0000-0000-000081680000}"/>
    <cellStyle name="20% - Accent6 53 2" xfId="26763" xr:uid="{00000000-0005-0000-0000-000082680000}"/>
    <cellStyle name="20% - Accent6 53 2 2" xfId="26764" xr:uid="{00000000-0005-0000-0000-000083680000}"/>
    <cellStyle name="20% - Accent6 53 3" xfId="26765" xr:uid="{00000000-0005-0000-0000-000084680000}"/>
    <cellStyle name="20% - Accent6 53 3 2" xfId="26766" xr:uid="{00000000-0005-0000-0000-000085680000}"/>
    <cellStyle name="20% - Accent6 53 4" xfId="26767" xr:uid="{00000000-0005-0000-0000-000086680000}"/>
    <cellStyle name="20% - Accent6 54" xfId="26768" xr:uid="{00000000-0005-0000-0000-000087680000}"/>
    <cellStyle name="20% - Accent6 54 2" xfId="26769" xr:uid="{00000000-0005-0000-0000-000088680000}"/>
    <cellStyle name="20% - Accent6 54 2 2" xfId="26770" xr:uid="{00000000-0005-0000-0000-000089680000}"/>
    <cellStyle name="20% - Accent6 54 3" xfId="26771" xr:uid="{00000000-0005-0000-0000-00008A680000}"/>
    <cellStyle name="20% - Accent6 54 3 2" xfId="26772" xr:uid="{00000000-0005-0000-0000-00008B680000}"/>
    <cellStyle name="20% - Accent6 54 4" xfId="26773" xr:uid="{00000000-0005-0000-0000-00008C680000}"/>
    <cellStyle name="20% - Accent6 55" xfId="26774" xr:uid="{00000000-0005-0000-0000-00008D680000}"/>
    <cellStyle name="20% - Accent6 55 2" xfId="26775" xr:uid="{00000000-0005-0000-0000-00008E680000}"/>
    <cellStyle name="20% - Accent6 55 2 2" xfId="26776" xr:uid="{00000000-0005-0000-0000-00008F680000}"/>
    <cellStyle name="20% - Accent6 55 3" xfId="26777" xr:uid="{00000000-0005-0000-0000-000090680000}"/>
    <cellStyle name="20% - Accent6 55 3 2" xfId="26778" xr:uid="{00000000-0005-0000-0000-000091680000}"/>
    <cellStyle name="20% - Accent6 55 4" xfId="26779" xr:uid="{00000000-0005-0000-0000-000092680000}"/>
    <cellStyle name="20% - Accent6 56" xfId="26780" xr:uid="{00000000-0005-0000-0000-000093680000}"/>
    <cellStyle name="20% - Accent6 56 2" xfId="26781" xr:uid="{00000000-0005-0000-0000-000094680000}"/>
    <cellStyle name="20% - Accent6 56 2 2" xfId="26782" xr:uid="{00000000-0005-0000-0000-000095680000}"/>
    <cellStyle name="20% - Accent6 56 3" xfId="26783" xr:uid="{00000000-0005-0000-0000-000096680000}"/>
    <cellStyle name="20% - Accent6 56 3 2" xfId="26784" xr:uid="{00000000-0005-0000-0000-000097680000}"/>
    <cellStyle name="20% - Accent6 56 4" xfId="26785" xr:uid="{00000000-0005-0000-0000-000098680000}"/>
    <cellStyle name="20% - Accent6 57" xfId="26786" xr:uid="{00000000-0005-0000-0000-000099680000}"/>
    <cellStyle name="20% - Accent6 57 2" xfId="26787" xr:uid="{00000000-0005-0000-0000-00009A680000}"/>
    <cellStyle name="20% - Accent6 57 2 2" xfId="26788" xr:uid="{00000000-0005-0000-0000-00009B680000}"/>
    <cellStyle name="20% - Accent6 57 3" xfId="26789" xr:uid="{00000000-0005-0000-0000-00009C680000}"/>
    <cellStyle name="20% - Accent6 57 3 2" xfId="26790" xr:uid="{00000000-0005-0000-0000-00009D680000}"/>
    <cellStyle name="20% - Accent6 57 4" xfId="26791" xr:uid="{00000000-0005-0000-0000-00009E680000}"/>
    <cellStyle name="20% - Accent6 58" xfId="26792" xr:uid="{00000000-0005-0000-0000-00009F680000}"/>
    <cellStyle name="20% - Accent6 58 2" xfId="26793" xr:uid="{00000000-0005-0000-0000-0000A0680000}"/>
    <cellStyle name="20% - Accent6 58 2 2" xfId="26794" xr:uid="{00000000-0005-0000-0000-0000A1680000}"/>
    <cellStyle name="20% - Accent6 58 3" xfId="26795" xr:uid="{00000000-0005-0000-0000-0000A2680000}"/>
    <cellStyle name="20% - Accent6 58 3 2" xfId="26796" xr:uid="{00000000-0005-0000-0000-0000A3680000}"/>
    <cellStyle name="20% - Accent6 58 4" xfId="26797" xr:uid="{00000000-0005-0000-0000-0000A4680000}"/>
    <cellStyle name="20% - Accent6 59" xfId="26798" xr:uid="{00000000-0005-0000-0000-0000A5680000}"/>
    <cellStyle name="20% - Accent6 59 2" xfId="26799" xr:uid="{00000000-0005-0000-0000-0000A6680000}"/>
    <cellStyle name="20% - Accent6 59 2 2" xfId="26800" xr:uid="{00000000-0005-0000-0000-0000A7680000}"/>
    <cellStyle name="20% - Accent6 59 3" xfId="26801" xr:uid="{00000000-0005-0000-0000-0000A8680000}"/>
    <cellStyle name="20% - Accent6 6" xfId="26802" xr:uid="{00000000-0005-0000-0000-0000A9680000}"/>
    <cellStyle name="20% - Accent6 6 2" xfId="26803" xr:uid="{00000000-0005-0000-0000-0000AA680000}"/>
    <cellStyle name="20% - Accent6 6 2 2" xfId="26804" xr:uid="{00000000-0005-0000-0000-0000AB680000}"/>
    <cellStyle name="20% - Accent6 6 3" xfId="26805" xr:uid="{00000000-0005-0000-0000-0000AC680000}"/>
    <cellStyle name="20% - Accent6 6 3 2" xfId="26806" xr:uid="{00000000-0005-0000-0000-0000AD680000}"/>
    <cellStyle name="20% - Accent6 6 4" xfId="26807" xr:uid="{00000000-0005-0000-0000-0000AE680000}"/>
    <cellStyle name="20% - Accent6 6 4 2" xfId="26808" xr:uid="{00000000-0005-0000-0000-0000AF680000}"/>
    <cellStyle name="20% - Accent6 6 5" xfId="26809" xr:uid="{00000000-0005-0000-0000-0000B0680000}"/>
    <cellStyle name="20% - Accent6 6 5 2" xfId="26810" xr:uid="{00000000-0005-0000-0000-0000B1680000}"/>
    <cellStyle name="20% - Accent6 6 6" xfId="26811" xr:uid="{00000000-0005-0000-0000-0000B2680000}"/>
    <cellStyle name="20% - Accent6 60" xfId="26812" xr:uid="{00000000-0005-0000-0000-0000B3680000}"/>
    <cellStyle name="20% - Accent6 60 2" xfId="26813" xr:uid="{00000000-0005-0000-0000-0000B4680000}"/>
    <cellStyle name="20% - Accent6 61" xfId="26814" xr:uid="{00000000-0005-0000-0000-0000B5680000}"/>
    <cellStyle name="20% - Accent6 61 2" xfId="26815" xr:uid="{00000000-0005-0000-0000-0000B6680000}"/>
    <cellStyle name="20% - Accent6 62" xfId="26816" xr:uid="{00000000-0005-0000-0000-0000B7680000}"/>
    <cellStyle name="20% - Accent6 62 2" xfId="26817" xr:uid="{00000000-0005-0000-0000-0000B8680000}"/>
    <cellStyle name="20% - Accent6 63" xfId="26818" xr:uid="{00000000-0005-0000-0000-0000B9680000}"/>
    <cellStyle name="20% - Accent6 63 2" xfId="26819" xr:uid="{00000000-0005-0000-0000-0000BA680000}"/>
    <cellStyle name="20% - Accent6 64" xfId="26820" xr:uid="{00000000-0005-0000-0000-0000BB680000}"/>
    <cellStyle name="20% - Accent6 64 2" xfId="26821" xr:uid="{00000000-0005-0000-0000-0000BC680000}"/>
    <cellStyle name="20% - Accent6 65" xfId="26822" xr:uid="{00000000-0005-0000-0000-0000BD680000}"/>
    <cellStyle name="20% - Accent6 65 2" xfId="26823" xr:uid="{00000000-0005-0000-0000-0000BE680000}"/>
    <cellStyle name="20% - Accent6 66" xfId="26824" xr:uid="{00000000-0005-0000-0000-0000BF680000}"/>
    <cellStyle name="20% - Accent6 66 2" xfId="26825" xr:uid="{00000000-0005-0000-0000-0000C0680000}"/>
    <cellStyle name="20% - Accent6 67" xfId="26826" xr:uid="{00000000-0005-0000-0000-0000C1680000}"/>
    <cellStyle name="20% - Accent6 67 2" xfId="26827" xr:uid="{00000000-0005-0000-0000-0000C2680000}"/>
    <cellStyle name="20% - Accent6 68" xfId="26828" xr:uid="{00000000-0005-0000-0000-0000C3680000}"/>
    <cellStyle name="20% - Accent6 68 2" xfId="26829" xr:uid="{00000000-0005-0000-0000-0000C4680000}"/>
    <cellStyle name="20% - Accent6 69" xfId="26830" xr:uid="{00000000-0005-0000-0000-0000C5680000}"/>
    <cellStyle name="20% - Accent6 69 2" xfId="26831" xr:uid="{00000000-0005-0000-0000-0000C6680000}"/>
    <cellStyle name="20% - Accent6 7" xfId="26832" xr:uid="{00000000-0005-0000-0000-0000C7680000}"/>
    <cellStyle name="20% - Accent6 7 2" xfId="26833" xr:uid="{00000000-0005-0000-0000-0000C8680000}"/>
    <cellStyle name="20% - Accent6 7 2 2" xfId="26834" xr:uid="{00000000-0005-0000-0000-0000C9680000}"/>
    <cellStyle name="20% - Accent6 7 3" xfId="26835" xr:uid="{00000000-0005-0000-0000-0000CA680000}"/>
    <cellStyle name="20% - Accent6 7 3 2" xfId="26836" xr:uid="{00000000-0005-0000-0000-0000CB680000}"/>
    <cellStyle name="20% - Accent6 7 4" xfId="26837" xr:uid="{00000000-0005-0000-0000-0000CC680000}"/>
    <cellStyle name="20% - Accent6 7 4 2" xfId="26838" xr:uid="{00000000-0005-0000-0000-0000CD680000}"/>
    <cellStyle name="20% - Accent6 7 5" xfId="26839" xr:uid="{00000000-0005-0000-0000-0000CE680000}"/>
    <cellStyle name="20% - Accent6 7 5 2" xfId="26840" xr:uid="{00000000-0005-0000-0000-0000CF680000}"/>
    <cellStyle name="20% - Accent6 7 6" xfId="26841" xr:uid="{00000000-0005-0000-0000-0000D0680000}"/>
    <cellStyle name="20% - Accent6 70" xfId="26842" xr:uid="{00000000-0005-0000-0000-0000D1680000}"/>
    <cellStyle name="20% - Accent6 70 2" xfId="26843" xr:uid="{00000000-0005-0000-0000-0000D2680000}"/>
    <cellStyle name="20% - Accent6 71" xfId="26844" xr:uid="{00000000-0005-0000-0000-0000D3680000}"/>
    <cellStyle name="20% - Accent6 71 2" xfId="26845" xr:uid="{00000000-0005-0000-0000-0000D4680000}"/>
    <cellStyle name="20% - Accent6 72" xfId="26846" xr:uid="{00000000-0005-0000-0000-0000D5680000}"/>
    <cellStyle name="20% - Accent6 72 2" xfId="26847" xr:uid="{00000000-0005-0000-0000-0000D6680000}"/>
    <cellStyle name="20% - Accent6 73" xfId="26848" xr:uid="{00000000-0005-0000-0000-0000D7680000}"/>
    <cellStyle name="20% - Accent6 73 2" xfId="26849" xr:uid="{00000000-0005-0000-0000-0000D8680000}"/>
    <cellStyle name="20% - Accent6 74" xfId="26850" xr:uid="{00000000-0005-0000-0000-0000D9680000}"/>
    <cellStyle name="20% - Accent6 74 2" xfId="26851" xr:uid="{00000000-0005-0000-0000-0000DA680000}"/>
    <cellStyle name="20% - Accent6 75" xfId="26852" xr:uid="{00000000-0005-0000-0000-0000DB680000}"/>
    <cellStyle name="20% - Accent6 75 2" xfId="26853" xr:uid="{00000000-0005-0000-0000-0000DC680000}"/>
    <cellStyle name="20% - Accent6 76" xfId="26854" xr:uid="{00000000-0005-0000-0000-0000DD680000}"/>
    <cellStyle name="20% - Accent6 76 2" xfId="26855" xr:uid="{00000000-0005-0000-0000-0000DE680000}"/>
    <cellStyle name="20% - Accent6 77" xfId="26856" xr:uid="{00000000-0005-0000-0000-0000DF680000}"/>
    <cellStyle name="20% - Accent6 77 2" xfId="26857" xr:uid="{00000000-0005-0000-0000-0000E0680000}"/>
    <cellStyle name="20% - Accent6 78" xfId="26858" xr:uid="{00000000-0005-0000-0000-0000E1680000}"/>
    <cellStyle name="20% - Accent6 78 2" xfId="26859" xr:uid="{00000000-0005-0000-0000-0000E2680000}"/>
    <cellStyle name="20% - Accent6 79" xfId="26860" xr:uid="{00000000-0005-0000-0000-0000E3680000}"/>
    <cellStyle name="20% - Accent6 79 2" xfId="26861" xr:uid="{00000000-0005-0000-0000-0000E4680000}"/>
    <cellStyle name="20% - Accent6 8" xfId="26862" xr:uid="{00000000-0005-0000-0000-0000E5680000}"/>
    <cellStyle name="20% - Accent6 8 2" xfId="26863" xr:uid="{00000000-0005-0000-0000-0000E6680000}"/>
    <cellStyle name="20% - Accent6 8 2 2" xfId="26864" xr:uid="{00000000-0005-0000-0000-0000E7680000}"/>
    <cellStyle name="20% - Accent6 8 3" xfId="26865" xr:uid="{00000000-0005-0000-0000-0000E8680000}"/>
    <cellStyle name="20% - Accent6 8 3 2" xfId="26866" xr:uid="{00000000-0005-0000-0000-0000E9680000}"/>
    <cellStyle name="20% - Accent6 8 4" xfId="26867" xr:uid="{00000000-0005-0000-0000-0000EA680000}"/>
    <cellStyle name="20% - Accent6 8 4 2" xfId="26868" xr:uid="{00000000-0005-0000-0000-0000EB680000}"/>
    <cellStyle name="20% - Accent6 8 5" xfId="26869" xr:uid="{00000000-0005-0000-0000-0000EC680000}"/>
    <cellStyle name="20% - Accent6 8 5 2" xfId="26870" xr:uid="{00000000-0005-0000-0000-0000ED680000}"/>
    <cellStyle name="20% - Accent6 8 6" xfId="26871" xr:uid="{00000000-0005-0000-0000-0000EE680000}"/>
    <cellStyle name="20% - Accent6 80" xfId="26872" xr:uid="{00000000-0005-0000-0000-0000EF680000}"/>
    <cellStyle name="20% - Accent6 80 2" xfId="26873" xr:uid="{00000000-0005-0000-0000-0000F0680000}"/>
    <cellStyle name="20% - Accent6 81" xfId="26874" xr:uid="{00000000-0005-0000-0000-0000F1680000}"/>
    <cellStyle name="20% - Accent6 81 2" xfId="26875" xr:uid="{00000000-0005-0000-0000-0000F2680000}"/>
    <cellStyle name="20% - Accent6 82" xfId="26876" xr:uid="{00000000-0005-0000-0000-0000F3680000}"/>
    <cellStyle name="20% - Accent6 82 2" xfId="26877" xr:uid="{00000000-0005-0000-0000-0000F4680000}"/>
    <cellStyle name="20% - Accent6 83" xfId="26878" xr:uid="{00000000-0005-0000-0000-0000F5680000}"/>
    <cellStyle name="20% - Accent6 83 2" xfId="26879" xr:uid="{00000000-0005-0000-0000-0000F6680000}"/>
    <cellStyle name="20% - Accent6 84" xfId="26880" xr:uid="{00000000-0005-0000-0000-0000F7680000}"/>
    <cellStyle name="20% - Accent6 84 2" xfId="26881" xr:uid="{00000000-0005-0000-0000-0000F8680000}"/>
    <cellStyle name="20% - Accent6 85" xfId="26882" xr:uid="{00000000-0005-0000-0000-0000F9680000}"/>
    <cellStyle name="20% - Accent6 85 2" xfId="26883" xr:uid="{00000000-0005-0000-0000-0000FA680000}"/>
    <cellStyle name="20% - Accent6 86" xfId="26884" xr:uid="{00000000-0005-0000-0000-0000FB680000}"/>
    <cellStyle name="20% - Accent6 86 2" xfId="26885" xr:uid="{00000000-0005-0000-0000-0000FC680000}"/>
    <cellStyle name="20% - Accent6 87" xfId="26886" xr:uid="{00000000-0005-0000-0000-0000FD680000}"/>
    <cellStyle name="20% - Accent6 87 2" xfId="26887" xr:uid="{00000000-0005-0000-0000-0000FE680000}"/>
    <cellStyle name="20% - Accent6 88" xfId="26888" xr:uid="{00000000-0005-0000-0000-0000FF680000}"/>
    <cellStyle name="20% - Accent6 88 2" xfId="26889" xr:uid="{00000000-0005-0000-0000-000000690000}"/>
    <cellStyle name="20% - Accent6 89" xfId="26890" xr:uid="{00000000-0005-0000-0000-000001690000}"/>
    <cellStyle name="20% - Accent6 89 2" xfId="26891" xr:uid="{00000000-0005-0000-0000-000002690000}"/>
    <cellStyle name="20% - Accent6 9" xfId="26892" xr:uid="{00000000-0005-0000-0000-000003690000}"/>
    <cellStyle name="20% - Accent6 9 2" xfId="26893" xr:uid="{00000000-0005-0000-0000-000004690000}"/>
    <cellStyle name="20% - Accent6 9 2 2" xfId="26894" xr:uid="{00000000-0005-0000-0000-000005690000}"/>
    <cellStyle name="20% - Accent6 9 3" xfId="26895" xr:uid="{00000000-0005-0000-0000-000006690000}"/>
    <cellStyle name="20% - Accent6 9 3 2" xfId="26896" xr:uid="{00000000-0005-0000-0000-000007690000}"/>
    <cellStyle name="20% - Accent6 9 4" xfId="26897" xr:uid="{00000000-0005-0000-0000-000008690000}"/>
    <cellStyle name="20% - Accent6 9 4 2" xfId="26898" xr:uid="{00000000-0005-0000-0000-000009690000}"/>
    <cellStyle name="20% - Accent6 9 5" xfId="26899" xr:uid="{00000000-0005-0000-0000-00000A690000}"/>
    <cellStyle name="20% - Accent6 9 5 2" xfId="26900" xr:uid="{00000000-0005-0000-0000-00000B690000}"/>
    <cellStyle name="20% - Accent6 9 6" xfId="26901" xr:uid="{00000000-0005-0000-0000-00000C690000}"/>
    <cellStyle name="20% - Accent6 90" xfId="26902" xr:uid="{00000000-0005-0000-0000-00000D690000}"/>
    <cellStyle name="20% - Accent6 90 2" xfId="26903" xr:uid="{00000000-0005-0000-0000-00000E690000}"/>
    <cellStyle name="20% - Accent6 91" xfId="26904" xr:uid="{00000000-0005-0000-0000-00000F690000}"/>
    <cellStyle name="20% - Accent6 91 2" xfId="26905" xr:uid="{00000000-0005-0000-0000-000010690000}"/>
    <cellStyle name="20% - Accent6 92" xfId="26906" xr:uid="{00000000-0005-0000-0000-000011690000}"/>
    <cellStyle name="20% - Accent6 92 2" xfId="26907" xr:uid="{00000000-0005-0000-0000-000012690000}"/>
    <cellStyle name="20% - Accent6 93" xfId="26908" xr:uid="{00000000-0005-0000-0000-000013690000}"/>
    <cellStyle name="20% - Accent6 93 2" xfId="26909" xr:uid="{00000000-0005-0000-0000-000014690000}"/>
    <cellStyle name="20% - Accent6 94" xfId="26910" xr:uid="{00000000-0005-0000-0000-000015690000}"/>
    <cellStyle name="20% - Accent6 94 2" xfId="26911" xr:uid="{00000000-0005-0000-0000-000016690000}"/>
    <cellStyle name="20% - Accent6 95" xfId="26912" xr:uid="{00000000-0005-0000-0000-000017690000}"/>
    <cellStyle name="20% - Accent6 95 2" xfId="26913" xr:uid="{00000000-0005-0000-0000-000018690000}"/>
    <cellStyle name="20% - Accent6 96" xfId="26914" xr:uid="{00000000-0005-0000-0000-000019690000}"/>
    <cellStyle name="20% - Accent6 96 2" xfId="26915" xr:uid="{00000000-0005-0000-0000-00001A690000}"/>
    <cellStyle name="20% - Accent6 97" xfId="26916" xr:uid="{00000000-0005-0000-0000-00001B690000}"/>
    <cellStyle name="20% - Accent6 97 2" xfId="26917" xr:uid="{00000000-0005-0000-0000-00001C690000}"/>
    <cellStyle name="20% - Accent6 98" xfId="26918" xr:uid="{00000000-0005-0000-0000-00001D690000}"/>
    <cellStyle name="20% - Accent6 98 2" xfId="26919" xr:uid="{00000000-0005-0000-0000-00001E690000}"/>
    <cellStyle name="20% - Accent6 99" xfId="26920" xr:uid="{00000000-0005-0000-0000-00001F690000}"/>
    <cellStyle name="20% - Accent6 99 2" xfId="26921" xr:uid="{00000000-0005-0000-0000-000020690000}"/>
    <cellStyle name="20% - Ênfase1 2" xfId="26922" xr:uid="{00000000-0005-0000-0000-000021690000}"/>
    <cellStyle name="20% - Ênfase1 2 2" xfId="26923" xr:uid="{00000000-0005-0000-0000-000022690000}"/>
    <cellStyle name="20% - Ênfase1 3" xfId="26924" xr:uid="{00000000-0005-0000-0000-000023690000}"/>
    <cellStyle name="20% - Ênfase2 2" xfId="26925" xr:uid="{00000000-0005-0000-0000-000024690000}"/>
    <cellStyle name="20% - Ênfase2 2 2" xfId="26926" xr:uid="{00000000-0005-0000-0000-000025690000}"/>
    <cellStyle name="20% - Ênfase2 3" xfId="26927" xr:uid="{00000000-0005-0000-0000-000026690000}"/>
    <cellStyle name="20% - Ênfase3 2" xfId="26928" xr:uid="{00000000-0005-0000-0000-000027690000}"/>
    <cellStyle name="20% - Ênfase3 2 2" xfId="26929" xr:uid="{00000000-0005-0000-0000-000028690000}"/>
    <cellStyle name="20% - Ênfase3 3" xfId="26930" xr:uid="{00000000-0005-0000-0000-000029690000}"/>
    <cellStyle name="20% - Ênfase4 2" xfId="26931" xr:uid="{00000000-0005-0000-0000-00002A690000}"/>
    <cellStyle name="20% - Ênfase4 2 2" xfId="26932" xr:uid="{00000000-0005-0000-0000-00002B690000}"/>
    <cellStyle name="20% - Ênfase4 3" xfId="26933" xr:uid="{00000000-0005-0000-0000-00002C690000}"/>
    <cellStyle name="20% - Ênfase5 2" xfId="26934" xr:uid="{00000000-0005-0000-0000-00002D690000}"/>
    <cellStyle name="20% - Ênfase5 2 2" xfId="26935" xr:uid="{00000000-0005-0000-0000-00002E690000}"/>
    <cellStyle name="20% - Ênfase5 3" xfId="26936" xr:uid="{00000000-0005-0000-0000-00002F690000}"/>
    <cellStyle name="20% - Ênfase6 2" xfId="26937" xr:uid="{00000000-0005-0000-0000-000030690000}"/>
    <cellStyle name="20% - Ênfase6 2 2" xfId="26938" xr:uid="{00000000-0005-0000-0000-000031690000}"/>
    <cellStyle name="20% - Ênfase6 3" xfId="26939" xr:uid="{00000000-0005-0000-0000-000032690000}"/>
    <cellStyle name="20% - Énfasis1" xfId="26940" xr:uid="{00000000-0005-0000-0000-000033690000}"/>
    <cellStyle name="20% - Énfasis1 2" xfId="26941" xr:uid="{00000000-0005-0000-0000-000034690000}"/>
    <cellStyle name="20% - Énfasis1 2 2" xfId="26942" xr:uid="{00000000-0005-0000-0000-000035690000}"/>
    <cellStyle name="20% - Énfasis1 3" xfId="26943" xr:uid="{00000000-0005-0000-0000-000036690000}"/>
    <cellStyle name="20% - Énfasis2" xfId="26944" xr:uid="{00000000-0005-0000-0000-000037690000}"/>
    <cellStyle name="20% - Énfasis2 2" xfId="26945" xr:uid="{00000000-0005-0000-0000-000038690000}"/>
    <cellStyle name="20% - Énfasis2 2 2" xfId="26946" xr:uid="{00000000-0005-0000-0000-000039690000}"/>
    <cellStyle name="20% - Énfasis2 3" xfId="26947" xr:uid="{00000000-0005-0000-0000-00003A690000}"/>
    <cellStyle name="20% - Énfasis3" xfId="26948" xr:uid="{00000000-0005-0000-0000-00003B690000}"/>
    <cellStyle name="20% - Énfasis3 2" xfId="26949" xr:uid="{00000000-0005-0000-0000-00003C690000}"/>
    <cellStyle name="20% - Énfasis3 2 2" xfId="26950" xr:uid="{00000000-0005-0000-0000-00003D690000}"/>
    <cellStyle name="20% - Énfasis3 3" xfId="26951" xr:uid="{00000000-0005-0000-0000-00003E690000}"/>
    <cellStyle name="20% - Énfasis4" xfId="26952" xr:uid="{00000000-0005-0000-0000-00003F690000}"/>
    <cellStyle name="20% - Énfasis4 2" xfId="26953" xr:uid="{00000000-0005-0000-0000-000040690000}"/>
    <cellStyle name="20% - Énfasis4 2 2" xfId="26954" xr:uid="{00000000-0005-0000-0000-000041690000}"/>
    <cellStyle name="20% - Énfasis4 3" xfId="26955" xr:uid="{00000000-0005-0000-0000-000042690000}"/>
    <cellStyle name="20% - Énfasis5" xfId="26956" xr:uid="{00000000-0005-0000-0000-000043690000}"/>
    <cellStyle name="20% - Énfasis5 2" xfId="26957" xr:uid="{00000000-0005-0000-0000-000044690000}"/>
    <cellStyle name="20% - Énfasis5 2 2" xfId="26958" xr:uid="{00000000-0005-0000-0000-000045690000}"/>
    <cellStyle name="20% - Énfasis5 3" xfId="26959" xr:uid="{00000000-0005-0000-0000-000046690000}"/>
    <cellStyle name="20% - Énfasis6" xfId="26960" xr:uid="{00000000-0005-0000-0000-000047690000}"/>
    <cellStyle name="20% - Énfasis6 2" xfId="26961" xr:uid="{00000000-0005-0000-0000-000048690000}"/>
    <cellStyle name="20% - Énfasis6 2 2" xfId="26962" xr:uid="{00000000-0005-0000-0000-000049690000}"/>
    <cellStyle name="20% - Énfasis6 3" xfId="26963" xr:uid="{00000000-0005-0000-0000-00004A690000}"/>
    <cellStyle name="2DecimalPercent" xfId="26964" xr:uid="{00000000-0005-0000-0000-00004B690000}"/>
    <cellStyle name="2DecimalPercent 2" xfId="26965" xr:uid="{00000000-0005-0000-0000-00004C690000}"/>
    <cellStyle name="2DecimalPercent 2 2" xfId="26966" xr:uid="{00000000-0005-0000-0000-00004D690000}"/>
    <cellStyle name="2DecimalPercent 3" xfId="26967" xr:uid="{00000000-0005-0000-0000-00004E690000}"/>
    <cellStyle name="2Decimals" xfId="26968" xr:uid="{00000000-0005-0000-0000-00004F690000}"/>
    <cellStyle name="40 % - Accent1" xfId="26969" xr:uid="{00000000-0005-0000-0000-000050690000}"/>
    <cellStyle name="40 % - Accent1 2" xfId="26970" xr:uid="{00000000-0005-0000-0000-000051690000}"/>
    <cellStyle name="40 % - Accent1 2 2" xfId="26971" xr:uid="{00000000-0005-0000-0000-000052690000}"/>
    <cellStyle name="40 % - Accent1 3" xfId="26972" xr:uid="{00000000-0005-0000-0000-000053690000}"/>
    <cellStyle name="40 % - Accent2" xfId="26973" xr:uid="{00000000-0005-0000-0000-000054690000}"/>
    <cellStyle name="40 % - Accent2 2" xfId="26974" xr:uid="{00000000-0005-0000-0000-000055690000}"/>
    <cellStyle name="40 % - Accent2 2 2" xfId="26975" xr:uid="{00000000-0005-0000-0000-000056690000}"/>
    <cellStyle name="40 % - Accent2 3" xfId="26976" xr:uid="{00000000-0005-0000-0000-000057690000}"/>
    <cellStyle name="40 % - Accent3" xfId="26977" xr:uid="{00000000-0005-0000-0000-000058690000}"/>
    <cellStyle name="40 % - Accent3 2" xfId="26978" xr:uid="{00000000-0005-0000-0000-000059690000}"/>
    <cellStyle name="40 % - Accent3 2 2" xfId="26979" xr:uid="{00000000-0005-0000-0000-00005A690000}"/>
    <cellStyle name="40 % - Accent3 3" xfId="26980" xr:uid="{00000000-0005-0000-0000-00005B690000}"/>
    <cellStyle name="40 % - Accent4" xfId="26981" xr:uid="{00000000-0005-0000-0000-00005C690000}"/>
    <cellStyle name="40 % - Accent4 2" xfId="26982" xr:uid="{00000000-0005-0000-0000-00005D690000}"/>
    <cellStyle name="40 % - Accent4 2 2" xfId="26983" xr:uid="{00000000-0005-0000-0000-00005E690000}"/>
    <cellStyle name="40 % - Accent4 3" xfId="26984" xr:uid="{00000000-0005-0000-0000-00005F690000}"/>
    <cellStyle name="40 % - Accent5" xfId="26985" xr:uid="{00000000-0005-0000-0000-000060690000}"/>
    <cellStyle name="40 % - Accent5 2" xfId="26986" xr:uid="{00000000-0005-0000-0000-000061690000}"/>
    <cellStyle name="40 % - Accent5 2 2" xfId="26987" xr:uid="{00000000-0005-0000-0000-000062690000}"/>
    <cellStyle name="40 % - Accent5 3" xfId="26988" xr:uid="{00000000-0005-0000-0000-000063690000}"/>
    <cellStyle name="40 % - Accent6" xfId="26989" xr:uid="{00000000-0005-0000-0000-000064690000}"/>
    <cellStyle name="40 % - Accent6 2" xfId="26990" xr:uid="{00000000-0005-0000-0000-000065690000}"/>
    <cellStyle name="40 % - Accent6 2 2" xfId="26991" xr:uid="{00000000-0005-0000-0000-000066690000}"/>
    <cellStyle name="40 % - Accent6 3" xfId="26992" xr:uid="{00000000-0005-0000-0000-000067690000}"/>
    <cellStyle name="40% - Accent1 10" xfId="26993" xr:uid="{00000000-0005-0000-0000-000068690000}"/>
    <cellStyle name="40% - Accent1 10 2" xfId="26994" xr:uid="{00000000-0005-0000-0000-000069690000}"/>
    <cellStyle name="40% - Accent1 10 2 2" xfId="26995" xr:uid="{00000000-0005-0000-0000-00006A690000}"/>
    <cellStyle name="40% - Accent1 10 2 2 2" xfId="26996" xr:uid="{00000000-0005-0000-0000-00006B690000}"/>
    <cellStyle name="40% - Accent1 10 2 3" xfId="26997" xr:uid="{00000000-0005-0000-0000-00006C690000}"/>
    <cellStyle name="40% - Accent1 10 2 3 2" xfId="26998" xr:uid="{00000000-0005-0000-0000-00006D690000}"/>
    <cellStyle name="40% - Accent1 10 2 4" xfId="26999" xr:uid="{00000000-0005-0000-0000-00006E690000}"/>
    <cellStyle name="40% - Accent1 10 3" xfId="27000" xr:uid="{00000000-0005-0000-0000-00006F690000}"/>
    <cellStyle name="40% - Accent1 10 3 2" xfId="27001" xr:uid="{00000000-0005-0000-0000-000070690000}"/>
    <cellStyle name="40% - Accent1 10 3 2 2" xfId="27002" xr:uid="{00000000-0005-0000-0000-000071690000}"/>
    <cellStyle name="40% - Accent1 10 3 3" xfId="27003" xr:uid="{00000000-0005-0000-0000-000072690000}"/>
    <cellStyle name="40% - Accent1 10 3 3 2" xfId="27004" xr:uid="{00000000-0005-0000-0000-000073690000}"/>
    <cellStyle name="40% - Accent1 10 3 4" xfId="27005" xr:uid="{00000000-0005-0000-0000-000074690000}"/>
    <cellStyle name="40% - Accent1 10 4" xfId="27006" xr:uid="{00000000-0005-0000-0000-000075690000}"/>
    <cellStyle name="40% - Accent1 10 4 2" xfId="27007" xr:uid="{00000000-0005-0000-0000-000076690000}"/>
    <cellStyle name="40% - Accent1 10 5" xfId="27008" xr:uid="{00000000-0005-0000-0000-000077690000}"/>
    <cellStyle name="40% - Accent1 10 5 2" xfId="27009" xr:uid="{00000000-0005-0000-0000-000078690000}"/>
    <cellStyle name="40% - Accent1 10 6" xfId="27010" xr:uid="{00000000-0005-0000-0000-000079690000}"/>
    <cellStyle name="40% - Accent1 100" xfId="27011" xr:uid="{00000000-0005-0000-0000-00007A690000}"/>
    <cellStyle name="40% - Accent1 100 2" xfId="27012" xr:uid="{00000000-0005-0000-0000-00007B690000}"/>
    <cellStyle name="40% - Accent1 101" xfId="27013" xr:uid="{00000000-0005-0000-0000-00007C690000}"/>
    <cellStyle name="40% - Accent1 101 2" xfId="27014" xr:uid="{00000000-0005-0000-0000-00007D690000}"/>
    <cellStyle name="40% - Accent1 102" xfId="27015" xr:uid="{00000000-0005-0000-0000-00007E690000}"/>
    <cellStyle name="40% - Accent1 102 2" xfId="27016" xr:uid="{00000000-0005-0000-0000-00007F690000}"/>
    <cellStyle name="40% - Accent1 103" xfId="27017" xr:uid="{00000000-0005-0000-0000-000080690000}"/>
    <cellStyle name="40% - Accent1 103 2" xfId="27018" xr:uid="{00000000-0005-0000-0000-000081690000}"/>
    <cellStyle name="40% - Accent1 104" xfId="27019" xr:uid="{00000000-0005-0000-0000-000082690000}"/>
    <cellStyle name="40% - Accent1 104 2" xfId="27020" xr:uid="{00000000-0005-0000-0000-000083690000}"/>
    <cellStyle name="40% - Accent1 105" xfId="27021" xr:uid="{00000000-0005-0000-0000-000084690000}"/>
    <cellStyle name="40% - Accent1 105 2" xfId="27022" xr:uid="{00000000-0005-0000-0000-000085690000}"/>
    <cellStyle name="40% - Accent1 106" xfId="27023" xr:uid="{00000000-0005-0000-0000-000086690000}"/>
    <cellStyle name="40% - Accent1 106 2" xfId="27024" xr:uid="{00000000-0005-0000-0000-000087690000}"/>
    <cellStyle name="40% - Accent1 107" xfId="27025" xr:uid="{00000000-0005-0000-0000-000088690000}"/>
    <cellStyle name="40% - Accent1 107 2" xfId="27026" xr:uid="{00000000-0005-0000-0000-000089690000}"/>
    <cellStyle name="40% - Accent1 108" xfId="27027" xr:uid="{00000000-0005-0000-0000-00008A690000}"/>
    <cellStyle name="40% - Accent1 108 2" xfId="27028" xr:uid="{00000000-0005-0000-0000-00008B690000}"/>
    <cellStyle name="40% - Accent1 109" xfId="27029" xr:uid="{00000000-0005-0000-0000-00008C690000}"/>
    <cellStyle name="40% - Accent1 109 2" xfId="27030" xr:uid="{00000000-0005-0000-0000-00008D690000}"/>
    <cellStyle name="40% - Accent1 11" xfId="27031" xr:uid="{00000000-0005-0000-0000-00008E690000}"/>
    <cellStyle name="40% - Accent1 11 2" xfId="27032" xr:uid="{00000000-0005-0000-0000-00008F690000}"/>
    <cellStyle name="40% - Accent1 11 2 2" xfId="27033" xr:uid="{00000000-0005-0000-0000-000090690000}"/>
    <cellStyle name="40% - Accent1 11 2 2 2" xfId="27034" xr:uid="{00000000-0005-0000-0000-000091690000}"/>
    <cellStyle name="40% - Accent1 11 2 3" xfId="27035" xr:uid="{00000000-0005-0000-0000-000092690000}"/>
    <cellStyle name="40% - Accent1 11 2 3 2" xfId="27036" xr:uid="{00000000-0005-0000-0000-000093690000}"/>
    <cellStyle name="40% - Accent1 11 2 4" xfId="27037" xr:uid="{00000000-0005-0000-0000-000094690000}"/>
    <cellStyle name="40% - Accent1 11 3" xfId="27038" xr:uid="{00000000-0005-0000-0000-000095690000}"/>
    <cellStyle name="40% - Accent1 11 3 2" xfId="27039" xr:uid="{00000000-0005-0000-0000-000096690000}"/>
    <cellStyle name="40% - Accent1 11 3 2 2" xfId="27040" xr:uid="{00000000-0005-0000-0000-000097690000}"/>
    <cellStyle name="40% - Accent1 11 3 3" xfId="27041" xr:uid="{00000000-0005-0000-0000-000098690000}"/>
    <cellStyle name="40% - Accent1 11 3 3 2" xfId="27042" xr:uid="{00000000-0005-0000-0000-000099690000}"/>
    <cellStyle name="40% - Accent1 11 3 4" xfId="27043" xr:uid="{00000000-0005-0000-0000-00009A690000}"/>
    <cellStyle name="40% - Accent1 11 4" xfId="27044" xr:uid="{00000000-0005-0000-0000-00009B690000}"/>
    <cellStyle name="40% - Accent1 11 4 2" xfId="27045" xr:uid="{00000000-0005-0000-0000-00009C690000}"/>
    <cellStyle name="40% - Accent1 11 5" xfId="27046" xr:uid="{00000000-0005-0000-0000-00009D690000}"/>
    <cellStyle name="40% - Accent1 11 5 2" xfId="27047" xr:uid="{00000000-0005-0000-0000-00009E690000}"/>
    <cellStyle name="40% - Accent1 11 6" xfId="27048" xr:uid="{00000000-0005-0000-0000-00009F690000}"/>
    <cellStyle name="40% - Accent1 110" xfId="27049" xr:uid="{00000000-0005-0000-0000-0000A0690000}"/>
    <cellStyle name="40% - Accent1 110 2" xfId="27050" xr:uid="{00000000-0005-0000-0000-0000A1690000}"/>
    <cellStyle name="40% - Accent1 111" xfId="27051" xr:uid="{00000000-0005-0000-0000-0000A2690000}"/>
    <cellStyle name="40% - Accent1 111 2" xfId="27052" xr:uid="{00000000-0005-0000-0000-0000A3690000}"/>
    <cellStyle name="40% - Accent1 112" xfId="27053" xr:uid="{00000000-0005-0000-0000-0000A4690000}"/>
    <cellStyle name="40% - Accent1 112 2" xfId="27054" xr:uid="{00000000-0005-0000-0000-0000A5690000}"/>
    <cellStyle name="40% - Accent1 113" xfId="27055" xr:uid="{00000000-0005-0000-0000-0000A6690000}"/>
    <cellStyle name="40% - Accent1 113 2" xfId="27056" xr:uid="{00000000-0005-0000-0000-0000A7690000}"/>
    <cellStyle name="40% - Accent1 114" xfId="27057" xr:uid="{00000000-0005-0000-0000-0000A8690000}"/>
    <cellStyle name="40% - Accent1 114 2" xfId="27058" xr:uid="{00000000-0005-0000-0000-0000A9690000}"/>
    <cellStyle name="40% - Accent1 115" xfId="27059" xr:uid="{00000000-0005-0000-0000-0000AA690000}"/>
    <cellStyle name="40% - Accent1 115 2" xfId="27060" xr:uid="{00000000-0005-0000-0000-0000AB690000}"/>
    <cellStyle name="40% - Accent1 116" xfId="27061" xr:uid="{00000000-0005-0000-0000-0000AC690000}"/>
    <cellStyle name="40% - Accent1 116 2" xfId="27062" xr:uid="{00000000-0005-0000-0000-0000AD690000}"/>
    <cellStyle name="40% - Accent1 117" xfId="27063" xr:uid="{00000000-0005-0000-0000-0000AE690000}"/>
    <cellStyle name="40% - Accent1 117 2" xfId="27064" xr:uid="{00000000-0005-0000-0000-0000AF690000}"/>
    <cellStyle name="40% - Accent1 118" xfId="27065" xr:uid="{00000000-0005-0000-0000-0000B0690000}"/>
    <cellStyle name="40% - Accent1 118 2" xfId="27066" xr:uid="{00000000-0005-0000-0000-0000B1690000}"/>
    <cellStyle name="40% - Accent1 119" xfId="27067" xr:uid="{00000000-0005-0000-0000-0000B2690000}"/>
    <cellStyle name="40% - Accent1 119 2" xfId="27068" xr:uid="{00000000-0005-0000-0000-0000B3690000}"/>
    <cellStyle name="40% - Accent1 12" xfId="27069" xr:uid="{00000000-0005-0000-0000-0000B4690000}"/>
    <cellStyle name="40% - Accent1 12 2" xfId="27070" xr:uid="{00000000-0005-0000-0000-0000B5690000}"/>
    <cellStyle name="40% - Accent1 12 2 2" xfId="27071" xr:uid="{00000000-0005-0000-0000-0000B6690000}"/>
    <cellStyle name="40% - Accent1 12 2 2 2" xfId="27072" xr:uid="{00000000-0005-0000-0000-0000B7690000}"/>
    <cellStyle name="40% - Accent1 12 2 3" xfId="27073" xr:uid="{00000000-0005-0000-0000-0000B8690000}"/>
    <cellStyle name="40% - Accent1 12 2 3 2" xfId="27074" xr:uid="{00000000-0005-0000-0000-0000B9690000}"/>
    <cellStyle name="40% - Accent1 12 2 4" xfId="27075" xr:uid="{00000000-0005-0000-0000-0000BA690000}"/>
    <cellStyle name="40% - Accent1 12 3" xfId="27076" xr:uid="{00000000-0005-0000-0000-0000BB690000}"/>
    <cellStyle name="40% - Accent1 12 3 2" xfId="27077" xr:uid="{00000000-0005-0000-0000-0000BC690000}"/>
    <cellStyle name="40% - Accent1 12 3 2 2" xfId="27078" xr:uid="{00000000-0005-0000-0000-0000BD690000}"/>
    <cellStyle name="40% - Accent1 12 3 3" xfId="27079" xr:uid="{00000000-0005-0000-0000-0000BE690000}"/>
    <cellStyle name="40% - Accent1 12 3 3 2" xfId="27080" xr:uid="{00000000-0005-0000-0000-0000BF690000}"/>
    <cellStyle name="40% - Accent1 12 3 4" xfId="27081" xr:uid="{00000000-0005-0000-0000-0000C0690000}"/>
    <cellStyle name="40% - Accent1 12 4" xfId="27082" xr:uid="{00000000-0005-0000-0000-0000C1690000}"/>
    <cellStyle name="40% - Accent1 12 4 2" xfId="27083" xr:uid="{00000000-0005-0000-0000-0000C2690000}"/>
    <cellStyle name="40% - Accent1 12 5" xfId="27084" xr:uid="{00000000-0005-0000-0000-0000C3690000}"/>
    <cellStyle name="40% - Accent1 12 5 2" xfId="27085" xr:uid="{00000000-0005-0000-0000-0000C4690000}"/>
    <cellStyle name="40% - Accent1 12 6" xfId="27086" xr:uid="{00000000-0005-0000-0000-0000C5690000}"/>
    <cellStyle name="40% - Accent1 120" xfId="27087" xr:uid="{00000000-0005-0000-0000-0000C6690000}"/>
    <cellStyle name="40% - Accent1 120 2" xfId="27088" xr:uid="{00000000-0005-0000-0000-0000C7690000}"/>
    <cellStyle name="40% - Accent1 121" xfId="27089" xr:uid="{00000000-0005-0000-0000-0000C8690000}"/>
    <cellStyle name="40% - Accent1 121 2" xfId="27090" xr:uid="{00000000-0005-0000-0000-0000C9690000}"/>
    <cellStyle name="40% - Accent1 122" xfId="27091" xr:uid="{00000000-0005-0000-0000-0000CA690000}"/>
    <cellStyle name="40% - Accent1 122 2" xfId="27092" xr:uid="{00000000-0005-0000-0000-0000CB690000}"/>
    <cellStyle name="40% - Accent1 123" xfId="27093" xr:uid="{00000000-0005-0000-0000-0000CC690000}"/>
    <cellStyle name="40% - Accent1 123 2" xfId="27094" xr:uid="{00000000-0005-0000-0000-0000CD690000}"/>
    <cellStyle name="40% - Accent1 124" xfId="27095" xr:uid="{00000000-0005-0000-0000-0000CE690000}"/>
    <cellStyle name="40% - Accent1 124 2" xfId="27096" xr:uid="{00000000-0005-0000-0000-0000CF690000}"/>
    <cellStyle name="40% - Accent1 125" xfId="27097" xr:uid="{00000000-0005-0000-0000-0000D0690000}"/>
    <cellStyle name="40% - Accent1 125 2" xfId="27098" xr:uid="{00000000-0005-0000-0000-0000D1690000}"/>
    <cellStyle name="40% - Accent1 126" xfId="27099" xr:uid="{00000000-0005-0000-0000-0000D2690000}"/>
    <cellStyle name="40% - Accent1 126 2" xfId="27100" xr:uid="{00000000-0005-0000-0000-0000D3690000}"/>
    <cellStyle name="40% - Accent1 127" xfId="27101" xr:uid="{00000000-0005-0000-0000-0000D4690000}"/>
    <cellStyle name="40% - Accent1 127 2" xfId="27102" xr:uid="{00000000-0005-0000-0000-0000D5690000}"/>
    <cellStyle name="40% - Accent1 128" xfId="27103" xr:uid="{00000000-0005-0000-0000-0000D6690000}"/>
    <cellStyle name="40% - Accent1 128 2" xfId="27104" xr:uid="{00000000-0005-0000-0000-0000D7690000}"/>
    <cellStyle name="40% - Accent1 129" xfId="27105" xr:uid="{00000000-0005-0000-0000-0000D8690000}"/>
    <cellStyle name="40% - Accent1 129 2" xfId="27106" xr:uid="{00000000-0005-0000-0000-0000D9690000}"/>
    <cellStyle name="40% - Accent1 13" xfId="27107" xr:uid="{00000000-0005-0000-0000-0000DA690000}"/>
    <cellStyle name="40% - Accent1 13 2" xfId="27108" xr:uid="{00000000-0005-0000-0000-0000DB690000}"/>
    <cellStyle name="40% - Accent1 13 2 2" xfId="27109" xr:uid="{00000000-0005-0000-0000-0000DC690000}"/>
    <cellStyle name="40% - Accent1 13 3" xfId="27110" xr:uid="{00000000-0005-0000-0000-0000DD690000}"/>
    <cellStyle name="40% - Accent1 13 3 2" xfId="27111" xr:uid="{00000000-0005-0000-0000-0000DE690000}"/>
    <cellStyle name="40% - Accent1 13 4" xfId="27112" xr:uid="{00000000-0005-0000-0000-0000DF690000}"/>
    <cellStyle name="40% - Accent1 130" xfId="27113" xr:uid="{00000000-0005-0000-0000-0000E0690000}"/>
    <cellStyle name="40% - Accent1 130 2" xfId="27114" xr:uid="{00000000-0005-0000-0000-0000E1690000}"/>
    <cellStyle name="40% - Accent1 131" xfId="27115" xr:uid="{00000000-0005-0000-0000-0000E2690000}"/>
    <cellStyle name="40% - Accent1 131 2" xfId="27116" xr:uid="{00000000-0005-0000-0000-0000E3690000}"/>
    <cellStyle name="40% - Accent1 132" xfId="27117" xr:uid="{00000000-0005-0000-0000-0000E4690000}"/>
    <cellStyle name="40% - Accent1 132 2" xfId="27118" xr:uid="{00000000-0005-0000-0000-0000E5690000}"/>
    <cellStyle name="40% - Accent1 133" xfId="27119" xr:uid="{00000000-0005-0000-0000-0000E6690000}"/>
    <cellStyle name="40% - Accent1 133 2" xfId="27120" xr:uid="{00000000-0005-0000-0000-0000E7690000}"/>
    <cellStyle name="40% - Accent1 134" xfId="27121" xr:uid="{00000000-0005-0000-0000-0000E8690000}"/>
    <cellStyle name="40% - Accent1 134 2" xfId="27122" xr:uid="{00000000-0005-0000-0000-0000E9690000}"/>
    <cellStyle name="40% - Accent1 135" xfId="27123" xr:uid="{00000000-0005-0000-0000-0000EA690000}"/>
    <cellStyle name="40% - Accent1 135 2" xfId="27124" xr:uid="{00000000-0005-0000-0000-0000EB690000}"/>
    <cellStyle name="40% - Accent1 136" xfId="27125" xr:uid="{00000000-0005-0000-0000-0000EC690000}"/>
    <cellStyle name="40% - Accent1 136 2" xfId="27126" xr:uid="{00000000-0005-0000-0000-0000ED690000}"/>
    <cellStyle name="40% - Accent1 137" xfId="27127" xr:uid="{00000000-0005-0000-0000-0000EE690000}"/>
    <cellStyle name="40% - Accent1 137 2" xfId="27128" xr:uid="{00000000-0005-0000-0000-0000EF690000}"/>
    <cellStyle name="40% - Accent1 138" xfId="27129" xr:uid="{00000000-0005-0000-0000-0000F0690000}"/>
    <cellStyle name="40% - Accent1 138 2" xfId="27130" xr:uid="{00000000-0005-0000-0000-0000F1690000}"/>
    <cellStyle name="40% - Accent1 139" xfId="27131" xr:uid="{00000000-0005-0000-0000-0000F2690000}"/>
    <cellStyle name="40% - Accent1 139 2" xfId="27132" xr:uid="{00000000-0005-0000-0000-0000F3690000}"/>
    <cellStyle name="40% - Accent1 14" xfId="27133" xr:uid="{00000000-0005-0000-0000-0000F4690000}"/>
    <cellStyle name="40% - Accent1 14 2" xfId="27134" xr:uid="{00000000-0005-0000-0000-0000F5690000}"/>
    <cellStyle name="40% - Accent1 14 2 2" xfId="27135" xr:uid="{00000000-0005-0000-0000-0000F6690000}"/>
    <cellStyle name="40% - Accent1 14 3" xfId="27136" xr:uid="{00000000-0005-0000-0000-0000F7690000}"/>
    <cellStyle name="40% - Accent1 14 3 2" xfId="27137" xr:uid="{00000000-0005-0000-0000-0000F8690000}"/>
    <cellStyle name="40% - Accent1 14 4" xfId="27138" xr:uid="{00000000-0005-0000-0000-0000F9690000}"/>
    <cellStyle name="40% - Accent1 140" xfId="27139" xr:uid="{00000000-0005-0000-0000-0000FA690000}"/>
    <cellStyle name="40% - Accent1 140 2" xfId="27140" xr:uid="{00000000-0005-0000-0000-0000FB690000}"/>
    <cellStyle name="40% - Accent1 141" xfId="27141" xr:uid="{00000000-0005-0000-0000-0000FC690000}"/>
    <cellStyle name="40% - Accent1 141 2" xfId="27142" xr:uid="{00000000-0005-0000-0000-0000FD690000}"/>
    <cellStyle name="40% - Accent1 142" xfId="27143" xr:uid="{00000000-0005-0000-0000-0000FE690000}"/>
    <cellStyle name="40% - Accent1 142 2" xfId="27144" xr:uid="{00000000-0005-0000-0000-0000FF690000}"/>
    <cellStyle name="40% - Accent1 143" xfId="27145" xr:uid="{00000000-0005-0000-0000-0000006A0000}"/>
    <cellStyle name="40% - Accent1 143 2" xfId="27146" xr:uid="{00000000-0005-0000-0000-0000016A0000}"/>
    <cellStyle name="40% - Accent1 144" xfId="27147" xr:uid="{00000000-0005-0000-0000-0000026A0000}"/>
    <cellStyle name="40% - Accent1 144 2" xfId="27148" xr:uid="{00000000-0005-0000-0000-0000036A0000}"/>
    <cellStyle name="40% - Accent1 145" xfId="27149" xr:uid="{00000000-0005-0000-0000-0000046A0000}"/>
    <cellStyle name="40% - Accent1 145 2" xfId="27150" xr:uid="{00000000-0005-0000-0000-0000056A0000}"/>
    <cellStyle name="40% - Accent1 146" xfId="27151" xr:uid="{00000000-0005-0000-0000-0000066A0000}"/>
    <cellStyle name="40% - Accent1 146 2" xfId="27152" xr:uid="{00000000-0005-0000-0000-0000076A0000}"/>
    <cellStyle name="40% - Accent1 147" xfId="27153" xr:uid="{00000000-0005-0000-0000-0000086A0000}"/>
    <cellStyle name="40% - Accent1 147 2" xfId="27154" xr:uid="{00000000-0005-0000-0000-0000096A0000}"/>
    <cellStyle name="40% - Accent1 148" xfId="27155" xr:uid="{00000000-0005-0000-0000-00000A6A0000}"/>
    <cellStyle name="40% - Accent1 148 2" xfId="27156" xr:uid="{00000000-0005-0000-0000-00000B6A0000}"/>
    <cellStyle name="40% - Accent1 149" xfId="27157" xr:uid="{00000000-0005-0000-0000-00000C6A0000}"/>
    <cellStyle name="40% - Accent1 149 2" xfId="27158" xr:uid="{00000000-0005-0000-0000-00000D6A0000}"/>
    <cellStyle name="40% - Accent1 15" xfId="27159" xr:uid="{00000000-0005-0000-0000-00000E6A0000}"/>
    <cellStyle name="40% - Accent1 15 2" xfId="27160" xr:uid="{00000000-0005-0000-0000-00000F6A0000}"/>
    <cellStyle name="40% - Accent1 15 2 2" xfId="27161" xr:uid="{00000000-0005-0000-0000-0000106A0000}"/>
    <cellStyle name="40% - Accent1 15 3" xfId="27162" xr:uid="{00000000-0005-0000-0000-0000116A0000}"/>
    <cellStyle name="40% - Accent1 15 3 2" xfId="27163" xr:uid="{00000000-0005-0000-0000-0000126A0000}"/>
    <cellStyle name="40% - Accent1 15 4" xfId="27164" xr:uid="{00000000-0005-0000-0000-0000136A0000}"/>
    <cellStyle name="40% - Accent1 150" xfId="27165" xr:uid="{00000000-0005-0000-0000-0000146A0000}"/>
    <cellStyle name="40% - Accent1 150 2" xfId="27166" xr:uid="{00000000-0005-0000-0000-0000156A0000}"/>
    <cellStyle name="40% - Accent1 151" xfId="27167" xr:uid="{00000000-0005-0000-0000-0000166A0000}"/>
    <cellStyle name="40% - Accent1 151 2" xfId="27168" xr:uid="{00000000-0005-0000-0000-0000176A0000}"/>
    <cellStyle name="40% - Accent1 152" xfId="27169" xr:uid="{00000000-0005-0000-0000-0000186A0000}"/>
    <cellStyle name="40% - Accent1 152 2" xfId="27170" xr:uid="{00000000-0005-0000-0000-0000196A0000}"/>
    <cellStyle name="40% - Accent1 153" xfId="27171" xr:uid="{00000000-0005-0000-0000-00001A6A0000}"/>
    <cellStyle name="40% - Accent1 153 2" xfId="27172" xr:uid="{00000000-0005-0000-0000-00001B6A0000}"/>
    <cellStyle name="40% - Accent1 154" xfId="27173" xr:uid="{00000000-0005-0000-0000-00001C6A0000}"/>
    <cellStyle name="40% - Accent1 154 2" xfId="27174" xr:uid="{00000000-0005-0000-0000-00001D6A0000}"/>
    <cellStyle name="40% - Accent1 155" xfId="27175" xr:uid="{00000000-0005-0000-0000-00001E6A0000}"/>
    <cellStyle name="40% - Accent1 155 2" xfId="27176" xr:uid="{00000000-0005-0000-0000-00001F6A0000}"/>
    <cellStyle name="40% - Accent1 156" xfId="27177" xr:uid="{00000000-0005-0000-0000-0000206A0000}"/>
    <cellStyle name="40% - Accent1 156 2" xfId="27178" xr:uid="{00000000-0005-0000-0000-0000216A0000}"/>
    <cellStyle name="40% - Accent1 157" xfId="27179" xr:uid="{00000000-0005-0000-0000-0000226A0000}"/>
    <cellStyle name="40% - Accent1 157 2" xfId="27180" xr:uid="{00000000-0005-0000-0000-0000236A0000}"/>
    <cellStyle name="40% - Accent1 158" xfId="27181" xr:uid="{00000000-0005-0000-0000-0000246A0000}"/>
    <cellStyle name="40% - Accent1 158 2" xfId="27182" xr:uid="{00000000-0005-0000-0000-0000256A0000}"/>
    <cellStyle name="40% - Accent1 159" xfId="27183" xr:uid="{00000000-0005-0000-0000-0000266A0000}"/>
    <cellStyle name="40% - Accent1 159 2" xfId="27184" xr:uid="{00000000-0005-0000-0000-0000276A0000}"/>
    <cellStyle name="40% - Accent1 16" xfId="27185" xr:uid="{00000000-0005-0000-0000-0000286A0000}"/>
    <cellStyle name="40% - Accent1 16 2" xfId="27186" xr:uid="{00000000-0005-0000-0000-0000296A0000}"/>
    <cellStyle name="40% - Accent1 16 2 2" xfId="27187" xr:uid="{00000000-0005-0000-0000-00002A6A0000}"/>
    <cellStyle name="40% - Accent1 16 3" xfId="27188" xr:uid="{00000000-0005-0000-0000-00002B6A0000}"/>
    <cellStyle name="40% - Accent1 16 3 2" xfId="27189" xr:uid="{00000000-0005-0000-0000-00002C6A0000}"/>
    <cellStyle name="40% - Accent1 16 4" xfId="27190" xr:uid="{00000000-0005-0000-0000-00002D6A0000}"/>
    <cellStyle name="40% - Accent1 160" xfId="27191" xr:uid="{00000000-0005-0000-0000-00002E6A0000}"/>
    <cellStyle name="40% - Accent1 160 2" xfId="27192" xr:uid="{00000000-0005-0000-0000-00002F6A0000}"/>
    <cellStyle name="40% - Accent1 161" xfId="27193" xr:uid="{00000000-0005-0000-0000-0000306A0000}"/>
    <cellStyle name="40% - Accent1 161 2" xfId="27194" xr:uid="{00000000-0005-0000-0000-0000316A0000}"/>
    <cellStyle name="40% - Accent1 162" xfId="27195" xr:uid="{00000000-0005-0000-0000-0000326A0000}"/>
    <cellStyle name="40% - Accent1 162 2" xfId="27196" xr:uid="{00000000-0005-0000-0000-0000336A0000}"/>
    <cellStyle name="40% - Accent1 163" xfId="27197" xr:uid="{00000000-0005-0000-0000-0000346A0000}"/>
    <cellStyle name="40% - Accent1 163 2" xfId="27198" xr:uid="{00000000-0005-0000-0000-0000356A0000}"/>
    <cellStyle name="40% - Accent1 164" xfId="27199" xr:uid="{00000000-0005-0000-0000-0000366A0000}"/>
    <cellStyle name="40% - Accent1 164 2" xfId="27200" xr:uid="{00000000-0005-0000-0000-0000376A0000}"/>
    <cellStyle name="40% - Accent1 165" xfId="27201" xr:uid="{00000000-0005-0000-0000-0000386A0000}"/>
    <cellStyle name="40% - Accent1 165 2" xfId="27202" xr:uid="{00000000-0005-0000-0000-0000396A0000}"/>
    <cellStyle name="40% - Accent1 166" xfId="27203" xr:uid="{00000000-0005-0000-0000-00003A6A0000}"/>
    <cellStyle name="40% - Accent1 166 2" xfId="27204" xr:uid="{00000000-0005-0000-0000-00003B6A0000}"/>
    <cellStyle name="40% - Accent1 167" xfId="27205" xr:uid="{00000000-0005-0000-0000-00003C6A0000}"/>
    <cellStyle name="40% - Accent1 167 2" xfId="27206" xr:uid="{00000000-0005-0000-0000-00003D6A0000}"/>
    <cellStyle name="40% - Accent1 168" xfId="27207" xr:uid="{00000000-0005-0000-0000-00003E6A0000}"/>
    <cellStyle name="40% - Accent1 168 2" xfId="27208" xr:uid="{00000000-0005-0000-0000-00003F6A0000}"/>
    <cellStyle name="40% - Accent1 169" xfId="27209" xr:uid="{00000000-0005-0000-0000-0000406A0000}"/>
    <cellStyle name="40% - Accent1 169 2" xfId="27210" xr:uid="{00000000-0005-0000-0000-0000416A0000}"/>
    <cellStyle name="40% - Accent1 17" xfId="27211" xr:uid="{00000000-0005-0000-0000-0000426A0000}"/>
    <cellStyle name="40% - Accent1 17 2" xfId="27212" xr:uid="{00000000-0005-0000-0000-0000436A0000}"/>
    <cellStyle name="40% - Accent1 17 2 2" xfId="27213" xr:uid="{00000000-0005-0000-0000-0000446A0000}"/>
    <cellStyle name="40% - Accent1 17 3" xfId="27214" xr:uid="{00000000-0005-0000-0000-0000456A0000}"/>
    <cellStyle name="40% - Accent1 17 3 2" xfId="27215" xr:uid="{00000000-0005-0000-0000-0000466A0000}"/>
    <cellStyle name="40% - Accent1 17 4" xfId="27216" xr:uid="{00000000-0005-0000-0000-0000476A0000}"/>
    <cellStyle name="40% - Accent1 170" xfId="27217" xr:uid="{00000000-0005-0000-0000-0000486A0000}"/>
    <cellStyle name="40% - Accent1 170 2" xfId="27218" xr:uid="{00000000-0005-0000-0000-0000496A0000}"/>
    <cellStyle name="40% - Accent1 171" xfId="27219" xr:uid="{00000000-0005-0000-0000-00004A6A0000}"/>
    <cellStyle name="40% - Accent1 171 2" xfId="27220" xr:uid="{00000000-0005-0000-0000-00004B6A0000}"/>
    <cellStyle name="40% - Accent1 172" xfId="27221" xr:uid="{00000000-0005-0000-0000-00004C6A0000}"/>
    <cellStyle name="40% - Accent1 172 2" xfId="27222" xr:uid="{00000000-0005-0000-0000-00004D6A0000}"/>
    <cellStyle name="40% - Accent1 173" xfId="27223" xr:uid="{00000000-0005-0000-0000-00004E6A0000}"/>
    <cellStyle name="40% - Accent1 173 2" xfId="27224" xr:uid="{00000000-0005-0000-0000-00004F6A0000}"/>
    <cellStyle name="40% - Accent1 174" xfId="27225" xr:uid="{00000000-0005-0000-0000-0000506A0000}"/>
    <cellStyle name="40% - Accent1 174 2" xfId="27226" xr:uid="{00000000-0005-0000-0000-0000516A0000}"/>
    <cellStyle name="40% - Accent1 175" xfId="27227" xr:uid="{00000000-0005-0000-0000-0000526A0000}"/>
    <cellStyle name="40% - Accent1 175 2" xfId="27228" xr:uid="{00000000-0005-0000-0000-0000536A0000}"/>
    <cellStyle name="40% - Accent1 176" xfId="27229" xr:uid="{00000000-0005-0000-0000-0000546A0000}"/>
    <cellStyle name="40% - Accent1 176 2" xfId="27230" xr:uid="{00000000-0005-0000-0000-0000556A0000}"/>
    <cellStyle name="40% - Accent1 177" xfId="27231" xr:uid="{00000000-0005-0000-0000-0000566A0000}"/>
    <cellStyle name="40% - Accent1 177 2" xfId="27232" xr:uid="{00000000-0005-0000-0000-0000576A0000}"/>
    <cellStyle name="40% - Accent1 178" xfId="27233" xr:uid="{00000000-0005-0000-0000-0000586A0000}"/>
    <cellStyle name="40% - Accent1 178 2" xfId="27234" xr:uid="{00000000-0005-0000-0000-0000596A0000}"/>
    <cellStyle name="40% - Accent1 179" xfId="27235" xr:uid="{00000000-0005-0000-0000-00005A6A0000}"/>
    <cellStyle name="40% - Accent1 179 2" xfId="27236" xr:uid="{00000000-0005-0000-0000-00005B6A0000}"/>
    <cellStyle name="40% - Accent1 18" xfId="27237" xr:uid="{00000000-0005-0000-0000-00005C6A0000}"/>
    <cellStyle name="40% - Accent1 18 2" xfId="27238" xr:uid="{00000000-0005-0000-0000-00005D6A0000}"/>
    <cellStyle name="40% - Accent1 18 2 2" xfId="27239" xr:uid="{00000000-0005-0000-0000-00005E6A0000}"/>
    <cellStyle name="40% - Accent1 18 3" xfId="27240" xr:uid="{00000000-0005-0000-0000-00005F6A0000}"/>
    <cellStyle name="40% - Accent1 18 3 2" xfId="27241" xr:uid="{00000000-0005-0000-0000-0000606A0000}"/>
    <cellStyle name="40% - Accent1 18 4" xfId="27242" xr:uid="{00000000-0005-0000-0000-0000616A0000}"/>
    <cellStyle name="40% - Accent1 180" xfId="27243" xr:uid="{00000000-0005-0000-0000-0000626A0000}"/>
    <cellStyle name="40% - Accent1 180 2" xfId="27244" xr:uid="{00000000-0005-0000-0000-0000636A0000}"/>
    <cellStyle name="40% - Accent1 181" xfId="27245" xr:uid="{00000000-0005-0000-0000-0000646A0000}"/>
    <cellStyle name="40% - Accent1 181 2" xfId="27246" xr:uid="{00000000-0005-0000-0000-0000656A0000}"/>
    <cellStyle name="40% - Accent1 182" xfId="27247" xr:uid="{00000000-0005-0000-0000-0000666A0000}"/>
    <cellStyle name="40% - Accent1 182 2" xfId="27248" xr:uid="{00000000-0005-0000-0000-0000676A0000}"/>
    <cellStyle name="40% - Accent1 183" xfId="27249" xr:uid="{00000000-0005-0000-0000-0000686A0000}"/>
    <cellStyle name="40% - Accent1 183 2" xfId="27250" xr:uid="{00000000-0005-0000-0000-0000696A0000}"/>
    <cellStyle name="40% - Accent1 184" xfId="27251" xr:uid="{00000000-0005-0000-0000-00006A6A0000}"/>
    <cellStyle name="40% - Accent1 184 2" xfId="27252" xr:uid="{00000000-0005-0000-0000-00006B6A0000}"/>
    <cellStyle name="40% - Accent1 185" xfId="27253" xr:uid="{00000000-0005-0000-0000-00006C6A0000}"/>
    <cellStyle name="40% - Accent1 185 2" xfId="27254" xr:uid="{00000000-0005-0000-0000-00006D6A0000}"/>
    <cellStyle name="40% - Accent1 186" xfId="27255" xr:uid="{00000000-0005-0000-0000-00006E6A0000}"/>
    <cellStyle name="40% - Accent1 186 2" xfId="27256" xr:uid="{00000000-0005-0000-0000-00006F6A0000}"/>
    <cellStyle name="40% - Accent1 187" xfId="27257" xr:uid="{00000000-0005-0000-0000-0000706A0000}"/>
    <cellStyle name="40% - Accent1 187 2" xfId="27258" xr:uid="{00000000-0005-0000-0000-0000716A0000}"/>
    <cellStyle name="40% - Accent1 188" xfId="27259" xr:uid="{00000000-0005-0000-0000-0000726A0000}"/>
    <cellStyle name="40% - Accent1 188 2" xfId="27260" xr:uid="{00000000-0005-0000-0000-0000736A0000}"/>
    <cellStyle name="40% - Accent1 189" xfId="27261" xr:uid="{00000000-0005-0000-0000-0000746A0000}"/>
    <cellStyle name="40% - Accent1 189 2" xfId="27262" xr:uid="{00000000-0005-0000-0000-0000756A0000}"/>
    <cellStyle name="40% - Accent1 19" xfId="27263" xr:uid="{00000000-0005-0000-0000-0000766A0000}"/>
    <cellStyle name="40% - Accent1 19 2" xfId="27264" xr:uid="{00000000-0005-0000-0000-0000776A0000}"/>
    <cellStyle name="40% - Accent1 19 2 2" xfId="27265" xr:uid="{00000000-0005-0000-0000-0000786A0000}"/>
    <cellStyle name="40% - Accent1 19 3" xfId="27266" xr:uid="{00000000-0005-0000-0000-0000796A0000}"/>
    <cellStyle name="40% - Accent1 19 3 2" xfId="27267" xr:uid="{00000000-0005-0000-0000-00007A6A0000}"/>
    <cellStyle name="40% - Accent1 19 4" xfId="27268" xr:uid="{00000000-0005-0000-0000-00007B6A0000}"/>
    <cellStyle name="40% - Accent1 190" xfId="27269" xr:uid="{00000000-0005-0000-0000-00007C6A0000}"/>
    <cellStyle name="40% - Accent1 190 2" xfId="27270" xr:uid="{00000000-0005-0000-0000-00007D6A0000}"/>
    <cellStyle name="40% - Accent1 191" xfId="27271" xr:uid="{00000000-0005-0000-0000-00007E6A0000}"/>
    <cellStyle name="40% - Accent1 191 2" xfId="27272" xr:uid="{00000000-0005-0000-0000-00007F6A0000}"/>
    <cellStyle name="40% - Accent1 192" xfId="27273" xr:uid="{00000000-0005-0000-0000-0000806A0000}"/>
    <cellStyle name="40% - Accent1 192 2" xfId="27274" xr:uid="{00000000-0005-0000-0000-0000816A0000}"/>
    <cellStyle name="40% - Accent1 193" xfId="27275" xr:uid="{00000000-0005-0000-0000-0000826A0000}"/>
    <cellStyle name="40% - Accent1 193 2" xfId="27276" xr:uid="{00000000-0005-0000-0000-0000836A0000}"/>
    <cellStyle name="40% - Accent1 194" xfId="27277" xr:uid="{00000000-0005-0000-0000-0000846A0000}"/>
    <cellStyle name="40% - Accent1 194 2" xfId="27278" xr:uid="{00000000-0005-0000-0000-0000856A0000}"/>
    <cellStyle name="40% - Accent1 195" xfId="27279" xr:uid="{00000000-0005-0000-0000-0000866A0000}"/>
    <cellStyle name="40% - Accent1 195 2" xfId="27280" xr:uid="{00000000-0005-0000-0000-0000876A0000}"/>
    <cellStyle name="40% - Accent1 196" xfId="27281" xr:uid="{00000000-0005-0000-0000-0000886A0000}"/>
    <cellStyle name="40% - Accent1 196 2" xfId="27282" xr:uid="{00000000-0005-0000-0000-0000896A0000}"/>
    <cellStyle name="40% - Accent1 197" xfId="27283" xr:uid="{00000000-0005-0000-0000-00008A6A0000}"/>
    <cellStyle name="40% - Accent1 197 2" xfId="27284" xr:uid="{00000000-0005-0000-0000-00008B6A0000}"/>
    <cellStyle name="40% - Accent1 198" xfId="27285" xr:uid="{00000000-0005-0000-0000-00008C6A0000}"/>
    <cellStyle name="40% - Accent1 198 2" xfId="27286" xr:uid="{00000000-0005-0000-0000-00008D6A0000}"/>
    <cellStyle name="40% - Accent1 2" xfId="27287" xr:uid="{00000000-0005-0000-0000-00008E6A0000}"/>
    <cellStyle name="40% - Accent1 2 2" xfId="27288" xr:uid="{00000000-0005-0000-0000-00008F6A0000}"/>
    <cellStyle name="40% - Accent1 2 2 2" xfId="27289" xr:uid="{00000000-0005-0000-0000-0000906A0000}"/>
    <cellStyle name="40% - Accent1 2 2 2 2" xfId="27290" xr:uid="{00000000-0005-0000-0000-0000916A0000}"/>
    <cellStyle name="40% - Accent1 2 2 3" xfId="27291" xr:uid="{00000000-0005-0000-0000-0000926A0000}"/>
    <cellStyle name="40% - Accent1 2 2 3 2" xfId="27292" xr:uid="{00000000-0005-0000-0000-0000936A0000}"/>
    <cellStyle name="40% - Accent1 2 2 4" xfId="27293" xr:uid="{00000000-0005-0000-0000-0000946A0000}"/>
    <cellStyle name="40% - Accent1 2 2 4 2" xfId="27294" xr:uid="{00000000-0005-0000-0000-0000956A0000}"/>
    <cellStyle name="40% - Accent1 2 2 5" xfId="27295" xr:uid="{00000000-0005-0000-0000-0000966A0000}"/>
    <cellStyle name="40% - Accent1 2 2 5 2" xfId="27296" xr:uid="{00000000-0005-0000-0000-0000976A0000}"/>
    <cellStyle name="40% - Accent1 2 2 6" xfId="27297" xr:uid="{00000000-0005-0000-0000-0000986A0000}"/>
    <cellStyle name="40% - Accent1 2 3" xfId="27298" xr:uid="{00000000-0005-0000-0000-0000996A0000}"/>
    <cellStyle name="40% - Accent1 2 3 2" xfId="27299" xr:uid="{00000000-0005-0000-0000-00009A6A0000}"/>
    <cellStyle name="40% - Accent1 2 4" xfId="27300" xr:uid="{00000000-0005-0000-0000-00009B6A0000}"/>
    <cellStyle name="40% - Accent1 2 4 2" xfId="27301" xr:uid="{00000000-0005-0000-0000-00009C6A0000}"/>
    <cellStyle name="40% - Accent1 2 5" xfId="27302" xr:uid="{00000000-0005-0000-0000-00009D6A0000}"/>
    <cellStyle name="40% - Accent1 2 5 2" xfId="27303" xr:uid="{00000000-0005-0000-0000-00009E6A0000}"/>
    <cellStyle name="40% - Accent1 2 6" xfId="27304" xr:uid="{00000000-0005-0000-0000-00009F6A0000}"/>
    <cellStyle name="40% - Accent1 2 6 2" xfId="27305" xr:uid="{00000000-0005-0000-0000-0000A06A0000}"/>
    <cellStyle name="40% - Accent1 2 7" xfId="27306" xr:uid="{00000000-0005-0000-0000-0000A16A0000}"/>
    <cellStyle name="40% - Accent1 20" xfId="27307" xr:uid="{00000000-0005-0000-0000-0000A26A0000}"/>
    <cellStyle name="40% - Accent1 20 2" xfId="27308" xr:uid="{00000000-0005-0000-0000-0000A36A0000}"/>
    <cellStyle name="40% - Accent1 20 2 2" xfId="27309" xr:uid="{00000000-0005-0000-0000-0000A46A0000}"/>
    <cellStyle name="40% - Accent1 20 3" xfId="27310" xr:uid="{00000000-0005-0000-0000-0000A56A0000}"/>
    <cellStyle name="40% - Accent1 20 3 2" xfId="27311" xr:uid="{00000000-0005-0000-0000-0000A66A0000}"/>
    <cellStyle name="40% - Accent1 20 4" xfId="27312" xr:uid="{00000000-0005-0000-0000-0000A76A0000}"/>
    <cellStyle name="40% - Accent1 21" xfId="27313" xr:uid="{00000000-0005-0000-0000-0000A86A0000}"/>
    <cellStyle name="40% - Accent1 21 2" xfId="27314" xr:uid="{00000000-0005-0000-0000-0000A96A0000}"/>
    <cellStyle name="40% - Accent1 21 2 2" xfId="27315" xr:uid="{00000000-0005-0000-0000-0000AA6A0000}"/>
    <cellStyle name="40% - Accent1 21 3" xfId="27316" xr:uid="{00000000-0005-0000-0000-0000AB6A0000}"/>
    <cellStyle name="40% - Accent1 21 3 2" xfId="27317" xr:uid="{00000000-0005-0000-0000-0000AC6A0000}"/>
    <cellStyle name="40% - Accent1 21 4" xfId="27318" xr:uid="{00000000-0005-0000-0000-0000AD6A0000}"/>
    <cellStyle name="40% - Accent1 22" xfId="27319" xr:uid="{00000000-0005-0000-0000-0000AE6A0000}"/>
    <cellStyle name="40% - Accent1 22 2" xfId="27320" xr:uid="{00000000-0005-0000-0000-0000AF6A0000}"/>
    <cellStyle name="40% - Accent1 22 2 2" xfId="27321" xr:uid="{00000000-0005-0000-0000-0000B06A0000}"/>
    <cellStyle name="40% - Accent1 22 3" xfId="27322" xr:uid="{00000000-0005-0000-0000-0000B16A0000}"/>
    <cellStyle name="40% - Accent1 22 3 2" xfId="27323" xr:uid="{00000000-0005-0000-0000-0000B26A0000}"/>
    <cellStyle name="40% - Accent1 22 4" xfId="27324" xr:uid="{00000000-0005-0000-0000-0000B36A0000}"/>
    <cellStyle name="40% - Accent1 23" xfId="27325" xr:uid="{00000000-0005-0000-0000-0000B46A0000}"/>
    <cellStyle name="40% - Accent1 23 2" xfId="27326" xr:uid="{00000000-0005-0000-0000-0000B56A0000}"/>
    <cellStyle name="40% - Accent1 23 2 2" xfId="27327" xr:uid="{00000000-0005-0000-0000-0000B66A0000}"/>
    <cellStyle name="40% - Accent1 23 3" xfId="27328" xr:uid="{00000000-0005-0000-0000-0000B76A0000}"/>
    <cellStyle name="40% - Accent1 23 3 2" xfId="27329" xr:uid="{00000000-0005-0000-0000-0000B86A0000}"/>
    <cellStyle name="40% - Accent1 23 4" xfId="27330" xr:uid="{00000000-0005-0000-0000-0000B96A0000}"/>
    <cellStyle name="40% - Accent1 24" xfId="27331" xr:uid="{00000000-0005-0000-0000-0000BA6A0000}"/>
    <cellStyle name="40% - Accent1 24 2" xfId="27332" xr:uid="{00000000-0005-0000-0000-0000BB6A0000}"/>
    <cellStyle name="40% - Accent1 24 2 2" xfId="27333" xr:uid="{00000000-0005-0000-0000-0000BC6A0000}"/>
    <cellStyle name="40% - Accent1 24 3" xfId="27334" xr:uid="{00000000-0005-0000-0000-0000BD6A0000}"/>
    <cellStyle name="40% - Accent1 24 3 2" xfId="27335" xr:uid="{00000000-0005-0000-0000-0000BE6A0000}"/>
    <cellStyle name="40% - Accent1 24 4" xfId="27336" xr:uid="{00000000-0005-0000-0000-0000BF6A0000}"/>
    <cellStyle name="40% - Accent1 25" xfId="27337" xr:uid="{00000000-0005-0000-0000-0000C06A0000}"/>
    <cellStyle name="40% - Accent1 25 2" xfId="27338" xr:uid="{00000000-0005-0000-0000-0000C16A0000}"/>
    <cellStyle name="40% - Accent1 25 2 2" xfId="27339" xr:uid="{00000000-0005-0000-0000-0000C26A0000}"/>
    <cellStyle name="40% - Accent1 25 3" xfId="27340" xr:uid="{00000000-0005-0000-0000-0000C36A0000}"/>
    <cellStyle name="40% - Accent1 25 3 2" xfId="27341" xr:uid="{00000000-0005-0000-0000-0000C46A0000}"/>
    <cellStyle name="40% - Accent1 25 4" xfId="27342" xr:uid="{00000000-0005-0000-0000-0000C56A0000}"/>
    <cellStyle name="40% - Accent1 26" xfId="27343" xr:uid="{00000000-0005-0000-0000-0000C66A0000}"/>
    <cellStyle name="40% - Accent1 26 2" xfId="27344" xr:uid="{00000000-0005-0000-0000-0000C76A0000}"/>
    <cellStyle name="40% - Accent1 26 2 2" xfId="27345" xr:uid="{00000000-0005-0000-0000-0000C86A0000}"/>
    <cellStyle name="40% - Accent1 26 3" xfId="27346" xr:uid="{00000000-0005-0000-0000-0000C96A0000}"/>
    <cellStyle name="40% - Accent1 26 3 2" xfId="27347" xr:uid="{00000000-0005-0000-0000-0000CA6A0000}"/>
    <cellStyle name="40% - Accent1 26 4" xfId="27348" xr:uid="{00000000-0005-0000-0000-0000CB6A0000}"/>
    <cellStyle name="40% - Accent1 27" xfId="27349" xr:uid="{00000000-0005-0000-0000-0000CC6A0000}"/>
    <cellStyle name="40% - Accent1 27 2" xfId="27350" xr:uid="{00000000-0005-0000-0000-0000CD6A0000}"/>
    <cellStyle name="40% - Accent1 27 2 2" xfId="27351" xr:uid="{00000000-0005-0000-0000-0000CE6A0000}"/>
    <cellStyle name="40% - Accent1 27 3" xfId="27352" xr:uid="{00000000-0005-0000-0000-0000CF6A0000}"/>
    <cellStyle name="40% - Accent1 27 3 2" xfId="27353" xr:uid="{00000000-0005-0000-0000-0000D06A0000}"/>
    <cellStyle name="40% - Accent1 27 4" xfId="27354" xr:uid="{00000000-0005-0000-0000-0000D16A0000}"/>
    <cellStyle name="40% - Accent1 28" xfId="27355" xr:uid="{00000000-0005-0000-0000-0000D26A0000}"/>
    <cellStyle name="40% - Accent1 28 2" xfId="27356" xr:uid="{00000000-0005-0000-0000-0000D36A0000}"/>
    <cellStyle name="40% - Accent1 28 2 2" xfId="27357" xr:uid="{00000000-0005-0000-0000-0000D46A0000}"/>
    <cellStyle name="40% - Accent1 28 3" xfId="27358" xr:uid="{00000000-0005-0000-0000-0000D56A0000}"/>
    <cellStyle name="40% - Accent1 28 3 2" xfId="27359" xr:uid="{00000000-0005-0000-0000-0000D66A0000}"/>
    <cellStyle name="40% - Accent1 28 4" xfId="27360" xr:uid="{00000000-0005-0000-0000-0000D76A0000}"/>
    <cellStyle name="40% - Accent1 29" xfId="27361" xr:uid="{00000000-0005-0000-0000-0000D86A0000}"/>
    <cellStyle name="40% - Accent1 29 2" xfId="27362" xr:uid="{00000000-0005-0000-0000-0000D96A0000}"/>
    <cellStyle name="40% - Accent1 29 2 2" xfId="27363" xr:uid="{00000000-0005-0000-0000-0000DA6A0000}"/>
    <cellStyle name="40% - Accent1 29 3" xfId="27364" xr:uid="{00000000-0005-0000-0000-0000DB6A0000}"/>
    <cellStyle name="40% - Accent1 29 3 2" xfId="27365" xr:uid="{00000000-0005-0000-0000-0000DC6A0000}"/>
    <cellStyle name="40% - Accent1 29 4" xfId="27366" xr:uid="{00000000-0005-0000-0000-0000DD6A0000}"/>
    <cellStyle name="40% - Accent1 3" xfId="27367" xr:uid="{00000000-0005-0000-0000-0000DE6A0000}"/>
    <cellStyle name="40% - Accent1 3 2" xfId="27368" xr:uid="{00000000-0005-0000-0000-0000DF6A0000}"/>
    <cellStyle name="40% - Accent1 3 2 2" xfId="27369" xr:uid="{00000000-0005-0000-0000-0000E06A0000}"/>
    <cellStyle name="40% - Accent1 3 3" xfId="27370" xr:uid="{00000000-0005-0000-0000-0000E16A0000}"/>
    <cellStyle name="40% - Accent1 3 3 2" xfId="27371" xr:uid="{00000000-0005-0000-0000-0000E26A0000}"/>
    <cellStyle name="40% - Accent1 3 4" xfId="27372" xr:uid="{00000000-0005-0000-0000-0000E36A0000}"/>
    <cellStyle name="40% - Accent1 3 4 2" xfId="27373" xr:uid="{00000000-0005-0000-0000-0000E46A0000}"/>
    <cellStyle name="40% - Accent1 3 5" xfId="27374" xr:uid="{00000000-0005-0000-0000-0000E56A0000}"/>
    <cellStyle name="40% - Accent1 3 5 2" xfId="27375" xr:uid="{00000000-0005-0000-0000-0000E66A0000}"/>
    <cellStyle name="40% - Accent1 3 6" xfId="27376" xr:uid="{00000000-0005-0000-0000-0000E76A0000}"/>
    <cellStyle name="40% - Accent1 3 6 2" xfId="27377" xr:uid="{00000000-0005-0000-0000-0000E86A0000}"/>
    <cellStyle name="40% - Accent1 3 7" xfId="27378" xr:uid="{00000000-0005-0000-0000-0000E96A0000}"/>
    <cellStyle name="40% - Accent1 30" xfId="27379" xr:uid="{00000000-0005-0000-0000-0000EA6A0000}"/>
    <cellStyle name="40% - Accent1 30 2" xfId="27380" xr:uid="{00000000-0005-0000-0000-0000EB6A0000}"/>
    <cellStyle name="40% - Accent1 30 2 2" xfId="27381" xr:uid="{00000000-0005-0000-0000-0000EC6A0000}"/>
    <cellStyle name="40% - Accent1 30 3" xfId="27382" xr:uid="{00000000-0005-0000-0000-0000ED6A0000}"/>
    <cellStyle name="40% - Accent1 30 3 2" xfId="27383" xr:uid="{00000000-0005-0000-0000-0000EE6A0000}"/>
    <cellStyle name="40% - Accent1 30 4" xfId="27384" xr:uid="{00000000-0005-0000-0000-0000EF6A0000}"/>
    <cellStyle name="40% - Accent1 31" xfId="27385" xr:uid="{00000000-0005-0000-0000-0000F06A0000}"/>
    <cellStyle name="40% - Accent1 31 2" xfId="27386" xr:uid="{00000000-0005-0000-0000-0000F16A0000}"/>
    <cellStyle name="40% - Accent1 31 2 2" xfId="27387" xr:uid="{00000000-0005-0000-0000-0000F26A0000}"/>
    <cellStyle name="40% - Accent1 31 3" xfId="27388" xr:uid="{00000000-0005-0000-0000-0000F36A0000}"/>
    <cellStyle name="40% - Accent1 31 3 2" xfId="27389" xr:uid="{00000000-0005-0000-0000-0000F46A0000}"/>
    <cellStyle name="40% - Accent1 31 4" xfId="27390" xr:uid="{00000000-0005-0000-0000-0000F56A0000}"/>
    <cellStyle name="40% - Accent1 32" xfId="27391" xr:uid="{00000000-0005-0000-0000-0000F66A0000}"/>
    <cellStyle name="40% - Accent1 32 2" xfId="27392" xr:uid="{00000000-0005-0000-0000-0000F76A0000}"/>
    <cellStyle name="40% - Accent1 32 2 2" xfId="27393" xr:uid="{00000000-0005-0000-0000-0000F86A0000}"/>
    <cellStyle name="40% - Accent1 32 3" xfId="27394" xr:uid="{00000000-0005-0000-0000-0000F96A0000}"/>
    <cellStyle name="40% - Accent1 32 3 2" xfId="27395" xr:uid="{00000000-0005-0000-0000-0000FA6A0000}"/>
    <cellStyle name="40% - Accent1 32 4" xfId="27396" xr:uid="{00000000-0005-0000-0000-0000FB6A0000}"/>
    <cellStyle name="40% - Accent1 33" xfId="27397" xr:uid="{00000000-0005-0000-0000-0000FC6A0000}"/>
    <cellStyle name="40% - Accent1 33 2" xfId="27398" xr:uid="{00000000-0005-0000-0000-0000FD6A0000}"/>
    <cellStyle name="40% - Accent1 33 2 2" xfId="27399" xr:uid="{00000000-0005-0000-0000-0000FE6A0000}"/>
    <cellStyle name="40% - Accent1 33 3" xfId="27400" xr:uid="{00000000-0005-0000-0000-0000FF6A0000}"/>
    <cellStyle name="40% - Accent1 33 3 2" xfId="27401" xr:uid="{00000000-0005-0000-0000-0000006B0000}"/>
    <cellStyle name="40% - Accent1 33 4" xfId="27402" xr:uid="{00000000-0005-0000-0000-0000016B0000}"/>
    <cellStyle name="40% - Accent1 34" xfId="27403" xr:uid="{00000000-0005-0000-0000-0000026B0000}"/>
    <cellStyle name="40% - Accent1 34 2" xfId="27404" xr:uid="{00000000-0005-0000-0000-0000036B0000}"/>
    <cellStyle name="40% - Accent1 34 2 2" xfId="27405" xr:uid="{00000000-0005-0000-0000-0000046B0000}"/>
    <cellStyle name="40% - Accent1 34 3" xfId="27406" xr:uid="{00000000-0005-0000-0000-0000056B0000}"/>
    <cellStyle name="40% - Accent1 34 3 2" xfId="27407" xr:uid="{00000000-0005-0000-0000-0000066B0000}"/>
    <cellStyle name="40% - Accent1 34 4" xfId="27408" xr:uid="{00000000-0005-0000-0000-0000076B0000}"/>
    <cellStyle name="40% - Accent1 35" xfId="27409" xr:uid="{00000000-0005-0000-0000-0000086B0000}"/>
    <cellStyle name="40% - Accent1 35 2" xfId="27410" xr:uid="{00000000-0005-0000-0000-0000096B0000}"/>
    <cellStyle name="40% - Accent1 35 2 2" xfId="27411" xr:uid="{00000000-0005-0000-0000-00000A6B0000}"/>
    <cellStyle name="40% - Accent1 35 3" xfId="27412" xr:uid="{00000000-0005-0000-0000-00000B6B0000}"/>
    <cellStyle name="40% - Accent1 35 3 2" xfId="27413" xr:uid="{00000000-0005-0000-0000-00000C6B0000}"/>
    <cellStyle name="40% - Accent1 35 4" xfId="27414" xr:uid="{00000000-0005-0000-0000-00000D6B0000}"/>
    <cellStyle name="40% - Accent1 36" xfId="27415" xr:uid="{00000000-0005-0000-0000-00000E6B0000}"/>
    <cellStyle name="40% - Accent1 36 2" xfId="27416" xr:uid="{00000000-0005-0000-0000-00000F6B0000}"/>
    <cellStyle name="40% - Accent1 36 2 2" xfId="27417" xr:uid="{00000000-0005-0000-0000-0000106B0000}"/>
    <cellStyle name="40% - Accent1 36 3" xfId="27418" xr:uid="{00000000-0005-0000-0000-0000116B0000}"/>
    <cellStyle name="40% - Accent1 36 3 2" xfId="27419" xr:uid="{00000000-0005-0000-0000-0000126B0000}"/>
    <cellStyle name="40% - Accent1 36 4" xfId="27420" xr:uid="{00000000-0005-0000-0000-0000136B0000}"/>
    <cellStyle name="40% - Accent1 37" xfId="27421" xr:uid="{00000000-0005-0000-0000-0000146B0000}"/>
    <cellStyle name="40% - Accent1 37 2" xfId="27422" xr:uid="{00000000-0005-0000-0000-0000156B0000}"/>
    <cellStyle name="40% - Accent1 37 2 2" xfId="27423" xr:uid="{00000000-0005-0000-0000-0000166B0000}"/>
    <cellStyle name="40% - Accent1 37 3" xfId="27424" xr:uid="{00000000-0005-0000-0000-0000176B0000}"/>
    <cellStyle name="40% - Accent1 37 3 2" xfId="27425" xr:uid="{00000000-0005-0000-0000-0000186B0000}"/>
    <cellStyle name="40% - Accent1 37 4" xfId="27426" xr:uid="{00000000-0005-0000-0000-0000196B0000}"/>
    <cellStyle name="40% - Accent1 38" xfId="27427" xr:uid="{00000000-0005-0000-0000-00001A6B0000}"/>
    <cellStyle name="40% - Accent1 38 2" xfId="27428" xr:uid="{00000000-0005-0000-0000-00001B6B0000}"/>
    <cellStyle name="40% - Accent1 38 2 2" xfId="27429" xr:uid="{00000000-0005-0000-0000-00001C6B0000}"/>
    <cellStyle name="40% - Accent1 38 3" xfId="27430" xr:uid="{00000000-0005-0000-0000-00001D6B0000}"/>
    <cellStyle name="40% - Accent1 38 3 2" xfId="27431" xr:uid="{00000000-0005-0000-0000-00001E6B0000}"/>
    <cellStyle name="40% - Accent1 38 4" xfId="27432" xr:uid="{00000000-0005-0000-0000-00001F6B0000}"/>
    <cellStyle name="40% - Accent1 39" xfId="27433" xr:uid="{00000000-0005-0000-0000-0000206B0000}"/>
    <cellStyle name="40% - Accent1 39 2" xfId="27434" xr:uid="{00000000-0005-0000-0000-0000216B0000}"/>
    <cellStyle name="40% - Accent1 39 2 2" xfId="27435" xr:uid="{00000000-0005-0000-0000-0000226B0000}"/>
    <cellStyle name="40% - Accent1 39 3" xfId="27436" xr:uid="{00000000-0005-0000-0000-0000236B0000}"/>
    <cellStyle name="40% - Accent1 39 3 2" xfId="27437" xr:uid="{00000000-0005-0000-0000-0000246B0000}"/>
    <cellStyle name="40% - Accent1 39 4" xfId="27438" xr:uid="{00000000-0005-0000-0000-0000256B0000}"/>
    <cellStyle name="40% - Accent1 4" xfId="27439" xr:uid="{00000000-0005-0000-0000-0000266B0000}"/>
    <cellStyle name="40% - Accent1 4 2" xfId="27440" xr:uid="{00000000-0005-0000-0000-0000276B0000}"/>
    <cellStyle name="40% - Accent1 4 2 2" xfId="27441" xr:uid="{00000000-0005-0000-0000-0000286B0000}"/>
    <cellStyle name="40% - Accent1 4 3" xfId="27442" xr:uid="{00000000-0005-0000-0000-0000296B0000}"/>
    <cellStyle name="40% - Accent1 4 3 2" xfId="27443" xr:uid="{00000000-0005-0000-0000-00002A6B0000}"/>
    <cellStyle name="40% - Accent1 4 4" xfId="27444" xr:uid="{00000000-0005-0000-0000-00002B6B0000}"/>
    <cellStyle name="40% - Accent1 4 4 2" xfId="27445" xr:uid="{00000000-0005-0000-0000-00002C6B0000}"/>
    <cellStyle name="40% - Accent1 4 5" xfId="27446" xr:uid="{00000000-0005-0000-0000-00002D6B0000}"/>
    <cellStyle name="40% - Accent1 4 5 2" xfId="27447" xr:uid="{00000000-0005-0000-0000-00002E6B0000}"/>
    <cellStyle name="40% - Accent1 4 6" xfId="27448" xr:uid="{00000000-0005-0000-0000-00002F6B0000}"/>
    <cellStyle name="40% - Accent1 4 6 2" xfId="27449" xr:uid="{00000000-0005-0000-0000-0000306B0000}"/>
    <cellStyle name="40% - Accent1 4 7" xfId="27450" xr:uid="{00000000-0005-0000-0000-0000316B0000}"/>
    <cellStyle name="40% - Accent1 40" xfId="27451" xr:uid="{00000000-0005-0000-0000-0000326B0000}"/>
    <cellStyle name="40% - Accent1 40 2" xfId="27452" xr:uid="{00000000-0005-0000-0000-0000336B0000}"/>
    <cellStyle name="40% - Accent1 40 2 2" xfId="27453" xr:uid="{00000000-0005-0000-0000-0000346B0000}"/>
    <cellStyle name="40% - Accent1 40 3" xfId="27454" xr:uid="{00000000-0005-0000-0000-0000356B0000}"/>
    <cellStyle name="40% - Accent1 40 3 2" xfId="27455" xr:uid="{00000000-0005-0000-0000-0000366B0000}"/>
    <cellStyle name="40% - Accent1 40 4" xfId="27456" xr:uid="{00000000-0005-0000-0000-0000376B0000}"/>
    <cellStyle name="40% - Accent1 41" xfId="27457" xr:uid="{00000000-0005-0000-0000-0000386B0000}"/>
    <cellStyle name="40% - Accent1 41 2" xfId="27458" xr:uid="{00000000-0005-0000-0000-0000396B0000}"/>
    <cellStyle name="40% - Accent1 41 2 2" xfId="27459" xr:uid="{00000000-0005-0000-0000-00003A6B0000}"/>
    <cellStyle name="40% - Accent1 41 3" xfId="27460" xr:uid="{00000000-0005-0000-0000-00003B6B0000}"/>
    <cellStyle name="40% - Accent1 41 3 2" xfId="27461" xr:uid="{00000000-0005-0000-0000-00003C6B0000}"/>
    <cellStyle name="40% - Accent1 41 4" xfId="27462" xr:uid="{00000000-0005-0000-0000-00003D6B0000}"/>
    <cellStyle name="40% - Accent1 42" xfId="27463" xr:uid="{00000000-0005-0000-0000-00003E6B0000}"/>
    <cellStyle name="40% - Accent1 42 2" xfId="27464" xr:uid="{00000000-0005-0000-0000-00003F6B0000}"/>
    <cellStyle name="40% - Accent1 42 2 2" xfId="27465" xr:uid="{00000000-0005-0000-0000-0000406B0000}"/>
    <cellStyle name="40% - Accent1 42 3" xfId="27466" xr:uid="{00000000-0005-0000-0000-0000416B0000}"/>
    <cellStyle name="40% - Accent1 42 3 2" xfId="27467" xr:uid="{00000000-0005-0000-0000-0000426B0000}"/>
    <cellStyle name="40% - Accent1 42 4" xfId="27468" xr:uid="{00000000-0005-0000-0000-0000436B0000}"/>
    <cellStyle name="40% - Accent1 43" xfId="27469" xr:uid="{00000000-0005-0000-0000-0000446B0000}"/>
    <cellStyle name="40% - Accent1 43 2" xfId="27470" xr:uid="{00000000-0005-0000-0000-0000456B0000}"/>
    <cellStyle name="40% - Accent1 43 2 2" xfId="27471" xr:uid="{00000000-0005-0000-0000-0000466B0000}"/>
    <cellStyle name="40% - Accent1 43 3" xfId="27472" xr:uid="{00000000-0005-0000-0000-0000476B0000}"/>
    <cellStyle name="40% - Accent1 43 3 2" xfId="27473" xr:uid="{00000000-0005-0000-0000-0000486B0000}"/>
    <cellStyle name="40% - Accent1 43 4" xfId="27474" xr:uid="{00000000-0005-0000-0000-0000496B0000}"/>
    <cellStyle name="40% - Accent1 44" xfId="27475" xr:uid="{00000000-0005-0000-0000-00004A6B0000}"/>
    <cellStyle name="40% - Accent1 44 2" xfId="27476" xr:uid="{00000000-0005-0000-0000-00004B6B0000}"/>
    <cellStyle name="40% - Accent1 44 2 2" xfId="27477" xr:uid="{00000000-0005-0000-0000-00004C6B0000}"/>
    <cellStyle name="40% - Accent1 44 3" xfId="27478" xr:uid="{00000000-0005-0000-0000-00004D6B0000}"/>
    <cellStyle name="40% - Accent1 44 3 2" xfId="27479" xr:uid="{00000000-0005-0000-0000-00004E6B0000}"/>
    <cellStyle name="40% - Accent1 44 4" xfId="27480" xr:uid="{00000000-0005-0000-0000-00004F6B0000}"/>
    <cellStyle name="40% - Accent1 45" xfId="27481" xr:uid="{00000000-0005-0000-0000-0000506B0000}"/>
    <cellStyle name="40% - Accent1 45 2" xfId="27482" xr:uid="{00000000-0005-0000-0000-0000516B0000}"/>
    <cellStyle name="40% - Accent1 45 2 2" xfId="27483" xr:uid="{00000000-0005-0000-0000-0000526B0000}"/>
    <cellStyle name="40% - Accent1 45 3" xfId="27484" xr:uid="{00000000-0005-0000-0000-0000536B0000}"/>
    <cellStyle name="40% - Accent1 45 3 2" xfId="27485" xr:uid="{00000000-0005-0000-0000-0000546B0000}"/>
    <cellStyle name="40% - Accent1 45 4" xfId="27486" xr:uid="{00000000-0005-0000-0000-0000556B0000}"/>
    <cellStyle name="40% - Accent1 46" xfId="27487" xr:uid="{00000000-0005-0000-0000-0000566B0000}"/>
    <cellStyle name="40% - Accent1 46 2" xfId="27488" xr:uid="{00000000-0005-0000-0000-0000576B0000}"/>
    <cellStyle name="40% - Accent1 46 2 2" xfId="27489" xr:uid="{00000000-0005-0000-0000-0000586B0000}"/>
    <cellStyle name="40% - Accent1 46 3" xfId="27490" xr:uid="{00000000-0005-0000-0000-0000596B0000}"/>
    <cellStyle name="40% - Accent1 46 3 2" xfId="27491" xr:uid="{00000000-0005-0000-0000-00005A6B0000}"/>
    <cellStyle name="40% - Accent1 46 4" xfId="27492" xr:uid="{00000000-0005-0000-0000-00005B6B0000}"/>
    <cellStyle name="40% - Accent1 47" xfId="27493" xr:uid="{00000000-0005-0000-0000-00005C6B0000}"/>
    <cellStyle name="40% - Accent1 47 2" xfId="27494" xr:uid="{00000000-0005-0000-0000-00005D6B0000}"/>
    <cellStyle name="40% - Accent1 47 2 2" xfId="27495" xr:uid="{00000000-0005-0000-0000-00005E6B0000}"/>
    <cellStyle name="40% - Accent1 47 3" xfId="27496" xr:uid="{00000000-0005-0000-0000-00005F6B0000}"/>
    <cellStyle name="40% - Accent1 47 3 2" xfId="27497" xr:uid="{00000000-0005-0000-0000-0000606B0000}"/>
    <cellStyle name="40% - Accent1 47 4" xfId="27498" xr:uid="{00000000-0005-0000-0000-0000616B0000}"/>
    <cellStyle name="40% - Accent1 48" xfId="27499" xr:uid="{00000000-0005-0000-0000-0000626B0000}"/>
    <cellStyle name="40% - Accent1 48 2" xfId="27500" xr:uid="{00000000-0005-0000-0000-0000636B0000}"/>
    <cellStyle name="40% - Accent1 48 2 2" xfId="27501" xr:uid="{00000000-0005-0000-0000-0000646B0000}"/>
    <cellStyle name="40% - Accent1 48 3" xfId="27502" xr:uid="{00000000-0005-0000-0000-0000656B0000}"/>
    <cellStyle name="40% - Accent1 48 3 2" xfId="27503" xr:uid="{00000000-0005-0000-0000-0000666B0000}"/>
    <cellStyle name="40% - Accent1 48 4" xfId="27504" xr:uid="{00000000-0005-0000-0000-0000676B0000}"/>
    <cellStyle name="40% - Accent1 49" xfId="27505" xr:uid="{00000000-0005-0000-0000-0000686B0000}"/>
    <cellStyle name="40% - Accent1 49 2" xfId="27506" xr:uid="{00000000-0005-0000-0000-0000696B0000}"/>
    <cellStyle name="40% - Accent1 49 2 2" xfId="27507" xr:uid="{00000000-0005-0000-0000-00006A6B0000}"/>
    <cellStyle name="40% - Accent1 49 3" xfId="27508" xr:uid="{00000000-0005-0000-0000-00006B6B0000}"/>
    <cellStyle name="40% - Accent1 49 3 2" xfId="27509" xr:uid="{00000000-0005-0000-0000-00006C6B0000}"/>
    <cellStyle name="40% - Accent1 49 4" xfId="27510" xr:uid="{00000000-0005-0000-0000-00006D6B0000}"/>
    <cellStyle name="40% - Accent1 5" xfId="27511" xr:uid="{00000000-0005-0000-0000-00006E6B0000}"/>
    <cellStyle name="40% - Accent1 5 2" xfId="27512" xr:uid="{00000000-0005-0000-0000-00006F6B0000}"/>
    <cellStyle name="40% - Accent1 5 2 2" xfId="27513" xr:uid="{00000000-0005-0000-0000-0000706B0000}"/>
    <cellStyle name="40% - Accent1 5 3" xfId="27514" xr:uid="{00000000-0005-0000-0000-0000716B0000}"/>
    <cellStyle name="40% - Accent1 5 3 2" xfId="27515" xr:uid="{00000000-0005-0000-0000-0000726B0000}"/>
    <cellStyle name="40% - Accent1 5 4" xfId="27516" xr:uid="{00000000-0005-0000-0000-0000736B0000}"/>
    <cellStyle name="40% - Accent1 5 4 2" xfId="27517" xr:uid="{00000000-0005-0000-0000-0000746B0000}"/>
    <cellStyle name="40% - Accent1 5 5" xfId="27518" xr:uid="{00000000-0005-0000-0000-0000756B0000}"/>
    <cellStyle name="40% - Accent1 5 5 2" xfId="27519" xr:uid="{00000000-0005-0000-0000-0000766B0000}"/>
    <cellStyle name="40% - Accent1 5 6" xfId="27520" xr:uid="{00000000-0005-0000-0000-0000776B0000}"/>
    <cellStyle name="40% - Accent1 50" xfId="27521" xr:uid="{00000000-0005-0000-0000-0000786B0000}"/>
    <cellStyle name="40% - Accent1 50 2" xfId="27522" xr:uid="{00000000-0005-0000-0000-0000796B0000}"/>
    <cellStyle name="40% - Accent1 50 2 2" xfId="27523" xr:uid="{00000000-0005-0000-0000-00007A6B0000}"/>
    <cellStyle name="40% - Accent1 50 3" xfId="27524" xr:uid="{00000000-0005-0000-0000-00007B6B0000}"/>
    <cellStyle name="40% - Accent1 50 3 2" xfId="27525" xr:uid="{00000000-0005-0000-0000-00007C6B0000}"/>
    <cellStyle name="40% - Accent1 50 4" xfId="27526" xr:uid="{00000000-0005-0000-0000-00007D6B0000}"/>
    <cellStyle name="40% - Accent1 51" xfId="27527" xr:uid="{00000000-0005-0000-0000-00007E6B0000}"/>
    <cellStyle name="40% - Accent1 51 2" xfId="27528" xr:uid="{00000000-0005-0000-0000-00007F6B0000}"/>
    <cellStyle name="40% - Accent1 51 2 2" xfId="27529" xr:uid="{00000000-0005-0000-0000-0000806B0000}"/>
    <cellStyle name="40% - Accent1 51 3" xfId="27530" xr:uid="{00000000-0005-0000-0000-0000816B0000}"/>
    <cellStyle name="40% - Accent1 51 3 2" xfId="27531" xr:uid="{00000000-0005-0000-0000-0000826B0000}"/>
    <cellStyle name="40% - Accent1 51 4" xfId="27532" xr:uid="{00000000-0005-0000-0000-0000836B0000}"/>
    <cellStyle name="40% - Accent1 52" xfId="27533" xr:uid="{00000000-0005-0000-0000-0000846B0000}"/>
    <cellStyle name="40% - Accent1 52 2" xfId="27534" xr:uid="{00000000-0005-0000-0000-0000856B0000}"/>
    <cellStyle name="40% - Accent1 52 2 2" xfId="27535" xr:uid="{00000000-0005-0000-0000-0000866B0000}"/>
    <cellStyle name="40% - Accent1 52 3" xfId="27536" xr:uid="{00000000-0005-0000-0000-0000876B0000}"/>
    <cellStyle name="40% - Accent1 52 3 2" xfId="27537" xr:uid="{00000000-0005-0000-0000-0000886B0000}"/>
    <cellStyle name="40% - Accent1 52 4" xfId="27538" xr:uid="{00000000-0005-0000-0000-0000896B0000}"/>
    <cellStyle name="40% - Accent1 53" xfId="27539" xr:uid="{00000000-0005-0000-0000-00008A6B0000}"/>
    <cellStyle name="40% - Accent1 53 2" xfId="27540" xr:uid="{00000000-0005-0000-0000-00008B6B0000}"/>
    <cellStyle name="40% - Accent1 53 2 2" xfId="27541" xr:uid="{00000000-0005-0000-0000-00008C6B0000}"/>
    <cellStyle name="40% - Accent1 53 3" xfId="27542" xr:uid="{00000000-0005-0000-0000-00008D6B0000}"/>
    <cellStyle name="40% - Accent1 53 3 2" xfId="27543" xr:uid="{00000000-0005-0000-0000-00008E6B0000}"/>
    <cellStyle name="40% - Accent1 53 4" xfId="27544" xr:uid="{00000000-0005-0000-0000-00008F6B0000}"/>
    <cellStyle name="40% - Accent1 54" xfId="27545" xr:uid="{00000000-0005-0000-0000-0000906B0000}"/>
    <cellStyle name="40% - Accent1 54 2" xfId="27546" xr:uid="{00000000-0005-0000-0000-0000916B0000}"/>
    <cellStyle name="40% - Accent1 54 2 2" xfId="27547" xr:uid="{00000000-0005-0000-0000-0000926B0000}"/>
    <cellStyle name="40% - Accent1 54 3" xfId="27548" xr:uid="{00000000-0005-0000-0000-0000936B0000}"/>
    <cellStyle name="40% - Accent1 54 3 2" xfId="27549" xr:uid="{00000000-0005-0000-0000-0000946B0000}"/>
    <cellStyle name="40% - Accent1 54 4" xfId="27550" xr:uid="{00000000-0005-0000-0000-0000956B0000}"/>
    <cellStyle name="40% - Accent1 55" xfId="27551" xr:uid="{00000000-0005-0000-0000-0000966B0000}"/>
    <cellStyle name="40% - Accent1 55 2" xfId="27552" xr:uid="{00000000-0005-0000-0000-0000976B0000}"/>
    <cellStyle name="40% - Accent1 55 2 2" xfId="27553" xr:uid="{00000000-0005-0000-0000-0000986B0000}"/>
    <cellStyle name="40% - Accent1 55 3" xfId="27554" xr:uid="{00000000-0005-0000-0000-0000996B0000}"/>
    <cellStyle name="40% - Accent1 55 3 2" xfId="27555" xr:uid="{00000000-0005-0000-0000-00009A6B0000}"/>
    <cellStyle name="40% - Accent1 55 4" xfId="27556" xr:uid="{00000000-0005-0000-0000-00009B6B0000}"/>
    <cellStyle name="40% - Accent1 56" xfId="27557" xr:uid="{00000000-0005-0000-0000-00009C6B0000}"/>
    <cellStyle name="40% - Accent1 56 2" xfId="27558" xr:uid="{00000000-0005-0000-0000-00009D6B0000}"/>
    <cellStyle name="40% - Accent1 56 2 2" xfId="27559" xr:uid="{00000000-0005-0000-0000-00009E6B0000}"/>
    <cellStyle name="40% - Accent1 56 3" xfId="27560" xr:uid="{00000000-0005-0000-0000-00009F6B0000}"/>
    <cellStyle name="40% - Accent1 56 3 2" xfId="27561" xr:uid="{00000000-0005-0000-0000-0000A06B0000}"/>
    <cellStyle name="40% - Accent1 56 4" xfId="27562" xr:uid="{00000000-0005-0000-0000-0000A16B0000}"/>
    <cellStyle name="40% - Accent1 57" xfId="27563" xr:uid="{00000000-0005-0000-0000-0000A26B0000}"/>
    <cellStyle name="40% - Accent1 57 2" xfId="27564" xr:uid="{00000000-0005-0000-0000-0000A36B0000}"/>
    <cellStyle name="40% - Accent1 57 2 2" xfId="27565" xr:uid="{00000000-0005-0000-0000-0000A46B0000}"/>
    <cellStyle name="40% - Accent1 57 3" xfId="27566" xr:uid="{00000000-0005-0000-0000-0000A56B0000}"/>
    <cellStyle name="40% - Accent1 57 3 2" xfId="27567" xr:uid="{00000000-0005-0000-0000-0000A66B0000}"/>
    <cellStyle name="40% - Accent1 57 4" xfId="27568" xr:uid="{00000000-0005-0000-0000-0000A76B0000}"/>
    <cellStyle name="40% - Accent1 58" xfId="27569" xr:uid="{00000000-0005-0000-0000-0000A86B0000}"/>
    <cellStyle name="40% - Accent1 58 2" xfId="27570" xr:uid="{00000000-0005-0000-0000-0000A96B0000}"/>
    <cellStyle name="40% - Accent1 58 2 2" xfId="27571" xr:uid="{00000000-0005-0000-0000-0000AA6B0000}"/>
    <cellStyle name="40% - Accent1 58 3" xfId="27572" xr:uid="{00000000-0005-0000-0000-0000AB6B0000}"/>
    <cellStyle name="40% - Accent1 58 3 2" xfId="27573" xr:uid="{00000000-0005-0000-0000-0000AC6B0000}"/>
    <cellStyle name="40% - Accent1 58 4" xfId="27574" xr:uid="{00000000-0005-0000-0000-0000AD6B0000}"/>
    <cellStyle name="40% - Accent1 59" xfId="27575" xr:uid="{00000000-0005-0000-0000-0000AE6B0000}"/>
    <cellStyle name="40% - Accent1 59 2" xfId="27576" xr:uid="{00000000-0005-0000-0000-0000AF6B0000}"/>
    <cellStyle name="40% - Accent1 59 2 2" xfId="27577" xr:uid="{00000000-0005-0000-0000-0000B06B0000}"/>
    <cellStyle name="40% - Accent1 59 3" xfId="27578" xr:uid="{00000000-0005-0000-0000-0000B16B0000}"/>
    <cellStyle name="40% - Accent1 6" xfId="27579" xr:uid="{00000000-0005-0000-0000-0000B26B0000}"/>
    <cellStyle name="40% - Accent1 6 2" xfId="27580" xr:uid="{00000000-0005-0000-0000-0000B36B0000}"/>
    <cellStyle name="40% - Accent1 6 2 2" xfId="27581" xr:uid="{00000000-0005-0000-0000-0000B46B0000}"/>
    <cellStyle name="40% - Accent1 6 3" xfId="27582" xr:uid="{00000000-0005-0000-0000-0000B56B0000}"/>
    <cellStyle name="40% - Accent1 6 3 2" xfId="27583" xr:uid="{00000000-0005-0000-0000-0000B66B0000}"/>
    <cellStyle name="40% - Accent1 6 4" xfId="27584" xr:uid="{00000000-0005-0000-0000-0000B76B0000}"/>
    <cellStyle name="40% - Accent1 6 4 2" xfId="27585" xr:uid="{00000000-0005-0000-0000-0000B86B0000}"/>
    <cellStyle name="40% - Accent1 6 5" xfId="27586" xr:uid="{00000000-0005-0000-0000-0000B96B0000}"/>
    <cellStyle name="40% - Accent1 6 5 2" xfId="27587" xr:uid="{00000000-0005-0000-0000-0000BA6B0000}"/>
    <cellStyle name="40% - Accent1 6 6" xfId="27588" xr:uid="{00000000-0005-0000-0000-0000BB6B0000}"/>
    <cellStyle name="40% - Accent1 60" xfId="27589" xr:uid="{00000000-0005-0000-0000-0000BC6B0000}"/>
    <cellStyle name="40% - Accent1 60 2" xfId="27590" xr:uid="{00000000-0005-0000-0000-0000BD6B0000}"/>
    <cellStyle name="40% - Accent1 61" xfId="27591" xr:uid="{00000000-0005-0000-0000-0000BE6B0000}"/>
    <cellStyle name="40% - Accent1 61 2" xfId="27592" xr:uid="{00000000-0005-0000-0000-0000BF6B0000}"/>
    <cellStyle name="40% - Accent1 62" xfId="27593" xr:uid="{00000000-0005-0000-0000-0000C06B0000}"/>
    <cellStyle name="40% - Accent1 62 2" xfId="27594" xr:uid="{00000000-0005-0000-0000-0000C16B0000}"/>
    <cellStyle name="40% - Accent1 63" xfId="27595" xr:uid="{00000000-0005-0000-0000-0000C26B0000}"/>
    <cellStyle name="40% - Accent1 63 2" xfId="27596" xr:uid="{00000000-0005-0000-0000-0000C36B0000}"/>
    <cellStyle name="40% - Accent1 64" xfId="27597" xr:uid="{00000000-0005-0000-0000-0000C46B0000}"/>
    <cellStyle name="40% - Accent1 64 2" xfId="27598" xr:uid="{00000000-0005-0000-0000-0000C56B0000}"/>
    <cellStyle name="40% - Accent1 65" xfId="27599" xr:uid="{00000000-0005-0000-0000-0000C66B0000}"/>
    <cellStyle name="40% - Accent1 65 2" xfId="27600" xr:uid="{00000000-0005-0000-0000-0000C76B0000}"/>
    <cellStyle name="40% - Accent1 66" xfId="27601" xr:uid="{00000000-0005-0000-0000-0000C86B0000}"/>
    <cellStyle name="40% - Accent1 66 2" xfId="27602" xr:uid="{00000000-0005-0000-0000-0000C96B0000}"/>
    <cellStyle name="40% - Accent1 67" xfId="27603" xr:uid="{00000000-0005-0000-0000-0000CA6B0000}"/>
    <cellStyle name="40% - Accent1 67 2" xfId="27604" xr:uid="{00000000-0005-0000-0000-0000CB6B0000}"/>
    <cellStyle name="40% - Accent1 68" xfId="27605" xr:uid="{00000000-0005-0000-0000-0000CC6B0000}"/>
    <cellStyle name="40% - Accent1 68 2" xfId="27606" xr:uid="{00000000-0005-0000-0000-0000CD6B0000}"/>
    <cellStyle name="40% - Accent1 69" xfId="27607" xr:uid="{00000000-0005-0000-0000-0000CE6B0000}"/>
    <cellStyle name="40% - Accent1 69 2" xfId="27608" xr:uid="{00000000-0005-0000-0000-0000CF6B0000}"/>
    <cellStyle name="40% - Accent1 7" xfId="27609" xr:uid="{00000000-0005-0000-0000-0000D06B0000}"/>
    <cellStyle name="40% - Accent1 7 2" xfId="27610" xr:uid="{00000000-0005-0000-0000-0000D16B0000}"/>
    <cellStyle name="40% - Accent1 7 2 2" xfId="27611" xr:uid="{00000000-0005-0000-0000-0000D26B0000}"/>
    <cellStyle name="40% - Accent1 7 3" xfId="27612" xr:uid="{00000000-0005-0000-0000-0000D36B0000}"/>
    <cellStyle name="40% - Accent1 7 3 2" xfId="27613" xr:uid="{00000000-0005-0000-0000-0000D46B0000}"/>
    <cellStyle name="40% - Accent1 7 4" xfId="27614" xr:uid="{00000000-0005-0000-0000-0000D56B0000}"/>
    <cellStyle name="40% - Accent1 7 4 2" xfId="27615" xr:uid="{00000000-0005-0000-0000-0000D66B0000}"/>
    <cellStyle name="40% - Accent1 7 5" xfId="27616" xr:uid="{00000000-0005-0000-0000-0000D76B0000}"/>
    <cellStyle name="40% - Accent1 7 5 2" xfId="27617" xr:uid="{00000000-0005-0000-0000-0000D86B0000}"/>
    <cellStyle name="40% - Accent1 7 6" xfId="27618" xr:uid="{00000000-0005-0000-0000-0000D96B0000}"/>
    <cellStyle name="40% - Accent1 70" xfId="27619" xr:uid="{00000000-0005-0000-0000-0000DA6B0000}"/>
    <cellStyle name="40% - Accent1 70 2" xfId="27620" xr:uid="{00000000-0005-0000-0000-0000DB6B0000}"/>
    <cellStyle name="40% - Accent1 71" xfId="27621" xr:uid="{00000000-0005-0000-0000-0000DC6B0000}"/>
    <cellStyle name="40% - Accent1 71 2" xfId="27622" xr:uid="{00000000-0005-0000-0000-0000DD6B0000}"/>
    <cellStyle name="40% - Accent1 72" xfId="27623" xr:uid="{00000000-0005-0000-0000-0000DE6B0000}"/>
    <cellStyle name="40% - Accent1 72 2" xfId="27624" xr:uid="{00000000-0005-0000-0000-0000DF6B0000}"/>
    <cellStyle name="40% - Accent1 73" xfId="27625" xr:uid="{00000000-0005-0000-0000-0000E06B0000}"/>
    <cellStyle name="40% - Accent1 73 2" xfId="27626" xr:uid="{00000000-0005-0000-0000-0000E16B0000}"/>
    <cellStyle name="40% - Accent1 74" xfId="27627" xr:uid="{00000000-0005-0000-0000-0000E26B0000}"/>
    <cellStyle name="40% - Accent1 74 2" xfId="27628" xr:uid="{00000000-0005-0000-0000-0000E36B0000}"/>
    <cellStyle name="40% - Accent1 75" xfId="27629" xr:uid="{00000000-0005-0000-0000-0000E46B0000}"/>
    <cellStyle name="40% - Accent1 75 2" xfId="27630" xr:uid="{00000000-0005-0000-0000-0000E56B0000}"/>
    <cellStyle name="40% - Accent1 76" xfId="27631" xr:uid="{00000000-0005-0000-0000-0000E66B0000}"/>
    <cellStyle name="40% - Accent1 76 2" xfId="27632" xr:uid="{00000000-0005-0000-0000-0000E76B0000}"/>
    <cellStyle name="40% - Accent1 77" xfId="27633" xr:uid="{00000000-0005-0000-0000-0000E86B0000}"/>
    <cellStyle name="40% - Accent1 77 2" xfId="27634" xr:uid="{00000000-0005-0000-0000-0000E96B0000}"/>
    <cellStyle name="40% - Accent1 78" xfId="27635" xr:uid="{00000000-0005-0000-0000-0000EA6B0000}"/>
    <cellStyle name="40% - Accent1 78 2" xfId="27636" xr:uid="{00000000-0005-0000-0000-0000EB6B0000}"/>
    <cellStyle name="40% - Accent1 79" xfId="27637" xr:uid="{00000000-0005-0000-0000-0000EC6B0000}"/>
    <cellStyle name="40% - Accent1 79 2" xfId="27638" xr:uid="{00000000-0005-0000-0000-0000ED6B0000}"/>
    <cellStyle name="40% - Accent1 8" xfId="27639" xr:uid="{00000000-0005-0000-0000-0000EE6B0000}"/>
    <cellStyle name="40% - Accent1 8 2" xfId="27640" xr:uid="{00000000-0005-0000-0000-0000EF6B0000}"/>
    <cellStyle name="40% - Accent1 8 2 2" xfId="27641" xr:uid="{00000000-0005-0000-0000-0000F06B0000}"/>
    <cellStyle name="40% - Accent1 8 3" xfId="27642" xr:uid="{00000000-0005-0000-0000-0000F16B0000}"/>
    <cellStyle name="40% - Accent1 8 3 2" xfId="27643" xr:uid="{00000000-0005-0000-0000-0000F26B0000}"/>
    <cellStyle name="40% - Accent1 8 4" xfId="27644" xr:uid="{00000000-0005-0000-0000-0000F36B0000}"/>
    <cellStyle name="40% - Accent1 8 4 2" xfId="27645" xr:uid="{00000000-0005-0000-0000-0000F46B0000}"/>
    <cellStyle name="40% - Accent1 8 5" xfId="27646" xr:uid="{00000000-0005-0000-0000-0000F56B0000}"/>
    <cellStyle name="40% - Accent1 8 5 2" xfId="27647" xr:uid="{00000000-0005-0000-0000-0000F66B0000}"/>
    <cellStyle name="40% - Accent1 8 6" xfId="27648" xr:uid="{00000000-0005-0000-0000-0000F76B0000}"/>
    <cellStyle name="40% - Accent1 80" xfId="27649" xr:uid="{00000000-0005-0000-0000-0000F86B0000}"/>
    <cellStyle name="40% - Accent1 80 2" xfId="27650" xr:uid="{00000000-0005-0000-0000-0000F96B0000}"/>
    <cellStyle name="40% - Accent1 81" xfId="27651" xr:uid="{00000000-0005-0000-0000-0000FA6B0000}"/>
    <cellStyle name="40% - Accent1 81 2" xfId="27652" xr:uid="{00000000-0005-0000-0000-0000FB6B0000}"/>
    <cellStyle name="40% - Accent1 82" xfId="27653" xr:uid="{00000000-0005-0000-0000-0000FC6B0000}"/>
    <cellStyle name="40% - Accent1 82 2" xfId="27654" xr:uid="{00000000-0005-0000-0000-0000FD6B0000}"/>
    <cellStyle name="40% - Accent1 83" xfId="27655" xr:uid="{00000000-0005-0000-0000-0000FE6B0000}"/>
    <cellStyle name="40% - Accent1 83 2" xfId="27656" xr:uid="{00000000-0005-0000-0000-0000FF6B0000}"/>
    <cellStyle name="40% - Accent1 84" xfId="27657" xr:uid="{00000000-0005-0000-0000-0000006C0000}"/>
    <cellStyle name="40% - Accent1 84 2" xfId="27658" xr:uid="{00000000-0005-0000-0000-0000016C0000}"/>
    <cellStyle name="40% - Accent1 85" xfId="27659" xr:uid="{00000000-0005-0000-0000-0000026C0000}"/>
    <cellStyle name="40% - Accent1 85 2" xfId="27660" xr:uid="{00000000-0005-0000-0000-0000036C0000}"/>
    <cellStyle name="40% - Accent1 86" xfId="27661" xr:uid="{00000000-0005-0000-0000-0000046C0000}"/>
    <cellStyle name="40% - Accent1 86 2" xfId="27662" xr:uid="{00000000-0005-0000-0000-0000056C0000}"/>
    <cellStyle name="40% - Accent1 87" xfId="27663" xr:uid="{00000000-0005-0000-0000-0000066C0000}"/>
    <cellStyle name="40% - Accent1 87 2" xfId="27664" xr:uid="{00000000-0005-0000-0000-0000076C0000}"/>
    <cellStyle name="40% - Accent1 88" xfId="27665" xr:uid="{00000000-0005-0000-0000-0000086C0000}"/>
    <cellStyle name="40% - Accent1 88 2" xfId="27666" xr:uid="{00000000-0005-0000-0000-0000096C0000}"/>
    <cellStyle name="40% - Accent1 89" xfId="27667" xr:uid="{00000000-0005-0000-0000-00000A6C0000}"/>
    <cellStyle name="40% - Accent1 89 2" xfId="27668" xr:uid="{00000000-0005-0000-0000-00000B6C0000}"/>
    <cellStyle name="40% - Accent1 9" xfId="27669" xr:uid="{00000000-0005-0000-0000-00000C6C0000}"/>
    <cellStyle name="40% - Accent1 9 2" xfId="27670" xr:uid="{00000000-0005-0000-0000-00000D6C0000}"/>
    <cellStyle name="40% - Accent1 9 2 2" xfId="27671" xr:uid="{00000000-0005-0000-0000-00000E6C0000}"/>
    <cellStyle name="40% - Accent1 9 3" xfId="27672" xr:uid="{00000000-0005-0000-0000-00000F6C0000}"/>
    <cellStyle name="40% - Accent1 9 3 2" xfId="27673" xr:uid="{00000000-0005-0000-0000-0000106C0000}"/>
    <cellStyle name="40% - Accent1 9 4" xfId="27674" xr:uid="{00000000-0005-0000-0000-0000116C0000}"/>
    <cellStyle name="40% - Accent1 9 4 2" xfId="27675" xr:uid="{00000000-0005-0000-0000-0000126C0000}"/>
    <cellStyle name="40% - Accent1 9 5" xfId="27676" xr:uid="{00000000-0005-0000-0000-0000136C0000}"/>
    <cellStyle name="40% - Accent1 9 5 2" xfId="27677" xr:uid="{00000000-0005-0000-0000-0000146C0000}"/>
    <cellStyle name="40% - Accent1 9 6" xfId="27678" xr:uid="{00000000-0005-0000-0000-0000156C0000}"/>
    <cellStyle name="40% - Accent1 90" xfId="27679" xr:uid="{00000000-0005-0000-0000-0000166C0000}"/>
    <cellStyle name="40% - Accent1 90 2" xfId="27680" xr:uid="{00000000-0005-0000-0000-0000176C0000}"/>
    <cellStyle name="40% - Accent1 91" xfId="27681" xr:uid="{00000000-0005-0000-0000-0000186C0000}"/>
    <cellStyle name="40% - Accent1 91 2" xfId="27682" xr:uid="{00000000-0005-0000-0000-0000196C0000}"/>
    <cellStyle name="40% - Accent1 92" xfId="27683" xr:uid="{00000000-0005-0000-0000-00001A6C0000}"/>
    <cellStyle name="40% - Accent1 92 2" xfId="27684" xr:uid="{00000000-0005-0000-0000-00001B6C0000}"/>
    <cellStyle name="40% - Accent1 93" xfId="27685" xr:uid="{00000000-0005-0000-0000-00001C6C0000}"/>
    <cellStyle name="40% - Accent1 93 2" xfId="27686" xr:uid="{00000000-0005-0000-0000-00001D6C0000}"/>
    <cellStyle name="40% - Accent1 94" xfId="27687" xr:uid="{00000000-0005-0000-0000-00001E6C0000}"/>
    <cellStyle name="40% - Accent1 94 2" xfId="27688" xr:uid="{00000000-0005-0000-0000-00001F6C0000}"/>
    <cellStyle name="40% - Accent1 95" xfId="27689" xr:uid="{00000000-0005-0000-0000-0000206C0000}"/>
    <cellStyle name="40% - Accent1 95 2" xfId="27690" xr:uid="{00000000-0005-0000-0000-0000216C0000}"/>
    <cellStyle name="40% - Accent1 96" xfId="27691" xr:uid="{00000000-0005-0000-0000-0000226C0000}"/>
    <cellStyle name="40% - Accent1 96 2" xfId="27692" xr:uid="{00000000-0005-0000-0000-0000236C0000}"/>
    <cellStyle name="40% - Accent1 97" xfId="27693" xr:uid="{00000000-0005-0000-0000-0000246C0000}"/>
    <cellStyle name="40% - Accent1 97 2" xfId="27694" xr:uid="{00000000-0005-0000-0000-0000256C0000}"/>
    <cellStyle name="40% - Accent1 98" xfId="27695" xr:uid="{00000000-0005-0000-0000-0000266C0000}"/>
    <cellStyle name="40% - Accent1 98 2" xfId="27696" xr:uid="{00000000-0005-0000-0000-0000276C0000}"/>
    <cellStyle name="40% - Accent1 99" xfId="27697" xr:uid="{00000000-0005-0000-0000-0000286C0000}"/>
    <cellStyle name="40% - Accent1 99 2" xfId="27698" xr:uid="{00000000-0005-0000-0000-0000296C0000}"/>
    <cellStyle name="40% - Accent2 10" xfId="27699" xr:uid="{00000000-0005-0000-0000-00002A6C0000}"/>
    <cellStyle name="40% - Accent2 10 2" xfId="27700" xr:uid="{00000000-0005-0000-0000-00002B6C0000}"/>
    <cellStyle name="40% - Accent2 10 2 2" xfId="27701" xr:uid="{00000000-0005-0000-0000-00002C6C0000}"/>
    <cellStyle name="40% - Accent2 10 2 2 2" xfId="27702" xr:uid="{00000000-0005-0000-0000-00002D6C0000}"/>
    <cellStyle name="40% - Accent2 10 2 3" xfId="27703" xr:uid="{00000000-0005-0000-0000-00002E6C0000}"/>
    <cellStyle name="40% - Accent2 10 2 3 2" xfId="27704" xr:uid="{00000000-0005-0000-0000-00002F6C0000}"/>
    <cellStyle name="40% - Accent2 10 2 4" xfId="27705" xr:uid="{00000000-0005-0000-0000-0000306C0000}"/>
    <cellStyle name="40% - Accent2 10 3" xfId="27706" xr:uid="{00000000-0005-0000-0000-0000316C0000}"/>
    <cellStyle name="40% - Accent2 10 3 2" xfId="27707" xr:uid="{00000000-0005-0000-0000-0000326C0000}"/>
    <cellStyle name="40% - Accent2 10 3 2 2" xfId="27708" xr:uid="{00000000-0005-0000-0000-0000336C0000}"/>
    <cellStyle name="40% - Accent2 10 3 3" xfId="27709" xr:uid="{00000000-0005-0000-0000-0000346C0000}"/>
    <cellStyle name="40% - Accent2 10 3 3 2" xfId="27710" xr:uid="{00000000-0005-0000-0000-0000356C0000}"/>
    <cellStyle name="40% - Accent2 10 3 4" xfId="27711" xr:uid="{00000000-0005-0000-0000-0000366C0000}"/>
    <cellStyle name="40% - Accent2 10 4" xfId="27712" xr:uid="{00000000-0005-0000-0000-0000376C0000}"/>
    <cellStyle name="40% - Accent2 10 4 2" xfId="27713" xr:uid="{00000000-0005-0000-0000-0000386C0000}"/>
    <cellStyle name="40% - Accent2 10 5" xfId="27714" xr:uid="{00000000-0005-0000-0000-0000396C0000}"/>
    <cellStyle name="40% - Accent2 10 5 2" xfId="27715" xr:uid="{00000000-0005-0000-0000-00003A6C0000}"/>
    <cellStyle name="40% - Accent2 10 6" xfId="27716" xr:uid="{00000000-0005-0000-0000-00003B6C0000}"/>
    <cellStyle name="40% - Accent2 100" xfId="27717" xr:uid="{00000000-0005-0000-0000-00003C6C0000}"/>
    <cellStyle name="40% - Accent2 100 2" xfId="27718" xr:uid="{00000000-0005-0000-0000-00003D6C0000}"/>
    <cellStyle name="40% - Accent2 101" xfId="27719" xr:uid="{00000000-0005-0000-0000-00003E6C0000}"/>
    <cellStyle name="40% - Accent2 101 2" xfId="27720" xr:uid="{00000000-0005-0000-0000-00003F6C0000}"/>
    <cellStyle name="40% - Accent2 102" xfId="27721" xr:uid="{00000000-0005-0000-0000-0000406C0000}"/>
    <cellStyle name="40% - Accent2 102 2" xfId="27722" xr:uid="{00000000-0005-0000-0000-0000416C0000}"/>
    <cellStyle name="40% - Accent2 103" xfId="27723" xr:uid="{00000000-0005-0000-0000-0000426C0000}"/>
    <cellStyle name="40% - Accent2 103 2" xfId="27724" xr:uid="{00000000-0005-0000-0000-0000436C0000}"/>
    <cellStyle name="40% - Accent2 104" xfId="27725" xr:uid="{00000000-0005-0000-0000-0000446C0000}"/>
    <cellStyle name="40% - Accent2 104 2" xfId="27726" xr:uid="{00000000-0005-0000-0000-0000456C0000}"/>
    <cellStyle name="40% - Accent2 105" xfId="27727" xr:uid="{00000000-0005-0000-0000-0000466C0000}"/>
    <cellStyle name="40% - Accent2 105 2" xfId="27728" xr:uid="{00000000-0005-0000-0000-0000476C0000}"/>
    <cellStyle name="40% - Accent2 106" xfId="27729" xr:uid="{00000000-0005-0000-0000-0000486C0000}"/>
    <cellStyle name="40% - Accent2 106 2" xfId="27730" xr:uid="{00000000-0005-0000-0000-0000496C0000}"/>
    <cellStyle name="40% - Accent2 107" xfId="27731" xr:uid="{00000000-0005-0000-0000-00004A6C0000}"/>
    <cellStyle name="40% - Accent2 107 2" xfId="27732" xr:uid="{00000000-0005-0000-0000-00004B6C0000}"/>
    <cellStyle name="40% - Accent2 108" xfId="27733" xr:uid="{00000000-0005-0000-0000-00004C6C0000}"/>
    <cellStyle name="40% - Accent2 108 2" xfId="27734" xr:uid="{00000000-0005-0000-0000-00004D6C0000}"/>
    <cellStyle name="40% - Accent2 109" xfId="27735" xr:uid="{00000000-0005-0000-0000-00004E6C0000}"/>
    <cellStyle name="40% - Accent2 109 2" xfId="27736" xr:uid="{00000000-0005-0000-0000-00004F6C0000}"/>
    <cellStyle name="40% - Accent2 11" xfId="27737" xr:uid="{00000000-0005-0000-0000-0000506C0000}"/>
    <cellStyle name="40% - Accent2 11 2" xfId="27738" xr:uid="{00000000-0005-0000-0000-0000516C0000}"/>
    <cellStyle name="40% - Accent2 11 2 2" xfId="27739" xr:uid="{00000000-0005-0000-0000-0000526C0000}"/>
    <cellStyle name="40% - Accent2 11 2 2 2" xfId="27740" xr:uid="{00000000-0005-0000-0000-0000536C0000}"/>
    <cellStyle name="40% - Accent2 11 2 3" xfId="27741" xr:uid="{00000000-0005-0000-0000-0000546C0000}"/>
    <cellStyle name="40% - Accent2 11 2 3 2" xfId="27742" xr:uid="{00000000-0005-0000-0000-0000556C0000}"/>
    <cellStyle name="40% - Accent2 11 2 4" xfId="27743" xr:uid="{00000000-0005-0000-0000-0000566C0000}"/>
    <cellStyle name="40% - Accent2 11 3" xfId="27744" xr:uid="{00000000-0005-0000-0000-0000576C0000}"/>
    <cellStyle name="40% - Accent2 11 3 2" xfId="27745" xr:uid="{00000000-0005-0000-0000-0000586C0000}"/>
    <cellStyle name="40% - Accent2 11 3 2 2" xfId="27746" xr:uid="{00000000-0005-0000-0000-0000596C0000}"/>
    <cellStyle name="40% - Accent2 11 3 3" xfId="27747" xr:uid="{00000000-0005-0000-0000-00005A6C0000}"/>
    <cellStyle name="40% - Accent2 11 3 3 2" xfId="27748" xr:uid="{00000000-0005-0000-0000-00005B6C0000}"/>
    <cellStyle name="40% - Accent2 11 3 4" xfId="27749" xr:uid="{00000000-0005-0000-0000-00005C6C0000}"/>
    <cellStyle name="40% - Accent2 11 4" xfId="27750" xr:uid="{00000000-0005-0000-0000-00005D6C0000}"/>
    <cellStyle name="40% - Accent2 11 4 2" xfId="27751" xr:uid="{00000000-0005-0000-0000-00005E6C0000}"/>
    <cellStyle name="40% - Accent2 11 5" xfId="27752" xr:uid="{00000000-0005-0000-0000-00005F6C0000}"/>
    <cellStyle name="40% - Accent2 11 5 2" xfId="27753" xr:uid="{00000000-0005-0000-0000-0000606C0000}"/>
    <cellStyle name="40% - Accent2 11 6" xfId="27754" xr:uid="{00000000-0005-0000-0000-0000616C0000}"/>
    <cellStyle name="40% - Accent2 110" xfId="27755" xr:uid="{00000000-0005-0000-0000-0000626C0000}"/>
    <cellStyle name="40% - Accent2 110 2" xfId="27756" xr:uid="{00000000-0005-0000-0000-0000636C0000}"/>
    <cellStyle name="40% - Accent2 111" xfId="27757" xr:uid="{00000000-0005-0000-0000-0000646C0000}"/>
    <cellStyle name="40% - Accent2 111 2" xfId="27758" xr:uid="{00000000-0005-0000-0000-0000656C0000}"/>
    <cellStyle name="40% - Accent2 112" xfId="27759" xr:uid="{00000000-0005-0000-0000-0000666C0000}"/>
    <cellStyle name="40% - Accent2 112 2" xfId="27760" xr:uid="{00000000-0005-0000-0000-0000676C0000}"/>
    <cellStyle name="40% - Accent2 113" xfId="27761" xr:uid="{00000000-0005-0000-0000-0000686C0000}"/>
    <cellStyle name="40% - Accent2 113 2" xfId="27762" xr:uid="{00000000-0005-0000-0000-0000696C0000}"/>
    <cellStyle name="40% - Accent2 114" xfId="27763" xr:uid="{00000000-0005-0000-0000-00006A6C0000}"/>
    <cellStyle name="40% - Accent2 114 2" xfId="27764" xr:uid="{00000000-0005-0000-0000-00006B6C0000}"/>
    <cellStyle name="40% - Accent2 115" xfId="27765" xr:uid="{00000000-0005-0000-0000-00006C6C0000}"/>
    <cellStyle name="40% - Accent2 115 2" xfId="27766" xr:uid="{00000000-0005-0000-0000-00006D6C0000}"/>
    <cellStyle name="40% - Accent2 116" xfId="27767" xr:uid="{00000000-0005-0000-0000-00006E6C0000}"/>
    <cellStyle name="40% - Accent2 116 2" xfId="27768" xr:uid="{00000000-0005-0000-0000-00006F6C0000}"/>
    <cellStyle name="40% - Accent2 117" xfId="27769" xr:uid="{00000000-0005-0000-0000-0000706C0000}"/>
    <cellStyle name="40% - Accent2 117 2" xfId="27770" xr:uid="{00000000-0005-0000-0000-0000716C0000}"/>
    <cellStyle name="40% - Accent2 118" xfId="27771" xr:uid="{00000000-0005-0000-0000-0000726C0000}"/>
    <cellStyle name="40% - Accent2 118 2" xfId="27772" xr:uid="{00000000-0005-0000-0000-0000736C0000}"/>
    <cellStyle name="40% - Accent2 119" xfId="27773" xr:uid="{00000000-0005-0000-0000-0000746C0000}"/>
    <cellStyle name="40% - Accent2 119 2" xfId="27774" xr:uid="{00000000-0005-0000-0000-0000756C0000}"/>
    <cellStyle name="40% - Accent2 12" xfId="27775" xr:uid="{00000000-0005-0000-0000-0000766C0000}"/>
    <cellStyle name="40% - Accent2 12 2" xfId="27776" xr:uid="{00000000-0005-0000-0000-0000776C0000}"/>
    <cellStyle name="40% - Accent2 12 2 2" xfId="27777" xr:uid="{00000000-0005-0000-0000-0000786C0000}"/>
    <cellStyle name="40% - Accent2 12 2 2 2" xfId="27778" xr:uid="{00000000-0005-0000-0000-0000796C0000}"/>
    <cellStyle name="40% - Accent2 12 2 3" xfId="27779" xr:uid="{00000000-0005-0000-0000-00007A6C0000}"/>
    <cellStyle name="40% - Accent2 12 2 3 2" xfId="27780" xr:uid="{00000000-0005-0000-0000-00007B6C0000}"/>
    <cellStyle name="40% - Accent2 12 2 4" xfId="27781" xr:uid="{00000000-0005-0000-0000-00007C6C0000}"/>
    <cellStyle name="40% - Accent2 12 3" xfId="27782" xr:uid="{00000000-0005-0000-0000-00007D6C0000}"/>
    <cellStyle name="40% - Accent2 12 3 2" xfId="27783" xr:uid="{00000000-0005-0000-0000-00007E6C0000}"/>
    <cellStyle name="40% - Accent2 12 3 2 2" xfId="27784" xr:uid="{00000000-0005-0000-0000-00007F6C0000}"/>
    <cellStyle name="40% - Accent2 12 3 3" xfId="27785" xr:uid="{00000000-0005-0000-0000-0000806C0000}"/>
    <cellStyle name="40% - Accent2 12 3 3 2" xfId="27786" xr:uid="{00000000-0005-0000-0000-0000816C0000}"/>
    <cellStyle name="40% - Accent2 12 3 4" xfId="27787" xr:uid="{00000000-0005-0000-0000-0000826C0000}"/>
    <cellStyle name="40% - Accent2 12 4" xfId="27788" xr:uid="{00000000-0005-0000-0000-0000836C0000}"/>
    <cellStyle name="40% - Accent2 12 4 2" xfId="27789" xr:uid="{00000000-0005-0000-0000-0000846C0000}"/>
    <cellStyle name="40% - Accent2 12 5" xfId="27790" xr:uid="{00000000-0005-0000-0000-0000856C0000}"/>
    <cellStyle name="40% - Accent2 12 5 2" xfId="27791" xr:uid="{00000000-0005-0000-0000-0000866C0000}"/>
    <cellStyle name="40% - Accent2 12 6" xfId="27792" xr:uid="{00000000-0005-0000-0000-0000876C0000}"/>
    <cellStyle name="40% - Accent2 120" xfId="27793" xr:uid="{00000000-0005-0000-0000-0000886C0000}"/>
    <cellStyle name="40% - Accent2 120 2" xfId="27794" xr:uid="{00000000-0005-0000-0000-0000896C0000}"/>
    <cellStyle name="40% - Accent2 121" xfId="27795" xr:uid="{00000000-0005-0000-0000-00008A6C0000}"/>
    <cellStyle name="40% - Accent2 121 2" xfId="27796" xr:uid="{00000000-0005-0000-0000-00008B6C0000}"/>
    <cellStyle name="40% - Accent2 122" xfId="27797" xr:uid="{00000000-0005-0000-0000-00008C6C0000}"/>
    <cellStyle name="40% - Accent2 122 2" xfId="27798" xr:uid="{00000000-0005-0000-0000-00008D6C0000}"/>
    <cellStyle name="40% - Accent2 123" xfId="27799" xr:uid="{00000000-0005-0000-0000-00008E6C0000}"/>
    <cellStyle name="40% - Accent2 123 2" xfId="27800" xr:uid="{00000000-0005-0000-0000-00008F6C0000}"/>
    <cellStyle name="40% - Accent2 124" xfId="27801" xr:uid="{00000000-0005-0000-0000-0000906C0000}"/>
    <cellStyle name="40% - Accent2 124 2" xfId="27802" xr:uid="{00000000-0005-0000-0000-0000916C0000}"/>
    <cellStyle name="40% - Accent2 125" xfId="27803" xr:uid="{00000000-0005-0000-0000-0000926C0000}"/>
    <cellStyle name="40% - Accent2 125 2" xfId="27804" xr:uid="{00000000-0005-0000-0000-0000936C0000}"/>
    <cellStyle name="40% - Accent2 126" xfId="27805" xr:uid="{00000000-0005-0000-0000-0000946C0000}"/>
    <cellStyle name="40% - Accent2 126 2" xfId="27806" xr:uid="{00000000-0005-0000-0000-0000956C0000}"/>
    <cellStyle name="40% - Accent2 127" xfId="27807" xr:uid="{00000000-0005-0000-0000-0000966C0000}"/>
    <cellStyle name="40% - Accent2 127 2" xfId="27808" xr:uid="{00000000-0005-0000-0000-0000976C0000}"/>
    <cellStyle name="40% - Accent2 128" xfId="27809" xr:uid="{00000000-0005-0000-0000-0000986C0000}"/>
    <cellStyle name="40% - Accent2 128 2" xfId="27810" xr:uid="{00000000-0005-0000-0000-0000996C0000}"/>
    <cellStyle name="40% - Accent2 129" xfId="27811" xr:uid="{00000000-0005-0000-0000-00009A6C0000}"/>
    <cellStyle name="40% - Accent2 129 2" xfId="27812" xr:uid="{00000000-0005-0000-0000-00009B6C0000}"/>
    <cellStyle name="40% - Accent2 13" xfId="27813" xr:uid="{00000000-0005-0000-0000-00009C6C0000}"/>
    <cellStyle name="40% - Accent2 13 2" xfId="27814" xr:uid="{00000000-0005-0000-0000-00009D6C0000}"/>
    <cellStyle name="40% - Accent2 13 2 2" xfId="27815" xr:uid="{00000000-0005-0000-0000-00009E6C0000}"/>
    <cellStyle name="40% - Accent2 13 3" xfId="27816" xr:uid="{00000000-0005-0000-0000-00009F6C0000}"/>
    <cellStyle name="40% - Accent2 13 3 2" xfId="27817" xr:uid="{00000000-0005-0000-0000-0000A06C0000}"/>
    <cellStyle name="40% - Accent2 13 4" xfId="27818" xr:uid="{00000000-0005-0000-0000-0000A16C0000}"/>
    <cellStyle name="40% - Accent2 130" xfId="27819" xr:uid="{00000000-0005-0000-0000-0000A26C0000}"/>
    <cellStyle name="40% - Accent2 130 2" xfId="27820" xr:uid="{00000000-0005-0000-0000-0000A36C0000}"/>
    <cellStyle name="40% - Accent2 131" xfId="27821" xr:uid="{00000000-0005-0000-0000-0000A46C0000}"/>
    <cellStyle name="40% - Accent2 131 2" xfId="27822" xr:uid="{00000000-0005-0000-0000-0000A56C0000}"/>
    <cellStyle name="40% - Accent2 132" xfId="27823" xr:uid="{00000000-0005-0000-0000-0000A66C0000}"/>
    <cellStyle name="40% - Accent2 132 2" xfId="27824" xr:uid="{00000000-0005-0000-0000-0000A76C0000}"/>
    <cellStyle name="40% - Accent2 133" xfId="27825" xr:uid="{00000000-0005-0000-0000-0000A86C0000}"/>
    <cellStyle name="40% - Accent2 133 2" xfId="27826" xr:uid="{00000000-0005-0000-0000-0000A96C0000}"/>
    <cellStyle name="40% - Accent2 134" xfId="27827" xr:uid="{00000000-0005-0000-0000-0000AA6C0000}"/>
    <cellStyle name="40% - Accent2 134 2" xfId="27828" xr:uid="{00000000-0005-0000-0000-0000AB6C0000}"/>
    <cellStyle name="40% - Accent2 135" xfId="27829" xr:uid="{00000000-0005-0000-0000-0000AC6C0000}"/>
    <cellStyle name="40% - Accent2 135 2" xfId="27830" xr:uid="{00000000-0005-0000-0000-0000AD6C0000}"/>
    <cellStyle name="40% - Accent2 136" xfId="27831" xr:uid="{00000000-0005-0000-0000-0000AE6C0000}"/>
    <cellStyle name="40% - Accent2 136 2" xfId="27832" xr:uid="{00000000-0005-0000-0000-0000AF6C0000}"/>
    <cellStyle name="40% - Accent2 137" xfId="27833" xr:uid="{00000000-0005-0000-0000-0000B06C0000}"/>
    <cellStyle name="40% - Accent2 137 2" xfId="27834" xr:uid="{00000000-0005-0000-0000-0000B16C0000}"/>
    <cellStyle name="40% - Accent2 138" xfId="27835" xr:uid="{00000000-0005-0000-0000-0000B26C0000}"/>
    <cellStyle name="40% - Accent2 138 2" xfId="27836" xr:uid="{00000000-0005-0000-0000-0000B36C0000}"/>
    <cellStyle name="40% - Accent2 139" xfId="27837" xr:uid="{00000000-0005-0000-0000-0000B46C0000}"/>
    <cellStyle name="40% - Accent2 139 2" xfId="27838" xr:uid="{00000000-0005-0000-0000-0000B56C0000}"/>
    <cellStyle name="40% - Accent2 14" xfId="27839" xr:uid="{00000000-0005-0000-0000-0000B66C0000}"/>
    <cellStyle name="40% - Accent2 14 2" xfId="27840" xr:uid="{00000000-0005-0000-0000-0000B76C0000}"/>
    <cellStyle name="40% - Accent2 14 2 2" xfId="27841" xr:uid="{00000000-0005-0000-0000-0000B86C0000}"/>
    <cellStyle name="40% - Accent2 14 3" xfId="27842" xr:uid="{00000000-0005-0000-0000-0000B96C0000}"/>
    <cellStyle name="40% - Accent2 14 3 2" xfId="27843" xr:uid="{00000000-0005-0000-0000-0000BA6C0000}"/>
    <cellStyle name="40% - Accent2 14 4" xfId="27844" xr:uid="{00000000-0005-0000-0000-0000BB6C0000}"/>
    <cellStyle name="40% - Accent2 140" xfId="27845" xr:uid="{00000000-0005-0000-0000-0000BC6C0000}"/>
    <cellStyle name="40% - Accent2 140 2" xfId="27846" xr:uid="{00000000-0005-0000-0000-0000BD6C0000}"/>
    <cellStyle name="40% - Accent2 141" xfId="27847" xr:uid="{00000000-0005-0000-0000-0000BE6C0000}"/>
    <cellStyle name="40% - Accent2 141 2" xfId="27848" xr:uid="{00000000-0005-0000-0000-0000BF6C0000}"/>
    <cellStyle name="40% - Accent2 142" xfId="27849" xr:uid="{00000000-0005-0000-0000-0000C06C0000}"/>
    <cellStyle name="40% - Accent2 142 2" xfId="27850" xr:uid="{00000000-0005-0000-0000-0000C16C0000}"/>
    <cellStyle name="40% - Accent2 143" xfId="27851" xr:uid="{00000000-0005-0000-0000-0000C26C0000}"/>
    <cellStyle name="40% - Accent2 143 2" xfId="27852" xr:uid="{00000000-0005-0000-0000-0000C36C0000}"/>
    <cellStyle name="40% - Accent2 144" xfId="27853" xr:uid="{00000000-0005-0000-0000-0000C46C0000}"/>
    <cellStyle name="40% - Accent2 144 2" xfId="27854" xr:uid="{00000000-0005-0000-0000-0000C56C0000}"/>
    <cellStyle name="40% - Accent2 145" xfId="27855" xr:uid="{00000000-0005-0000-0000-0000C66C0000}"/>
    <cellStyle name="40% - Accent2 145 2" xfId="27856" xr:uid="{00000000-0005-0000-0000-0000C76C0000}"/>
    <cellStyle name="40% - Accent2 146" xfId="27857" xr:uid="{00000000-0005-0000-0000-0000C86C0000}"/>
    <cellStyle name="40% - Accent2 146 2" xfId="27858" xr:uid="{00000000-0005-0000-0000-0000C96C0000}"/>
    <cellStyle name="40% - Accent2 147" xfId="27859" xr:uid="{00000000-0005-0000-0000-0000CA6C0000}"/>
    <cellStyle name="40% - Accent2 147 2" xfId="27860" xr:uid="{00000000-0005-0000-0000-0000CB6C0000}"/>
    <cellStyle name="40% - Accent2 148" xfId="27861" xr:uid="{00000000-0005-0000-0000-0000CC6C0000}"/>
    <cellStyle name="40% - Accent2 148 2" xfId="27862" xr:uid="{00000000-0005-0000-0000-0000CD6C0000}"/>
    <cellStyle name="40% - Accent2 149" xfId="27863" xr:uid="{00000000-0005-0000-0000-0000CE6C0000}"/>
    <cellStyle name="40% - Accent2 149 2" xfId="27864" xr:uid="{00000000-0005-0000-0000-0000CF6C0000}"/>
    <cellStyle name="40% - Accent2 15" xfId="27865" xr:uid="{00000000-0005-0000-0000-0000D06C0000}"/>
    <cellStyle name="40% - Accent2 15 2" xfId="27866" xr:uid="{00000000-0005-0000-0000-0000D16C0000}"/>
    <cellStyle name="40% - Accent2 15 2 2" xfId="27867" xr:uid="{00000000-0005-0000-0000-0000D26C0000}"/>
    <cellStyle name="40% - Accent2 15 3" xfId="27868" xr:uid="{00000000-0005-0000-0000-0000D36C0000}"/>
    <cellStyle name="40% - Accent2 15 3 2" xfId="27869" xr:uid="{00000000-0005-0000-0000-0000D46C0000}"/>
    <cellStyle name="40% - Accent2 15 4" xfId="27870" xr:uid="{00000000-0005-0000-0000-0000D56C0000}"/>
    <cellStyle name="40% - Accent2 150" xfId="27871" xr:uid="{00000000-0005-0000-0000-0000D66C0000}"/>
    <cellStyle name="40% - Accent2 150 2" xfId="27872" xr:uid="{00000000-0005-0000-0000-0000D76C0000}"/>
    <cellStyle name="40% - Accent2 151" xfId="27873" xr:uid="{00000000-0005-0000-0000-0000D86C0000}"/>
    <cellStyle name="40% - Accent2 151 2" xfId="27874" xr:uid="{00000000-0005-0000-0000-0000D96C0000}"/>
    <cellStyle name="40% - Accent2 152" xfId="27875" xr:uid="{00000000-0005-0000-0000-0000DA6C0000}"/>
    <cellStyle name="40% - Accent2 152 2" xfId="27876" xr:uid="{00000000-0005-0000-0000-0000DB6C0000}"/>
    <cellStyle name="40% - Accent2 153" xfId="27877" xr:uid="{00000000-0005-0000-0000-0000DC6C0000}"/>
    <cellStyle name="40% - Accent2 153 2" xfId="27878" xr:uid="{00000000-0005-0000-0000-0000DD6C0000}"/>
    <cellStyle name="40% - Accent2 154" xfId="27879" xr:uid="{00000000-0005-0000-0000-0000DE6C0000}"/>
    <cellStyle name="40% - Accent2 154 2" xfId="27880" xr:uid="{00000000-0005-0000-0000-0000DF6C0000}"/>
    <cellStyle name="40% - Accent2 155" xfId="27881" xr:uid="{00000000-0005-0000-0000-0000E06C0000}"/>
    <cellStyle name="40% - Accent2 155 2" xfId="27882" xr:uid="{00000000-0005-0000-0000-0000E16C0000}"/>
    <cellStyle name="40% - Accent2 156" xfId="27883" xr:uid="{00000000-0005-0000-0000-0000E26C0000}"/>
    <cellStyle name="40% - Accent2 156 2" xfId="27884" xr:uid="{00000000-0005-0000-0000-0000E36C0000}"/>
    <cellStyle name="40% - Accent2 157" xfId="27885" xr:uid="{00000000-0005-0000-0000-0000E46C0000}"/>
    <cellStyle name="40% - Accent2 157 2" xfId="27886" xr:uid="{00000000-0005-0000-0000-0000E56C0000}"/>
    <cellStyle name="40% - Accent2 158" xfId="27887" xr:uid="{00000000-0005-0000-0000-0000E66C0000}"/>
    <cellStyle name="40% - Accent2 158 2" xfId="27888" xr:uid="{00000000-0005-0000-0000-0000E76C0000}"/>
    <cellStyle name="40% - Accent2 159" xfId="27889" xr:uid="{00000000-0005-0000-0000-0000E86C0000}"/>
    <cellStyle name="40% - Accent2 159 2" xfId="27890" xr:uid="{00000000-0005-0000-0000-0000E96C0000}"/>
    <cellStyle name="40% - Accent2 16" xfId="27891" xr:uid="{00000000-0005-0000-0000-0000EA6C0000}"/>
    <cellStyle name="40% - Accent2 16 2" xfId="27892" xr:uid="{00000000-0005-0000-0000-0000EB6C0000}"/>
    <cellStyle name="40% - Accent2 16 2 2" xfId="27893" xr:uid="{00000000-0005-0000-0000-0000EC6C0000}"/>
    <cellStyle name="40% - Accent2 16 3" xfId="27894" xr:uid="{00000000-0005-0000-0000-0000ED6C0000}"/>
    <cellStyle name="40% - Accent2 16 3 2" xfId="27895" xr:uid="{00000000-0005-0000-0000-0000EE6C0000}"/>
    <cellStyle name="40% - Accent2 16 4" xfId="27896" xr:uid="{00000000-0005-0000-0000-0000EF6C0000}"/>
    <cellStyle name="40% - Accent2 160" xfId="27897" xr:uid="{00000000-0005-0000-0000-0000F06C0000}"/>
    <cellStyle name="40% - Accent2 160 2" xfId="27898" xr:uid="{00000000-0005-0000-0000-0000F16C0000}"/>
    <cellStyle name="40% - Accent2 161" xfId="27899" xr:uid="{00000000-0005-0000-0000-0000F26C0000}"/>
    <cellStyle name="40% - Accent2 161 2" xfId="27900" xr:uid="{00000000-0005-0000-0000-0000F36C0000}"/>
    <cellStyle name="40% - Accent2 162" xfId="27901" xr:uid="{00000000-0005-0000-0000-0000F46C0000}"/>
    <cellStyle name="40% - Accent2 162 2" xfId="27902" xr:uid="{00000000-0005-0000-0000-0000F56C0000}"/>
    <cellStyle name="40% - Accent2 163" xfId="27903" xr:uid="{00000000-0005-0000-0000-0000F66C0000}"/>
    <cellStyle name="40% - Accent2 163 2" xfId="27904" xr:uid="{00000000-0005-0000-0000-0000F76C0000}"/>
    <cellStyle name="40% - Accent2 164" xfId="27905" xr:uid="{00000000-0005-0000-0000-0000F86C0000}"/>
    <cellStyle name="40% - Accent2 164 2" xfId="27906" xr:uid="{00000000-0005-0000-0000-0000F96C0000}"/>
    <cellStyle name="40% - Accent2 165" xfId="27907" xr:uid="{00000000-0005-0000-0000-0000FA6C0000}"/>
    <cellStyle name="40% - Accent2 165 2" xfId="27908" xr:uid="{00000000-0005-0000-0000-0000FB6C0000}"/>
    <cellStyle name="40% - Accent2 166" xfId="27909" xr:uid="{00000000-0005-0000-0000-0000FC6C0000}"/>
    <cellStyle name="40% - Accent2 166 2" xfId="27910" xr:uid="{00000000-0005-0000-0000-0000FD6C0000}"/>
    <cellStyle name="40% - Accent2 167" xfId="27911" xr:uid="{00000000-0005-0000-0000-0000FE6C0000}"/>
    <cellStyle name="40% - Accent2 167 2" xfId="27912" xr:uid="{00000000-0005-0000-0000-0000FF6C0000}"/>
    <cellStyle name="40% - Accent2 168" xfId="27913" xr:uid="{00000000-0005-0000-0000-0000006D0000}"/>
    <cellStyle name="40% - Accent2 168 2" xfId="27914" xr:uid="{00000000-0005-0000-0000-0000016D0000}"/>
    <cellStyle name="40% - Accent2 169" xfId="27915" xr:uid="{00000000-0005-0000-0000-0000026D0000}"/>
    <cellStyle name="40% - Accent2 169 2" xfId="27916" xr:uid="{00000000-0005-0000-0000-0000036D0000}"/>
    <cellStyle name="40% - Accent2 17" xfId="27917" xr:uid="{00000000-0005-0000-0000-0000046D0000}"/>
    <cellStyle name="40% - Accent2 17 2" xfId="27918" xr:uid="{00000000-0005-0000-0000-0000056D0000}"/>
    <cellStyle name="40% - Accent2 17 2 2" xfId="27919" xr:uid="{00000000-0005-0000-0000-0000066D0000}"/>
    <cellStyle name="40% - Accent2 17 3" xfId="27920" xr:uid="{00000000-0005-0000-0000-0000076D0000}"/>
    <cellStyle name="40% - Accent2 17 3 2" xfId="27921" xr:uid="{00000000-0005-0000-0000-0000086D0000}"/>
    <cellStyle name="40% - Accent2 17 4" xfId="27922" xr:uid="{00000000-0005-0000-0000-0000096D0000}"/>
    <cellStyle name="40% - Accent2 170" xfId="27923" xr:uid="{00000000-0005-0000-0000-00000A6D0000}"/>
    <cellStyle name="40% - Accent2 170 2" xfId="27924" xr:uid="{00000000-0005-0000-0000-00000B6D0000}"/>
    <cellStyle name="40% - Accent2 171" xfId="27925" xr:uid="{00000000-0005-0000-0000-00000C6D0000}"/>
    <cellStyle name="40% - Accent2 171 2" xfId="27926" xr:uid="{00000000-0005-0000-0000-00000D6D0000}"/>
    <cellStyle name="40% - Accent2 172" xfId="27927" xr:uid="{00000000-0005-0000-0000-00000E6D0000}"/>
    <cellStyle name="40% - Accent2 172 2" xfId="27928" xr:uid="{00000000-0005-0000-0000-00000F6D0000}"/>
    <cellStyle name="40% - Accent2 173" xfId="27929" xr:uid="{00000000-0005-0000-0000-0000106D0000}"/>
    <cellStyle name="40% - Accent2 173 2" xfId="27930" xr:uid="{00000000-0005-0000-0000-0000116D0000}"/>
    <cellStyle name="40% - Accent2 174" xfId="27931" xr:uid="{00000000-0005-0000-0000-0000126D0000}"/>
    <cellStyle name="40% - Accent2 174 2" xfId="27932" xr:uid="{00000000-0005-0000-0000-0000136D0000}"/>
    <cellStyle name="40% - Accent2 175" xfId="27933" xr:uid="{00000000-0005-0000-0000-0000146D0000}"/>
    <cellStyle name="40% - Accent2 175 2" xfId="27934" xr:uid="{00000000-0005-0000-0000-0000156D0000}"/>
    <cellStyle name="40% - Accent2 176" xfId="27935" xr:uid="{00000000-0005-0000-0000-0000166D0000}"/>
    <cellStyle name="40% - Accent2 176 2" xfId="27936" xr:uid="{00000000-0005-0000-0000-0000176D0000}"/>
    <cellStyle name="40% - Accent2 177" xfId="27937" xr:uid="{00000000-0005-0000-0000-0000186D0000}"/>
    <cellStyle name="40% - Accent2 177 2" xfId="27938" xr:uid="{00000000-0005-0000-0000-0000196D0000}"/>
    <cellStyle name="40% - Accent2 178" xfId="27939" xr:uid="{00000000-0005-0000-0000-00001A6D0000}"/>
    <cellStyle name="40% - Accent2 178 2" xfId="27940" xr:uid="{00000000-0005-0000-0000-00001B6D0000}"/>
    <cellStyle name="40% - Accent2 179" xfId="27941" xr:uid="{00000000-0005-0000-0000-00001C6D0000}"/>
    <cellStyle name="40% - Accent2 179 2" xfId="27942" xr:uid="{00000000-0005-0000-0000-00001D6D0000}"/>
    <cellStyle name="40% - Accent2 18" xfId="27943" xr:uid="{00000000-0005-0000-0000-00001E6D0000}"/>
    <cellStyle name="40% - Accent2 18 2" xfId="27944" xr:uid="{00000000-0005-0000-0000-00001F6D0000}"/>
    <cellStyle name="40% - Accent2 18 2 2" xfId="27945" xr:uid="{00000000-0005-0000-0000-0000206D0000}"/>
    <cellStyle name="40% - Accent2 18 3" xfId="27946" xr:uid="{00000000-0005-0000-0000-0000216D0000}"/>
    <cellStyle name="40% - Accent2 18 3 2" xfId="27947" xr:uid="{00000000-0005-0000-0000-0000226D0000}"/>
    <cellStyle name="40% - Accent2 18 4" xfId="27948" xr:uid="{00000000-0005-0000-0000-0000236D0000}"/>
    <cellStyle name="40% - Accent2 180" xfId="27949" xr:uid="{00000000-0005-0000-0000-0000246D0000}"/>
    <cellStyle name="40% - Accent2 180 2" xfId="27950" xr:uid="{00000000-0005-0000-0000-0000256D0000}"/>
    <cellStyle name="40% - Accent2 181" xfId="27951" xr:uid="{00000000-0005-0000-0000-0000266D0000}"/>
    <cellStyle name="40% - Accent2 181 2" xfId="27952" xr:uid="{00000000-0005-0000-0000-0000276D0000}"/>
    <cellStyle name="40% - Accent2 182" xfId="27953" xr:uid="{00000000-0005-0000-0000-0000286D0000}"/>
    <cellStyle name="40% - Accent2 182 2" xfId="27954" xr:uid="{00000000-0005-0000-0000-0000296D0000}"/>
    <cellStyle name="40% - Accent2 183" xfId="27955" xr:uid="{00000000-0005-0000-0000-00002A6D0000}"/>
    <cellStyle name="40% - Accent2 183 2" xfId="27956" xr:uid="{00000000-0005-0000-0000-00002B6D0000}"/>
    <cellStyle name="40% - Accent2 184" xfId="27957" xr:uid="{00000000-0005-0000-0000-00002C6D0000}"/>
    <cellStyle name="40% - Accent2 184 2" xfId="27958" xr:uid="{00000000-0005-0000-0000-00002D6D0000}"/>
    <cellStyle name="40% - Accent2 185" xfId="27959" xr:uid="{00000000-0005-0000-0000-00002E6D0000}"/>
    <cellStyle name="40% - Accent2 185 2" xfId="27960" xr:uid="{00000000-0005-0000-0000-00002F6D0000}"/>
    <cellStyle name="40% - Accent2 186" xfId="27961" xr:uid="{00000000-0005-0000-0000-0000306D0000}"/>
    <cellStyle name="40% - Accent2 186 2" xfId="27962" xr:uid="{00000000-0005-0000-0000-0000316D0000}"/>
    <cellStyle name="40% - Accent2 187" xfId="27963" xr:uid="{00000000-0005-0000-0000-0000326D0000}"/>
    <cellStyle name="40% - Accent2 187 2" xfId="27964" xr:uid="{00000000-0005-0000-0000-0000336D0000}"/>
    <cellStyle name="40% - Accent2 188" xfId="27965" xr:uid="{00000000-0005-0000-0000-0000346D0000}"/>
    <cellStyle name="40% - Accent2 188 2" xfId="27966" xr:uid="{00000000-0005-0000-0000-0000356D0000}"/>
    <cellStyle name="40% - Accent2 189" xfId="27967" xr:uid="{00000000-0005-0000-0000-0000366D0000}"/>
    <cellStyle name="40% - Accent2 189 2" xfId="27968" xr:uid="{00000000-0005-0000-0000-0000376D0000}"/>
    <cellStyle name="40% - Accent2 19" xfId="27969" xr:uid="{00000000-0005-0000-0000-0000386D0000}"/>
    <cellStyle name="40% - Accent2 19 2" xfId="27970" xr:uid="{00000000-0005-0000-0000-0000396D0000}"/>
    <cellStyle name="40% - Accent2 19 2 2" xfId="27971" xr:uid="{00000000-0005-0000-0000-00003A6D0000}"/>
    <cellStyle name="40% - Accent2 19 3" xfId="27972" xr:uid="{00000000-0005-0000-0000-00003B6D0000}"/>
    <cellStyle name="40% - Accent2 19 3 2" xfId="27973" xr:uid="{00000000-0005-0000-0000-00003C6D0000}"/>
    <cellStyle name="40% - Accent2 19 4" xfId="27974" xr:uid="{00000000-0005-0000-0000-00003D6D0000}"/>
    <cellStyle name="40% - Accent2 190" xfId="27975" xr:uid="{00000000-0005-0000-0000-00003E6D0000}"/>
    <cellStyle name="40% - Accent2 190 2" xfId="27976" xr:uid="{00000000-0005-0000-0000-00003F6D0000}"/>
    <cellStyle name="40% - Accent2 191" xfId="27977" xr:uid="{00000000-0005-0000-0000-0000406D0000}"/>
    <cellStyle name="40% - Accent2 191 2" xfId="27978" xr:uid="{00000000-0005-0000-0000-0000416D0000}"/>
    <cellStyle name="40% - Accent2 192" xfId="27979" xr:uid="{00000000-0005-0000-0000-0000426D0000}"/>
    <cellStyle name="40% - Accent2 192 2" xfId="27980" xr:uid="{00000000-0005-0000-0000-0000436D0000}"/>
    <cellStyle name="40% - Accent2 193" xfId="27981" xr:uid="{00000000-0005-0000-0000-0000446D0000}"/>
    <cellStyle name="40% - Accent2 193 2" xfId="27982" xr:uid="{00000000-0005-0000-0000-0000456D0000}"/>
    <cellStyle name="40% - Accent2 194" xfId="27983" xr:uid="{00000000-0005-0000-0000-0000466D0000}"/>
    <cellStyle name="40% - Accent2 194 2" xfId="27984" xr:uid="{00000000-0005-0000-0000-0000476D0000}"/>
    <cellStyle name="40% - Accent2 195" xfId="27985" xr:uid="{00000000-0005-0000-0000-0000486D0000}"/>
    <cellStyle name="40% - Accent2 195 2" xfId="27986" xr:uid="{00000000-0005-0000-0000-0000496D0000}"/>
    <cellStyle name="40% - Accent2 196" xfId="27987" xr:uid="{00000000-0005-0000-0000-00004A6D0000}"/>
    <cellStyle name="40% - Accent2 196 2" xfId="27988" xr:uid="{00000000-0005-0000-0000-00004B6D0000}"/>
    <cellStyle name="40% - Accent2 197" xfId="27989" xr:uid="{00000000-0005-0000-0000-00004C6D0000}"/>
    <cellStyle name="40% - Accent2 197 2" xfId="27990" xr:uid="{00000000-0005-0000-0000-00004D6D0000}"/>
    <cellStyle name="40% - Accent2 198" xfId="27991" xr:uid="{00000000-0005-0000-0000-00004E6D0000}"/>
    <cellStyle name="40% - Accent2 198 2" xfId="27992" xr:uid="{00000000-0005-0000-0000-00004F6D0000}"/>
    <cellStyle name="40% - Accent2 2" xfId="27993" xr:uid="{00000000-0005-0000-0000-0000506D0000}"/>
    <cellStyle name="40% - Accent2 2 2" xfId="27994" xr:uid="{00000000-0005-0000-0000-0000516D0000}"/>
    <cellStyle name="40% - Accent2 2 2 2" xfId="27995" xr:uid="{00000000-0005-0000-0000-0000526D0000}"/>
    <cellStyle name="40% - Accent2 2 2 2 2" xfId="27996" xr:uid="{00000000-0005-0000-0000-0000536D0000}"/>
    <cellStyle name="40% - Accent2 2 2 3" xfId="27997" xr:uid="{00000000-0005-0000-0000-0000546D0000}"/>
    <cellStyle name="40% - Accent2 2 2 3 2" xfId="27998" xr:uid="{00000000-0005-0000-0000-0000556D0000}"/>
    <cellStyle name="40% - Accent2 2 2 4" xfId="27999" xr:uid="{00000000-0005-0000-0000-0000566D0000}"/>
    <cellStyle name="40% - Accent2 2 2 4 2" xfId="28000" xr:uid="{00000000-0005-0000-0000-0000576D0000}"/>
    <cellStyle name="40% - Accent2 2 2 5" xfId="28001" xr:uid="{00000000-0005-0000-0000-0000586D0000}"/>
    <cellStyle name="40% - Accent2 2 2 5 2" xfId="28002" xr:uid="{00000000-0005-0000-0000-0000596D0000}"/>
    <cellStyle name="40% - Accent2 2 2 6" xfId="28003" xr:uid="{00000000-0005-0000-0000-00005A6D0000}"/>
    <cellStyle name="40% - Accent2 2 3" xfId="28004" xr:uid="{00000000-0005-0000-0000-00005B6D0000}"/>
    <cellStyle name="40% - Accent2 2 3 2" xfId="28005" xr:uid="{00000000-0005-0000-0000-00005C6D0000}"/>
    <cellStyle name="40% - Accent2 2 4" xfId="28006" xr:uid="{00000000-0005-0000-0000-00005D6D0000}"/>
    <cellStyle name="40% - Accent2 2 4 2" xfId="28007" xr:uid="{00000000-0005-0000-0000-00005E6D0000}"/>
    <cellStyle name="40% - Accent2 2 5" xfId="28008" xr:uid="{00000000-0005-0000-0000-00005F6D0000}"/>
    <cellStyle name="40% - Accent2 2 5 2" xfId="28009" xr:uid="{00000000-0005-0000-0000-0000606D0000}"/>
    <cellStyle name="40% - Accent2 2 6" xfId="28010" xr:uid="{00000000-0005-0000-0000-0000616D0000}"/>
    <cellStyle name="40% - Accent2 2 6 2" xfId="28011" xr:uid="{00000000-0005-0000-0000-0000626D0000}"/>
    <cellStyle name="40% - Accent2 2 7" xfId="28012" xr:uid="{00000000-0005-0000-0000-0000636D0000}"/>
    <cellStyle name="40% - Accent2 20" xfId="28013" xr:uid="{00000000-0005-0000-0000-0000646D0000}"/>
    <cellStyle name="40% - Accent2 20 2" xfId="28014" xr:uid="{00000000-0005-0000-0000-0000656D0000}"/>
    <cellStyle name="40% - Accent2 20 2 2" xfId="28015" xr:uid="{00000000-0005-0000-0000-0000666D0000}"/>
    <cellStyle name="40% - Accent2 20 3" xfId="28016" xr:uid="{00000000-0005-0000-0000-0000676D0000}"/>
    <cellStyle name="40% - Accent2 20 3 2" xfId="28017" xr:uid="{00000000-0005-0000-0000-0000686D0000}"/>
    <cellStyle name="40% - Accent2 20 4" xfId="28018" xr:uid="{00000000-0005-0000-0000-0000696D0000}"/>
    <cellStyle name="40% - Accent2 21" xfId="28019" xr:uid="{00000000-0005-0000-0000-00006A6D0000}"/>
    <cellStyle name="40% - Accent2 21 2" xfId="28020" xr:uid="{00000000-0005-0000-0000-00006B6D0000}"/>
    <cellStyle name="40% - Accent2 21 2 2" xfId="28021" xr:uid="{00000000-0005-0000-0000-00006C6D0000}"/>
    <cellStyle name="40% - Accent2 21 3" xfId="28022" xr:uid="{00000000-0005-0000-0000-00006D6D0000}"/>
    <cellStyle name="40% - Accent2 21 3 2" xfId="28023" xr:uid="{00000000-0005-0000-0000-00006E6D0000}"/>
    <cellStyle name="40% - Accent2 21 4" xfId="28024" xr:uid="{00000000-0005-0000-0000-00006F6D0000}"/>
    <cellStyle name="40% - Accent2 22" xfId="28025" xr:uid="{00000000-0005-0000-0000-0000706D0000}"/>
    <cellStyle name="40% - Accent2 22 2" xfId="28026" xr:uid="{00000000-0005-0000-0000-0000716D0000}"/>
    <cellStyle name="40% - Accent2 22 2 2" xfId="28027" xr:uid="{00000000-0005-0000-0000-0000726D0000}"/>
    <cellStyle name="40% - Accent2 22 3" xfId="28028" xr:uid="{00000000-0005-0000-0000-0000736D0000}"/>
    <cellStyle name="40% - Accent2 22 3 2" xfId="28029" xr:uid="{00000000-0005-0000-0000-0000746D0000}"/>
    <cellStyle name="40% - Accent2 22 4" xfId="28030" xr:uid="{00000000-0005-0000-0000-0000756D0000}"/>
    <cellStyle name="40% - Accent2 23" xfId="28031" xr:uid="{00000000-0005-0000-0000-0000766D0000}"/>
    <cellStyle name="40% - Accent2 23 2" xfId="28032" xr:uid="{00000000-0005-0000-0000-0000776D0000}"/>
    <cellStyle name="40% - Accent2 23 2 2" xfId="28033" xr:uid="{00000000-0005-0000-0000-0000786D0000}"/>
    <cellStyle name="40% - Accent2 23 3" xfId="28034" xr:uid="{00000000-0005-0000-0000-0000796D0000}"/>
    <cellStyle name="40% - Accent2 23 3 2" xfId="28035" xr:uid="{00000000-0005-0000-0000-00007A6D0000}"/>
    <cellStyle name="40% - Accent2 23 4" xfId="28036" xr:uid="{00000000-0005-0000-0000-00007B6D0000}"/>
    <cellStyle name="40% - Accent2 24" xfId="28037" xr:uid="{00000000-0005-0000-0000-00007C6D0000}"/>
    <cellStyle name="40% - Accent2 24 2" xfId="28038" xr:uid="{00000000-0005-0000-0000-00007D6D0000}"/>
    <cellStyle name="40% - Accent2 24 2 2" xfId="28039" xr:uid="{00000000-0005-0000-0000-00007E6D0000}"/>
    <cellStyle name="40% - Accent2 24 3" xfId="28040" xr:uid="{00000000-0005-0000-0000-00007F6D0000}"/>
    <cellStyle name="40% - Accent2 24 3 2" xfId="28041" xr:uid="{00000000-0005-0000-0000-0000806D0000}"/>
    <cellStyle name="40% - Accent2 24 4" xfId="28042" xr:uid="{00000000-0005-0000-0000-0000816D0000}"/>
    <cellStyle name="40% - Accent2 25" xfId="28043" xr:uid="{00000000-0005-0000-0000-0000826D0000}"/>
    <cellStyle name="40% - Accent2 25 2" xfId="28044" xr:uid="{00000000-0005-0000-0000-0000836D0000}"/>
    <cellStyle name="40% - Accent2 25 2 2" xfId="28045" xr:uid="{00000000-0005-0000-0000-0000846D0000}"/>
    <cellStyle name="40% - Accent2 25 3" xfId="28046" xr:uid="{00000000-0005-0000-0000-0000856D0000}"/>
    <cellStyle name="40% - Accent2 25 3 2" xfId="28047" xr:uid="{00000000-0005-0000-0000-0000866D0000}"/>
    <cellStyle name="40% - Accent2 25 4" xfId="28048" xr:uid="{00000000-0005-0000-0000-0000876D0000}"/>
    <cellStyle name="40% - Accent2 26" xfId="28049" xr:uid="{00000000-0005-0000-0000-0000886D0000}"/>
    <cellStyle name="40% - Accent2 26 2" xfId="28050" xr:uid="{00000000-0005-0000-0000-0000896D0000}"/>
    <cellStyle name="40% - Accent2 26 2 2" xfId="28051" xr:uid="{00000000-0005-0000-0000-00008A6D0000}"/>
    <cellStyle name="40% - Accent2 26 3" xfId="28052" xr:uid="{00000000-0005-0000-0000-00008B6D0000}"/>
    <cellStyle name="40% - Accent2 26 3 2" xfId="28053" xr:uid="{00000000-0005-0000-0000-00008C6D0000}"/>
    <cellStyle name="40% - Accent2 26 4" xfId="28054" xr:uid="{00000000-0005-0000-0000-00008D6D0000}"/>
    <cellStyle name="40% - Accent2 27" xfId="28055" xr:uid="{00000000-0005-0000-0000-00008E6D0000}"/>
    <cellStyle name="40% - Accent2 27 2" xfId="28056" xr:uid="{00000000-0005-0000-0000-00008F6D0000}"/>
    <cellStyle name="40% - Accent2 27 2 2" xfId="28057" xr:uid="{00000000-0005-0000-0000-0000906D0000}"/>
    <cellStyle name="40% - Accent2 27 3" xfId="28058" xr:uid="{00000000-0005-0000-0000-0000916D0000}"/>
    <cellStyle name="40% - Accent2 27 3 2" xfId="28059" xr:uid="{00000000-0005-0000-0000-0000926D0000}"/>
    <cellStyle name="40% - Accent2 27 4" xfId="28060" xr:uid="{00000000-0005-0000-0000-0000936D0000}"/>
    <cellStyle name="40% - Accent2 28" xfId="28061" xr:uid="{00000000-0005-0000-0000-0000946D0000}"/>
    <cellStyle name="40% - Accent2 28 2" xfId="28062" xr:uid="{00000000-0005-0000-0000-0000956D0000}"/>
    <cellStyle name="40% - Accent2 28 2 2" xfId="28063" xr:uid="{00000000-0005-0000-0000-0000966D0000}"/>
    <cellStyle name="40% - Accent2 28 3" xfId="28064" xr:uid="{00000000-0005-0000-0000-0000976D0000}"/>
    <cellStyle name="40% - Accent2 28 3 2" xfId="28065" xr:uid="{00000000-0005-0000-0000-0000986D0000}"/>
    <cellStyle name="40% - Accent2 28 4" xfId="28066" xr:uid="{00000000-0005-0000-0000-0000996D0000}"/>
    <cellStyle name="40% - Accent2 29" xfId="28067" xr:uid="{00000000-0005-0000-0000-00009A6D0000}"/>
    <cellStyle name="40% - Accent2 29 2" xfId="28068" xr:uid="{00000000-0005-0000-0000-00009B6D0000}"/>
    <cellStyle name="40% - Accent2 29 2 2" xfId="28069" xr:uid="{00000000-0005-0000-0000-00009C6D0000}"/>
    <cellStyle name="40% - Accent2 29 3" xfId="28070" xr:uid="{00000000-0005-0000-0000-00009D6D0000}"/>
    <cellStyle name="40% - Accent2 29 3 2" xfId="28071" xr:uid="{00000000-0005-0000-0000-00009E6D0000}"/>
    <cellStyle name="40% - Accent2 29 4" xfId="28072" xr:uid="{00000000-0005-0000-0000-00009F6D0000}"/>
    <cellStyle name="40% - Accent2 3" xfId="28073" xr:uid="{00000000-0005-0000-0000-0000A06D0000}"/>
    <cellStyle name="40% - Accent2 3 2" xfId="28074" xr:uid="{00000000-0005-0000-0000-0000A16D0000}"/>
    <cellStyle name="40% - Accent2 3 2 2" xfId="28075" xr:uid="{00000000-0005-0000-0000-0000A26D0000}"/>
    <cellStyle name="40% - Accent2 3 3" xfId="28076" xr:uid="{00000000-0005-0000-0000-0000A36D0000}"/>
    <cellStyle name="40% - Accent2 3 3 2" xfId="28077" xr:uid="{00000000-0005-0000-0000-0000A46D0000}"/>
    <cellStyle name="40% - Accent2 3 4" xfId="28078" xr:uid="{00000000-0005-0000-0000-0000A56D0000}"/>
    <cellStyle name="40% - Accent2 3 4 2" xfId="28079" xr:uid="{00000000-0005-0000-0000-0000A66D0000}"/>
    <cellStyle name="40% - Accent2 3 5" xfId="28080" xr:uid="{00000000-0005-0000-0000-0000A76D0000}"/>
    <cellStyle name="40% - Accent2 3 5 2" xfId="28081" xr:uid="{00000000-0005-0000-0000-0000A86D0000}"/>
    <cellStyle name="40% - Accent2 3 6" xfId="28082" xr:uid="{00000000-0005-0000-0000-0000A96D0000}"/>
    <cellStyle name="40% - Accent2 3 6 2" xfId="28083" xr:uid="{00000000-0005-0000-0000-0000AA6D0000}"/>
    <cellStyle name="40% - Accent2 3 7" xfId="28084" xr:uid="{00000000-0005-0000-0000-0000AB6D0000}"/>
    <cellStyle name="40% - Accent2 30" xfId="28085" xr:uid="{00000000-0005-0000-0000-0000AC6D0000}"/>
    <cellStyle name="40% - Accent2 30 2" xfId="28086" xr:uid="{00000000-0005-0000-0000-0000AD6D0000}"/>
    <cellStyle name="40% - Accent2 30 2 2" xfId="28087" xr:uid="{00000000-0005-0000-0000-0000AE6D0000}"/>
    <cellStyle name="40% - Accent2 30 3" xfId="28088" xr:uid="{00000000-0005-0000-0000-0000AF6D0000}"/>
    <cellStyle name="40% - Accent2 30 3 2" xfId="28089" xr:uid="{00000000-0005-0000-0000-0000B06D0000}"/>
    <cellStyle name="40% - Accent2 30 4" xfId="28090" xr:uid="{00000000-0005-0000-0000-0000B16D0000}"/>
    <cellStyle name="40% - Accent2 31" xfId="28091" xr:uid="{00000000-0005-0000-0000-0000B26D0000}"/>
    <cellStyle name="40% - Accent2 31 2" xfId="28092" xr:uid="{00000000-0005-0000-0000-0000B36D0000}"/>
    <cellStyle name="40% - Accent2 31 2 2" xfId="28093" xr:uid="{00000000-0005-0000-0000-0000B46D0000}"/>
    <cellStyle name="40% - Accent2 31 3" xfId="28094" xr:uid="{00000000-0005-0000-0000-0000B56D0000}"/>
    <cellStyle name="40% - Accent2 31 3 2" xfId="28095" xr:uid="{00000000-0005-0000-0000-0000B66D0000}"/>
    <cellStyle name="40% - Accent2 31 4" xfId="28096" xr:uid="{00000000-0005-0000-0000-0000B76D0000}"/>
    <cellStyle name="40% - Accent2 32" xfId="28097" xr:uid="{00000000-0005-0000-0000-0000B86D0000}"/>
    <cellStyle name="40% - Accent2 32 2" xfId="28098" xr:uid="{00000000-0005-0000-0000-0000B96D0000}"/>
    <cellStyle name="40% - Accent2 32 2 2" xfId="28099" xr:uid="{00000000-0005-0000-0000-0000BA6D0000}"/>
    <cellStyle name="40% - Accent2 32 3" xfId="28100" xr:uid="{00000000-0005-0000-0000-0000BB6D0000}"/>
    <cellStyle name="40% - Accent2 32 3 2" xfId="28101" xr:uid="{00000000-0005-0000-0000-0000BC6D0000}"/>
    <cellStyle name="40% - Accent2 32 4" xfId="28102" xr:uid="{00000000-0005-0000-0000-0000BD6D0000}"/>
    <cellStyle name="40% - Accent2 33" xfId="28103" xr:uid="{00000000-0005-0000-0000-0000BE6D0000}"/>
    <cellStyle name="40% - Accent2 33 2" xfId="28104" xr:uid="{00000000-0005-0000-0000-0000BF6D0000}"/>
    <cellStyle name="40% - Accent2 33 2 2" xfId="28105" xr:uid="{00000000-0005-0000-0000-0000C06D0000}"/>
    <cellStyle name="40% - Accent2 33 3" xfId="28106" xr:uid="{00000000-0005-0000-0000-0000C16D0000}"/>
    <cellStyle name="40% - Accent2 33 3 2" xfId="28107" xr:uid="{00000000-0005-0000-0000-0000C26D0000}"/>
    <cellStyle name="40% - Accent2 33 4" xfId="28108" xr:uid="{00000000-0005-0000-0000-0000C36D0000}"/>
    <cellStyle name="40% - Accent2 34" xfId="28109" xr:uid="{00000000-0005-0000-0000-0000C46D0000}"/>
    <cellStyle name="40% - Accent2 34 2" xfId="28110" xr:uid="{00000000-0005-0000-0000-0000C56D0000}"/>
    <cellStyle name="40% - Accent2 34 2 2" xfId="28111" xr:uid="{00000000-0005-0000-0000-0000C66D0000}"/>
    <cellStyle name="40% - Accent2 34 3" xfId="28112" xr:uid="{00000000-0005-0000-0000-0000C76D0000}"/>
    <cellStyle name="40% - Accent2 34 3 2" xfId="28113" xr:uid="{00000000-0005-0000-0000-0000C86D0000}"/>
    <cellStyle name="40% - Accent2 34 4" xfId="28114" xr:uid="{00000000-0005-0000-0000-0000C96D0000}"/>
    <cellStyle name="40% - Accent2 35" xfId="28115" xr:uid="{00000000-0005-0000-0000-0000CA6D0000}"/>
    <cellStyle name="40% - Accent2 35 2" xfId="28116" xr:uid="{00000000-0005-0000-0000-0000CB6D0000}"/>
    <cellStyle name="40% - Accent2 35 2 2" xfId="28117" xr:uid="{00000000-0005-0000-0000-0000CC6D0000}"/>
    <cellStyle name="40% - Accent2 35 3" xfId="28118" xr:uid="{00000000-0005-0000-0000-0000CD6D0000}"/>
    <cellStyle name="40% - Accent2 35 3 2" xfId="28119" xr:uid="{00000000-0005-0000-0000-0000CE6D0000}"/>
    <cellStyle name="40% - Accent2 35 4" xfId="28120" xr:uid="{00000000-0005-0000-0000-0000CF6D0000}"/>
    <cellStyle name="40% - Accent2 36" xfId="28121" xr:uid="{00000000-0005-0000-0000-0000D06D0000}"/>
    <cellStyle name="40% - Accent2 36 2" xfId="28122" xr:uid="{00000000-0005-0000-0000-0000D16D0000}"/>
    <cellStyle name="40% - Accent2 36 2 2" xfId="28123" xr:uid="{00000000-0005-0000-0000-0000D26D0000}"/>
    <cellStyle name="40% - Accent2 36 3" xfId="28124" xr:uid="{00000000-0005-0000-0000-0000D36D0000}"/>
    <cellStyle name="40% - Accent2 36 3 2" xfId="28125" xr:uid="{00000000-0005-0000-0000-0000D46D0000}"/>
    <cellStyle name="40% - Accent2 36 4" xfId="28126" xr:uid="{00000000-0005-0000-0000-0000D56D0000}"/>
    <cellStyle name="40% - Accent2 37" xfId="28127" xr:uid="{00000000-0005-0000-0000-0000D66D0000}"/>
    <cellStyle name="40% - Accent2 37 2" xfId="28128" xr:uid="{00000000-0005-0000-0000-0000D76D0000}"/>
    <cellStyle name="40% - Accent2 37 2 2" xfId="28129" xr:uid="{00000000-0005-0000-0000-0000D86D0000}"/>
    <cellStyle name="40% - Accent2 37 3" xfId="28130" xr:uid="{00000000-0005-0000-0000-0000D96D0000}"/>
    <cellStyle name="40% - Accent2 37 3 2" xfId="28131" xr:uid="{00000000-0005-0000-0000-0000DA6D0000}"/>
    <cellStyle name="40% - Accent2 37 4" xfId="28132" xr:uid="{00000000-0005-0000-0000-0000DB6D0000}"/>
    <cellStyle name="40% - Accent2 38" xfId="28133" xr:uid="{00000000-0005-0000-0000-0000DC6D0000}"/>
    <cellStyle name="40% - Accent2 38 2" xfId="28134" xr:uid="{00000000-0005-0000-0000-0000DD6D0000}"/>
    <cellStyle name="40% - Accent2 38 2 2" xfId="28135" xr:uid="{00000000-0005-0000-0000-0000DE6D0000}"/>
    <cellStyle name="40% - Accent2 38 3" xfId="28136" xr:uid="{00000000-0005-0000-0000-0000DF6D0000}"/>
    <cellStyle name="40% - Accent2 38 3 2" xfId="28137" xr:uid="{00000000-0005-0000-0000-0000E06D0000}"/>
    <cellStyle name="40% - Accent2 38 4" xfId="28138" xr:uid="{00000000-0005-0000-0000-0000E16D0000}"/>
    <cellStyle name="40% - Accent2 39" xfId="28139" xr:uid="{00000000-0005-0000-0000-0000E26D0000}"/>
    <cellStyle name="40% - Accent2 39 2" xfId="28140" xr:uid="{00000000-0005-0000-0000-0000E36D0000}"/>
    <cellStyle name="40% - Accent2 39 2 2" xfId="28141" xr:uid="{00000000-0005-0000-0000-0000E46D0000}"/>
    <cellStyle name="40% - Accent2 39 3" xfId="28142" xr:uid="{00000000-0005-0000-0000-0000E56D0000}"/>
    <cellStyle name="40% - Accent2 39 3 2" xfId="28143" xr:uid="{00000000-0005-0000-0000-0000E66D0000}"/>
    <cellStyle name="40% - Accent2 39 4" xfId="28144" xr:uid="{00000000-0005-0000-0000-0000E76D0000}"/>
    <cellStyle name="40% - Accent2 4" xfId="28145" xr:uid="{00000000-0005-0000-0000-0000E86D0000}"/>
    <cellStyle name="40% - Accent2 4 2" xfId="28146" xr:uid="{00000000-0005-0000-0000-0000E96D0000}"/>
    <cellStyle name="40% - Accent2 4 2 2" xfId="28147" xr:uid="{00000000-0005-0000-0000-0000EA6D0000}"/>
    <cellStyle name="40% - Accent2 4 3" xfId="28148" xr:uid="{00000000-0005-0000-0000-0000EB6D0000}"/>
    <cellStyle name="40% - Accent2 4 3 2" xfId="28149" xr:uid="{00000000-0005-0000-0000-0000EC6D0000}"/>
    <cellStyle name="40% - Accent2 4 4" xfId="28150" xr:uid="{00000000-0005-0000-0000-0000ED6D0000}"/>
    <cellStyle name="40% - Accent2 4 4 2" xfId="28151" xr:uid="{00000000-0005-0000-0000-0000EE6D0000}"/>
    <cellStyle name="40% - Accent2 4 5" xfId="28152" xr:uid="{00000000-0005-0000-0000-0000EF6D0000}"/>
    <cellStyle name="40% - Accent2 4 5 2" xfId="28153" xr:uid="{00000000-0005-0000-0000-0000F06D0000}"/>
    <cellStyle name="40% - Accent2 4 6" xfId="28154" xr:uid="{00000000-0005-0000-0000-0000F16D0000}"/>
    <cellStyle name="40% - Accent2 4 6 2" xfId="28155" xr:uid="{00000000-0005-0000-0000-0000F26D0000}"/>
    <cellStyle name="40% - Accent2 4 7" xfId="28156" xr:uid="{00000000-0005-0000-0000-0000F36D0000}"/>
    <cellStyle name="40% - Accent2 40" xfId="28157" xr:uid="{00000000-0005-0000-0000-0000F46D0000}"/>
    <cellStyle name="40% - Accent2 40 2" xfId="28158" xr:uid="{00000000-0005-0000-0000-0000F56D0000}"/>
    <cellStyle name="40% - Accent2 40 2 2" xfId="28159" xr:uid="{00000000-0005-0000-0000-0000F66D0000}"/>
    <cellStyle name="40% - Accent2 40 3" xfId="28160" xr:uid="{00000000-0005-0000-0000-0000F76D0000}"/>
    <cellStyle name="40% - Accent2 40 3 2" xfId="28161" xr:uid="{00000000-0005-0000-0000-0000F86D0000}"/>
    <cellStyle name="40% - Accent2 40 4" xfId="28162" xr:uid="{00000000-0005-0000-0000-0000F96D0000}"/>
    <cellStyle name="40% - Accent2 41" xfId="28163" xr:uid="{00000000-0005-0000-0000-0000FA6D0000}"/>
    <cellStyle name="40% - Accent2 41 2" xfId="28164" xr:uid="{00000000-0005-0000-0000-0000FB6D0000}"/>
    <cellStyle name="40% - Accent2 41 2 2" xfId="28165" xr:uid="{00000000-0005-0000-0000-0000FC6D0000}"/>
    <cellStyle name="40% - Accent2 41 3" xfId="28166" xr:uid="{00000000-0005-0000-0000-0000FD6D0000}"/>
    <cellStyle name="40% - Accent2 41 3 2" xfId="28167" xr:uid="{00000000-0005-0000-0000-0000FE6D0000}"/>
    <cellStyle name="40% - Accent2 41 4" xfId="28168" xr:uid="{00000000-0005-0000-0000-0000FF6D0000}"/>
    <cellStyle name="40% - Accent2 42" xfId="28169" xr:uid="{00000000-0005-0000-0000-0000006E0000}"/>
    <cellStyle name="40% - Accent2 42 2" xfId="28170" xr:uid="{00000000-0005-0000-0000-0000016E0000}"/>
    <cellStyle name="40% - Accent2 42 2 2" xfId="28171" xr:uid="{00000000-0005-0000-0000-0000026E0000}"/>
    <cellStyle name="40% - Accent2 42 3" xfId="28172" xr:uid="{00000000-0005-0000-0000-0000036E0000}"/>
    <cellStyle name="40% - Accent2 42 3 2" xfId="28173" xr:uid="{00000000-0005-0000-0000-0000046E0000}"/>
    <cellStyle name="40% - Accent2 42 4" xfId="28174" xr:uid="{00000000-0005-0000-0000-0000056E0000}"/>
    <cellStyle name="40% - Accent2 43" xfId="28175" xr:uid="{00000000-0005-0000-0000-0000066E0000}"/>
    <cellStyle name="40% - Accent2 43 2" xfId="28176" xr:uid="{00000000-0005-0000-0000-0000076E0000}"/>
    <cellStyle name="40% - Accent2 43 2 2" xfId="28177" xr:uid="{00000000-0005-0000-0000-0000086E0000}"/>
    <cellStyle name="40% - Accent2 43 3" xfId="28178" xr:uid="{00000000-0005-0000-0000-0000096E0000}"/>
    <cellStyle name="40% - Accent2 43 3 2" xfId="28179" xr:uid="{00000000-0005-0000-0000-00000A6E0000}"/>
    <cellStyle name="40% - Accent2 43 4" xfId="28180" xr:uid="{00000000-0005-0000-0000-00000B6E0000}"/>
    <cellStyle name="40% - Accent2 44" xfId="28181" xr:uid="{00000000-0005-0000-0000-00000C6E0000}"/>
    <cellStyle name="40% - Accent2 44 2" xfId="28182" xr:uid="{00000000-0005-0000-0000-00000D6E0000}"/>
    <cellStyle name="40% - Accent2 44 2 2" xfId="28183" xr:uid="{00000000-0005-0000-0000-00000E6E0000}"/>
    <cellStyle name="40% - Accent2 44 3" xfId="28184" xr:uid="{00000000-0005-0000-0000-00000F6E0000}"/>
    <cellStyle name="40% - Accent2 44 3 2" xfId="28185" xr:uid="{00000000-0005-0000-0000-0000106E0000}"/>
    <cellStyle name="40% - Accent2 44 4" xfId="28186" xr:uid="{00000000-0005-0000-0000-0000116E0000}"/>
    <cellStyle name="40% - Accent2 45" xfId="28187" xr:uid="{00000000-0005-0000-0000-0000126E0000}"/>
    <cellStyle name="40% - Accent2 45 2" xfId="28188" xr:uid="{00000000-0005-0000-0000-0000136E0000}"/>
    <cellStyle name="40% - Accent2 45 2 2" xfId="28189" xr:uid="{00000000-0005-0000-0000-0000146E0000}"/>
    <cellStyle name="40% - Accent2 45 3" xfId="28190" xr:uid="{00000000-0005-0000-0000-0000156E0000}"/>
    <cellStyle name="40% - Accent2 45 3 2" xfId="28191" xr:uid="{00000000-0005-0000-0000-0000166E0000}"/>
    <cellStyle name="40% - Accent2 45 4" xfId="28192" xr:uid="{00000000-0005-0000-0000-0000176E0000}"/>
    <cellStyle name="40% - Accent2 46" xfId="28193" xr:uid="{00000000-0005-0000-0000-0000186E0000}"/>
    <cellStyle name="40% - Accent2 46 2" xfId="28194" xr:uid="{00000000-0005-0000-0000-0000196E0000}"/>
    <cellStyle name="40% - Accent2 46 2 2" xfId="28195" xr:uid="{00000000-0005-0000-0000-00001A6E0000}"/>
    <cellStyle name="40% - Accent2 46 3" xfId="28196" xr:uid="{00000000-0005-0000-0000-00001B6E0000}"/>
    <cellStyle name="40% - Accent2 46 3 2" xfId="28197" xr:uid="{00000000-0005-0000-0000-00001C6E0000}"/>
    <cellStyle name="40% - Accent2 46 4" xfId="28198" xr:uid="{00000000-0005-0000-0000-00001D6E0000}"/>
    <cellStyle name="40% - Accent2 47" xfId="28199" xr:uid="{00000000-0005-0000-0000-00001E6E0000}"/>
    <cellStyle name="40% - Accent2 47 2" xfId="28200" xr:uid="{00000000-0005-0000-0000-00001F6E0000}"/>
    <cellStyle name="40% - Accent2 47 2 2" xfId="28201" xr:uid="{00000000-0005-0000-0000-0000206E0000}"/>
    <cellStyle name="40% - Accent2 47 3" xfId="28202" xr:uid="{00000000-0005-0000-0000-0000216E0000}"/>
    <cellStyle name="40% - Accent2 47 3 2" xfId="28203" xr:uid="{00000000-0005-0000-0000-0000226E0000}"/>
    <cellStyle name="40% - Accent2 47 4" xfId="28204" xr:uid="{00000000-0005-0000-0000-0000236E0000}"/>
    <cellStyle name="40% - Accent2 48" xfId="28205" xr:uid="{00000000-0005-0000-0000-0000246E0000}"/>
    <cellStyle name="40% - Accent2 48 2" xfId="28206" xr:uid="{00000000-0005-0000-0000-0000256E0000}"/>
    <cellStyle name="40% - Accent2 48 2 2" xfId="28207" xr:uid="{00000000-0005-0000-0000-0000266E0000}"/>
    <cellStyle name="40% - Accent2 48 3" xfId="28208" xr:uid="{00000000-0005-0000-0000-0000276E0000}"/>
    <cellStyle name="40% - Accent2 48 3 2" xfId="28209" xr:uid="{00000000-0005-0000-0000-0000286E0000}"/>
    <cellStyle name="40% - Accent2 48 4" xfId="28210" xr:uid="{00000000-0005-0000-0000-0000296E0000}"/>
    <cellStyle name="40% - Accent2 49" xfId="28211" xr:uid="{00000000-0005-0000-0000-00002A6E0000}"/>
    <cellStyle name="40% - Accent2 49 2" xfId="28212" xr:uid="{00000000-0005-0000-0000-00002B6E0000}"/>
    <cellStyle name="40% - Accent2 49 2 2" xfId="28213" xr:uid="{00000000-0005-0000-0000-00002C6E0000}"/>
    <cellStyle name="40% - Accent2 49 3" xfId="28214" xr:uid="{00000000-0005-0000-0000-00002D6E0000}"/>
    <cellStyle name="40% - Accent2 49 3 2" xfId="28215" xr:uid="{00000000-0005-0000-0000-00002E6E0000}"/>
    <cellStyle name="40% - Accent2 49 4" xfId="28216" xr:uid="{00000000-0005-0000-0000-00002F6E0000}"/>
    <cellStyle name="40% - Accent2 5" xfId="28217" xr:uid="{00000000-0005-0000-0000-0000306E0000}"/>
    <cellStyle name="40% - Accent2 5 2" xfId="28218" xr:uid="{00000000-0005-0000-0000-0000316E0000}"/>
    <cellStyle name="40% - Accent2 5 2 2" xfId="28219" xr:uid="{00000000-0005-0000-0000-0000326E0000}"/>
    <cellStyle name="40% - Accent2 5 3" xfId="28220" xr:uid="{00000000-0005-0000-0000-0000336E0000}"/>
    <cellStyle name="40% - Accent2 5 3 2" xfId="28221" xr:uid="{00000000-0005-0000-0000-0000346E0000}"/>
    <cellStyle name="40% - Accent2 5 4" xfId="28222" xr:uid="{00000000-0005-0000-0000-0000356E0000}"/>
    <cellStyle name="40% - Accent2 5 4 2" xfId="28223" xr:uid="{00000000-0005-0000-0000-0000366E0000}"/>
    <cellStyle name="40% - Accent2 5 5" xfId="28224" xr:uid="{00000000-0005-0000-0000-0000376E0000}"/>
    <cellStyle name="40% - Accent2 5 5 2" xfId="28225" xr:uid="{00000000-0005-0000-0000-0000386E0000}"/>
    <cellStyle name="40% - Accent2 5 6" xfId="28226" xr:uid="{00000000-0005-0000-0000-0000396E0000}"/>
    <cellStyle name="40% - Accent2 50" xfId="28227" xr:uid="{00000000-0005-0000-0000-00003A6E0000}"/>
    <cellStyle name="40% - Accent2 50 2" xfId="28228" xr:uid="{00000000-0005-0000-0000-00003B6E0000}"/>
    <cellStyle name="40% - Accent2 50 2 2" xfId="28229" xr:uid="{00000000-0005-0000-0000-00003C6E0000}"/>
    <cellStyle name="40% - Accent2 50 3" xfId="28230" xr:uid="{00000000-0005-0000-0000-00003D6E0000}"/>
    <cellStyle name="40% - Accent2 50 3 2" xfId="28231" xr:uid="{00000000-0005-0000-0000-00003E6E0000}"/>
    <cellStyle name="40% - Accent2 50 4" xfId="28232" xr:uid="{00000000-0005-0000-0000-00003F6E0000}"/>
    <cellStyle name="40% - Accent2 51" xfId="28233" xr:uid="{00000000-0005-0000-0000-0000406E0000}"/>
    <cellStyle name="40% - Accent2 51 2" xfId="28234" xr:uid="{00000000-0005-0000-0000-0000416E0000}"/>
    <cellStyle name="40% - Accent2 51 2 2" xfId="28235" xr:uid="{00000000-0005-0000-0000-0000426E0000}"/>
    <cellStyle name="40% - Accent2 51 3" xfId="28236" xr:uid="{00000000-0005-0000-0000-0000436E0000}"/>
    <cellStyle name="40% - Accent2 51 3 2" xfId="28237" xr:uid="{00000000-0005-0000-0000-0000446E0000}"/>
    <cellStyle name="40% - Accent2 51 4" xfId="28238" xr:uid="{00000000-0005-0000-0000-0000456E0000}"/>
    <cellStyle name="40% - Accent2 52" xfId="28239" xr:uid="{00000000-0005-0000-0000-0000466E0000}"/>
    <cellStyle name="40% - Accent2 52 2" xfId="28240" xr:uid="{00000000-0005-0000-0000-0000476E0000}"/>
    <cellStyle name="40% - Accent2 52 2 2" xfId="28241" xr:uid="{00000000-0005-0000-0000-0000486E0000}"/>
    <cellStyle name="40% - Accent2 52 3" xfId="28242" xr:uid="{00000000-0005-0000-0000-0000496E0000}"/>
    <cellStyle name="40% - Accent2 52 3 2" xfId="28243" xr:uid="{00000000-0005-0000-0000-00004A6E0000}"/>
    <cellStyle name="40% - Accent2 52 4" xfId="28244" xr:uid="{00000000-0005-0000-0000-00004B6E0000}"/>
    <cellStyle name="40% - Accent2 53" xfId="28245" xr:uid="{00000000-0005-0000-0000-00004C6E0000}"/>
    <cellStyle name="40% - Accent2 53 2" xfId="28246" xr:uid="{00000000-0005-0000-0000-00004D6E0000}"/>
    <cellStyle name="40% - Accent2 53 2 2" xfId="28247" xr:uid="{00000000-0005-0000-0000-00004E6E0000}"/>
    <cellStyle name="40% - Accent2 53 3" xfId="28248" xr:uid="{00000000-0005-0000-0000-00004F6E0000}"/>
    <cellStyle name="40% - Accent2 53 3 2" xfId="28249" xr:uid="{00000000-0005-0000-0000-0000506E0000}"/>
    <cellStyle name="40% - Accent2 53 4" xfId="28250" xr:uid="{00000000-0005-0000-0000-0000516E0000}"/>
    <cellStyle name="40% - Accent2 54" xfId="28251" xr:uid="{00000000-0005-0000-0000-0000526E0000}"/>
    <cellStyle name="40% - Accent2 54 2" xfId="28252" xr:uid="{00000000-0005-0000-0000-0000536E0000}"/>
    <cellStyle name="40% - Accent2 54 2 2" xfId="28253" xr:uid="{00000000-0005-0000-0000-0000546E0000}"/>
    <cellStyle name="40% - Accent2 54 3" xfId="28254" xr:uid="{00000000-0005-0000-0000-0000556E0000}"/>
    <cellStyle name="40% - Accent2 54 3 2" xfId="28255" xr:uid="{00000000-0005-0000-0000-0000566E0000}"/>
    <cellStyle name="40% - Accent2 54 4" xfId="28256" xr:uid="{00000000-0005-0000-0000-0000576E0000}"/>
    <cellStyle name="40% - Accent2 55" xfId="28257" xr:uid="{00000000-0005-0000-0000-0000586E0000}"/>
    <cellStyle name="40% - Accent2 55 2" xfId="28258" xr:uid="{00000000-0005-0000-0000-0000596E0000}"/>
    <cellStyle name="40% - Accent2 55 2 2" xfId="28259" xr:uid="{00000000-0005-0000-0000-00005A6E0000}"/>
    <cellStyle name="40% - Accent2 55 3" xfId="28260" xr:uid="{00000000-0005-0000-0000-00005B6E0000}"/>
    <cellStyle name="40% - Accent2 55 3 2" xfId="28261" xr:uid="{00000000-0005-0000-0000-00005C6E0000}"/>
    <cellStyle name="40% - Accent2 55 4" xfId="28262" xr:uid="{00000000-0005-0000-0000-00005D6E0000}"/>
    <cellStyle name="40% - Accent2 56" xfId="28263" xr:uid="{00000000-0005-0000-0000-00005E6E0000}"/>
    <cellStyle name="40% - Accent2 56 2" xfId="28264" xr:uid="{00000000-0005-0000-0000-00005F6E0000}"/>
    <cellStyle name="40% - Accent2 56 2 2" xfId="28265" xr:uid="{00000000-0005-0000-0000-0000606E0000}"/>
    <cellStyle name="40% - Accent2 56 3" xfId="28266" xr:uid="{00000000-0005-0000-0000-0000616E0000}"/>
    <cellStyle name="40% - Accent2 56 3 2" xfId="28267" xr:uid="{00000000-0005-0000-0000-0000626E0000}"/>
    <cellStyle name="40% - Accent2 56 4" xfId="28268" xr:uid="{00000000-0005-0000-0000-0000636E0000}"/>
    <cellStyle name="40% - Accent2 57" xfId="28269" xr:uid="{00000000-0005-0000-0000-0000646E0000}"/>
    <cellStyle name="40% - Accent2 57 2" xfId="28270" xr:uid="{00000000-0005-0000-0000-0000656E0000}"/>
    <cellStyle name="40% - Accent2 57 2 2" xfId="28271" xr:uid="{00000000-0005-0000-0000-0000666E0000}"/>
    <cellStyle name="40% - Accent2 57 3" xfId="28272" xr:uid="{00000000-0005-0000-0000-0000676E0000}"/>
    <cellStyle name="40% - Accent2 57 3 2" xfId="28273" xr:uid="{00000000-0005-0000-0000-0000686E0000}"/>
    <cellStyle name="40% - Accent2 57 4" xfId="28274" xr:uid="{00000000-0005-0000-0000-0000696E0000}"/>
    <cellStyle name="40% - Accent2 58" xfId="28275" xr:uid="{00000000-0005-0000-0000-00006A6E0000}"/>
    <cellStyle name="40% - Accent2 58 2" xfId="28276" xr:uid="{00000000-0005-0000-0000-00006B6E0000}"/>
    <cellStyle name="40% - Accent2 58 2 2" xfId="28277" xr:uid="{00000000-0005-0000-0000-00006C6E0000}"/>
    <cellStyle name="40% - Accent2 58 3" xfId="28278" xr:uid="{00000000-0005-0000-0000-00006D6E0000}"/>
    <cellStyle name="40% - Accent2 58 3 2" xfId="28279" xr:uid="{00000000-0005-0000-0000-00006E6E0000}"/>
    <cellStyle name="40% - Accent2 58 4" xfId="28280" xr:uid="{00000000-0005-0000-0000-00006F6E0000}"/>
    <cellStyle name="40% - Accent2 59" xfId="28281" xr:uid="{00000000-0005-0000-0000-0000706E0000}"/>
    <cellStyle name="40% - Accent2 59 2" xfId="28282" xr:uid="{00000000-0005-0000-0000-0000716E0000}"/>
    <cellStyle name="40% - Accent2 59 2 2" xfId="28283" xr:uid="{00000000-0005-0000-0000-0000726E0000}"/>
    <cellStyle name="40% - Accent2 59 3" xfId="28284" xr:uid="{00000000-0005-0000-0000-0000736E0000}"/>
    <cellStyle name="40% - Accent2 6" xfId="28285" xr:uid="{00000000-0005-0000-0000-0000746E0000}"/>
    <cellStyle name="40% - Accent2 6 2" xfId="28286" xr:uid="{00000000-0005-0000-0000-0000756E0000}"/>
    <cellStyle name="40% - Accent2 6 2 2" xfId="28287" xr:uid="{00000000-0005-0000-0000-0000766E0000}"/>
    <cellStyle name="40% - Accent2 6 3" xfId="28288" xr:uid="{00000000-0005-0000-0000-0000776E0000}"/>
    <cellStyle name="40% - Accent2 6 3 2" xfId="28289" xr:uid="{00000000-0005-0000-0000-0000786E0000}"/>
    <cellStyle name="40% - Accent2 6 4" xfId="28290" xr:uid="{00000000-0005-0000-0000-0000796E0000}"/>
    <cellStyle name="40% - Accent2 6 4 2" xfId="28291" xr:uid="{00000000-0005-0000-0000-00007A6E0000}"/>
    <cellStyle name="40% - Accent2 6 5" xfId="28292" xr:uid="{00000000-0005-0000-0000-00007B6E0000}"/>
    <cellStyle name="40% - Accent2 6 5 2" xfId="28293" xr:uid="{00000000-0005-0000-0000-00007C6E0000}"/>
    <cellStyle name="40% - Accent2 6 6" xfId="28294" xr:uid="{00000000-0005-0000-0000-00007D6E0000}"/>
    <cellStyle name="40% - Accent2 60" xfId="28295" xr:uid="{00000000-0005-0000-0000-00007E6E0000}"/>
    <cellStyle name="40% - Accent2 60 2" xfId="28296" xr:uid="{00000000-0005-0000-0000-00007F6E0000}"/>
    <cellStyle name="40% - Accent2 61" xfId="28297" xr:uid="{00000000-0005-0000-0000-0000806E0000}"/>
    <cellStyle name="40% - Accent2 61 2" xfId="28298" xr:uid="{00000000-0005-0000-0000-0000816E0000}"/>
    <cellStyle name="40% - Accent2 62" xfId="28299" xr:uid="{00000000-0005-0000-0000-0000826E0000}"/>
    <cellStyle name="40% - Accent2 62 2" xfId="28300" xr:uid="{00000000-0005-0000-0000-0000836E0000}"/>
    <cellStyle name="40% - Accent2 63" xfId="28301" xr:uid="{00000000-0005-0000-0000-0000846E0000}"/>
    <cellStyle name="40% - Accent2 63 2" xfId="28302" xr:uid="{00000000-0005-0000-0000-0000856E0000}"/>
    <cellStyle name="40% - Accent2 64" xfId="28303" xr:uid="{00000000-0005-0000-0000-0000866E0000}"/>
    <cellStyle name="40% - Accent2 64 2" xfId="28304" xr:uid="{00000000-0005-0000-0000-0000876E0000}"/>
    <cellStyle name="40% - Accent2 65" xfId="28305" xr:uid="{00000000-0005-0000-0000-0000886E0000}"/>
    <cellStyle name="40% - Accent2 65 2" xfId="28306" xr:uid="{00000000-0005-0000-0000-0000896E0000}"/>
    <cellStyle name="40% - Accent2 66" xfId="28307" xr:uid="{00000000-0005-0000-0000-00008A6E0000}"/>
    <cellStyle name="40% - Accent2 66 2" xfId="28308" xr:uid="{00000000-0005-0000-0000-00008B6E0000}"/>
    <cellStyle name="40% - Accent2 67" xfId="28309" xr:uid="{00000000-0005-0000-0000-00008C6E0000}"/>
    <cellStyle name="40% - Accent2 67 2" xfId="28310" xr:uid="{00000000-0005-0000-0000-00008D6E0000}"/>
    <cellStyle name="40% - Accent2 68" xfId="28311" xr:uid="{00000000-0005-0000-0000-00008E6E0000}"/>
    <cellStyle name="40% - Accent2 68 2" xfId="28312" xr:uid="{00000000-0005-0000-0000-00008F6E0000}"/>
    <cellStyle name="40% - Accent2 69" xfId="28313" xr:uid="{00000000-0005-0000-0000-0000906E0000}"/>
    <cellStyle name="40% - Accent2 69 2" xfId="28314" xr:uid="{00000000-0005-0000-0000-0000916E0000}"/>
    <cellStyle name="40% - Accent2 7" xfId="28315" xr:uid="{00000000-0005-0000-0000-0000926E0000}"/>
    <cellStyle name="40% - Accent2 7 2" xfId="28316" xr:uid="{00000000-0005-0000-0000-0000936E0000}"/>
    <cellStyle name="40% - Accent2 7 2 2" xfId="28317" xr:uid="{00000000-0005-0000-0000-0000946E0000}"/>
    <cellStyle name="40% - Accent2 7 3" xfId="28318" xr:uid="{00000000-0005-0000-0000-0000956E0000}"/>
    <cellStyle name="40% - Accent2 7 3 2" xfId="28319" xr:uid="{00000000-0005-0000-0000-0000966E0000}"/>
    <cellStyle name="40% - Accent2 7 4" xfId="28320" xr:uid="{00000000-0005-0000-0000-0000976E0000}"/>
    <cellStyle name="40% - Accent2 7 4 2" xfId="28321" xr:uid="{00000000-0005-0000-0000-0000986E0000}"/>
    <cellStyle name="40% - Accent2 7 5" xfId="28322" xr:uid="{00000000-0005-0000-0000-0000996E0000}"/>
    <cellStyle name="40% - Accent2 7 5 2" xfId="28323" xr:uid="{00000000-0005-0000-0000-00009A6E0000}"/>
    <cellStyle name="40% - Accent2 7 6" xfId="28324" xr:uid="{00000000-0005-0000-0000-00009B6E0000}"/>
    <cellStyle name="40% - Accent2 70" xfId="28325" xr:uid="{00000000-0005-0000-0000-00009C6E0000}"/>
    <cellStyle name="40% - Accent2 70 2" xfId="28326" xr:uid="{00000000-0005-0000-0000-00009D6E0000}"/>
    <cellStyle name="40% - Accent2 71" xfId="28327" xr:uid="{00000000-0005-0000-0000-00009E6E0000}"/>
    <cellStyle name="40% - Accent2 71 2" xfId="28328" xr:uid="{00000000-0005-0000-0000-00009F6E0000}"/>
    <cellStyle name="40% - Accent2 72" xfId="28329" xr:uid="{00000000-0005-0000-0000-0000A06E0000}"/>
    <cellStyle name="40% - Accent2 72 2" xfId="28330" xr:uid="{00000000-0005-0000-0000-0000A16E0000}"/>
    <cellStyle name="40% - Accent2 73" xfId="28331" xr:uid="{00000000-0005-0000-0000-0000A26E0000}"/>
    <cellStyle name="40% - Accent2 73 2" xfId="28332" xr:uid="{00000000-0005-0000-0000-0000A36E0000}"/>
    <cellStyle name="40% - Accent2 74" xfId="28333" xr:uid="{00000000-0005-0000-0000-0000A46E0000}"/>
    <cellStyle name="40% - Accent2 74 2" xfId="28334" xr:uid="{00000000-0005-0000-0000-0000A56E0000}"/>
    <cellStyle name="40% - Accent2 75" xfId="28335" xr:uid="{00000000-0005-0000-0000-0000A66E0000}"/>
    <cellStyle name="40% - Accent2 75 2" xfId="28336" xr:uid="{00000000-0005-0000-0000-0000A76E0000}"/>
    <cellStyle name="40% - Accent2 76" xfId="28337" xr:uid="{00000000-0005-0000-0000-0000A86E0000}"/>
    <cellStyle name="40% - Accent2 76 2" xfId="28338" xr:uid="{00000000-0005-0000-0000-0000A96E0000}"/>
    <cellStyle name="40% - Accent2 77" xfId="28339" xr:uid="{00000000-0005-0000-0000-0000AA6E0000}"/>
    <cellStyle name="40% - Accent2 77 2" xfId="28340" xr:uid="{00000000-0005-0000-0000-0000AB6E0000}"/>
    <cellStyle name="40% - Accent2 78" xfId="28341" xr:uid="{00000000-0005-0000-0000-0000AC6E0000}"/>
    <cellStyle name="40% - Accent2 78 2" xfId="28342" xr:uid="{00000000-0005-0000-0000-0000AD6E0000}"/>
    <cellStyle name="40% - Accent2 79" xfId="28343" xr:uid="{00000000-0005-0000-0000-0000AE6E0000}"/>
    <cellStyle name="40% - Accent2 79 2" xfId="28344" xr:uid="{00000000-0005-0000-0000-0000AF6E0000}"/>
    <cellStyle name="40% - Accent2 8" xfId="28345" xr:uid="{00000000-0005-0000-0000-0000B06E0000}"/>
    <cellStyle name="40% - Accent2 8 2" xfId="28346" xr:uid="{00000000-0005-0000-0000-0000B16E0000}"/>
    <cellStyle name="40% - Accent2 8 2 2" xfId="28347" xr:uid="{00000000-0005-0000-0000-0000B26E0000}"/>
    <cellStyle name="40% - Accent2 8 3" xfId="28348" xr:uid="{00000000-0005-0000-0000-0000B36E0000}"/>
    <cellStyle name="40% - Accent2 8 3 2" xfId="28349" xr:uid="{00000000-0005-0000-0000-0000B46E0000}"/>
    <cellStyle name="40% - Accent2 8 4" xfId="28350" xr:uid="{00000000-0005-0000-0000-0000B56E0000}"/>
    <cellStyle name="40% - Accent2 8 4 2" xfId="28351" xr:uid="{00000000-0005-0000-0000-0000B66E0000}"/>
    <cellStyle name="40% - Accent2 8 5" xfId="28352" xr:uid="{00000000-0005-0000-0000-0000B76E0000}"/>
    <cellStyle name="40% - Accent2 8 5 2" xfId="28353" xr:uid="{00000000-0005-0000-0000-0000B86E0000}"/>
    <cellStyle name="40% - Accent2 8 6" xfId="28354" xr:uid="{00000000-0005-0000-0000-0000B96E0000}"/>
    <cellStyle name="40% - Accent2 80" xfId="28355" xr:uid="{00000000-0005-0000-0000-0000BA6E0000}"/>
    <cellStyle name="40% - Accent2 80 2" xfId="28356" xr:uid="{00000000-0005-0000-0000-0000BB6E0000}"/>
    <cellStyle name="40% - Accent2 81" xfId="28357" xr:uid="{00000000-0005-0000-0000-0000BC6E0000}"/>
    <cellStyle name="40% - Accent2 81 2" xfId="28358" xr:uid="{00000000-0005-0000-0000-0000BD6E0000}"/>
    <cellStyle name="40% - Accent2 82" xfId="28359" xr:uid="{00000000-0005-0000-0000-0000BE6E0000}"/>
    <cellStyle name="40% - Accent2 82 2" xfId="28360" xr:uid="{00000000-0005-0000-0000-0000BF6E0000}"/>
    <cellStyle name="40% - Accent2 83" xfId="28361" xr:uid="{00000000-0005-0000-0000-0000C06E0000}"/>
    <cellStyle name="40% - Accent2 83 2" xfId="28362" xr:uid="{00000000-0005-0000-0000-0000C16E0000}"/>
    <cellStyle name="40% - Accent2 84" xfId="28363" xr:uid="{00000000-0005-0000-0000-0000C26E0000}"/>
    <cellStyle name="40% - Accent2 84 2" xfId="28364" xr:uid="{00000000-0005-0000-0000-0000C36E0000}"/>
    <cellStyle name="40% - Accent2 85" xfId="28365" xr:uid="{00000000-0005-0000-0000-0000C46E0000}"/>
    <cellStyle name="40% - Accent2 85 2" xfId="28366" xr:uid="{00000000-0005-0000-0000-0000C56E0000}"/>
    <cellStyle name="40% - Accent2 86" xfId="28367" xr:uid="{00000000-0005-0000-0000-0000C66E0000}"/>
    <cellStyle name="40% - Accent2 86 2" xfId="28368" xr:uid="{00000000-0005-0000-0000-0000C76E0000}"/>
    <cellStyle name="40% - Accent2 87" xfId="28369" xr:uid="{00000000-0005-0000-0000-0000C86E0000}"/>
    <cellStyle name="40% - Accent2 87 2" xfId="28370" xr:uid="{00000000-0005-0000-0000-0000C96E0000}"/>
    <cellStyle name="40% - Accent2 88" xfId="28371" xr:uid="{00000000-0005-0000-0000-0000CA6E0000}"/>
    <cellStyle name="40% - Accent2 88 2" xfId="28372" xr:uid="{00000000-0005-0000-0000-0000CB6E0000}"/>
    <cellStyle name="40% - Accent2 89" xfId="28373" xr:uid="{00000000-0005-0000-0000-0000CC6E0000}"/>
    <cellStyle name="40% - Accent2 89 2" xfId="28374" xr:uid="{00000000-0005-0000-0000-0000CD6E0000}"/>
    <cellStyle name="40% - Accent2 9" xfId="28375" xr:uid="{00000000-0005-0000-0000-0000CE6E0000}"/>
    <cellStyle name="40% - Accent2 9 2" xfId="28376" xr:uid="{00000000-0005-0000-0000-0000CF6E0000}"/>
    <cellStyle name="40% - Accent2 9 2 2" xfId="28377" xr:uid="{00000000-0005-0000-0000-0000D06E0000}"/>
    <cellStyle name="40% - Accent2 9 3" xfId="28378" xr:uid="{00000000-0005-0000-0000-0000D16E0000}"/>
    <cellStyle name="40% - Accent2 9 3 2" xfId="28379" xr:uid="{00000000-0005-0000-0000-0000D26E0000}"/>
    <cellStyle name="40% - Accent2 9 4" xfId="28380" xr:uid="{00000000-0005-0000-0000-0000D36E0000}"/>
    <cellStyle name="40% - Accent2 9 4 2" xfId="28381" xr:uid="{00000000-0005-0000-0000-0000D46E0000}"/>
    <cellStyle name="40% - Accent2 9 5" xfId="28382" xr:uid="{00000000-0005-0000-0000-0000D56E0000}"/>
    <cellStyle name="40% - Accent2 9 5 2" xfId="28383" xr:uid="{00000000-0005-0000-0000-0000D66E0000}"/>
    <cellStyle name="40% - Accent2 9 6" xfId="28384" xr:uid="{00000000-0005-0000-0000-0000D76E0000}"/>
    <cellStyle name="40% - Accent2 90" xfId="28385" xr:uid="{00000000-0005-0000-0000-0000D86E0000}"/>
    <cellStyle name="40% - Accent2 90 2" xfId="28386" xr:uid="{00000000-0005-0000-0000-0000D96E0000}"/>
    <cellStyle name="40% - Accent2 91" xfId="28387" xr:uid="{00000000-0005-0000-0000-0000DA6E0000}"/>
    <cellStyle name="40% - Accent2 91 2" xfId="28388" xr:uid="{00000000-0005-0000-0000-0000DB6E0000}"/>
    <cellStyle name="40% - Accent2 92" xfId="28389" xr:uid="{00000000-0005-0000-0000-0000DC6E0000}"/>
    <cellStyle name="40% - Accent2 92 2" xfId="28390" xr:uid="{00000000-0005-0000-0000-0000DD6E0000}"/>
    <cellStyle name="40% - Accent2 93" xfId="28391" xr:uid="{00000000-0005-0000-0000-0000DE6E0000}"/>
    <cellStyle name="40% - Accent2 93 2" xfId="28392" xr:uid="{00000000-0005-0000-0000-0000DF6E0000}"/>
    <cellStyle name="40% - Accent2 94" xfId="28393" xr:uid="{00000000-0005-0000-0000-0000E06E0000}"/>
    <cellStyle name="40% - Accent2 94 2" xfId="28394" xr:uid="{00000000-0005-0000-0000-0000E16E0000}"/>
    <cellStyle name="40% - Accent2 95" xfId="28395" xr:uid="{00000000-0005-0000-0000-0000E26E0000}"/>
    <cellStyle name="40% - Accent2 95 2" xfId="28396" xr:uid="{00000000-0005-0000-0000-0000E36E0000}"/>
    <cellStyle name="40% - Accent2 96" xfId="28397" xr:uid="{00000000-0005-0000-0000-0000E46E0000}"/>
    <cellStyle name="40% - Accent2 96 2" xfId="28398" xr:uid="{00000000-0005-0000-0000-0000E56E0000}"/>
    <cellStyle name="40% - Accent2 97" xfId="28399" xr:uid="{00000000-0005-0000-0000-0000E66E0000}"/>
    <cellStyle name="40% - Accent2 97 2" xfId="28400" xr:uid="{00000000-0005-0000-0000-0000E76E0000}"/>
    <cellStyle name="40% - Accent2 98" xfId="28401" xr:uid="{00000000-0005-0000-0000-0000E86E0000}"/>
    <cellStyle name="40% - Accent2 98 2" xfId="28402" xr:uid="{00000000-0005-0000-0000-0000E96E0000}"/>
    <cellStyle name="40% - Accent2 99" xfId="28403" xr:uid="{00000000-0005-0000-0000-0000EA6E0000}"/>
    <cellStyle name="40% - Accent2 99 2" xfId="28404" xr:uid="{00000000-0005-0000-0000-0000EB6E0000}"/>
    <cellStyle name="40% - Accent3 10" xfId="28405" xr:uid="{00000000-0005-0000-0000-0000EC6E0000}"/>
    <cellStyle name="40% - Accent3 10 2" xfId="28406" xr:uid="{00000000-0005-0000-0000-0000ED6E0000}"/>
    <cellStyle name="40% - Accent3 10 2 2" xfId="28407" xr:uid="{00000000-0005-0000-0000-0000EE6E0000}"/>
    <cellStyle name="40% - Accent3 10 2 2 2" xfId="28408" xr:uid="{00000000-0005-0000-0000-0000EF6E0000}"/>
    <cellStyle name="40% - Accent3 10 2 3" xfId="28409" xr:uid="{00000000-0005-0000-0000-0000F06E0000}"/>
    <cellStyle name="40% - Accent3 10 2 3 2" xfId="28410" xr:uid="{00000000-0005-0000-0000-0000F16E0000}"/>
    <cellStyle name="40% - Accent3 10 2 4" xfId="28411" xr:uid="{00000000-0005-0000-0000-0000F26E0000}"/>
    <cellStyle name="40% - Accent3 10 3" xfId="28412" xr:uid="{00000000-0005-0000-0000-0000F36E0000}"/>
    <cellStyle name="40% - Accent3 10 3 2" xfId="28413" xr:uid="{00000000-0005-0000-0000-0000F46E0000}"/>
    <cellStyle name="40% - Accent3 10 3 2 2" xfId="28414" xr:uid="{00000000-0005-0000-0000-0000F56E0000}"/>
    <cellStyle name="40% - Accent3 10 3 3" xfId="28415" xr:uid="{00000000-0005-0000-0000-0000F66E0000}"/>
    <cellStyle name="40% - Accent3 10 3 3 2" xfId="28416" xr:uid="{00000000-0005-0000-0000-0000F76E0000}"/>
    <cellStyle name="40% - Accent3 10 3 4" xfId="28417" xr:uid="{00000000-0005-0000-0000-0000F86E0000}"/>
    <cellStyle name="40% - Accent3 10 4" xfId="28418" xr:uid="{00000000-0005-0000-0000-0000F96E0000}"/>
    <cellStyle name="40% - Accent3 10 4 2" xfId="28419" xr:uid="{00000000-0005-0000-0000-0000FA6E0000}"/>
    <cellStyle name="40% - Accent3 10 5" xfId="28420" xr:uid="{00000000-0005-0000-0000-0000FB6E0000}"/>
    <cellStyle name="40% - Accent3 10 5 2" xfId="28421" xr:uid="{00000000-0005-0000-0000-0000FC6E0000}"/>
    <cellStyle name="40% - Accent3 10 6" xfId="28422" xr:uid="{00000000-0005-0000-0000-0000FD6E0000}"/>
    <cellStyle name="40% - Accent3 100" xfId="28423" xr:uid="{00000000-0005-0000-0000-0000FE6E0000}"/>
    <cellStyle name="40% - Accent3 100 2" xfId="28424" xr:uid="{00000000-0005-0000-0000-0000FF6E0000}"/>
    <cellStyle name="40% - Accent3 101" xfId="28425" xr:uid="{00000000-0005-0000-0000-0000006F0000}"/>
    <cellStyle name="40% - Accent3 101 2" xfId="28426" xr:uid="{00000000-0005-0000-0000-0000016F0000}"/>
    <cellStyle name="40% - Accent3 102" xfId="28427" xr:uid="{00000000-0005-0000-0000-0000026F0000}"/>
    <cellStyle name="40% - Accent3 102 2" xfId="28428" xr:uid="{00000000-0005-0000-0000-0000036F0000}"/>
    <cellStyle name="40% - Accent3 103" xfId="28429" xr:uid="{00000000-0005-0000-0000-0000046F0000}"/>
    <cellStyle name="40% - Accent3 103 2" xfId="28430" xr:uid="{00000000-0005-0000-0000-0000056F0000}"/>
    <cellStyle name="40% - Accent3 104" xfId="28431" xr:uid="{00000000-0005-0000-0000-0000066F0000}"/>
    <cellStyle name="40% - Accent3 104 2" xfId="28432" xr:uid="{00000000-0005-0000-0000-0000076F0000}"/>
    <cellStyle name="40% - Accent3 105" xfId="28433" xr:uid="{00000000-0005-0000-0000-0000086F0000}"/>
    <cellStyle name="40% - Accent3 105 2" xfId="28434" xr:uid="{00000000-0005-0000-0000-0000096F0000}"/>
    <cellStyle name="40% - Accent3 106" xfId="28435" xr:uid="{00000000-0005-0000-0000-00000A6F0000}"/>
    <cellStyle name="40% - Accent3 106 2" xfId="28436" xr:uid="{00000000-0005-0000-0000-00000B6F0000}"/>
    <cellStyle name="40% - Accent3 107" xfId="28437" xr:uid="{00000000-0005-0000-0000-00000C6F0000}"/>
    <cellStyle name="40% - Accent3 107 2" xfId="28438" xr:uid="{00000000-0005-0000-0000-00000D6F0000}"/>
    <cellStyle name="40% - Accent3 108" xfId="28439" xr:uid="{00000000-0005-0000-0000-00000E6F0000}"/>
    <cellStyle name="40% - Accent3 108 2" xfId="28440" xr:uid="{00000000-0005-0000-0000-00000F6F0000}"/>
    <cellStyle name="40% - Accent3 109" xfId="28441" xr:uid="{00000000-0005-0000-0000-0000106F0000}"/>
    <cellStyle name="40% - Accent3 109 2" xfId="28442" xr:uid="{00000000-0005-0000-0000-0000116F0000}"/>
    <cellStyle name="40% - Accent3 11" xfId="28443" xr:uid="{00000000-0005-0000-0000-0000126F0000}"/>
    <cellStyle name="40% - Accent3 11 2" xfId="28444" xr:uid="{00000000-0005-0000-0000-0000136F0000}"/>
    <cellStyle name="40% - Accent3 11 2 2" xfId="28445" xr:uid="{00000000-0005-0000-0000-0000146F0000}"/>
    <cellStyle name="40% - Accent3 11 2 2 2" xfId="28446" xr:uid="{00000000-0005-0000-0000-0000156F0000}"/>
    <cellStyle name="40% - Accent3 11 2 3" xfId="28447" xr:uid="{00000000-0005-0000-0000-0000166F0000}"/>
    <cellStyle name="40% - Accent3 11 2 3 2" xfId="28448" xr:uid="{00000000-0005-0000-0000-0000176F0000}"/>
    <cellStyle name="40% - Accent3 11 2 4" xfId="28449" xr:uid="{00000000-0005-0000-0000-0000186F0000}"/>
    <cellStyle name="40% - Accent3 11 3" xfId="28450" xr:uid="{00000000-0005-0000-0000-0000196F0000}"/>
    <cellStyle name="40% - Accent3 11 3 2" xfId="28451" xr:uid="{00000000-0005-0000-0000-00001A6F0000}"/>
    <cellStyle name="40% - Accent3 11 3 2 2" xfId="28452" xr:uid="{00000000-0005-0000-0000-00001B6F0000}"/>
    <cellStyle name="40% - Accent3 11 3 3" xfId="28453" xr:uid="{00000000-0005-0000-0000-00001C6F0000}"/>
    <cellStyle name="40% - Accent3 11 3 3 2" xfId="28454" xr:uid="{00000000-0005-0000-0000-00001D6F0000}"/>
    <cellStyle name="40% - Accent3 11 3 4" xfId="28455" xr:uid="{00000000-0005-0000-0000-00001E6F0000}"/>
    <cellStyle name="40% - Accent3 11 4" xfId="28456" xr:uid="{00000000-0005-0000-0000-00001F6F0000}"/>
    <cellStyle name="40% - Accent3 11 4 2" xfId="28457" xr:uid="{00000000-0005-0000-0000-0000206F0000}"/>
    <cellStyle name="40% - Accent3 11 5" xfId="28458" xr:uid="{00000000-0005-0000-0000-0000216F0000}"/>
    <cellStyle name="40% - Accent3 11 5 2" xfId="28459" xr:uid="{00000000-0005-0000-0000-0000226F0000}"/>
    <cellStyle name="40% - Accent3 11 6" xfId="28460" xr:uid="{00000000-0005-0000-0000-0000236F0000}"/>
    <cellStyle name="40% - Accent3 110" xfId="28461" xr:uid="{00000000-0005-0000-0000-0000246F0000}"/>
    <cellStyle name="40% - Accent3 110 2" xfId="28462" xr:uid="{00000000-0005-0000-0000-0000256F0000}"/>
    <cellStyle name="40% - Accent3 111" xfId="28463" xr:uid="{00000000-0005-0000-0000-0000266F0000}"/>
    <cellStyle name="40% - Accent3 111 2" xfId="28464" xr:uid="{00000000-0005-0000-0000-0000276F0000}"/>
    <cellStyle name="40% - Accent3 112" xfId="28465" xr:uid="{00000000-0005-0000-0000-0000286F0000}"/>
    <cellStyle name="40% - Accent3 112 2" xfId="28466" xr:uid="{00000000-0005-0000-0000-0000296F0000}"/>
    <cellStyle name="40% - Accent3 113" xfId="28467" xr:uid="{00000000-0005-0000-0000-00002A6F0000}"/>
    <cellStyle name="40% - Accent3 113 2" xfId="28468" xr:uid="{00000000-0005-0000-0000-00002B6F0000}"/>
    <cellStyle name="40% - Accent3 114" xfId="28469" xr:uid="{00000000-0005-0000-0000-00002C6F0000}"/>
    <cellStyle name="40% - Accent3 114 2" xfId="28470" xr:uid="{00000000-0005-0000-0000-00002D6F0000}"/>
    <cellStyle name="40% - Accent3 115" xfId="28471" xr:uid="{00000000-0005-0000-0000-00002E6F0000}"/>
    <cellStyle name="40% - Accent3 115 2" xfId="28472" xr:uid="{00000000-0005-0000-0000-00002F6F0000}"/>
    <cellStyle name="40% - Accent3 116" xfId="28473" xr:uid="{00000000-0005-0000-0000-0000306F0000}"/>
    <cellStyle name="40% - Accent3 116 2" xfId="28474" xr:uid="{00000000-0005-0000-0000-0000316F0000}"/>
    <cellStyle name="40% - Accent3 117" xfId="28475" xr:uid="{00000000-0005-0000-0000-0000326F0000}"/>
    <cellStyle name="40% - Accent3 117 2" xfId="28476" xr:uid="{00000000-0005-0000-0000-0000336F0000}"/>
    <cellStyle name="40% - Accent3 118" xfId="28477" xr:uid="{00000000-0005-0000-0000-0000346F0000}"/>
    <cellStyle name="40% - Accent3 118 2" xfId="28478" xr:uid="{00000000-0005-0000-0000-0000356F0000}"/>
    <cellStyle name="40% - Accent3 119" xfId="28479" xr:uid="{00000000-0005-0000-0000-0000366F0000}"/>
    <cellStyle name="40% - Accent3 119 2" xfId="28480" xr:uid="{00000000-0005-0000-0000-0000376F0000}"/>
    <cellStyle name="40% - Accent3 12" xfId="28481" xr:uid="{00000000-0005-0000-0000-0000386F0000}"/>
    <cellStyle name="40% - Accent3 12 2" xfId="28482" xr:uid="{00000000-0005-0000-0000-0000396F0000}"/>
    <cellStyle name="40% - Accent3 12 2 2" xfId="28483" xr:uid="{00000000-0005-0000-0000-00003A6F0000}"/>
    <cellStyle name="40% - Accent3 12 2 2 2" xfId="28484" xr:uid="{00000000-0005-0000-0000-00003B6F0000}"/>
    <cellStyle name="40% - Accent3 12 2 3" xfId="28485" xr:uid="{00000000-0005-0000-0000-00003C6F0000}"/>
    <cellStyle name="40% - Accent3 12 2 3 2" xfId="28486" xr:uid="{00000000-0005-0000-0000-00003D6F0000}"/>
    <cellStyle name="40% - Accent3 12 2 4" xfId="28487" xr:uid="{00000000-0005-0000-0000-00003E6F0000}"/>
    <cellStyle name="40% - Accent3 12 3" xfId="28488" xr:uid="{00000000-0005-0000-0000-00003F6F0000}"/>
    <cellStyle name="40% - Accent3 12 3 2" xfId="28489" xr:uid="{00000000-0005-0000-0000-0000406F0000}"/>
    <cellStyle name="40% - Accent3 12 3 2 2" xfId="28490" xr:uid="{00000000-0005-0000-0000-0000416F0000}"/>
    <cellStyle name="40% - Accent3 12 3 3" xfId="28491" xr:uid="{00000000-0005-0000-0000-0000426F0000}"/>
    <cellStyle name="40% - Accent3 12 3 3 2" xfId="28492" xr:uid="{00000000-0005-0000-0000-0000436F0000}"/>
    <cellStyle name="40% - Accent3 12 3 4" xfId="28493" xr:uid="{00000000-0005-0000-0000-0000446F0000}"/>
    <cellStyle name="40% - Accent3 12 4" xfId="28494" xr:uid="{00000000-0005-0000-0000-0000456F0000}"/>
    <cellStyle name="40% - Accent3 12 4 2" xfId="28495" xr:uid="{00000000-0005-0000-0000-0000466F0000}"/>
    <cellStyle name="40% - Accent3 12 5" xfId="28496" xr:uid="{00000000-0005-0000-0000-0000476F0000}"/>
    <cellStyle name="40% - Accent3 12 5 2" xfId="28497" xr:uid="{00000000-0005-0000-0000-0000486F0000}"/>
    <cellStyle name="40% - Accent3 12 6" xfId="28498" xr:uid="{00000000-0005-0000-0000-0000496F0000}"/>
    <cellStyle name="40% - Accent3 120" xfId="28499" xr:uid="{00000000-0005-0000-0000-00004A6F0000}"/>
    <cellStyle name="40% - Accent3 120 2" xfId="28500" xr:uid="{00000000-0005-0000-0000-00004B6F0000}"/>
    <cellStyle name="40% - Accent3 121" xfId="28501" xr:uid="{00000000-0005-0000-0000-00004C6F0000}"/>
    <cellStyle name="40% - Accent3 121 2" xfId="28502" xr:uid="{00000000-0005-0000-0000-00004D6F0000}"/>
    <cellStyle name="40% - Accent3 122" xfId="28503" xr:uid="{00000000-0005-0000-0000-00004E6F0000}"/>
    <cellStyle name="40% - Accent3 122 2" xfId="28504" xr:uid="{00000000-0005-0000-0000-00004F6F0000}"/>
    <cellStyle name="40% - Accent3 123" xfId="28505" xr:uid="{00000000-0005-0000-0000-0000506F0000}"/>
    <cellStyle name="40% - Accent3 123 2" xfId="28506" xr:uid="{00000000-0005-0000-0000-0000516F0000}"/>
    <cellStyle name="40% - Accent3 124" xfId="28507" xr:uid="{00000000-0005-0000-0000-0000526F0000}"/>
    <cellStyle name="40% - Accent3 124 2" xfId="28508" xr:uid="{00000000-0005-0000-0000-0000536F0000}"/>
    <cellStyle name="40% - Accent3 125" xfId="28509" xr:uid="{00000000-0005-0000-0000-0000546F0000}"/>
    <cellStyle name="40% - Accent3 125 2" xfId="28510" xr:uid="{00000000-0005-0000-0000-0000556F0000}"/>
    <cellStyle name="40% - Accent3 126" xfId="28511" xr:uid="{00000000-0005-0000-0000-0000566F0000}"/>
    <cellStyle name="40% - Accent3 126 2" xfId="28512" xr:uid="{00000000-0005-0000-0000-0000576F0000}"/>
    <cellStyle name="40% - Accent3 127" xfId="28513" xr:uid="{00000000-0005-0000-0000-0000586F0000}"/>
    <cellStyle name="40% - Accent3 127 2" xfId="28514" xr:uid="{00000000-0005-0000-0000-0000596F0000}"/>
    <cellStyle name="40% - Accent3 128" xfId="28515" xr:uid="{00000000-0005-0000-0000-00005A6F0000}"/>
    <cellStyle name="40% - Accent3 128 2" xfId="28516" xr:uid="{00000000-0005-0000-0000-00005B6F0000}"/>
    <cellStyle name="40% - Accent3 129" xfId="28517" xr:uid="{00000000-0005-0000-0000-00005C6F0000}"/>
    <cellStyle name="40% - Accent3 129 2" xfId="28518" xr:uid="{00000000-0005-0000-0000-00005D6F0000}"/>
    <cellStyle name="40% - Accent3 13" xfId="28519" xr:uid="{00000000-0005-0000-0000-00005E6F0000}"/>
    <cellStyle name="40% - Accent3 13 2" xfId="28520" xr:uid="{00000000-0005-0000-0000-00005F6F0000}"/>
    <cellStyle name="40% - Accent3 13 2 2" xfId="28521" xr:uid="{00000000-0005-0000-0000-0000606F0000}"/>
    <cellStyle name="40% - Accent3 13 3" xfId="28522" xr:uid="{00000000-0005-0000-0000-0000616F0000}"/>
    <cellStyle name="40% - Accent3 13 3 2" xfId="28523" xr:uid="{00000000-0005-0000-0000-0000626F0000}"/>
    <cellStyle name="40% - Accent3 13 4" xfId="28524" xr:uid="{00000000-0005-0000-0000-0000636F0000}"/>
    <cellStyle name="40% - Accent3 130" xfId="28525" xr:uid="{00000000-0005-0000-0000-0000646F0000}"/>
    <cellStyle name="40% - Accent3 130 2" xfId="28526" xr:uid="{00000000-0005-0000-0000-0000656F0000}"/>
    <cellStyle name="40% - Accent3 131" xfId="28527" xr:uid="{00000000-0005-0000-0000-0000666F0000}"/>
    <cellStyle name="40% - Accent3 131 2" xfId="28528" xr:uid="{00000000-0005-0000-0000-0000676F0000}"/>
    <cellStyle name="40% - Accent3 132" xfId="28529" xr:uid="{00000000-0005-0000-0000-0000686F0000}"/>
    <cellStyle name="40% - Accent3 132 2" xfId="28530" xr:uid="{00000000-0005-0000-0000-0000696F0000}"/>
    <cellStyle name="40% - Accent3 133" xfId="28531" xr:uid="{00000000-0005-0000-0000-00006A6F0000}"/>
    <cellStyle name="40% - Accent3 133 2" xfId="28532" xr:uid="{00000000-0005-0000-0000-00006B6F0000}"/>
    <cellStyle name="40% - Accent3 134" xfId="28533" xr:uid="{00000000-0005-0000-0000-00006C6F0000}"/>
    <cellStyle name="40% - Accent3 134 2" xfId="28534" xr:uid="{00000000-0005-0000-0000-00006D6F0000}"/>
    <cellStyle name="40% - Accent3 135" xfId="28535" xr:uid="{00000000-0005-0000-0000-00006E6F0000}"/>
    <cellStyle name="40% - Accent3 135 2" xfId="28536" xr:uid="{00000000-0005-0000-0000-00006F6F0000}"/>
    <cellStyle name="40% - Accent3 136" xfId="28537" xr:uid="{00000000-0005-0000-0000-0000706F0000}"/>
    <cellStyle name="40% - Accent3 136 2" xfId="28538" xr:uid="{00000000-0005-0000-0000-0000716F0000}"/>
    <cellStyle name="40% - Accent3 137" xfId="28539" xr:uid="{00000000-0005-0000-0000-0000726F0000}"/>
    <cellStyle name="40% - Accent3 137 2" xfId="28540" xr:uid="{00000000-0005-0000-0000-0000736F0000}"/>
    <cellStyle name="40% - Accent3 138" xfId="28541" xr:uid="{00000000-0005-0000-0000-0000746F0000}"/>
    <cellStyle name="40% - Accent3 138 2" xfId="28542" xr:uid="{00000000-0005-0000-0000-0000756F0000}"/>
    <cellStyle name="40% - Accent3 139" xfId="28543" xr:uid="{00000000-0005-0000-0000-0000766F0000}"/>
    <cellStyle name="40% - Accent3 139 2" xfId="28544" xr:uid="{00000000-0005-0000-0000-0000776F0000}"/>
    <cellStyle name="40% - Accent3 14" xfId="28545" xr:uid="{00000000-0005-0000-0000-0000786F0000}"/>
    <cellStyle name="40% - Accent3 14 2" xfId="28546" xr:uid="{00000000-0005-0000-0000-0000796F0000}"/>
    <cellStyle name="40% - Accent3 14 2 2" xfId="28547" xr:uid="{00000000-0005-0000-0000-00007A6F0000}"/>
    <cellStyle name="40% - Accent3 14 3" xfId="28548" xr:uid="{00000000-0005-0000-0000-00007B6F0000}"/>
    <cellStyle name="40% - Accent3 14 3 2" xfId="28549" xr:uid="{00000000-0005-0000-0000-00007C6F0000}"/>
    <cellStyle name="40% - Accent3 14 4" xfId="28550" xr:uid="{00000000-0005-0000-0000-00007D6F0000}"/>
    <cellStyle name="40% - Accent3 140" xfId="28551" xr:uid="{00000000-0005-0000-0000-00007E6F0000}"/>
    <cellStyle name="40% - Accent3 140 2" xfId="28552" xr:uid="{00000000-0005-0000-0000-00007F6F0000}"/>
    <cellStyle name="40% - Accent3 141" xfId="28553" xr:uid="{00000000-0005-0000-0000-0000806F0000}"/>
    <cellStyle name="40% - Accent3 141 2" xfId="28554" xr:uid="{00000000-0005-0000-0000-0000816F0000}"/>
    <cellStyle name="40% - Accent3 142" xfId="28555" xr:uid="{00000000-0005-0000-0000-0000826F0000}"/>
    <cellStyle name="40% - Accent3 142 2" xfId="28556" xr:uid="{00000000-0005-0000-0000-0000836F0000}"/>
    <cellStyle name="40% - Accent3 143" xfId="28557" xr:uid="{00000000-0005-0000-0000-0000846F0000}"/>
    <cellStyle name="40% - Accent3 143 2" xfId="28558" xr:uid="{00000000-0005-0000-0000-0000856F0000}"/>
    <cellStyle name="40% - Accent3 144" xfId="28559" xr:uid="{00000000-0005-0000-0000-0000866F0000}"/>
    <cellStyle name="40% - Accent3 144 2" xfId="28560" xr:uid="{00000000-0005-0000-0000-0000876F0000}"/>
    <cellStyle name="40% - Accent3 145" xfId="28561" xr:uid="{00000000-0005-0000-0000-0000886F0000}"/>
    <cellStyle name="40% - Accent3 145 2" xfId="28562" xr:uid="{00000000-0005-0000-0000-0000896F0000}"/>
    <cellStyle name="40% - Accent3 146" xfId="28563" xr:uid="{00000000-0005-0000-0000-00008A6F0000}"/>
    <cellStyle name="40% - Accent3 146 2" xfId="28564" xr:uid="{00000000-0005-0000-0000-00008B6F0000}"/>
    <cellStyle name="40% - Accent3 147" xfId="28565" xr:uid="{00000000-0005-0000-0000-00008C6F0000}"/>
    <cellStyle name="40% - Accent3 147 2" xfId="28566" xr:uid="{00000000-0005-0000-0000-00008D6F0000}"/>
    <cellStyle name="40% - Accent3 148" xfId="28567" xr:uid="{00000000-0005-0000-0000-00008E6F0000}"/>
    <cellStyle name="40% - Accent3 148 2" xfId="28568" xr:uid="{00000000-0005-0000-0000-00008F6F0000}"/>
    <cellStyle name="40% - Accent3 149" xfId="28569" xr:uid="{00000000-0005-0000-0000-0000906F0000}"/>
    <cellStyle name="40% - Accent3 149 2" xfId="28570" xr:uid="{00000000-0005-0000-0000-0000916F0000}"/>
    <cellStyle name="40% - Accent3 15" xfId="28571" xr:uid="{00000000-0005-0000-0000-0000926F0000}"/>
    <cellStyle name="40% - Accent3 15 2" xfId="28572" xr:uid="{00000000-0005-0000-0000-0000936F0000}"/>
    <cellStyle name="40% - Accent3 15 2 2" xfId="28573" xr:uid="{00000000-0005-0000-0000-0000946F0000}"/>
    <cellStyle name="40% - Accent3 15 3" xfId="28574" xr:uid="{00000000-0005-0000-0000-0000956F0000}"/>
    <cellStyle name="40% - Accent3 15 3 2" xfId="28575" xr:uid="{00000000-0005-0000-0000-0000966F0000}"/>
    <cellStyle name="40% - Accent3 15 4" xfId="28576" xr:uid="{00000000-0005-0000-0000-0000976F0000}"/>
    <cellStyle name="40% - Accent3 150" xfId="28577" xr:uid="{00000000-0005-0000-0000-0000986F0000}"/>
    <cellStyle name="40% - Accent3 150 2" xfId="28578" xr:uid="{00000000-0005-0000-0000-0000996F0000}"/>
    <cellStyle name="40% - Accent3 151" xfId="28579" xr:uid="{00000000-0005-0000-0000-00009A6F0000}"/>
    <cellStyle name="40% - Accent3 151 2" xfId="28580" xr:uid="{00000000-0005-0000-0000-00009B6F0000}"/>
    <cellStyle name="40% - Accent3 152" xfId="28581" xr:uid="{00000000-0005-0000-0000-00009C6F0000}"/>
    <cellStyle name="40% - Accent3 152 2" xfId="28582" xr:uid="{00000000-0005-0000-0000-00009D6F0000}"/>
    <cellStyle name="40% - Accent3 153" xfId="28583" xr:uid="{00000000-0005-0000-0000-00009E6F0000}"/>
    <cellStyle name="40% - Accent3 153 2" xfId="28584" xr:uid="{00000000-0005-0000-0000-00009F6F0000}"/>
    <cellStyle name="40% - Accent3 154" xfId="28585" xr:uid="{00000000-0005-0000-0000-0000A06F0000}"/>
    <cellStyle name="40% - Accent3 154 2" xfId="28586" xr:uid="{00000000-0005-0000-0000-0000A16F0000}"/>
    <cellStyle name="40% - Accent3 155" xfId="28587" xr:uid="{00000000-0005-0000-0000-0000A26F0000}"/>
    <cellStyle name="40% - Accent3 155 2" xfId="28588" xr:uid="{00000000-0005-0000-0000-0000A36F0000}"/>
    <cellStyle name="40% - Accent3 156" xfId="28589" xr:uid="{00000000-0005-0000-0000-0000A46F0000}"/>
    <cellStyle name="40% - Accent3 156 2" xfId="28590" xr:uid="{00000000-0005-0000-0000-0000A56F0000}"/>
    <cellStyle name="40% - Accent3 157" xfId="28591" xr:uid="{00000000-0005-0000-0000-0000A66F0000}"/>
    <cellStyle name="40% - Accent3 157 2" xfId="28592" xr:uid="{00000000-0005-0000-0000-0000A76F0000}"/>
    <cellStyle name="40% - Accent3 158" xfId="28593" xr:uid="{00000000-0005-0000-0000-0000A86F0000}"/>
    <cellStyle name="40% - Accent3 158 2" xfId="28594" xr:uid="{00000000-0005-0000-0000-0000A96F0000}"/>
    <cellStyle name="40% - Accent3 159" xfId="28595" xr:uid="{00000000-0005-0000-0000-0000AA6F0000}"/>
    <cellStyle name="40% - Accent3 159 2" xfId="28596" xr:uid="{00000000-0005-0000-0000-0000AB6F0000}"/>
    <cellStyle name="40% - Accent3 16" xfId="28597" xr:uid="{00000000-0005-0000-0000-0000AC6F0000}"/>
    <cellStyle name="40% - Accent3 16 2" xfId="28598" xr:uid="{00000000-0005-0000-0000-0000AD6F0000}"/>
    <cellStyle name="40% - Accent3 16 2 2" xfId="28599" xr:uid="{00000000-0005-0000-0000-0000AE6F0000}"/>
    <cellStyle name="40% - Accent3 16 3" xfId="28600" xr:uid="{00000000-0005-0000-0000-0000AF6F0000}"/>
    <cellStyle name="40% - Accent3 16 3 2" xfId="28601" xr:uid="{00000000-0005-0000-0000-0000B06F0000}"/>
    <cellStyle name="40% - Accent3 16 4" xfId="28602" xr:uid="{00000000-0005-0000-0000-0000B16F0000}"/>
    <cellStyle name="40% - Accent3 160" xfId="28603" xr:uid="{00000000-0005-0000-0000-0000B26F0000}"/>
    <cellStyle name="40% - Accent3 160 2" xfId="28604" xr:uid="{00000000-0005-0000-0000-0000B36F0000}"/>
    <cellStyle name="40% - Accent3 161" xfId="28605" xr:uid="{00000000-0005-0000-0000-0000B46F0000}"/>
    <cellStyle name="40% - Accent3 161 2" xfId="28606" xr:uid="{00000000-0005-0000-0000-0000B56F0000}"/>
    <cellStyle name="40% - Accent3 162" xfId="28607" xr:uid="{00000000-0005-0000-0000-0000B66F0000}"/>
    <cellStyle name="40% - Accent3 162 2" xfId="28608" xr:uid="{00000000-0005-0000-0000-0000B76F0000}"/>
    <cellStyle name="40% - Accent3 163" xfId="28609" xr:uid="{00000000-0005-0000-0000-0000B86F0000}"/>
    <cellStyle name="40% - Accent3 163 2" xfId="28610" xr:uid="{00000000-0005-0000-0000-0000B96F0000}"/>
    <cellStyle name="40% - Accent3 164" xfId="28611" xr:uid="{00000000-0005-0000-0000-0000BA6F0000}"/>
    <cellStyle name="40% - Accent3 164 2" xfId="28612" xr:uid="{00000000-0005-0000-0000-0000BB6F0000}"/>
    <cellStyle name="40% - Accent3 165" xfId="28613" xr:uid="{00000000-0005-0000-0000-0000BC6F0000}"/>
    <cellStyle name="40% - Accent3 165 2" xfId="28614" xr:uid="{00000000-0005-0000-0000-0000BD6F0000}"/>
    <cellStyle name="40% - Accent3 166" xfId="28615" xr:uid="{00000000-0005-0000-0000-0000BE6F0000}"/>
    <cellStyle name="40% - Accent3 166 2" xfId="28616" xr:uid="{00000000-0005-0000-0000-0000BF6F0000}"/>
    <cellStyle name="40% - Accent3 167" xfId="28617" xr:uid="{00000000-0005-0000-0000-0000C06F0000}"/>
    <cellStyle name="40% - Accent3 167 2" xfId="28618" xr:uid="{00000000-0005-0000-0000-0000C16F0000}"/>
    <cellStyle name="40% - Accent3 168" xfId="28619" xr:uid="{00000000-0005-0000-0000-0000C26F0000}"/>
    <cellStyle name="40% - Accent3 168 2" xfId="28620" xr:uid="{00000000-0005-0000-0000-0000C36F0000}"/>
    <cellStyle name="40% - Accent3 169" xfId="28621" xr:uid="{00000000-0005-0000-0000-0000C46F0000}"/>
    <cellStyle name="40% - Accent3 169 2" xfId="28622" xr:uid="{00000000-0005-0000-0000-0000C56F0000}"/>
    <cellStyle name="40% - Accent3 17" xfId="28623" xr:uid="{00000000-0005-0000-0000-0000C66F0000}"/>
    <cellStyle name="40% - Accent3 17 2" xfId="28624" xr:uid="{00000000-0005-0000-0000-0000C76F0000}"/>
    <cellStyle name="40% - Accent3 17 2 2" xfId="28625" xr:uid="{00000000-0005-0000-0000-0000C86F0000}"/>
    <cellStyle name="40% - Accent3 17 3" xfId="28626" xr:uid="{00000000-0005-0000-0000-0000C96F0000}"/>
    <cellStyle name="40% - Accent3 17 3 2" xfId="28627" xr:uid="{00000000-0005-0000-0000-0000CA6F0000}"/>
    <cellStyle name="40% - Accent3 17 4" xfId="28628" xr:uid="{00000000-0005-0000-0000-0000CB6F0000}"/>
    <cellStyle name="40% - Accent3 170" xfId="28629" xr:uid="{00000000-0005-0000-0000-0000CC6F0000}"/>
    <cellStyle name="40% - Accent3 170 2" xfId="28630" xr:uid="{00000000-0005-0000-0000-0000CD6F0000}"/>
    <cellStyle name="40% - Accent3 171" xfId="28631" xr:uid="{00000000-0005-0000-0000-0000CE6F0000}"/>
    <cellStyle name="40% - Accent3 171 2" xfId="28632" xr:uid="{00000000-0005-0000-0000-0000CF6F0000}"/>
    <cellStyle name="40% - Accent3 172" xfId="28633" xr:uid="{00000000-0005-0000-0000-0000D06F0000}"/>
    <cellStyle name="40% - Accent3 172 2" xfId="28634" xr:uid="{00000000-0005-0000-0000-0000D16F0000}"/>
    <cellStyle name="40% - Accent3 173" xfId="28635" xr:uid="{00000000-0005-0000-0000-0000D26F0000}"/>
    <cellStyle name="40% - Accent3 173 2" xfId="28636" xr:uid="{00000000-0005-0000-0000-0000D36F0000}"/>
    <cellStyle name="40% - Accent3 174" xfId="28637" xr:uid="{00000000-0005-0000-0000-0000D46F0000}"/>
    <cellStyle name="40% - Accent3 174 2" xfId="28638" xr:uid="{00000000-0005-0000-0000-0000D56F0000}"/>
    <cellStyle name="40% - Accent3 175" xfId="28639" xr:uid="{00000000-0005-0000-0000-0000D66F0000}"/>
    <cellStyle name="40% - Accent3 175 2" xfId="28640" xr:uid="{00000000-0005-0000-0000-0000D76F0000}"/>
    <cellStyle name="40% - Accent3 176" xfId="28641" xr:uid="{00000000-0005-0000-0000-0000D86F0000}"/>
    <cellStyle name="40% - Accent3 176 2" xfId="28642" xr:uid="{00000000-0005-0000-0000-0000D96F0000}"/>
    <cellStyle name="40% - Accent3 177" xfId="28643" xr:uid="{00000000-0005-0000-0000-0000DA6F0000}"/>
    <cellStyle name="40% - Accent3 177 2" xfId="28644" xr:uid="{00000000-0005-0000-0000-0000DB6F0000}"/>
    <cellStyle name="40% - Accent3 178" xfId="28645" xr:uid="{00000000-0005-0000-0000-0000DC6F0000}"/>
    <cellStyle name="40% - Accent3 178 2" xfId="28646" xr:uid="{00000000-0005-0000-0000-0000DD6F0000}"/>
    <cellStyle name="40% - Accent3 179" xfId="28647" xr:uid="{00000000-0005-0000-0000-0000DE6F0000}"/>
    <cellStyle name="40% - Accent3 179 2" xfId="28648" xr:uid="{00000000-0005-0000-0000-0000DF6F0000}"/>
    <cellStyle name="40% - Accent3 18" xfId="28649" xr:uid="{00000000-0005-0000-0000-0000E06F0000}"/>
    <cellStyle name="40% - Accent3 18 2" xfId="28650" xr:uid="{00000000-0005-0000-0000-0000E16F0000}"/>
    <cellStyle name="40% - Accent3 18 2 2" xfId="28651" xr:uid="{00000000-0005-0000-0000-0000E26F0000}"/>
    <cellStyle name="40% - Accent3 18 3" xfId="28652" xr:uid="{00000000-0005-0000-0000-0000E36F0000}"/>
    <cellStyle name="40% - Accent3 18 3 2" xfId="28653" xr:uid="{00000000-0005-0000-0000-0000E46F0000}"/>
    <cellStyle name="40% - Accent3 18 4" xfId="28654" xr:uid="{00000000-0005-0000-0000-0000E56F0000}"/>
    <cellStyle name="40% - Accent3 180" xfId="28655" xr:uid="{00000000-0005-0000-0000-0000E66F0000}"/>
    <cellStyle name="40% - Accent3 180 2" xfId="28656" xr:uid="{00000000-0005-0000-0000-0000E76F0000}"/>
    <cellStyle name="40% - Accent3 181" xfId="28657" xr:uid="{00000000-0005-0000-0000-0000E86F0000}"/>
    <cellStyle name="40% - Accent3 181 2" xfId="28658" xr:uid="{00000000-0005-0000-0000-0000E96F0000}"/>
    <cellStyle name="40% - Accent3 182" xfId="28659" xr:uid="{00000000-0005-0000-0000-0000EA6F0000}"/>
    <cellStyle name="40% - Accent3 182 2" xfId="28660" xr:uid="{00000000-0005-0000-0000-0000EB6F0000}"/>
    <cellStyle name="40% - Accent3 183" xfId="28661" xr:uid="{00000000-0005-0000-0000-0000EC6F0000}"/>
    <cellStyle name="40% - Accent3 183 2" xfId="28662" xr:uid="{00000000-0005-0000-0000-0000ED6F0000}"/>
    <cellStyle name="40% - Accent3 184" xfId="28663" xr:uid="{00000000-0005-0000-0000-0000EE6F0000}"/>
    <cellStyle name="40% - Accent3 184 2" xfId="28664" xr:uid="{00000000-0005-0000-0000-0000EF6F0000}"/>
    <cellStyle name="40% - Accent3 185" xfId="28665" xr:uid="{00000000-0005-0000-0000-0000F06F0000}"/>
    <cellStyle name="40% - Accent3 185 2" xfId="28666" xr:uid="{00000000-0005-0000-0000-0000F16F0000}"/>
    <cellStyle name="40% - Accent3 186" xfId="28667" xr:uid="{00000000-0005-0000-0000-0000F26F0000}"/>
    <cellStyle name="40% - Accent3 186 2" xfId="28668" xr:uid="{00000000-0005-0000-0000-0000F36F0000}"/>
    <cellStyle name="40% - Accent3 187" xfId="28669" xr:uid="{00000000-0005-0000-0000-0000F46F0000}"/>
    <cellStyle name="40% - Accent3 187 2" xfId="28670" xr:uid="{00000000-0005-0000-0000-0000F56F0000}"/>
    <cellStyle name="40% - Accent3 188" xfId="28671" xr:uid="{00000000-0005-0000-0000-0000F66F0000}"/>
    <cellStyle name="40% - Accent3 188 2" xfId="28672" xr:uid="{00000000-0005-0000-0000-0000F76F0000}"/>
    <cellStyle name="40% - Accent3 189" xfId="28673" xr:uid="{00000000-0005-0000-0000-0000F86F0000}"/>
    <cellStyle name="40% - Accent3 189 2" xfId="28674" xr:uid="{00000000-0005-0000-0000-0000F96F0000}"/>
    <cellStyle name="40% - Accent3 19" xfId="28675" xr:uid="{00000000-0005-0000-0000-0000FA6F0000}"/>
    <cellStyle name="40% - Accent3 19 2" xfId="28676" xr:uid="{00000000-0005-0000-0000-0000FB6F0000}"/>
    <cellStyle name="40% - Accent3 19 2 2" xfId="28677" xr:uid="{00000000-0005-0000-0000-0000FC6F0000}"/>
    <cellStyle name="40% - Accent3 19 3" xfId="28678" xr:uid="{00000000-0005-0000-0000-0000FD6F0000}"/>
    <cellStyle name="40% - Accent3 19 3 2" xfId="28679" xr:uid="{00000000-0005-0000-0000-0000FE6F0000}"/>
    <cellStyle name="40% - Accent3 19 4" xfId="28680" xr:uid="{00000000-0005-0000-0000-0000FF6F0000}"/>
    <cellStyle name="40% - Accent3 190" xfId="28681" xr:uid="{00000000-0005-0000-0000-000000700000}"/>
    <cellStyle name="40% - Accent3 190 2" xfId="28682" xr:uid="{00000000-0005-0000-0000-000001700000}"/>
    <cellStyle name="40% - Accent3 191" xfId="28683" xr:uid="{00000000-0005-0000-0000-000002700000}"/>
    <cellStyle name="40% - Accent3 191 2" xfId="28684" xr:uid="{00000000-0005-0000-0000-000003700000}"/>
    <cellStyle name="40% - Accent3 192" xfId="28685" xr:uid="{00000000-0005-0000-0000-000004700000}"/>
    <cellStyle name="40% - Accent3 192 2" xfId="28686" xr:uid="{00000000-0005-0000-0000-000005700000}"/>
    <cellStyle name="40% - Accent3 193" xfId="28687" xr:uid="{00000000-0005-0000-0000-000006700000}"/>
    <cellStyle name="40% - Accent3 193 2" xfId="28688" xr:uid="{00000000-0005-0000-0000-000007700000}"/>
    <cellStyle name="40% - Accent3 194" xfId="28689" xr:uid="{00000000-0005-0000-0000-000008700000}"/>
    <cellStyle name="40% - Accent3 194 2" xfId="28690" xr:uid="{00000000-0005-0000-0000-000009700000}"/>
    <cellStyle name="40% - Accent3 195" xfId="28691" xr:uid="{00000000-0005-0000-0000-00000A700000}"/>
    <cellStyle name="40% - Accent3 195 2" xfId="28692" xr:uid="{00000000-0005-0000-0000-00000B700000}"/>
    <cellStyle name="40% - Accent3 196" xfId="28693" xr:uid="{00000000-0005-0000-0000-00000C700000}"/>
    <cellStyle name="40% - Accent3 196 2" xfId="28694" xr:uid="{00000000-0005-0000-0000-00000D700000}"/>
    <cellStyle name="40% - Accent3 197" xfId="28695" xr:uid="{00000000-0005-0000-0000-00000E700000}"/>
    <cellStyle name="40% - Accent3 197 2" xfId="28696" xr:uid="{00000000-0005-0000-0000-00000F700000}"/>
    <cellStyle name="40% - Accent3 198" xfId="28697" xr:uid="{00000000-0005-0000-0000-000010700000}"/>
    <cellStyle name="40% - Accent3 198 2" xfId="28698" xr:uid="{00000000-0005-0000-0000-000011700000}"/>
    <cellStyle name="40% - Accent3 2" xfId="28699" xr:uid="{00000000-0005-0000-0000-000012700000}"/>
    <cellStyle name="40% - Accent3 2 2" xfId="28700" xr:uid="{00000000-0005-0000-0000-000013700000}"/>
    <cellStyle name="40% - Accent3 2 2 2" xfId="28701" xr:uid="{00000000-0005-0000-0000-000014700000}"/>
    <cellStyle name="40% - Accent3 2 2 2 2" xfId="28702" xr:uid="{00000000-0005-0000-0000-000015700000}"/>
    <cellStyle name="40% - Accent3 2 2 3" xfId="28703" xr:uid="{00000000-0005-0000-0000-000016700000}"/>
    <cellStyle name="40% - Accent3 2 2 3 2" xfId="28704" xr:uid="{00000000-0005-0000-0000-000017700000}"/>
    <cellStyle name="40% - Accent3 2 2 4" xfId="28705" xr:uid="{00000000-0005-0000-0000-000018700000}"/>
    <cellStyle name="40% - Accent3 2 2 4 2" xfId="28706" xr:uid="{00000000-0005-0000-0000-000019700000}"/>
    <cellStyle name="40% - Accent3 2 2 5" xfId="28707" xr:uid="{00000000-0005-0000-0000-00001A700000}"/>
    <cellStyle name="40% - Accent3 2 2 5 2" xfId="28708" xr:uid="{00000000-0005-0000-0000-00001B700000}"/>
    <cellStyle name="40% - Accent3 2 2 6" xfId="28709" xr:uid="{00000000-0005-0000-0000-00001C700000}"/>
    <cellStyle name="40% - Accent3 2 3" xfId="28710" xr:uid="{00000000-0005-0000-0000-00001D700000}"/>
    <cellStyle name="40% - Accent3 2 3 2" xfId="28711" xr:uid="{00000000-0005-0000-0000-00001E700000}"/>
    <cellStyle name="40% - Accent3 2 4" xfId="28712" xr:uid="{00000000-0005-0000-0000-00001F700000}"/>
    <cellStyle name="40% - Accent3 2 4 2" xfId="28713" xr:uid="{00000000-0005-0000-0000-000020700000}"/>
    <cellStyle name="40% - Accent3 2 5" xfId="28714" xr:uid="{00000000-0005-0000-0000-000021700000}"/>
    <cellStyle name="40% - Accent3 2 5 2" xfId="28715" xr:uid="{00000000-0005-0000-0000-000022700000}"/>
    <cellStyle name="40% - Accent3 2 6" xfId="28716" xr:uid="{00000000-0005-0000-0000-000023700000}"/>
    <cellStyle name="40% - Accent3 2 6 2" xfId="28717" xr:uid="{00000000-0005-0000-0000-000024700000}"/>
    <cellStyle name="40% - Accent3 2 7" xfId="28718" xr:uid="{00000000-0005-0000-0000-000025700000}"/>
    <cellStyle name="40% - Accent3 20" xfId="28719" xr:uid="{00000000-0005-0000-0000-000026700000}"/>
    <cellStyle name="40% - Accent3 20 2" xfId="28720" xr:uid="{00000000-0005-0000-0000-000027700000}"/>
    <cellStyle name="40% - Accent3 20 2 2" xfId="28721" xr:uid="{00000000-0005-0000-0000-000028700000}"/>
    <cellStyle name="40% - Accent3 20 3" xfId="28722" xr:uid="{00000000-0005-0000-0000-000029700000}"/>
    <cellStyle name="40% - Accent3 20 3 2" xfId="28723" xr:uid="{00000000-0005-0000-0000-00002A700000}"/>
    <cellStyle name="40% - Accent3 20 4" xfId="28724" xr:uid="{00000000-0005-0000-0000-00002B700000}"/>
    <cellStyle name="40% - Accent3 21" xfId="28725" xr:uid="{00000000-0005-0000-0000-00002C700000}"/>
    <cellStyle name="40% - Accent3 21 2" xfId="28726" xr:uid="{00000000-0005-0000-0000-00002D700000}"/>
    <cellStyle name="40% - Accent3 21 2 2" xfId="28727" xr:uid="{00000000-0005-0000-0000-00002E700000}"/>
    <cellStyle name="40% - Accent3 21 3" xfId="28728" xr:uid="{00000000-0005-0000-0000-00002F700000}"/>
    <cellStyle name="40% - Accent3 21 3 2" xfId="28729" xr:uid="{00000000-0005-0000-0000-000030700000}"/>
    <cellStyle name="40% - Accent3 21 4" xfId="28730" xr:uid="{00000000-0005-0000-0000-000031700000}"/>
    <cellStyle name="40% - Accent3 22" xfId="28731" xr:uid="{00000000-0005-0000-0000-000032700000}"/>
    <cellStyle name="40% - Accent3 22 2" xfId="28732" xr:uid="{00000000-0005-0000-0000-000033700000}"/>
    <cellStyle name="40% - Accent3 22 2 2" xfId="28733" xr:uid="{00000000-0005-0000-0000-000034700000}"/>
    <cellStyle name="40% - Accent3 22 3" xfId="28734" xr:uid="{00000000-0005-0000-0000-000035700000}"/>
    <cellStyle name="40% - Accent3 22 3 2" xfId="28735" xr:uid="{00000000-0005-0000-0000-000036700000}"/>
    <cellStyle name="40% - Accent3 22 4" xfId="28736" xr:uid="{00000000-0005-0000-0000-000037700000}"/>
    <cellStyle name="40% - Accent3 23" xfId="28737" xr:uid="{00000000-0005-0000-0000-000038700000}"/>
    <cellStyle name="40% - Accent3 23 2" xfId="28738" xr:uid="{00000000-0005-0000-0000-000039700000}"/>
    <cellStyle name="40% - Accent3 23 2 2" xfId="28739" xr:uid="{00000000-0005-0000-0000-00003A700000}"/>
    <cellStyle name="40% - Accent3 23 3" xfId="28740" xr:uid="{00000000-0005-0000-0000-00003B700000}"/>
    <cellStyle name="40% - Accent3 23 3 2" xfId="28741" xr:uid="{00000000-0005-0000-0000-00003C700000}"/>
    <cellStyle name="40% - Accent3 23 4" xfId="28742" xr:uid="{00000000-0005-0000-0000-00003D700000}"/>
    <cellStyle name="40% - Accent3 24" xfId="28743" xr:uid="{00000000-0005-0000-0000-00003E700000}"/>
    <cellStyle name="40% - Accent3 24 2" xfId="28744" xr:uid="{00000000-0005-0000-0000-00003F700000}"/>
    <cellStyle name="40% - Accent3 24 2 2" xfId="28745" xr:uid="{00000000-0005-0000-0000-000040700000}"/>
    <cellStyle name="40% - Accent3 24 3" xfId="28746" xr:uid="{00000000-0005-0000-0000-000041700000}"/>
    <cellStyle name="40% - Accent3 24 3 2" xfId="28747" xr:uid="{00000000-0005-0000-0000-000042700000}"/>
    <cellStyle name="40% - Accent3 24 4" xfId="28748" xr:uid="{00000000-0005-0000-0000-000043700000}"/>
    <cellStyle name="40% - Accent3 25" xfId="28749" xr:uid="{00000000-0005-0000-0000-000044700000}"/>
    <cellStyle name="40% - Accent3 25 2" xfId="28750" xr:uid="{00000000-0005-0000-0000-000045700000}"/>
    <cellStyle name="40% - Accent3 25 2 2" xfId="28751" xr:uid="{00000000-0005-0000-0000-000046700000}"/>
    <cellStyle name="40% - Accent3 25 3" xfId="28752" xr:uid="{00000000-0005-0000-0000-000047700000}"/>
    <cellStyle name="40% - Accent3 25 3 2" xfId="28753" xr:uid="{00000000-0005-0000-0000-000048700000}"/>
    <cellStyle name="40% - Accent3 25 4" xfId="28754" xr:uid="{00000000-0005-0000-0000-000049700000}"/>
    <cellStyle name="40% - Accent3 26" xfId="28755" xr:uid="{00000000-0005-0000-0000-00004A700000}"/>
    <cellStyle name="40% - Accent3 26 2" xfId="28756" xr:uid="{00000000-0005-0000-0000-00004B700000}"/>
    <cellStyle name="40% - Accent3 26 2 2" xfId="28757" xr:uid="{00000000-0005-0000-0000-00004C700000}"/>
    <cellStyle name="40% - Accent3 26 3" xfId="28758" xr:uid="{00000000-0005-0000-0000-00004D700000}"/>
    <cellStyle name="40% - Accent3 26 3 2" xfId="28759" xr:uid="{00000000-0005-0000-0000-00004E700000}"/>
    <cellStyle name="40% - Accent3 26 4" xfId="28760" xr:uid="{00000000-0005-0000-0000-00004F700000}"/>
    <cellStyle name="40% - Accent3 27" xfId="28761" xr:uid="{00000000-0005-0000-0000-000050700000}"/>
    <cellStyle name="40% - Accent3 27 2" xfId="28762" xr:uid="{00000000-0005-0000-0000-000051700000}"/>
    <cellStyle name="40% - Accent3 27 2 2" xfId="28763" xr:uid="{00000000-0005-0000-0000-000052700000}"/>
    <cellStyle name="40% - Accent3 27 3" xfId="28764" xr:uid="{00000000-0005-0000-0000-000053700000}"/>
    <cellStyle name="40% - Accent3 27 3 2" xfId="28765" xr:uid="{00000000-0005-0000-0000-000054700000}"/>
    <cellStyle name="40% - Accent3 27 4" xfId="28766" xr:uid="{00000000-0005-0000-0000-000055700000}"/>
    <cellStyle name="40% - Accent3 28" xfId="28767" xr:uid="{00000000-0005-0000-0000-000056700000}"/>
    <cellStyle name="40% - Accent3 28 2" xfId="28768" xr:uid="{00000000-0005-0000-0000-000057700000}"/>
    <cellStyle name="40% - Accent3 28 2 2" xfId="28769" xr:uid="{00000000-0005-0000-0000-000058700000}"/>
    <cellStyle name="40% - Accent3 28 3" xfId="28770" xr:uid="{00000000-0005-0000-0000-000059700000}"/>
    <cellStyle name="40% - Accent3 28 3 2" xfId="28771" xr:uid="{00000000-0005-0000-0000-00005A700000}"/>
    <cellStyle name="40% - Accent3 28 4" xfId="28772" xr:uid="{00000000-0005-0000-0000-00005B700000}"/>
    <cellStyle name="40% - Accent3 29" xfId="28773" xr:uid="{00000000-0005-0000-0000-00005C700000}"/>
    <cellStyle name="40% - Accent3 29 2" xfId="28774" xr:uid="{00000000-0005-0000-0000-00005D700000}"/>
    <cellStyle name="40% - Accent3 29 2 2" xfId="28775" xr:uid="{00000000-0005-0000-0000-00005E700000}"/>
    <cellStyle name="40% - Accent3 29 3" xfId="28776" xr:uid="{00000000-0005-0000-0000-00005F700000}"/>
    <cellStyle name="40% - Accent3 29 3 2" xfId="28777" xr:uid="{00000000-0005-0000-0000-000060700000}"/>
    <cellStyle name="40% - Accent3 29 4" xfId="28778" xr:uid="{00000000-0005-0000-0000-000061700000}"/>
    <cellStyle name="40% - Accent3 3" xfId="28779" xr:uid="{00000000-0005-0000-0000-000062700000}"/>
    <cellStyle name="40% - Accent3 3 2" xfId="28780" xr:uid="{00000000-0005-0000-0000-000063700000}"/>
    <cellStyle name="40% - Accent3 3 2 2" xfId="28781" xr:uid="{00000000-0005-0000-0000-000064700000}"/>
    <cellStyle name="40% - Accent3 3 3" xfId="28782" xr:uid="{00000000-0005-0000-0000-000065700000}"/>
    <cellStyle name="40% - Accent3 3 3 2" xfId="28783" xr:uid="{00000000-0005-0000-0000-000066700000}"/>
    <cellStyle name="40% - Accent3 3 4" xfId="28784" xr:uid="{00000000-0005-0000-0000-000067700000}"/>
    <cellStyle name="40% - Accent3 3 4 2" xfId="28785" xr:uid="{00000000-0005-0000-0000-000068700000}"/>
    <cellStyle name="40% - Accent3 3 5" xfId="28786" xr:uid="{00000000-0005-0000-0000-000069700000}"/>
    <cellStyle name="40% - Accent3 3 5 2" xfId="28787" xr:uid="{00000000-0005-0000-0000-00006A700000}"/>
    <cellStyle name="40% - Accent3 3 6" xfId="28788" xr:uid="{00000000-0005-0000-0000-00006B700000}"/>
    <cellStyle name="40% - Accent3 3 6 2" xfId="28789" xr:uid="{00000000-0005-0000-0000-00006C700000}"/>
    <cellStyle name="40% - Accent3 3 7" xfId="28790" xr:uid="{00000000-0005-0000-0000-00006D700000}"/>
    <cellStyle name="40% - Accent3 30" xfId="28791" xr:uid="{00000000-0005-0000-0000-00006E700000}"/>
    <cellStyle name="40% - Accent3 30 2" xfId="28792" xr:uid="{00000000-0005-0000-0000-00006F700000}"/>
    <cellStyle name="40% - Accent3 30 2 2" xfId="28793" xr:uid="{00000000-0005-0000-0000-000070700000}"/>
    <cellStyle name="40% - Accent3 30 3" xfId="28794" xr:uid="{00000000-0005-0000-0000-000071700000}"/>
    <cellStyle name="40% - Accent3 30 3 2" xfId="28795" xr:uid="{00000000-0005-0000-0000-000072700000}"/>
    <cellStyle name="40% - Accent3 30 4" xfId="28796" xr:uid="{00000000-0005-0000-0000-000073700000}"/>
    <cellStyle name="40% - Accent3 31" xfId="28797" xr:uid="{00000000-0005-0000-0000-000074700000}"/>
    <cellStyle name="40% - Accent3 31 2" xfId="28798" xr:uid="{00000000-0005-0000-0000-000075700000}"/>
    <cellStyle name="40% - Accent3 31 2 2" xfId="28799" xr:uid="{00000000-0005-0000-0000-000076700000}"/>
    <cellStyle name="40% - Accent3 31 3" xfId="28800" xr:uid="{00000000-0005-0000-0000-000077700000}"/>
    <cellStyle name="40% - Accent3 31 3 2" xfId="28801" xr:uid="{00000000-0005-0000-0000-000078700000}"/>
    <cellStyle name="40% - Accent3 31 4" xfId="28802" xr:uid="{00000000-0005-0000-0000-000079700000}"/>
    <cellStyle name="40% - Accent3 32" xfId="28803" xr:uid="{00000000-0005-0000-0000-00007A700000}"/>
    <cellStyle name="40% - Accent3 32 2" xfId="28804" xr:uid="{00000000-0005-0000-0000-00007B700000}"/>
    <cellStyle name="40% - Accent3 32 2 2" xfId="28805" xr:uid="{00000000-0005-0000-0000-00007C700000}"/>
    <cellStyle name="40% - Accent3 32 3" xfId="28806" xr:uid="{00000000-0005-0000-0000-00007D700000}"/>
    <cellStyle name="40% - Accent3 32 3 2" xfId="28807" xr:uid="{00000000-0005-0000-0000-00007E700000}"/>
    <cellStyle name="40% - Accent3 32 4" xfId="28808" xr:uid="{00000000-0005-0000-0000-00007F700000}"/>
    <cellStyle name="40% - Accent3 33" xfId="28809" xr:uid="{00000000-0005-0000-0000-000080700000}"/>
    <cellStyle name="40% - Accent3 33 2" xfId="28810" xr:uid="{00000000-0005-0000-0000-000081700000}"/>
    <cellStyle name="40% - Accent3 33 2 2" xfId="28811" xr:uid="{00000000-0005-0000-0000-000082700000}"/>
    <cellStyle name="40% - Accent3 33 3" xfId="28812" xr:uid="{00000000-0005-0000-0000-000083700000}"/>
    <cellStyle name="40% - Accent3 33 3 2" xfId="28813" xr:uid="{00000000-0005-0000-0000-000084700000}"/>
    <cellStyle name="40% - Accent3 33 4" xfId="28814" xr:uid="{00000000-0005-0000-0000-000085700000}"/>
    <cellStyle name="40% - Accent3 34" xfId="28815" xr:uid="{00000000-0005-0000-0000-000086700000}"/>
    <cellStyle name="40% - Accent3 34 2" xfId="28816" xr:uid="{00000000-0005-0000-0000-000087700000}"/>
    <cellStyle name="40% - Accent3 34 2 2" xfId="28817" xr:uid="{00000000-0005-0000-0000-000088700000}"/>
    <cellStyle name="40% - Accent3 34 3" xfId="28818" xr:uid="{00000000-0005-0000-0000-000089700000}"/>
    <cellStyle name="40% - Accent3 34 3 2" xfId="28819" xr:uid="{00000000-0005-0000-0000-00008A700000}"/>
    <cellStyle name="40% - Accent3 34 4" xfId="28820" xr:uid="{00000000-0005-0000-0000-00008B700000}"/>
    <cellStyle name="40% - Accent3 35" xfId="28821" xr:uid="{00000000-0005-0000-0000-00008C700000}"/>
    <cellStyle name="40% - Accent3 35 2" xfId="28822" xr:uid="{00000000-0005-0000-0000-00008D700000}"/>
    <cellStyle name="40% - Accent3 35 2 2" xfId="28823" xr:uid="{00000000-0005-0000-0000-00008E700000}"/>
    <cellStyle name="40% - Accent3 35 3" xfId="28824" xr:uid="{00000000-0005-0000-0000-00008F700000}"/>
    <cellStyle name="40% - Accent3 35 3 2" xfId="28825" xr:uid="{00000000-0005-0000-0000-000090700000}"/>
    <cellStyle name="40% - Accent3 35 4" xfId="28826" xr:uid="{00000000-0005-0000-0000-000091700000}"/>
    <cellStyle name="40% - Accent3 36" xfId="28827" xr:uid="{00000000-0005-0000-0000-000092700000}"/>
    <cellStyle name="40% - Accent3 36 2" xfId="28828" xr:uid="{00000000-0005-0000-0000-000093700000}"/>
    <cellStyle name="40% - Accent3 36 2 2" xfId="28829" xr:uid="{00000000-0005-0000-0000-000094700000}"/>
    <cellStyle name="40% - Accent3 36 3" xfId="28830" xr:uid="{00000000-0005-0000-0000-000095700000}"/>
    <cellStyle name="40% - Accent3 36 3 2" xfId="28831" xr:uid="{00000000-0005-0000-0000-000096700000}"/>
    <cellStyle name="40% - Accent3 36 4" xfId="28832" xr:uid="{00000000-0005-0000-0000-000097700000}"/>
    <cellStyle name="40% - Accent3 37" xfId="28833" xr:uid="{00000000-0005-0000-0000-000098700000}"/>
    <cellStyle name="40% - Accent3 37 2" xfId="28834" xr:uid="{00000000-0005-0000-0000-000099700000}"/>
    <cellStyle name="40% - Accent3 37 2 2" xfId="28835" xr:uid="{00000000-0005-0000-0000-00009A700000}"/>
    <cellStyle name="40% - Accent3 37 3" xfId="28836" xr:uid="{00000000-0005-0000-0000-00009B700000}"/>
    <cellStyle name="40% - Accent3 37 3 2" xfId="28837" xr:uid="{00000000-0005-0000-0000-00009C700000}"/>
    <cellStyle name="40% - Accent3 37 4" xfId="28838" xr:uid="{00000000-0005-0000-0000-00009D700000}"/>
    <cellStyle name="40% - Accent3 38" xfId="28839" xr:uid="{00000000-0005-0000-0000-00009E700000}"/>
    <cellStyle name="40% - Accent3 38 2" xfId="28840" xr:uid="{00000000-0005-0000-0000-00009F700000}"/>
    <cellStyle name="40% - Accent3 38 2 2" xfId="28841" xr:uid="{00000000-0005-0000-0000-0000A0700000}"/>
    <cellStyle name="40% - Accent3 38 3" xfId="28842" xr:uid="{00000000-0005-0000-0000-0000A1700000}"/>
    <cellStyle name="40% - Accent3 38 3 2" xfId="28843" xr:uid="{00000000-0005-0000-0000-0000A2700000}"/>
    <cellStyle name="40% - Accent3 38 4" xfId="28844" xr:uid="{00000000-0005-0000-0000-0000A3700000}"/>
    <cellStyle name="40% - Accent3 39" xfId="28845" xr:uid="{00000000-0005-0000-0000-0000A4700000}"/>
    <cellStyle name="40% - Accent3 39 2" xfId="28846" xr:uid="{00000000-0005-0000-0000-0000A5700000}"/>
    <cellStyle name="40% - Accent3 39 2 2" xfId="28847" xr:uid="{00000000-0005-0000-0000-0000A6700000}"/>
    <cellStyle name="40% - Accent3 39 3" xfId="28848" xr:uid="{00000000-0005-0000-0000-0000A7700000}"/>
    <cellStyle name="40% - Accent3 39 3 2" xfId="28849" xr:uid="{00000000-0005-0000-0000-0000A8700000}"/>
    <cellStyle name="40% - Accent3 39 4" xfId="28850" xr:uid="{00000000-0005-0000-0000-0000A9700000}"/>
    <cellStyle name="40% - Accent3 4" xfId="28851" xr:uid="{00000000-0005-0000-0000-0000AA700000}"/>
    <cellStyle name="40% - Accent3 4 2" xfId="28852" xr:uid="{00000000-0005-0000-0000-0000AB700000}"/>
    <cellStyle name="40% - Accent3 4 2 2" xfId="28853" xr:uid="{00000000-0005-0000-0000-0000AC700000}"/>
    <cellStyle name="40% - Accent3 4 3" xfId="28854" xr:uid="{00000000-0005-0000-0000-0000AD700000}"/>
    <cellStyle name="40% - Accent3 4 3 2" xfId="28855" xr:uid="{00000000-0005-0000-0000-0000AE700000}"/>
    <cellStyle name="40% - Accent3 4 4" xfId="28856" xr:uid="{00000000-0005-0000-0000-0000AF700000}"/>
    <cellStyle name="40% - Accent3 4 4 2" xfId="28857" xr:uid="{00000000-0005-0000-0000-0000B0700000}"/>
    <cellStyle name="40% - Accent3 4 5" xfId="28858" xr:uid="{00000000-0005-0000-0000-0000B1700000}"/>
    <cellStyle name="40% - Accent3 4 5 2" xfId="28859" xr:uid="{00000000-0005-0000-0000-0000B2700000}"/>
    <cellStyle name="40% - Accent3 4 6" xfId="28860" xr:uid="{00000000-0005-0000-0000-0000B3700000}"/>
    <cellStyle name="40% - Accent3 4 6 2" xfId="28861" xr:uid="{00000000-0005-0000-0000-0000B4700000}"/>
    <cellStyle name="40% - Accent3 4 7" xfId="28862" xr:uid="{00000000-0005-0000-0000-0000B5700000}"/>
    <cellStyle name="40% - Accent3 40" xfId="28863" xr:uid="{00000000-0005-0000-0000-0000B6700000}"/>
    <cellStyle name="40% - Accent3 40 2" xfId="28864" xr:uid="{00000000-0005-0000-0000-0000B7700000}"/>
    <cellStyle name="40% - Accent3 40 2 2" xfId="28865" xr:uid="{00000000-0005-0000-0000-0000B8700000}"/>
    <cellStyle name="40% - Accent3 40 3" xfId="28866" xr:uid="{00000000-0005-0000-0000-0000B9700000}"/>
    <cellStyle name="40% - Accent3 40 3 2" xfId="28867" xr:uid="{00000000-0005-0000-0000-0000BA700000}"/>
    <cellStyle name="40% - Accent3 40 4" xfId="28868" xr:uid="{00000000-0005-0000-0000-0000BB700000}"/>
    <cellStyle name="40% - Accent3 41" xfId="28869" xr:uid="{00000000-0005-0000-0000-0000BC700000}"/>
    <cellStyle name="40% - Accent3 41 2" xfId="28870" xr:uid="{00000000-0005-0000-0000-0000BD700000}"/>
    <cellStyle name="40% - Accent3 41 2 2" xfId="28871" xr:uid="{00000000-0005-0000-0000-0000BE700000}"/>
    <cellStyle name="40% - Accent3 41 3" xfId="28872" xr:uid="{00000000-0005-0000-0000-0000BF700000}"/>
    <cellStyle name="40% - Accent3 41 3 2" xfId="28873" xr:uid="{00000000-0005-0000-0000-0000C0700000}"/>
    <cellStyle name="40% - Accent3 41 4" xfId="28874" xr:uid="{00000000-0005-0000-0000-0000C1700000}"/>
    <cellStyle name="40% - Accent3 42" xfId="28875" xr:uid="{00000000-0005-0000-0000-0000C2700000}"/>
    <cellStyle name="40% - Accent3 42 2" xfId="28876" xr:uid="{00000000-0005-0000-0000-0000C3700000}"/>
    <cellStyle name="40% - Accent3 42 2 2" xfId="28877" xr:uid="{00000000-0005-0000-0000-0000C4700000}"/>
    <cellStyle name="40% - Accent3 42 3" xfId="28878" xr:uid="{00000000-0005-0000-0000-0000C5700000}"/>
    <cellStyle name="40% - Accent3 42 3 2" xfId="28879" xr:uid="{00000000-0005-0000-0000-0000C6700000}"/>
    <cellStyle name="40% - Accent3 42 4" xfId="28880" xr:uid="{00000000-0005-0000-0000-0000C7700000}"/>
    <cellStyle name="40% - Accent3 43" xfId="28881" xr:uid="{00000000-0005-0000-0000-0000C8700000}"/>
    <cellStyle name="40% - Accent3 43 2" xfId="28882" xr:uid="{00000000-0005-0000-0000-0000C9700000}"/>
    <cellStyle name="40% - Accent3 43 2 2" xfId="28883" xr:uid="{00000000-0005-0000-0000-0000CA700000}"/>
    <cellStyle name="40% - Accent3 43 3" xfId="28884" xr:uid="{00000000-0005-0000-0000-0000CB700000}"/>
    <cellStyle name="40% - Accent3 43 3 2" xfId="28885" xr:uid="{00000000-0005-0000-0000-0000CC700000}"/>
    <cellStyle name="40% - Accent3 43 4" xfId="28886" xr:uid="{00000000-0005-0000-0000-0000CD700000}"/>
    <cellStyle name="40% - Accent3 44" xfId="28887" xr:uid="{00000000-0005-0000-0000-0000CE700000}"/>
    <cellStyle name="40% - Accent3 44 2" xfId="28888" xr:uid="{00000000-0005-0000-0000-0000CF700000}"/>
    <cellStyle name="40% - Accent3 44 2 2" xfId="28889" xr:uid="{00000000-0005-0000-0000-0000D0700000}"/>
    <cellStyle name="40% - Accent3 44 3" xfId="28890" xr:uid="{00000000-0005-0000-0000-0000D1700000}"/>
    <cellStyle name="40% - Accent3 44 3 2" xfId="28891" xr:uid="{00000000-0005-0000-0000-0000D2700000}"/>
    <cellStyle name="40% - Accent3 44 4" xfId="28892" xr:uid="{00000000-0005-0000-0000-0000D3700000}"/>
    <cellStyle name="40% - Accent3 45" xfId="28893" xr:uid="{00000000-0005-0000-0000-0000D4700000}"/>
    <cellStyle name="40% - Accent3 45 2" xfId="28894" xr:uid="{00000000-0005-0000-0000-0000D5700000}"/>
    <cellStyle name="40% - Accent3 45 2 2" xfId="28895" xr:uid="{00000000-0005-0000-0000-0000D6700000}"/>
    <cellStyle name="40% - Accent3 45 3" xfId="28896" xr:uid="{00000000-0005-0000-0000-0000D7700000}"/>
    <cellStyle name="40% - Accent3 45 3 2" xfId="28897" xr:uid="{00000000-0005-0000-0000-0000D8700000}"/>
    <cellStyle name="40% - Accent3 45 4" xfId="28898" xr:uid="{00000000-0005-0000-0000-0000D9700000}"/>
    <cellStyle name="40% - Accent3 46" xfId="28899" xr:uid="{00000000-0005-0000-0000-0000DA700000}"/>
    <cellStyle name="40% - Accent3 46 2" xfId="28900" xr:uid="{00000000-0005-0000-0000-0000DB700000}"/>
    <cellStyle name="40% - Accent3 46 2 2" xfId="28901" xr:uid="{00000000-0005-0000-0000-0000DC700000}"/>
    <cellStyle name="40% - Accent3 46 3" xfId="28902" xr:uid="{00000000-0005-0000-0000-0000DD700000}"/>
    <cellStyle name="40% - Accent3 46 3 2" xfId="28903" xr:uid="{00000000-0005-0000-0000-0000DE700000}"/>
    <cellStyle name="40% - Accent3 46 4" xfId="28904" xr:uid="{00000000-0005-0000-0000-0000DF700000}"/>
    <cellStyle name="40% - Accent3 47" xfId="28905" xr:uid="{00000000-0005-0000-0000-0000E0700000}"/>
    <cellStyle name="40% - Accent3 47 2" xfId="28906" xr:uid="{00000000-0005-0000-0000-0000E1700000}"/>
    <cellStyle name="40% - Accent3 47 2 2" xfId="28907" xr:uid="{00000000-0005-0000-0000-0000E2700000}"/>
    <cellStyle name="40% - Accent3 47 3" xfId="28908" xr:uid="{00000000-0005-0000-0000-0000E3700000}"/>
    <cellStyle name="40% - Accent3 47 3 2" xfId="28909" xr:uid="{00000000-0005-0000-0000-0000E4700000}"/>
    <cellStyle name="40% - Accent3 47 4" xfId="28910" xr:uid="{00000000-0005-0000-0000-0000E5700000}"/>
    <cellStyle name="40% - Accent3 48" xfId="28911" xr:uid="{00000000-0005-0000-0000-0000E6700000}"/>
    <cellStyle name="40% - Accent3 48 2" xfId="28912" xr:uid="{00000000-0005-0000-0000-0000E7700000}"/>
    <cellStyle name="40% - Accent3 48 2 2" xfId="28913" xr:uid="{00000000-0005-0000-0000-0000E8700000}"/>
    <cellStyle name="40% - Accent3 48 3" xfId="28914" xr:uid="{00000000-0005-0000-0000-0000E9700000}"/>
    <cellStyle name="40% - Accent3 48 3 2" xfId="28915" xr:uid="{00000000-0005-0000-0000-0000EA700000}"/>
    <cellStyle name="40% - Accent3 48 4" xfId="28916" xr:uid="{00000000-0005-0000-0000-0000EB700000}"/>
    <cellStyle name="40% - Accent3 49" xfId="28917" xr:uid="{00000000-0005-0000-0000-0000EC700000}"/>
    <cellStyle name="40% - Accent3 49 2" xfId="28918" xr:uid="{00000000-0005-0000-0000-0000ED700000}"/>
    <cellStyle name="40% - Accent3 49 2 2" xfId="28919" xr:uid="{00000000-0005-0000-0000-0000EE700000}"/>
    <cellStyle name="40% - Accent3 49 3" xfId="28920" xr:uid="{00000000-0005-0000-0000-0000EF700000}"/>
    <cellStyle name="40% - Accent3 49 3 2" xfId="28921" xr:uid="{00000000-0005-0000-0000-0000F0700000}"/>
    <cellStyle name="40% - Accent3 49 4" xfId="28922" xr:uid="{00000000-0005-0000-0000-0000F1700000}"/>
    <cellStyle name="40% - Accent3 5" xfId="28923" xr:uid="{00000000-0005-0000-0000-0000F2700000}"/>
    <cellStyle name="40% - Accent3 5 2" xfId="28924" xr:uid="{00000000-0005-0000-0000-0000F3700000}"/>
    <cellStyle name="40% - Accent3 5 2 2" xfId="28925" xr:uid="{00000000-0005-0000-0000-0000F4700000}"/>
    <cellStyle name="40% - Accent3 5 3" xfId="28926" xr:uid="{00000000-0005-0000-0000-0000F5700000}"/>
    <cellStyle name="40% - Accent3 5 3 2" xfId="28927" xr:uid="{00000000-0005-0000-0000-0000F6700000}"/>
    <cellStyle name="40% - Accent3 5 4" xfId="28928" xr:uid="{00000000-0005-0000-0000-0000F7700000}"/>
    <cellStyle name="40% - Accent3 5 4 2" xfId="28929" xr:uid="{00000000-0005-0000-0000-0000F8700000}"/>
    <cellStyle name="40% - Accent3 5 5" xfId="28930" xr:uid="{00000000-0005-0000-0000-0000F9700000}"/>
    <cellStyle name="40% - Accent3 5 5 2" xfId="28931" xr:uid="{00000000-0005-0000-0000-0000FA700000}"/>
    <cellStyle name="40% - Accent3 5 6" xfId="28932" xr:uid="{00000000-0005-0000-0000-0000FB700000}"/>
    <cellStyle name="40% - Accent3 50" xfId="28933" xr:uid="{00000000-0005-0000-0000-0000FC700000}"/>
    <cellStyle name="40% - Accent3 50 2" xfId="28934" xr:uid="{00000000-0005-0000-0000-0000FD700000}"/>
    <cellStyle name="40% - Accent3 50 2 2" xfId="28935" xr:uid="{00000000-0005-0000-0000-0000FE700000}"/>
    <cellStyle name="40% - Accent3 50 3" xfId="28936" xr:uid="{00000000-0005-0000-0000-0000FF700000}"/>
    <cellStyle name="40% - Accent3 50 3 2" xfId="28937" xr:uid="{00000000-0005-0000-0000-000000710000}"/>
    <cellStyle name="40% - Accent3 50 4" xfId="28938" xr:uid="{00000000-0005-0000-0000-000001710000}"/>
    <cellStyle name="40% - Accent3 51" xfId="28939" xr:uid="{00000000-0005-0000-0000-000002710000}"/>
    <cellStyle name="40% - Accent3 51 2" xfId="28940" xr:uid="{00000000-0005-0000-0000-000003710000}"/>
    <cellStyle name="40% - Accent3 51 2 2" xfId="28941" xr:uid="{00000000-0005-0000-0000-000004710000}"/>
    <cellStyle name="40% - Accent3 51 3" xfId="28942" xr:uid="{00000000-0005-0000-0000-000005710000}"/>
    <cellStyle name="40% - Accent3 51 3 2" xfId="28943" xr:uid="{00000000-0005-0000-0000-000006710000}"/>
    <cellStyle name="40% - Accent3 51 4" xfId="28944" xr:uid="{00000000-0005-0000-0000-000007710000}"/>
    <cellStyle name="40% - Accent3 52" xfId="28945" xr:uid="{00000000-0005-0000-0000-000008710000}"/>
    <cellStyle name="40% - Accent3 52 2" xfId="28946" xr:uid="{00000000-0005-0000-0000-000009710000}"/>
    <cellStyle name="40% - Accent3 52 2 2" xfId="28947" xr:uid="{00000000-0005-0000-0000-00000A710000}"/>
    <cellStyle name="40% - Accent3 52 3" xfId="28948" xr:uid="{00000000-0005-0000-0000-00000B710000}"/>
    <cellStyle name="40% - Accent3 52 3 2" xfId="28949" xr:uid="{00000000-0005-0000-0000-00000C710000}"/>
    <cellStyle name="40% - Accent3 52 4" xfId="28950" xr:uid="{00000000-0005-0000-0000-00000D710000}"/>
    <cellStyle name="40% - Accent3 53" xfId="28951" xr:uid="{00000000-0005-0000-0000-00000E710000}"/>
    <cellStyle name="40% - Accent3 53 2" xfId="28952" xr:uid="{00000000-0005-0000-0000-00000F710000}"/>
    <cellStyle name="40% - Accent3 53 2 2" xfId="28953" xr:uid="{00000000-0005-0000-0000-000010710000}"/>
    <cellStyle name="40% - Accent3 53 3" xfId="28954" xr:uid="{00000000-0005-0000-0000-000011710000}"/>
    <cellStyle name="40% - Accent3 53 3 2" xfId="28955" xr:uid="{00000000-0005-0000-0000-000012710000}"/>
    <cellStyle name="40% - Accent3 53 4" xfId="28956" xr:uid="{00000000-0005-0000-0000-000013710000}"/>
    <cellStyle name="40% - Accent3 54" xfId="28957" xr:uid="{00000000-0005-0000-0000-000014710000}"/>
    <cellStyle name="40% - Accent3 54 2" xfId="28958" xr:uid="{00000000-0005-0000-0000-000015710000}"/>
    <cellStyle name="40% - Accent3 54 2 2" xfId="28959" xr:uid="{00000000-0005-0000-0000-000016710000}"/>
    <cellStyle name="40% - Accent3 54 3" xfId="28960" xr:uid="{00000000-0005-0000-0000-000017710000}"/>
    <cellStyle name="40% - Accent3 54 3 2" xfId="28961" xr:uid="{00000000-0005-0000-0000-000018710000}"/>
    <cellStyle name="40% - Accent3 54 4" xfId="28962" xr:uid="{00000000-0005-0000-0000-000019710000}"/>
    <cellStyle name="40% - Accent3 55" xfId="28963" xr:uid="{00000000-0005-0000-0000-00001A710000}"/>
    <cellStyle name="40% - Accent3 55 2" xfId="28964" xr:uid="{00000000-0005-0000-0000-00001B710000}"/>
    <cellStyle name="40% - Accent3 55 2 2" xfId="28965" xr:uid="{00000000-0005-0000-0000-00001C710000}"/>
    <cellStyle name="40% - Accent3 55 3" xfId="28966" xr:uid="{00000000-0005-0000-0000-00001D710000}"/>
    <cellStyle name="40% - Accent3 55 3 2" xfId="28967" xr:uid="{00000000-0005-0000-0000-00001E710000}"/>
    <cellStyle name="40% - Accent3 55 4" xfId="28968" xr:uid="{00000000-0005-0000-0000-00001F710000}"/>
    <cellStyle name="40% - Accent3 56" xfId="28969" xr:uid="{00000000-0005-0000-0000-000020710000}"/>
    <cellStyle name="40% - Accent3 56 2" xfId="28970" xr:uid="{00000000-0005-0000-0000-000021710000}"/>
    <cellStyle name="40% - Accent3 56 2 2" xfId="28971" xr:uid="{00000000-0005-0000-0000-000022710000}"/>
    <cellStyle name="40% - Accent3 56 3" xfId="28972" xr:uid="{00000000-0005-0000-0000-000023710000}"/>
    <cellStyle name="40% - Accent3 56 3 2" xfId="28973" xr:uid="{00000000-0005-0000-0000-000024710000}"/>
    <cellStyle name="40% - Accent3 56 4" xfId="28974" xr:uid="{00000000-0005-0000-0000-000025710000}"/>
    <cellStyle name="40% - Accent3 57" xfId="28975" xr:uid="{00000000-0005-0000-0000-000026710000}"/>
    <cellStyle name="40% - Accent3 57 2" xfId="28976" xr:uid="{00000000-0005-0000-0000-000027710000}"/>
    <cellStyle name="40% - Accent3 57 2 2" xfId="28977" xr:uid="{00000000-0005-0000-0000-000028710000}"/>
    <cellStyle name="40% - Accent3 57 3" xfId="28978" xr:uid="{00000000-0005-0000-0000-000029710000}"/>
    <cellStyle name="40% - Accent3 57 3 2" xfId="28979" xr:uid="{00000000-0005-0000-0000-00002A710000}"/>
    <cellStyle name="40% - Accent3 57 4" xfId="28980" xr:uid="{00000000-0005-0000-0000-00002B710000}"/>
    <cellStyle name="40% - Accent3 58" xfId="28981" xr:uid="{00000000-0005-0000-0000-00002C710000}"/>
    <cellStyle name="40% - Accent3 58 2" xfId="28982" xr:uid="{00000000-0005-0000-0000-00002D710000}"/>
    <cellStyle name="40% - Accent3 58 2 2" xfId="28983" xr:uid="{00000000-0005-0000-0000-00002E710000}"/>
    <cellStyle name="40% - Accent3 58 3" xfId="28984" xr:uid="{00000000-0005-0000-0000-00002F710000}"/>
    <cellStyle name="40% - Accent3 58 3 2" xfId="28985" xr:uid="{00000000-0005-0000-0000-000030710000}"/>
    <cellStyle name="40% - Accent3 58 4" xfId="28986" xr:uid="{00000000-0005-0000-0000-000031710000}"/>
    <cellStyle name="40% - Accent3 59" xfId="28987" xr:uid="{00000000-0005-0000-0000-000032710000}"/>
    <cellStyle name="40% - Accent3 59 2" xfId="28988" xr:uid="{00000000-0005-0000-0000-000033710000}"/>
    <cellStyle name="40% - Accent3 59 2 2" xfId="28989" xr:uid="{00000000-0005-0000-0000-000034710000}"/>
    <cellStyle name="40% - Accent3 59 3" xfId="28990" xr:uid="{00000000-0005-0000-0000-000035710000}"/>
    <cellStyle name="40% - Accent3 6" xfId="28991" xr:uid="{00000000-0005-0000-0000-000036710000}"/>
    <cellStyle name="40% - Accent3 6 2" xfId="28992" xr:uid="{00000000-0005-0000-0000-000037710000}"/>
    <cellStyle name="40% - Accent3 6 2 2" xfId="28993" xr:uid="{00000000-0005-0000-0000-000038710000}"/>
    <cellStyle name="40% - Accent3 6 3" xfId="28994" xr:uid="{00000000-0005-0000-0000-000039710000}"/>
    <cellStyle name="40% - Accent3 6 3 2" xfId="28995" xr:uid="{00000000-0005-0000-0000-00003A710000}"/>
    <cellStyle name="40% - Accent3 6 4" xfId="28996" xr:uid="{00000000-0005-0000-0000-00003B710000}"/>
    <cellStyle name="40% - Accent3 6 4 2" xfId="28997" xr:uid="{00000000-0005-0000-0000-00003C710000}"/>
    <cellStyle name="40% - Accent3 6 5" xfId="28998" xr:uid="{00000000-0005-0000-0000-00003D710000}"/>
    <cellStyle name="40% - Accent3 6 5 2" xfId="28999" xr:uid="{00000000-0005-0000-0000-00003E710000}"/>
    <cellStyle name="40% - Accent3 6 6" xfId="29000" xr:uid="{00000000-0005-0000-0000-00003F710000}"/>
    <cellStyle name="40% - Accent3 60" xfId="29001" xr:uid="{00000000-0005-0000-0000-000040710000}"/>
    <cellStyle name="40% - Accent3 60 2" xfId="29002" xr:uid="{00000000-0005-0000-0000-000041710000}"/>
    <cellStyle name="40% - Accent3 61" xfId="29003" xr:uid="{00000000-0005-0000-0000-000042710000}"/>
    <cellStyle name="40% - Accent3 61 2" xfId="29004" xr:uid="{00000000-0005-0000-0000-000043710000}"/>
    <cellStyle name="40% - Accent3 62" xfId="29005" xr:uid="{00000000-0005-0000-0000-000044710000}"/>
    <cellStyle name="40% - Accent3 62 2" xfId="29006" xr:uid="{00000000-0005-0000-0000-000045710000}"/>
    <cellStyle name="40% - Accent3 63" xfId="29007" xr:uid="{00000000-0005-0000-0000-000046710000}"/>
    <cellStyle name="40% - Accent3 63 2" xfId="29008" xr:uid="{00000000-0005-0000-0000-000047710000}"/>
    <cellStyle name="40% - Accent3 64" xfId="29009" xr:uid="{00000000-0005-0000-0000-000048710000}"/>
    <cellStyle name="40% - Accent3 64 2" xfId="29010" xr:uid="{00000000-0005-0000-0000-000049710000}"/>
    <cellStyle name="40% - Accent3 65" xfId="29011" xr:uid="{00000000-0005-0000-0000-00004A710000}"/>
    <cellStyle name="40% - Accent3 65 2" xfId="29012" xr:uid="{00000000-0005-0000-0000-00004B710000}"/>
    <cellStyle name="40% - Accent3 66" xfId="29013" xr:uid="{00000000-0005-0000-0000-00004C710000}"/>
    <cellStyle name="40% - Accent3 66 2" xfId="29014" xr:uid="{00000000-0005-0000-0000-00004D710000}"/>
    <cellStyle name="40% - Accent3 67" xfId="29015" xr:uid="{00000000-0005-0000-0000-00004E710000}"/>
    <cellStyle name="40% - Accent3 67 2" xfId="29016" xr:uid="{00000000-0005-0000-0000-00004F710000}"/>
    <cellStyle name="40% - Accent3 68" xfId="29017" xr:uid="{00000000-0005-0000-0000-000050710000}"/>
    <cellStyle name="40% - Accent3 68 2" xfId="29018" xr:uid="{00000000-0005-0000-0000-000051710000}"/>
    <cellStyle name="40% - Accent3 69" xfId="29019" xr:uid="{00000000-0005-0000-0000-000052710000}"/>
    <cellStyle name="40% - Accent3 69 2" xfId="29020" xr:uid="{00000000-0005-0000-0000-000053710000}"/>
    <cellStyle name="40% - Accent3 7" xfId="29021" xr:uid="{00000000-0005-0000-0000-000054710000}"/>
    <cellStyle name="40% - Accent3 7 2" xfId="29022" xr:uid="{00000000-0005-0000-0000-000055710000}"/>
    <cellStyle name="40% - Accent3 7 2 2" xfId="29023" xr:uid="{00000000-0005-0000-0000-000056710000}"/>
    <cellStyle name="40% - Accent3 7 3" xfId="29024" xr:uid="{00000000-0005-0000-0000-000057710000}"/>
    <cellStyle name="40% - Accent3 7 3 2" xfId="29025" xr:uid="{00000000-0005-0000-0000-000058710000}"/>
    <cellStyle name="40% - Accent3 7 4" xfId="29026" xr:uid="{00000000-0005-0000-0000-000059710000}"/>
    <cellStyle name="40% - Accent3 7 4 2" xfId="29027" xr:uid="{00000000-0005-0000-0000-00005A710000}"/>
    <cellStyle name="40% - Accent3 7 5" xfId="29028" xr:uid="{00000000-0005-0000-0000-00005B710000}"/>
    <cellStyle name="40% - Accent3 7 5 2" xfId="29029" xr:uid="{00000000-0005-0000-0000-00005C710000}"/>
    <cellStyle name="40% - Accent3 7 6" xfId="29030" xr:uid="{00000000-0005-0000-0000-00005D710000}"/>
    <cellStyle name="40% - Accent3 70" xfId="29031" xr:uid="{00000000-0005-0000-0000-00005E710000}"/>
    <cellStyle name="40% - Accent3 70 2" xfId="29032" xr:uid="{00000000-0005-0000-0000-00005F710000}"/>
    <cellStyle name="40% - Accent3 71" xfId="29033" xr:uid="{00000000-0005-0000-0000-000060710000}"/>
    <cellStyle name="40% - Accent3 71 2" xfId="29034" xr:uid="{00000000-0005-0000-0000-000061710000}"/>
    <cellStyle name="40% - Accent3 72" xfId="29035" xr:uid="{00000000-0005-0000-0000-000062710000}"/>
    <cellStyle name="40% - Accent3 72 2" xfId="29036" xr:uid="{00000000-0005-0000-0000-000063710000}"/>
    <cellStyle name="40% - Accent3 73" xfId="29037" xr:uid="{00000000-0005-0000-0000-000064710000}"/>
    <cellStyle name="40% - Accent3 73 2" xfId="29038" xr:uid="{00000000-0005-0000-0000-000065710000}"/>
    <cellStyle name="40% - Accent3 74" xfId="29039" xr:uid="{00000000-0005-0000-0000-000066710000}"/>
    <cellStyle name="40% - Accent3 74 2" xfId="29040" xr:uid="{00000000-0005-0000-0000-000067710000}"/>
    <cellStyle name="40% - Accent3 75" xfId="29041" xr:uid="{00000000-0005-0000-0000-000068710000}"/>
    <cellStyle name="40% - Accent3 75 2" xfId="29042" xr:uid="{00000000-0005-0000-0000-000069710000}"/>
    <cellStyle name="40% - Accent3 76" xfId="29043" xr:uid="{00000000-0005-0000-0000-00006A710000}"/>
    <cellStyle name="40% - Accent3 76 2" xfId="29044" xr:uid="{00000000-0005-0000-0000-00006B710000}"/>
    <cellStyle name="40% - Accent3 77" xfId="29045" xr:uid="{00000000-0005-0000-0000-00006C710000}"/>
    <cellStyle name="40% - Accent3 77 2" xfId="29046" xr:uid="{00000000-0005-0000-0000-00006D710000}"/>
    <cellStyle name="40% - Accent3 78" xfId="29047" xr:uid="{00000000-0005-0000-0000-00006E710000}"/>
    <cellStyle name="40% - Accent3 78 2" xfId="29048" xr:uid="{00000000-0005-0000-0000-00006F710000}"/>
    <cellStyle name="40% - Accent3 79" xfId="29049" xr:uid="{00000000-0005-0000-0000-000070710000}"/>
    <cellStyle name="40% - Accent3 79 2" xfId="29050" xr:uid="{00000000-0005-0000-0000-000071710000}"/>
    <cellStyle name="40% - Accent3 8" xfId="29051" xr:uid="{00000000-0005-0000-0000-000072710000}"/>
    <cellStyle name="40% - Accent3 8 2" xfId="29052" xr:uid="{00000000-0005-0000-0000-000073710000}"/>
    <cellStyle name="40% - Accent3 8 2 2" xfId="29053" xr:uid="{00000000-0005-0000-0000-000074710000}"/>
    <cellStyle name="40% - Accent3 8 3" xfId="29054" xr:uid="{00000000-0005-0000-0000-000075710000}"/>
    <cellStyle name="40% - Accent3 8 3 2" xfId="29055" xr:uid="{00000000-0005-0000-0000-000076710000}"/>
    <cellStyle name="40% - Accent3 8 4" xfId="29056" xr:uid="{00000000-0005-0000-0000-000077710000}"/>
    <cellStyle name="40% - Accent3 8 4 2" xfId="29057" xr:uid="{00000000-0005-0000-0000-000078710000}"/>
    <cellStyle name="40% - Accent3 8 5" xfId="29058" xr:uid="{00000000-0005-0000-0000-000079710000}"/>
    <cellStyle name="40% - Accent3 8 5 2" xfId="29059" xr:uid="{00000000-0005-0000-0000-00007A710000}"/>
    <cellStyle name="40% - Accent3 8 6" xfId="29060" xr:uid="{00000000-0005-0000-0000-00007B710000}"/>
    <cellStyle name="40% - Accent3 80" xfId="29061" xr:uid="{00000000-0005-0000-0000-00007C710000}"/>
    <cellStyle name="40% - Accent3 80 2" xfId="29062" xr:uid="{00000000-0005-0000-0000-00007D710000}"/>
    <cellStyle name="40% - Accent3 81" xfId="29063" xr:uid="{00000000-0005-0000-0000-00007E710000}"/>
    <cellStyle name="40% - Accent3 81 2" xfId="29064" xr:uid="{00000000-0005-0000-0000-00007F710000}"/>
    <cellStyle name="40% - Accent3 82" xfId="29065" xr:uid="{00000000-0005-0000-0000-000080710000}"/>
    <cellStyle name="40% - Accent3 82 2" xfId="29066" xr:uid="{00000000-0005-0000-0000-000081710000}"/>
    <cellStyle name="40% - Accent3 83" xfId="29067" xr:uid="{00000000-0005-0000-0000-000082710000}"/>
    <cellStyle name="40% - Accent3 83 2" xfId="29068" xr:uid="{00000000-0005-0000-0000-000083710000}"/>
    <cellStyle name="40% - Accent3 84" xfId="29069" xr:uid="{00000000-0005-0000-0000-000084710000}"/>
    <cellStyle name="40% - Accent3 84 2" xfId="29070" xr:uid="{00000000-0005-0000-0000-000085710000}"/>
    <cellStyle name="40% - Accent3 85" xfId="29071" xr:uid="{00000000-0005-0000-0000-000086710000}"/>
    <cellStyle name="40% - Accent3 85 2" xfId="29072" xr:uid="{00000000-0005-0000-0000-000087710000}"/>
    <cellStyle name="40% - Accent3 86" xfId="29073" xr:uid="{00000000-0005-0000-0000-000088710000}"/>
    <cellStyle name="40% - Accent3 86 2" xfId="29074" xr:uid="{00000000-0005-0000-0000-000089710000}"/>
    <cellStyle name="40% - Accent3 87" xfId="29075" xr:uid="{00000000-0005-0000-0000-00008A710000}"/>
    <cellStyle name="40% - Accent3 87 2" xfId="29076" xr:uid="{00000000-0005-0000-0000-00008B710000}"/>
    <cellStyle name="40% - Accent3 88" xfId="29077" xr:uid="{00000000-0005-0000-0000-00008C710000}"/>
    <cellStyle name="40% - Accent3 88 2" xfId="29078" xr:uid="{00000000-0005-0000-0000-00008D710000}"/>
    <cellStyle name="40% - Accent3 89" xfId="29079" xr:uid="{00000000-0005-0000-0000-00008E710000}"/>
    <cellStyle name="40% - Accent3 89 2" xfId="29080" xr:uid="{00000000-0005-0000-0000-00008F710000}"/>
    <cellStyle name="40% - Accent3 9" xfId="29081" xr:uid="{00000000-0005-0000-0000-000090710000}"/>
    <cellStyle name="40% - Accent3 9 2" xfId="29082" xr:uid="{00000000-0005-0000-0000-000091710000}"/>
    <cellStyle name="40% - Accent3 9 2 2" xfId="29083" xr:uid="{00000000-0005-0000-0000-000092710000}"/>
    <cellStyle name="40% - Accent3 9 3" xfId="29084" xr:uid="{00000000-0005-0000-0000-000093710000}"/>
    <cellStyle name="40% - Accent3 9 3 2" xfId="29085" xr:uid="{00000000-0005-0000-0000-000094710000}"/>
    <cellStyle name="40% - Accent3 9 4" xfId="29086" xr:uid="{00000000-0005-0000-0000-000095710000}"/>
    <cellStyle name="40% - Accent3 9 4 2" xfId="29087" xr:uid="{00000000-0005-0000-0000-000096710000}"/>
    <cellStyle name="40% - Accent3 9 5" xfId="29088" xr:uid="{00000000-0005-0000-0000-000097710000}"/>
    <cellStyle name="40% - Accent3 9 5 2" xfId="29089" xr:uid="{00000000-0005-0000-0000-000098710000}"/>
    <cellStyle name="40% - Accent3 9 6" xfId="29090" xr:uid="{00000000-0005-0000-0000-000099710000}"/>
    <cellStyle name="40% - Accent3 90" xfId="29091" xr:uid="{00000000-0005-0000-0000-00009A710000}"/>
    <cellStyle name="40% - Accent3 90 2" xfId="29092" xr:uid="{00000000-0005-0000-0000-00009B710000}"/>
    <cellStyle name="40% - Accent3 91" xfId="29093" xr:uid="{00000000-0005-0000-0000-00009C710000}"/>
    <cellStyle name="40% - Accent3 91 2" xfId="29094" xr:uid="{00000000-0005-0000-0000-00009D710000}"/>
    <cellStyle name="40% - Accent3 92" xfId="29095" xr:uid="{00000000-0005-0000-0000-00009E710000}"/>
    <cellStyle name="40% - Accent3 92 2" xfId="29096" xr:uid="{00000000-0005-0000-0000-00009F710000}"/>
    <cellStyle name="40% - Accent3 93" xfId="29097" xr:uid="{00000000-0005-0000-0000-0000A0710000}"/>
    <cellStyle name="40% - Accent3 93 2" xfId="29098" xr:uid="{00000000-0005-0000-0000-0000A1710000}"/>
    <cellStyle name="40% - Accent3 94" xfId="29099" xr:uid="{00000000-0005-0000-0000-0000A2710000}"/>
    <cellStyle name="40% - Accent3 94 2" xfId="29100" xr:uid="{00000000-0005-0000-0000-0000A3710000}"/>
    <cellStyle name="40% - Accent3 95" xfId="29101" xr:uid="{00000000-0005-0000-0000-0000A4710000}"/>
    <cellStyle name="40% - Accent3 95 2" xfId="29102" xr:uid="{00000000-0005-0000-0000-0000A5710000}"/>
    <cellStyle name="40% - Accent3 96" xfId="29103" xr:uid="{00000000-0005-0000-0000-0000A6710000}"/>
    <cellStyle name="40% - Accent3 96 2" xfId="29104" xr:uid="{00000000-0005-0000-0000-0000A7710000}"/>
    <cellStyle name="40% - Accent3 97" xfId="29105" xr:uid="{00000000-0005-0000-0000-0000A8710000}"/>
    <cellStyle name="40% - Accent3 97 2" xfId="29106" xr:uid="{00000000-0005-0000-0000-0000A9710000}"/>
    <cellStyle name="40% - Accent3 98" xfId="29107" xr:uid="{00000000-0005-0000-0000-0000AA710000}"/>
    <cellStyle name="40% - Accent3 98 2" xfId="29108" xr:uid="{00000000-0005-0000-0000-0000AB710000}"/>
    <cellStyle name="40% - Accent3 99" xfId="29109" xr:uid="{00000000-0005-0000-0000-0000AC710000}"/>
    <cellStyle name="40% - Accent3 99 2" xfId="29110" xr:uid="{00000000-0005-0000-0000-0000AD710000}"/>
    <cellStyle name="40% - Accent4 10" xfId="29111" xr:uid="{00000000-0005-0000-0000-0000AE710000}"/>
    <cellStyle name="40% - Accent4 10 2" xfId="29112" xr:uid="{00000000-0005-0000-0000-0000AF710000}"/>
    <cellStyle name="40% - Accent4 10 2 2" xfId="29113" xr:uid="{00000000-0005-0000-0000-0000B0710000}"/>
    <cellStyle name="40% - Accent4 10 2 2 2" xfId="29114" xr:uid="{00000000-0005-0000-0000-0000B1710000}"/>
    <cellStyle name="40% - Accent4 10 2 3" xfId="29115" xr:uid="{00000000-0005-0000-0000-0000B2710000}"/>
    <cellStyle name="40% - Accent4 10 2 3 2" xfId="29116" xr:uid="{00000000-0005-0000-0000-0000B3710000}"/>
    <cellStyle name="40% - Accent4 10 2 4" xfId="29117" xr:uid="{00000000-0005-0000-0000-0000B4710000}"/>
    <cellStyle name="40% - Accent4 10 3" xfId="29118" xr:uid="{00000000-0005-0000-0000-0000B5710000}"/>
    <cellStyle name="40% - Accent4 10 3 2" xfId="29119" xr:uid="{00000000-0005-0000-0000-0000B6710000}"/>
    <cellStyle name="40% - Accent4 10 3 2 2" xfId="29120" xr:uid="{00000000-0005-0000-0000-0000B7710000}"/>
    <cellStyle name="40% - Accent4 10 3 3" xfId="29121" xr:uid="{00000000-0005-0000-0000-0000B8710000}"/>
    <cellStyle name="40% - Accent4 10 3 3 2" xfId="29122" xr:uid="{00000000-0005-0000-0000-0000B9710000}"/>
    <cellStyle name="40% - Accent4 10 3 4" xfId="29123" xr:uid="{00000000-0005-0000-0000-0000BA710000}"/>
    <cellStyle name="40% - Accent4 10 4" xfId="29124" xr:uid="{00000000-0005-0000-0000-0000BB710000}"/>
    <cellStyle name="40% - Accent4 10 4 2" xfId="29125" xr:uid="{00000000-0005-0000-0000-0000BC710000}"/>
    <cellStyle name="40% - Accent4 10 5" xfId="29126" xr:uid="{00000000-0005-0000-0000-0000BD710000}"/>
    <cellStyle name="40% - Accent4 10 5 2" xfId="29127" xr:uid="{00000000-0005-0000-0000-0000BE710000}"/>
    <cellStyle name="40% - Accent4 10 6" xfId="29128" xr:uid="{00000000-0005-0000-0000-0000BF710000}"/>
    <cellStyle name="40% - Accent4 100" xfId="29129" xr:uid="{00000000-0005-0000-0000-0000C0710000}"/>
    <cellStyle name="40% - Accent4 100 2" xfId="29130" xr:uid="{00000000-0005-0000-0000-0000C1710000}"/>
    <cellStyle name="40% - Accent4 101" xfId="29131" xr:uid="{00000000-0005-0000-0000-0000C2710000}"/>
    <cellStyle name="40% - Accent4 101 2" xfId="29132" xr:uid="{00000000-0005-0000-0000-0000C3710000}"/>
    <cellStyle name="40% - Accent4 102" xfId="29133" xr:uid="{00000000-0005-0000-0000-0000C4710000}"/>
    <cellStyle name="40% - Accent4 102 2" xfId="29134" xr:uid="{00000000-0005-0000-0000-0000C5710000}"/>
    <cellStyle name="40% - Accent4 103" xfId="29135" xr:uid="{00000000-0005-0000-0000-0000C6710000}"/>
    <cellStyle name="40% - Accent4 103 2" xfId="29136" xr:uid="{00000000-0005-0000-0000-0000C7710000}"/>
    <cellStyle name="40% - Accent4 104" xfId="29137" xr:uid="{00000000-0005-0000-0000-0000C8710000}"/>
    <cellStyle name="40% - Accent4 104 2" xfId="29138" xr:uid="{00000000-0005-0000-0000-0000C9710000}"/>
    <cellStyle name="40% - Accent4 105" xfId="29139" xr:uid="{00000000-0005-0000-0000-0000CA710000}"/>
    <cellStyle name="40% - Accent4 105 2" xfId="29140" xr:uid="{00000000-0005-0000-0000-0000CB710000}"/>
    <cellStyle name="40% - Accent4 106" xfId="29141" xr:uid="{00000000-0005-0000-0000-0000CC710000}"/>
    <cellStyle name="40% - Accent4 106 2" xfId="29142" xr:uid="{00000000-0005-0000-0000-0000CD710000}"/>
    <cellStyle name="40% - Accent4 107" xfId="29143" xr:uid="{00000000-0005-0000-0000-0000CE710000}"/>
    <cellStyle name="40% - Accent4 107 2" xfId="29144" xr:uid="{00000000-0005-0000-0000-0000CF710000}"/>
    <cellStyle name="40% - Accent4 108" xfId="29145" xr:uid="{00000000-0005-0000-0000-0000D0710000}"/>
    <cellStyle name="40% - Accent4 108 2" xfId="29146" xr:uid="{00000000-0005-0000-0000-0000D1710000}"/>
    <cellStyle name="40% - Accent4 109" xfId="29147" xr:uid="{00000000-0005-0000-0000-0000D2710000}"/>
    <cellStyle name="40% - Accent4 109 2" xfId="29148" xr:uid="{00000000-0005-0000-0000-0000D3710000}"/>
    <cellStyle name="40% - Accent4 11" xfId="29149" xr:uid="{00000000-0005-0000-0000-0000D4710000}"/>
    <cellStyle name="40% - Accent4 11 2" xfId="29150" xr:uid="{00000000-0005-0000-0000-0000D5710000}"/>
    <cellStyle name="40% - Accent4 11 2 2" xfId="29151" xr:uid="{00000000-0005-0000-0000-0000D6710000}"/>
    <cellStyle name="40% - Accent4 11 2 2 2" xfId="29152" xr:uid="{00000000-0005-0000-0000-0000D7710000}"/>
    <cellStyle name="40% - Accent4 11 2 3" xfId="29153" xr:uid="{00000000-0005-0000-0000-0000D8710000}"/>
    <cellStyle name="40% - Accent4 11 2 3 2" xfId="29154" xr:uid="{00000000-0005-0000-0000-0000D9710000}"/>
    <cellStyle name="40% - Accent4 11 2 4" xfId="29155" xr:uid="{00000000-0005-0000-0000-0000DA710000}"/>
    <cellStyle name="40% - Accent4 11 3" xfId="29156" xr:uid="{00000000-0005-0000-0000-0000DB710000}"/>
    <cellStyle name="40% - Accent4 11 3 2" xfId="29157" xr:uid="{00000000-0005-0000-0000-0000DC710000}"/>
    <cellStyle name="40% - Accent4 11 3 2 2" xfId="29158" xr:uid="{00000000-0005-0000-0000-0000DD710000}"/>
    <cellStyle name="40% - Accent4 11 3 3" xfId="29159" xr:uid="{00000000-0005-0000-0000-0000DE710000}"/>
    <cellStyle name="40% - Accent4 11 3 3 2" xfId="29160" xr:uid="{00000000-0005-0000-0000-0000DF710000}"/>
    <cellStyle name="40% - Accent4 11 3 4" xfId="29161" xr:uid="{00000000-0005-0000-0000-0000E0710000}"/>
    <cellStyle name="40% - Accent4 11 4" xfId="29162" xr:uid="{00000000-0005-0000-0000-0000E1710000}"/>
    <cellStyle name="40% - Accent4 11 4 2" xfId="29163" xr:uid="{00000000-0005-0000-0000-0000E2710000}"/>
    <cellStyle name="40% - Accent4 11 5" xfId="29164" xr:uid="{00000000-0005-0000-0000-0000E3710000}"/>
    <cellStyle name="40% - Accent4 11 5 2" xfId="29165" xr:uid="{00000000-0005-0000-0000-0000E4710000}"/>
    <cellStyle name="40% - Accent4 11 6" xfId="29166" xr:uid="{00000000-0005-0000-0000-0000E5710000}"/>
    <cellStyle name="40% - Accent4 110" xfId="29167" xr:uid="{00000000-0005-0000-0000-0000E6710000}"/>
    <cellStyle name="40% - Accent4 110 2" xfId="29168" xr:uid="{00000000-0005-0000-0000-0000E7710000}"/>
    <cellStyle name="40% - Accent4 111" xfId="29169" xr:uid="{00000000-0005-0000-0000-0000E8710000}"/>
    <cellStyle name="40% - Accent4 111 2" xfId="29170" xr:uid="{00000000-0005-0000-0000-0000E9710000}"/>
    <cellStyle name="40% - Accent4 112" xfId="29171" xr:uid="{00000000-0005-0000-0000-0000EA710000}"/>
    <cellStyle name="40% - Accent4 112 2" xfId="29172" xr:uid="{00000000-0005-0000-0000-0000EB710000}"/>
    <cellStyle name="40% - Accent4 113" xfId="29173" xr:uid="{00000000-0005-0000-0000-0000EC710000}"/>
    <cellStyle name="40% - Accent4 113 2" xfId="29174" xr:uid="{00000000-0005-0000-0000-0000ED710000}"/>
    <cellStyle name="40% - Accent4 114" xfId="29175" xr:uid="{00000000-0005-0000-0000-0000EE710000}"/>
    <cellStyle name="40% - Accent4 114 2" xfId="29176" xr:uid="{00000000-0005-0000-0000-0000EF710000}"/>
    <cellStyle name="40% - Accent4 115" xfId="29177" xr:uid="{00000000-0005-0000-0000-0000F0710000}"/>
    <cellStyle name="40% - Accent4 115 2" xfId="29178" xr:uid="{00000000-0005-0000-0000-0000F1710000}"/>
    <cellStyle name="40% - Accent4 116" xfId="29179" xr:uid="{00000000-0005-0000-0000-0000F2710000}"/>
    <cellStyle name="40% - Accent4 116 2" xfId="29180" xr:uid="{00000000-0005-0000-0000-0000F3710000}"/>
    <cellStyle name="40% - Accent4 117" xfId="29181" xr:uid="{00000000-0005-0000-0000-0000F4710000}"/>
    <cellStyle name="40% - Accent4 117 2" xfId="29182" xr:uid="{00000000-0005-0000-0000-0000F5710000}"/>
    <cellStyle name="40% - Accent4 118" xfId="29183" xr:uid="{00000000-0005-0000-0000-0000F6710000}"/>
    <cellStyle name="40% - Accent4 118 2" xfId="29184" xr:uid="{00000000-0005-0000-0000-0000F7710000}"/>
    <cellStyle name="40% - Accent4 119" xfId="29185" xr:uid="{00000000-0005-0000-0000-0000F8710000}"/>
    <cellStyle name="40% - Accent4 119 2" xfId="29186" xr:uid="{00000000-0005-0000-0000-0000F9710000}"/>
    <cellStyle name="40% - Accent4 12" xfId="29187" xr:uid="{00000000-0005-0000-0000-0000FA710000}"/>
    <cellStyle name="40% - Accent4 12 2" xfId="29188" xr:uid="{00000000-0005-0000-0000-0000FB710000}"/>
    <cellStyle name="40% - Accent4 12 2 2" xfId="29189" xr:uid="{00000000-0005-0000-0000-0000FC710000}"/>
    <cellStyle name="40% - Accent4 12 2 2 2" xfId="29190" xr:uid="{00000000-0005-0000-0000-0000FD710000}"/>
    <cellStyle name="40% - Accent4 12 2 3" xfId="29191" xr:uid="{00000000-0005-0000-0000-0000FE710000}"/>
    <cellStyle name="40% - Accent4 12 2 3 2" xfId="29192" xr:uid="{00000000-0005-0000-0000-0000FF710000}"/>
    <cellStyle name="40% - Accent4 12 2 4" xfId="29193" xr:uid="{00000000-0005-0000-0000-000000720000}"/>
    <cellStyle name="40% - Accent4 12 3" xfId="29194" xr:uid="{00000000-0005-0000-0000-000001720000}"/>
    <cellStyle name="40% - Accent4 12 3 2" xfId="29195" xr:uid="{00000000-0005-0000-0000-000002720000}"/>
    <cellStyle name="40% - Accent4 12 3 2 2" xfId="29196" xr:uid="{00000000-0005-0000-0000-000003720000}"/>
    <cellStyle name="40% - Accent4 12 3 3" xfId="29197" xr:uid="{00000000-0005-0000-0000-000004720000}"/>
    <cellStyle name="40% - Accent4 12 3 3 2" xfId="29198" xr:uid="{00000000-0005-0000-0000-000005720000}"/>
    <cellStyle name="40% - Accent4 12 3 4" xfId="29199" xr:uid="{00000000-0005-0000-0000-000006720000}"/>
    <cellStyle name="40% - Accent4 12 4" xfId="29200" xr:uid="{00000000-0005-0000-0000-000007720000}"/>
    <cellStyle name="40% - Accent4 12 4 2" xfId="29201" xr:uid="{00000000-0005-0000-0000-000008720000}"/>
    <cellStyle name="40% - Accent4 12 5" xfId="29202" xr:uid="{00000000-0005-0000-0000-000009720000}"/>
    <cellStyle name="40% - Accent4 12 5 2" xfId="29203" xr:uid="{00000000-0005-0000-0000-00000A720000}"/>
    <cellStyle name="40% - Accent4 12 6" xfId="29204" xr:uid="{00000000-0005-0000-0000-00000B720000}"/>
    <cellStyle name="40% - Accent4 120" xfId="29205" xr:uid="{00000000-0005-0000-0000-00000C720000}"/>
    <cellStyle name="40% - Accent4 120 2" xfId="29206" xr:uid="{00000000-0005-0000-0000-00000D720000}"/>
    <cellStyle name="40% - Accent4 121" xfId="29207" xr:uid="{00000000-0005-0000-0000-00000E720000}"/>
    <cellStyle name="40% - Accent4 121 2" xfId="29208" xr:uid="{00000000-0005-0000-0000-00000F720000}"/>
    <cellStyle name="40% - Accent4 122" xfId="29209" xr:uid="{00000000-0005-0000-0000-000010720000}"/>
    <cellStyle name="40% - Accent4 122 2" xfId="29210" xr:uid="{00000000-0005-0000-0000-000011720000}"/>
    <cellStyle name="40% - Accent4 123" xfId="29211" xr:uid="{00000000-0005-0000-0000-000012720000}"/>
    <cellStyle name="40% - Accent4 123 2" xfId="29212" xr:uid="{00000000-0005-0000-0000-000013720000}"/>
    <cellStyle name="40% - Accent4 124" xfId="29213" xr:uid="{00000000-0005-0000-0000-000014720000}"/>
    <cellStyle name="40% - Accent4 124 2" xfId="29214" xr:uid="{00000000-0005-0000-0000-000015720000}"/>
    <cellStyle name="40% - Accent4 125" xfId="29215" xr:uid="{00000000-0005-0000-0000-000016720000}"/>
    <cellStyle name="40% - Accent4 125 2" xfId="29216" xr:uid="{00000000-0005-0000-0000-000017720000}"/>
    <cellStyle name="40% - Accent4 126" xfId="29217" xr:uid="{00000000-0005-0000-0000-000018720000}"/>
    <cellStyle name="40% - Accent4 126 2" xfId="29218" xr:uid="{00000000-0005-0000-0000-000019720000}"/>
    <cellStyle name="40% - Accent4 127" xfId="29219" xr:uid="{00000000-0005-0000-0000-00001A720000}"/>
    <cellStyle name="40% - Accent4 127 2" xfId="29220" xr:uid="{00000000-0005-0000-0000-00001B720000}"/>
    <cellStyle name="40% - Accent4 128" xfId="29221" xr:uid="{00000000-0005-0000-0000-00001C720000}"/>
    <cellStyle name="40% - Accent4 128 2" xfId="29222" xr:uid="{00000000-0005-0000-0000-00001D720000}"/>
    <cellStyle name="40% - Accent4 129" xfId="29223" xr:uid="{00000000-0005-0000-0000-00001E720000}"/>
    <cellStyle name="40% - Accent4 129 2" xfId="29224" xr:uid="{00000000-0005-0000-0000-00001F720000}"/>
    <cellStyle name="40% - Accent4 13" xfId="29225" xr:uid="{00000000-0005-0000-0000-000020720000}"/>
    <cellStyle name="40% - Accent4 13 2" xfId="29226" xr:uid="{00000000-0005-0000-0000-000021720000}"/>
    <cellStyle name="40% - Accent4 13 2 2" xfId="29227" xr:uid="{00000000-0005-0000-0000-000022720000}"/>
    <cellStyle name="40% - Accent4 13 3" xfId="29228" xr:uid="{00000000-0005-0000-0000-000023720000}"/>
    <cellStyle name="40% - Accent4 13 3 2" xfId="29229" xr:uid="{00000000-0005-0000-0000-000024720000}"/>
    <cellStyle name="40% - Accent4 13 4" xfId="29230" xr:uid="{00000000-0005-0000-0000-000025720000}"/>
    <cellStyle name="40% - Accent4 130" xfId="29231" xr:uid="{00000000-0005-0000-0000-000026720000}"/>
    <cellStyle name="40% - Accent4 130 2" xfId="29232" xr:uid="{00000000-0005-0000-0000-000027720000}"/>
    <cellStyle name="40% - Accent4 131" xfId="29233" xr:uid="{00000000-0005-0000-0000-000028720000}"/>
    <cellStyle name="40% - Accent4 131 2" xfId="29234" xr:uid="{00000000-0005-0000-0000-000029720000}"/>
    <cellStyle name="40% - Accent4 132" xfId="29235" xr:uid="{00000000-0005-0000-0000-00002A720000}"/>
    <cellStyle name="40% - Accent4 132 2" xfId="29236" xr:uid="{00000000-0005-0000-0000-00002B720000}"/>
    <cellStyle name="40% - Accent4 133" xfId="29237" xr:uid="{00000000-0005-0000-0000-00002C720000}"/>
    <cellStyle name="40% - Accent4 133 2" xfId="29238" xr:uid="{00000000-0005-0000-0000-00002D720000}"/>
    <cellStyle name="40% - Accent4 134" xfId="29239" xr:uid="{00000000-0005-0000-0000-00002E720000}"/>
    <cellStyle name="40% - Accent4 134 2" xfId="29240" xr:uid="{00000000-0005-0000-0000-00002F720000}"/>
    <cellStyle name="40% - Accent4 135" xfId="29241" xr:uid="{00000000-0005-0000-0000-000030720000}"/>
    <cellStyle name="40% - Accent4 135 2" xfId="29242" xr:uid="{00000000-0005-0000-0000-000031720000}"/>
    <cellStyle name="40% - Accent4 136" xfId="29243" xr:uid="{00000000-0005-0000-0000-000032720000}"/>
    <cellStyle name="40% - Accent4 136 2" xfId="29244" xr:uid="{00000000-0005-0000-0000-000033720000}"/>
    <cellStyle name="40% - Accent4 137" xfId="29245" xr:uid="{00000000-0005-0000-0000-000034720000}"/>
    <cellStyle name="40% - Accent4 137 2" xfId="29246" xr:uid="{00000000-0005-0000-0000-000035720000}"/>
    <cellStyle name="40% - Accent4 138" xfId="29247" xr:uid="{00000000-0005-0000-0000-000036720000}"/>
    <cellStyle name="40% - Accent4 138 2" xfId="29248" xr:uid="{00000000-0005-0000-0000-000037720000}"/>
    <cellStyle name="40% - Accent4 139" xfId="29249" xr:uid="{00000000-0005-0000-0000-000038720000}"/>
    <cellStyle name="40% - Accent4 139 2" xfId="29250" xr:uid="{00000000-0005-0000-0000-000039720000}"/>
    <cellStyle name="40% - Accent4 14" xfId="29251" xr:uid="{00000000-0005-0000-0000-00003A720000}"/>
    <cellStyle name="40% - Accent4 14 2" xfId="29252" xr:uid="{00000000-0005-0000-0000-00003B720000}"/>
    <cellStyle name="40% - Accent4 14 2 2" xfId="29253" xr:uid="{00000000-0005-0000-0000-00003C720000}"/>
    <cellStyle name="40% - Accent4 14 3" xfId="29254" xr:uid="{00000000-0005-0000-0000-00003D720000}"/>
    <cellStyle name="40% - Accent4 14 3 2" xfId="29255" xr:uid="{00000000-0005-0000-0000-00003E720000}"/>
    <cellStyle name="40% - Accent4 14 4" xfId="29256" xr:uid="{00000000-0005-0000-0000-00003F720000}"/>
    <cellStyle name="40% - Accent4 140" xfId="29257" xr:uid="{00000000-0005-0000-0000-000040720000}"/>
    <cellStyle name="40% - Accent4 140 2" xfId="29258" xr:uid="{00000000-0005-0000-0000-000041720000}"/>
    <cellStyle name="40% - Accent4 141" xfId="29259" xr:uid="{00000000-0005-0000-0000-000042720000}"/>
    <cellStyle name="40% - Accent4 141 2" xfId="29260" xr:uid="{00000000-0005-0000-0000-000043720000}"/>
    <cellStyle name="40% - Accent4 142" xfId="29261" xr:uid="{00000000-0005-0000-0000-000044720000}"/>
    <cellStyle name="40% - Accent4 142 2" xfId="29262" xr:uid="{00000000-0005-0000-0000-000045720000}"/>
    <cellStyle name="40% - Accent4 143" xfId="29263" xr:uid="{00000000-0005-0000-0000-000046720000}"/>
    <cellStyle name="40% - Accent4 143 2" xfId="29264" xr:uid="{00000000-0005-0000-0000-000047720000}"/>
    <cellStyle name="40% - Accent4 144" xfId="29265" xr:uid="{00000000-0005-0000-0000-000048720000}"/>
    <cellStyle name="40% - Accent4 144 2" xfId="29266" xr:uid="{00000000-0005-0000-0000-000049720000}"/>
    <cellStyle name="40% - Accent4 145" xfId="29267" xr:uid="{00000000-0005-0000-0000-00004A720000}"/>
    <cellStyle name="40% - Accent4 145 2" xfId="29268" xr:uid="{00000000-0005-0000-0000-00004B720000}"/>
    <cellStyle name="40% - Accent4 146" xfId="29269" xr:uid="{00000000-0005-0000-0000-00004C720000}"/>
    <cellStyle name="40% - Accent4 146 2" xfId="29270" xr:uid="{00000000-0005-0000-0000-00004D720000}"/>
    <cellStyle name="40% - Accent4 147" xfId="29271" xr:uid="{00000000-0005-0000-0000-00004E720000}"/>
    <cellStyle name="40% - Accent4 147 2" xfId="29272" xr:uid="{00000000-0005-0000-0000-00004F720000}"/>
    <cellStyle name="40% - Accent4 148" xfId="29273" xr:uid="{00000000-0005-0000-0000-000050720000}"/>
    <cellStyle name="40% - Accent4 148 2" xfId="29274" xr:uid="{00000000-0005-0000-0000-000051720000}"/>
    <cellStyle name="40% - Accent4 149" xfId="29275" xr:uid="{00000000-0005-0000-0000-000052720000}"/>
    <cellStyle name="40% - Accent4 149 2" xfId="29276" xr:uid="{00000000-0005-0000-0000-000053720000}"/>
    <cellStyle name="40% - Accent4 15" xfId="29277" xr:uid="{00000000-0005-0000-0000-000054720000}"/>
    <cellStyle name="40% - Accent4 15 2" xfId="29278" xr:uid="{00000000-0005-0000-0000-000055720000}"/>
    <cellStyle name="40% - Accent4 15 2 2" xfId="29279" xr:uid="{00000000-0005-0000-0000-000056720000}"/>
    <cellStyle name="40% - Accent4 15 3" xfId="29280" xr:uid="{00000000-0005-0000-0000-000057720000}"/>
    <cellStyle name="40% - Accent4 15 3 2" xfId="29281" xr:uid="{00000000-0005-0000-0000-000058720000}"/>
    <cellStyle name="40% - Accent4 15 4" xfId="29282" xr:uid="{00000000-0005-0000-0000-000059720000}"/>
    <cellStyle name="40% - Accent4 150" xfId="29283" xr:uid="{00000000-0005-0000-0000-00005A720000}"/>
    <cellStyle name="40% - Accent4 150 2" xfId="29284" xr:uid="{00000000-0005-0000-0000-00005B720000}"/>
    <cellStyle name="40% - Accent4 151" xfId="29285" xr:uid="{00000000-0005-0000-0000-00005C720000}"/>
    <cellStyle name="40% - Accent4 151 2" xfId="29286" xr:uid="{00000000-0005-0000-0000-00005D720000}"/>
    <cellStyle name="40% - Accent4 152" xfId="29287" xr:uid="{00000000-0005-0000-0000-00005E720000}"/>
    <cellStyle name="40% - Accent4 152 2" xfId="29288" xr:uid="{00000000-0005-0000-0000-00005F720000}"/>
    <cellStyle name="40% - Accent4 153" xfId="29289" xr:uid="{00000000-0005-0000-0000-000060720000}"/>
    <cellStyle name="40% - Accent4 153 2" xfId="29290" xr:uid="{00000000-0005-0000-0000-000061720000}"/>
    <cellStyle name="40% - Accent4 154" xfId="29291" xr:uid="{00000000-0005-0000-0000-000062720000}"/>
    <cellStyle name="40% - Accent4 154 2" xfId="29292" xr:uid="{00000000-0005-0000-0000-000063720000}"/>
    <cellStyle name="40% - Accent4 155" xfId="29293" xr:uid="{00000000-0005-0000-0000-000064720000}"/>
    <cellStyle name="40% - Accent4 155 2" xfId="29294" xr:uid="{00000000-0005-0000-0000-000065720000}"/>
    <cellStyle name="40% - Accent4 156" xfId="29295" xr:uid="{00000000-0005-0000-0000-000066720000}"/>
    <cellStyle name="40% - Accent4 156 2" xfId="29296" xr:uid="{00000000-0005-0000-0000-000067720000}"/>
    <cellStyle name="40% - Accent4 157" xfId="29297" xr:uid="{00000000-0005-0000-0000-000068720000}"/>
    <cellStyle name="40% - Accent4 157 2" xfId="29298" xr:uid="{00000000-0005-0000-0000-000069720000}"/>
    <cellStyle name="40% - Accent4 158" xfId="29299" xr:uid="{00000000-0005-0000-0000-00006A720000}"/>
    <cellStyle name="40% - Accent4 158 2" xfId="29300" xr:uid="{00000000-0005-0000-0000-00006B720000}"/>
    <cellStyle name="40% - Accent4 159" xfId="29301" xr:uid="{00000000-0005-0000-0000-00006C720000}"/>
    <cellStyle name="40% - Accent4 159 2" xfId="29302" xr:uid="{00000000-0005-0000-0000-00006D720000}"/>
    <cellStyle name="40% - Accent4 16" xfId="29303" xr:uid="{00000000-0005-0000-0000-00006E720000}"/>
    <cellStyle name="40% - Accent4 16 2" xfId="29304" xr:uid="{00000000-0005-0000-0000-00006F720000}"/>
    <cellStyle name="40% - Accent4 16 2 2" xfId="29305" xr:uid="{00000000-0005-0000-0000-000070720000}"/>
    <cellStyle name="40% - Accent4 16 3" xfId="29306" xr:uid="{00000000-0005-0000-0000-000071720000}"/>
    <cellStyle name="40% - Accent4 16 3 2" xfId="29307" xr:uid="{00000000-0005-0000-0000-000072720000}"/>
    <cellStyle name="40% - Accent4 16 4" xfId="29308" xr:uid="{00000000-0005-0000-0000-000073720000}"/>
    <cellStyle name="40% - Accent4 160" xfId="29309" xr:uid="{00000000-0005-0000-0000-000074720000}"/>
    <cellStyle name="40% - Accent4 160 2" xfId="29310" xr:uid="{00000000-0005-0000-0000-000075720000}"/>
    <cellStyle name="40% - Accent4 161" xfId="29311" xr:uid="{00000000-0005-0000-0000-000076720000}"/>
    <cellStyle name="40% - Accent4 161 2" xfId="29312" xr:uid="{00000000-0005-0000-0000-000077720000}"/>
    <cellStyle name="40% - Accent4 162" xfId="29313" xr:uid="{00000000-0005-0000-0000-000078720000}"/>
    <cellStyle name="40% - Accent4 162 2" xfId="29314" xr:uid="{00000000-0005-0000-0000-000079720000}"/>
    <cellStyle name="40% - Accent4 163" xfId="29315" xr:uid="{00000000-0005-0000-0000-00007A720000}"/>
    <cellStyle name="40% - Accent4 163 2" xfId="29316" xr:uid="{00000000-0005-0000-0000-00007B720000}"/>
    <cellStyle name="40% - Accent4 164" xfId="29317" xr:uid="{00000000-0005-0000-0000-00007C720000}"/>
    <cellStyle name="40% - Accent4 164 2" xfId="29318" xr:uid="{00000000-0005-0000-0000-00007D720000}"/>
    <cellStyle name="40% - Accent4 165" xfId="29319" xr:uid="{00000000-0005-0000-0000-00007E720000}"/>
    <cellStyle name="40% - Accent4 165 2" xfId="29320" xr:uid="{00000000-0005-0000-0000-00007F720000}"/>
    <cellStyle name="40% - Accent4 166" xfId="29321" xr:uid="{00000000-0005-0000-0000-000080720000}"/>
    <cellStyle name="40% - Accent4 166 2" xfId="29322" xr:uid="{00000000-0005-0000-0000-000081720000}"/>
    <cellStyle name="40% - Accent4 167" xfId="29323" xr:uid="{00000000-0005-0000-0000-000082720000}"/>
    <cellStyle name="40% - Accent4 167 2" xfId="29324" xr:uid="{00000000-0005-0000-0000-000083720000}"/>
    <cellStyle name="40% - Accent4 168" xfId="29325" xr:uid="{00000000-0005-0000-0000-000084720000}"/>
    <cellStyle name="40% - Accent4 168 2" xfId="29326" xr:uid="{00000000-0005-0000-0000-000085720000}"/>
    <cellStyle name="40% - Accent4 169" xfId="29327" xr:uid="{00000000-0005-0000-0000-000086720000}"/>
    <cellStyle name="40% - Accent4 169 2" xfId="29328" xr:uid="{00000000-0005-0000-0000-000087720000}"/>
    <cellStyle name="40% - Accent4 17" xfId="29329" xr:uid="{00000000-0005-0000-0000-000088720000}"/>
    <cellStyle name="40% - Accent4 17 2" xfId="29330" xr:uid="{00000000-0005-0000-0000-000089720000}"/>
    <cellStyle name="40% - Accent4 17 2 2" xfId="29331" xr:uid="{00000000-0005-0000-0000-00008A720000}"/>
    <cellStyle name="40% - Accent4 17 3" xfId="29332" xr:uid="{00000000-0005-0000-0000-00008B720000}"/>
    <cellStyle name="40% - Accent4 17 3 2" xfId="29333" xr:uid="{00000000-0005-0000-0000-00008C720000}"/>
    <cellStyle name="40% - Accent4 17 4" xfId="29334" xr:uid="{00000000-0005-0000-0000-00008D720000}"/>
    <cellStyle name="40% - Accent4 170" xfId="29335" xr:uid="{00000000-0005-0000-0000-00008E720000}"/>
    <cellStyle name="40% - Accent4 170 2" xfId="29336" xr:uid="{00000000-0005-0000-0000-00008F720000}"/>
    <cellStyle name="40% - Accent4 171" xfId="29337" xr:uid="{00000000-0005-0000-0000-000090720000}"/>
    <cellStyle name="40% - Accent4 171 2" xfId="29338" xr:uid="{00000000-0005-0000-0000-000091720000}"/>
    <cellStyle name="40% - Accent4 172" xfId="29339" xr:uid="{00000000-0005-0000-0000-000092720000}"/>
    <cellStyle name="40% - Accent4 172 2" xfId="29340" xr:uid="{00000000-0005-0000-0000-000093720000}"/>
    <cellStyle name="40% - Accent4 173" xfId="29341" xr:uid="{00000000-0005-0000-0000-000094720000}"/>
    <cellStyle name="40% - Accent4 173 2" xfId="29342" xr:uid="{00000000-0005-0000-0000-000095720000}"/>
    <cellStyle name="40% - Accent4 174" xfId="29343" xr:uid="{00000000-0005-0000-0000-000096720000}"/>
    <cellStyle name="40% - Accent4 174 2" xfId="29344" xr:uid="{00000000-0005-0000-0000-000097720000}"/>
    <cellStyle name="40% - Accent4 175" xfId="29345" xr:uid="{00000000-0005-0000-0000-000098720000}"/>
    <cellStyle name="40% - Accent4 175 2" xfId="29346" xr:uid="{00000000-0005-0000-0000-000099720000}"/>
    <cellStyle name="40% - Accent4 176" xfId="29347" xr:uid="{00000000-0005-0000-0000-00009A720000}"/>
    <cellStyle name="40% - Accent4 176 2" xfId="29348" xr:uid="{00000000-0005-0000-0000-00009B720000}"/>
    <cellStyle name="40% - Accent4 177" xfId="29349" xr:uid="{00000000-0005-0000-0000-00009C720000}"/>
    <cellStyle name="40% - Accent4 177 2" xfId="29350" xr:uid="{00000000-0005-0000-0000-00009D720000}"/>
    <cellStyle name="40% - Accent4 178" xfId="29351" xr:uid="{00000000-0005-0000-0000-00009E720000}"/>
    <cellStyle name="40% - Accent4 178 2" xfId="29352" xr:uid="{00000000-0005-0000-0000-00009F720000}"/>
    <cellStyle name="40% - Accent4 179" xfId="29353" xr:uid="{00000000-0005-0000-0000-0000A0720000}"/>
    <cellStyle name="40% - Accent4 179 2" xfId="29354" xr:uid="{00000000-0005-0000-0000-0000A1720000}"/>
    <cellStyle name="40% - Accent4 18" xfId="29355" xr:uid="{00000000-0005-0000-0000-0000A2720000}"/>
    <cellStyle name="40% - Accent4 18 2" xfId="29356" xr:uid="{00000000-0005-0000-0000-0000A3720000}"/>
    <cellStyle name="40% - Accent4 18 2 2" xfId="29357" xr:uid="{00000000-0005-0000-0000-0000A4720000}"/>
    <cellStyle name="40% - Accent4 18 3" xfId="29358" xr:uid="{00000000-0005-0000-0000-0000A5720000}"/>
    <cellStyle name="40% - Accent4 18 3 2" xfId="29359" xr:uid="{00000000-0005-0000-0000-0000A6720000}"/>
    <cellStyle name="40% - Accent4 18 4" xfId="29360" xr:uid="{00000000-0005-0000-0000-0000A7720000}"/>
    <cellStyle name="40% - Accent4 180" xfId="29361" xr:uid="{00000000-0005-0000-0000-0000A8720000}"/>
    <cellStyle name="40% - Accent4 180 2" xfId="29362" xr:uid="{00000000-0005-0000-0000-0000A9720000}"/>
    <cellStyle name="40% - Accent4 181" xfId="29363" xr:uid="{00000000-0005-0000-0000-0000AA720000}"/>
    <cellStyle name="40% - Accent4 181 2" xfId="29364" xr:uid="{00000000-0005-0000-0000-0000AB720000}"/>
    <cellStyle name="40% - Accent4 182" xfId="29365" xr:uid="{00000000-0005-0000-0000-0000AC720000}"/>
    <cellStyle name="40% - Accent4 182 2" xfId="29366" xr:uid="{00000000-0005-0000-0000-0000AD720000}"/>
    <cellStyle name="40% - Accent4 183" xfId="29367" xr:uid="{00000000-0005-0000-0000-0000AE720000}"/>
    <cellStyle name="40% - Accent4 183 2" xfId="29368" xr:uid="{00000000-0005-0000-0000-0000AF720000}"/>
    <cellStyle name="40% - Accent4 184" xfId="29369" xr:uid="{00000000-0005-0000-0000-0000B0720000}"/>
    <cellStyle name="40% - Accent4 184 2" xfId="29370" xr:uid="{00000000-0005-0000-0000-0000B1720000}"/>
    <cellStyle name="40% - Accent4 185" xfId="29371" xr:uid="{00000000-0005-0000-0000-0000B2720000}"/>
    <cellStyle name="40% - Accent4 185 2" xfId="29372" xr:uid="{00000000-0005-0000-0000-0000B3720000}"/>
    <cellStyle name="40% - Accent4 186" xfId="29373" xr:uid="{00000000-0005-0000-0000-0000B4720000}"/>
    <cellStyle name="40% - Accent4 186 2" xfId="29374" xr:uid="{00000000-0005-0000-0000-0000B5720000}"/>
    <cellStyle name="40% - Accent4 187" xfId="29375" xr:uid="{00000000-0005-0000-0000-0000B6720000}"/>
    <cellStyle name="40% - Accent4 187 2" xfId="29376" xr:uid="{00000000-0005-0000-0000-0000B7720000}"/>
    <cellStyle name="40% - Accent4 188" xfId="29377" xr:uid="{00000000-0005-0000-0000-0000B8720000}"/>
    <cellStyle name="40% - Accent4 188 2" xfId="29378" xr:uid="{00000000-0005-0000-0000-0000B9720000}"/>
    <cellStyle name="40% - Accent4 189" xfId="29379" xr:uid="{00000000-0005-0000-0000-0000BA720000}"/>
    <cellStyle name="40% - Accent4 189 2" xfId="29380" xr:uid="{00000000-0005-0000-0000-0000BB720000}"/>
    <cellStyle name="40% - Accent4 19" xfId="29381" xr:uid="{00000000-0005-0000-0000-0000BC720000}"/>
    <cellStyle name="40% - Accent4 19 2" xfId="29382" xr:uid="{00000000-0005-0000-0000-0000BD720000}"/>
    <cellStyle name="40% - Accent4 19 2 2" xfId="29383" xr:uid="{00000000-0005-0000-0000-0000BE720000}"/>
    <cellStyle name="40% - Accent4 19 3" xfId="29384" xr:uid="{00000000-0005-0000-0000-0000BF720000}"/>
    <cellStyle name="40% - Accent4 19 3 2" xfId="29385" xr:uid="{00000000-0005-0000-0000-0000C0720000}"/>
    <cellStyle name="40% - Accent4 19 4" xfId="29386" xr:uid="{00000000-0005-0000-0000-0000C1720000}"/>
    <cellStyle name="40% - Accent4 190" xfId="29387" xr:uid="{00000000-0005-0000-0000-0000C2720000}"/>
    <cellStyle name="40% - Accent4 190 2" xfId="29388" xr:uid="{00000000-0005-0000-0000-0000C3720000}"/>
    <cellStyle name="40% - Accent4 191" xfId="29389" xr:uid="{00000000-0005-0000-0000-0000C4720000}"/>
    <cellStyle name="40% - Accent4 191 2" xfId="29390" xr:uid="{00000000-0005-0000-0000-0000C5720000}"/>
    <cellStyle name="40% - Accent4 192" xfId="29391" xr:uid="{00000000-0005-0000-0000-0000C6720000}"/>
    <cellStyle name="40% - Accent4 192 2" xfId="29392" xr:uid="{00000000-0005-0000-0000-0000C7720000}"/>
    <cellStyle name="40% - Accent4 193" xfId="29393" xr:uid="{00000000-0005-0000-0000-0000C8720000}"/>
    <cellStyle name="40% - Accent4 193 2" xfId="29394" xr:uid="{00000000-0005-0000-0000-0000C9720000}"/>
    <cellStyle name="40% - Accent4 194" xfId="29395" xr:uid="{00000000-0005-0000-0000-0000CA720000}"/>
    <cellStyle name="40% - Accent4 194 2" xfId="29396" xr:uid="{00000000-0005-0000-0000-0000CB720000}"/>
    <cellStyle name="40% - Accent4 195" xfId="29397" xr:uid="{00000000-0005-0000-0000-0000CC720000}"/>
    <cellStyle name="40% - Accent4 195 2" xfId="29398" xr:uid="{00000000-0005-0000-0000-0000CD720000}"/>
    <cellStyle name="40% - Accent4 196" xfId="29399" xr:uid="{00000000-0005-0000-0000-0000CE720000}"/>
    <cellStyle name="40% - Accent4 196 2" xfId="29400" xr:uid="{00000000-0005-0000-0000-0000CF720000}"/>
    <cellStyle name="40% - Accent4 197" xfId="29401" xr:uid="{00000000-0005-0000-0000-0000D0720000}"/>
    <cellStyle name="40% - Accent4 197 2" xfId="29402" xr:uid="{00000000-0005-0000-0000-0000D1720000}"/>
    <cellStyle name="40% - Accent4 198" xfId="29403" xr:uid="{00000000-0005-0000-0000-0000D2720000}"/>
    <cellStyle name="40% - Accent4 198 2" xfId="29404" xr:uid="{00000000-0005-0000-0000-0000D3720000}"/>
    <cellStyle name="40% - Accent4 2" xfId="29405" xr:uid="{00000000-0005-0000-0000-0000D4720000}"/>
    <cellStyle name="40% - Accent4 2 2" xfId="29406" xr:uid="{00000000-0005-0000-0000-0000D5720000}"/>
    <cellStyle name="40% - Accent4 2 2 2" xfId="29407" xr:uid="{00000000-0005-0000-0000-0000D6720000}"/>
    <cellStyle name="40% - Accent4 2 2 2 2" xfId="29408" xr:uid="{00000000-0005-0000-0000-0000D7720000}"/>
    <cellStyle name="40% - Accent4 2 2 3" xfId="29409" xr:uid="{00000000-0005-0000-0000-0000D8720000}"/>
    <cellStyle name="40% - Accent4 2 2 3 2" xfId="29410" xr:uid="{00000000-0005-0000-0000-0000D9720000}"/>
    <cellStyle name="40% - Accent4 2 2 4" xfId="29411" xr:uid="{00000000-0005-0000-0000-0000DA720000}"/>
    <cellStyle name="40% - Accent4 2 2 4 2" xfId="29412" xr:uid="{00000000-0005-0000-0000-0000DB720000}"/>
    <cellStyle name="40% - Accent4 2 2 5" xfId="29413" xr:uid="{00000000-0005-0000-0000-0000DC720000}"/>
    <cellStyle name="40% - Accent4 2 2 5 2" xfId="29414" xr:uid="{00000000-0005-0000-0000-0000DD720000}"/>
    <cellStyle name="40% - Accent4 2 2 6" xfId="29415" xr:uid="{00000000-0005-0000-0000-0000DE720000}"/>
    <cellStyle name="40% - Accent4 2 3" xfId="29416" xr:uid="{00000000-0005-0000-0000-0000DF720000}"/>
    <cellStyle name="40% - Accent4 2 3 2" xfId="29417" xr:uid="{00000000-0005-0000-0000-0000E0720000}"/>
    <cellStyle name="40% - Accent4 2 4" xfId="29418" xr:uid="{00000000-0005-0000-0000-0000E1720000}"/>
    <cellStyle name="40% - Accent4 2 4 2" xfId="29419" xr:uid="{00000000-0005-0000-0000-0000E2720000}"/>
    <cellStyle name="40% - Accent4 2 5" xfId="29420" xr:uid="{00000000-0005-0000-0000-0000E3720000}"/>
    <cellStyle name="40% - Accent4 2 5 2" xfId="29421" xr:uid="{00000000-0005-0000-0000-0000E4720000}"/>
    <cellStyle name="40% - Accent4 2 6" xfId="29422" xr:uid="{00000000-0005-0000-0000-0000E5720000}"/>
    <cellStyle name="40% - Accent4 2 6 2" xfId="29423" xr:uid="{00000000-0005-0000-0000-0000E6720000}"/>
    <cellStyle name="40% - Accent4 2 7" xfId="29424" xr:uid="{00000000-0005-0000-0000-0000E7720000}"/>
    <cellStyle name="40% - Accent4 20" xfId="29425" xr:uid="{00000000-0005-0000-0000-0000E8720000}"/>
    <cellStyle name="40% - Accent4 20 2" xfId="29426" xr:uid="{00000000-0005-0000-0000-0000E9720000}"/>
    <cellStyle name="40% - Accent4 20 2 2" xfId="29427" xr:uid="{00000000-0005-0000-0000-0000EA720000}"/>
    <cellStyle name="40% - Accent4 20 3" xfId="29428" xr:uid="{00000000-0005-0000-0000-0000EB720000}"/>
    <cellStyle name="40% - Accent4 20 3 2" xfId="29429" xr:uid="{00000000-0005-0000-0000-0000EC720000}"/>
    <cellStyle name="40% - Accent4 20 4" xfId="29430" xr:uid="{00000000-0005-0000-0000-0000ED720000}"/>
    <cellStyle name="40% - Accent4 21" xfId="29431" xr:uid="{00000000-0005-0000-0000-0000EE720000}"/>
    <cellStyle name="40% - Accent4 21 2" xfId="29432" xr:uid="{00000000-0005-0000-0000-0000EF720000}"/>
    <cellStyle name="40% - Accent4 21 2 2" xfId="29433" xr:uid="{00000000-0005-0000-0000-0000F0720000}"/>
    <cellStyle name="40% - Accent4 21 3" xfId="29434" xr:uid="{00000000-0005-0000-0000-0000F1720000}"/>
    <cellStyle name="40% - Accent4 21 3 2" xfId="29435" xr:uid="{00000000-0005-0000-0000-0000F2720000}"/>
    <cellStyle name="40% - Accent4 21 4" xfId="29436" xr:uid="{00000000-0005-0000-0000-0000F3720000}"/>
    <cellStyle name="40% - Accent4 22" xfId="29437" xr:uid="{00000000-0005-0000-0000-0000F4720000}"/>
    <cellStyle name="40% - Accent4 22 2" xfId="29438" xr:uid="{00000000-0005-0000-0000-0000F5720000}"/>
    <cellStyle name="40% - Accent4 22 2 2" xfId="29439" xr:uid="{00000000-0005-0000-0000-0000F6720000}"/>
    <cellStyle name="40% - Accent4 22 3" xfId="29440" xr:uid="{00000000-0005-0000-0000-0000F7720000}"/>
    <cellStyle name="40% - Accent4 22 3 2" xfId="29441" xr:uid="{00000000-0005-0000-0000-0000F8720000}"/>
    <cellStyle name="40% - Accent4 22 4" xfId="29442" xr:uid="{00000000-0005-0000-0000-0000F9720000}"/>
    <cellStyle name="40% - Accent4 23" xfId="29443" xr:uid="{00000000-0005-0000-0000-0000FA720000}"/>
    <cellStyle name="40% - Accent4 23 2" xfId="29444" xr:uid="{00000000-0005-0000-0000-0000FB720000}"/>
    <cellStyle name="40% - Accent4 23 2 2" xfId="29445" xr:uid="{00000000-0005-0000-0000-0000FC720000}"/>
    <cellStyle name="40% - Accent4 23 3" xfId="29446" xr:uid="{00000000-0005-0000-0000-0000FD720000}"/>
    <cellStyle name="40% - Accent4 23 3 2" xfId="29447" xr:uid="{00000000-0005-0000-0000-0000FE720000}"/>
    <cellStyle name="40% - Accent4 23 4" xfId="29448" xr:uid="{00000000-0005-0000-0000-0000FF720000}"/>
    <cellStyle name="40% - Accent4 24" xfId="29449" xr:uid="{00000000-0005-0000-0000-000000730000}"/>
    <cellStyle name="40% - Accent4 24 2" xfId="29450" xr:uid="{00000000-0005-0000-0000-000001730000}"/>
    <cellStyle name="40% - Accent4 24 2 2" xfId="29451" xr:uid="{00000000-0005-0000-0000-000002730000}"/>
    <cellStyle name="40% - Accent4 24 3" xfId="29452" xr:uid="{00000000-0005-0000-0000-000003730000}"/>
    <cellStyle name="40% - Accent4 24 3 2" xfId="29453" xr:uid="{00000000-0005-0000-0000-000004730000}"/>
    <cellStyle name="40% - Accent4 24 4" xfId="29454" xr:uid="{00000000-0005-0000-0000-000005730000}"/>
    <cellStyle name="40% - Accent4 25" xfId="29455" xr:uid="{00000000-0005-0000-0000-000006730000}"/>
    <cellStyle name="40% - Accent4 25 2" xfId="29456" xr:uid="{00000000-0005-0000-0000-000007730000}"/>
    <cellStyle name="40% - Accent4 25 2 2" xfId="29457" xr:uid="{00000000-0005-0000-0000-000008730000}"/>
    <cellStyle name="40% - Accent4 25 3" xfId="29458" xr:uid="{00000000-0005-0000-0000-000009730000}"/>
    <cellStyle name="40% - Accent4 25 3 2" xfId="29459" xr:uid="{00000000-0005-0000-0000-00000A730000}"/>
    <cellStyle name="40% - Accent4 25 4" xfId="29460" xr:uid="{00000000-0005-0000-0000-00000B730000}"/>
    <cellStyle name="40% - Accent4 26" xfId="29461" xr:uid="{00000000-0005-0000-0000-00000C730000}"/>
    <cellStyle name="40% - Accent4 26 2" xfId="29462" xr:uid="{00000000-0005-0000-0000-00000D730000}"/>
    <cellStyle name="40% - Accent4 26 2 2" xfId="29463" xr:uid="{00000000-0005-0000-0000-00000E730000}"/>
    <cellStyle name="40% - Accent4 26 3" xfId="29464" xr:uid="{00000000-0005-0000-0000-00000F730000}"/>
    <cellStyle name="40% - Accent4 26 3 2" xfId="29465" xr:uid="{00000000-0005-0000-0000-000010730000}"/>
    <cellStyle name="40% - Accent4 26 4" xfId="29466" xr:uid="{00000000-0005-0000-0000-000011730000}"/>
    <cellStyle name="40% - Accent4 27" xfId="29467" xr:uid="{00000000-0005-0000-0000-000012730000}"/>
    <cellStyle name="40% - Accent4 27 2" xfId="29468" xr:uid="{00000000-0005-0000-0000-000013730000}"/>
    <cellStyle name="40% - Accent4 27 2 2" xfId="29469" xr:uid="{00000000-0005-0000-0000-000014730000}"/>
    <cellStyle name="40% - Accent4 27 3" xfId="29470" xr:uid="{00000000-0005-0000-0000-000015730000}"/>
    <cellStyle name="40% - Accent4 27 3 2" xfId="29471" xr:uid="{00000000-0005-0000-0000-000016730000}"/>
    <cellStyle name="40% - Accent4 27 4" xfId="29472" xr:uid="{00000000-0005-0000-0000-000017730000}"/>
    <cellStyle name="40% - Accent4 28" xfId="29473" xr:uid="{00000000-0005-0000-0000-000018730000}"/>
    <cellStyle name="40% - Accent4 28 2" xfId="29474" xr:uid="{00000000-0005-0000-0000-000019730000}"/>
    <cellStyle name="40% - Accent4 28 2 2" xfId="29475" xr:uid="{00000000-0005-0000-0000-00001A730000}"/>
    <cellStyle name="40% - Accent4 28 3" xfId="29476" xr:uid="{00000000-0005-0000-0000-00001B730000}"/>
    <cellStyle name="40% - Accent4 28 3 2" xfId="29477" xr:uid="{00000000-0005-0000-0000-00001C730000}"/>
    <cellStyle name="40% - Accent4 28 4" xfId="29478" xr:uid="{00000000-0005-0000-0000-00001D730000}"/>
    <cellStyle name="40% - Accent4 29" xfId="29479" xr:uid="{00000000-0005-0000-0000-00001E730000}"/>
    <cellStyle name="40% - Accent4 29 2" xfId="29480" xr:uid="{00000000-0005-0000-0000-00001F730000}"/>
    <cellStyle name="40% - Accent4 29 2 2" xfId="29481" xr:uid="{00000000-0005-0000-0000-000020730000}"/>
    <cellStyle name="40% - Accent4 29 3" xfId="29482" xr:uid="{00000000-0005-0000-0000-000021730000}"/>
    <cellStyle name="40% - Accent4 29 3 2" xfId="29483" xr:uid="{00000000-0005-0000-0000-000022730000}"/>
    <cellStyle name="40% - Accent4 29 4" xfId="29484" xr:uid="{00000000-0005-0000-0000-000023730000}"/>
    <cellStyle name="40% - Accent4 3" xfId="29485" xr:uid="{00000000-0005-0000-0000-000024730000}"/>
    <cellStyle name="40% - Accent4 3 2" xfId="29486" xr:uid="{00000000-0005-0000-0000-000025730000}"/>
    <cellStyle name="40% - Accent4 3 2 2" xfId="29487" xr:uid="{00000000-0005-0000-0000-000026730000}"/>
    <cellStyle name="40% - Accent4 3 3" xfId="29488" xr:uid="{00000000-0005-0000-0000-000027730000}"/>
    <cellStyle name="40% - Accent4 3 3 2" xfId="29489" xr:uid="{00000000-0005-0000-0000-000028730000}"/>
    <cellStyle name="40% - Accent4 3 4" xfId="29490" xr:uid="{00000000-0005-0000-0000-000029730000}"/>
    <cellStyle name="40% - Accent4 3 4 2" xfId="29491" xr:uid="{00000000-0005-0000-0000-00002A730000}"/>
    <cellStyle name="40% - Accent4 3 5" xfId="29492" xr:uid="{00000000-0005-0000-0000-00002B730000}"/>
    <cellStyle name="40% - Accent4 3 5 2" xfId="29493" xr:uid="{00000000-0005-0000-0000-00002C730000}"/>
    <cellStyle name="40% - Accent4 3 6" xfId="29494" xr:uid="{00000000-0005-0000-0000-00002D730000}"/>
    <cellStyle name="40% - Accent4 3 6 2" xfId="29495" xr:uid="{00000000-0005-0000-0000-00002E730000}"/>
    <cellStyle name="40% - Accent4 3 7" xfId="29496" xr:uid="{00000000-0005-0000-0000-00002F730000}"/>
    <cellStyle name="40% - Accent4 30" xfId="29497" xr:uid="{00000000-0005-0000-0000-000030730000}"/>
    <cellStyle name="40% - Accent4 30 2" xfId="29498" xr:uid="{00000000-0005-0000-0000-000031730000}"/>
    <cellStyle name="40% - Accent4 30 2 2" xfId="29499" xr:uid="{00000000-0005-0000-0000-000032730000}"/>
    <cellStyle name="40% - Accent4 30 3" xfId="29500" xr:uid="{00000000-0005-0000-0000-000033730000}"/>
    <cellStyle name="40% - Accent4 30 3 2" xfId="29501" xr:uid="{00000000-0005-0000-0000-000034730000}"/>
    <cellStyle name="40% - Accent4 30 4" xfId="29502" xr:uid="{00000000-0005-0000-0000-000035730000}"/>
    <cellStyle name="40% - Accent4 31" xfId="29503" xr:uid="{00000000-0005-0000-0000-000036730000}"/>
    <cellStyle name="40% - Accent4 31 2" xfId="29504" xr:uid="{00000000-0005-0000-0000-000037730000}"/>
    <cellStyle name="40% - Accent4 31 2 2" xfId="29505" xr:uid="{00000000-0005-0000-0000-000038730000}"/>
    <cellStyle name="40% - Accent4 31 3" xfId="29506" xr:uid="{00000000-0005-0000-0000-000039730000}"/>
    <cellStyle name="40% - Accent4 31 3 2" xfId="29507" xr:uid="{00000000-0005-0000-0000-00003A730000}"/>
    <cellStyle name="40% - Accent4 31 4" xfId="29508" xr:uid="{00000000-0005-0000-0000-00003B730000}"/>
    <cellStyle name="40% - Accent4 32" xfId="29509" xr:uid="{00000000-0005-0000-0000-00003C730000}"/>
    <cellStyle name="40% - Accent4 32 2" xfId="29510" xr:uid="{00000000-0005-0000-0000-00003D730000}"/>
    <cellStyle name="40% - Accent4 32 2 2" xfId="29511" xr:uid="{00000000-0005-0000-0000-00003E730000}"/>
    <cellStyle name="40% - Accent4 32 3" xfId="29512" xr:uid="{00000000-0005-0000-0000-00003F730000}"/>
    <cellStyle name="40% - Accent4 32 3 2" xfId="29513" xr:uid="{00000000-0005-0000-0000-000040730000}"/>
    <cellStyle name="40% - Accent4 32 4" xfId="29514" xr:uid="{00000000-0005-0000-0000-000041730000}"/>
    <cellStyle name="40% - Accent4 33" xfId="29515" xr:uid="{00000000-0005-0000-0000-000042730000}"/>
    <cellStyle name="40% - Accent4 33 2" xfId="29516" xr:uid="{00000000-0005-0000-0000-000043730000}"/>
    <cellStyle name="40% - Accent4 33 2 2" xfId="29517" xr:uid="{00000000-0005-0000-0000-000044730000}"/>
    <cellStyle name="40% - Accent4 33 3" xfId="29518" xr:uid="{00000000-0005-0000-0000-000045730000}"/>
    <cellStyle name="40% - Accent4 33 3 2" xfId="29519" xr:uid="{00000000-0005-0000-0000-000046730000}"/>
    <cellStyle name="40% - Accent4 33 4" xfId="29520" xr:uid="{00000000-0005-0000-0000-000047730000}"/>
    <cellStyle name="40% - Accent4 34" xfId="29521" xr:uid="{00000000-0005-0000-0000-000048730000}"/>
    <cellStyle name="40% - Accent4 34 2" xfId="29522" xr:uid="{00000000-0005-0000-0000-000049730000}"/>
    <cellStyle name="40% - Accent4 34 2 2" xfId="29523" xr:uid="{00000000-0005-0000-0000-00004A730000}"/>
    <cellStyle name="40% - Accent4 34 3" xfId="29524" xr:uid="{00000000-0005-0000-0000-00004B730000}"/>
    <cellStyle name="40% - Accent4 34 3 2" xfId="29525" xr:uid="{00000000-0005-0000-0000-00004C730000}"/>
    <cellStyle name="40% - Accent4 34 4" xfId="29526" xr:uid="{00000000-0005-0000-0000-00004D730000}"/>
    <cellStyle name="40% - Accent4 35" xfId="29527" xr:uid="{00000000-0005-0000-0000-00004E730000}"/>
    <cellStyle name="40% - Accent4 35 2" xfId="29528" xr:uid="{00000000-0005-0000-0000-00004F730000}"/>
    <cellStyle name="40% - Accent4 35 2 2" xfId="29529" xr:uid="{00000000-0005-0000-0000-000050730000}"/>
    <cellStyle name="40% - Accent4 35 3" xfId="29530" xr:uid="{00000000-0005-0000-0000-000051730000}"/>
    <cellStyle name="40% - Accent4 35 3 2" xfId="29531" xr:uid="{00000000-0005-0000-0000-000052730000}"/>
    <cellStyle name="40% - Accent4 35 4" xfId="29532" xr:uid="{00000000-0005-0000-0000-000053730000}"/>
    <cellStyle name="40% - Accent4 36" xfId="29533" xr:uid="{00000000-0005-0000-0000-000054730000}"/>
    <cellStyle name="40% - Accent4 36 2" xfId="29534" xr:uid="{00000000-0005-0000-0000-000055730000}"/>
    <cellStyle name="40% - Accent4 36 2 2" xfId="29535" xr:uid="{00000000-0005-0000-0000-000056730000}"/>
    <cellStyle name="40% - Accent4 36 3" xfId="29536" xr:uid="{00000000-0005-0000-0000-000057730000}"/>
    <cellStyle name="40% - Accent4 36 3 2" xfId="29537" xr:uid="{00000000-0005-0000-0000-000058730000}"/>
    <cellStyle name="40% - Accent4 36 4" xfId="29538" xr:uid="{00000000-0005-0000-0000-000059730000}"/>
    <cellStyle name="40% - Accent4 37" xfId="29539" xr:uid="{00000000-0005-0000-0000-00005A730000}"/>
    <cellStyle name="40% - Accent4 37 2" xfId="29540" xr:uid="{00000000-0005-0000-0000-00005B730000}"/>
    <cellStyle name="40% - Accent4 37 2 2" xfId="29541" xr:uid="{00000000-0005-0000-0000-00005C730000}"/>
    <cellStyle name="40% - Accent4 37 3" xfId="29542" xr:uid="{00000000-0005-0000-0000-00005D730000}"/>
    <cellStyle name="40% - Accent4 37 3 2" xfId="29543" xr:uid="{00000000-0005-0000-0000-00005E730000}"/>
    <cellStyle name="40% - Accent4 37 4" xfId="29544" xr:uid="{00000000-0005-0000-0000-00005F730000}"/>
    <cellStyle name="40% - Accent4 38" xfId="29545" xr:uid="{00000000-0005-0000-0000-000060730000}"/>
    <cellStyle name="40% - Accent4 38 2" xfId="29546" xr:uid="{00000000-0005-0000-0000-000061730000}"/>
    <cellStyle name="40% - Accent4 38 2 2" xfId="29547" xr:uid="{00000000-0005-0000-0000-000062730000}"/>
    <cellStyle name="40% - Accent4 38 3" xfId="29548" xr:uid="{00000000-0005-0000-0000-000063730000}"/>
    <cellStyle name="40% - Accent4 38 3 2" xfId="29549" xr:uid="{00000000-0005-0000-0000-000064730000}"/>
    <cellStyle name="40% - Accent4 38 4" xfId="29550" xr:uid="{00000000-0005-0000-0000-000065730000}"/>
    <cellStyle name="40% - Accent4 39" xfId="29551" xr:uid="{00000000-0005-0000-0000-000066730000}"/>
    <cellStyle name="40% - Accent4 39 2" xfId="29552" xr:uid="{00000000-0005-0000-0000-000067730000}"/>
    <cellStyle name="40% - Accent4 39 2 2" xfId="29553" xr:uid="{00000000-0005-0000-0000-000068730000}"/>
    <cellStyle name="40% - Accent4 39 3" xfId="29554" xr:uid="{00000000-0005-0000-0000-000069730000}"/>
    <cellStyle name="40% - Accent4 39 3 2" xfId="29555" xr:uid="{00000000-0005-0000-0000-00006A730000}"/>
    <cellStyle name="40% - Accent4 39 4" xfId="29556" xr:uid="{00000000-0005-0000-0000-00006B730000}"/>
    <cellStyle name="40% - Accent4 4" xfId="29557" xr:uid="{00000000-0005-0000-0000-00006C730000}"/>
    <cellStyle name="40% - Accent4 4 2" xfId="29558" xr:uid="{00000000-0005-0000-0000-00006D730000}"/>
    <cellStyle name="40% - Accent4 4 2 2" xfId="29559" xr:uid="{00000000-0005-0000-0000-00006E730000}"/>
    <cellStyle name="40% - Accent4 4 3" xfId="29560" xr:uid="{00000000-0005-0000-0000-00006F730000}"/>
    <cellStyle name="40% - Accent4 4 3 2" xfId="29561" xr:uid="{00000000-0005-0000-0000-000070730000}"/>
    <cellStyle name="40% - Accent4 4 4" xfId="29562" xr:uid="{00000000-0005-0000-0000-000071730000}"/>
    <cellStyle name="40% - Accent4 4 4 2" xfId="29563" xr:uid="{00000000-0005-0000-0000-000072730000}"/>
    <cellStyle name="40% - Accent4 4 5" xfId="29564" xr:uid="{00000000-0005-0000-0000-000073730000}"/>
    <cellStyle name="40% - Accent4 4 5 2" xfId="29565" xr:uid="{00000000-0005-0000-0000-000074730000}"/>
    <cellStyle name="40% - Accent4 4 6" xfId="29566" xr:uid="{00000000-0005-0000-0000-000075730000}"/>
    <cellStyle name="40% - Accent4 4 6 2" xfId="29567" xr:uid="{00000000-0005-0000-0000-000076730000}"/>
    <cellStyle name="40% - Accent4 4 7" xfId="29568" xr:uid="{00000000-0005-0000-0000-000077730000}"/>
    <cellStyle name="40% - Accent4 40" xfId="29569" xr:uid="{00000000-0005-0000-0000-000078730000}"/>
    <cellStyle name="40% - Accent4 40 2" xfId="29570" xr:uid="{00000000-0005-0000-0000-000079730000}"/>
    <cellStyle name="40% - Accent4 40 2 2" xfId="29571" xr:uid="{00000000-0005-0000-0000-00007A730000}"/>
    <cellStyle name="40% - Accent4 40 3" xfId="29572" xr:uid="{00000000-0005-0000-0000-00007B730000}"/>
    <cellStyle name="40% - Accent4 40 3 2" xfId="29573" xr:uid="{00000000-0005-0000-0000-00007C730000}"/>
    <cellStyle name="40% - Accent4 40 4" xfId="29574" xr:uid="{00000000-0005-0000-0000-00007D730000}"/>
    <cellStyle name="40% - Accent4 41" xfId="29575" xr:uid="{00000000-0005-0000-0000-00007E730000}"/>
    <cellStyle name="40% - Accent4 41 2" xfId="29576" xr:uid="{00000000-0005-0000-0000-00007F730000}"/>
    <cellStyle name="40% - Accent4 41 2 2" xfId="29577" xr:uid="{00000000-0005-0000-0000-000080730000}"/>
    <cellStyle name="40% - Accent4 41 3" xfId="29578" xr:uid="{00000000-0005-0000-0000-000081730000}"/>
    <cellStyle name="40% - Accent4 41 3 2" xfId="29579" xr:uid="{00000000-0005-0000-0000-000082730000}"/>
    <cellStyle name="40% - Accent4 41 4" xfId="29580" xr:uid="{00000000-0005-0000-0000-000083730000}"/>
    <cellStyle name="40% - Accent4 42" xfId="29581" xr:uid="{00000000-0005-0000-0000-000084730000}"/>
    <cellStyle name="40% - Accent4 42 2" xfId="29582" xr:uid="{00000000-0005-0000-0000-000085730000}"/>
    <cellStyle name="40% - Accent4 42 2 2" xfId="29583" xr:uid="{00000000-0005-0000-0000-000086730000}"/>
    <cellStyle name="40% - Accent4 42 3" xfId="29584" xr:uid="{00000000-0005-0000-0000-000087730000}"/>
    <cellStyle name="40% - Accent4 42 3 2" xfId="29585" xr:uid="{00000000-0005-0000-0000-000088730000}"/>
    <cellStyle name="40% - Accent4 42 4" xfId="29586" xr:uid="{00000000-0005-0000-0000-000089730000}"/>
    <cellStyle name="40% - Accent4 43" xfId="29587" xr:uid="{00000000-0005-0000-0000-00008A730000}"/>
    <cellStyle name="40% - Accent4 43 2" xfId="29588" xr:uid="{00000000-0005-0000-0000-00008B730000}"/>
    <cellStyle name="40% - Accent4 43 2 2" xfId="29589" xr:uid="{00000000-0005-0000-0000-00008C730000}"/>
    <cellStyle name="40% - Accent4 43 3" xfId="29590" xr:uid="{00000000-0005-0000-0000-00008D730000}"/>
    <cellStyle name="40% - Accent4 43 3 2" xfId="29591" xr:uid="{00000000-0005-0000-0000-00008E730000}"/>
    <cellStyle name="40% - Accent4 43 4" xfId="29592" xr:uid="{00000000-0005-0000-0000-00008F730000}"/>
    <cellStyle name="40% - Accent4 44" xfId="29593" xr:uid="{00000000-0005-0000-0000-000090730000}"/>
    <cellStyle name="40% - Accent4 44 2" xfId="29594" xr:uid="{00000000-0005-0000-0000-000091730000}"/>
    <cellStyle name="40% - Accent4 44 2 2" xfId="29595" xr:uid="{00000000-0005-0000-0000-000092730000}"/>
    <cellStyle name="40% - Accent4 44 3" xfId="29596" xr:uid="{00000000-0005-0000-0000-000093730000}"/>
    <cellStyle name="40% - Accent4 44 3 2" xfId="29597" xr:uid="{00000000-0005-0000-0000-000094730000}"/>
    <cellStyle name="40% - Accent4 44 4" xfId="29598" xr:uid="{00000000-0005-0000-0000-000095730000}"/>
    <cellStyle name="40% - Accent4 45" xfId="29599" xr:uid="{00000000-0005-0000-0000-000096730000}"/>
    <cellStyle name="40% - Accent4 45 2" xfId="29600" xr:uid="{00000000-0005-0000-0000-000097730000}"/>
    <cellStyle name="40% - Accent4 45 2 2" xfId="29601" xr:uid="{00000000-0005-0000-0000-000098730000}"/>
    <cellStyle name="40% - Accent4 45 3" xfId="29602" xr:uid="{00000000-0005-0000-0000-000099730000}"/>
    <cellStyle name="40% - Accent4 45 3 2" xfId="29603" xr:uid="{00000000-0005-0000-0000-00009A730000}"/>
    <cellStyle name="40% - Accent4 45 4" xfId="29604" xr:uid="{00000000-0005-0000-0000-00009B730000}"/>
    <cellStyle name="40% - Accent4 46" xfId="29605" xr:uid="{00000000-0005-0000-0000-00009C730000}"/>
    <cellStyle name="40% - Accent4 46 2" xfId="29606" xr:uid="{00000000-0005-0000-0000-00009D730000}"/>
    <cellStyle name="40% - Accent4 46 2 2" xfId="29607" xr:uid="{00000000-0005-0000-0000-00009E730000}"/>
    <cellStyle name="40% - Accent4 46 3" xfId="29608" xr:uid="{00000000-0005-0000-0000-00009F730000}"/>
    <cellStyle name="40% - Accent4 46 3 2" xfId="29609" xr:uid="{00000000-0005-0000-0000-0000A0730000}"/>
    <cellStyle name="40% - Accent4 46 4" xfId="29610" xr:uid="{00000000-0005-0000-0000-0000A1730000}"/>
    <cellStyle name="40% - Accent4 47" xfId="29611" xr:uid="{00000000-0005-0000-0000-0000A2730000}"/>
    <cellStyle name="40% - Accent4 47 2" xfId="29612" xr:uid="{00000000-0005-0000-0000-0000A3730000}"/>
    <cellStyle name="40% - Accent4 47 2 2" xfId="29613" xr:uid="{00000000-0005-0000-0000-0000A4730000}"/>
    <cellStyle name="40% - Accent4 47 3" xfId="29614" xr:uid="{00000000-0005-0000-0000-0000A5730000}"/>
    <cellStyle name="40% - Accent4 47 3 2" xfId="29615" xr:uid="{00000000-0005-0000-0000-0000A6730000}"/>
    <cellStyle name="40% - Accent4 47 4" xfId="29616" xr:uid="{00000000-0005-0000-0000-0000A7730000}"/>
    <cellStyle name="40% - Accent4 48" xfId="29617" xr:uid="{00000000-0005-0000-0000-0000A8730000}"/>
    <cellStyle name="40% - Accent4 48 2" xfId="29618" xr:uid="{00000000-0005-0000-0000-0000A9730000}"/>
    <cellStyle name="40% - Accent4 48 2 2" xfId="29619" xr:uid="{00000000-0005-0000-0000-0000AA730000}"/>
    <cellStyle name="40% - Accent4 48 3" xfId="29620" xr:uid="{00000000-0005-0000-0000-0000AB730000}"/>
    <cellStyle name="40% - Accent4 48 3 2" xfId="29621" xr:uid="{00000000-0005-0000-0000-0000AC730000}"/>
    <cellStyle name="40% - Accent4 48 4" xfId="29622" xr:uid="{00000000-0005-0000-0000-0000AD730000}"/>
    <cellStyle name="40% - Accent4 49" xfId="29623" xr:uid="{00000000-0005-0000-0000-0000AE730000}"/>
    <cellStyle name="40% - Accent4 49 2" xfId="29624" xr:uid="{00000000-0005-0000-0000-0000AF730000}"/>
    <cellStyle name="40% - Accent4 49 2 2" xfId="29625" xr:uid="{00000000-0005-0000-0000-0000B0730000}"/>
    <cellStyle name="40% - Accent4 49 3" xfId="29626" xr:uid="{00000000-0005-0000-0000-0000B1730000}"/>
    <cellStyle name="40% - Accent4 49 3 2" xfId="29627" xr:uid="{00000000-0005-0000-0000-0000B2730000}"/>
    <cellStyle name="40% - Accent4 49 4" xfId="29628" xr:uid="{00000000-0005-0000-0000-0000B3730000}"/>
    <cellStyle name="40% - Accent4 5" xfId="29629" xr:uid="{00000000-0005-0000-0000-0000B4730000}"/>
    <cellStyle name="40% - Accent4 5 2" xfId="29630" xr:uid="{00000000-0005-0000-0000-0000B5730000}"/>
    <cellStyle name="40% - Accent4 5 2 2" xfId="29631" xr:uid="{00000000-0005-0000-0000-0000B6730000}"/>
    <cellStyle name="40% - Accent4 5 3" xfId="29632" xr:uid="{00000000-0005-0000-0000-0000B7730000}"/>
    <cellStyle name="40% - Accent4 5 3 2" xfId="29633" xr:uid="{00000000-0005-0000-0000-0000B8730000}"/>
    <cellStyle name="40% - Accent4 5 4" xfId="29634" xr:uid="{00000000-0005-0000-0000-0000B9730000}"/>
    <cellStyle name="40% - Accent4 5 4 2" xfId="29635" xr:uid="{00000000-0005-0000-0000-0000BA730000}"/>
    <cellStyle name="40% - Accent4 5 5" xfId="29636" xr:uid="{00000000-0005-0000-0000-0000BB730000}"/>
    <cellStyle name="40% - Accent4 5 5 2" xfId="29637" xr:uid="{00000000-0005-0000-0000-0000BC730000}"/>
    <cellStyle name="40% - Accent4 5 6" xfId="29638" xr:uid="{00000000-0005-0000-0000-0000BD730000}"/>
    <cellStyle name="40% - Accent4 50" xfId="29639" xr:uid="{00000000-0005-0000-0000-0000BE730000}"/>
    <cellStyle name="40% - Accent4 50 2" xfId="29640" xr:uid="{00000000-0005-0000-0000-0000BF730000}"/>
    <cellStyle name="40% - Accent4 50 2 2" xfId="29641" xr:uid="{00000000-0005-0000-0000-0000C0730000}"/>
    <cellStyle name="40% - Accent4 50 3" xfId="29642" xr:uid="{00000000-0005-0000-0000-0000C1730000}"/>
    <cellStyle name="40% - Accent4 50 3 2" xfId="29643" xr:uid="{00000000-0005-0000-0000-0000C2730000}"/>
    <cellStyle name="40% - Accent4 50 4" xfId="29644" xr:uid="{00000000-0005-0000-0000-0000C3730000}"/>
    <cellStyle name="40% - Accent4 51" xfId="29645" xr:uid="{00000000-0005-0000-0000-0000C4730000}"/>
    <cellStyle name="40% - Accent4 51 2" xfId="29646" xr:uid="{00000000-0005-0000-0000-0000C5730000}"/>
    <cellStyle name="40% - Accent4 51 2 2" xfId="29647" xr:uid="{00000000-0005-0000-0000-0000C6730000}"/>
    <cellStyle name="40% - Accent4 51 3" xfId="29648" xr:uid="{00000000-0005-0000-0000-0000C7730000}"/>
    <cellStyle name="40% - Accent4 51 3 2" xfId="29649" xr:uid="{00000000-0005-0000-0000-0000C8730000}"/>
    <cellStyle name="40% - Accent4 51 4" xfId="29650" xr:uid="{00000000-0005-0000-0000-0000C9730000}"/>
    <cellStyle name="40% - Accent4 52" xfId="29651" xr:uid="{00000000-0005-0000-0000-0000CA730000}"/>
    <cellStyle name="40% - Accent4 52 2" xfId="29652" xr:uid="{00000000-0005-0000-0000-0000CB730000}"/>
    <cellStyle name="40% - Accent4 52 2 2" xfId="29653" xr:uid="{00000000-0005-0000-0000-0000CC730000}"/>
    <cellStyle name="40% - Accent4 52 3" xfId="29654" xr:uid="{00000000-0005-0000-0000-0000CD730000}"/>
    <cellStyle name="40% - Accent4 52 3 2" xfId="29655" xr:uid="{00000000-0005-0000-0000-0000CE730000}"/>
    <cellStyle name="40% - Accent4 52 4" xfId="29656" xr:uid="{00000000-0005-0000-0000-0000CF730000}"/>
    <cellStyle name="40% - Accent4 53" xfId="29657" xr:uid="{00000000-0005-0000-0000-0000D0730000}"/>
    <cellStyle name="40% - Accent4 53 2" xfId="29658" xr:uid="{00000000-0005-0000-0000-0000D1730000}"/>
    <cellStyle name="40% - Accent4 53 2 2" xfId="29659" xr:uid="{00000000-0005-0000-0000-0000D2730000}"/>
    <cellStyle name="40% - Accent4 53 3" xfId="29660" xr:uid="{00000000-0005-0000-0000-0000D3730000}"/>
    <cellStyle name="40% - Accent4 53 3 2" xfId="29661" xr:uid="{00000000-0005-0000-0000-0000D4730000}"/>
    <cellStyle name="40% - Accent4 53 4" xfId="29662" xr:uid="{00000000-0005-0000-0000-0000D5730000}"/>
    <cellStyle name="40% - Accent4 54" xfId="29663" xr:uid="{00000000-0005-0000-0000-0000D6730000}"/>
    <cellStyle name="40% - Accent4 54 2" xfId="29664" xr:uid="{00000000-0005-0000-0000-0000D7730000}"/>
    <cellStyle name="40% - Accent4 54 2 2" xfId="29665" xr:uid="{00000000-0005-0000-0000-0000D8730000}"/>
    <cellStyle name="40% - Accent4 54 3" xfId="29666" xr:uid="{00000000-0005-0000-0000-0000D9730000}"/>
    <cellStyle name="40% - Accent4 54 3 2" xfId="29667" xr:uid="{00000000-0005-0000-0000-0000DA730000}"/>
    <cellStyle name="40% - Accent4 54 4" xfId="29668" xr:uid="{00000000-0005-0000-0000-0000DB730000}"/>
    <cellStyle name="40% - Accent4 55" xfId="29669" xr:uid="{00000000-0005-0000-0000-0000DC730000}"/>
    <cellStyle name="40% - Accent4 55 2" xfId="29670" xr:uid="{00000000-0005-0000-0000-0000DD730000}"/>
    <cellStyle name="40% - Accent4 55 2 2" xfId="29671" xr:uid="{00000000-0005-0000-0000-0000DE730000}"/>
    <cellStyle name="40% - Accent4 55 3" xfId="29672" xr:uid="{00000000-0005-0000-0000-0000DF730000}"/>
    <cellStyle name="40% - Accent4 55 3 2" xfId="29673" xr:uid="{00000000-0005-0000-0000-0000E0730000}"/>
    <cellStyle name="40% - Accent4 55 4" xfId="29674" xr:uid="{00000000-0005-0000-0000-0000E1730000}"/>
    <cellStyle name="40% - Accent4 56" xfId="29675" xr:uid="{00000000-0005-0000-0000-0000E2730000}"/>
    <cellStyle name="40% - Accent4 56 2" xfId="29676" xr:uid="{00000000-0005-0000-0000-0000E3730000}"/>
    <cellStyle name="40% - Accent4 56 2 2" xfId="29677" xr:uid="{00000000-0005-0000-0000-0000E4730000}"/>
    <cellStyle name="40% - Accent4 56 3" xfId="29678" xr:uid="{00000000-0005-0000-0000-0000E5730000}"/>
    <cellStyle name="40% - Accent4 56 3 2" xfId="29679" xr:uid="{00000000-0005-0000-0000-0000E6730000}"/>
    <cellStyle name="40% - Accent4 56 4" xfId="29680" xr:uid="{00000000-0005-0000-0000-0000E7730000}"/>
    <cellStyle name="40% - Accent4 57" xfId="29681" xr:uid="{00000000-0005-0000-0000-0000E8730000}"/>
    <cellStyle name="40% - Accent4 57 2" xfId="29682" xr:uid="{00000000-0005-0000-0000-0000E9730000}"/>
    <cellStyle name="40% - Accent4 57 2 2" xfId="29683" xr:uid="{00000000-0005-0000-0000-0000EA730000}"/>
    <cellStyle name="40% - Accent4 57 3" xfId="29684" xr:uid="{00000000-0005-0000-0000-0000EB730000}"/>
    <cellStyle name="40% - Accent4 57 3 2" xfId="29685" xr:uid="{00000000-0005-0000-0000-0000EC730000}"/>
    <cellStyle name="40% - Accent4 57 4" xfId="29686" xr:uid="{00000000-0005-0000-0000-0000ED730000}"/>
    <cellStyle name="40% - Accent4 58" xfId="29687" xr:uid="{00000000-0005-0000-0000-0000EE730000}"/>
    <cellStyle name="40% - Accent4 58 2" xfId="29688" xr:uid="{00000000-0005-0000-0000-0000EF730000}"/>
    <cellStyle name="40% - Accent4 58 2 2" xfId="29689" xr:uid="{00000000-0005-0000-0000-0000F0730000}"/>
    <cellStyle name="40% - Accent4 58 3" xfId="29690" xr:uid="{00000000-0005-0000-0000-0000F1730000}"/>
    <cellStyle name="40% - Accent4 58 3 2" xfId="29691" xr:uid="{00000000-0005-0000-0000-0000F2730000}"/>
    <cellStyle name="40% - Accent4 58 4" xfId="29692" xr:uid="{00000000-0005-0000-0000-0000F3730000}"/>
    <cellStyle name="40% - Accent4 59" xfId="29693" xr:uid="{00000000-0005-0000-0000-0000F4730000}"/>
    <cellStyle name="40% - Accent4 59 2" xfId="29694" xr:uid="{00000000-0005-0000-0000-0000F5730000}"/>
    <cellStyle name="40% - Accent4 59 2 2" xfId="29695" xr:uid="{00000000-0005-0000-0000-0000F6730000}"/>
    <cellStyle name="40% - Accent4 59 3" xfId="29696" xr:uid="{00000000-0005-0000-0000-0000F7730000}"/>
    <cellStyle name="40% - Accent4 6" xfId="29697" xr:uid="{00000000-0005-0000-0000-0000F8730000}"/>
    <cellStyle name="40% - Accent4 6 2" xfId="29698" xr:uid="{00000000-0005-0000-0000-0000F9730000}"/>
    <cellStyle name="40% - Accent4 6 2 2" xfId="29699" xr:uid="{00000000-0005-0000-0000-0000FA730000}"/>
    <cellStyle name="40% - Accent4 6 3" xfId="29700" xr:uid="{00000000-0005-0000-0000-0000FB730000}"/>
    <cellStyle name="40% - Accent4 6 3 2" xfId="29701" xr:uid="{00000000-0005-0000-0000-0000FC730000}"/>
    <cellStyle name="40% - Accent4 6 4" xfId="29702" xr:uid="{00000000-0005-0000-0000-0000FD730000}"/>
    <cellStyle name="40% - Accent4 6 4 2" xfId="29703" xr:uid="{00000000-0005-0000-0000-0000FE730000}"/>
    <cellStyle name="40% - Accent4 6 5" xfId="29704" xr:uid="{00000000-0005-0000-0000-0000FF730000}"/>
    <cellStyle name="40% - Accent4 6 5 2" xfId="29705" xr:uid="{00000000-0005-0000-0000-000000740000}"/>
    <cellStyle name="40% - Accent4 6 6" xfId="29706" xr:uid="{00000000-0005-0000-0000-000001740000}"/>
    <cellStyle name="40% - Accent4 60" xfId="29707" xr:uid="{00000000-0005-0000-0000-000002740000}"/>
    <cellStyle name="40% - Accent4 60 2" xfId="29708" xr:uid="{00000000-0005-0000-0000-000003740000}"/>
    <cellStyle name="40% - Accent4 61" xfId="29709" xr:uid="{00000000-0005-0000-0000-000004740000}"/>
    <cellStyle name="40% - Accent4 61 2" xfId="29710" xr:uid="{00000000-0005-0000-0000-000005740000}"/>
    <cellStyle name="40% - Accent4 62" xfId="29711" xr:uid="{00000000-0005-0000-0000-000006740000}"/>
    <cellStyle name="40% - Accent4 62 2" xfId="29712" xr:uid="{00000000-0005-0000-0000-000007740000}"/>
    <cellStyle name="40% - Accent4 63" xfId="29713" xr:uid="{00000000-0005-0000-0000-000008740000}"/>
    <cellStyle name="40% - Accent4 63 2" xfId="29714" xr:uid="{00000000-0005-0000-0000-000009740000}"/>
    <cellStyle name="40% - Accent4 64" xfId="29715" xr:uid="{00000000-0005-0000-0000-00000A740000}"/>
    <cellStyle name="40% - Accent4 64 2" xfId="29716" xr:uid="{00000000-0005-0000-0000-00000B740000}"/>
    <cellStyle name="40% - Accent4 65" xfId="29717" xr:uid="{00000000-0005-0000-0000-00000C740000}"/>
    <cellStyle name="40% - Accent4 65 2" xfId="29718" xr:uid="{00000000-0005-0000-0000-00000D740000}"/>
    <cellStyle name="40% - Accent4 66" xfId="29719" xr:uid="{00000000-0005-0000-0000-00000E740000}"/>
    <cellStyle name="40% - Accent4 66 2" xfId="29720" xr:uid="{00000000-0005-0000-0000-00000F740000}"/>
    <cellStyle name="40% - Accent4 67" xfId="29721" xr:uid="{00000000-0005-0000-0000-000010740000}"/>
    <cellStyle name="40% - Accent4 67 2" xfId="29722" xr:uid="{00000000-0005-0000-0000-000011740000}"/>
    <cellStyle name="40% - Accent4 68" xfId="29723" xr:uid="{00000000-0005-0000-0000-000012740000}"/>
    <cellStyle name="40% - Accent4 68 2" xfId="29724" xr:uid="{00000000-0005-0000-0000-000013740000}"/>
    <cellStyle name="40% - Accent4 69" xfId="29725" xr:uid="{00000000-0005-0000-0000-000014740000}"/>
    <cellStyle name="40% - Accent4 69 2" xfId="29726" xr:uid="{00000000-0005-0000-0000-000015740000}"/>
    <cellStyle name="40% - Accent4 7" xfId="29727" xr:uid="{00000000-0005-0000-0000-000016740000}"/>
    <cellStyle name="40% - Accent4 7 2" xfId="29728" xr:uid="{00000000-0005-0000-0000-000017740000}"/>
    <cellStyle name="40% - Accent4 7 2 2" xfId="29729" xr:uid="{00000000-0005-0000-0000-000018740000}"/>
    <cellStyle name="40% - Accent4 7 3" xfId="29730" xr:uid="{00000000-0005-0000-0000-000019740000}"/>
    <cellStyle name="40% - Accent4 7 3 2" xfId="29731" xr:uid="{00000000-0005-0000-0000-00001A740000}"/>
    <cellStyle name="40% - Accent4 7 4" xfId="29732" xr:uid="{00000000-0005-0000-0000-00001B740000}"/>
    <cellStyle name="40% - Accent4 7 4 2" xfId="29733" xr:uid="{00000000-0005-0000-0000-00001C740000}"/>
    <cellStyle name="40% - Accent4 7 5" xfId="29734" xr:uid="{00000000-0005-0000-0000-00001D740000}"/>
    <cellStyle name="40% - Accent4 7 5 2" xfId="29735" xr:uid="{00000000-0005-0000-0000-00001E740000}"/>
    <cellStyle name="40% - Accent4 7 6" xfId="29736" xr:uid="{00000000-0005-0000-0000-00001F740000}"/>
    <cellStyle name="40% - Accent4 70" xfId="29737" xr:uid="{00000000-0005-0000-0000-000020740000}"/>
    <cellStyle name="40% - Accent4 70 2" xfId="29738" xr:uid="{00000000-0005-0000-0000-000021740000}"/>
    <cellStyle name="40% - Accent4 71" xfId="29739" xr:uid="{00000000-0005-0000-0000-000022740000}"/>
    <cellStyle name="40% - Accent4 71 2" xfId="29740" xr:uid="{00000000-0005-0000-0000-000023740000}"/>
    <cellStyle name="40% - Accent4 72" xfId="29741" xr:uid="{00000000-0005-0000-0000-000024740000}"/>
    <cellStyle name="40% - Accent4 72 2" xfId="29742" xr:uid="{00000000-0005-0000-0000-000025740000}"/>
    <cellStyle name="40% - Accent4 73" xfId="29743" xr:uid="{00000000-0005-0000-0000-000026740000}"/>
    <cellStyle name="40% - Accent4 73 2" xfId="29744" xr:uid="{00000000-0005-0000-0000-000027740000}"/>
    <cellStyle name="40% - Accent4 74" xfId="29745" xr:uid="{00000000-0005-0000-0000-000028740000}"/>
    <cellStyle name="40% - Accent4 74 2" xfId="29746" xr:uid="{00000000-0005-0000-0000-000029740000}"/>
    <cellStyle name="40% - Accent4 75" xfId="29747" xr:uid="{00000000-0005-0000-0000-00002A740000}"/>
    <cellStyle name="40% - Accent4 75 2" xfId="29748" xr:uid="{00000000-0005-0000-0000-00002B740000}"/>
    <cellStyle name="40% - Accent4 76" xfId="29749" xr:uid="{00000000-0005-0000-0000-00002C740000}"/>
    <cellStyle name="40% - Accent4 76 2" xfId="29750" xr:uid="{00000000-0005-0000-0000-00002D740000}"/>
    <cellStyle name="40% - Accent4 77" xfId="29751" xr:uid="{00000000-0005-0000-0000-00002E740000}"/>
    <cellStyle name="40% - Accent4 77 2" xfId="29752" xr:uid="{00000000-0005-0000-0000-00002F740000}"/>
    <cellStyle name="40% - Accent4 78" xfId="29753" xr:uid="{00000000-0005-0000-0000-000030740000}"/>
    <cellStyle name="40% - Accent4 78 2" xfId="29754" xr:uid="{00000000-0005-0000-0000-000031740000}"/>
    <cellStyle name="40% - Accent4 79" xfId="29755" xr:uid="{00000000-0005-0000-0000-000032740000}"/>
    <cellStyle name="40% - Accent4 79 2" xfId="29756" xr:uid="{00000000-0005-0000-0000-000033740000}"/>
    <cellStyle name="40% - Accent4 8" xfId="29757" xr:uid="{00000000-0005-0000-0000-000034740000}"/>
    <cellStyle name="40% - Accent4 8 2" xfId="29758" xr:uid="{00000000-0005-0000-0000-000035740000}"/>
    <cellStyle name="40% - Accent4 8 2 2" xfId="29759" xr:uid="{00000000-0005-0000-0000-000036740000}"/>
    <cellStyle name="40% - Accent4 8 3" xfId="29760" xr:uid="{00000000-0005-0000-0000-000037740000}"/>
    <cellStyle name="40% - Accent4 8 3 2" xfId="29761" xr:uid="{00000000-0005-0000-0000-000038740000}"/>
    <cellStyle name="40% - Accent4 8 4" xfId="29762" xr:uid="{00000000-0005-0000-0000-000039740000}"/>
    <cellStyle name="40% - Accent4 8 4 2" xfId="29763" xr:uid="{00000000-0005-0000-0000-00003A740000}"/>
    <cellStyle name="40% - Accent4 8 5" xfId="29764" xr:uid="{00000000-0005-0000-0000-00003B740000}"/>
    <cellStyle name="40% - Accent4 8 5 2" xfId="29765" xr:uid="{00000000-0005-0000-0000-00003C740000}"/>
    <cellStyle name="40% - Accent4 8 6" xfId="29766" xr:uid="{00000000-0005-0000-0000-00003D740000}"/>
    <cellStyle name="40% - Accent4 80" xfId="29767" xr:uid="{00000000-0005-0000-0000-00003E740000}"/>
    <cellStyle name="40% - Accent4 80 2" xfId="29768" xr:uid="{00000000-0005-0000-0000-00003F740000}"/>
    <cellStyle name="40% - Accent4 81" xfId="29769" xr:uid="{00000000-0005-0000-0000-000040740000}"/>
    <cellStyle name="40% - Accent4 81 2" xfId="29770" xr:uid="{00000000-0005-0000-0000-000041740000}"/>
    <cellStyle name="40% - Accent4 82" xfId="29771" xr:uid="{00000000-0005-0000-0000-000042740000}"/>
    <cellStyle name="40% - Accent4 82 2" xfId="29772" xr:uid="{00000000-0005-0000-0000-000043740000}"/>
    <cellStyle name="40% - Accent4 83" xfId="29773" xr:uid="{00000000-0005-0000-0000-000044740000}"/>
    <cellStyle name="40% - Accent4 83 2" xfId="29774" xr:uid="{00000000-0005-0000-0000-000045740000}"/>
    <cellStyle name="40% - Accent4 84" xfId="29775" xr:uid="{00000000-0005-0000-0000-000046740000}"/>
    <cellStyle name="40% - Accent4 84 2" xfId="29776" xr:uid="{00000000-0005-0000-0000-000047740000}"/>
    <cellStyle name="40% - Accent4 85" xfId="29777" xr:uid="{00000000-0005-0000-0000-000048740000}"/>
    <cellStyle name="40% - Accent4 85 2" xfId="29778" xr:uid="{00000000-0005-0000-0000-000049740000}"/>
    <cellStyle name="40% - Accent4 86" xfId="29779" xr:uid="{00000000-0005-0000-0000-00004A740000}"/>
    <cellStyle name="40% - Accent4 86 2" xfId="29780" xr:uid="{00000000-0005-0000-0000-00004B740000}"/>
    <cellStyle name="40% - Accent4 87" xfId="29781" xr:uid="{00000000-0005-0000-0000-00004C740000}"/>
    <cellStyle name="40% - Accent4 87 2" xfId="29782" xr:uid="{00000000-0005-0000-0000-00004D740000}"/>
    <cellStyle name="40% - Accent4 88" xfId="29783" xr:uid="{00000000-0005-0000-0000-00004E740000}"/>
    <cellStyle name="40% - Accent4 88 2" xfId="29784" xr:uid="{00000000-0005-0000-0000-00004F740000}"/>
    <cellStyle name="40% - Accent4 89" xfId="29785" xr:uid="{00000000-0005-0000-0000-000050740000}"/>
    <cellStyle name="40% - Accent4 89 2" xfId="29786" xr:uid="{00000000-0005-0000-0000-000051740000}"/>
    <cellStyle name="40% - Accent4 9" xfId="29787" xr:uid="{00000000-0005-0000-0000-000052740000}"/>
    <cellStyle name="40% - Accent4 9 2" xfId="29788" xr:uid="{00000000-0005-0000-0000-000053740000}"/>
    <cellStyle name="40% - Accent4 9 2 2" xfId="29789" xr:uid="{00000000-0005-0000-0000-000054740000}"/>
    <cellStyle name="40% - Accent4 9 3" xfId="29790" xr:uid="{00000000-0005-0000-0000-000055740000}"/>
    <cellStyle name="40% - Accent4 9 3 2" xfId="29791" xr:uid="{00000000-0005-0000-0000-000056740000}"/>
    <cellStyle name="40% - Accent4 9 4" xfId="29792" xr:uid="{00000000-0005-0000-0000-000057740000}"/>
    <cellStyle name="40% - Accent4 9 4 2" xfId="29793" xr:uid="{00000000-0005-0000-0000-000058740000}"/>
    <cellStyle name="40% - Accent4 9 5" xfId="29794" xr:uid="{00000000-0005-0000-0000-000059740000}"/>
    <cellStyle name="40% - Accent4 9 5 2" xfId="29795" xr:uid="{00000000-0005-0000-0000-00005A740000}"/>
    <cellStyle name="40% - Accent4 9 6" xfId="29796" xr:uid="{00000000-0005-0000-0000-00005B740000}"/>
    <cellStyle name="40% - Accent4 90" xfId="29797" xr:uid="{00000000-0005-0000-0000-00005C740000}"/>
    <cellStyle name="40% - Accent4 90 2" xfId="29798" xr:uid="{00000000-0005-0000-0000-00005D740000}"/>
    <cellStyle name="40% - Accent4 91" xfId="29799" xr:uid="{00000000-0005-0000-0000-00005E740000}"/>
    <cellStyle name="40% - Accent4 91 2" xfId="29800" xr:uid="{00000000-0005-0000-0000-00005F740000}"/>
    <cellStyle name="40% - Accent4 92" xfId="29801" xr:uid="{00000000-0005-0000-0000-000060740000}"/>
    <cellStyle name="40% - Accent4 92 2" xfId="29802" xr:uid="{00000000-0005-0000-0000-000061740000}"/>
    <cellStyle name="40% - Accent4 93" xfId="29803" xr:uid="{00000000-0005-0000-0000-000062740000}"/>
    <cellStyle name="40% - Accent4 93 2" xfId="29804" xr:uid="{00000000-0005-0000-0000-000063740000}"/>
    <cellStyle name="40% - Accent4 94" xfId="29805" xr:uid="{00000000-0005-0000-0000-000064740000}"/>
    <cellStyle name="40% - Accent4 94 2" xfId="29806" xr:uid="{00000000-0005-0000-0000-000065740000}"/>
    <cellStyle name="40% - Accent4 95" xfId="29807" xr:uid="{00000000-0005-0000-0000-000066740000}"/>
    <cellStyle name="40% - Accent4 95 2" xfId="29808" xr:uid="{00000000-0005-0000-0000-000067740000}"/>
    <cellStyle name="40% - Accent4 96" xfId="29809" xr:uid="{00000000-0005-0000-0000-000068740000}"/>
    <cellStyle name="40% - Accent4 96 2" xfId="29810" xr:uid="{00000000-0005-0000-0000-000069740000}"/>
    <cellStyle name="40% - Accent4 97" xfId="29811" xr:uid="{00000000-0005-0000-0000-00006A740000}"/>
    <cellStyle name="40% - Accent4 97 2" xfId="29812" xr:uid="{00000000-0005-0000-0000-00006B740000}"/>
    <cellStyle name="40% - Accent4 98" xfId="29813" xr:uid="{00000000-0005-0000-0000-00006C740000}"/>
    <cellStyle name="40% - Accent4 98 2" xfId="29814" xr:uid="{00000000-0005-0000-0000-00006D740000}"/>
    <cellStyle name="40% - Accent4 99" xfId="29815" xr:uid="{00000000-0005-0000-0000-00006E740000}"/>
    <cellStyle name="40% - Accent4 99 2" xfId="29816" xr:uid="{00000000-0005-0000-0000-00006F740000}"/>
    <cellStyle name="40% - Accent5 10" xfId="29817" xr:uid="{00000000-0005-0000-0000-000070740000}"/>
    <cellStyle name="40% - Accent5 10 2" xfId="29818" xr:uid="{00000000-0005-0000-0000-000071740000}"/>
    <cellStyle name="40% - Accent5 10 2 2" xfId="29819" xr:uid="{00000000-0005-0000-0000-000072740000}"/>
    <cellStyle name="40% - Accent5 10 2 2 2" xfId="29820" xr:uid="{00000000-0005-0000-0000-000073740000}"/>
    <cellStyle name="40% - Accent5 10 2 3" xfId="29821" xr:uid="{00000000-0005-0000-0000-000074740000}"/>
    <cellStyle name="40% - Accent5 10 2 3 2" xfId="29822" xr:uid="{00000000-0005-0000-0000-000075740000}"/>
    <cellStyle name="40% - Accent5 10 2 4" xfId="29823" xr:uid="{00000000-0005-0000-0000-000076740000}"/>
    <cellStyle name="40% - Accent5 10 3" xfId="29824" xr:uid="{00000000-0005-0000-0000-000077740000}"/>
    <cellStyle name="40% - Accent5 10 3 2" xfId="29825" xr:uid="{00000000-0005-0000-0000-000078740000}"/>
    <cellStyle name="40% - Accent5 10 3 2 2" xfId="29826" xr:uid="{00000000-0005-0000-0000-000079740000}"/>
    <cellStyle name="40% - Accent5 10 3 3" xfId="29827" xr:uid="{00000000-0005-0000-0000-00007A740000}"/>
    <cellStyle name="40% - Accent5 10 3 3 2" xfId="29828" xr:uid="{00000000-0005-0000-0000-00007B740000}"/>
    <cellStyle name="40% - Accent5 10 3 4" xfId="29829" xr:uid="{00000000-0005-0000-0000-00007C740000}"/>
    <cellStyle name="40% - Accent5 10 4" xfId="29830" xr:uid="{00000000-0005-0000-0000-00007D740000}"/>
    <cellStyle name="40% - Accent5 10 4 2" xfId="29831" xr:uid="{00000000-0005-0000-0000-00007E740000}"/>
    <cellStyle name="40% - Accent5 10 5" xfId="29832" xr:uid="{00000000-0005-0000-0000-00007F740000}"/>
    <cellStyle name="40% - Accent5 10 5 2" xfId="29833" xr:uid="{00000000-0005-0000-0000-000080740000}"/>
    <cellStyle name="40% - Accent5 10 6" xfId="29834" xr:uid="{00000000-0005-0000-0000-000081740000}"/>
    <cellStyle name="40% - Accent5 100" xfId="29835" xr:uid="{00000000-0005-0000-0000-000082740000}"/>
    <cellStyle name="40% - Accent5 100 2" xfId="29836" xr:uid="{00000000-0005-0000-0000-000083740000}"/>
    <cellStyle name="40% - Accent5 101" xfId="29837" xr:uid="{00000000-0005-0000-0000-000084740000}"/>
    <cellStyle name="40% - Accent5 101 2" xfId="29838" xr:uid="{00000000-0005-0000-0000-000085740000}"/>
    <cellStyle name="40% - Accent5 102" xfId="29839" xr:uid="{00000000-0005-0000-0000-000086740000}"/>
    <cellStyle name="40% - Accent5 102 2" xfId="29840" xr:uid="{00000000-0005-0000-0000-000087740000}"/>
    <cellStyle name="40% - Accent5 103" xfId="29841" xr:uid="{00000000-0005-0000-0000-000088740000}"/>
    <cellStyle name="40% - Accent5 103 2" xfId="29842" xr:uid="{00000000-0005-0000-0000-000089740000}"/>
    <cellStyle name="40% - Accent5 104" xfId="29843" xr:uid="{00000000-0005-0000-0000-00008A740000}"/>
    <cellStyle name="40% - Accent5 104 2" xfId="29844" xr:uid="{00000000-0005-0000-0000-00008B740000}"/>
    <cellStyle name="40% - Accent5 105" xfId="29845" xr:uid="{00000000-0005-0000-0000-00008C740000}"/>
    <cellStyle name="40% - Accent5 105 2" xfId="29846" xr:uid="{00000000-0005-0000-0000-00008D740000}"/>
    <cellStyle name="40% - Accent5 106" xfId="29847" xr:uid="{00000000-0005-0000-0000-00008E740000}"/>
    <cellStyle name="40% - Accent5 106 2" xfId="29848" xr:uid="{00000000-0005-0000-0000-00008F740000}"/>
    <cellStyle name="40% - Accent5 107" xfId="29849" xr:uid="{00000000-0005-0000-0000-000090740000}"/>
    <cellStyle name="40% - Accent5 107 2" xfId="29850" xr:uid="{00000000-0005-0000-0000-000091740000}"/>
    <cellStyle name="40% - Accent5 108" xfId="29851" xr:uid="{00000000-0005-0000-0000-000092740000}"/>
    <cellStyle name="40% - Accent5 108 2" xfId="29852" xr:uid="{00000000-0005-0000-0000-000093740000}"/>
    <cellStyle name="40% - Accent5 109" xfId="29853" xr:uid="{00000000-0005-0000-0000-000094740000}"/>
    <cellStyle name="40% - Accent5 109 2" xfId="29854" xr:uid="{00000000-0005-0000-0000-000095740000}"/>
    <cellStyle name="40% - Accent5 11" xfId="29855" xr:uid="{00000000-0005-0000-0000-000096740000}"/>
    <cellStyle name="40% - Accent5 11 2" xfId="29856" xr:uid="{00000000-0005-0000-0000-000097740000}"/>
    <cellStyle name="40% - Accent5 11 2 2" xfId="29857" xr:uid="{00000000-0005-0000-0000-000098740000}"/>
    <cellStyle name="40% - Accent5 11 2 2 2" xfId="29858" xr:uid="{00000000-0005-0000-0000-000099740000}"/>
    <cellStyle name="40% - Accent5 11 2 3" xfId="29859" xr:uid="{00000000-0005-0000-0000-00009A740000}"/>
    <cellStyle name="40% - Accent5 11 2 3 2" xfId="29860" xr:uid="{00000000-0005-0000-0000-00009B740000}"/>
    <cellStyle name="40% - Accent5 11 2 4" xfId="29861" xr:uid="{00000000-0005-0000-0000-00009C740000}"/>
    <cellStyle name="40% - Accent5 11 3" xfId="29862" xr:uid="{00000000-0005-0000-0000-00009D740000}"/>
    <cellStyle name="40% - Accent5 11 3 2" xfId="29863" xr:uid="{00000000-0005-0000-0000-00009E740000}"/>
    <cellStyle name="40% - Accent5 11 3 2 2" xfId="29864" xr:uid="{00000000-0005-0000-0000-00009F740000}"/>
    <cellStyle name="40% - Accent5 11 3 3" xfId="29865" xr:uid="{00000000-0005-0000-0000-0000A0740000}"/>
    <cellStyle name="40% - Accent5 11 3 3 2" xfId="29866" xr:uid="{00000000-0005-0000-0000-0000A1740000}"/>
    <cellStyle name="40% - Accent5 11 3 4" xfId="29867" xr:uid="{00000000-0005-0000-0000-0000A2740000}"/>
    <cellStyle name="40% - Accent5 11 4" xfId="29868" xr:uid="{00000000-0005-0000-0000-0000A3740000}"/>
    <cellStyle name="40% - Accent5 11 4 2" xfId="29869" xr:uid="{00000000-0005-0000-0000-0000A4740000}"/>
    <cellStyle name="40% - Accent5 11 5" xfId="29870" xr:uid="{00000000-0005-0000-0000-0000A5740000}"/>
    <cellStyle name="40% - Accent5 11 5 2" xfId="29871" xr:uid="{00000000-0005-0000-0000-0000A6740000}"/>
    <cellStyle name="40% - Accent5 11 6" xfId="29872" xr:uid="{00000000-0005-0000-0000-0000A7740000}"/>
    <cellStyle name="40% - Accent5 110" xfId="29873" xr:uid="{00000000-0005-0000-0000-0000A8740000}"/>
    <cellStyle name="40% - Accent5 110 2" xfId="29874" xr:uid="{00000000-0005-0000-0000-0000A9740000}"/>
    <cellStyle name="40% - Accent5 111" xfId="29875" xr:uid="{00000000-0005-0000-0000-0000AA740000}"/>
    <cellStyle name="40% - Accent5 111 2" xfId="29876" xr:uid="{00000000-0005-0000-0000-0000AB740000}"/>
    <cellStyle name="40% - Accent5 112" xfId="29877" xr:uid="{00000000-0005-0000-0000-0000AC740000}"/>
    <cellStyle name="40% - Accent5 112 2" xfId="29878" xr:uid="{00000000-0005-0000-0000-0000AD740000}"/>
    <cellStyle name="40% - Accent5 113" xfId="29879" xr:uid="{00000000-0005-0000-0000-0000AE740000}"/>
    <cellStyle name="40% - Accent5 113 2" xfId="29880" xr:uid="{00000000-0005-0000-0000-0000AF740000}"/>
    <cellStyle name="40% - Accent5 114" xfId="29881" xr:uid="{00000000-0005-0000-0000-0000B0740000}"/>
    <cellStyle name="40% - Accent5 114 2" xfId="29882" xr:uid="{00000000-0005-0000-0000-0000B1740000}"/>
    <cellStyle name="40% - Accent5 115" xfId="29883" xr:uid="{00000000-0005-0000-0000-0000B2740000}"/>
    <cellStyle name="40% - Accent5 115 2" xfId="29884" xr:uid="{00000000-0005-0000-0000-0000B3740000}"/>
    <cellStyle name="40% - Accent5 116" xfId="29885" xr:uid="{00000000-0005-0000-0000-0000B4740000}"/>
    <cellStyle name="40% - Accent5 116 2" xfId="29886" xr:uid="{00000000-0005-0000-0000-0000B5740000}"/>
    <cellStyle name="40% - Accent5 117" xfId="29887" xr:uid="{00000000-0005-0000-0000-0000B6740000}"/>
    <cellStyle name="40% - Accent5 117 2" xfId="29888" xr:uid="{00000000-0005-0000-0000-0000B7740000}"/>
    <cellStyle name="40% - Accent5 118" xfId="29889" xr:uid="{00000000-0005-0000-0000-0000B8740000}"/>
    <cellStyle name="40% - Accent5 118 2" xfId="29890" xr:uid="{00000000-0005-0000-0000-0000B9740000}"/>
    <cellStyle name="40% - Accent5 119" xfId="29891" xr:uid="{00000000-0005-0000-0000-0000BA740000}"/>
    <cellStyle name="40% - Accent5 119 2" xfId="29892" xr:uid="{00000000-0005-0000-0000-0000BB740000}"/>
    <cellStyle name="40% - Accent5 12" xfId="29893" xr:uid="{00000000-0005-0000-0000-0000BC740000}"/>
    <cellStyle name="40% - Accent5 12 2" xfId="29894" xr:uid="{00000000-0005-0000-0000-0000BD740000}"/>
    <cellStyle name="40% - Accent5 12 2 2" xfId="29895" xr:uid="{00000000-0005-0000-0000-0000BE740000}"/>
    <cellStyle name="40% - Accent5 12 2 2 2" xfId="29896" xr:uid="{00000000-0005-0000-0000-0000BF740000}"/>
    <cellStyle name="40% - Accent5 12 2 3" xfId="29897" xr:uid="{00000000-0005-0000-0000-0000C0740000}"/>
    <cellStyle name="40% - Accent5 12 2 3 2" xfId="29898" xr:uid="{00000000-0005-0000-0000-0000C1740000}"/>
    <cellStyle name="40% - Accent5 12 2 4" xfId="29899" xr:uid="{00000000-0005-0000-0000-0000C2740000}"/>
    <cellStyle name="40% - Accent5 12 3" xfId="29900" xr:uid="{00000000-0005-0000-0000-0000C3740000}"/>
    <cellStyle name="40% - Accent5 12 3 2" xfId="29901" xr:uid="{00000000-0005-0000-0000-0000C4740000}"/>
    <cellStyle name="40% - Accent5 12 3 2 2" xfId="29902" xr:uid="{00000000-0005-0000-0000-0000C5740000}"/>
    <cellStyle name="40% - Accent5 12 3 3" xfId="29903" xr:uid="{00000000-0005-0000-0000-0000C6740000}"/>
    <cellStyle name="40% - Accent5 12 3 3 2" xfId="29904" xr:uid="{00000000-0005-0000-0000-0000C7740000}"/>
    <cellStyle name="40% - Accent5 12 3 4" xfId="29905" xr:uid="{00000000-0005-0000-0000-0000C8740000}"/>
    <cellStyle name="40% - Accent5 12 4" xfId="29906" xr:uid="{00000000-0005-0000-0000-0000C9740000}"/>
    <cellStyle name="40% - Accent5 12 4 2" xfId="29907" xr:uid="{00000000-0005-0000-0000-0000CA740000}"/>
    <cellStyle name="40% - Accent5 12 5" xfId="29908" xr:uid="{00000000-0005-0000-0000-0000CB740000}"/>
    <cellStyle name="40% - Accent5 12 5 2" xfId="29909" xr:uid="{00000000-0005-0000-0000-0000CC740000}"/>
    <cellStyle name="40% - Accent5 12 6" xfId="29910" xr:uid="{00000000-0005-0000-0000-0000CD740000}"/>
    <cellStyle name="40% - Accent5 120" xfId="29911" xr:uid="{00000000-0005-0000-0000-0000CE740000}"/>
    <cellStyle name="40% - Accent5 120 2" xfId="29912" xr:uid="{00000000-0005-0000-0000-0000CF740000}"/>
    <cellStyle name="40% - Accent5 121" xfId="29913" xr:uid="{00000000-0005-0000-0000-0000D0740000}"/>
    <cellStyle name="40% - Accent5 121 2" xfId="29914" xr:uid="{00000000-0005-0000-0000-0000D1740000}"/>
    <cellStyle name="40% - Accent5 122" xfId="29915" xr:uid="{00000000-0005-0000-0000-0000D2740000}"/>
    <cellStyle name="40% - Accent5 122 2" xfId="29916" xr:uid="{00000000-0005-0000-0000-0000D3740000}"/>
    <cellStyle name="40% - Accent5 123" xfId="29917" xr:uid="{00000000-0005-0000-0000-0000D4740000}"/>
    <cellStyle name="40% - Accent5 123 2" xfId="29918" xr:uid="{00000000-0005-0000-0000-0000D5740000}"/>
    <cellStyle name="40% - Accent5 124" xfId="29919" xr:uid="{00000000-0005-0000-0000-0000D6740000}"/>
    <cellStyle name="40% - Accent5 124 2" xfId="29920" xr:uid="{00000000-0005-0000-0000-0000D7740000}"/>
    <cellStyle name="40% - Accent5 125" xfId="29921" xr:uid="{00000000-0005-0000-0000-0000D8740000}"/>
    <cellStyle name="40% - Accent5 125 2" xfId="29922" xr:uid="{00000000-0005-0000-0000-0000D9740000}"/>
    <cellStyle name="40% - Accent5 126" xfId="29923" xr:uid="{00000000-0005-0000-0000-0000DA740000}"/>
    <cellStyle name="40% - Accent5 126 2" xfId="29924" xr:uid="{00000000-0005-0000-0000-0000DB740000}"/>
    <cellStyle name="40% - Accent5 127" xfId="29925" xr:uid="{00000000-0005-0000-0000-0000DC740000}"/>
    <cellStyle name="40% - Accent5 127 2" xfId="29926" xr:uid="{00000000-0005-0000-0000-0000DD740000}"/>
    <cellStyle name="40% - Accent5 128" xfId="29927" xr:uid="{00000000-0005-0000-0000-0000DE740000}"/>
    <cellStyle name="40% - Accent5 128 2" xfId="29928" xr:uid="{00000000-0005-0000-0000-0000DF740000}"/>
    <cellStyle name="40% - Accent5 129" xfId="29929" xr:uid="{00000000-0005-0000-0000-0000E0740000}"/>
    <cellStyle name="40% - Accent5 129 2" xfId="29930" xr:uid="{00000000-0005-0000-0000-0000E1740000}"/>
    <cellStyle name="40% - Accent5 13" xfId="29931" xr:uid="{00000000-0005-0000-0000-0000E2740000}"/>
    <cellStyle name="40% - Accent5 13 2" xfId="29932" xr:uid="{00000000-0005-0000-0000-0000E3740000}"/>
    <cellStyle name="40% - Accent5 13 2 2" xfId="29933" xr:uid="{00000000-0005-0000-0000-0000E4740000}"/>
    <cellStyle name="40% - Accent5 13 3" xfId="29934" xr:uid="{00000000-0005-0000-0000-0000E5740000}"/>
    <cellStyle name="40% - Accent5 13 3 2" xfId="29935" xr:uid="{00000000-0005-0000-0000-0000E6740000}"/>
    <cellStyle name="40% - Accent5 13 4" xfId="29936" xr:uid="{00000000-0005-0000-0000-0000E7740000}"/>
    <cellStyle name="40% - Accent5 130" xfId="29937" xr:uid="{00000000-0005-0000-0000-0000E8740000}"/>
    <cellStyle name="40% - Accent5 130 2" xfId="29938" xr:uid="{00000000-0005-0000-0000-0000E9740000}"/>
    <cellStyle name="40% - Accent5 131" xfId="29939" xr:uid="{00000000-0005-0000-0000-0000EA740000}"/>
    <cellStyle name="40% - Accent5 131 2" xfId="29940" xr:uid="{00000000-0005-0000-0000-0000EB740000}"/>
    <cellStyle name="40% - Accent5 132" xfId="29941" xr:uid="{00000000-0005-0000-0000-0000EC740000}"/>
    <cellStyle name="40% - Accent5 132 2" xfId="29942" xr:uid="{00000000-0005-0000-0000-0000ED740000}"/>
    <cellStyle name="40% - Accent5 133" xfId="29943" xr:uid="{00000000-0005-0000-0000-0000EE740000}"/>
    <cellStyle name="40% - Accent5 133 2" xfId="29944" xr:uid="{00000000-0005-0000-0000-0000EF740000}"/>
    <cellStyle name="40% - Accent5 134" xfId="29945" xr:uid="{00000000-0005-0000-0000-0000F0740000}"/>
    <cellStyle name="40% - Accent5 134 2" xfId="29946" xr:uid="{00000000-0005-0000-0000-0000F1740000}"/>
    <cellStyle name="40% - Accent5 135" xfId="29947" xr:uid="{00000000-0005-0000-0000-0000F2740000}"/>
    <cellStyle name="40% - Accent5 135 2" xfId="29948" xr:uid="{00000000-0005-0000-0000-0000F3740000}"/>
    <cellStyle name="40% - Accent5 136" xfId="29949" xr:uid="{00000000-0005-0000-0000-0000F4740000}"/>
    <cellStyle name="40% - Accent5 136 2" xfId="29950" xr:uid="{00000000-0005-0000-0000-0000F5740000}"/>
    <cellStyle name="40% - Accent5 137" xfId="29951" xr:uid="{00000000-0005-0000-0000-0000F6740000}"/>
    <cellStyle name="40% - Accent5 137 2" xfId="29952" xr:uid="{00000000-0005-0000-0000-0000F7740000}"/>
    <cellStyle name="40% - Accent5 138" xfId="29953" xr:uid="{00000000-0005-0000-0000-0000F8740000}"/>
    <cellStyle name="40% - Accent5 138 2" xfId="29954" xr:uid="{00000000-0005-0000-0000-0000F9740000}"/>
    <cellStyle name="40% - Accent5 139" xfId="29955" xr:uid="{00000000-0005-0000-0000-0000FA740000}"/>
    <cellStyle name="40% - Accent5 139 2" xfId="29956" xr:uid="{00000000-0005-0000-0000-0000FB740000}"/>
    <cellStyle name="40% - Accent5 14" xfId="29957" xr:uid="{00000000-0005-0000-0000-0000FC740000}"/>
    <cellStyle name="40% - Accent5 14 2" xfId="29958" xr:uid="{00000000-0005-0000-0000-0000FD740000}"/>
    <cellStyle name="40% - Accent5 14 2 2" xfId="29959" xr:uid="{00000000-0005-0000-0000-0000FE740000}"/>
    <cellStyle name="40% - Accent5 14 3" xfId="29960" xr:uid="{00000000-0005-0000-0000-0000FF740000}"/>
    <cellStyle name="40% - Accent5 14 3 2" xfId="29961" xr:uid="{00000000-0005-0000-0000-000000750000}"/>
    <cellStyle name="40% - Accent5 14 4" xfId="29962" xr:uid="{00000000-0005-0000-0000-000001750000}"/>
    <cellStyle name="40% - Accent5 140" xfId="29963" xr:uid="{00000000-0005-0000-0000-000002750000}"/>
    <cellStyle name="40% - Accent5 140 2" xfId="29964" xr:uid="{00000000-0005-0000-0000-000003750000}"/>
    <cellStyle name="40% - Accent5 141" xfId="29965" xr:uid="{00000000-0005-0000-0000-000004750000}"/>
    <cellStyle name="40% - Accent5 141 2" xfId="29966" xr:uid="{00000000-0005-0000-0000-000005750000}"/>
    <cellStyle name="40% - Accent5 142" xfId="29967" xr:uid="{00000000-0005-0000-0000-000006750000}"/>
    <cellStyle name="40% - Accent5 142 2" xfId="29968" xr:uid="{00000000-0005-0000-0000-000007750000}"/>
    <cellStyle name="40% - Accent5 143" xfId="29969" xr:uid="{00000000-0005-0000-0000-000008750000}"/>
    <cellStyle name="40% - Accent5 143 2" xfId="29970" xr:uid="{00000000-0005-0000-0000-000009750000}"/>
    <cellStyle name="40% - Accent5 144" xfId="29971" xr:uid="{00000000-0005-0000-0000-00000A750000}"/>
    <cellStyle name="40% - Accent5 144 2" xfId="29972" xr:uid="{00000000-0005-0000-0000-00000B750000}"/>
    <cellStyle name="40% - Accent5 145" xfId="29973" xr:uid="{00000000-0005-0000-0000-00000C750000}"/>
    <cellStyle name="40% - Accent5 145 2" xfId="29974" xr:uid="{00000000-0005-0000-0000-00000D750000}"/>
    <cellStyle name="40% - Accent5 146" xfId="29975" xr:uid="{00000000-0005-0000-0000-00000E750000}"/>
    <cellStyle name="40% - Accent5 146 2" xfId="29976" xr:uid="{00000000-0005-0000-0000-00000F750000}"/>
    <cellStyle name="40% - Accent5 147" xfId="29977" xr:uid="{00000000-0005-0000-0000-000010750000}"/>
    <cellStyle name="40% - Accent5 147 2" xfId="29978" xr:uid="{00000000-0005-0000-0000-000011750000}"/>
    <cellStyle name="40% - Accent5 148" xfId="29979" xr:uid="{00000000-0005-0000-0000-000012750000}"/>
    <cellStyle name="40% - Accent5 148 2" xfId="29980" xr:uid="{00000000-0005-0000-0000-000013750000}"/>
    <cellStyle name="40% - Accent5 149" xfId="29981" xr:uid="{00000000-0005-0000-0000-000014750000}"/>
    <cellStyle name="40% - Accent5 149 2" xfId="29982" xr:uid="{00000000-0005-0000-0000-000015750000}"/>
    <cellStyle name="40% - Accent5 15" xfId="29983" xr:uid="{00000000-0005-0000-0000-000016750000}"/>
    <cellStyle name="40% - Accent5 15 2" xfId="29984" xr:uid="{00000000-0005-0000-0000-000017750000}"/>
    <cellStyle name="40% - Accent5 15 2 2" xfId="29985" xr:uid="{00000000-0005-0000-0000-000018750000}"/>
    <cellStyle name="40% - Accent5 15 3" xfId="29986" xr:uid="{00000000-0005-0000-0000-000019750000}"/>
    <cellStyle name="40% - Accent5 15 3 2" xfId="29987" xr:uid="{00000000-0005-0000-0000-00001A750000}"/>
    <cellStyle name="40% - Accent5 15 4" xfId="29988" xr:uid="{00000000-0005-0000-0000-00001B750000}"/>
    <cellStyle name="40% - Accent5 150" xfId="29989" xr:uid="{00000000-0005-0000-0000-00001C750000}"/>
    <cellStyle name="40% - Accent5 150 2" xfId="29990" xr:uid="{00000000-0005-0000-0000-00001D750000}"/>
    <cellStyle name="40% - Accent5 151" xfId="29991" xr:uid="{00000000-0005-0000-0000-00001E750000}"/>
    <cellStyle name="40% - Accent5 151 2" xfId="29992" xr:uid="{00000000-0005-0000-0000-00001F750000}"/>
    <cellStyle name="40% - Accent5 152" xfId="29993" xr:uid="{00000000-0005-0000-0000-000020750000}"/>
    <cellStyle name="40% - Accent5 152 2" xfId="29994" xr:uid="{00000000-0005-0000-0000-000021750000}"/>
    <cellStyle name="40% - Accent5 153" xfId="29995" xr:uid="{00000000-0005-0000-0000-000022750000}"/>
    <cellStyle name="40% - Accent5 153 2" xfId="29996" xr:uid="{00000000-0005-0000-0000-000023750000}"/>
    <cellStyle name="40% - Accent5 154" xfId="29997" xr:uid="{00000000-0005-0000-0000-000024750000}"/>
    <cellStyle name="40% - Accent5 154 2" xfId="29998" xr:uid="{00000000-0005-0000-0000-000025750000}"/>
    <cellStyle name="40% - Accent5 155" xfId="29999" xr:uid="{00000000-0005-0000-0000-000026750000}"/>
    <cellStyle name="40% - Accent5 155 2" xfId="30000" xr:uid="{00000000-0005-0000-0000-000027750000}"/>
    <cellStyle name="40% - Accent5 156" xfId="30001" xr:uid="{00000000-0005-0000-0000-000028750000}"/>
    <cellStyle name="40% - Accent5 156 2" xfId="30002" xr:uid="{00000000-0005-0000-0000-000029750000}"/>
    <cellStyle name="40% - Accent5 157" xfId="30003" xr:uid="{00000000-0005-0000-0000-00002A750000}"/>
    <cellStyle name="40% - Accent5 157 2" xfId="30004" xr:uid="{00000000-0005-0000-0000-00002B750000}"/>
    <cellStyle name="40% - Accent5 158" xfId="30005" xr:uid="{00000000-0005-0000-0000-00002C750000}"/>
    <cellStyle name="40% - Accent5 158 2" xfId="30006" xr:uid="{00000000-0005-0000-0000-00002D750000}"/>
    <cellStyle name="40% - Accent5 159" xfId="30007" xr:uid="{00000000-0005-0000-0000-00002E750000}"/>
    <cellStyle name="40% - Accent5 159 2" xfId="30008" xr:uid="{00000000-0005-0000-0000-00002F750000}"/>
    <cellStyle name="40% - Accent5 16" xfId="30009" xr:uid="{00000000-0005-0000-0000-000030750000}"/>
    <cellStyle name="40% - Accent5 16 2" xfId="30010" xr:uid="{00000000-0005-0000-0000-000031750000}"/>
    <cellStyle name="40% - Accent5 16 2 2" xfId="30011" xr:uid="{00000000-0005-0000-0000-000032750000}"/>
    <cellStyle name="40% - Accent5 16 3" xfId="30012" xr:uid="{00000000-0005-0000-0000-000033750000}"/>
    <cellStyle name="40% - Accent5 16 3 2" xfId="30013" xr:uid="{00000000-0005-0000-0000-000034750000}"/>
    <cellStyle name="40% - Accent5 16 4" xfId="30014" xr:uid="{00000000-0005-0000-0000-000035750000}"/>
    <cellStyle name="40% - Accent5 160" xfId="30015" xr:uid="{00000000-0005-0000-0000-000036750000}"/>
    <cellStyle name="40% - Accent5 160 2" xfId="30016" xr:uid="{00000000-0005-0000-0000-000037750000}"/>
    <cellStyle name="40% - Accent5 161" xfId="30017" xr:uid="{00000000-0005-0000-0000-000038750000}"/>
    <cellStyle name="40% - Accent5 161 2" xfId="30018" xr:uid="{00000000-0005-0000-0000-000039750000}"/>
    <cellStyle name="40% - Accent5 162" xfId="30019" xr:uid="{00000000-0005-0000-0000-00003A750000}"/>
    <cellStyle name="40% - Accent5 162 2" xfId="30020" xr:uid="{00000000-0005-0000-0000-00003B750000}"/>
    <cellStyle name="40% - Accent5 163" xfId="30021" xr:uid="{00000000-0005-0000-0000-00003C750000}"/>
    <cellStyle name="40% - Accent5 163 2" xfId="30022" xr:uid="{00000000-0005-0000-0000-00003D750000}"/>
    <cellStyle name="40% - Accent5 164" xfId="30023" xr:uid="{00000000-0005-0000-0000-00003E750000}"/>
    <cellStyle name="40% - Accent5 164 2" xfId="30024" xr:uid="{00000000-0005-0000-0000-00003F750000}"/>
    <cellStyle name="40% - Accent5 165" xfId="30025" xr:uid="{00000000-0005-0000-0000-000040750000}"/>
    <cellStyle name="40% - Accent5 165 2" xfId="30026" xr:uid="{00000000-0005-0000-0000-000041750000}"/>
    <cellStyle name="40% - Accent5 166" xfId="30027" xr:uid="{00000000-0005-0000-0000-000042750000}"/>
    <cellStyle name="40% - Accent5 166 2" xfId="30028" xr:uid="{00000000-0005-0000-0000-000043750000}"/>
    <cellStyle name="40% - Accent5 167" xfId="30029" xr:uid="{00000000-0005-0000-0000-000044750000}"/>
    <cellStyle name="40% - Accent5 167 2" xfId="30030" xr:uid="{00000000-0005-0000-0000-000045750000}"/>
    <cellStyle name="40% - Accent5 168" xfId="30031" xr:uid="{00000000-0005-0000-0000-000046750000}"/>
    <cellStyle name="40% - Accent5 168 2" xfId="30032" xr:uid="{00000000-0005-0000-0000-000047750000}"/>
    <cellStyle name="40% - Accent5 169" xfId="30033" xr:uid="{00000000-0005-0000-0000-000048750000}"/>
    <cellStyle name="40% - Accent5 169 2" xfId="30034" xr:uid="{00000000-0005-0000-0000-000049750000}"/>
    <cellStyle name="40% - Accent5 17" xfId="30035" xr:uid="{00000000-0005-0000-0000-00004A750000}"/>
    <cellStyle name="40% - Accent5 17 2" xfId="30036" xr:uid="{00000000-0005-0000-0000-00004B750000}"/>
    <cellStyle name="40% - Accent5 17 2 2" xfId="30037" xr:uid="{00000000-0005-0000-0000-00004C750000}"/>
    <cellStyle name="40% - Accent5 17 3" xfId="30038" xr:uid="{00000000-0005-0000-0000-00004D750000}"/>
    <cellStyle name="40% - Accent5 17 3 2" xfId="30039" xr:uid="{00000000-0005-0000-0000-00004E750000}"/>
    <cellStyle name="40% - Accent5 17 4" xfId="30040" xr:uid="{00000000-0005-0000-0000-00004F750000}"/>
    <cellStyle name="40% - Accent5 170" xfId="30041" xr:uid="{00000000-0005-0000-0000-000050750000}"/>
    <cellStyle name="40% - Accent5 170 2" xfId="30042" xr:uid="{00000000-0005-0000-0000-000051750000}"/>
    <cellStyle name="40% - Accent5 171" xfId="30043" xr:uid="{00000000-0005-0000-0000-000052750000}"/>
    <cellStyle name="40% - Accent5 171 2" xfId="30044" xr:uid="{00000000-0005-0000-0000-000053750000}"/>
    <cellStyle name="40% - Accent5 172" xfId="30045" xr:uid="{00000000-0005-0000-0000-000054750000}"/>
    <cellStyle name="40% - Accent5 172 2" xfId="30046" xr:uid="{00000000-0005-0000-0000-000055750000}"/>
    <cellStyle name="40% - Accent5 173" xfId="30047" xr:uid="{00000000-0005-0000-0000-000056750000}"/>
    <cellStyle name="40% - Accent5 173 2" xfId="30048" xr:uid="{00000000-0005-0000-0000-000057750000}"/>
    <cellStyle name="40% - Accent5 174" xfId="30049" xr:uid="{00000000-0005-0000-0000-000058750000}"/>
    <cellStyle name="40% - Accent5 174 2" xfId="30050" xr:uid="{00000000-0005-0000-0000-000059750000}"/>
    <cellStyle name="40% - Accent5 175" xfId="30051" xr:uid="{00000000-0005-0000-0000-00005A750000}"/>
    <cellStyle name="40% - Accent5 175 2" xfId="30052" xr:uid="{00000000-0005-0000-0000-00005B750000}"/>
    <cellStyle name="40% - Accent5 176" xfId="30053" xr:uid="{00000000-0005-0000-0000-00005C750000}"/>
    <cellStyle name="40% - Accent5 176 2" xfId="30054" xr:uid="{00000000-0005-0000-0000-00005D750000}"/>
    <cellStyle name="40% - Accent5 177" xfId="30055" xr:uid="{00000000-0005-0000-0000-00005E750000}"/>
    <cellStyle name="40% - Accent5 177 2" xfId="30056" xr:uid="{00000000-0005-0000-0000-00005F750000}"/>
    <cellStyle name="40% - Accent5 178" xfId="30057" xr:uid="{00000000-0005-0000-0000-000060750000}"/>
    <cellStyle name="40% - Accent5 178 2" xfId="30058" xr:uid="{00000000-0005-0000-0000-000061750000}"/>
    <cellStyle name="40% - Accent5 179" xfId="30059" xr:uid="{00000000-0005-0000-0000-000062750000}"/>
    <cellStyle name="40% - Accent5 179 2" xfId="30060" xr:uid="{00000000-0005-0000-0000-000063750000}"/>
    <cellStyle name="40% - Accent5 18" xfId="30061" xr:uid="{00000000-0005-0000-0000-000064750000}"/>
    <cellStyle name="40% - Accent5 18 2" xfId="30062" xr:uid="{00000000-0005-0000-0000-000065750000}"/>
    <cellStyle name="40% - Accent5 18 2 2" xfId="30063" xr:uid="{00000000-0005-0000-0000-000066750000}"/>
    <cellStyle name="40% - Accent5 18 3" xfId="30064" xr:uid="{00000000-0005-0000-0000-000067750000}"/>
    <cellStyle name="40% - Accent5 18 3 2" xfId="30065" xr:uid="{00000000-0005-0000-0000-000068750000}"/>
    <cellStyle name="40% - Accent5 18 4" xfId="30066" xr:uid="{00000000-0005-0000-0000-000069750000}"/>
    <cellStyle name="40% - Accent5 180" xfId="30067" xr:uid="{00000000-0005-0000-0000-00006A750000}"/>
    <cellStyle name="40% - Accent5 180 2" xfId="30068" xr:uid="{00000000-0005-0000-0000-00006B750000}"/>
    <cellStyle name="40% - Accent5 181" xfId="30069" xr:uid="{00000000-0005-0000-0000-00006C750000}"/>
    <cellStyle name="40% - Accent5 181 2" xfId="30070" xr:uid="{00000000-0005-0000-0000-00006D750000}"/>
    <cellStyle name="40% - Accent5 182" xfId="30071" xr:uid="{00000000-0005-0000-0000-00006E750000}"/>
    <cellStyle name="40% - Accent5 182 2" xfId="30072" xr:uid="{00000000-0005-0000-0000-00006F750000}"/>
    <cellStyle name="40% - Accent5 183" xfId="30073" xr:uid="{00000000-0005-0000-0000-000070750000}"/>
    <cellStyle name="40% - Accent5 183 2" xfId="30074" xr:uid="{00000000-0005-0000-0000-000071750000}"/>
    <cellStyle name="40% - Accent5 184" xfId="30075" xr:uid="{00000000-0005-0000-0000-000072750000}"/>
    <cellStyle name="40% - Accent5 184 2" xfId="30076" xr:uid="{00000000-0005-0000-0000-000073750000}"/>
    <cellStyle name="40% - Accent5 185" xfId="30077" xr:uid="{00000000-0005-0000-0000-000074750000}"/>
    <cellStyle name="40% - Accent5 185 2" xfId="30078" xr:uid="{00000000-0005-0000-0000-000075750000}"/>
    <cellStyle name="40% - Accent5 186" xfId="30079" xr:uid="{00000000-0005-0000-0000-000076750000}"/>
    <cellStyle name="40% - Accent5 186 2" xfId="30080" xr:uid="{00000000-0005-0000-0000-000077750000}"/>
    <cellStyle name="40% - Accent5 187" xfId="30081" xr:uid="{00000000-0005-0000-0000-000078750000}"/>
    <cellStyle name="40% - Accent5 187 2" xfId="30082" xr:uid="{00000000-0005-0000-0000-000079750000}"/>
    <cellStyle name="40% - Accent5 188" xfId="30083" xr:uid="{00000000-0005-0000-0000-00007A750000}"/>
    <cellStyle name="40% - Accent5 188 2" xfId="30084" xr:uid="{00000000-0005-0000-0000-00007B750000}"/>
    <cellStyle name="40% - Accent5 189" xfId="30085" xr:uid="{00000000-0005-0000-0000-00007C750000}"/>
    <cellStyle name="40% - Accent5 189 2" xfId="30086" xr:uid="{00000000-0005-0000-0000-00007D750000}"/>
    <cellStyle name="40% - Accent5 19" xfId="30087" xr:uid="{00000000-0005-0000-0000-00007E750000}"/>
    <cellStyle name="40% - Accent5 19 2" xfId="30088" xr:uid="{00000000-0005-0000-0000-00007F750000}"/>
    <cellStyle name="40% - Accent5 19 2 2" xfId="30089" xr:uid="{00000000-0005-0000-0000-000080750000}"/>
    <cellStyle name="40% - Accent5 19 3" xfId="30090" xr:uid="{00000000-0005-0000-0000-000081750000}"/>
    <cellStyle name="40% - Accent5 19 3 2" xfId="30091" xr:uid="{00000000-0005-0000-0000-000082750000}"/>
    <cellStyle name="40% - Accent5 19 4" xfId="30092" xr:uid="{00000000-0005-0000-0000-000083750000}"/>
    <cellStyle name="40% - Accent5 190" xfId="30093" xr:uid="{00000000-0005-0000-0000-000084750000}"/>
    <cellStyle name="40% - Accent5 190 2" xfId="30094" xr:uid="{00000000-0005-0000-0000-000085750000}"/>
    <cellStyle name="40% - Accent5 191" xfId="30095" xr:uid="{00000000-0005-0000-0000-000086750000}"/>
    <cellStyle name="40% - Accent5 191 2" xfId="30096" xr:uid="{00000000-0005-0000-0000-000087750000}"/>
    <cellStyle name="40% - Accent5 192" xfId="30097" xr:uid="{00000000-0005-0000-0000-000088750000}"/>
    <cellStyle name="40% - Accent5 192 2" xfId="30098" xr:uid="{00000000-0005-0000-0000-000089750000}"/>
    <cellStyle name="40% - Accent5 193" xfId="30099" xr:uid="{00000000-0005-0000-0000-00008A750000}"/>
    <cellStyle name="40% - Accent5 193 2" xfId="30100" xr:uid="{00000000-0005-0000-0000-00008B750000}"/>
    <cellStyle name="40% - Accent5 194" xfId="30101" xr:uid="{00000000-0005-0000-0000-00008C750000}"/>
    <cellStyle name="40% - Accent5 194 2" xfId="30102" xr:uid="{00000000-0005-0000-0000-00008D750000}"/>
    <cellStyle name="40% - Accent5 195" xfId="30103" xr:uid="{00000000-0005-0000-0000-00008E750000}"/>
    <cellStyle name="40% - Accent5 195 2" xfId="30104" xr:uid="{00000000-0005-0000-0000-00008F750000}"/>
    <cellStyle name="40% - Accent5 196" xfId="30105" xr:uid="{00000000-0005-0000-0000-000090750000}"/>
    <cellStyle name="40% - Accent5 196 2" xfId="30106" xr:uid="{00000000-0005-0000-0000-000091750000}"/>
    <cellStyle name="40% - Accent5 197" xfId="30107" xr:uid="{00000000-0005-0000-0000-000092750000}"/>
    <cellStyle name="40% - Accent5 197 2" xfId="30108" xr:uid="{00000000-0005-0000-0000-000093750000}"/>
    <cellStyle name="40% - Accent5 198" xfId="30109" xr:uid="{00000000-0005-0000-0000-000094750000}"/>
    <cellStyle name="40% - Accent5 198 2" xfId="30110" xr:uid="{00000000-0005-0000-0000-000095750000}"/>
    <cellStyle name="40% - Accent5 2" xfId="30111" xr:uid="{00000000-0005-0000-0000-000096750000}"/>
    <cellStyle name="40% - Accent5 2 2" xfId="30112" xr:uid="{00000000-0005-0000-0000-000097750000}"/>
    <cellStyle name="40% - Accent5 2 2 2" xfId="30113" xr:uid="{00000000-0005-0000-0000-000098750000}"/>
    <cellStyle name="40% - Accent5 2 2 2 2" xfId="30114" xr:uid="{00000000-0005-0000-0000-000099750000}"/>
    <cellStyle name="40% - Accent5 2 2 3" xfId="30115" xr:uid="{00000000-0005-0000-0000-00009A750000}"/>
    <cellStyle name="40% - Accent5 2 2 3 2" xfId="30116" xr:uid="{00000000-0005-0000-0000-00009B750000}"/>
    <cellStyle name="40% - Accent5 2 2 4" xfId="30117" xr:uid="{00000000-0005-0000-0000-00009C750000}"/>
    <cellStyle name="40% - Accent5 2 2 4 2" xfId="30118" xr:uid="{00000000-0005-0000-0000-00009D750000}"/>
    <cellStyle name="40% - Accent5 2 2 5" xfId="30119" xr:uid="{00000000-0005-0000-0000-00009E750000}"/>
    <cellStyle name="40% - Accent5 2 2 5 2" xfId="30120" xr:uid="{00000000-0005-0000-0000-00009F750000}"/>
    <cellStyle name="40% - Accent5 2 2 6" xfId="30121" xr:uid="{00000000-0005-0000-0000-0000A0750000}"/>
    <cellStyle name="40% - Accent5 2 3" xfId="30122" xr:uid="{00000000-0005-0000-0000-0000A1750000}"/>
    <cellStyle name="40% - Accent5 2 3 2" xfId="30123" xr:uid="{00000000-0005-0000-0000-0000A2750000}"/>
    <cellStyle name="40% - Accent5 2 4" xfId="30124" xr:uid="{00000000-0005-0000-0000-0000A3750000}"/>
    <cellStyle name="40% - Accent5 2 4 2" xfId="30125" xr:uid="{00000000-0005-0000-0000-0000A4750000}"/>
    <cellStyle name="40% - Accent5 2 5" xfId="30126" xr:uid="{00000000-0005-0000-0000-0000A5750000}"/>
    <cellStyle name="40% - Accent5 2 5 2" xfId="30127" xr:uid="{00000000-0005-0000-0000-0000A6750000}"/>
    <cellStyle name="40% - Accent5 2 6" xfId="30128" xr:uid="{00000000-0005-0000-0000-0000A7750000}"/>
    <cellStyle name="40% - Accent5 2 6 2" xfId="30129" xr:uid="{00000000-0005-0000-0000-0000A8750000}"/>
    <cellStyle name="40% - Accent5 2 7" xfId="30130" xr:uid="{00000000-0005-0000-0000-0000A9750000}"/>
    <cellStyle name="40% - Accent5 20" xfId="30131" xr:uid="{00000000-0005-0000-0000-0000AA750000}"/>
    <cellStyle name="40% - Accent5 20 2" xfId="30132" xr:uid="{00000000-0005-0000-0000-0000AB750000}"/>
    <cellStyle name="40% - Accent5 20 2 2" xfId="30133" xr:uid="{00000000-0005-0000-0000-0000AC750000}"/>
    <cellStyle name="40% - Accent5 20 3" xfId="30134" xr:uid="{00000000-0005-0000-0000-0000AD750000}"/>
    <cellStyle name="40% - Accent5 20 3 2" xfId="30135" xr:uid="{00000000-0005-0000-0000-0000AE750000}"/>
    <cellStyle name="40% - Accent5 20 4" xfId="30136" xr:uid="{00000000-0005-0000-0000-0000AF750000}"/>
    <cellStyle name="40% - Accent5 21" xfId="30137" xr:uid="{00000000-0005-0000-0000-0000B0750000}"/>
    <cellStyle name="40% - Accent5 21 2" xfId="30138" xr:uid="{00000000-0005-0000-0000-0000B1750000}"/>
    <cellStyle name="40% - Accent5 21 2 2" xfId="30139" xr:uid="{00000000-0005-0000-0000-0000B2750000}"/>
    <cellStyle name="40% - Accent5 21 3" xfId="30140" xr:uid="{00000000-0005-0000-0000-0000B3750000}"/>
    <cellStyle name="40% - Accent5 21 3 2" xfId="30141" xr:uid="{00000000-0005-0000-0000-0000B4750000}"/>
    <cellStyle name="40% - Accent5 21 4" xfId="30142" xr:uid="{00000000-0005-0000-0000-0000B5750000}"/>
    <cellStyle name="40% - Accent5 22" xfId="30143" xr:uid="{00000000-0005-0000-0000-0000B6750000}"/>
    <cellStyle name="40% - Accent5 22 2" xfId="30144" xr:uid="{00000000-0005-0000-0000-0000B7750000}"/>
    <cellStyle name="40% - Accent5 22 2 2" xfId="30145" xr:uid="{00000000-0005-0000-0000-0000B8750000}"/>
    <cellStyle name="40% - Accent5 22 3" xfId="30146" xr:uid="{00000000-0005-0000-0000-0000B9750000}"/>
    <cellStyle name="40% - Accent5 22 3 2" xfId="30147" xr:uid="{00000000-0005-0000-0000-0000BA750000}"/>
    <cellStyle name="40% - Accent5 22 4" xfId="30148" xr:uid="{00000000-0005-0000-0000-0000BB750000}"/>
    <cellStyle name="40% - Accent5 23" xfId="30149" xr:uid="{00000000-0005-0000-0000-0000BC750000}"/>
    <cellStyle name="40% - Accent5 23 2" xfId="30150" xr:uid="{00000000-0005-0000-0000-0000BD750000}"/>
    <cellStyle name="40% - Accent5 23 2 2" xfId="30151" xr:uid="{00000000-0005-0000-0000-0000BE750000}"/>
    <cellStyle name="40% - Accent5 23 3" xfId="30152" xr:uid="{00000000-0005-0000-0000-0000BF750000}"/>
    <cellStyle name="40% - Accent5 23 3 2" xfId="30153" xr:uid="{00000000-0005-0000-0000-0000C0750000}"/>
    <cellStyle name="40% - Accent5 23 4" xfId="30154" xr:uid="{00000000-0005-0000-0000-0000C1750000}"/>
    <cellStyle name="40% - Accent5 24" xfId="30155" xr:uid="{00000000-0005-0000-0000-0000C2750000}"/>
    <cellStyle name="40% - Accent5 24 2" xfId="30156" xr:uid="{00000000-0005-0000-0000-0000C3750000}"/>
    <cellStyle name="40% - Accent5 24 2 2" xfId="30157" xr:uid="{00000000-0005-0000-0000-0000C4750000}"/>
    <cellStyle name="40% - Accent5 24 3" xfId="30158" xr:uid="{00000000-0005-0000-0000-0000C5750000}"/>
    <cellStyle name="40% - Accent5 24 3 2" xfId="30159" xr:uid="{00000000-0005-0000-0000-0000C6750000}"/>
    <cellStyle name="40% - Accent5 24 4" xfId="30160" xr:uid="{00000000-0005-0000-0000-0000C7750000}"/>
    <cellStyle name="40% - Accent5 25" xfId="30161" xr:uid="{00000000-0005-0000-0000-0000C8750000}"/>
    <cellStyle name="40% - Accent5 25 2" xfId="30162" xr:uid="{00000000-0005-0000-0000-0000C9750000}"/>
    <cellStyle name="40% - Accent5 25 2 2" xfId="30163" xr:uid="{00000000-0005-0000-0000-0000CA750000}"/>
    <cellStyle name="40% - Accent5 25 3" xfId="30164" xr:uid="{00000000-0005-0000-0000-0000CB750000}"/>
    <cellStyle name="40% - Accent5 25 3 2" xfId="30165" xr:uid="{00000000-0005-0000-0000-0000CC750000}"/>
    <cellStyle name="40% - Accent5 25 4" xfId="30166" xr:uid="{00000000-0005-0000-0000-0000CD750000}"/>
    <cellStyle name="40% - Accent5 26" xfId="30167" xr:uid="{00000000-0005-0000-0000-0000CE750000}"/>
    <cellStyle name="40% - Accent5 26 2" xfId="30168" xr:uid="{00000000-0005-0000-0000-0000CF750000}"/>
    <cellStyle name="40% - Accent5 26 2 2" xfId="30169" xr:uid="{00000000-0005-0000-0000-0000D0750000}"/>
    <cellStyle name="40% - Accent5 26 3" xfId="30170" xr:uid="{00000000-0005-0000-0000-0000D1750000}"/>
    <cellStyle name="40% - Accent5 26 3 2" xfId="30171" xr:uid="{00000000-0005-0000-0000-0000D2750000}"/>
    <cellStyle name="40% - Accent5 26 4" xfId="30172" xr:uid="{00000000-0005-0000-0000-0000D3750000}"/>
    <cellStyle name="40% - Accent5 27" xfId="30173" xr:uid="{00000000-0005-0000-0000-0000D4750000}"/>
    <cellStyle name="40% - Accent5 27 2" xfId="30174" xr:uid="{00000000-0005-0000-0000-0000D5750000}"/>
    <cellStyle name="40% - Accent5 27 2 2" xfId="30175" xr:uid="{00000000-0005-0000-0000-0000D6750000}"/>
    <cellStyle name="40% - Accent5 27 3" xfId="30176" xr:uid="{00000000-0005-0000-0000-0000D7750000}"/>
    <cellStyle name="40% - Accent5 27 3 2" xfId="30177" xr:uid="{00000000-0005-0000-0000-0000D8750000}"/>
    <cellStyle name="40% - Accent5 27 4" xfId="30178" xr:uid="{00000000-0005-0000-0000-0000D9750000}"/>
    <cellStyle name="40% - Accent5 28" xfId="30179" xr:uid="{00000000-0005-0000-0000-0000DA750000}"/>
    <cellStyle name="40% - Accent5 28 2" xfId="30180" xr:uid="{00000000-0005-0000-0000-0000DB750000}"/>
    <cellStyle name="40% - Accent5 28 2 2" xfId="30181" xr:uid="{00000000-0005-0000-0000-0000DC750000}"/>
    <cellStyle name="40% - Accent5 28 3" xfId="30182" xr:uid="{00000000-0005-0000-0000-0000DD750000}"/>
    <cellStyle name="40% - Accent5 28 3 2" xfId="30183" xr:uid="{00000000-0005-0000-0000-0000DE750000}"/>
    <cellStyle name="40% - Accent5 28 4" xfId="30184" xr:uid="{00000000-0005-0000-0000-0000DF750000}"/>
    <cellStyle name="40% - Accent5 29" xfId="30185" xr:uid="{00000000-0005-0000-0000-0000E0750000}"/>
    <cellStyle name="40% - Accent5 29 2" xfId="30186" xr:uid="{00000000-0005-0000-0000-0000E1750000}"/>
    <cellStyle name="40% - Accent5 29 2 2" xfId="30187" xr:uid="{00000000-0005-0000-0000-0000E2750000}"/>
    <cellStyle name="40% - Accent5 29 3" xfId="30188" xr:uid="{00000000-0005-0000-0000-0000E3750000}"/>
    <cellStyle name="40% - Accent5 29 3 2" xfId="30189" xr:uid="{00000000-0005-0000-0000-0000E4750000}"/>
    <cellStyle name="40% - Accent5 29 4" xfId="30190" xr:uid="{00000000-0005-0000-0000-0000E5750000}"/>
    <cellStyle name="40% - Accent5 3" xfId="30191" xr:uid="{00000000-0005-0000-0000-0000E6750000}"/>
    <cellStyle name="40% - Accent5 3 2" xfId="30192" xr:uid="{00000000-0005-0000-0000-0000E7750000}"/>
    <cellStyle name="40% - Accent5 3 2 2" xfId="30193" xr:uid="{00000000-0005-0000-0000-0000E8750000}"/>
    <cellStyle name="40% - Accent5 3 3" xfId="30194" xr:uid="{00000000-0005-0000-0000-0000E9750000}"/>
    <cellStyle name="40% - Accent5 3 3 2" xfId="30195" xr:uid="{00000000-0005-0000-0000-0000EA750000}"/>
    <cellStyle name="40% - Accent5 3 4" xfId="30196" xr:uid="{00000000-0005-0000-0000-0000EB750000}"/>
    <cellStyle name="40% - Accent5 3 4 2" xfId="30197" xr:uid="{00000000-0005-0000-0000-0000EC750000}"/>
    <cellStyle name="40% - Accent5 3 5" xfId="30198" xr:uid="{00000000-0005-0000-0000-0000ED750000}"/>
    <cellStyle name="40% - Accent5 3 5 2" xfId="30199" xr:uid="{00000000-0005-0000-0000-0000EE750000}"/>
    <cellStyle name="40% - Accent5 3 6" xfId="30200" xr:uid="{00000000-0005-0000-0000-0000EF750000}"/>
    <cellStyle name="40% - Accent5 3 6 2" xfId="30201" xr:uid="{00000000-0005-0000-0000-0000F0750000}"/>
    <cellStyle name="40% - Accent5 3 7" xfId="30202" xr:uid="{00000000-0005-0000-0000-0000F1750000}"/>
    <cellStyle name="40% - Accent5 30" xfId="30203" xr:uid="{00000000-0005-0000-0000-0000F2750000}"/>
    <cellStyle name="40% - Accent5 30 2" xfId="30204" xr:uid="{00000000-0005-0000-0000-0000F3750000}"/>
    <cellStyle name="40% - Accent5 30 2 2" xfId="30205" xr:uid="{00000000-0005-0000-0000-0000F4750000}"/>
    <cellStyle name="40% - Accent5 30 3" xfId="30206" xr:uid="{00000000-0005-0000-0000-0000F5750000}"/>
    <cellStyle name="40% - Accent5 30 3 2" xfId="30207" xr:uid="{00000000-0005-0000-0000-0000F6750000}"/>
    <cellStyle name="40% - Accent5 30 4" xfId="30208" xr:uid="{00000000-0005-0000-0000-0000F7750000}"/>
    <cellStyle name="40% - Accent5 31" xfId="30209" xr:uid="{00000000-0005-0000-0000-0000F8750000}"/>
    <cellStyle name="40% - Accent5 31 2" xfId="30210" xr:uid="{00000000-0005-0000-0000-0000F9750000}"/>
    <cellStyle name="40% - Accent5 31 2 2" xfId="30211" xr:uid="{00000000-0005-0000-0000-0000FA750000}"/>
    <cellStyle name="40% - Accent5 31 3" xfId="30212" xr:uid="{00000000-0005-0000-0000-0000FB750000}"/>
    <cellStyle name="40% - Accent5 31 3 2" xfId="30213" xr:uid="{00000000-0005-0000-0000-0000FC750000}"/>
    <cellStyle name="40% - Accent5 31 4" xfId="30214" xr:uid="{00000000-0005-0000-0000-0000FD750000}"/>
    <cellStyle name="40% - Accent5 32" xfId="30215" xr:uid="{00000000-0005-0000-0000-0000FE750000}"/>
    <cellStyle name="40% - Accent5 32 2" xfId="30216" xr:uid="{00000000-0005-0000-0000-0000FF750000}"/>
    <cellStyle name="40% - Accent5 32 2 2" xfId="30217" xr:uid="{00000000-0005-0000-0000-000000760000}"/>
    <cellStyle name="40% - Accent5 32 3" xfId="30218" xr:uid="{00000000-0005-0000-0000-000001760000}"/>
    <cellStyle name="40% - Accent5 32 3 2" xfId="30219" xr:uid="{00000000-0005-0000-0000-000002760000}"/>
    <cellStyle name="40% - Accent5 32 4" xfId="30220" xr:uid="{00000000-0005-0000-0000-000003760000}"/>
    <cellStyle name="40% - Accent5 33" xfId="30221" xr:uid="{00000000-0005-0000-0000-000004760000}"/>
    <cellStyle name="40% - Accent5 33 2" xfId="30222" xr:uid="{00000000-0005-0000-0000-000005760000}"/>
    <cellStyle name="40% - Accent5 33 2 2" xfId="30223" xr:uid="{00000000-0005-0000-0000-000006760000}"/>
    <cellStyle name="40% - Accent5 33 3" xfId="30224" xr:uid="{00000000-0005-0000-0000-000007760000}"/>
    <cellStyle name="40% - Accent5 33 3 2" xfId="30225" xr:uid="{00000000-0005-0000-0000-000008760000}"/>
    <cellStyle name="40% - Accent5 33 4" xfId="30226" xr:uid="{00000000-0005-0000-0000-000009760000}"/>
    <cellStyle name="40% - Accent5 34" xfId="30227" xr:uid="{00000000-0005-0000-0000-00000A760000}"/>
    <cellStyle name="40% - Accent5 34 2" xfId="30228" xr:uid="{00000000-0005-0000-0000-00000B760000}"/>
    <cellStyle name="40% - Accent5 34 2 2" xfId="30229" xr:uid="{00000000-0005-0000-0000-00000C760000}"/>
    <cellStyle name="40% - Accent5 34 3" xfId="30230" xr:uid="{00000000-0005-0000-0000-00000D760000}"/>
    <cellStyle name="40% - Accent5 34 3 2" xfId="30231" xr:uid="{00000000-0005-0000-0000-00000E760000}"/>
    <cellStyle name="40% - Accent5 34 4" xfId="30232" xr:uid="{00000000-0005-0000-0000-00000F760000}"/>
    <cellStyle name="40% - Accent5 35" xfId="30233" xr:uid="{00000000-0005-0000-0000-000010760000}"/>
    <cellStyle name="40% - Accent5 35 2" xfId="30234" xr:uid="{00000000-0005-0000-0000-000011760000}"/>
    <cellStyle name="40% - Accent5 35 2 2" xfId="30235" xr:uid="{00000000-0005-0000-0000-000012760000}"/>
    <cellStyle name="40% - Accent5 35 3" xfId="30236" xr:uid="{00000000-0005-0000-0000-000013760000}"/>
    <cellStyle name="40% - Accent5 35 3 2" xfId="30237" xr:uid="{00000000-0005-0000-0000-000014760000}"/>
    <cellStyle name="40% - Accent5 35 4" xfId="30238" xr:uid="{00000000-0005-0000-0000-000015760000}"/>
    <cellStyle name="40% - Accent5 36" xfId="30239" xr:uid="{00000000-0005-0000-0000-000016760000}"/>
    <cellStyle name="40% - Accent5 36 2" xfId="30240" xr:uid="{00000000-0005-0000-0000-000017760000}"/>
    <cellStyle name="40% - Accent5 36 2 2" xfId="30241" xr:uid="{00000000-0005-0000-0000-000018760000}"/>
    <cellStyle name="40% - Accent5 36 3" xfId="30242" xr:uid="{00000000-0005-0000-0000-000019760000}"/>
    <cellStyle name="40% - Accent5 36 3 2" xfId="30243" xr:uid="{00000000-0005-0000-0000-00001A760000}"/>
    <cellStyle name="40% - Accent5 36 4" xfId="30244" xr:uid="{00000000-0005-0000-0000-00001B760000}"/>
    <cellStyle name="40% - Accent5 37" xfId="30245" xr:uid="{00000000-0005-0000-0000-00001C760000}"/>
    <cellStyle name="40% - Accent5 37 2" xfId="30246" xr:uid="{00000000-0005-0000-0000-00001D760000}"/>
    <cellStyle name="40% - Accent5 37 2 2" xfId="30247" xr:uid="{00000000-0005-0000-0000-00001E760000}"/>
    <cellStyle name="40% - Accent5 37 3" xfId="30248" xr:uid="{00000000-0005-0000-0000-00001F760000}"/>
    <cellStyle name="40% - Accent5 37 3 2" xfId="30249" xr:uid="{00000000-0005-0000-0000-000020760000}"/>
    <cellStyle name="40% - Accent5 37 4" xfId="30250" xr:uid="{00000000-0005-0000-0000-000021760000}"/>
    <cellStyle name="40% - Accent5 38" xfId="30251" xr:uid="{00000000-0005-0000-0000-000022760000}"/>
    <cellStyle name="40% - Accent5 38 2" xfId="30252" xr:uid="{00000000-0005-0000-0000-000023760000}"/>
    <cellStyle name="40% - Accent5 38 2 2" xfId="30253" xr:uid="{00000000-0005-0000-0000-000024760000}"/>
    <cellStyle name="40% - Accent5 38 3" xfId="30254" xr:uid="{00000000-0005-0000-0000-000025760000}"/>
    <cellStyle name="40% - Accent5 38 3 2" xfId="30255" xr:uid="{00000000-0005-0000-0000-000026760000}"/>
    <cellStyle name="40% - Accent5 38 4" xfId="30256" xr:uid="{00000000-0005-0000-0000-000027760000}"/>
    <cellStyle name="40% - Accent5 39" xfId="30257" xr:uid="{00000000-0005-0000-0000-000028760000}"/>
    <cellStyle name="40% - Accent5 39 2" xfId="30258" xr:uid="{00000000-0005-0000-0000-000029760000}"/>
    <cellStyle name="40% - Accent5 39 2 2" xfId="30259" xr:uid="{00000000-0005-0000-0000-00002A760000}"/>
    <cellStyle name="40% - Accent5 39 3" xfId="30260" xr:uid="{00000000-0005-0000-0000-00002B760000}"/>
    <cellStyle name="40% - Accent5 39 3 2" xfId="30261" xr:uid="{00000000-0005-0000-0000-00002C760000}"/>
    <cellStyle name="40% - Accent5 39 4" xfId="30262" xr:uid="{00000000-0005-0000-0000-00002D760000}"/>
    <cellStyle name="40% - Accent5 4" xfId="30263" xr:uid="{00000000-0005-0000-0000-00002E760000}"/>
    <cellStyle name="40% - Accent5 4 2" xfId="30264" xr:uid="{00000000-0005-0000-0000-00002F760000}"/>
    <cellStyle name="40% - Accent5 4 2 2" xfId="30265" xr:uid="{00000000-0005-0000-0000-000030760000}"/>
    <cellStyle name="40% - Accent5 4 3" xfId="30266" xr:uid="{00000000-0005-0000-0000-000031760000}"/>
    <cellStyle name="40% - Accent5 4 3 2" xfId="30267" xr:uid="{00000000-0005-0000-0000-000032760000}"/>
    <cellStyle name="40% - Accent5 4 4" xfId="30268" xr:uid="{00000000-0005-0000-0000-000033760000}"/>
    <cellStyle name="40% - Accent5 4 4 2" xfId="30269" xr:uid="{00000000-0005-0000-0000-000034760000}"/>
    <cellStyle name="40% - Accent5 4 5" xfId="30270" xr:uid="{00000000-0005-0000-0000-000035760000}"/>
    <cellStyle name="40% - Accent5 4 5 2" xfId="30271" xr:uid="{00000000-0005-0000-0000-000036760000}"/>
    <cellStyle name="40% - Accent5 4 6" xfId="30272" xr:uid="{00000000-0005-0000-0000-000037760000}"/>
    <cellStyle name="40% - Accent5 4 6 2" xfId="30273" xr:uid="{00000000-0005-0000-0000-000038760000}"/>
    <cellStyle name="40% - Accent5 4 7" xfId="30274" xr:uid="{00000000-0005-0000-0000-000039760000}"/>
    <cellStyle name="40% - Accent5 40" xfId="30275" xr:uid="{00000000-0005-0000-0000-00003A760000}"/>
    <cellStyle name="40% - Accent5 40 2" xfId="30276" xr:uid="{00000000-0005-0000-0000-00003B760000}"/>
    <cellStyle name="40% - Accent5 40 2 2" xfId="30277" xr:uid="{00000000-0005-0000-0000-00003C760000}"/>
    <cellStyle name="40% - Accent5 40 3" xfId="30278" xr:uid="{00000000-0005-0000-0000-00003D760000}"/>
    <cellStyle name="40% - Accent5 40 3 2" xfId="30279" xr:uid="{00000000-0005-0000-0000-00003E760000}"/>
    <cellStyle name="40% - Accent5 40 4" xfId="30280" xr:uid="{00000000-0005-0000-0000-00003F760000}"/>
    <cellStyle name="40% - Accent5 41" xfId="30281" xr:uid="{00000000-0005-0000-0000-000040760000}"/>
    <cellStyle name="40% - Accent5 41 2" xfId="30282" xr:uid="{00000000-0005-0000-0000-000041760000}"/>
    <cellStyle name="40% - Accent5 41 2 2" xfId="30283" xr:uid="{00000000-0005-0000-0000-000042760000}"/>
    <cellStyle name="40% - Accent5 41 3" xfId="30284" xr:uid="{00000000-0005-0000-0000-000043760000}"/>
    <cellStyle name="40% - Accent5 41 3 2" xfId="30285" xr:uid="{00000000-0005-0000-0000-000044760000}"/>
    <cellStyle name="40% - Accent5 41 4" xfId="30286" xr:uid="{00000000-0005-0000-0000-000045760000}"/>
    <cellStyle name="40% - Accent5 42" xfId="30287" xr:uid="{00000000-0005-0000-0000-000046760000}"/>
    <cellStyle name="40% - Accent5 42 2" xfId="30288" xr:uid="{00000000-0005-0000-0000-000047760000}"/>
    <cellStyle name="40% - Accent5 42 2 2" xfId="30289" xr:uid="{00000000-0005-0000-0000-000048760000}"/>
    <cellStyle name="40% - Accent5 42 3" xfId="30290" xr:uid="{00000000-0005-0000-0000-000049760000}"/>
    <cellStyle name="40% - Accent5 42 3 2" xfId="30291" xr:uid="{00000000-0005-0000-0000-00004A760000}"/>
    <cellStyle name="40% - Accent5 42 4" xfId="30292" xr:uid="{00000000-0005-0000-0000-00004B760000}"/>
    <cellStyle name="40% - Accent5 43" xfId="30293" xr:uid="{00000000-0005-0000-0000-00004C760000}"/>
    <cellStyle name="40% - Accent5 43 2" xfId="30294" xr:uid="{00000000-0005-0000-0000-00004D760000}"/>
    <cellStyle name="40% - Accent5 43 2 2" xfId="30295" xr:uid="{00000000-0005-0000-0000-00004E760000}"/>
    <cellStyle name="40% - Accent5 43 3" xfId="30296" xr:uid="{00000000-0005-0000-0000-00004F760000}"/>
    <cellStyle name="40% - Accent5 43 3 2" xfId="30297" xr:uid="{00000000-0005-0000-0000-000050760000}"/>
    <cellStyle name="40% - Accent5 43 4" xfId="30298" xr:uid="{00000000-0005-0000-0000-000051760000}"/>
    <cellStyle name="40% - Accent5 44" xfId="30299" xr:uid="{00000000-0005-0000-0000-000052760000}"/>
    <cellStyle name="40% - Accent5 44 2" xfId="30300" xr:uid="{00000000-0005-0000-0000-000053760000}"/>
    <cellStyle name="40% - Accent5 44 2 2" xfId="30301" xr:uid="{00000000-0005-0000-0000-000054760000}"/>
    <cellStyle name="40% - Accent5 44 3" xfId="30302" xr:uid="{00000000-0005-0000-0000-000055760000}"/>
    <cellStyle name="40% - Accent5 44 3 2" xfId="30303" xr:uid="{00000000-0005-0000-0000-000056760000}"/>
    <cellStyle name="40% - Accent5 44 4" xfId="30304" xr:uid="{00000000-0005-0000-0000-000057760000}"/>
    <cellStyle name="40% - Accent5 45" xfId="30305" xr:uid="{00000000-0005-0000-0000-000058760000}"/>
    <cellStyle name="40% - Accent5 45 2" xfId="30306" xr:uid="{00000000-0005-0000-0000-000059760000}"/>
    <cellStyle name="40% - Accent5 45 2 2" xfId="30307" xr:uid="{00000000-0005-0000-0000-00005A760000}"/>
    <cellStyle name="40% - Accent5 45 3" xfId="30308" xr:uid="{00000000-0005-0000-0000-00005B760000}"/>
    <cellStyle name="40% - Accent5 45 3 2" xfId="30309" xr:uid="{00000000-0005-0000-0000-00005C760000}"/>
    <cellStyle name="40% - Accent5 45 4" xfId="30310" xr:uid="{00000000-0005-0000-0000-00005D760000}"/>
    <cellStyle name="40% - Accent5 46" xfId="30311" xr:uid="{00000000-0005-0000-0000-00005E760000}"/>
    <cellStyle name="40% - Accent5 46 2" xfId="30312" xr:uid="{00000000-0005-0000-0000-00005F760000}"/>
    <cellStyle name="40% - Accent5 46 2 2" xfId="30313" xr:uid="{00000000-0005-0000-0000-000060760000}"/>
    <cellStyle name="40% - Accent5 46 3" xfId="30314" xr:uid="{00000000-0005-0000-0000-000061760000}"/>
    <cellStyle name="40% - Accent5 46 3 2" xfId="30315" xr:uid="{00000000-0005-0000-0000-000062760000}"/>
    <cellStyle name="40% - Accent5 46 4" xfId="30316" xr:uid="{00000000-0005-0000-0000-000063760000}"/>
    <cellStyle name="40% - Accent5 47" xfId="30317" xr:uid="{00000000-0005-0000-0000-000064760000}"/>
    <cellStyle name="40% - Accent5 47 2" xfId="30318" xr:uid="{00000000-0005-0000-0000-000065760000}"/>
    <cellStyle name="40% - Accent5 47 2 2" xfId="30319" xr:uid="{00000000-0005-0000-0000-000066760000}"/>
    <cellStyle name="40% - Accent5 47 3" xfId="30320" xr:uid="{00000000-0005-0000-0000-000067760000}"/>
    <cellStyle name="40% - Accent5 47 3 2" xfId="30321" xr:uid="{00000000-0005-0000-0000-000068760000}"/>
    <cellStyle name="40% - Accent5 47 4" xfId="30322" xr:uid="{00000000-0005-0000-0000-000069760000}"/>
    <cellStyle name="40% - Accent5 48" xfId="30323" xr:uid="{00000000-0005-0000-0000-00006A760000}"/>
    <cellStyle name="40% - Accent5 48 2" xfId="30324" xr:uid="{00000000-0005-0000-0000-00006B760000}"/>
    <cellStyle name="40% - Accent5 48 2 2" xfId="30325" xr:uid="{00000000-0005-0000-0000-00006C760000}"/>
    <cellStyle name="40% - Accent5 48 3" xfId="30326" xr:uid="{00000000-0005-0000-0000-00006D760000}"/>
    <cellStyle name="40% - Accent5 48 3 2" xfId="30327" xr:uid="{00000000-0005-0000-0000-00006E760000}"/>
    <cellStyle name="40% - Accent5 48 4" xfId="30328" xr:uid="{00000000-0005-0000-0000-00006F760000}"/>
    <cellStyle name="40% - Accent5 49" xfId="30329" xr:uid="{00000000-0005-0000-0000-000070760000}"/>
    <cellStyle name="40% - Accent5 49 2" xfId="30330" xr:uid="{00000000-0005-0000-0000-000071760000}"/>
    <cellStyle name="40% - Accent5 49 2 2" xfId="30331" xr:uid="{00000000-0005-0000-0000-000072760000}"/>
    <cellStyle name="40% - Accent5 49 3" xfId="30332" xr:uid="{00000000-0005-0000-0000-000073760000}"/>
    <cellStyle name="40% - Accent5 49 3 2" xfId="30333" xr:uid="{00000000-0005-0000-0000-000074760000}"/>
    <cellStyle name="40% - Accent5 49 4" xfId="30334" xr:uid="{00000000-0005-0000-0000-000075760000}"/>
    <cellStyle name="40% - Accent5 5" xfId="30335" xr:uid="{00000000-0005-0000-0000-000076760000}"/>
    <cellStyle name="40% - Accent5 5 2" xfId="30336" xr:uid="{00000000-0005-0000-0000-000077760000}"/>
    <cellStyle name="40% - Accent5 5 2 2" xfId="30337" xr:uid="{00000000-0005-0000-0000-000078760000}"/>
    <cellStyle name="40% - Accent5 5 3" xfId="30338" xr:uid="{00000000-0005-0000-0000-000079760000}"/>
    <cellStyle name="40% - Accent5 5 3 2" xfId="30339" xr:uid="{00000000-0005-0000-0000-00007A760000}"/>
    <cellStyle name="40% - Accent5 5 4" xfId="30340" xr:uid="{00000000-0005-0000-0000-00007B760000}"/>
    <cellStyle name="40% - Accent5 5 4 2" xfId="30341" xr:uid="{00000000-0005-0000-0000-00007C760000}"/>
    <cellStyle name="40% - Accent5 5 5" xfId="30342" xr:uid="{00000000-0005-0000-0000-00007D760000}"/>
    <cellStyle name="40% - Accent5 5 5 2" xfId="30343" xr:uid="{00000000-0005-0000-0000-00007E760000}"/>
    <cellStyle name="40% - Accent5 5 6" xfId="30344" xr:uid="{00000000-0005-0000-0000-00007F760000}"/>
    <cellStyle name="40% - Accent5 50" xfId="30345" xr:uid="{00000000-0005-0000-0000-000080760000}"/>
    <cellStyle name="40% - Accent5 50 2" xfId="30346" xr:uid="{00000000-0005-0000-0000-000081760000}"/>
    <cellStyle name="40% - Accent5 50 2 2" xfId="30347" xr:uid="{00000000-0005-0000-0000-000082760000}"/>
    <cellStyle name="40% - Accent5 50 3" xfId="30348" xr:uid="{00000000-0005-0000-0000-000083760000}"/>
    <cellStyle name="40% - Accent5 50 3 2" xfId="30349" xr:uid="{00000000-0005-0000-0000-000084760000}"/>
    <cellStyle name="40% - Accent5 50 4" xfId="30350" xr:uid="{00000000-0005-0000-0000-000085760000}"/>
    <cellStyle name="40% - Accent5 51" xfId="30351" xr:uid="{00000000-0005-0000-0000-000086760000}"/>
    <cellStyle name="40% - Accent5 51 2" xfId="30352" xr:uid="{00000000-0005-0000-0000-000087760000}"/>
    <cellStyle name="40% - Accent5 51 2 2" xfId="30353" xr:uid="{00000000-0005-0000-0000-000088760000}"/>
    <cellStyle name="40% - Accent5 51 3" xfId="30354" xr:uid="{00000000-0005-0000-0000-000089760000}"/>
    <cellStyle name="40% - Accent5 51 3 2" xfId="30355" xr:uid="{00000000-0005-0000-0000-00008A760000}"/>
    <cellStyle name="40% - Accent5 51 4" xfId="30356" xr:uid="{00000000-0005-0000-0000-00008B760000}"/>
    <cellStyle name="40% - Accent5 52" xfId="30357" xr:uid="{00000000-0005-0000-0000-00008C760000}"/>
    <cellStyle name="40% - Accent5 52 2" xfId="30358" xr:uid="{00000000-0005-0000-0000-00008D760000}"/>
    <cellStyle name="40% - Accent5 52 2 2" xfId="30359" xr:uid="{00000000-0005-0000-0000-00008E760000}"/>
    <cellStyle name="40% - Accent5 52 3" xfId="30360" xr:uid="{00000000-0005-0000-0000-00008F760000}"/>
    <cellStyle name="40% - Accent5 52 3 2" xfId="30361" xr:uid="{00000000-0005-0000-0000-000090760000}"/>
    <cellStyle name="40% - Accent5 52 4" xfId="30362" xr:uid="{00000000-0005-0000-0000-000091760000}"/>
    <cellStyle name="40% - Accent5 53" xfId="30363" xr:uid="{00000000-0005-0000-0000-000092760000}"/>
    <cellStyle name="40% - Accent5 53 2" xfId="30364" xr:uid="{00000000-0005-0000-0000-000093760000}"/>
    <cellStyle name="40% - Accent5 53 2 2" xfId="30365" xr:uid="{00000000-0005-0000-0000-000094760000}"/>
    <cellStyle name="40% - Accent5 53 3" xfId="30366" xr:uid="{00000000-0005-0000-0000-000095760000}"/>
    <cellStyle name="40% - Accent5 53 3 2" xfId="30367" xr:uid="{00000000-0005-0000-0000-000096760000}"/>
    <cellStyle name="40% - Accent5 53 4" xfId="30368" xr:uid="{00000000-0005-0000-0000-000097760000}"/>
    <cellStyle name="40% - Accent5 54" xfId="30369" xr:uid="{00000000-0005-0000-0000-000098760000}"/>
    <cellStyle name="40% - Accent5 54 2" xfId="30370" xr:uid="{00000000-0005-0000-0000-000099760000}"/>
    <cellStyle name="40% - Accent5 54 2 2" xfId="30371" xr:uid="{00000000-0005-0000-0000-00009A760000}"/>
    <cellStyle name="40% - Accent5 54 3" xfId="30372" xr:uid="{00000000-0005-0000-0000-00009B760000}"/>
    <cellStyle name="40% - Accent5 54 3 2" xfId="30373" xr:uid="{00000000-0005-0000-0000-00009C760000}"/>
    <cellStyle name="40% - Accent5 54 4" xfId="30374" xr:uid="{00000000-0005-0000-0000-00009D760000}"/>
    <cellStyle name="40% - Accent5 55" xfId="30375" xr:uid="{00000000-0005-0000-0000-00009E760000}"/>
    <cellStyle name="40% - Accent5 55 2" xfId="30376" xr:uid="{00000000-0005-0000-0000-00009F760000}"/>
    <cellStyle name="40% - Accent5 55 2 2" xfId="30377" xr:uid="{00000000-0005-0000-0000-0000A0760000}"/>
    <cellStyle name="40% - Accent5 55 3" xfId="30378" xr:uid="{00000000-0005-0000-0000-0000A1760000}"/>
    <cellStyle name="40% - Accent5 55 3 2" xfId="30379" xr:uid="{00000000-0005-0000-0000-0000A2760000}"/>
    <cellStyle name="40% - Accent5 55 4" xfId="30380" xr:uid="{00000000-0005-0000-0000-0000A3760000}"/>
    <cellStyle name="40% - Accent5 56" xfId="30381" xr:uid="{00000000-0005-0000-0000-0000A4760000}"/>
    <cellStyle name="40% - Accent5 56 2" xfId="30382" xr:uid="{00000000-0005-0000-0000-0000A5760000}"/>
    <cellStyle name="40% - Accent5 56 2 2" xfId="30383" xr:uid="{00000000-0005-0000-0000-0000A6760000}"/>
    <cellStyle name="40% - Accent5 56 3" xfId="30384" xr:uid="{00000000-0005-0000-0000-0000A7760000}"/>
    <cellStyle name="40% - Accent5 56 3 2" xfId="30385" xr:uid="{00000000-0005-0000-0000-0000A8760000}"/>
    <cellStyle name="40% - Accent5 56 4" xfId="30386" xr:uid="{00000000-0005-0000-0000-0000A9760000}"/>
    <cellStyle name="40% - Accent5 57" xfId="30387" xr:uid="{00000000-0005-0000-0000-0000AA760000}"/>
    <cellStyle name="40% - Accent5 57 2" xfId="30388" xr:uid="{00000000-0005-0000-0000-0000AB760000}"/>
    <cellStyle name="40% - Accent5 57 2 2" xfId="30389" xr:uid="{00000000-0005-0000-0000-0000AC760000}"/>
    <cellStyle name="40% - Accent5 57 3" xfId="30390" xr:uid="{00000000-0005-0000-0000-0000AD760000}"/>
    <cellStyle name="40% - Accent5 57 3 2" xfId="30391" xr:uid="{00000000-0005-0000-0000-0000AE760000}"/>
    <cellStyle name="40% - Accent5 57 4" xfId="30392" xr:uid="{00000000-0005-0000-0000-0000AF760000}"/>
    <cellStyle name="40% - Accent5 58" xfId="30393" xr:uid="{00000000-0005-0000-0000-0000B0760000}"/>
    <cellStyle name="40% - Accent5 58 2" xfId="30394" xr:uid="{00000000-0005-0000-0000-0000B1760000}"/>
    <cellStyle name="40% - Accent5 58 2 2" xfId="30395" xr:uid="{00000000-0005-0000-0000-0000B2760000}"/>
    <cellStyle name="40% - Accent5 58 3" xfId="30396" xr:uid="{00000000-0005-0000-0000-0000B3760000}"/>
    <cellStyle name="40% - Accent5 58 3 2" xfId="30397" xr:uid="{00000000-0005-0000-0000-0000B4760000}"/>
    <cellStyle name="40% - Accent5 58 4" xfId="30398" xr:uid="{00000000-0005-0000-0000-0000B5760000}"/>
    <cellStyle name="40% - Accent5 59" xfId="30399" xr:uid="{00000000-0005-0000-0000-0000B6760000}"/>
    <cellStyle name="40% - Accent5 59 2" xfId="30400" xr:uid="{00000000-0005-0000-0000-0000B7760000}"/>
    <cellStyle name="40% - Accent5 59 2 2" xfId="30401" xr:uid="{00000000-0005-0000-0000-0000B8760000}"/>
    <cellStyle name="40% - Accent5 59 3" xfId="30402" xr:uid="{00000000-0005-0000-0000-0000B9760000}"/>
    <cellStyle name="40% - Accent5 6" xfId="30403" xr:uid="{00000000-0005-0000-0000-0000BA760000}"/>
    <cellStyle name="40% - Accent5 6 2" xfId="30404" xr:uid="{00000000-0005-0000-0000-0000BB760000}"/>
    <cellStyle name="40% - Accent5 6 2 2" xfId="30405" xr:uid="{00000000-0005-0000-0000-0000BC760000}"/>
    <cellStyle name="40% - Accent5 6 3" xfId="30406" xr:uid="{00000000-0005-0000-0000-0000BD760000}"/>
    <cellStyle name="40% - Accent5 6 3 2" xfId="30407" xr:uid="{00000000-0005-0000-0000-0000BE760000}"/>
    <cellStyle name="40% - Accent5 6 4" xfId="30408" xr:uid="{00000000-0005-0000-0000-0000BF760000}"/>
    <cellStyle name="40% - Accent5 6 4 2" xfId="30409" xr:uid="{00000000-0005-0000-0000-0000C0760000}"/>
    <cellStyle name="40% - Accent5 6 5" xfId="30410" xr:uid="{00000000-0005-0000-0000-0000C1760000}"/>
    <cellStyle name="40% - Accent5 6 5 2" xfId="30411" xr:uid="{00000000-0005-0000-0000-0000C2760000}"/>
    <cellStyle name="40% - Accent5 6 6" xfId="30412" xr:uid="{00000000-0005-0000-0000-0000C3760000}"/>
    <cellStyle name="40% - Accent5 60" xfId="30413" xr:uid="{00000000-0005-0000-0000-0000C4760000}"/>
    <cellStyle name="40% - Accent5 60 2" xfId="30414" xr:uid="{00000000-0005-0000-0000-0000C5760000}"/>
    <cellStyle name="40% - Accent5 61" xfId="30415" xr:uid="{00000000-0005-0000-0000-0000C6760000}"/>
    <cellStyle name="40% - Accent5 61 2" xfId="30416" xr:uid="{00000000-0005-0000-0000-0000C7760000}"/>
    <cellStyle name="40% - Accent5 62" xfId="30417" xr:uid="{00000000-0005-0000-0000-0000C8760000}"/>
    <cellStyle name="40% - Accent5 62 2" xfId="30418" xr:uid="{00000000-0005-0000-0000-0000C9760000}"/>
    <cellStyle name="40% - Accent5 63" xfId="30419" xr:uid="{00000000-0005-0000-0000-0000CA760000}"/>
    <cellStyle name="40% - Accent5 63 2" xfId="30420" xr:uid="{00000000-0005-0000-0000-0000CB760000}"/>
    <cellStyle name="40% - Accent5 64" xfId="30421" xr:uid="{00000000-0005-0000-0000-0000CC760000}"/>
    <cellStyle name="40% - Accent5 64 2" xfId="30422" xr:uid="{00000000-0005-0000-0000-0000CD760000}"/>
    <cellStyle name="40% - Accent5 65" xfId="30423" xr:uid="{00000000-0005-0000-0000-0000CE760000}"/>
    <cellStyle name="40% - Accent5 65 2" xfId="30424" xr:uid="{00000000-0005-0000-0000-0000CF760000}"/>
    <cellStyle name="40% - Accent5 66" xfId="30425" xr:uid="{00000000-0005-0000-0000-0000D0760000}"/>
    <cellStyle name="40% - Accent5 66 2" xfId="30426" xr:uid="{00000000-0005-0000-0000-0000D1760000}"/>
    <cellStyle name="40% - Accent5 67" xfId="30427" xr:uid="{00000000-0005-0000-0000-0000D2760000}"/>
    <cellStyle name="40% - Accent5 67 2" xfId="30428" xr:uid="{00000000-0005-0000-0000-0000D3760000}"/>
    <cellStyle name="40% - Accent5 68" xfId="30429" xr:uid="{00000000-0005-0000-0000-0000D4760000}"/>
    <cellStyle name="40% - Accent5 68 2" xfId="30430" xr:uid="{00000000-0005-0000-0000-0000D5760000}"/>
    <cellStyle name="40% - Accent5 69" xfId="30431" xr:uid="{00000000-0005-0000-0000-0000D6760000}"/>
    <cellStyle name="40% - Accent5 69 2" xfId="30432" xr:uid="{00000000-0005-0000-0000-0000D7760000}"/>
    <cellStyle name="40% - Accent5 7" xfId="30433" xr:uid="{00000000-0005-0000-0000-0000D8760000}"/>
    <cellStyle name="40% - Accent5 7 2" xfId="30434" xr:uid="{00000000-0005-0000-0000-0000D9760000}"/>
    <cellStyle name="40% - Accent5 7 2 2" xfId="30435" xr:uid="{00000000-0005-0000-0000-0000DA760000}"/>
    <cellStyle name="40% - Accent5 7 3" xfId="30436" xr:uid="{00000000-0005-0000-0000-0000DB760000}"/>
    <cellStyle name="40% - Accent5 7 3 2" xfId="30437" xr:uid="{00000000-0005-0000-0000-0000DC760000}"/>
    <cellStyle name="40% - Accent5 7 4" xfId="30438" xr:uid="{00000000-0005-0000-0000-0000DD760000}"/>
    <cellStyle name="40% - Accent5 7 4 2" xfId="30439" xr:uid="{00000000-0005-0000-0000-0000DE760000}"/>
    <cellStyle name="40% - Accent5 7 5" xfId="30440" xr:uid="{00000000-0005-0000-0000-0000DF760000}"/>
    <cellStyle name="40% - Accent5 7 5 2" xfId="30441" xr:uid="{00000000-0005-0000-0000-0000E0760000}"/>
    <cellStyle name="40% - Accent5 7 6" xfId="30442" xr:uid="{00000000-0005-0000-0000-0000E1760000}"/>
    <cellStyle name="40% - Accent5 70" xfId="30443" xr:uid="{00000000-0005-0000-0000-0000E2760000}"/>
    <cellStyle name="40% - Accent5 70 2" xfId="30444" xr:uid="{00000000-0005-0000-0000-0000E3760000}"/>
    <cellStyle name="40% - Accent5 71" xfId="30445" xr:uid="{00000000-0005-0000-0000-0000E4760000}"/>
    <cellStyle name="40% - Accent5 71 2" xfId="30446" xr:uid="{00000000-0005-0000-0000-0000E5760000}"/>
    <cellStyle name="40% - Accent5 72" xfId="30447" xr:uid="{00000000-0005-0000-0000-0000E6760000}"/>
    <cellStyle name="40% - Accent5 72 2" xfId="30448" xr:uid="{00000000-0005-0000-0000-0000E7760000}"/>
    <cellStyle name="40% - Accent5 73" xfId="30449" xr:uid="{00000000-0005-0000-0000-0000E8760000}"/>
    <cellStyle name="40% - Accent5 73 2" xfId="30450" xr:uid="{00000000-0005-0000-0000-0000E9760000}"/>
    <cellStyle name="40% - Accent5 74" xfId="30451" xr:uid="{00000000-0005-0000-0000-0000EA760000}"/>
    <cellStyle name="40% - Accent5 74 2" xfId="30452" xr:uid="{00000000-0005-0000-0000-0000EB760000}"/>
    <cellStyle name="40% - Accent5 75" xfId="30453" xr:uid="{00000000-0005-0000-0000-0000EC760000}"/>
    <cellStyle name="40% - Accent5 75 2" xfId="30454" xr:uid="{00000000-0005-0000-0000-0000ED760000}"/>
    <cellStyle name="40% - Accent5 76" xfId="30455" xr:uid="{00000000-0005-0000-0000-0000EE760000}"/>
    <cellStyle name="40% - Accent5 76 2" xfId="30456" xr:uid="{00000000-0005-0000-0000-0000EF760000}"/>
    <cellStyle name="40% - Accent5 77" xfId="30457" xr:uid="{00000000-0005-0000-0000-0000F0760000}"/>
    <cellStyle name="40% - Accent5 77 2" xfId="30458" xr:uid="{00000000-0005-0000-0000-0000F1760000}"/>
    <cellStyle name="40% - Accent5 78" xfId="30459" xr:uid="{00000000-0005-0000-0000-0000F2760000}"/>
    <cellStyle name="40% - Accent5 78 2" xfId="30460" xr:uid="{00000000-0005-0000-0000-0000F3760000}"/>
    <cellStyle name="40% - Accent5 79" xfId="30461" xr:uid="{00000000-0005-0000-0000-0000F4760000}"/>
    <cellStyle name="40% - Accent5 79 2" xfId="30462" xr:uid="{00000000-0005-0000-0000-0000F5760000}"/>
    <cellStyle name="40% - Accent5 8" xfId="30463" xr:uid="{00000000-0005-0000-0000-0000F6760000}"/>
    <cellStyle name="40% - Accent5 8 2" xfId="30464" xr:uid="{00000000-0005-0000-0000-0000F7760000}"/>
    <cellStyle name="40% - Accent5 8 2 2" xfId="30465" xr:uid="{00000000-0005-0000-0000-0000F8760000}"/>
    <cellStyle name="40% - Accent5 8 3" xfId="30466" xr:uid="{00000000-0005-0000-0000-0000F9760000}"/>
    <cellStyle name="40% - Accent5 8 3 2" xfId="30467" xr:uid="{00000000-0005-0000-0000-0000FA760000}"/>
    <cellStyle name="40% - Accent5 8 4" xfId="30468" xr:uid="{00000000-0005-0000-0000-0000FB760000}"/>
    <cellStyle name="40% - Accent5 8 4 2" xfId="30469" xr:uid="{00000000-0005-0000-0000-0000FC760000}"/>
    <cellStyle name="40% - Accent5 8 5" xfId="30470" xr:uid="{00000000-0005-0000-0000-0000FD760000}"/>
    <cellStyle name="40% - Accent5 8 5 2" xfId="30471" xr:uid="{00000000-0005-0000-0000-0000FE760000}"/>
    <cellStyle name="40% - Accent5 8 6" xfId="30472" xr:uid="{00000000-0005-0000-0000-0000FF760000}"/>
    <cellStyle name="40% - Accent5 80" xfId="30473" xr:uid="{00000000-0005-0000-0000-000000770000}"/>
    <cellStyle name="40% - Accent5 80 2" xfId="30474" xr:uid="{00000000-0005-0000-0000-000001770000}"/>
    <cellStyle name="40% - Accent5 81" xfId="30475" xr:uid="{00000000-0005-0000-0000-000002770000}"/>
    <cellStyle name="40% - Accent5 81 2" xfId="30476" xr:uid="{00000000-0005-0000-0000-000003770000}"/>
    <cellStyle name="40% - Accent5 82" xfId="30477" xr:uid="{00000000-0005-0000-0000-000004770000}"/>
    <cellStyle name="40% - Accent5 82 2" xfId="30478" xr:uid="{00000000-0005-0000-0000-000005770000}"/>
    <cellStyle name="40% - Accent5 83" xfId="30479" xr:uid="{00000000-0005-0000-0000-000006770000}"/>
    <cellStyle name="40% - Accent5 83 2" xfId="30480" xr:uid="{00000000-0005-0000-0000-000007770000}"/>
    <cellStyle name="40% - Accent5 84" xfId="30481" xr:uid="{00000000-0005-0000-0000-000008770000}"/>
    <cellStyle name="40% - Accent5 84 2" xfId="30482" xr:uid="{00000000-0005-0000-0000-000009770000}"/>
    <cellStyle name="40% - Accent5 85" xfId="30483" xr:uid="{00000000-0005-0000-0000-00000A770000}"/>
    <cellStyle name="40% - Accent5 85 2" xfId="30484" xr:uid="{00000000-0005-0000-0000-00000B770000}"/>
    <cellStyle name="40% - Accent5 86" xfId="30485" xr:uid="{00000000-0005-0000-0000-00000C770000}"/>
    <cellStyle name="40% - Accent5 86 2" xfId="30486" xr:uid="{00000000-0005-0000-0000-00000D770000}"/>
    <cellStyle name="40% - Accent5 87" xfId="30487" xr:uid="{00000000-0005-0000-0000-00000E770000}"/>
    <cellStyle name="40% - Accent5 87 2" xfId="30488" xr:uid="{00000000-0005-0000-0000-00000F770000}"/>
    <cellStyle name="40% - Accent5 88" xfId="30489" xr:uid="{00000000-0005-0000-0000-000010770000}"/>
    <cellStyle name="40% - Accent5 88 2" xfId="30490" xr:uid="{00000000-0005-0000-0000-000011770000}"/>
    <cellStyle name="40% - Accent5 89" xfId="30491" xr:uid="{00000000-0005-0000-0000-000012770000}"/>
    <cellStyle name="40% - Accent5 89 2" xfId="30492" xr:uid="{00000000-0005-0000-0000-000013770000}"/>
    <cellStyle name="40% - Accent5 9" xfId="30493" xr:uid="{00000000-0005-0000-0000-000014770000}"/>
    <cellStyle name="40% - Accent5 9 2" xfId="30494" xr:uid="{00000000-0005-0000-0000-000015770000}"/>
    <cellStyle name="40% - Accent5 9 2 2" xfId="30495" xr:uid="{00000000-0005-0000-0000-000016770000}"/>
    <cellStyle name="40% - Accent5 9 3" xfId="30496" xr:uid="{00000000-0005-0000-0000-000017770000}"/>
    <cellStyle name="40% - Accent5 9 3 2" xfId="30497" xr:uid="{00000000-0005-0000-0000-000018770000}"/>
    <cellStyle name="40% - Accent5 9 4" xfId="30498" xr:uid="{00000000-0005-0000-0000-000019770000}"/>
    <cellStyle name="40% - Accent5 9 4 2" xfId="30499" xr:uid="{00000000-0005-0000-0000-00001A770000}"/>
    <cellStyle name="40% - Accent5 9 5" xfId="30500" xr:uid="{00000000-0005-0000-0000-00001B770000}"/>
    <cellStyle name="40% - Accent5 9 5 2" xfId="30501" xr:uid="{00000000-0005-0000-0000-00001C770000}"/>
    <cellStyle name="40% - Accent5 9 6" xfId="30502" xr:uid="{00000000-0005-0000-0000-00001D770000}"/>
    <cellStyle name="40% - Accent5 90" xfId="30503" xr:uid="{00000000-0005-0000-0000-00001E770000}"/>
    <cellStyle name="40% - Accent5 90 2" xfId="30504" xr:uid="{00000000-0005-0000-0000-00001F770000}"/>
    <cellStyle name="40% - Accent5 91" xfId="30505" xr:uid="{00000000-0005-0000-0000-000020770000}"/>
    <cellStyle name="40% - Accent5 91 2" xfId="30506" xr:uid="{00000000-0005-0000-0000-000021770000}"/>
    <cellStyle name="40% - Accent5 92" xfId="30507" xr:uid="{00000000-0005-0000-0000-000022770000}"/>
    <cellStyle name="40% - Accent5 92 2" xfId="30508" xr:uid="{00000000-0005-0000-0000-000023770000}"/>
    <cellStyle name="40% - Accent5 93" xfId="30509" xr:uid="{00000000-0005-0000-0000-000024770000}"/>
    <cellStyle name="40% - Accent5 93 2" xfId="30510" xr:uid="{00000000-0005-0000-0000-000025770000}"/>
    <cellStyle name="40% - Accent5 94" xfId="30511" xr:uid="{00000000-0005-0000-0000-000026770000}"/>
    <cellStyle name="40% - Accent5 94 2" xfId="30512" xr:uid="{00000000-0005-0000-0000-000027770000}"/>
    <cellStyle name="40% - Accent5 95" xfId="30513" xr:uid="{00000000-0005-0000-0000-000028770000}"/>
    <cellStyle name="40% - Accent5 95 2" xfId="30514" xr:uid="{00000000-0005-0000-0000-000029770000}"/>
    <cellStyle name="40% - Accent5 96" xfId="30515" xr:uid="{00000000-0005-0000-0000-00002A770000}"/>
    <cellStyle name="40% - Accent5 96 2" xfId="30516" xr:uid="{00000000-0005-0000-0000-00002B770000}"/>
    <cellStyle name="40% - Accent5 97" xfId="30517" xr:uid="{00000000-0005-0000-0000-00002C770000}"/>
    <cellStyle name="40% - Accent5 97 2" xfId="30518" xr:uid="{00000000-0005-0000-0000-00002D770000}"/>
    <cellStyle name="40% - Accent5 98" xfId="30519" xr:uid="{00000000-0005-0000-0000-00002E770000}"/>
    <cellStyle name="40% - Accent5 98 2" xfId="30520" xr:uid="{00000000-0005-0000-0000-00002F770000}"/>
    <cellStyle name="40% - Accent5 99" xfId="30521" xr:uid="{00000000-0005-0000-0000-000030770000}"/>
    <cellStyle name="40% - Accent5 99 2" xfId="30522" xr:uid="{00000000-0005-0000-0000-000031770000}"/>
    <cellStyle name="40% - Accent6 10" xfId="30523" xr:uid="{00000000-0005-0000-0000-000032770000}"/>
    <cellStyle name="40% - Accent6 10 2" xfId="30524" xr:uid="{00000000-0005-0000-0000-000033770000}"/>
    <cellStyle name="40% - Accent6 10 2 2" xfId="30525" xr:uid="{00000000-0005-0000-0000-000034770000}"/>
    <cellStyle name="40% - Accent6 10 2 2 2" xfId="30526" xr:uid="{00000000-0005-0000-0000-000035770000}"/>
    <cellStyle name="40% - Accent6 10 2 3" xfId="30527" xr:uid="{00000000-0005-0000-0000-000036770000}"/>
    <cellStyle name="40% - Accent6 10 2 3 2" xfId="30528" xr:uid="{00000000-0005-0000-0000-000037770000}"/>
    <cellStyle name="40% - Accent6 10 2 4" xfId="30529" xr:uid="{00000000-0005-0000-0000-000038770000}"/>
    <cellStyle name="40% - Accent6 10 3" xfId="30530" xr:uid="{00000000-0005-0000-0000-000039770000}"/>
    <cellStyle name="40% - Accent6 10 3 2" xfId="30531" xr:uid="{00000000-0005-0000-0000-00003A770000}"/>
    <cellStyle name="40% - Accent6 10 3 2 2" xfId="30532" xr:uid="{00000000-0005-0000-0000-00003B770000}"/>
    <cellStyle name="40% - Accent6 10 3 3" xfId="30533" xr:uid="{00000000-0005-0000-0000-00003C770000}"/>
    <cellStyle name="40% - Accent6 10 3 3 2" xfId="30534" xr:uid="{00000000-0005-0000-0000-00003D770000}"/>
    <cellStyle name="40% - Accent6 10 3 4" xfId="30535" xr:uid="{00000000-0005-0000-0000-00003E770000}"/>
    <cellStyle name="40% - Accent6 10 4" xfId="30536" xr:uid="{00000000-0005-0000-0000-00003F770000}"/>
    <cellStyle name="40% - Accent6 10 4 2" xfId="30537" xr:uid="{00000000-0005-0000-0000-000040770000}"/>
    <cellStyle name="40% - Accent6 10 5" xfId="30538" xr:uid="{00000000-0005-0000-0000-000041770000}"/>
    <cellStyle name="40% - Accent6 10 5 2" xfId="30539" xr:uid="{00000000-0005-0000-0000-000042770000}"/>
    <cellStyle name="40% - Accent6 10 6" xfId="30540" xr:uid="{00000000-0005-0000-0000-000043770000}"/>
    <cellStyle name="40% - Accent6 100" xfId="30541" xr:uid="{00000000-0005-0000-0000-000044770000}"/>
    <cellStyle name="40% - Accent6 100 2" xfId="30542" xr:uid="{00000000-0005-0000-0000-000045770000}"/>
    <cellStyle name="40% - Accent6 101" xfId="30543" xr:uid="{00000000-0005-0000-0000-000046770000}"/>
    <cellStyle name="40% - Accent6 101 2" xfId="30544" xr:uid="{00000000-0005-0000-0000-000047770000}"/>
    <cellStyle name="40% - Accent6 102" xfId="30545" xr:uid="{00000000-0005-0000-0000-000048770000}"/>
    <cellStyle name="40% - Accent6 102 2" xfId="30546" xr:uid="{00000000-0005-0000-0000-000049770000}"/>
    <cellStyle name="40% - Accent6 103" xfId="30547" xr:uid="{00000000-0005-0000-0000-00004A770000}"/>
    <cellStyle name="40% - Accent6 103 2" xfId="30548" xr:uid="{00000000-0005-0000-0000-00004B770000}"/>
    <cellStyle name="40% - Accent6 104" xfId="30549" xr:uid="{00000000-0005-0000-0000-00004C770000}"/>
    <cellStyle name="40% - Accent6 104 2" xfId="30550" xr:uid="{00000000-0005-0000-0000-00004D770000}"/>
    <cellStyle name="40% - Accent6 105" xfId="30551" xr:uid="{00000000-0005-0000-0000-00004E770000}"/>
    <cellStyle name="40% - Accent6 105 2" xfId="30552" xr:uid="{00000000-0005-0000-0000-00004F770000}"/>
    <cellStyle name="40% - Accent6 106" xfId="30553" xr:uid="{00000000-0005-0000-0000-000050770000}"/>
    <cellStyle name="40% - Accent6 106 2" xfId="30554" xr:uid="{00000000-0005-0000-0000-000051770000}"/>
    <cellStyle name="40% - Accent6 107" xfId="30555" xr:uid="{00000000-0005-0000-0000-000052770000}"/>
    <cellStyle name="40% - Accent6 107 2" xfId="30556" xr:uid="{00000000-0005-0000-0000-000053770000}"/>
    <cellStyle name="40% - Accent6 108" xfId="30557" xr:uid="{00000000-0005-0000-0000-000054770000}"/>
    <cellStyle name="40% - Accent6 108 2" xfId="30558" xr:uid="{00000000-0005-0000-0000-000055770000}"/>
    <cellStyle name="40% - Accent6 109" xfId="30559" xr:uid="{00000000-0005-0000-0000-000056770000}"/>
    <cellStyle name="40% - Accent6 109 2" xfId="30560" xr:uid="{00000000-0005-0000-0000-000057770000}"/>
    <cellStyle name="40% - Accent6 11" xfId="30561" xr:uid="{00000000-0005-0000-0000-000058770000}"/>
    <cellStyle name="40% - Accent6 11 2" xfId="30562" xr:uid="{00000000-0005-0000-0000-000059770000}"/>
    <cellStyle name="40% - Accent6 11 2 2" xfId="30563" xr:uid="{00000000-0005-0000-0000-00005A770000}"/>
    <cellStyle name="40% - Accent6 11 2 2 2" xfId="30564" xr:uid="{00000000-0005-0000-0000-00005B770000}"/>
    <cellStyle name="40% - Accent6 11 2 3" xfId="30565" xr:uid="{00000000-0005-0000-0000-00005C770000}"/>
    <cellStyle name="40% - Accent6 11 2 3 2" xfId="30566" xr:uid="{00000000-0005-0000-0000-00005D770000}"/>
    <cellStyle name="40% - Accent6 11 2 4" xfId="30567" xr:uid="{00000000-0005-0000-0000-00005E770000}"/>
    <cellStyle name="40% - Accent6 11 3" xfId="30568" xr:uid="{00000000-0005-0000-0000-00005F770000}"/>
    <cellStyle name="40% - Accent6 11 3 2" xfId="30569" xr:uid="{00000000-0005-0000-0000-000060770000}"/>
    <cellStyle name="40% - Accent6 11 3 2 2" xfId="30570" xr:uid="{00000000-0005-0000-0000-000061770000}"/>
    <cellStyle name="40% - Accent6 11 3 3" xfId="30571" xr:uid="{00000000-0005-0000-0000-000062770000}"/>
    <cellStyle name="40% - Accent6 11 3 3 2" xfId="30572" xr:uid="{00000000-0005-0000-0000-000063770000}"/>
    <cellStyle name="40% - Accent6 11 3 4" xfId="30573" xr:uid="{00000000-0005-0000-0000-000064770000}"/>
    <cellStyle name="40% - Accent6 11 4" xfId="30574" xr:uid="{00000000-0005-0000-0000-000065770000}"/>
    <cellStyle name="40% - Accent6 11 4 2" xfId="30575" xr:uid="{00000000-0005-0000-0000-000066770000}"/>
    <cellStyle name="40% - Accent6 11 5" xfId="30576" xr:uid="{00000000-0005-0000-0000-000067770000}"/>
    <cellStyle name="40% - Accent6 11 5 2" xfId="30577" xr:uid="{00000000-0005-0000-0000-000068770000}"/>
    <cellStyle name="40% - Accent6 11 6" xfId="30578" xr:uid="{00000000-0005-0000-0000-000069770000}"/>
    <cellStyle name="40% - Accent6 110" xfId="30579" xr:uid="{00000000-0005-0000-0000-00006A770000}"/>
    <cellStyle name="40% - Accent6 110 2" xfId="30580" xr:uid="{00000000-0005-0000-0000-00006B770000}"/>
    <cellStyle name="40% - Accent6 111" xfId="30581" xr:uid="{00000000-0005-0000-0000-00006C770000}"/>
    <cellStyle name="40% - Accent6 111 2" xfId="30582" xr:uid="{00000000-0005-0000-0000-00006D770000}"/>
    <cellStyle name="40% - Accent6 112" xfId="30583" xr:uid="{00000000-0005-0000-0000-00006E770000}"/>
    <cellStyle name="40% - Accent6 112 2" xfId="30584" xr:uid="{00000000-0005-0000-0000-00006F770000}"/>
    <cellStyle name="40% - Accent6 113" xfId="30585" xr:uid="{00000000-0005-0000-0000-000070770000}"/>
    <cellStyle name="40% - Accent6 113 2" xfId="30586" xr:uid="{00000000-0005-0000-0000-000071770000}"/>
    <cellStyle name="40% - Accent6 114" xfId="30587" xr:uid="{00000000-0005-0000-0000-000072770000}"/>
    <cellStyle name="40% - Accent6 114 2" xfId="30588" xr:uid="{00000000-0005-0000-0000-000073770000}"/>
    <cellStyle name="40% - Accent6 115" xfId="30589" xr:uid="{00000000-0005-0000-0000-000074770000}"/>
    <cellStyle name="40% - Accent6 115 2" xfId="30590" xr:uid="{00000000-0005-0000-0000-000075770000}"/>
    <cellStyle name="40% - Accent6 116" xfId="30591" xr:uid="{00000000-0005-0000-0000-000076770000}"/>
    <cellStyle name="40% - Accent6 116 2" xfId="30592" xr:uid="{00000000-0005-0000-0000-000077770000}"/>
    <cellStyle name="40% - Accent6 117" xfId="30593" xr:uid="{00000000-0005-0000-0000-000078770000}"/>
    <cellStyle name="40% - Accent6 117 2" xfId="30594" xr:uid="{00000000-0005-0000-0000-000079770000}"/>
    <cellStyle name="40% - Accent6 118" xfId="30595" xr:uid="{00000000-0005-0000-0000-00007A770000}"/>
    <cellStyle name="40% - Accent6 118 2" xfId="30596" xr:uid="{00000000-0005-0000-0000-00007B770000}"/>
    <cellStyle name="40% - Accent6 119" xfId="30597" xr:uid="{00000000-0005-0000-0000-00007C770000}"/>
    <cellStyle name="40% - Accent6 119 2" xfId="30598" xr:uid="{00000000-0005-0000-0000-00007D770000}"/>
    <cellStyle name="40% - Accent6 12" xfId="30599" xr:uid="{00000000-0005-0000-0000-00007E770000}"/>
    <cellStyle name="40% - Accent6 12 2" xfId="30600" xr:uid="{00000000-0005-0000-0000-00007F770000}"/>
    <cellStyle name="40% - Accent6 12 2 2" xfId="30601" xr:uid="{00000000-0005-0000-0000-000080770000}"/>
    <cellStyle name="40% - Accent6 12 2 2 2" xfId="30602" xr:uid="{00000000-0005-0000-0000-000081770000}"/>
    <cellStyle name="40% - Accent6 12 2 3" xfId="30603" xr:uid="{00000000-0005-0000-0000-000082770000}"/>
    <cellStyle name="40% - Accent6 12 2 3 2" xfId="30604" xr:uid="{00000000-0005-0000-0000-000083770000}"/>
    <cellStyle name="40% - Accent6 12 2 4" xfId="30605" xr:uid="{00000000-0005-0000-0000-000084770000}"/>
    <cellStyle name="40% - Accent6 12 3" xfId="30606" xr:uid="{00000000-0005-0000-0000-000085770000}"/>
    <cellStyle name="40% - Accent6 12 3 2" xfId="30607" xr:uid="{00000000-0005-0000-0000-000086770000}"/>
    <cellStyle name="40% - Accent6 12 3 2 2" xfId="30608" xr:uid="{00000000-0005-0000-0000-000087770000}"/>
    <cellStyle name="40% - Accent6 12 3 3" xfId="30609" xr:uid="{00000000-0005-0000-0000-000088770000}"/>
    <cellStyle name="40% - Accent6 12 3 3 2" xfId="30610" xr:uid="{00000000-0005-0000-0000-000089770000}"/>
    <cellStyle name="40% - Accent6 12 3 4" xfId="30611" xr:uid="{00000000-0005-0000-0000-00008A770000}"/>
    <cellStyle name="40% - Accent6 12 4" xfId="30612" xr:uid="{00000000-0005-0000-0000-00008B770000}"/>
    <cellStyle name="40% - Accent6 12 4 2" xfId="30613" xr:uid="{00000000-0005-0000-0000-00008C770000}"/>
    <cellStyle name="40% - Accent6 12 5" xfId="30614" xr:uid="{00000000-0005-0000-0000-00008D770000}"/>
    <cellStyle name="40% - Accent6 12 5 2" xfId="30615" xr:uid="{00000000-0005-0000-0000-00008E770000}"/>
    <cellStyle name="40% - Accent6 12 6" xfId="30616" xr:uid="{00000000-0005-0000-0000-00008F770000}"/>
    <cellStyle name="40% - Accent6 120" xfId="30617" xr:uid="{00000000-0005-0000-0000-000090770000}"/>
    <cellStyle name="40% - Accent6 120 2" xfId="30618" xr:uid="{00000000-0005-0000-0000-000091770000}"/>
    <cellStyle name="40% - Accent6 121" xfId="30619" xr:uid="{00000000-0005-0000-0000-000092770000}"/>
    <cellStyle name="40% - Accent6 121 2" xfId="30620" xr:uid="{00000000-0005-0000-0000-000093770000}"/>
    <cellStyle name="40% - Accent6 122" xfId="30621" xr:uid="{00000000-0005-0000-0000-000094770000}"/>
    <cellStyle name="40% - Accent6 122 2" xfId="30622" xr:uid="{00000000-0005-0000-0000-000095770000}"/>
    <cellStyle name="40% - Accent6 123" xfId="30623" xr:uid="{00000000-0005-0000-0000-000096770000}"/>
    <cellStyle name="40% - Accent6 123 2" xfId="30624" xr:uid="{00000000-0005-0000-0000-000097770000}"/>
    <cellStyle name="40% - Accent6 124" xfId="30625" xr:uid="{00000000-0005-0000-0000-000098770000}"/>
    <cellStyle name="40% - Accent6 124 2" xfId="30626" xr:uid="{00000000-0005-0000-0000-000099770000}"/>
    <cellStyle name="40% - Accent6 125" xfId="30627" xr:uid="{00000000-0005-0000-0000-00009A770000}"/>
    <cellStyle name="40% - Accent6 125 2" xfId="30628" xr:uid="{00000000-0005-0000-0000-00009B770000}"/>
    <cellStyle name="40% - Accent6 126" xfId="30629" xr:uid="{00000000-0005-0000-0000-00009C770000}"/>
    <cellStyle name="40% - Accent6 126 2" xfId="30630" xr:uid="{00000000-0005-0000-0000-00009D770000}"/>
    <cellStyle name="40% - Accent6 127" xfId="30631" xr:uid="{00000000-0005-0000-0000-00009E770000}"/>
    <cellStyle name="40% - Accent6 127 2" xfId="30632" xr:uid="{00000000-0005-0000-0000-00009F770000}"/>
    <cellStyle name="40% - Accent6 128" xfId="30633" xr:uid="{00000000-0005-0000-0000-0000A0770000}"/>
    <cellStyle name="40% - Accent6 128 2" xfId="30634" xr:uid="{00000000-0005-0000-0000-0000A1770000}"/>
    <cellStyle name="40% - Accent6 129" xfId="30635" xr:uid="{00000000-0005-0000-0000-0000A2770000}"/>
    <cellStyle name="40% - Accent6 129 2" xfId="30636" xr:uid="{00000000-0005-0000-0000-0000A3770000}"/>
    <cellStyle name="40% - Accent6 13" xfId="30637" xr:uid="{00000000-0005-0000-0000-0000A4770000}"/>
    <cellStyle name="40% - Accent6 13 2" xfId="30638" xr:uid="{00000000-0005-0000-0000-0000A5770000}"/>
    <cellStyle name="40% - Accent6 13 2 2" xfId="30639" xr:uid="{00000000-0005-0000-0000-0000A6770000}"/>
    <cellStyle name="40% - Accent6 13 3" xfId="30640" xr:uid="{00000000-0005-0000-0000-0000A7770000}"/>
    <cellStyle name="40% - Accent6 13 3 2" xfId="30641" xr:uid="{00000000-0005-0000-0000-0000A8770000}"/>
    <cellStyle name="40% - Accent6 13 4" xfId="30642" xr:uid="{00000000-0005-0000-0000-0000A9770000}"/>
    <cellStyle name="40% - Accent6 130" xfId="30643" xr:uid="{00000000-0005-0000-0000-0000AA770000}"/>
    <cellStyle name="40% - Accent6 130 2" xfId="30644" xr:uid="{00000000-0005-0000-0000-0000AB770000}"/>
    <cellStyle name="40% - Accent6 131" xfId="30645" xr:uid="{00000000-0005-0000-0000-0000AC770000}"/>
    <cellStyle name="40% - Accent6 131 2" xfId="30646" xr:uid="{00000000-0005-0000-0000-0000AD770000}"/>
    <cellStyle name="40% - Accent6 132" xfId="30647" xr:uid="{00000000-0005-0000-0000-0000AE770000}"/>
    <cellStyle name="40% - Accent6 132 2" xfId="30648" xr:uid="{00000000-0005-0000-0000-0000AF770000}"/>
    <cellStyle name="40% - Accent6 133" xfId="30649" xr:uid="{00000000-0005-0000-0000-0000B0770000}"/>
    <cellStyle name="40% - Accent6 133 2" xfId="30650" xr:uid="{00000000-0005-0000-0000-0000B1770000}"/>
    <cellStyle name="40% - Accent6 134" xfId="30651" xr:uid="{00000000-0005-0000-0000-0000B2770000}"/>
    <cellStyle name="40% - Accent6 134 2" xfId="30652" xr:uid="{00000000-0005-0000-0000-0000B3770000}"/>
    <cellStyle name="40% - Accent6 135" xfId="30653" xr:uid="{00000000-0005-0000-0000-0000B4770000}"/>
    <cellStyle name="40% - Accent6 135 2" xfId="30654" xr:uid="{00000000-0005-0000-0000-0000B5770000}"/>
    <cellStyle name="40% - Accent6 136" xfId="30655" xr:uid="{00000000-0005-0000-0000-0000B6770000}"/>
    <cellStyle name="40% - Accent6 136 2" xfId="30656" xr:uid="{00000000-0005-0000-0000-0000B7770000}"/>
    <cellStyle name="40% - Accent6 137" xfId="30657" xr:uid="{00000000-0005-0000-0000-0000B8770000}"/>
    <cellStyle name="40% - Accent6 137 2" xfId="30658" xr:uid="{00000000-0005-0000-0000-0000B9770000}"/>
    <cellStyle name="40% - Accent6 138" xfId="30659" xr:uid="{00000000-0005-0000-0000-0000BA770000}"/>
    <cellStyle name="40% - Accent6 138 2" xfId="30660" xr:uid="{00000000-0005-0000-0000-0000BB770000}"/>
    <cellStyle name="40% - Accent6 139" xfId="30661" xr:uid="{00000000-0005-0000-0000-0000BC770000}"/>
    <cellStyle name="40% - Accent6 139 2" xfId="30662" xr:uid="{00000000-0005-0000-0000-0000BD770000}"/>
    <cellStyle name="40% - Accent6 14" xfId="30663" xr:uid="{00000000-0005-0000-0000-0000BE770000}"/>
    <cellStyle name="40% - Accent6 14 2" xfId="30664" xr:uid="{00000000-0005-0000-0000-0000BF770000}"/>
    <cellStyle name="40% - Accent6 14 2 2" xfId="30665" xr:uid="{00000000-0005-0000-0000-0000C0770000}"/>
    <cellStyle name="40% - Accent6 14 3" xfId="30666" xr:uid="{00000000-0005-0000-0000-0000C1770000}"/>
    <cellStyle name="40% - Accent6 14 3 2" xfId="30667" xr:uid="{00000000-0005-0000-0000-0000C2770000}"/>
    <cellStyle name="40% - Accent6 14 4" xfId="30668" xr:uid="{00000000-0005-0000-0000-0000C3770000}"/>
    <cellStyle name="40% - Accent6 140" xfId="30669" xr:uid="{00000000-0005-0000-0000-0000C4770000}"/>
    <cellStyle name="40% - Accent6 140 2" xfId="30670" xr:uid="{00000000-0005-0000-0000-0000C5770000}"/>
    <cellStyle name="40% - Accent6 141" xfId="30671" xr:uid="{00000000-0005-0000-0000-0000C6770000}"/>
    <cellStyle name="40% - Accent6 141 2" xfId="30672" xr:uid="{00000000-0005-0000-0000-0000C7770000}"/>
    <cellStyle name="40% - Accent6 142" xfId="30673" xr:uid="{00000000-0005-0000-0000-0000C8770000}"/>
    <cellStyle name="40% - Accent6 142 2" xfId="30674" xr:uid="{00000000-0005-0000-0000-0000C9770000}"/>
    <cellStyle name="40% - Accent6 143" xfId="30675" xr:uid="{00000000-0005-0000-0000-0000CA770000}"/>
    <cellStyle name="40% - Accent6 143 2" xfId="30676" xr:uid="{00000000-0005-0000-0000-0000CB770000}"/>
    <cellStyle name="40% - Accent6 144" xfId="30677" xr:uid="{00000000-0005-0000-0000-0000CC770000}"/>
    <cellStyle name="40% - Accent6 144 2" xfId="30678" xr:uid="{00000000-0005-0000-0000-0000CD770000}"/>
    <cellStyle name="40% - Accent6 145" xfId="30679" xr:uid="{00000000-0005-0000-0000-0000CE770000}"/>
    <cellStyle name="40% - Accent6 145 2" xfId="30680" xr:uid="{00000000-0005-0000-0000-0000CF770000}"/>
    <cellStyle name="40% - Accent6 146" xfId="30681" xr:uid="{00000000-0005-0000-0000-0000D0770000}"/>
    <cellStyle name="40% - Accent6 146 2" xfId="30682" xr:uid="{00000000-0005-0000-0000-0000D1770000}"/>
    <cellStyle name="40% - Accent6 147" xfId="30683" xr:uid="{00000000-0005-0000-0000-0000D2770000}"/>
    <cellStyle name="40% - Accent6 147 2" xfId="30684" xr:uid="{00000000-0005-0000-0000-0000D3770000}"/>
    <cellStyle name="40% - Accent6 148" xfId="30685" xr:uid="{00000000-0005-0000-0000-0000D4770000}"/>
    <cellStyle name="40% - Accent6 148 2" xfId="30686" xr:uid="{00000000-0005-0000-0000-0000D5770000}"/>
    <cellStyle name="40% - Accent6 149" xfId="30687" xr:uid="{00000000-0005-0000-0000-0000D6770000}"/>
    <cellStyle name="40% - Accent6 149 2" xfId="30688" xr:uid="{00000000-0005-0000-0000-0000D7770000}"/>
    <cellStyle name="40% - Accent6 15" xfId="30689" xr:uid="{00000000-0005-0000-0000-0000D8770000}"/>
    <cellStyle name="40% - Accent6 15 2" xfId="30690" xr:uid="{00000000-0005-0000-0000-0000D9770000}"/>
    <cellStyle name="40% - Accent6 15 2 2" xfId="30691" xr:uid="{00000000-0005-0000-0000-0000DA770000}"/>
    <cellStyle name="40% - Accent6 15 3" xfId="30692" xr:uid="{00000000-0005-0000-0000-0000DB770000}"/>
    <cellStyle name="40% - Accent6 15 3 2" xfId="30693" xr:uid="{00000000-0005-0000-0000-0000DC770000}"/>
    <cellStyle name="40% - Accent6 15 4" xfId="30694" xr:uid="{00000000-0005-0000-0000-0000DD770000}"/>
    <cellStyle name="40% - Accent6 150" xfId="30695" xr:uid="{00000000-0005-0000-0000-0000DE770000}"/>
    <cellStyle name="40% - Accent6 150 2" xfId="30696" xr:uid="{00000000-0005-0000-0000-0000DF770000}"/>
    <cellStyle name="40% - Accent6 151" xfId="30697" xr:uid="{00000000-0005-0000-0000-0000E0770000}"/>
    <cellStyle name="40% - Accent6 151 2" xfId="30698" xr:uid="{00000000-0005-0000-0000-0000E1770000}"/>
    <cellStyle name="40% - Accent6 152" xfId="30699" xr:uid="{00000000-0005-0000-0000-0000E2770000}"/>
    <cellStyle name="40% - Accent6 152 2" xfId="30700" xr:uid="{00000000-0005-0000-0000-0000E3770000}"/>
    <cellStyle name="40% - Accent6 153" xfId="30701" xr:uid="{00000000-0005-0000-0000-0000E4770000}"/>
    <cellStyle name="40% - Accent6 153 2" xfId="30702" xr:uid="{00000000-0005-0000-0000-0000E5770000}"/>
    <cellStyle name="40% - Accent6 154" xfId="30703" xr:uid="{00000000-0005-0000-0000-0000E6770000}"/>
    <cellStyle name="40% - Accent6 154 2" xfId="30704" xr:uid="{00000000-0005-0000-0000-0000E7770000}"/>
    <cellStyle name="40% - Accent6 155" xfId="30705" xr:uid="{00000000-0005-0000-0000-0000E8770000}"/>
    <cellStyle name="40% - Accent6 155 2" xfId="30706" xr:uid="{00000000-0005-0000-0000-0000E9770000}"/>
    <cellStyle name="40% - Accent6 156" xfId="30707" xr:uid="{00000000-0005-0000-0000-0000EA770000}"/>
    <cellStyle name="40% - Accent6 156 2" xfId="30708" xr:uid="{00000000-0005-0000-0000-0000EB770000}"/>
    <cellStyle name="40% - Accent6 157" xfId="30709" xr:uid="{00000000-0005-0000-0000-0000EC770000}"/>
    <cellStyle name="40% - Accent6 157 2" xfId="30710" xr:uid="{00000000-0005-0000-0000-0000ED770000}"/>
    <cellStyle name="40% - Accent6 158" xfId="30711" xr:uid="{00000000-0005-0000-0000-0000EE770000}"/>
    <cellStyle name="40% - Accent6 158 2" xfId="30712" xr:uid="{00000000-0005-0000-0000-0000EF770000}"/>
    <cellStyle name="40% - Accent6 159" xfId="30713" xr:uid="{00000000-0005-0000-0000-0000F0770000}"/>
    <cellStyle name="40% - Accent6 159 2" xfId="30714" xr:uid="{00000000-0005-0000-0000-0000F1770000}"/>
    <cellStyle name="40% - Accent6 16" xfId="30715" xr:uid="{00000000-0005-0000-0000-0000F2770000}"/>
    <cellStyle name="40% - Accent6 16 2" xfId="30716" xr:uid="{00000000-0005-0000-0000-0000F3770000}"/>
    <cellStyle name="40% - Accent6 16 2 2" xfId="30717" xr:uid="{00000000-0005-0000-0000-0000F4770000}"/>
    <cellStyle name="40% - Accent6 16 3" xfId="30718" xr:uid="{00000000-0005-0000-0000-0000F5770000}"/>
    <cellStyle name="40% - Accent6 16 3 2" xfId="30719" xr:uid="{00000000-0005-0000-0000-0000F6770000}"/>
    <cellStyle name="40% - Accent6 16 4" xfId="30720" xr:uid="{00000000-0005-0000-0000-0000F7770000}"/>
    <cellStyle name="40% - Accent6 160" xfId="30721" xr:uid="{00000000-0005-0000-0000-0000F8770000}"/>
    <cellStyle name="40% - Accent6 160 2" xfId="30722" xr:uid="{00000000-0005-0000-0000-0000F9770000}"/>
    <cellStyle name="40% - Accent6 161" xfId="30723" xr:uid="{00000000-0005-0000-0000-0000FA770000}"/>
    <cellStyle name="40% - Accent6 161 2" xfId="30724" xr:uid="{00000000-0005-0000-0000-0000FB770000}"/>
    <cellStyle name="40% - Accent6 162" xfId="30725" xr:uid="{00000000-0005-0000-0000-0000FC770000}"/>
    <cellStyle name="40% - Accent6 162 2" xfId="30726" xr:uid="{00000000-0005-0000-0000-0000FD770000}"/>
    <cellStyle name="40% - Accent6 163" xfId="30727" xr:uid="{00000000-0005-0000-0000-0000FE770000}"/>
    <cellStyle name="40% - Accent6 163 2" xfId="30728" xr:uid="{00000000-0005-0000-0000-0000FF770000}"/>
    <cellStyle name="40% - Accent6 164" xfId="30729" xr:uid="{00000000-0005-0000-0000-000000780000}"/>
    <cellStyle name="40% - Accent6 164 2" xfId="30730" xr:uid="{00000000-0005-0000-0000-000001780000}"/>
    <cellStyle name="40% - Accent6 165" xfId="30731" xr:uid="{00000000-0005-0000-0000-000002780000}"/>
    <cellStyle name="40% - Accent6 165 2" xfId="30732" xr:uid="{00000000-0005-0000-0000-000003780000}"/>
    <cellStyle name="40% - Accent6 166" xfId="30733" xr:uid="{00000000-0005-0000-0000-000004780000}"/>
    <cellStyle name="40% - Accent6 166 2" xfId="30734" xr:uid="{00000000-0005-0000-0000-000005780000}"/>
    <cellStyle name="40% - Accent6 167" xfId="30735" xr:uid="{00000000-0005-0000-0000-000006780000}"/>
    <cellStyle name="40% - Accent6 167 2" xfId="30736" xr:uid="{00000000-0005-0000-0000-000007780000}"/>
    <cellStyle name="40% - Accent6 168" xfId="30737" xr:uid="{00000000-0005-0000-0000-000008780000}"/>
    <cellStyle name="40% - Accent6 168 2" xfId="30738" xr:uid="{00000000-0005-0000-0000-000009780000}"/>
    <cellStyle name="40% - Accent6 169" xfId="30739" xr:uid="{00000000-0005-0000-0000-00000A780000}"/>
    <cellStyle name="40% - Accent6 169 2" xfId="30740" xr:uid="{00000000-0005-0000-0000-00000B780000}"/>
    <cellStyle name="40% - Accent6 17" xfId="30741" xr:uid="{00000000-0005-0000-0000-00000C780000}"/>
    <cellStyle name="40% - Accent6 17 2" xfId="30742" xr:uid="{00000000-0005-0000-0000-00000D780000}"/>
    <cellStyle name="40% - Accent6 17 2 2" xfId="30743" xr:uid="{00000000-0005-0000-0000-00000E780000}"/>
    <cellStyle name="40% - Accent6 17 3" xfId="30744" xr:uid="{00000000-0005-0000-0000-00000F780000}"/>
    <cellStyle name="40% - Accent6 17 3 2" xfId="30745" xr:uid="{00000000-0005-0000-0000-000010780000}"/>
    <cellStyle name="40% - Accent6 17 4" xfId="30746" xr:uid="{00000000-0005-0000-0000-000011780000}"/>
    <cellStyle name="40% - Accent6 170" xfId="30747" xr:uid="{00000000-0005-0000-0000-000012780000}"/>
    <cellStyle name="40% - Accent6 170 2" xfId="30748" xr:uid="{00000000-0005-0000-0000-000013780000}"/>
    <cellStyle name="40% - Accent6 171" xfId="30749" xr:uid="{00000000-0005-0000-0000-000014780000}"/>
    <cellStyle name="40% - Accent6 171 2" xfId="30750" xr:uid="{00000000-0005-0000-0000-000015780000}"/>
    <cellStyle name="40% - Accent6 172" xfId="30751" xr:uid="{00000000-0005-0000-0000-000016780000}"/>
    <cellStyle name="40% - Accent6 172 2" xfId="30752" xr:uid="{00000000-0005-0000-0000-000017780000}"/>
    <cellStyle name="40% - Accent6 173" xfId="30753" xr:uid="{00000000-0005-0000-0000-000018780000}"/>
    <cellStyle name="40% - Accent6 173 2" xfId="30754" xr:uid="{00000000-0005-0000-0000-000019780000}"/>
    <cellStyle name="40% - Accent6 174" xfId="30755" xr:uid="{00000000-0005-0000-0000-00001A780000}"/>
    <cellStyle name="40% - Accent6 174 2" xfId="30756" xr:uid="{00000000-0005-0000-0000-00001B780000}"/>
    <cellStyle name="40% - Accent6 175" xfId="30757" xr:uid="{00000000-0005-0000-0000-00001C780000}"/>
    <cellStyle name="40% - Accent6 175 2" xfId="30758" xr:uid="{00000000-0005-0000-0000-00001D780000}"/>
    <cellStyle name="40% - Accent6 176" xfId="30759" xr:uid="{00000000-0005-0000-0000-00001E780000}"/>
    <cellStyle name="40% - Accent6 176 2" xfId="30760" xr:uid="{00000000-0005-0000-0000-00001F780000}"/>
    <cellStyle name="40% - Accent6 177" xfId="30761" xr:uid="{00000000-0005-0000-0000-000020780000}"/>
    <cellStyle name="40% - Accent6 177 2" xfId="30762" xr:uid="{00000000-0005-0000-0000-000021780000}"/>
    <cellStyle name="40% - Accent6 178" xfId="30763" xr:uid="{00000000-0005-0000-0000-000022780000}"/>
    <cellStyle name="40% - Accent6 178 2" xfId="30764" xr:uid="{00000000-0005-0000-0000-000023780000}"/>
    <cellStyle name="40% - Accent6 179" xfId="30765" xr:uid="{00000000-0005-0000-0000-000024780000}"/>
    <cellStyle name="40% - Accent6 179 2" xfId="30766" xr:uid="{00000000-0005-0000-0000-000025780000}"/>
    <cellStyle name="40% - Accent6 18" xfId="30767" xr:uid="{00000000-0005-0000-0000-000026780000}"/>
    <cellStyle name="40% - Accent6 18 2" xfId="30768" xr:uid="{00000000-0005-0000-0000-000027780000}"/>
    <cellStyle name="40% - Accent6 18 2 2" xfId="30769" xr:uid="{00000000-0005-0000-0000-000028780000}"/>
    <cellStyle name="40% - Accent6 18 3" xfId="30770" xr:uid="{00000000-0005-0000-0000-000029780000}"/>
    <cellStyle name="40% - Accent6 18 3 2" xfId="30771" xr:uid="{00000000-0005-0000-0000-00002A780000}"/>
    <cellStyle name="40% - Accent6 18 4" xfId="30772" xr:uid="{00000000-0005-0000-0000-00002B780000}"/>
    <cellStyle name="40% - Accent6 180" xfId="30773" xr:uid="{00000000-0005-0000-0000-00002C780000}"/>
    <cellStyle name="40% - Accent6 180 2" xfId="30774" xr:uid="{00000000-0005-0000-0000-00002D780000}"/>
    <cellStyle name="40% - Accent6 181" xfId="30775" xr:uid="{00000000-0005-0000-0000-00002E780000}"/>
    <cellStyle name="40% - Accent6 181 2" xfId="30776" xr:uid="{00000000-0005-0000-0000-00002F780000}"/>
    <cellStyle name="40% - Accent6 182" xfId="30777" xr:uid="{00000000-0005-0000-0000-000030780000}"/>
    <cellStyle name="40% - Accent6 182 2" xfId="30778" xr:uid="{00000000-0005-0000-0000-000031780000}"/>
    <cellStyle name="40% - Accent6 183" xfId="30779" xr:uid="{00000000-0005-0000-0000-000032780000}"/>
    <cellStyle name="40% - Accent6 183 2" xfId="30780" xr:uid="{00000000-0005-0000-0000-000033780000}"/>
    <cellStyle name="40% - Accent6 184" xfId="30781" xr:uid="{00000000-0005-0000-0000-000034780000}"/>
    <cellStyle name="40% - Accent6 184 2" xfId="30782" xr:uid="{00000000-0005-0000-0000-000035780000}"/>
    <cellStyle name="40% - Accent6 185" xfId="30783" xr:uid="{00000000-0005-0000-0000-000036780000}"/>
    <cellStyle name="40% - Accent6 185 2" xfId="30784" xr:uid="{00000000-0005-0000-0000-000037780000}"/>
    <cellStyle name="40% - Accent6 186" xfId="30785" xr:uid="{00000000-0005-0000-0000-000038780000}"/>
    <cellStyle name="40% - Accent6 186 2" xfId="30786" xr:uid="{00000000-0005-0000-0000-000039780000}"/>
    <cellStyle name="40% - Accent6 187" xfId="30787" xr:uid="{00000000-0005-0000-0000-00003A780000}"/>
    <cellStyle name="40% - Accent6 187 2" xfId="30788" xr:uid="{00000000-0005-0000-0000-00003B780000}"/>
    <cellStyle name="40% - Accent6 188" xfId="30789" xr:uid="{00000000-0005-0000-0000-00003C780000}"/>
    <cellStyle name="40% - Accent6 188 2" xfId="30790" xr:uid="{00000000-0005-0000-0000-00003D780000}"/>
    <cellStyle name="40% - Accent6 189" xfId="30791" xr:uid="{00000000-0005-0000-0000-00003E780000}"/>
    <cellStyle name="40% - Accent6 189 2" xfId="30792" xr:uid="{00000000-0005-0000-0000-00003F780000}"/>
    <cellStyle name="40% - Accent6 19" xfId="30793" xr:uid="{00000000-0005-0000-0000-000040780000}"/>
    <cellStyle name="40% - Accent6 19 2" xfId="30794" xr:uid="{00000000-0005-0000-0000-000041780000}"/>
    <cellStyle name="40% - Accent6 19 2 2" xfId="30795" xr:uid="{00000000-0005-0000-0000-000042780000}"/>
    <cellStyle name="40% - Accent6 19 3" xfId="30796" xr:uid="{00000000-0005-0000-0000-000043780000}"/>
    <cellStyle name="40% - Accent6 19 3 2" xfId="30797" xr:uid="{00000000-0005-0000-0000-000044780000}"/>
    <cellStyle name="40% - Accent6 19 4" xfId="30798" xr:uid="{00000000-0005-0000-0000-000045780000}"/>
    <cellStyle name="40% - Accent6 190" xfId="30799" xr:uid="{00000000-0005-0000-0000-000046780000}"/>
    <cellStyle name="40% - Accent6 190 2" xfId="30800" xr:uid="{00000000-0005-0000-0000-000047780000}"/>
    <cellStyle name="40% - Accent6 191" xfId="30801" xr:uid="{00000000-0005-0000-0000-000048780000}"/>
    <cellStyle name="40% - Accent6 191 2" xfId="30802" xr:uid="{00000000-0005-0000-0000-000049780000}"/>
    <cellStyle name="40% - Accent6 192" xfId="30803" xr:uid="{00000000-0005-0000-0000-00004A780000}"/>
    <cellStyle name="40% - Accent6 192 2" xfId="30804" xr:uid="{00000000-0005-0000-0000-00004B780000}"/>
    <cellStyle name="40% - Accent6 193" xfId="30805" xr:uid="{00000000-0005-0000-0000-00004C780000}"/>
    <cellStyle name="40% - Accent6 193 2" xfId="30806" xr:uid="{00000000-0005-0000-0000-00004D780000}"/>
    <cellStyle name="40% - Accent6 194" xfId="30807" xr:uid="{00000000-0005-0000-0000-00004E780000}"/>
    <cellStyle name="40% - Accent6 194 2" xfId="30808" xr:uid="{00000000-0005-0000-0000-00004F780000}"/>
    <cellStyle name="40% - Accent6 195" xfId="30809" xr:uid="{00000000-0005-0000-0000-000050780000}"/>
    <cellStyle name="40% - Accent6 195 2" xfId="30810" xr:uid="{00000000-0005-0000-0000-000051780000}"/>
    <cellStyle name="40% - Accent6 196" xfId="30811" xr:uid="{00000000-0005-0000-0000-000052780000}"/>
    <cellStyle name="40% - Accent6 196 2" xfId="30812" xr:uid="{00000000-0005-0000-0000-000053780000}"/>
    <cellStyle name="40% - Accent6 197" xfId="30813" xr:uid="{00000000-0005-0000-0000-000054780000}"/>
    <cellStyle name="40% - Accent6 197 2" xfId="30814" xr:uid="{00000000-0005-0000-0000-000055780000}"/>
    <cellStyle name="40% - Accent6 198" xfId="30815" xr:uid="{00000000-0005-0000-0000-000056780000}"/>
    <cellStyle name="40% - Accent6 198 2" xfId="30816" xr:uid="{00000000-0005-0000-0000-000057780000}"/>
    <cellStyle name="40% - Accent6 2" xfId="30817" xr:uid="{00000000-0005-0000-0000-000058780000}"/>
    <cellStyle name="40% - Accent6 2 2" xfId="30818" xr:uid="{00000000-0005-0000-0000-000059780000}"/>
    <cellStyle name="40% - Accent6 2 2 2" xfId="30819" xr:uid="{00000000-0005-0000-0000-00005A780000}"/>
    <cellStyle name="40% - Accent6 2 2 2 2" xfId="30820" xr:uid="{00000000-0005-0000-0000-00005B780000}"/>
    <cellStyle name="40% - Accent6 2 2 3" xfId="30821" xr:uid="{00000000-0005-0000-0000-00005C780000}"/>
    <cellStyle name="40% - Accent6 2 2 3 2" xfId="30822" xr:uid="{00000000-0005-0000-0000-00005D780000}"/>
    <cellStyle name="40% - Accent6 2 2 4" xfId="30823" xr:uid="{00000000-0005-0000-0000-00005E780000}"/>
    <cellStyle name="40% - Accent6 2 2 4 2" xfId="30824" xr:uid="{00000000-0005-0000-0000-00005F780000}"/>
    <cellStyle name="40% - Accent6 2 2 5" xfId="30825" xr:uid="{00000000-0005-0000-0000-000060780000}"/>
    <cellStyle name="40% - Accent6 2 2 5 2" xfId="30826" xr:uid="{00000000-0005-0000-0000-000061780000}"/>
    <cellStyle name="40% - Accent6 2 2 6" xfId="30827" xr:uid="{00000000-0005-0000-0000-000062780000}"/>
    <cellStyle name="40% - Accent6 2 3" xfId="30828" xr:uid="{00000000-0005-0000-0000-000063780000}"/>
    <cellStyle name="40% - Accent6 2 3 2" xfId="30829" xr:uid="{00000000-0005-0000-0000-000064780000}"/>
    <cellStyle name="40% - Accent6 2 4" xfId="30830" xr:uid="{00000000-0005-0000-0000-000065780000}"/>
    <cellStyle name="40% - Accent6 2 4 2" xfId="30831" xr:uid="{00000000-0005-0000-0000-000066780000}"/>
    <cellStyle name="40% - Accent6 2 5" xfId="30832" xr:uid="{00000000-0005-0000-0000-000067780000}"/>
    <cellStyle name="40% - Accent6 2 5 2" xfId="30833" xr:uid="{00000000-0005-0000-0000-000068780000}"/>
    <cellStyle name="40% - Accent6 2 6" xfId="30834" xr:uid="{00000000-0005-0000-0000-000069780000}"/>
    <cellStyle name="40% - Accent6 2 6 2" xfId="30835" xr:uid="{00000000-0005-0000-0000-00006A780000}"/>
    <cellStyle name="40% - Accent6 2 7" xfId="30836" xr:uid="{00000000-0005-0000-0000-00006B780000}"/>
    <cellStyle name="40% - Accent6 20" xfId="30837" xr:uid="{00000000-0005-0000-0000-00006C780000}"/>
    <cellStyle name="40% - Accent6 20 2" xfId="30838" xr:uid="{00000000-0005-0000-0000-00006D780000}"/>
    <cellStyle name="40% - Accent6 20 2 2" xfId="30839" xr:uid="{00000000-0005-0000-0000-00006E780000}"/>
    <cellStyle name="40% - Accent6 20 3" xfId="30840" xr:uid="{00000000-0005-0000-0000-00006F780000}"/>
    <cellStyle name="40% - Accent6 20 3 2" xfId="30841" xr:uid="{00000000-0005-0000-0000-000070780000}"/>
    <cellStyle name="40% - Accent6 20 4" xfId="30842" xr:uid="{00000000-0005-0000-0000-000071780000}"/>
    <cellStyle name="40% - Accent6 21" xfId="30843" xr:uid="{00000000-0005-0000-0000-000072780000}"/>
    <cellStyle name="40% - Accent6 21 2" xfId="30844" xr:uid="{00000000-0005-0000-0000-000073780000}"/>
    <cellStyle name="40% - Accent6 21 2 2" xfId="30845" xr:uid="{00000000-0005-0000-0000-000074780000}"/>
    <cellStyle name="40% - Accent6 21 3" xfId="30846" xr:uid="{00000000-0005-0000-0000-000075780000}"/>
    <cellStyle name="40% - Accent6 21 3 2" xfId="30847" xr:uid="{00000000-0005-0000-0000-000076780000}"/>
    <cellStyle name="40% - Accent6 21 4" xfId="30848" xr:uid="{00000000-0005-0000-0000-000077780000}"/>
    <cellStyle name="40% - Accent6 22" xfId="30849" xr:uid="{00000000-0005-0000-0000-000078780000}"/>
    <cellStyle name="40% - Accent6 22 2" xfId="30850" xr:uid="{00000000-0005-0000-0000-000079780000}"/>
    <cellStyle name="40% - Accent6 22 2 2" xfId="30851" xr:uid="{00000000-0005-0000-0000-00007A780000}"/>
    <cellStyle name="40% - Accent6 22 3" xfId="30852" xr:uid="{00000000-0005-0000-0000-00007B780000}"/>
    <cellStyle name="40% - Accent6 22 3 2" xfId="30853" xr:uid="{00000000-0005-0000-0000-00007C780000}"/>
    <cellStyle name="40% - Accent6 22 4" xfId="30854" xr:uid="{00000000-0005-0000-0000-00007D780000}"/>
    <cellStyle name="40% - Accent6 23" xfId="30855" xr:uid="{00000000-0005-0000-0000-00007E780000}"/>
    <cellStyle name="40% - Accent6 23 2" xfId="30856" xr:uid="{00000000-0005-0000-0000-00007F780000}"/>
    <cellStyle name="40% - Accent6 23 2 2" xfId="30857" xr:uid="{00000000-0005-0000-0000-000080780000}"/>
    <cellStyle name="40% - Accent6 23 3" xfId="30858" xr:uid="{00000000-0005-0000-0000-000081780000}"/>
    <cellStyle name="40% - Accent6 23 3 2" xfId="30859" xr:uid="{00000000-0005-0000-0000-000082780000}"/>
    <cellStyle name="40% - Accent6 23 4" xfId="30860" xr:uid="{00000000-0005-0000-0000-000083780000}"/>
    <cellStyle name="40% - Accent6 24" xfId="30861" xr:uid="{00000000-0005-0000-0000-000084780000}"/>
    <cellStyle name="40% - Accent6 24 2" xfId="30862" xr:uid="{00000000-0005-0000-0000-000085780000}"/>
    <cellStyle name="40% - Accent6 24 2 2" xfId="30863" xr:uid="{00000000-0005-0000-0000-000086780000}"/>
    <cellStyle name="40% - Accent6 24 3" xfId="30864" xr:uid="{00000000-0005-0000-0000-000087780000}"/>
    <cellStyle name="40% - Accent6 24 3 2" xfId="30865" xr:uid="{00000000-0005-0000-0000-000088780000}"/>
    <cellStyle name="40% - Accent6 24 4" xfId="30866" xr:uid="{00000000-0005-0000-0000-000089780000}"/>
    <cellStyle name="40% - Accent6 25" xfId="30867" xr:uid="{00000000-0005-0000-0000-00008A780000}"/>
    <cellStyle name="40% - Accent6 25 2" xfId="30868" xr:uid="{00000000-0005-0000-0000-00008B780000}"/>
    <cellStyle name="40% - Accent6 25 2 2" xfId="30869" xr:uid="{00000000-0005-0000-0000-00008C780000}"/>
    <cellStyle name="40% - Accent6 25 3" xfId="30870" xr:uid="{00000000-0005-0000-0000-00008D780000}"/>
    <cellStyle name="40% - Accent6 25 3 2" xfId="30871" xr:uid="{00000000-0005-0000-0000-00008E780000}"/>
    <cellStyle name="40% - Accent6 25 4" xfId="30872" xr:uid="{00000000-0005-0000-0000-00008F780000}"/>
    <cellStyle name="40% - Accent6 26" xfId="30873" xr:uid="{00000000-0005-0000-0000-000090780000}"/>
    <cellStyle name="40% - Accent6 26 2" xfId="30874" xr:uid="{00000000-0005-0000-0000-000091780000}"/>
    <cellStyle name="40% - Accent6 26 2 2" xfId="30875" xr:uid="{00000000-0005-0000-0000-000092780000}"/>
    <cellStyle name="40% - Accent6 26 3" xfId="30876" xr:uid="{00000000-0005-0000-0000-000093780000}"/>
    <cellStyle name="40% - Accent6 26 3 2" xfId="30877" xr:uid="{00000000-0005-0000-0000-000094780000}"/>
    <cellStyle name="40% - Accent6 26 4" xfId="30878" xr:uid="{00000000-0005-0000-0000-000095780000}"/>
    <cellStyle name="40% - Accent6 27" xfId="30879" xr:uid="{00000000-0005-0000-0000-000096780000}"/>
    <cellStyle name="40% - Accent6 27 2" xfId="30880" xr:uid="{00000000-0005-0000-0000-000097780000}"/>
    <cellStyle name="40% - Accent6 27 2 2" xfId="30881" xr:uid="{00000000-0005-0000-0000-000098780000}"/>
    <cellStyle name="40% - Accent6 27 3" xfId="30882" xr:uid="{00000000-0005-0000-0000-000099780000}"/>
    <cellStyle name="40% - Accent6 27 3 2" xfId="30883" xr:uid="{00000000-0005-0000-0000-00009A780000}"/>
    <cellStyle name="40% - Accent6 27 4" xfId="30884" xr:uid="{00000000-0005-0000-0000-00009B780000}"/>
    <cellStyle name="40% - Accent6 28" xfId="30885" xr:uid="{00000000-0005-0000-0000-00009C780000}"/>
    <cellStyle name="40% - Accent6 28 2" xfId="30886" xr:uid="{00000000-0005-0000-0000-00009D780000}"/>
    <cellStyle name="40% - Accent6 28 2 2" xfId="30887" xr:uid="{00000000-0005-0000-0000-00009E780000}"/>
    <cellStyle name="40% - Accent6 28 3" xfId="30888" xr:uid="{00000000-0005-0000-0000-00009F780000}"/>
    <cellStyle name="40% - Accent6 28 3 2" xfId="30889" xr:uid="{00000000-0005-0000-0000-0000A0780000}"/>
    <cellStyle name="40% - Accent6 28 4" xfId="30890" xr:uid="{00000000-0005-0000-0000-0000A1780000}"/>
    <cellStyle name="40% - Accent6 29" xfId="30891" xr:uid="{00000000-0005-0000-0000-0000A2780000}"/>
    <cellStyle name="40% - Accent6 29 2" xfId="30892" xr:uid="{00000000-0005-0000-0000-0000A3780000}"/>
    <cellStyle name="40% - Accent6 29 2 2" xfId="30893" xr:uid="{00000000-0005-0000-0000-0000A4780000}"/>
    <cellStyle name="40% - Accent6 29 3" xfId="30894" xr:uid="{00000000-0005-0000-0000-0000A5780000}"/>
    <cellStyle name="40% - Accent6 29 3 2" xfId="30895" xr:uid="{00000000-0005-0000-0000-0000A6780000}"/>
    <cellStyle name="40% - Accent6 29 4" xfId="30896" xr:uid="{00000000-0005-0000-0000-0000A7780000}"/>
    <cellStyle name="40% - Accent6 3" xfId="30897" xr:uid="{00000000-0005-0000-0000-0000A8780000}"/>
    <cellStyle name="40% - Accent6 3 2" xfId="30898" xr:uid="{00000000-0005-0000-0000-0000A9780000}"/>
    <cellStyle name="40% - Accent6 3 2 2" xfId="30899" xr:uid="{00000000-0005-0000-0000-0000AA780000}"/>
    <cellStyle name="40% - Accent6 3 3" xfId="30900" xr:uid="{00000000-0005-0000-0000-0000AB780000}"/>
    <cellStyle name="40% - Accent6 3 3 2" xfId="30901" xr:uid="{00000000-0005-0000-0000-0000AC780000}"/>
    <cellStyle name="40% - Accent6 3 4" xfId="30902" xr:uid="{00000000-0005-0000-0000-0000AD780000}"/>
    <cellStyle name="40% - Accent6 3 4 2" xfId="30903" xr:uid="{00000000-0005-0000-0000-0000AE780000}"/>
    <cellStyle name="40% - Accent6 3 5" xfId="30904" xr:uid="{00000000-0005-0000-0000-0000AF780000}"/>
    <cellStyle name="40% - Accent6 3 5 2" xfId="30905" xr:uid="{00000000-0005-0000-0000-0000B0780000}"/>
    <cellStyle name="40% - Accent6 3 6" xfId="30906" xr:uid="{00000000-0005-0000-0000-0000B1780000}"/>
    <cellStyle name="40% - Accent6 3 6 2" xfId="30907" xr:uid="{00000000-0005-0000-0000-0000B2780000}"/>
    <cellStyle name="40% - Accent6 3 7" xfId="30908" xr:uid="{00000000-0005-0000-0000-0000B3780000}"/>
    <cellStyle name="40% - Accent6 30" xfId="30909" xr:uid="{00000000-0005-0000-0000-0000B4780000}"/>
    <cellStyle name="40% - Accent6 30 2" xfId="30910" xr:uid="{00000000-0005-0000-0000-0000B5780000}"/>
    <cellStyle name="40% - Accent6 30 2 2" xfId="30911" xr:uid="{00000000-0005-0000-0000-0000B6780000}"/>
    <cellStyle name="40% - Accent6 30 3" xfId="30912" xr:uid="{00000000-0005-0000-0000-0000B7780000}"/>
    <cellStyle name="40% - Accent6 30 3 2" xfId="30913" xr:uid="{00000000-0005-0000-0000-0000B8780000}"/>
    <cellStyle name="40% - Accent6 30 4" xfId="30914" xr:uid="{00000000-0005-0000-0000-0000B9780000}"/>
    <cellStyle name="40% - Accent6 31" xfId="30915" xr:uid="{00000000-0005-0000-0000-0000BA780000}"/>
    <cellStyle name="40% - Accent6 31 2" xfId="30916" xr:uid="{00000000-0005-0000-0000-0000BB780000}"/>
    <cellStyle name="40% - Accent6 31 2 2" xfId="30917" xr:uid="{00000000-0005-0000-0000-0000BC780000}"/>
    <cellStyle name="40% - Accent6 31 3" xfId="30918" xr:uid="{00000000-0005-0000-0000-0000BD780000}"/>
    <cellStyle name="40% - Accent6 31 3 2" xfId="30919" xr:uid="{00000000-0005-0000-0000-0000BE780000}"/>
    <cellStyle name="40% - Accent6 31 4" xfId="30920" xr:uid="{00000000-0005-0000-0000-0000BF780000}"/>
    <cellStyle name="40% - Accent6 32" xfId="30921" xr:uid="{00000000-0005-0000-0000-0000C0780000}"/>
    <cellStyle name="40% - Accent6 32 2" xfId="30922" xr:uid="{00000000-0005-0000-0000-0000C1780000}"/>
    <cellStyle name="40% - Accent6 32 2 2" xfId="30923" xr:uid="{00000000-0005-0000-0000-0000C2780000}"/>
    <cellStyle name="40% - Accent6 32 3" xfId="30924" xr:uid="{00000000-0005-0000-0000-0000C3780000}"/>
    <cellStyle name="40% - Accent6 32 3 2" xfId="30925" xr:uid="{00000000-0005-0000-0000-0000C4780000}"/>
    <cellStyle name="40% - Accent6 32 4" xfId="30926" xr:uid="{00000000-0005-0000-0000-0000C5780000}"/>
    <cellStyle name="40% - Accent6 33" xfId="30927" xr:uid="{00000000-0005-0000-0000-0000C6780000}"/>
    <cellStyle name="40% - Accent6 33 2" xfId="30928" xr:uid="{00000000-0005-0000-0000-0000C7780000}"/>
    <cellStyle name="40% - Accent6 33 2 2" xfId="30929" xr:uid="{00000000-0005-0000-0000-0000C8780000}"/>
    <cellStyle name="40% - Accent6 33 3" xfId="30930" xr:uid="{00000000-0005-0000-0000-0000C9780000}"/>
    <cellStyle name="40% - Accent6 33 3 2" xfId="30931" xr:uid="{00000000-0005-0000-0000-0000CA780000}"/>
    <cellStyle name="40% - Accent6 33 4" xfId="30932" xr:uid="{00000000-0005-0000-0000-0000CB780000}"/>
    <cellStyle name="40% - Accent6 34" xfId="30933" xr:uid="{00000000-0005-0000-0000-0000CC780000}"/>
    <cellStyle name="40% - Accent6 34 2" xfId="30934" xr:uid="{00000000-0005-0000-0000-0000CD780000}"/>
    <cellStyle name="40% - Accent6 34 2 2" xfId="30935" xr:uid="{00000000-0005-0000-0000-0000CE780000}"/>
    <cellStyle name="40% - Accent6 34 3" xfId="30936" xr:uid="{00000000-0005-0000-0000-0000CF780000}"/>
    <cellStyle name="40% - Accent6 34 3 2" xfId="30937" xr:uid="{00000000-0005-0000-0000-0000D0780000}"/>
    <cellStyle name="40% - Accent6 34 4" xfId="30938" xr:uid="{00000000-0005-0000-0000-0000D1780000}"/>
    <cellStyle name="40% - Accent6 35" xfId="30939" xr:uid="{00000000-0005-0000-0000-0000D2780000}"/>
    <cellStyle name="40% - Accent6 35 2" xfId="30940" xr:uid="{00000000-0005-0000-0000-0000D3780000}"/>
    <cellStyle name="40% - Accent6 35 2 2" xfId="30941" xr:uid="{00000000-0005-0000-0000-0000D4780000}"/>
    <cellStyle name="40% - Accent6 35 3" xfId="30942" xr:uid="{00000000-0005-0000-0000-0000D5780000}"/>
    <cellStyle name="40% - Accent6 35 3 2" xfId="30943" xr:uid="{00000000-0005-0000-0000-0000D6780000}"/>
    <cellStyle name="40% - Accent6 35 4" xfId="30944" xr:uid="{00000000-0005-0000-0000-0000D7780000}"/>
    <cellStyle name="40% - Accent6 36" xfId="30945" xr:uid="{00000000-0005-0000-0000-0000D8780000}"/>
    <cellStyle name="40% - Accent6 36 2" xfId="30946" xr:uid="{00000000-0005-0000-0000-0000D9780000}"/>
    <cellStyle name="40% - Accent6 36 2 2" xfId="30947" xr:uid="{00000000-0005-0000-0000-0000DA780000}"/>
    <cellStyle name="40% - Accent6 36 3" xfId="30948" xr:uid="{00000000-0005-0000-0000-0000DB780000}"/>
    <cellStyle name="40% - Accent6 36 3 2" xfId="30949" xr:uid="{00000000-0005-0000-0000-0000DC780000}"/>
    <cellStyle name="40% - Accent6 36 4" xfId="30950" xr:uid="{00000000-0005-0000-0000-0000DD780000}"/>
    <cellStyle name="40% - Accent6 37" xfId="30951" xr:uid="{00000000-0005-0000-0000-0000DE780000}"/>
    <cellStyle name="40% - Accent6 37 2" xfId="30952" xr:uid="{00000000-0005-0000-0000-0000DF780000}"/>
    <cellStyle name="40% - Accent6 37 2 2" xfId="30953" xr:uid="{00000000-0005-0000-0000-0000E0780000}"/>
    <cellStyle name="40% - Accent6 37 3" xfId="30954" xr:uid="{00000000-0005-0000-0000-0000E1780000}"/>
    <cellStyle name="40% - Accent6 37 3 2" xfId="30955" xr:uid="{00000000-0005-0000-0000-0000E2780000}"/>
    <cellStyle name="40% - Accent6 37 4" xfId="30956" xr:uid="{00000000-0005-0000-0000-0000E3780000}"/>
    <cellStyle name="40% - Accent6 38" xfId="30957" xr:uid="{00000000-0005-0000-0000-0000E4780000}"/>
    <cellStyle name="40% - Accent6 38 2" xfId="30958" xr:uid="{00000000-0005-0000-0000-0000E5780000}"/>
    <cellStyle name="40% - Accent6 38 2 2" xfId="30959" xr:uid="{00000000-0005-0000-0000-0000E6780000}"/>
    <cellStyle name="40% - Accent6 38 3" xfId="30960" xr:uid="{00000000-0005-0000-0000-0000E7780000}"/>
    <cellStyle name="40% - Accent6 38 3 2" xfId="30961" xr:uid="{00000000-0005-0000-0000-0000E8780000}"/>
    <cellStyle name="40% - Accent6 38 4" xfId="30962" xr:uid="{00000000-0005-0000-0000-0000E9780000}"/>
    <cellStyle name="40% - Accent6 39" xfId="30963" xr:uid="{00000000-0005-0000-0000-0000EA780000}"/>
    <cellStyle name="40% - Accent6 39 2" xfId="30964" xr:uid="{00000000-0005-0000-0000-0000EB780000}"/>
    <cellStyle name="40% - Accent6 39 2 2" xfId="30965" xr:uid="{00000000-0005-0000-0000-0000EC780000}"/>
    <cellStyle name="40% - Accent6 39 3" xfId="30966" xr:uid="{00000000-0005-0000-0000-0000ED780000}"/>
    <cellStyle name="40% - Accent6 39 3 2" xfId="30967" xr:uid="{00000000-0005-0000-0000-0000EE780000}"/>
    <cellStyle name="40% - Accent6 39 4" xfId="30968" xr:uid="{00000000-0005-0000-0000-0000EF780000}"/>
    <cellStyle name="40% - Accent6 4" xfId="30969" xr:uid="{00000000-0005-0000-0000-0000F0780000}"/>
    <cellStyle name="40% - Accent6 4 2" xfId="30970" xr:uid="{00000000-0005-0000-0000-0000F1780000}"/>
    <cellStyle name="40% - Accent6 4 2 2" xfId="30971" xr:uid="{00000000-0005-0000-0000-0000F2780000}"/>
    <cellStyle name="40% - Accent6 4 3" xfId="30972" xr:uid="{00000000-0005-0000-0000-0000F3780000}"/>
    <cellStyle name="40% - Accent6 4 3 2" xfId="30973" xr:uid="{00000000-0005-0000-0000-0000F4780000}"/>
    <cellStyle name="40% - Accent6 4 4" xfId="30974" xr:uid="{00000000-0005-0000-0000-0000F5780000}"/>
    <cellStyle name="40% - Accent6 4 4 2" xfId="30975" xr:uid="{00000000-0005-0000-0000-0000F6780000}"/>
    <cellStyle name="40% - Accent6 4 5" xfId="30976" xr:uid="{00000000-0005-0000-0000-0000F7780000}"/>
    <cellStyle name="40% - Accent6 4 5 2" xfId="30977" xr:uid="{00000000-0005-0000-0000-0000F8780000}"/>
    <cellStyle name="40% - Accent6 4 6" xfId="30978" xr:uid="{00000000-0005-0000-0000-0000F9780000}"/>
    <cellStyle name="40% - Accent6 4 6 2" xfId="30979" xr:uid="{00000000-0005-0000-0000-0000FA780000}"/>
    <cellStyle name="40% - Accent6 4 7" xfId="30980" xr:uid="{00000000-0005-0000-0000-0000FB780000}"/>
    <cellStyle name="40% - Accent6 40" xfId="30981" xr:uid="{00000000-0005-0000-0000-0000FC780000}"/>
    <cellStyle name="40% - Accent6 40 2" xfId="30982" xr:uid="{00000000-0005-0000-0000-0000FD780000}"/>
    <cellStyle name="40% - Accent6 40 2 2" xfId="30983" xr:uid="{00000000-0005-0000-0000-0000FE780000}"/>
    <cellStyle name="40% - Accent6 40 3" xfId="30984" xr:uid="{00000000-0005-0000-0000-0000FF780000}"/>
    <cellStyle name="40% - Accent6 40 3 2" xfId="30985" xr:uid="{00000000-0005-0000-0000-000000790000}"/>
    <cellStyle name="40% - Accent6 40 4" xfId="30986" xr:uid="{00000000-0005-0000-0000-000001790000}"/>
    <cellStyle name="40% - Accent6 41" xfId="30987" xr:uid="{00000000-0005-0000-0000-000002790000}"/>
    <cellStyle name="40% - Accent6 41 2" xfId="30988" xr:uid="{00000000-0005-0000-0000-000003790000}"/>
    <cellStyle name="40% - Accent6 41 2 2" xfId="30989" xr:uid="{00000000-0005-0000-0000-000004790000}"/>
    <cellStyle name="40% - Accent6 41 3" xfId="30990" xr:uid="{00000000-0005-0000-0000-000005790000}"/>
    <cellStyle name="40% - Accent6 41 3 2" xfId="30991" xr:uid="{00000000-0005-0000-0000-000006790000}"/>
    <cellStyle name="40% - Accent6 41 4" xfId="30992" xr:uid="{00000000-0005-0000-0000-000007790000}"/>
    <cellStyle name="40% - Accent6 42" xfId="30993" xr:uid="{00000000-0005-0000-0000-000008790000}"/>
    <cellStyle name="40% - Accent6 42 2" xfId="30994" xr:uid="{00000000-0005-0000-0000-000009790000}"/>
    <cellStyle name="40% - Accent6 42 2 2" xfId="30995" xr:uid="{00000000-0005-0000-0000-00000A790000}"/>
    <cellStyle name="40% - Accent6 42 3" xfId="30996" xr:uid="{00000000-0005-0000-0000-00000B790000}"/>
    <cellStyle name="40% - Accent6 42 3 2" xfId="30997" xr:uid="{00000000-0005-0000-0000-00000C790000}"/>
    <cellStyle name="40% - Accent6 42 4" xfId="30998" xr:uid="{00000000-0005-0000-0000-00000D790000}"/>
    <cellStyle name="40% - Accent6 43" xfId="30999" xr:uid="{00000000-0005-0000-0000-00000E790000}"/>
    <cellStyle name="40% - Accent6 43 2" xfId="31000" xr:uid="{00000000-0005-0000-0000-00000F790000}"/>
    <cellStyle name="40% - Accent6 43 2 2" xfId="31001" xr:uid="{00000000-0005-0000-0000-000010790000}"/>
    <cellStyle name="40% - Accent6 43 3" xfId="31002" xr:uid="{00000000-0005-0000-0000-000011790000}"/>
    <cellStyle name="40% - Accent6 43 3 2" xfId="31003" xr:uid="{00000000-0005-0000-0000-000012790000}"/>
    <cellStyle name="40% - Accent6 43 4" xfId="31004" xr:uid="{00000000-0005-0000-0000-000013790000}"/>
    <cellStyle name="40% - Accent6 44" xfId="31005" xr:uid="{00000000-0005-0000-0000-000014790000}"/>
    <cellStyle name="40% - Accent6 44 2" xfId="31006" xr:uid="{00000000-0005-0000-0000-000015790000}"/>
    <cellStyle name="40% - Accent6 44 2 2" xfId="31007" xr:uid="{00000000-0005-0000-0000-000016790000}"/>
    <cellStyle name="40% - Accent6 44 3" xfId="31008" xr:uid="{00000000-0005-0000-0000-000017790000}"/>
    <cellStyle name="40% - Accent6 44 3 2" xfId="31009" xr:uid="{00000000-0005-0000-0000-000018790000}"/>
    <cellStyle name="40% - Accent6 44 4" xfId="31010" xr:uid="{00000000-0005-0000-0000-000019790000}"/>
    <cellStyle name="40% - Accent6 45" xfId="31011" xr:uid="{00000000-0005-0000-0000-00001A790000}"/>
    <cellStyle name="40% - Accent6 45 2" xfId="31012" xr:uid="{00000000-0005-0000-0000-00001B790000}"/>
    <cellStyle name="40% - Accent6 45 2 2" xfId="31013" xr:uid="{00000000-0005-0000-0000-00001C790000}"/>
    <cellStyle name="40% - Accent6 45 3" xfId="31014" xr:uid="{00000000-0005-0000-0000-00001D790000}"/>
    <cellStyle name="40% - Accent6 45 3 2" xfId="31015" xr:uid="{00000000-0005-0000-0000-00001E790000}"/>
    <cellStyle name="40% - Accent6 45 4" xfId="31016" xr:uid="{00000000-0005-0000-0000-00001F790000}"/>
    <cellStyle name="40% - Accent6 46" xfId="31017" xr:uid="{00000000-0005-0000-0000-000020790000}"/>
    <cellStyle name="40% - Accent6 46 2" xfId="31018" xr:uid="{00000000-0005-0000-0000-000021790000}"/>
    <cellStyle name="40% - Accent6 46 2 2" xfId="31019" xr:uid="{00000000-0005-0000-0000-000022790000}"/>
    <cellStyle name="40% - Accent6 46 3" xfId="31020" xr:uid="{00000000-0005-0000-0000-000023790000}"/>
    <cellStyle name="40% - Accent6 46 3 2" xfId="31021" xr:uid="{00000000-0005-0000-0000-000024790000}"/>
    <cellStyle name="40% - Accent6 46 4" xfId="31022" xr:uid="{00000000-0005-0000-0000-000025790000}"/>
    <cellStyle name="40% - Accent6 47" xfId="31023" xr:uid="{00000000-0005-0000-0000-000026790000}"/>
    <cellStyle name="40% - Accent6 47 2" xfId="31024" xr:uid="{00000000-0005-0000-0000-000027790000}"/>
    <cellStyle name="40% - Accent6 47 2 2" xfId="31025" xr:uid="{00000000-0005-0000-0000-000028790000}"/>
    <cellStyle name="40% - Accent6 47 3" xfId="31026" xr:uid="{00000000-0005-0000-0000-000029790000}"/>
    <cellStyle name="40% - Accent6 47 3 2" xfId="31027" xr:uid="{00000000-0005-0000-0000-00002A790000}"/>
    <cellStyle name="40% - Accent6 47 4" xfId="31028" xr:uid="{00000000-0005-0000-0000-00002B790000}"/>
    <cellStyle name="40% - Accent6 48" xfId="31029" xr:uid="{00000000-0005-0000-0000-00002C790000}"/>
    <cellStyle name="40% - Accent6 48 2" xfId="31030" xr:uid="{00000000-0005-0000-0000-00002D790000}"/>
    <cellStyle name="40% - Accent6 48 2 2" xfId="31031" xr:uid="{00000000-0005-0000-0000-00002E790000}"/>
    <cellStyle name="40% - Accent6 48 3" xfId="31032" xr:uid="{00000000-0005-0000-0000-00002F790000}"/>
    <cellStyle name="40% - Accent6 48 3 2" xfId="31033" xr:uid="{00000000-0005-0000-0000-000030790000}"/>
    <cellStyle name="40% - Accent6 48 4" xfId="31034" xr:uid="{00000000-0005-0000-0000-000031790000}"/>
    <cellStyle name="40% - Accent6 49" xfId="31035" xr:uid="{00000000-0005-0000-0000-000032790000}"/>
    <cellStyle name="40% - Accent6 49 2" xfId="31036" xr:uid="{00000000-0005-0000-0000-000033790000}"/>
    <cellStyle name="40% - Accent6 49 2 2" xfId="31037" xr:uid="{00000000-0005-0000-0000-000034790000}"/>
    <cellStyle name="40% - Accent6 49 3" xfId="31038" xr:uid="{00000000-0005-0000-0000-000035790000}"/>
    <cellStyle name="40% - Accent6 49 3 2" xfId="31039" xr:uid="{00000000-0005-0000-0000-000036790000}"/>
    <cellStyle name="40% - Accent6 49 4" xfId="31040" xr:uid="{00000000-0005-0000-0000-000037790000}"/>
    <cellStyle name="40% - Accent6 5" xfId="31041" xr:uid="{00000000-0005-0000-0000-000038790000}"/>
    <cellStyle name="40% - Accent6 5 2" xfId="31042" xr:uid="{00000000-0005-0000-0000-000039790000}"/>
    <cellStyle name="40% - Accent6 5 2 2" xfId="31043" xr:uid="{00000000-0005-0000-0000-00003A790000}"/>
    <cellStyle name="40% - Accent6 5 3" xfId="31044" xr:uid="{00000000-0005-0000-0000-00003B790000}"/>
    <cellStyle name="40% - Accent6 5 3 2" xfId="31045" xr:uid="{00000000-0005-0000-0000-00003C790000}"/>
    <cellStyle name="40% - Accent6 5 4" xfId="31046" xr:uid="{00000000-0005-0000-0000-00003D790000}"/>
    <cellStyle name="40% - Accent6 5 4 2" xfId="31047" xr:uid="{00000000-0005-0000-0000-00003E790000}"/>
    <cellStyle name="40% - Accent6 5 5" xfId="31048" xr:uid="{00000000-0005-0000-0000-00003F790000}"/>
    <cellStyle name="40% - Accent6 5 5 2" xfId="31049" xr:uid="{00000000-0005-0000-0000-000040790000}"/>
    <cellStyle name="40% - Accent6 5 6" xfId="31050" xr:uid="{00000000-0005-0000-0000-000041790000}"/>
    <cellStyle name="40% - Accent6 50" xfId="31051" xr:uid="{00000000-0005-0000-0000-000042790000}"/>
    <cellStyle name="40% - Accent6 50 2" xfId="31052" xr:uid="{00000000-0005-0000-0000-000043790000}"/>
    <cellStyle name="40% - Accent6 50 2 2" xfId="31053" xr:uid="{00000000-0005-0000-0000-000044790000}"/>
    <cellStyle name="40% - Accent6 50 3" xfId="31054" xr:uid="{00000000-0005-0000-0000-000045790000}"/>
    <cellStyle name="40% - Accent6 50 3 2" xfId="31055" xr:uid="{00000000-0005-0000-0000-000046790000}"/>
    <cellStyle name="40% - Accent6 50 4" xfId="31056" xr:uid="{00000000-0005-0000-0000-000047790000}"/>
    <cellStyle name="40% - Accent6 51" xfId="31057" xr:uid="{00000000-0005-0000-0000-000048790000}"/>
    <cellStyle name="40% - Accent6 51 2" xfId="31058" xr:uid="{00000000-0005-0000-0000-000049790000}"/>
    <cellStyle name="40% - Accent6 51 2 2" xfId="31059" xr:uid="{00000000-0005-0000-0000-00004A790000}"/>
    <cellStyle name="40% - Accent6 51 3" xfId="31060" xr:uid="{00000000-0005-0000-0000-00004B790000}"/>
    <cellStyle name="40% - Accent6 51 3 2" xfId="31061" xr:uid="{00000000-0005-0000-0000-00004C790000}"/>
    <cellStyle name="40% - Accent6 51 4" xfId="31062" xr:uid="{00000000-0005-0000-0000-00004D790000}"/>
    <cellStyle name="40% - Accent6 52" xfId="31063" xr:uid="{00000000-0005-0000-0000-00004E790000}"/>
    <cellStyle name="40% - Accent6 52 2" xfId="31064" xr:uid="{00000000-0005-0000-0000-00004F790000}"/>
    <cellStyle name="40% - Accent6 52 2 2" xfId="31065" xr:uid="{00000000-0005-0000-0000-000050790000}"/>
    <cellStyle name="40% - Accent6 52 3" xfId="31066" xr:uid="{00000000-0005-0000-0000-000051790000}"/>
    <cellStyle name="40% - Accent6 52 3 2" xfId="31067" xr:uid="{00000000-0005-0000-0000-000052790000}"/>
    <cellStyle name="40% - Accent6 52 4" xfId="31068" xr:uid="{00000000-0005-0000-0000-000053790000}"/>
    <cellStyle name="40% - Accent6 53" xfId="31069" xr:uid="{00000000-0005-0000-0000-000054790000}"/>
    <cellStyle name="40% - Accent6 53 2" xfId="31070" xr:uid="{00000000-0005-0000-0000-000055790000}"/>
    <cellStyle name="40% - Accent6 53 2 2" xfId="31071" xr:uid="{00000000-0005-0000-0000-000056790000}"/>
    <cellStyle name="40% - Accent6 53 3" xfId="31072" xr:uid="{00000000-0005-0000-0000-000057790000}"/>
    <cellStyle name="40% - Accent6 53 3 2" xfId="31073" xr:uid="{00000000-0005-0000-0000-000058790000}"/>
    <cellStyle name="40% - Accent6 53 4" xfId="31074" xr:uid="{00000000-0005-0000-0000-000059790000}"/>
    <cellStyle name="40% - Accent6 54" xfId="31075" xr:uid="{00000000-0005-0000-0000-00005A790000}"/>
    <cellStyle name="40% - Accent6 54 2" xfId="31076" xr:uid="{00000000-0005-0000-0000-00005B790000}"/>
    <cellStyle name="40% - Accent6 54 2 2" xfId="31077" xr:uid="{00000000-0005-0000-0000-00005C790000}"/>
    <cellStyle name="40% - Accent6 54 3" xfId="31078" xr:uid="{00000000-0005-0000-0000-00005D790000}"/>
    <cellStyle name="40% - Accent6 54 3 2" xfId="31079" xr:uid="{00000000-0005-0000-0000-00005E790000}"/>
    <cellStyle name="40% - Accent6 54 4" xfId="31080" xr:uid="{00000000-0005-0000-0000-00005F790000}"/>
    <cellStyle name="40% - Accent6 55" xfId="31081" xr:uid="{00000000-0005-0000-0000-000060790000}"/>
    <cellStyle name="40% - Accent6 55 2" xfId="31082" xr:uid="{00000000-0005-0000-0000-000061790000}"/>
    <cellStyle name="40% - Accent6 55 2 2" xfId="31083" xr:uid="{00000000-0005-0000-0000-000062790000}"/>
    <cellStyle name="40% - Accent6 55 3" xfId="31084" xr:uid="{00000000-0005-0000-0000-000063790000}"/>
    <cellStyle name="40% - Accent6 55 3 2" xfId="31085" xr:uid="{00000000-0005-0000-0000-000064790000}"/>
    <cellStyle name="40% - Accent6 55 4" xfId="31086" xr:uid="{00000000-0005-0000-0000-000065790000}"/>
    <cellStyle name="40% - Accent6 56" xfId="31087" xr:uid="{00000000-0005-0000-0000-000066790000}"/>
    <cellStyle name="40% - Accent6 56 2" xfId="31088" xr:uid="{00000000-0005-0000-0000-000067790000}"/>
    <cellStyle name="40% - Accent6 56 2 2" xfId="31089" xr:uid="{00000000-0005-0000-0000-000068790000}"/>
    <cellStyle name="40% - Accent6 56 3" xfId="31090" xr:uid="{00000000-0005-0000-0000-000069790000}"/>
    <cellStyle name="40% - Accent6 56 3 2" xfId="31091" xr:uid="{00000000-0005-0000-0000-00006A790000}"/>
    <cellStyle name="40% - Accent6 56 4" xfId="31092" xr:uid="{00000000-0005-0000-0000-00006B790000}"/>
    <cellStyle name="40% - Accent6 57" xfId="31093" xr:uid="{00000000-0005-0000-0000-00006C790000}"/>
    <cellStyle name="40% - Accent6 57 2" xfId="31094" xr:uid="{00000000-0005-0000-0000-00006D790000}"/>
    <cellStyle name="40% - Accent6 57 2 2" xfId="31095" xr:uid="{00000000-0005-0000-0000-00006E790000}"/>
    <cellStyle name="40% - Accent6 57 3" xfId="31096" xr:uid="{00000000-0005-0000-0000-00006F790000}"/>
    <cellStyle name="40% - Accent6 57 3 2" xfId="31097" xr:uid="{00000000-0005-0000-0000-000070790000}"/>
    <cellStyle name="40% - Accent6 57 4" xfId="31098" xr:uid="{00000000-0005-0000-0000-000071790000}"/>
    <cellStyle name="40% - Accent6 58" xfId="31099" xr:uid="{00000000-0005-0000-0000-000072790000}"/>
    <cellStyle name="40% - Accent6 58 2" xfId="31100" xr:uid="{00000000-0005-0000-0000-000073790000}"/>
    <cellStyle name="40% - Accent6 58 2 2" xfId="31101" xr:uid="{00000000-0005-0000-0000-000074790000}"/>
    <cellStyle name="40% - Accent6 58 3" xfId="31102" xr:uid="{00000000-0005-0000-0000-000075790000}"/>
    <cellStyle name="40% - Accent6 58 3 2" xfId="31103" xr:uid="{00000000-0005-0000-0000-000076790000}"/>
    <cellStyle name="40% - Accent6 58 4" xfId="31104" xr:uid="{00000000-0005-0000-0000-000077790000}"/>
    <cellStyle name="40% - Accent6 59" xfId="31105" xr:uid="{00000000-0005-0000-0000-000078790000}"/>
    <cellStyle name="40% - Accent6 59 2" xfId="31106" xr:uid="{00000000-0005-0000-0000-000079790000}"/>
    <cellStyle name="40% - Accent6 59 2 2" xfId="31107" xr:uid="{00000000-0005-0000-0000-00007A790000}"/>
    <cellStyle name="40% - Accent6 59 3" xfId="31108" xr:uid="{00000000-0005-0000-0000-00007B790000}"/>
    <cellStyle name="40% - Accent6 6" xfId="31109" xr:uid="{00000000-0005-0000-0000-00007C790000}"/>
    <cellStyle name="40% - Accent6 6 2" xfId="31110" xr:uid="{00000000-0005-0000-0000-00007D790000}"/>
    <cellStyle name="40% - Accent6 6 2 2" xfId="31111" xr:uid="{00000000-0005-0000-0000-00007E790000}"/>
    <cellStyle name="40% - Accent6 6 3" xfId="31112" xr:uid="{00000000-0005-0000-0000-00007F790000}"/>
    <cellStyle name="40% - Accent6 6 3 2" xfId="31113" xr:uid="{00000000-0005-0000-0000-000080790000}"/>
    <cellStyle name="40% - Accent6 6 4" xfId="31114" xr:uid="{00000000-0005-0000-0000-000081790000}"/>
    <cellStyle name="40% - Accent6 6 4 2" xfId="31115" xr:uid="{00000000-0005-0000-0000-000082790000}"/>
    <cellStyle name="40% - Accent6 6 5" xfId="31116" xr:uid="{00000000-0005-0000-0000-000083790000}"/>
    <cellStyle name="40% - Accent6 6 5 2" xfId="31117" xr:uid="{00000000-0005-0000-0000-000084790000}"/>
    <cellStyle name="40% - Accent6 6 6" xfId="31118" xr:uid="{00000000-0005-0000-0000-000085790000}"/>
    <cellStyle name="40% - Accent6 60" xfId="31119" xr:uid="{00000000-0005-0000-0000-000086790000}"/>
    <cellStyle name="40% - Accent6 60 2" xfId="31120" xr:uid="{00000000-0005-0000-0000-000087790000}"/>
    <cellStyle name="40% - Accent6 61" xfId="31121" xr:uid="{00000000-0005-0000-0000-000088790000}"/>
    <cellStyle name="40% - Accent6 61 2" xfId="31122" xr:uid="{00000000-0005-0000-0000-000089790000}"/>
    <cellStyle name="40% - Accent6 62" xfId="31123" xr:uid="{00000000-0005-0000-0000-00008A790000}"/>
    <cellStyle name="40% - Accent6 62 2" xfId="31124" xr:uid="{00000000-0005-0000-0000-00008B790000}"/>
    <cellStyle name="40% - Accent6 63" xfId="31125" xr:uid="{00000000-0005-0000-0000-00008C790000}"/>
    <cellStyle name="40% - Accent6 63 2" xfId="31126" xr:uid="{00000000-0005-0000-0000-00008D790000}"/>
    <cellStyle name="40% - Accent6 64" xfId="31127" xr:uid="{00000000-0005-0000-0000-00008E790000}"/>
    <cellStyle name="40% - Accent6 64 2" xfId="31128" xr:uid="{00000000-0005-0000-0000-00008F790000}"/>
    <cellStyle name="40% - Accent6 65" xfId="31129" xr:uid="{00000000-0005-0000-0000-000090790000}"/>
    <cellStyle name="40% - Accent6 65 2" xfId="31130" xr:uid="{00000000-0005-0000-0000-000091790000}"/>
    <cellStyle name="40% - Accent6 66" xfId="31131" xr:uid="{00000000-0005-0000-0000-000092790000}"/>
    <cellStyle name="40% - Accent6 66 2" xfId="31132" xr:uid="{00000000-0005-0000-0000-000093790000}"/>
    <cellStyle name="40% - Accent6 67" xfId="31133" xr:uid="{00000000-0005-0000-0000-000094790000}"/>
    <cellStyle name="40% - Accent6 67 2" xfId="31134" xr:uid="{00000000-0005-0000-0000-000095790000}"/>
    <cellStyle name="40% - Accent6 68" xfId="31135" xr:uid="{00000000-0005-0000-0000-000096790000}"/>
    <cellStyle name="40% - Accent6 68 2" xfId="31136" xr:uid="{00000000-0005-0000-0000-000097790000}"/>
    <cellStyle name="40% - Accent6 69" xfId="31137" xr:uid="{00000000-0005-0000-0000-000098790000}"/>
    <cellStyle name="40% - Accent6 69 2" xfId="31138" xr:uid="{00000000-0005-0000-0000-000099790000}"/>
    <cellStyle name="40% - Accent6 7" xfId="31139" xr:uid="{00000000-0005-0000-0000-00009A790000}"/>
    <cellStyle name="40% - Accent6 7 2" xfId="31140" xr:uid="{00000000-0005-0000-0000-00009B790000}"/>
    <cellStyle name="40% - Accent6 7 2 2" xfId="31141" xr:uid="{00000000-0005-0000-0000-00009C790000}"/>
    <cellStyle name="40% - Accent6 7 3" xfId="31142" xr:uid="{00000000-0005-0000-0000-00009D790000}"/>
    <cellStyle name="40% - Accent6 7 3 2" xfId="31143" xr:uid="{00000000-0005-0000-0000-00009E790000}"/>
    <cellStyle name="40% - Accent6 7 4" xfId="31144" xr:uid="{00000000-0005-0000-0000-00009F790000}"/>
    <cellStyle name="40% - Accent6 7 4 2" xfId="31145" xr:uid="{00000000-0005-0000-0000-0000A0790000}"/>
    <cellStyle name="40% - Accent6 7 5" xfId="31146" xr:uid="{00000000-0005-0000-0000-0000A1790000}"/>
    <cellStyle name="40% - Accent6 7 5 2" xfId="31147" xr:uid="{00000000-0005-0000-0000-0000A2790000}"/>
    <cellStyle name="40% - Accent6 7 6" xfId="31148" xr:uid="{00000000-0005-0000-0000-0000A3790000}"/>
    <cellStyle name="40% - Accent6 70" xfId="31149" xr:uid="{00000000-0005-0000-0000-0000A4790000}"/>
    <cellStyle name="40% - Accent6 70 2" xfId="31150" xr:uid="{00000000-0005-0000-0000-0000A5790000}"/>
    <cellStyle name="40% - Accent6 71" xfId="31151" xr:uid="{00000000-0005-0000-0000-0000A6790000}"/>
    <cellStyle name="40% - Accent6 71 2" xfId="31152" xr:uid="{00000000-0005-0000-0000-0000A7790000}"/>
    <cellStyle name="40% - Accent6 72" xfId="31153" xr:uid="{00000000-0005-0000-0000-0000A8790000}"/>
    <cellStyle name="40% - Accent6 72 2" xfId="31154" xr:uid="{00000000-0005-0000-0000-0000A9790000}"/>
    <cellStyle name="40% - Accent6 73" xfId="31155" xr:uid="{00000000-0005-0000-0000-0000AA790000}"/>
    <cellStyle name="40% - Accent6 73 2" xfId="31156" xr:uid="{00000000-0005-0000-0000-0000AB790000}"/>
    <cellStyle name="40% - Accent6 74" xfId="31157" xr:uid="{00000000-0005-0000-0000-0000AC790000}"/>
    <cellStyle name="40% - Accent6 74 2" xfId="31158" xr:uid="{00000000-0005-0000-0000-0000AD790000}"/>
    <cellStyle name="40% - Accent6 75" xfId="31159" xr:uid="{00000000-0005-0000-0000-0000AE790000}"/>
    <cellStyle name="40% - Accent6 75 2" xfId="31160" xr:uid="{00000000-0005-0000-0000-0000AF790000}"/>
    <cellStyle name="40% - Accent6 76" xfId="31161" xr:uid="{00000000-0005-0000-0000-0000B0790000}"/>
    <cellStyle name="40% - Accent6 76 2" xfId="31162" xr:uid="{00000000-0005-0000-0000-0000B1790000}"/>
    <cellStyle name="40% - Accent6 77" xfId="31163" xr:uid="{00000000-0005-0000-0000-0000B2790000}"/>
    <cellStyle name="40% - Accent6 77 2" xfId="31164" xr:uid="{00000000-0005-0000-0000-0000B3790000}"/>
    <cellStyle name="40% - Accent6 78" xfId="31165" xr:uid="{00000000-0005-0000-0000-0000B4790000}"/>
    <cellStyle name="40% - Accent6 78 2" xfId="31166" xr:uid="{00000000-0005-0000-0000-0000B5790000}"/>
    <cellStyle name="40% - Accent6 79" xfId="31167" xr:uid="{00000000-0005-0000-0000-0000B6790000}"/>
    <cellStyle name="40% - Accent6 79 2" xfId="31168" xr:uid="{00000000-0005-0000-0000-0000B7790000}"/>
    <cellStyle name="40% - Accent6 8" xfId="31169" xr:uid="{00000000-0005-0000-0000-0000B8790000}"/>
    <cellStyle name="40% - Accent6 8 2" xfId="31170" xr:uid="{00000000-0005-0000-0000-0000B9790000}"/>
    <cellStyle name="40% - Accent6 8 2 2" xfId="31171" xr:uid="{00000000-0005-0000-0000-0000BA790000}"/>
    <cellStyle name="40% - Accent6 8 3" xfId="31172" xr:uid="{00000000-0005-0000-0000-0000BB790000}"/>
    <cellStyle name="40% - Accent6 8 3 2" xfId="31173" xr:uid="{00000000-0005-0000-0000-0000BC790000}"/>
    <cellStyle name="40% - Accent6 8 4" xfId="31174" xr:uid="{00000000-0005-0000-0000-0000BD790000}"/>
    <cellStyle name="40% - Accent6 8 4 2" xfId="31175" xr:uid="{00000000-0005-0000-0000-0000BE790000}"/>
    <cellStyle name="40% - Accent6 8 5" xfId="31176" xr:uid="{00000000-0005-0000-0000-0000BF790000}"/>
    <cellStyle name="40% - Accent6 8 5 2" xfId="31177" xr:uid="{00000000-0005-0000-0000-0000C0790000}"/>
    <cellStyle name="40% - Accent6 8 6" xfId="31178" xr:uid="{00000000-0005-0000-0000-0000C1790000}"/>
    <cellStyle name="40% - Accent6 80" xfId="31179" xr:uid="{00000000-0005-0000-0000-0000C2790000}"/>
    <cellStyle name="40% - Accent6 80 2" xfId="31180" xr:uid="{00000000-0005-0000-0000-0000C3790000}"/>
    <cellStyle name="40% - Accent6 81" xfId="31181" xr:uid="{00000000-0005-0000-0000-0000C4790000}"/>
    <cellStyle name="40% - Accent6 81 2" xfId="31182" xr:uid="{00000000-0005-0000-0000-0000C5790000}"/>
    <cellStyle name="40% - Accent6 82" xfId="31183" xr:uid="{00000000-0005-0000-0000-0000C6790000}"/>
    <cellStyle name="40% - Accent6 82 2" xfId="31184" xr:uid="{00000000-0005-0000-0000-0000C7790000}"/>
    <cellStyle name="40% - Accent6 83" xfId="31185" xr:uid="{00000000-0005-0000-0000-0000C8790000}"/>
    <cellStyle name="40% - Accent6 83 2" xfId="31186" xr:uid="{00000000-0005-0000-0000-0000C9790000}"/>
    <cellStyle name="40% - Accent6 84" xfId="31187" xr:uid="{00000000-0005-0000-0000-0000CA790000}"/>
    <cellStyle name="40% - Accent6 84 2" xfId="31188" xr:uid="{00000000-0005-0000-0000-0000CB790000}"/>
    <cellStyle name="40% - Accent6 85" xfId="31189" xr:uid="{00000000-0005-0000-0000-0000CC790000}"/>
    <cellStyle name="40% - Accent6 85 2" xfId="31190" xr:uid="{00000000-0005-0000-0000-0000CD790000}"/>
    <cellStyle name="40% - Accent6 86" xfId="31191" xr:uid="{00000000-0005-0000-0000-0000CE790000}"/>
    <cellStyle name="40% - Accent6 86 2" xfId="31192" xr:uid="{00000000-0005-0000-0000-0000CF790000}"/>
    <cellStyle name="40% - Accent6 87" xfId="31193" xr:uid="{00000000-0005-0000-0000-0000D0790000}"/>
    <cellStyle name="40% - Accent6 87 2" xfId="31194" xr:uid="{00000000-0005-0000-0000-0000D1790000}"/>
    <cellStyle name="40% - Accent6 88" xfId="31195" xr:uid="{00000000-0005-0000-0000-0000D2790000}"/>
    <cellStyle name="40% - Accent6 88 2" xfId="31196" xr:uid="{00000000-0005-0000-0000-0000D3790000}"/>
    <cellStyle name="40% - Accent6 89" xfId="31197" xr:uid="{00000000-0005-0000-0000-0000D4790000}"/>
    <cellStyle name="40% - Accent6 89 2" xfId="31198" xr:uid="{00000000-0005-0000-0000-0000D5790000}"/>
    <cellStyle name="40% - Accent6 9" xfId="31199" xr:uid="{00000000-0005-0000-0000-0000D6790000}"/>
    <cellStyle name="40% - Accent6 9 2" xfId="31200" xr:uid="{00000000-0005-0000-0000-0000D7790000}"/>
    <cellStyle name="40% - Accent6 9 2 2" xfId="31201" xr:uid="{00000000-0005-0000-0000-0000D8790000}"/>
    <cellStyle name="40% - Accent6 9 3" xfId="31202" xr:uid="{00000000-0005-0000-0000-0000D9790000}"/>
    <cellStyle name="40% - Accent6 9 3 2" xfId="31203" xr:uid="{00000000-0005-0000-0000-0000DA790000}"/>
    <cellStyle name="40% - Accent6 9 4" xfId="31204" xr:uid="{00000000-0005-0000-0000-0000DB790000}"/>
    <cellStyle name="40% - Accent6 9 4 2" xfId="31205" xr:uid="{00000000-0005-0000-0000-0000DC790000}"/>
    <cellStyle name="40% - Accent6 9 5" xfId="31206" xr:uid="{00000000-0005-0000-0000-0000DD790000}"/>
    <cellStyle name="40% - Accent6 9 5 2" xfId="31207" xr:uid="{00000000-0005-0000-0000-0000DE790000}"/>
    <cellStyle name="40% - Accent6 9 6" xfId="31208" xr:uid="{00000000-0005-0000-0000-0000DF790000}"/>
    <cellStyle name="40% - Accent6 90" xfId="31209" xr:uid="{00000000-0005-0000-0000-0000E0790000}"/>
    <cellStyle name="40% - Accent6 90 2" xfId="31210" xr:uid="{00000000-0005-0000-0000-0000E1790000}"/>
    <cellStyle name="40% - Accent6 91" xfId="31211" xr:uid="{00000000-0005-0000-0000-0000E2790000}"/>
    <cellStyle name="40% - Accent6 91 2" xfId="31212" xr:uid="{00000000-0005-0000-0000-0000E3790000}"/>
    <cellStyle name="40% - Accent6 92" xfId="31213" xr:uid="{00000000-0005-0000-0000-0000E4790000}"/>
    <cellStyle name="40% - Accent6 92 2" xfId="31214" xr:uid="{00000000-0005-0000-0000-0000E5790000}"/>
    <cellStyle name="40% - Accent6 93" xfId="31215" xr:uid="{00000000-0005-0000-0000-0000E6790000}"/>
    <cellStyle name="40% - Accent6 93 2" xfId="31216" xr:uid="{00000000-0005-0000-0000-0000E7790000}"/>
    <cellStyle name="40% - Accent6 94" xfId="31217" xr:uid="{00000000-0005-0000-0000-0000E8790000}"/>
    <cellStyle name="40% - Accent6 94 2" xfId="31218" xr:uid="{00000000-0005-0000-0000-0000E9790000}"/>
    <cellStyle name="40% - Accent6 95" xfId="31219" xr:uid="{00000000-0005-0000-0000-0000EA790000}"/>
    <cellStyle name="40% - Accent6 95 2" xfId="31220" xr:uid="{00000000-0005-0000-0000-0000EB790000}"/>
    <cellStyle name="40% - Accent6 96" xfId="31221" xr:uid="{00000000-0005-0000-0000-0000EC790000}"/>
    <cellStyle name="40% - Accent6 96 2" xfId="31222" xr:uid="{00000000-0005-0000-0000-0000ED790000}"/>
    <cellStyle name="40% - Accent6 97" xfId="31223" xr:uid="{00000000-0005-0000-0000-0000EE790000}"/>
    <cellStyle name="40% - Accent6 97 2" xfId="31224" xr:uid="{00000000-0005-0000-0000-0000EF790000}"/>
    <cellStyle name="40% - Accent6 98" xfId="31225" xr:uid="{00000000-0005-0000-0000-0000F0790000}"/>
    <cellStyle name="40% - Accent6 98 2" xfId="31226" xr:uid="{00000000-0005-0000-0000-0000F1790000}"/>
    <cellStyle name="40% - Accent6 99" xfId="31227" xr:uid="{00000000-0005-0000-0000-0000F2790000}"/>
    <cellStyle name="40% - Accent6 99 2" xfId="31228" xr:uid="{00000000-0005-0000-0000-0000F3790000}"/>
    <cellStyle name="40% - Ênfase1 2" xfId="31229" xr:uid="{00000000-0005-0000-0000-0000F4790000}"/>
    <cellStyle name="40% - Ênfase1 2 2" xfId="31230" xr:uid="{00000000-0005-0000-0000-0000F5790000}"/>
    <cellStyle name="40% - Ênfase1 3" xfId="31231" xr:uid="{00000000-0005-0000-0000-0000F6790000}"/>
    <cellStyle name="40% - Ênfase2 2" xfId="31232" xr:uid="{00000000-0005-0000-0000-0000F7790000}"/>
    <cellStyle name="40% - Ênfase2 2 2" xfId="31233" xr:uid="{00000000-0005-0000-0000-0000F8790000}"/>
    <cellStyle name="40% - Ênfase2 3" xfId="31234" xr:uid="{00000000-0005-0000-0000-0000F9790000}"/>
    <cellStyle name="40% - Ênfase3 2" xfId="31235" xr:uid="{00000000-0005-0000-0000-0000FA790000}"/>
    <cellStyle name="40% - Ênfase3 2 2" xfId="31236" xr:uid="{00000000-0005-0000-0000-0000FB790000}"/>
    <cellStyle name="40% - Ênfase3 3" xfId="31237" xr:uid="{00000000-0005-0000-0000-0000FC790000}"/>
    <cellStyle name="40% - Ênfase4 2" xfId="31238" xr:uid="{00000000-0005-0000-0000-0000FD790000}"/>
    <cellStyle name="40% - Ênfase4 2 2" xfId="31239" xr:uid="{00000000-0005-0000-0000-0000FE790000}"/>
    <cellStyle name="40% - Ênfase4 3" xfId="31240" xr:uid="{00000000-0005-0000-0000-0000FF790000}"/>
    <cellStyle name="40% - Ênfase5 2" xfId="31241" xr:uid="{00000000-0005-0000-0000-0000007A0000}"/>
    <cellStyle name="40% - Ênfase5 2 2" xfId="31242" xr:uid="{00000000-0005-0000-0000-0000017A0000}"/>
    <cellStyle name="40% - Ênfase5 3" xfId="31243" xr:uid="{00000000-0005-0000-0000-0000027A0000}"/>
    <cellStyle name="40% - Ênfase6 2" xfId="31244" xr:uid="{00000000-0005-0000-0000-0000037A0000}"/>
    <cellStyle name="40% - Ênfase6 2 2" xfId="31245" xr:uid="{00000000-0005-0000-0000-0000047A0000}"/>
    <cellStyle name="40% - Ênfase6 3" xfId="31246" xr:uid="{00000000-0005-0000-0000-0000057A0000}"/>
    <cellStyle name="40% - Énfasis1" xfId="31247" xr:uid="{00000000-0005-0000-0000-0000067A0000}"/>
    <cellStyle name="40% - Énfasis1 2" xfId="31248" xr:uid="{00000000-0005-0000-0000-0000077A0000}"/>
    <cellStyle name="40% - Énfasis1 2 2" xfId="31249" xr:uid="{00000000-0005-0000-0000-0000087A0000}"/>
    <cellStyle name="40% - Énfasis1 3" xfId="31250" xr:uid="{00000000-0005-0000-0000-0000097A0000}"/>
    <cellStyle name="40% - Énfasis2" xfId="31251" xr:uid="{00000000-0005-0000-0000-00000A7A0000}"/>
    <cellStyle name="40% - Énfasis2 2" xfId="31252" xr:uid="{00000000-0005-0000-0000-00000B7A0000}"/>
    <cellStyle name="40% - Énfasis2 2 2" xfId="31253" xr:uid="{00000000-0005-0000-0000-00000C7A0000}"/>
    <cellStyle name="40% - Énfasis2 3" xfId="31254" xr:uid="{00000000-0005-0000-0000-00000D7A0000}"/>
    <cellStyle name="40% - Énfasis3" xfId="31255" xr:uid="{00000000-0005-0000-0000-00000E7A0000}"/>
    <cellStyle name="40% - Énfasis3 2" xfId="31256" xr:uid="{00000000-0005-0000-0000-00000F7A0000}"/>
    <cellStyle name="40% - Énfasis3 2 2" xfId="31257" xr:uid="{00000000-0005-0000-0000-0000107A0000}"/>
    <cellStyle name="40% - Énfasis3 3" xfId="31258" xr:uid="{00000000-0005-0000-0000-0000117A0000}"/>
    <cellStyle name="40% - Énfasis4" xfId="31259" xr:uid="{00000000-0005-0000-0000-0000127A0000}"/>
    <cellStyle name="40% - Énfasis4 2" xfId="31260" xr:uid="{00000000-0005-0000-0000-0000137A0000}"/>
    <cellStyle name="40% - Énfasis4 2 2" xfId="31261" xr:uid="{00000000-0005-0000-0000-0000147A0000}"/>
    <cellStyle name="40% - Énfasis4 3" xfId="31262" xr:uid="{00000000-0005-0000-0000-0000157A0000}"/>
    <cellStyle name="40% - Énfasis5" xfId="31263" xr:uid="{00000000-0005-0000-0000-0000167A0000}"/>
    <cellStyle name="40% - Énfasis5 2" xfId="31264" xr:uid="{00000000-0005-0000-0000-0000177A0000}"/>
    <cellStyle name="40% - Énfasis5 2 2" xfId="31265" xr:uid="{00000000-0005-0000-0000-0000187A0000}"/>
    <cellStyle name="40% - Énfasis5 3" xfId="31266" xr:uid="{00000000-0005-0000-0000-0000197A0000}"/>
    <cellStyle name="40% - Énfasis6" xfId="31267" xr:uid="{00000000-0005-0000-0000-00001A7A0000}"/>
    <cellStyle name="40% - Énfasis6 2" xfId="31268" xr:uid="{00000000-0005-0000-0000-00001B7A0000}"/>
    <cellStyle name="40% - Énfasis6 2 2" xfId="31269" xr:uid="{00000000-0005-0000-0000-00001C7A0000}"/>
    <cellStyle name="40% - Énfasis6 3" xfId="31270" xr:uid="{00000000-0005-0000-0000-00001D7A0000}"/>
    <cellStyle name="60 % - Accent1" xfId="31271" xr:uid="{00000000-0005-0000-0000-00001E7A0000}"/>
    <cellStyle name="60 % - Accent1 2" xfId="31272" xr:uid="{00000000-0005-0000-0000-00001F7A0000}"/>
    <cellStyle name="60 % - Accent1 2 2" xfId="31273" xr:uid="{00000000-0005-0000-0000-0000207A0000}"/>
    <cellStyle name="60 % - Accent1 3" xfId="31274" xr:uid="{00000000-0005-0000-0000-0000217A0000}"/>
    <cellStyle name="60 % - Accent2" xfId="31275" xr:uid="{00000000-0005-0000-0000-0000227A0000}"/>
    <cellStyle name="60 % - Accent2 2" xfId="31276" xr:uid="{00000000-0005-0000-0000-0000237A0000}"/>
    <cellStyle name="60 % - Accent2 2 2" xfId="31277" xr:uid="{00000000-0005-0000-0000-0000247A0000}"/>
    <cellStyle name="60 % - Accent2 3" xfId="31278" xr:uid="{00000000-0005-0000-0000-0000257A0000}"/>
    <cellStyle name="60 % - Accent3" xfId="31279" xr:uid="{00000000-0005-0000-0000-0000267A0000}"/>
    <cellStyle name="60 % - Accent3 2" xfId="31280" xr:uid="{00000000-0005-0000-0000-0000277A0000}"/>
    <cellStyle name="60 % - Accent3 2 2" xfId="31281" xr:uid="{00000000-0005-0000-0000-0000287A0000}"/>
    <cellStyle name="60 % - Accent3 3" xfId="31282" xr:uid="{00000000-0005-0000-0000-0000297A0000}"/>
    <cellStyle name="60 % - Accent4" xfId="31283" xr:uid="{00000000-0005-0000-0000-00002A7A0000}"/>
    <cellStyle name="60 % - Accent4 2" xfId="31284" xr:uid="{00000000-0005-0000-0000-00002B7A0000}"/>
    <cellStyle name="60 % - Accent4 2 2" xfId="31285" xr:uid="{00000000-0005-0000-0000-00002C7A0000}"/>
    <cellStyle name="60 % - Accent4 3" xfId="31286" xr:uid="{00000000-0005-0000-0000-00002D7A0000}"/>
    <cellStyle name="60 % - Accent5" xfId="31287" xr:uid="{00000000-0005-0000-0000-00002E7A0000}"/>
    <cellStyle name="60 % - Accent5 2" xfId="31288" xr:uid="{00000000-0005-0000-0000-00002F7A0000}"/>
    <cellStyle name="60 % - Accent5 2 2" xfId="31289" xr:uid="{00000000-0005-0000-0000-0000307A0000}"/>
    <cellStyle name="60 % - Accent5 3" xfId="31290" xr:uid="{00000000-0005-0000-0000-0000317A0000}"/>
    <cellStyle name="60 % - Accent6" xfId="31291" xr:uid="{00000000-0005-0000-0000-0000327A0000}"/>
    <cellStyle name="60 % - Accent6 2" xfId="31292" xr:uid="{00000000-0005-0000-0000-0000337A0000}"/>
    <cellStyle name="60 % - Accent6 2 2" xfId="31293" xr:uid="{00000000-0005-0000-0000-0000347A0000}"/>
    <cellStyle name="60 % - Accent6 3" xfId="31294" xr:uid="{00000000-0005-0000-0000-0000357A0000}"/>
    <cellStyle name="60% - Accent1 10" xfId="31295" xr:uid="{00000000-0005-0000-0000-0000367A0000}"/>
    <cellStyle name="60% - Accent1 10 2" xfId="31296" xr:uid="{00000000-0005-0000-0000-0000377A0000}"/>
    <cellStyle name="60% - Accent1 100" xfId="31297" xr:uid="{00000000-0005-0000-0000-0000387A0000}"/>
    <cellStyle name="60% - Accent1 100 2" xfId="31298" xr:uid="{00000000-0005-0000-0000-0000397A0000}"/>
    <cellStyle name="60% - Accent1 101" xfId="31299" xr:uid="{00000000-0005-0000-0000-00003A7A0000}"/>
    <cellStyle name="60% - Accent1 101 2" xfId="31300" xr:uid="{00000000-0005-0000-0000-00003B7A0000}"/>
    <cellStyle name="60% - Accent1 102" xfId="31301" xr:uid="{00000000-0005-0000-0000-00003C7A0000}"/>
    <cellStyle name="60% - Accent1 102 2" xfId="31302" xr:uid="{00000000-0005-0000-0000-00003D7A0000}"/>
    <cellStyle name="60% - Accent1 103" xfId="31303" xr:uid="{00000000-0005-0000-0000-00003E7A0000}"/>
    <cellStyle name="60% - Accent1 103 2" xfId="31304" xr:uid="{00000000-0005-0000-0000-00003F7A0000}"/>
    <cellStyle name="60% - Accent1 104" xfId="31305" xr:uid="{00000000-0005-0000-0000-0000407A0000}"/>
    <cellStyle name="60% - Accent1 104 2" xfId="31306" xr:uid="{00000000-0005-0000-0000-0000417A0000}"/>
    <cellStyle name="60% - Accent1 105" xfId="31307" xr:uid="{00000000-0005-0000-0000-0000427A0000}"/>
    <cellStyle name="60% - Accent1 105 2" xfId="31308" xr:uid="{00000000-0005-0000-0000-0000437A0000}"/>
    <cellStyle name="60% - Accent1 106" xfId="31309" xr:uid="{00000000-0005-0000-0000-0000447A0000}"/>
    <cellStyle name="60% - Accent1 106 2" xfId="31310" xr:uid="{00000000-0005-0000-0000-0000457A0000}"/>
    <cellStyle name="60% - Accent1 107" xfId="31311" xr:uid="{00000000-0005-0000-0000-0000467A0000}"/>
    <cellStyle name="60% - Accent1 107 2" xfId="31312" xr:uid="{00000000-0005-0000-0000-0000477A0000}"/>
    <cellStyle name="60% - Accent1 108" xfId="31313" xr:uid="{00000000-0005-0000-0000-0000487A0000}"/>
    <cellStyle name="60% - Accent1 108 2" xfId="31314" xr:uid="{00000000-0005-0000-0000-0000497A0000}"/>
    <cellStyle name="60% - Accent1 109" xfId="31315" xr:uid="{00000000-0005-0000-0000-00004A7A0000}"/>
    <cellStyle name="60% - Accent1 109 2" xfId="31316" xr:uid="{00000000-0005-0000-0000-00004B7A0000}"/>
    <cellStyle name="60% - Accent1 11" xfId="31317" xr:uid="{00000000-0005-0000-0000-00004C7A0000}"/>
    <cellStyle name="60% - Accent1 11 2" xfId="31318" xr:uid="{00000000-0005-0000-0000-00004D7A0000}"/>
    <cellStyle name="60% - Accent1 110" xfId="31319" xr:uid="{00000000-0005-0000-0000-00004E7A0000}"/>
    <cellStyle name="60% - Accent1 110 2" xfId="31320" xr:uid="{00000000-0005-0000-0000-00004F7A0000}"/>
    <cellStyle name="60% - Accent1 111" xfId="31321" xr:uid="{00000000-0005-0000-0000-0000507A0000}"/>
    <cellStyle name="60% - Accent1 111 2" xfId="31322" xr:uid="{00000000-0005-0000-0000-0000517A0000}"/>
    <cellStyle name="60% - Accent1 112" xfId="31323" xr:uid="{00000000-0005-0000-0000-0000527A0000}"/>
    <cellStyle name="60% - Accent1 112 2" xfId="31324" xr:uid="{00000000-0005-0000-0000-0000537A0000}"/>
    <cellStyle name="60% - Accent1 113" xfId="31325" xr:uid="{00000000-0005-0000-0000-0000547A0000}"/>
    <cellStyle name="60% - Accent1 113 2" xfId="31326" xr:uid="{00000000-0005-0000-0000-0000557A0000}"/>
    <cellStyle name="60% - Accent1 114" xfId="31327" xr:uid="{00000000-0005-0000-0000-0000567A0000}"/>
    <cellStyle name="60% - Accent1 114 2" xfId="31328" xr:uid="{00000000-0005-0000-0000-0000577A0000}"/>
    <cellStyle name="60% - Accent1 115" xfId="31329" xr:uid="{00000000-0005-0000-0000-0000587A0000}"/>
    <cellStyle name="60% - Accent1 115 2" xfId="31330" xr:uid="{00000000-0005-0000-0000-0000597A0000}"/>
    <cellStyle name="60% - Accent1 116" xfId="31331" xr:uid="{00000000-0005-0000-0000-00005A7A0000}"/>
    <cellStyle name="60% - Accent1 116 2" xfId="31332" xr:uid="{00000000-0005-0000-0000-00005B7A0000}"/>
    <cellStyle name="60% - Accent1 117" xfId="31333" xr:uid="{00000000-0005-0000-0000-00005C7A0000}"/>
    <cellStyle name="60% - Accent1 117 2" xfId="31334" xr:uid="{00000000-0005-0000-0000-00005D7A0000}"/>
    <cellStyle name="60% - Accent1 118" xfId="31335" xr:uid="{00000000-0005-0000-0000-00005E7A0000}"/>
    <cellStyle name="60% - Accent1 118 2" xfId="31336" xr:uid="{00000000-0005-0000-0000-00005F7A0000}"/>
    <cellStyle name="60% - Accent1 119" xfId="31337" xr:uid="{00000000-0005-0000-0000-0000607A0000}"/>
    <cellStyle name="60% - Accent1 119 2" xfId="31338" xr:uid="{00000000-0005-0000-0000-0000617A0000}"/>
    <cellStyle name="60% - Accent1 12" xfId="31339" xr:uid="{00000000-0005-0000-0000-0000627A0000}"/>
    <cellStyle name="60% - Accent1 12 2" xfId="31340" xr:uid="{00000000-0005-0000-0000-0000637A0000}"/>
    <cellStyle name="60% - Accent1 120" xfId="31341" xr:uid="{00000000-0005-0000-0000-0000647A0000}"/>
    <cellStyle name="60% - Accent1 120 2" xfId="31342" xr:uid="{00000000-0005-0000-0000-0000657A0000}"/>
    <cellStyle name="60% - Accent1 121" xfId="31343" xr:uid="{00000000-0005-0000-0000-0000667A0000}"/>
    <cellStyle name="60% - Accent1 121 2" xfId="31344" xr:uid="{00000000-0005-0000-0000-0000677A0000}"/>
    <cellStyle name="60% - Accent1 122" xfId="31345" xr:uid="{00000000-0005-0000-0000-0000687A0000}"/>
    <cellStyle name="60% - Accent1 122 2" xfId="31346" xr:uid="{00000000-0005-0000-0000-0000697A0000}"/>
    <cellStyle name="60% - Accent1 123" xfId="31347" xr:uid="{00000000-0005-0000-0000-00006A7A0000}"/>
    <cellStyle name="60% - Accent1 123 2" xfId="31348" xr:uid="{00000000-0005-0000-0000-00006B7A0000}"/>
    <cellStyle name="60% - Accent1 124" xfId="31349" xr:uid="{00000000-0005-0000-0000-00006C7A0000}"/>
    <cellStyle name="60% - Accent1 124 2" xfId="31350" xr:uid="{00000000-0005-0000-0000-00006D7A0000}"/>
    <cellStyle name="60% - Accent1 125" xfId="31351" xr:uid="{00000000-0005-0000-0000-00006E7A0000}"/>
    <cellStyle name="60% - Accent1 125 2" xfId="31352" xr:uid="{00000000-0005-0000-0000-00006F7A0000}"/>
    <cellStyle name="60% - Accent1 126" xfId="31353" xr:uid="{00000000-0005-0000-0000-0000707A0000}"/>
    <cellStyle name="60% - Accent1 126 2" xfId="31354" xr:uid="{00000000-0005-0000-0000-0000717A0000}"/>
    <cellStyle name="60% - Accent1 127" xfId="31355" xr:uid="{00000000-0005-0000-0000-0000727A0000}"/>
    <cellStyle name="60% - Accent1 127 2" xfId="31356" xr:uid="{00000000-0005-0000-0000-0000737A0000}"/>
    <cellStyle name="60% - Accent1 128" xfId="31357" xr:uid="{00000000-0005-0000-0000-0000747A0000}"/>
    <cellStyle name="60% - Accent1 128 2" xfId="31358" xr:uid="{00000000-0005-0000-0000-0000757A0000}"/>
    <cellStyle name="60% - Accent1 129" xfId="31359" xr:uid="{00000000-0005-0000-0000-0000767A0000}"/>
    <cellStyle name="60% - Accent1 129 2" xfId="31360" xr:uid="{00000000-0005-0000-0000-0000777A0000}"/>
    <cellStyle name="60% - Accent1 13" xfId="31361" xr:uid="{00000000-0005-0000-0000-0000787A0000}"/>
    <cellStyle name="60% - Accent1 13 2" xfId="31362" xr:uid="{00000000-0005-0000-0000-0000797A0000}"/>
    <cellStyle name="60% - Accent1 130" xfId="31363" xr:uid="{00000000-0005-0000-0000-00007A7A0000}"/>
    <cellStyle name="60% - Accent1 130 2" xfId="31364" xr:uid="{00000000-0005-0000-0000-00007B7A0000}"/>
    <cellStyle name="60% - Accent1 131" xfId="31365" xr:uid="{00000000-0005-0000-0000-00007C7A0000}"/>
    <cellStyle name="60% - Accent1 131 2" xfId="31366" xr:uid="{00000000-0005-0000-0000-00007D7A0000}"/>
    <cellStyle name="60% - Accent1 132" xfId="31367" xr:uid="{00000000-0005-0000-0000-00007E7A0000}"/>
    <cellStyle name="60% - Accent1 132 2" xfId="31368" xr:uid="{00000000-0005-0000-0000-00007F7A0000}"/>
    <cellStyle name="60% - Accent1 133" xfId="31369" xr:uid="{00000000-0005-0000-0000-0000807A0000}"/>
    <cellStyle name="60% - Accent1 133 2" xfId="31370" xr:uid="{00000000-0005-0000-0000-0000817A0000}"/>
    <cellStyle name="60% - Accent1 134" xfId="31371" xr:uid="{00000000-0005-0000-0000-0000827A0000}"/>
    <cellStyle name="60% - Accent1 134 2" xfId="31372" xr:uid="{00000000-0005-0000-0000-0000837A0000}"/>
    <cellStyle name="60% - Accent1 135" xfId="31373" xr:uid="{00000000-0005-0000-0000-0000847A0000}"/>
    <cellStyle name="60% - Accent1 135 2" xfId="31374" xr:uid="{00000000-0005-0000-0000-0000857A0000}"/>
    <cellStyle name="60% - Accent1 136" xfId="31375" xr:uid="{00000000-0005-0000-0000-0000867A0000}"/>
    <cellStyle name="60% - Accent1 136 2" xfId="31376" xr:uid="{00000000-0005-0000-0000-0000877A0000}"/>
    <cellStyle name="60% - Accent1 137" xfId="31377" xr:uid="{00000000-0005-0000-0000-0000887A0000}"/>
    <cellStyle name="60% - Accent1 137 2" xfId="31378" xr:uid="{00000000-0005-0000-0000-0000897A0000}"/>
    <cellStyle name="60% - Accent1 138" xfId="31379" xr:uid="{00000000-0005-0000-0000-00008A7A0000}"/>
    <cellStyle name="60% - Accent1 138 2" xfId="31380" xr:uid="{00000000-0005-0000-0000-00008B7A0000}"/>
    <cellStyle name="60% - Accent1 139" xfId="31381" xr:uid="{00000000-0005-0000-0000-00008C7A0000}"/>
    <cellStyle name="60% - Accent1 139 2" xfId="31382" xr:uid="{00000000-0005-0000-0000-00008D7A0000}"/>
    <cellStyle name="60% - Accent1 14" xfId="31383" xr:uid="{00000000-0005-0000-0000-00008E7A0000}"/>
    <cellStyle name="60% - Accent1 14 2" xfId="31384" xr:uid="{00000000-0005-0000-0000-00008F7A0000}"/>
    <cellStyle name="60% - Accent1 140" xfId="31385" xr:uid="{00000000-0005-0000-0000-0000907A0000}"/>
    <cellStyle name="60% - Accent1 140 2" xfId="31386" xr:uid="{00000000-0005-0000-0000-0000917A0000}"/>
    <cellStyle name="60% - Accent1 141" xfId="31387" xr:uid="{00000000-0005-0000-0000-0000927A0000}"/>
    <cellStyle name="60% - Accent1 141 2" xfId="31388" xr:uid="{00000000-0005-0000-0000-0000937A0000}"/>
    <cellStyle name="60% - Accent1 142" xfId="31389" xr:uid="{00000000-0005-0000-0000-0000947A0000}"/>
    <cellStyle name="60% - Accent1 142 2" xfId="31390" xr:uid="{00000000-0005-0000-0000-0000957A0000}"/>
    <cellStyle name="60% - Accent1 143" xfId="31391" xr:uid="{00000000-0005-0000-0000-0000967A0000}"/>
    <cellStyle name="60% - Accent1 143 2" xfId="31392" xr:uid="{00000000-0005-0000-0000-0000977A0000}"/>
    <cellStyle name="60% - Accent1 144" xfId="31393" xr:uid="{00000000-0005-0000-0000-0000987A0000}"/>
    <cellStyle name="60% - Accent1 144 2" xfId="31394" xr:uid="{00000000-0005-0000-0000-0000997A0000}"/>
    <cellStyle name="60% - Accent1 145" xfId="31395" xr:uid="{00000000-0005-0000-0000-00009A7A0000}"/>
    <cellStyle name="60% - Accent1 145 2" xfId="31396" xr:uid="{00000000-0005-0000-0000-00009B7A0000}"/>
    <cellStyle name="60% - Accent1 146" xfId="31397" xr:uid="{00000000-0005-0000-0000-00009C7A0000}"/>
    <cellStyle name="60% - Accent1 146 2" xfId="31398" xr:uid="{00000000-0005-0000-0000-00009D7A0000}"/>
    <cellStyle name="60% - Accent1 147" xfId="31399" xr:uid="{00000000-0005-0000-0000-00009E7A0000}"/>
    <cellStyle name="60% - Accent1 147 2" xfId="31400" xr:uid="{00000000-0005-0000-0000-00009F7A0000}"/>
    <cellStyle name="60% - Accent1 148" xfId="31401" xr:uid="{00000000-0005-0000-0000-0000A07A0000}"/>
    <cellStyle name="60% - Accent1 148 2" xfId="31402" xr:uid="{00000000-0005-0000-0000-0000A17A0000}"/>
    <cellStyle name="60% - Accent1 149" xfId="31403" xr:uid="{00000000-0005-0000-0000-0000A27A0000}"/>
    <cellStyle name="60% - Accent1 149 2" xfId="31404" xr:uid="{00000000-0005-0000-0000-0000A37A0000}"/>
    <cellStyle name="60% - Accent1 15" xfId="31405" xr:uid="{00000000-0005-0000-0000-0000A47A0000}"/>
    <cellStyle name="60% - Accent1 15 2" xfId="31406" xr:uid="{00000000-0005-0000-0000-0000A57A0000}"/>
    <cellStyle name="60% - Accent1 150" xfId="31407" xr:uid="{00000000-0005-0000-0000-0000A67A0000}"/>
    <cellStyle name="60% - Accent1 150 2" xfId="31408" xr:uid="{00000000-0005-0000-0000-0000A77A0000}"/>
    <cellStyle name="60% - Accent1 151" xfId="31409" xr:uid="{00000000-0005-0000-0000-0000A87A0000}"/>
    <cellStyle name="60% - Accent1 151 2" xfId="31410" xr:uid="{00000000-0005-0000-0000-0000A97A0000}"/>
    <cellStyle name="60% - Accent1 152" xfId="31411" xr:uid="{00000000-0005-0000-0000-0000AA7A0000}"/>
    <cellStyle name="60% - Accent1 152 2" xfId="31412" xr:uid="{00000000-0005-0000-0000-0000AB7A0000}"/>
    <cellStyle name="60% - Accent1 153" xfId="31413" xr:uid="{00000000-0005-0000-0000-0000AC7A0000}"/>
    <cellStyle name="60% - Accent1 153 2" xfId="31414" xr:uid="{00000000-0005-0000-0000-0000AD7A0000}"/>
    <cellStyle name="60% - Accent1 154" xfId="31415" xr:uid="{00000000-0005-0000-0000-0000AE7A0000}"/>
    <cellStyle name="60% - Accent1 154 2" xfId="31416" xr:uid="{00000000-0005-0000-0000-0000AF7A0000}"/>
    <cellStyle name="60% - Accent1 155" xfId="31417" xr:uid="{00000000-0005-0000-0000-0000B07A0000}"/>
    <cellStyle name="60% - Accent1 155 2" xfId="31418" xr:uid="{00000000-0005-0000-0000-0000B17A0000}"/>
    <cellStyle name="60% - Accent1 156" xfId="31419" xr:uid="{00000000-0005-0000-0000-0000B27A0000}"/>
    <cellStyle name="60% - Accent1 156 2" xfId="31420" xr:uid="{00000000-0005-0000-0000-0000B37A0000}"/>
    <cellStyle name="60% - Accent1 157" xfId="31421" xr:uid="{00000000-0005-0000-0000-0000B47A0000}"/>
    <cellStyle name="60% - Accent1 157 2" xfId="31422" xr:uid="{00000000-0005-0000-0000-0000B57A0000}"/>
    <cellStyle name="60% - Accent1 158" xfId="31423" xr:uid="{00000000-0005-0000-0000-0000B67A0000}"/>
    <cellStyle name="60% - Accent1 158 2" xfId="31424" xr:uid="{00000000-0005-0000-0000-0000B77A0000}"/>
    <cellStyle name="60% - Accent1 159" xfId="31425" xr:uid="{00000000-0005-0000-0000-0000B87A0000}"/>
    <cellStyle name="60% - Accent1 159 2" xfId="31426" xr:uid="{00000000-0005-0000-0000-0000B97A0000}"/>
    <cellStyle name="60% - Accent1 16" xfId="31427" xr:uid="{00000000-0005-0000-0000-0000BA7A0000}"/>
    <cellStyle name="60% - Accent1 16 2" xfId="31428" xr:uid="{00000000-0005-0000-0000-0000BB7A0000}"/>
    <cellStyle name="60% - Accent1 160" xfId="31429" xr:uid="{00000000-0005-0000-0000-0000BC7A0000}"/>
    <cellStyle name="60% - Accent1 160 2" xfId="31430" xr:uid="{00000000-0005-0000-0000-0000BD7A0000}"/>
    <cellStyle name="60% - Accent1 161" xfId="31431" xr:uid="{00000000-0005-0000-0000-0000BE7A0000}"/>
    <cellStyle name="60% - Accent1 161 2" xfId="31432" xr:uid="{00000000-0005-0000-0000-0000BF7A0000}"/>
    <cellStyle name="60% - Accent1 162" xfId="31433" xr:uid="{00000000-0005-0000-0000-0000C07A0000}"/>
    <cellStyle name="60% - Accent1 162 2" xfId="31434" xr:uid="{00000000-0005-0000-0000-0000C17A0000}"/>
    <cellStyle name="60% - Accent1 163" xfId="31435" xr:uid="{00000000-0005-0000-0000-0000C27A0000}"/>
    <cellStyle name="60% - Accent1 163 2" xfId="31436" xr:uid="{00000000-0005-0000-0000-0000C37A0000}"/>
    <cellStyle name="60% - Accent1 164" xfId="31437" xr:uid="{00000000-0005-0000-0000-0000C47A0000}"/>
    <cellStyle name="60% - Accent1 164 2" xfId="31438" xr:uid="{00000000-0005-0000-0000-0000C57A0000}"/>
    <cellStyle name="60% - Accent1 165" xfId="31439" xr:uid="{00000000-0005-0000-0000-0000C67A0000}"/>
    <cellStyle name="60% - Accent1 165 2" xfId="31440" xr:uid="{00000000-0005-0000-0000-0000C77A0000}"/>
    <cellStyle name="60% - Accent1 166" xfId="31441" xr:uid="{00000000-0005-0000-0000-0000C87A0000}"/>
    <cellStyle name="60% - Accent1 166 2" xfId="31442" xr:uid="{00000000-0005-0000-0000-0000C97A0000}"/>
    <cellStyle name="60% - Accent1 167" xfId="31443" xr:uid="{00000000-0005-0000-0000-0000CA7A0000}"/>
    <cellStyle name="60% - Accent1 167 2" xfId="31444" xr:uid="{00000000-0005-0000-0000-0000CB7A0000}"/>
    <cellStyle name="60% - Accent1 168" xfId="31445" xr:uid="{00000000-0005-0000-0000-0000CC7A0000}"/>
    <cellStyle name="60% - Accent1 168 2" xfId="31446" xr:uid="{00000000-0005-0000-0000-0000CD7A0000}"/>
    <cellStyle name="60% - Accent1 169" xfId="31447" xr:uid="{00000000-0005-0000-0000-0000CE7A0000}"/>
    <cellStyle name="60% - Accent1 169 2" xfId="31448" xr:uid="{00000000-0005-0000-0000-0000CF7A0000}"/>
    <cellStyle name="60% - Accent1 17" xfId="31449" xr:uid="{00000000-0005-0000-0000-0000D07A0000}"/>
    <cellStyle name="60% - Accent1 17 2" xfId="31450" xr:uid="{00000000-0005-0000-0000-0000D17A0000}"/>
    <cellStyle name="60% - Accent1 170" xfId="31451" xr:uid="{00000000-0005-0000-0000-0000D27A0000}"/>
    <cellStyle name="60% - Accent1 170 2" xfId="31452" xr:uid="{00000000-0005-0000-0000-0000D37A0000}"/>
    <cellStyle name="60% - Accent1 171" xfId="31453" xr:uid="{00000000-0005-0000-0000-0000D47A0000}"/>
    <cellStyle name="60% - Accent1 171 2" xfId="31454" xr:uid="{00000000-0005-0000-0000-0000D57A0000}"/>
    <cellStyle name="60% - Accent1 172" xfId="31455" xr:uid="{00000000-0005-0000-0000-0000D67A0000}"/>
    <cellStyle name="60% - Accent1 172 2" xfId="31456" xr:uid="{00000000-0005-0000-0000-0000D77A0000}"/>
    <cellStyle name="60% - Accent1 173" xfId="31457" xr:uid="{00000000-0005-0000-0000-0000D87A0000}"/>
    <cellStyle name="60% - Accent1 173 2" xfId="31458" xr:uid="{00000000-0005-0000-0000-0000D97A0000}"/>
    <cellStyle name="60% - Accent1 174" xfId="31459" xr:uid="{00000000-0005-0000-0000-0000DA7A0000}"/>
    <cellStyle name="60% - Accent1 174 2" xfId="31460" xr:uid="{00000000-0005-0000-0000-0000DB7A0000}"/>
    <cellStyle name="60% - Accent1 175" xfId="31461" xr:uid="{00000000-0005-0000-0000-0000DC7A0000}"/>
    <cellStyle name="60% - Accent1 175 2" xfId="31462" xr:uid="{00000000-0005-0000-0000-0000DD7A0000}"/>
    <cellStyle name="60% - Accent1 176" xfId="31463" xr:uid="{00000000-0005-0000-0000-0000DE7A0000}"/>
    <cellStyle name="60% - Accent1 176 2" xfId="31464" xr:uid="{00000000-0005-0000-0000-0000DF7A0000}"/>
    <cellStyle name="60% - Accent1 177" xfId="31465" xr:uid="{00000000-0005-0000-0000-0000E07A0000}"/>
    <cellStyle name="60% - Accent1 177 2" xfId="31466" xr:uid="{00000000-0005-0000-0000-0000E17A0000}"/>
    <cellStyle name="60% - Accent1 178" xfId="31467" xr:uid="{00000000-0005-0000-0000-0000E27A0000}"/>
    <cellStyle name="60% - Accent1 178 2" xfId="31468" xr:uid="{00000000-0005-0000-0000-0000E37A0000}"/>
    <cellStyle name="60% - Accent1 179" xfId="31469" xr:uid="{00000000-0005-0000-0000-0000E47A0000}"/>
    <cellStyle name="60% - Accent1 179 2" xfId="31470" xr:uid="{00000000-0005-0000-0000-0000E57A0000}"/>
    <cellStyle name="60% - Accent1 18" xfId="31471" xr:uid="{00000000-0005-0000-0000-0000E67A0000}"/>
    <cellStyle name="60% - Accent1 18 2" xfId="31472" xr:uid="{00000000-0005-0000-0000-0000E77A0000}"/>
    <cellStyle name="60% - Accent1 180" xfId="31473" xr:uid="{00000000-0005-0000-0000-0000E87A0000}"/>
    <cellStyle name="60% - Accent1 180 2" xfId="31474" xr:uid="{00000000-0005-0000-0000-0000E97A0000}"/>
    <cellStyle name="60% - Accent1 181" xfId="31475" xr:uid="{00000000-0005-0000-0000-0000EA7A0000}"/>
    <cellStyle name="60% - Accent1 181 2" xfId="31476" xr:uid="{00000000-0005-0000-0000-0000EB7A0000}"/>
    <cellStyle name="60% - Accent1 182" xfId="31477" xr:uid="{00000000-0005-0000-0000-0000EC7A0000}"/>
    <cellStyle name="60% - Accent1 182 2" xfId="31478" xr:uid="{00000000-0005-0000-0000-0000ED7A0000}"/>
    <cellStyle name="60% - Accent1 183" xfId="31479" xr:uid="{00000000-0005-0000-0000-0000EE7A0000}"/>
    <cellStyle name="60% - Accent1 183 2" xfId="31480" xr:uid="{00000000-0005-0000-0000-0000EF7A0000}"/>
    <cellStyle name="60% - Accent1 184" xfId="31481" xr:uid="{00000000-0005-0000-0000-0000F07A0000}"/>
    <cellStyle name="60% - Accent1 184 2" xfId="31482" xr:uid="{00000000-0005-0000-0000-0000F17A0000}"/>
    <cellStyle name="60% - Accent1 185" xfId="31483" xr:uid="{00000000-0005-0000-0000-0000F27A0000}"/>
    <cellStyle name="60% - Accent1 185 2" xfId="31484" xr:uid="{00000000-0005-0000-0000-0000F37A0000}"/>
    <cellStyle name="60% - Accent1 186" xfId="31485" xr:uid="{00000000-0005-0000-0000-0000F47A0000}"/>
    <cellStyle name="60% - Accent1 186 2" xfId="31486" xr:uid="{00000000-0005-0000-0000-0000F57A0000}"/>
    <cellStyle name="60% - Accent1 187" xfId="31487" xr:uid="{00000000-0005-0000-0000-0000F67A0000}"/>
    <cellStyle name="60% - Accent1 187 2" xfId="31488" xr:uid="{00000000-0005-0000-0000-0000F77A0000}"/>
    <cellStyle name="60% - Accent1 188" xfId="31489" xr:uid="{00000000-0005-0000-0000-0000F87A0000}"/>
    <cellStyle name="60% - Accent1 188 2" xfId="31490" xr:uid="{00000000-0005-0000-0000-0000F97A0000}"/>
    <cellStyle name="60% - Accent1 189" xfId="31491" xr:uid="{00000000-0005-0000-0000-0000FA7A0000}"/>
    <cellStyle name="60% - Accent1 189 2" xfId="31492" xr:uid="{00000000-0005-0000-0000-0000FB7A0000}"/>
    <cellStyle name="60% - Accent1 19" xfId="31493" xr:uid="{00000000-0005-0000-0000-0000FC7A0000}"/>
    <cellStyle name="60% - Accent1 19 2" xfId="31494" xr:uid="{00000000-0005-0000-0000-0000FD7A0000}"/>
    <cellStyle name="60% - Accent1 190" xfId="31495" xr:uid="{00000000-0005-0000-0000-0000FE7A0000}"/>
    <cellStyle name="60% - Accent1 190 2" xfId="31496" xr:uid="{00000000-0005-0000-0000-0000FF7A0000}"/>
    <cellStyle name="60% - Accent1 191" xfId="31497" xr:uid="{00000000-0005-0000-0000-0000007B0000}"/>
    <cellStyle name="60% - Accent1 191 2" xfId="31498" xr:uid="{00000000-0005-0000-0000-0000017B0000}"/>
    <cellStyle name="60% - Accent1 192" xfId="31499" xr:uid="{00000000-0005-0000-0000-0000027B0000}"/>
    <cellStyle name="60% - Accent1 192 2" xfId="31500" xr:uid="{00000000-0005-0000-0000-0000037B0000}"/>
    <cellStyle name="60% - Accent1 193" xfId="31501" xr:uid="{00000000-0005-0000-0000-0000047B0000}"/>
    <cellStyle name="60% - Accent1 193 2" xfId="31502" xr:uid="{00000000-0005-0000-0000-0000057B0000}"/>
    <cellStyle name="60% - Accent1 194" xfId="31503" xr:uid="{00000000-0005-0000-0000-0000067B0000}"/>
    <cellStyle name="60% - Accent1 194 2" xfId="31504" xr:uid="{00000000-0005-0000-0000-0000077B0000}"/>
    <cellStyle name="60% - Accent1 195" xfId="31505" xr:uid="{00000000-0005-0000-0000-0000087B0000}"/>
    <cellStyle name="60% - Accent1 195 2" xfId="31506" xr:uid="{00000000-0005-0000-0000-0000097B0000}"/>
    <cellStyle name="60% - Accent1 196" xfId="31507" xr:uid="{00000000-0005-0000-0000-00000A7B0000}"/>
    <cellStyle name="60% - Accent1 196 2" xfId="31508" xr:uid="{00000000-0005-0000-0000-00000B7B0000}"/>
    <cellStyle name="60% - Accent1 197" xfId="31509" xr:uid="{00000000-0005-0000-0000-00000C7B0000}"/>
    <cellStyle name="60% - Accent1 197 2" xfId="31510" xr:uid="{00000000-0005-0000-0000-00000D7B0000}"/>
    <cellStyle name="60% - Accent1 198" xfId="31511" xr:uid="{00000000-0005-0000-0000-00000E7B0000}"/>
    <cellStyle name="60% - Accent1 198 2" xfId="31512" xr:uid="{00000000-0005-0000-0000-00000F7B0000}"/>
    <cellStyle name="60% - Accent1 2" xfId="31513" xr:uid="{00000000-0005-0000-0000-0000107B0000}"/>
    <cellStyle name="60% - Accent1 2 2" xfId="31514" xr:uid="{00000000-0005-0000-0000-0000117B0000}"/>
    <cellStyle name="60% - Accent1 2 2 2" xfId="31515" xr:uid="{00000000-0005-0000-0000-0000127B0000}"/>
    <cellStyle name="60% - Accent1 2 2 2 2" xfId="31516" xr:uid="{00000000-0005-0000-0000-0000137B0000}"/>
    <cellStyle name="60% - Accent1 2 2 2 2 2" xfId="31517" xr:uid="{00000000-0005-0000-0000-0000147B0000}"/>
    <cellStyle name="60% - Accent1 2 2 2 2 2 2" xfId="31518" xr:uid="{00000000-0005-0000-0000-0000157B0000}"/>
    <cellStyle name="60% - Accent1 2 2 2 2 3" xfId="31519" xr:uid="{00000000-0005-0000-0000-0000167B0000}"/>
    <cellStyle name="60% - Accent1 2 2 2 3" xfId="31520" xr:uid="{00000000-0005-0000-0000-0000177B0000}"/>
    <cellStyle name="60% - Accent1 2 2 3" xfId="31521" xr:uid="{00000000-0005-0000-0000-0000187B0000}"/>
    <cellStyle name="60% - Accent1 2 2 3 2" xfId="31522" xr:uid="{00000000-0005-0000-0000-0000197B0000}"/>
    <cellStyle name="60% - Accent1 2 2 4" xfId="31523" xr:uid="{00000000-0005-0000-0000-00001A7B0000}"/>
    <cellStyle name="60% - Accent1 2 2 4 2" xfId="31524" xr:uid="{00000000-0005-0000-0000-00001B7B0000}"/>
    <cellStyle name="60% - Accent1 2 2 5" xfId="31525" xr:uid="{00000000-0005-0000-0000-00001C7B0000}"/>
    <cellStyle name="60% - Accent1 2 3" xfId="31526" xr:uid="{00000000-0005-0000-0000-00001D7B0000}"/>
    <cellStyle name="60% - Accent1 2 3 2" xfId="31527" xr:uid="{00000000-0005-0000-0000-00001E7B0000}"/>
    <cellStyle name="60% - Accent1 2 4" xfId="31528" xr:uid="{00000000-0005-0000-0000-00001F7B0000}"/>
    <cellStyle name="60% - Accent1 2 4 2" xfId="31529" xr:uid="{00000000-0005-0000-0000-0000207B0000}"/>
    <cellStyle name="60% - Accent1 2 5" xfId="31530" xr:uid="{00000000-0005-0000-0000-0000217B0000}"/>
    <cellStyle name="60% - Accent1 2 5 2" xfId="31531" xr:uid="{00000000-0005-0000-0000-0000227B0000}"/>
    <cellStyle name="60% - Accent1 2 6" xfId="31532" xr:uid="{00000000-0005-0000-0000-0000237B0000}"/>
    <cellStyle name="60% - Accent1 20" xfId="31533" xr:uid="{00000000-0005-0000-0000-0000247B0000}"/>
    <cellStyle name="60% - Accent1 20 2" xfId="31534" xr:uid="{00000000-0005-0000-0000-0000257B0000}"/>
    <cellStyle name="60% - Accent1 21" xfId="31535" xr:uid="{00000000-0005-0000-0000-0000267B0000}"/>
    <cellStyle name="60% - Accent1 21 2" xfId="31536" xr:uid="{00000000-0005-0000-0000-0000277B0000}"/>
    <cellStyle name="60% - Accent1 22" xfId="31537" xr:uid="{00000000-0005-0000-0000-0000287B0000}"/>
    <cellStyle name="60% - Accent1 22 2" xfId="31538" xr:uid="{00000000-0005-0000-0000-0000297B0000}"/>
    <cellStyle name="60% - Accent1 23" xfId="31539" xr:uid="{00000000-0005-0000-0000-00002A7B0000}"/>
    <cellStyle name="60% - Accent1 23 2" xfId="31540" xr:uid="{00000000-0005-0000-0000-00002B7B0000}"/>
    <cellStyle name="60% - Accent1 24" xfId="31541" xr:uid="{00000000-0005-0000-0000-00002C7B0000}"/>
    <cellStyle name="60% - Accent1 24 2" xfId="31542" xr:uid="{00000000-0005-0000-0000-00002D7B0000}"/>
    <cellStyle name="60% - Accent1 25" xfId="31543" xr:uid="{00000000-0005-0000-0000-00002E7B0000}"/>
    <cellStyle name="60% - Accent1 25 2" xfId="31544" xr:uid="{00000000-0005-0000-0000-00002F7B0000}"/>
    <cellStyle name="60% - Accent1 26" xfId="31545" xr:uid="{00000000-0005-0000-0000-0000307B0000}"/>
    <cellStyle name="60% - Accent1 26 2" xfId="31546" xr:uid="{00000000-0005-0000-0000-0000317B0000}"/>
    <cellStyle name="60% - Accent1 27" xfId="31547" xr:uid="{00000000-0005-0000-0000-0000327B0000}"/>
    <cellStyle name="60% - Accent1 27 2" xfId="31548" xr:uid="{00000000-0005-0000-0000-0000337B0000}"/>
    <cellStyle name="60% - Accent1 28" xfId="31549" xr:uid="{00000000-0005-0000-0000-0000347B0000}"/>
    <cellStyle name="60% - Accent1 28 2" xfId="31550" xr:uid="{00000000-0005-0000-0000-0000357B0000}"/>
    <cellStyle name="60% - Accent1 29" xfId="31551" xr:uid="{00000000-0005-0000-0000-0000367B0000}"/>
    <cellStyle name="60% - Accent1 29 2" xfId="31552" xr:uid="{00000000-0005-0000-0000-0000377B0000}"/>
    <cellStyle name="60% - Accent1 3" xfId="31553" xr:uid="{00000000-0005-0000-0000-0000387B0000}"/>
    <cellStyle name="60% - Accent1 3 2" xfId="31554" xr:uid="{00000000-0005-0000-0000-0000397B0000}"/>
    <cellStyle name="60% - Accent1 3 2 2" xfId="31555" xr:uid="{00000000-0005-0000-0000-00003A7B0000}"/>
    <cellStyle name="60% - Accent1 3 3" xfId="31556" xr:uid="{00000000-0005-0000-0000-00003B7B0000}"/>
    <cellStyle name="60% - Accent1 3 3 2" xfId="31557" xr:uid="{00000000-0005-0000-0000-00003C7B0000}"/>
    <cellStyle name="60% - Accent1 3 4" xfId="31558" xr:uid="{00000000-0005-0000-0000-00003D7B0000}"/>
    <cellStyle name="60% - Accent1 30" xfId="31559" xr:uid="{00000000-0005-0000-0000-00003E7B0000}"/>
    <cellStyle name="60% - Accent1 30 2" xfId="31560" xr:uid="{00000000-0005-0000-0000-00003F7B0000}"/>
    <cellStyle name="60% - Accent1 31" xfId="31561" xr:uid="{00000000-0005-0000-0000-0000407B0000}"/>
    <cellStyle name="60% - Accent1 31 2" xfId="31562" xr:uid="{00000000-0005-0000-0000-0000417B0000}"/>
    <cellStyle name="60% - Accent1 32" xfId="31563" xr:uid="{00000000-0005-0000-0000-0000427B0000}"/>
    <cellStyle name="60% - Accent1 32 2" xfId="31564" xr:uid="{00000000-0005-0000-0000-0000437B0000}"/>
    <cellStyle name="60% - Accent1 33" xfId="31565" xr:uid="{00000000-0005-0000-0000-0000447B0000}"/>
    <cellStyle name="60% - Accent1 33 2" xfId="31566" xr:uid="{00000000-0005-0000-0000-0000457B0000}"/>
    <cellStyle name="60% - Accent1 34" xfId="31567" xr:uid="{00000000-0005-0000-0000-0000467B0000}"/>
    <cellStyle name="60% - Accent1 34 2" xfId="31568" xr:uid="{00000000-0005-0000-0000-0000477B0000}"/>
    <cellStyle name="60% - Accent1 35" xfId="31569" xr:uid="{00000000-0005-0000-0000-0000487B0000}"/>
    <cellStyle name="60% - Accent1 35 2" xfId="31570" xr:uid="{00000000-0005-0000-0000-0000497B0000}"/>
    <cellStyle name="60% - Accent1 36" xfId="31571" xr:uid="{00000000-0005-0000-0000-00004A7B0000}"/>
    <cellStyle name="60% - Accent1 36 2" xfId="31572" xr:uid="{00000000-0005-0000-0000-00004B7B0000}"/>
    <cellStyle name="60% - Accent1 37" xfId="31573" xr:uid="{00000000-0005-0000-0000-00004C7B0000}"/>
    <cellStyle name="60% - Accent1 37 2" xfId="31574" xr:uid="{00000000-0005-0000-0000-00004D7B0000}"/>
    <cellStyle name="60% - Accent1 38" xfId="31575" xr:uid="{00000000-0005-0000-0000-00004E7B0000}"/>
    <cellStyle name="60% - Accent1 38 2" xfId="31576" xr:uid="{00000000-0005-0000-0000-00004F7B0000}"/>
    <cellStyle name="60% - Accent1 39" xfId="31577" xr:uid="{00000000-0005-0000-0000-0000507B0000}"/>
    <cellStyle name="60% - Accent1 39 2" xfId="31578" xr:uid="{00000000-0005-0000-0000-0000517B0000}"/>
    <cellStyle name="60% - Accent1 4" xfId="31579" xr:uid="{00000000-0005-0000-0000-0000527B0000}"/>
    <cellStyle name="60% - Accent1 4 2" xfId="31580" xr:uid="{00000000-0005-0000-0000-0000537B0000}"/>
    <cellStyle name="60% - Accent1 4 2 2" xfId="31581" xr:uid="{00000000-0005-0000-0000-0000547B0000}"/>
    <cellStyle name="60% - Accent1 4 3" xfId="31582" xr:uid="{00000000-0005-0000-0000-0000557B0000}"/>
    <cellStyle name="60% - Accent1 4 3 2" xfId="31583" xr:uid="{00000000-0005-0000-0000-0000567B0000}"/>
    <cellStyle name="60% - Accent1 4 4" xfId="31584" xr:uid="{00000000-0005-0000-0000-0000577B0000}"/>
    <cellStyle name="60% - Accent1 40" xfId="31585" xr:uid="{00000000-0005-0000-0000-0000587B0000}"/>
    <cellStyle name="60% - Accent1 40 2" xfId="31586" xr:uid="{00000000-0005-0000-0000-0000597B0000}"/>
    <cellStyle name="60% - Accent1 41" xfId="31587" xr:uid="{00000000-0005-0000-0000-00005A7B0000}"/>
    <cellStyle name="60% - Accent1 41 2" xfId="31588" xr:uid="{00000000-0005-0000-0000-00005B7B0000}"/>
    <cellStyle name="60% - Accent1 42" xfId="31589" xr:uid="{00000000-0005-0000-0000-00005C7B0000}"/>
    <cellStyle name="60% - Accent1 42 2" xfId="31590" xr:uid="{00000000-0005-0000-0000-00005D7B0000}"/>
    <cellStyle name="60% - Accent1 43" xfId="31591" xr:uid="{00000000-0005-0000-0000-00005E7B0000}"/>
    <cellStyle name="60% - Accent1 43 2" xfId="31592" xr:uid="{00000000-0005-0000-0000-00005F7B0000}"/>
    <cellStyle name="60% - Accent1 44" xfId="31593" xr:uid="{00000000-0005-0000-0000-0000607B0000}"/>
    <cellStyle name="60% - Accent1 44 2" xfId="31594" xr:uid="{00000000-0005-0000-0000-0000617B0000}"/>
    <cellStyle name="60% - Accent1 45" xfId="31595" xr:uid="{00000000-0005-0000-0000-0000627B0000}"/>
    <cellStyle name="60% - Accent1 45 2" xfId="31596" xr:uid="{00000000-0005-0000-0000-0000637B0000}"/>
    <cellStyle name="60% - Accent1 46" xfId="31597" xr:uid="{00000000-0005-0000-0000-0000647B0000}"/>
    <cellStyle name="60% - Accent1 46 2" xfId="31598" xr:uid="{00000000-0005-0000-0000-0000657B0000}"/>
    <cellStyle name="60% - Accent1 47" xfId="31599" xr:uid="{00000000-0005-0000-0000-0000667B0000}"/>
    <cellStyle name="60% - Accent1 47 2" xfId="31600" xr:uid="{00000000-0005-0000-0000-0000677B0000}"/>
    <cellStyle name="60% - Accent1 48" xfId="31601" xr:uid="{00000000-0005-0000-0000-0000687B0000}"/>
    <cellStyle name="60% - Accent1 48 2" xfId="31602" xr:uid="{00000000-0005-0000-0000-0000697B0000}"/>
    <cellStyle name="60% - Accent1 49" xfId="31603" xr:uid="{00000000-0005-0000-0000-00006A7B0000}"/>
    <cellStyle name="60% - Accent1 49 2" xfId="31604" xr:uid="{00000000-0005-0000-0000-00006B7B0000}"/>
    <cellStyle name="60% - Accent1 5" xfId="31605" xr:uid="{00000000-0005-0000-0000-00006C7B0000}"/>
    <cellStyle name="60% - Accent1 5 2" xfId="31606" xr:uid="{00000000-0005-0000-0000-00006D7B0000}"/>
    <cellStyle name="60% - Accent1 5 2 2" xfId="31607" xr:uid="{00000000-0005-0000-0000-00006E7B0000}"/>
    <cellStyle name="60% - Accent1 5 3" xfId="31608" xr:uid="{00000000-0005-0000-0000-00006F7B0000}"/>
    <cellStyle name="60% - Accent1 5 3 2" xfId="31609" xr:uid="{00000000-0005-0000-0000-0000707B0000}"/>
    <cellStyle name="60% - Accent1 5 4" xfId="31610" xr:uid="{00000000-0005-0000-0000-0000717B0000}"/>
    <cellStyle name="60% - Accent1 50" xfId="31611" xr:uid="{00000000-0005-0000-0000-0000727B0000}"/>
    <cellStyle name="60% - Accent1 50 2" xfId="31612" xr:uid="{00000000-0005-0000-0000-0000737B0000}"/>
    <cellStyle name="60% - Accent1 51" xfId="31613" xr:uid="{00000000-0005-0000-0000-0000747B0000}"/>
    <cellStyle name="60% - Accent1 51 2" xfId="31614" xr:uid="{00000000-0005-0000-0000-0000757B0000}"/>
    <cellStyle name="60% - Accent1 52" xfId="31615" xr:uid="{00000000-0005-0000-0000-0000767B0000}"/>
    <cellStyle name="60% - Accent1 52 2" xfId="31616" xr:uid="{00000000-0005-0000-0000-0000777B0000}"/>
    <cellStyle name="60% - Accent1 53" xfId="31617" xr:uid="{00000000-0005-0000-0000-0000787B0000}"/>
    <cellStyle name="60% - Accent1 53 2" xfId="31618" xr:uid="{00000000-0005-0000-0000-0000797B0000}"/>
    <cellStyle name="60% - Accent1 54" xfId="31619" xr:uid="{00000000-0005-0000-0000-00007A7B0000}"/>
    <cellStyle name="60% - Accent1 54 2" xfId="31620" xr:uid="{00000000-0005-0000-0000-00007B7B0000}"/>
    <cellStyle name="60% - Accent1 55" xfId="31621" xr:uid="{00000000-0005-0000-0000-00007C7B0000}"/>
    <cellStyle name="60% - Accent1 55 2" xfId="31622" xr:uid="{00000000-0005-0000-0000-00007D7B0000}"/>
    <cellStyle name="60% - Accent1 56" xfId="31623" xr:uid="{00000000-0005-0000-0000-00007E7B0000}"/>
    <cellStyle name="60% - Accent1 56 2" xfId="31624" xr:uid="{00000000-0005-0000-0000-00007F7B0000}"/>
    <cellStyle name="60% - Accent1 57" xfId="31625" xr:uid="{00000000-0005-0000-0000-0000807B0000}"/>
    <cellStyle name="60% - Accent1 57 2" xfId="31626" xr:uid="{00000000-0005-0000-0000-0000817B0000}"/>
    <cellStyle name="60% - Accent1 58" xfId="31627" xr:uid="{00000000-0005-0000-0000-0000827B0000}"/>
    <cellStyle name="60% - Accent1 58 2" xfId="31628" xr:uid="{00000000-0005-0000-0000-0000837B0000}"/>
    <cellStyle name="60% - Accent1 59" xfId="31629" xr:uid="{00000000-0005-0000-0000-0000847B0000}"/>
    <cellStyle name="60% - Accent1 59 2" xfId="31630" xr:uid="{00000000-0005-0000-0000-0000857B0000}"/>
    <cellStyle name="60% - Accent1 59 2 2" xfId="31631" xr:uid="{00000000-0005-0000-0000-0000867B0000}"/>
    <cellStyle name="60% - Accent1 59 3" xfId="31632" xr:uid="{00000000-0005-0000-0000-0000877B0000}"/>
    <cellStyle name="60% - Accent1 6" xfId="31633" xr:uid="{00000000-0005-0000-0000-0000887B0000}"/>
    <cellStyle name="60% - Accent1 6 2" xfId="31634" xr:uid="{00000000-0005-0000-0000-0000897B0000}"/>
    <cellStyle name="60% - Accent1 6 2 2" xfId="31635" xr:uid="{00000000-0005-0000-0000-00008A7B0000}"/>
    <cellStyle name="60% - Accent1 6 3" xfId="31636" xr:uid="{00000000-0005-0000-0000-00008B7B0000}"/>
    <cellStyle name="60% - Accent1 6 3 2" xfId="31637" xr:uid="{00000000-0005-0000-0000-00008C7B0000}"/>
    <cellStyle name="60% - Accent1 6 4" xfId="31638" xr:uid="{00000000-0005-0000-0000-00008D7B0000}"/>
    <cellStyle name="60% - Accent1 60" xfId="31639" xr:uid="{00000000-0005-0000-0000-00008E7B0000}"/>
    <cellStyle name="60% - Accent1 60 2" xfId="31640" xr:uid="{00000000-0005-0000-0000-00008F7B0000}"/>
    <cellStyle name="60% - Accent1 61" xfId="31641" xr:uid="{00000000-0005-0000-0000-0000907B0000}"/>
    <cellStyle name="60% - Accent1 61 2" xfId="31642" xr:uid="{00000000-0005-0000-0000-0000917B0000}"/>
    <cellStyle name="60% - Accent1 62" xfId="31643" xr:uid="{00000000-0005-0000-0000-0000927B0000}"/>
    <cellStyle name="60% - Accent1 62 2" xfId="31644" xr:uid="{00000000-0005-0000-0000-0000937B0000}"/>
    <cellStyle name="60% - Accent1 63" xfId="31645" xr:uid="{00000000-0005-0000-0000-0000947B0000}"/>
    <cellStyle name="60% - Accent1 63 2" xfId="31646" xr:uid="{00000000-0005-0000-0000-0000957B0000}"/>
    <cellStyle name="60% - Accent1 64" xfId="31647" xr:uid="{00000000-0005-0000-0000-0000967B0000}"/>
    <cellStyle name="60% - Accent1 64 2" xfId="31648" xr:uid="{00000000-0005-0000-0000-0000977B0000}"/>
    <cellStyle name="60% - Accent1 65" xfId="31649" xr:uid="{00000000-0005-0000-0000-0000987B0000}"/>
    <cellStyle name="60% - Accent1 65 2" xfId="31650" xr:uid="{00000000-0005-0000-0000-0000997B0000}"/>
    <cellStyle name="60% - Accent1 66" xfId="31651" xr:uid="{00000000-0005-0000-0000-00009A7B0000}"/>
    <cellStyle name="60% - Accent1 66 2" xfId="31652" xr:uid="{00000000-0005-0000-0000-00009B7B0000}"/>
    <cellStyle name="60% - Accent1 67" xfId="31653" xr:uid="{00000000-0005-0000-0000-00009C7B0000}"/>
    <cellStyle name="60% - Accent1 67 2" xfId="31654" xr:uid="{00000000-0005-0000-0000-00009D7B0000}"/>
    <cellStyle name="60% - Accent1 68" xfId="31655" xr:uid="{00000000-0005-0000-0000-00009E7B0000}"/>
    <cellStyle name="60% - Accent1 68 2" xfId="31656" xr:uid="{00000000-0005-0000-0000-00009F7B0000}"/>
    <cellStyle name="60% - Accent1 69" xfId="31657" xr:uid="{00000000-0005-0000-0000-0000A07B0000}"/>
    <cellStyle name="60% - Accent1 69 2" xfId="31658" xr:uid="{00000000-0005-0000-0000-0000A17B0000}"/>
    <cellStyle name="60% - Accent1 7" xfId="31659" xr:uid="{00000000-0005-0000-0000-0000A27B0000}"/>
    <cellStyle name="60% - Accent1 7 2" xfId="31660" xr:uid="{00000000-0005-0000-0000-0000A37B0000}"/>
    <cellStyle name="60% - Accent1 7 2 2" xfId="31661" xr:uid="{00000000-0005-0000-0000-0000A47B0000}"/>
    <cellStyle name="60% - Accent1 7 3" xfId="31662" xr:uid="{00000000-0005-0000-0000-0000A57B0000}"/>
    <cellStyle name="60% - Accent1 7 3 2" xfId="31663" xr:uid="{00000000-0005-0000-0000-0000A67B0000}"/>
    <cellStyle name="60% - Accent1 7 4" xfId="31664" xr:uid="{00000000-0005-0000-0000-0000A77B0000}"/>
    <cellStyle name="60% - Accent1 70" xfId="31665" xr:uid="{00000000-0005-0000-0000-0000A87B0000}"/>
    <cellStyle name="60% - Accent1 70 2" xfId="31666" xr:uid="{00000000-0005-0000-0000-0000A97B0000}"/>
    <cellStyle name="60% - Accent1 71" xfId="31667" xr:uid="{00000000-0005-0000-0000-0000AA7B0000}"/>
    <cellStyle name="60% - Accent1 71 2" xfId="31668" xr:uid="{00000000-0005-0000-0000-0000AB7B0000}"/>
    <cellStyle name="60% - Accent1 72" xfId="31669" xr:uid="{00000000-0005-0000-0000-0000AC7B0000}"/>
    <cellStyle name="60% - Accent1 72 2" xfId="31670" xr:uid="{00000000-0005-0000-0000-0000AD7B0000}"/>
    <cellStyle name="60% - Accent1 73" xfId="31671" xr:uid="{00000000-0005-0000-0000-0000AE7B0000}"/>
    <cellStyle name="60% - Accent1 73 2" xfId="31672" xr:uid="{00000000-0005-0000-0000-0000AF7B0000}"/>
    <cellStyle name="60% - Accent1 74" xfId="31673" xr:uid="{00000000-0005-0000-0000-0000B07B0000}"/>
    <cellStyle name="60% - Accent1 74 2" xfId="31674" xr:uid="{00000000-0005-0000-0000-0000B17B0000}"/>
    <cellStyle name="60% - Accent1 75" xfId="31675" xr:uid="{00000000-0005-0000-0000-0000B27B0000}"/>
    <cellStyle name="60% - Accent1 75 2" xfId="31676" xr:uid="{00000000-0005-0000-0000-0000B37B0000}"/>
    <cellStyle name="60% - Accent1 76" xfId="31677" xr:uid="{00000000-0005-0000-0000-0000B47B0000}"/>
    <cellStyle name="60% - Accent1 76 2" xfId="31678" xr:uid="{00000000-0005-0000-0000-0000B57B0000}"/>
    <cellStyle name="60% - Accent1 77" xfId="31679" xr:uid="{00000000-0005-0000-0000-0000B67B0000}"/>
    <cellStyle name="60% - Accent1 77 2" xfId="31680" xr:uid="{00000000-0005-0000-0000-0000B77B0000}"/>
    <cellStyle name="60% - Accent1 78" xfId="31681" xr:uid="{00000000-0005-0000-0000-0000B87B0000}"/>
    <cellStyle name="60% - Accent1 78 2" xfId="31682" xr:uid="{00000000-0005-0000-0000-0000B97B0000}"/>
    <cellStyle name="60% - Accent1 79" xfId="31683" xr:uid="{00000000-0005-0000-0000-0000BA7B0000}"/>
    <cellStyle name="60% - Accent1 79 2" xfId="31684" xr:uid="{00000000-0005-0000-0000-0000BB7B0000}"/>
    <cellStyle name="60% - Accent1 8" xfId="31685" xr:uid="{00000000-0005-0000-0000-0000BC7B0000}"/>
    <cellStyle name="60% - Accent1 8 2" xfId="31686" xr:uid="{00000000-0005-0000-0000-0000BD7B0000}"/>
    <cellStyle name="60% - Accent1 8 2 2" xfId="31687" xr:uid="{00000000-0005-0000-0000-0000BE7B0000}"/>
    <cellStyle name="60% - Accent1 8 3" xfId="31688" xr:uid="{00000000-0005-0000-0000-0000BF7B0000}"/>
    <cellStyle name="60% - Accent1 8 3 2" xfId="31689" xr:uid="{00000000-0005-0000-0000-0000C07B0000}"/>
    <cellStyle name="60% - Accent1 8 4" xfId="31690" xr:uid="{00000000-0005-0000-0000-0000C17B0000}"/>
    <cellStyle name="60% - Accent1 80" xfId="31691" xr:uid="{00000000-0005-0000-0000-0000C27B0000}"/>
    <cellStyle name="60% - Accent1 80 2" xfId="31692" xr:uid="{00000000-0005-0000-0000-0000C37B0000}"/>
    <cellStyle name="60% - Accent1 81" xfId="31693" xr:uid="{00000000-0005-0000-0000-0000C47B0000}"/>
    <cellStyle name="60% - Accent1 81 2" xfId="31694" xr:uid="{00000000-0005-0000-0000-0000C57B0000}"/>
    <cellStyle name="60% - Accent1 82" xfId="31695" xr:uid="{00000000-0005-0000-0000-0000C67B0000}"/>
    <cellStyle name="60% - Accent1 82 2" xfId="31696" xr:uid="{00000000-0005-0000-0000-0000C77B0000}"/>
    <cellStyle name="60% - Accent1 83" xfId="31697" xr:uid="{00000000-0005-0000-0000-0000C87B0000}"/>
    <cellStyle name="60% - Accent1 83 2" xfId="31698" xr:uid="{00000000-0005-0000-0000-0000C97B0000}"/>
    <cellStyle name="60% - Accent1 84" xfId="31699" xr:uid="{00000000-0005-0000-0000-0000CA7B0000}"/>
    <cellStyle name="60% - Accent1 84 2" xfId="31700" xr:uid="{00000000-0005-0000-0000-0000CB7B0000}"/>
    <cellStyle name="60% - Accent1 85" xfId="31701" xr:uid="{00000000-0005-0000-0000-0000CC7B0000}"/>
    <cellStyle name="60% - Accent1 85 2" xfId="31702" xr:uid="{00000000-0005-0000-0000-0000CD7B0000}"/>
    <cellStyle name="60% - Accent1 86" xfId="31703" xr:uid="{00000000-0005-0000-0000-0000CE7B0000}"/>
    <cellStyle name="60% - Accent1 86 2" xfId="31704" xr:uid="{00000000-0005-0000-0000-0000CF7B0000}"/>
    <cellStyle name="60% - Accent1 87" xfId="31705" xr:uid="{00000000-0005-0000-0000-0000D07B0000}"/>
    <cellStyle name="60% - Accent1 87 2" xfId="31706" xr:uid="{00000000-0005-0000-0000-0000D17B0000}"/>
    <cellStyle name="60% - Accent1 88" xfId="31707" xr:uid="{00000000-0005-0000-0000-0000D27B0000}"/>
    <cellStyle name="60% - Accent1 88 2" xfId="31708" xr:uid="{00000000-0005-0000-0000-0000D37B0000}"/>
    <cellStyle name="60% - Accent1 89" xfId="31709" xr:uid="{00000000-0005-0000-0000-0000D47B0000}"/>
    <cellStyle name="60% - Accent1 89 2" xfId="31710" xr:uid="{00000000-0005-0000-0000-0000D57B0000}"/>
    <cellStyle name="60% - Accent1 9" xfId="31711" xr:uid="{00000000-0005-0000-0000-0000D67B0000}"/>
    <cellStyle name="60% - Accent1 9 2" xfId="31712" xr:uid="{00000000-0005-0000-0000-0000D77B0000}"/>
    <cellStyle name="60% - Accent1 9 2 2" xfId="31713" xr:uid="{00000000-0005-0000-0000-0000D87B0000}"/>
    <cellStyle name="60% - Accent1 9 3" xfId="31714" xr:uid="{00000000-0005-0000-0000-0000D97B0000}"/>
    <cellStyle name="60% - Accent1 9 3 2" xfId="31715" xr:uid="{00000000-0005-0000-0000-0000DA7B0000}"/>
    <cellStyle name="60% - Accent1 9 4" xfId="31716" xr:uid="{00000000-0005-0000-0000-0000DB7B0000}"/>
    <cellStyle name="60% - Accent1 90" xfId="31717" xr:uid="{00000000-0005-0000-0000-0000DC7B0000}"/>
    <cellStyle name="60% - Accent1 90 2" xfId="31718" xr:uid="{00000000-0005-0000-0000-0000DD7B0000}"/>
    <cellStyle name="60% - Accent1 91" xfId="31719" xr:uid="{00000000-0005-0000-0000-0000DE7B0000}"/>
    <cellStyle name="60% - Accent1 91 2" xfId="31720" xr:uid="{00000000-0005-0000-0000-0000DF7B0000}"/>
    <cellStyle name="60% - Accent1 92" xfId="31721" xr:uid="{00000000-0005-0000-0000-0000E07B0000}"/>
    <cellStyle name="60% - Accent1 92 2" xfId="31722" xr:uid="{00000000-0005-0000-0000-0000E17B0000}"/>
    <cellStyle name="60% - Accent1 93" xfId="31723" xr:uid="{00000000-0005-0000-0000-0000E27B0000}"/>
    <cellStyle name="60% - Accent1 93 2" xfId="31724" xr:uid="{00000000-0005-0000-0000-0000E37B0000}"/>
    <cellStyle name="60% - Accent1 94" xfId="31725" xr:uid="{00000000-0005-0000-0000-0000E47B0000}"/>
    <cellStyle name="60% - Accent1 94 2" xfId="31726" xr:uid="{00000000-0005-0000-0000-0000E57B0000}"/>
    <cellStyle name="60% - Accent1 95" xfId="31727" xr:uid="{00000000-0005-0000-0000-0000E67B0000}"/>
    <cellStyle name="60% - Accent1 95 2" xfId="31728" xr:uid="{00000000-0005-0000-0000-0000E77B0000}"/>
    <cellStyle name="60% - Accent1 96" xfId="31729" xr:uid="{00000000-0005-0000-0000-0000E87B0000}"/>
    <cellStyle name="60% - Accent1 96 2" xfId="31730" xr:uid="{00000000-0005-0000-0000-0000E97B0000}"/>
    <cellStyle name="60% - Accent1 97" xfId="31731" xr:uid="{00000000-0005-0000-0000-0000EA7B0000}"/>
    <cellStyle name="60% - Accent1 97 2" xfId="31732" xr:uid="{00000000-0005-0000-0000-0000EB7B0000}"/>
    <cellStyle name="60% - Accent1 98" xfId="31733" xr:uid="{00000000-0005-0000-0000-0000EC7B0000}"/>
    <cellStyle name="60% - Accent1 98 2" xfId="31734" xr:uid="{00000000-0005-0000-0000-0000ED7B0000}"/>
    <cellStyle name="60% - Accent1 99" xfId="31735" xr:uid="{00000000-0005-0000-0000-0000EE7B0000}"/>
    <cellStyle name="60% - Accent1 99 2" xfId="31736" xr:uid="{00000000-0005-0000-0000-0000EF7B0000}"/>
    <cellStyle name="60% - Accent2 10" xfId="31737" xr:uid="{00000000-0005-0000-0000-0000F07B0000}"/>
    <cellStyle name="60% - Accent2 10 2" xfId="31738" xr:uid="{00000000-0005-0000-0000-0000F17B0000}"/>
    <cellStyle name="60% - Accent2 100" xfId="31739" xr:uid="{00000000-0005-0000-0000-0000F27B0000}"/>
    <cellStyle name="60% - Accent2 100 2" xfId="31740" xr:uid="{00000000-0005-0000-0000-0000F37B0000}"/>
    <cellStyle name="60% - Accent2 101" xfId="31741" xr:uid="{00000000-0005-0000-0000-0000F47B0000}"/>
    <cellStyle name="60% - Accent2 101 2" xfId="31742" xr:uid="{00000000-0005-0000-0000-0000F57B0000}"/>
    <cellStyle name="60% - Accent2 102" xfId="31743" xr:uid="{00000000-0005-0000-0000-0000F67B0000}"/>
    <cellStyle name="60% - Accent2 102 2" xfId="31744" xr:uid="{00000000-0005-0000-0000-0000F77B0000}"/>
    <cellStyle name="60% - Accent2 103" xfId="31745" xr:uid="{00000000-0005-0000-0000-0000F87B0000}"/>
    <cellStyle name="60% - Accent2 103 2" xfId="31746" xr:uid="{00000000-0005-0000-0000-0000F97B0000}"/>
    <cellStyle name="60% - Accent2 104" xfId="31747" xr:uid="{00000000-0005-0000-0000-0000FA7B0000}"/>
    <cellStyle name="60% - Accent2 104 2" xfId="31748" xr:uid="{00000000-0005-0000-0000-0000FB7B0000}"/>
    <cellStyle name="60% - Accent2 105" xfId="31749" xr:uid="{00000000-0005-0000-0000-0000FC7B0000}"/>
    <cellStyle name="60% - Accent2 105 2" xfId="31750" xr:uid="{00000000-0005-0000-0000-0000FD7B0000}"/>
    <cellStyle name="60% - Accent2 106" xfId="31751" xr:uid="{00000000-0005-0000-0000-0000FE7B0000}"/>
    <cellStyle name="60% - Accent2 106 2" xfId="31752" xr:uid="{00000000-0005-0000-0000-0000FF7B0000}"/>
    <cellStyle name="60% - Accent2 107" xfId="31753" xr:uid="{00000000-0005-0000-0000-0000007C0000}"/>
    <cellStyle name="60% - Accent2 107 2" xfId="31754" xr:uid="{00000000-0005-0000-0000-0000017C0000}"/>
    <cellStyle name="60% - Accent2 108" xfId="31755" xr:uid="{00000000-0005-0000-0000-0000027C0000}"/>
    <cellStyle name="60% - Accent2 108 2" xfId="31756" xr:uid="{00000000-0005-0000-0000-0000037C0000}"/>
    <cellStyle name="60% - Accent2 109" xfId="31757" xr:uid="{00000000-0005-0000-0000-0000047C0000}"/>
    <cellStyle name="60% - Accent2 109 2" xfId="31758" xr:uid="{00000000-0005-0000-0000-0000057C0000}"/>
    <cellStyle name="60% - Accent2 11" xfId="31759" xr:uid="{00000000-0005-0000-0000-0000067C0000}"/>
    <cellStyle name="60% - Accent2 11 2" xfId="31760" xr:uid="{00000000-0005-0000-0000-0000077C0000}"/>
    <cellStyle name="60% - Accent2 110" xfId="31761" xr:uid="{00000000-0005-0000-0000-0000087C0000}"/>
    <cellStyle name="60% - Accent2 110 2" xfId="31762" xr:uid="{00000000-0005-0000-0000-0000097C0000}"/>
    <cellStyle name="60% - Accent2 111" xfId="31763" xr:uid="{00000000-0005-0000-0000-00000A7C0000}"/>
    <cellStyle name="60% - Accent2 111 2" xfId="31764" xr:uid="{00000000-0005-0000-0000-00000B7C0000}"/>
    <cellStyle name="60% - Accent2 112" xfId="31765" xr:uid="{00000000-0005-0000-0000-00000C7C0000}"/>
    <cellStyle name="60% - Accent2 112 2" xfId="31766" xr:uid="{00000000-0005-0000-0000-00000D7C0000}"/>
    <cellStyle name="60% - Accent2 113" xfId="31767" xr:uid="{00000000-0005-0000-0000-00000E7C0000}"/>
    <cellStyle name="60% - Accent2 113 2" xfId="31768" xr:uid="{00000000-0005-0000-0000-00000F7C0000}"/>
    <cellStyle name="60% - Accent2 114" xfId="31769" xr:uid="{00000000-0005-0000-0000-0000107C0000}"/>
    <cellStyle name="60% - Accent2 114 2" xfId="31770" xr:uid="{00000000-0005-0000-0000-0000117C0000}"/>
    <cellStyle name="60% - Accent2 115" xfId="31771" xr:uid="{00000000-0005-0000-0000-0000127C0000}"/>
    <cellStyle name="60% - Accent2 115 2" xfId="31772" xr:uid="{00000000-0005-0000-0000-0000137C0000}"/>
    <cellStyle name="60% - Accent2 116" xfId="31773" xr:uid="{00000000-0005-0000-0000-0000147C0000}"/>
    <cellStyle name="60% - Accent2 116 2" xfId="31774" xr:uid="{00000000-0005-0000-0000-0000157C0000}"/>
    <cellStyle name="60% - Accent2 117" xfId="31775" xr:uid="{00000000-0005-0000-0000-0000167C0000}"/>
    <cellStyle name="60% - Accent2 117 2" xfId="31776" xr:uid="{00000000-0005-0000-0000-0000177C0000}"/>
    <cellStyle name="60% - Accent2 118" xfId="31777" xr:uid="{00000000-0005-0000-0000-0000187C0000}"/>
    <cellStyle name="60% - Accent2 118 2" xfId="31778" xr:uid="{00000000-0005-0000-0000-0000197C0000}"/>
    <cellStyle name="60% - Accent2 119" xfId="31779" xr:uid="{00000000-0005-0000-0000-00001A7C0000}"/>
    <cellStyle name="60% - Accent2 119 2" xfId="31780" xr:uid="{00000000-0005-0000-0000-00001B7C0000}"/>
    <cellStyle name="60% - Accent2 12" xfId="31781" xr:uid="{00000000-0005-0000-0000-00001C7C0000}"/>
    <cellStyle name="60% - Accent2 12 2" xfId="31782" xr:uid="{00000000-0005-0000-0000-00001D7C0000}"/>
    <cellStyle name="60% - Accent2 120" xfId="31783" xr:uid="{00000000-0005-0000-0000-00001E7C0000}"/>
    <cellStyle name="60% - Accent2 120 2" xfId="31784" xr:uid="{00000000-0005-0000-0000-00001F7C0000}"/>
    <cellStyle name="60% - Accent2 121" xfId="31785" xr:uid="{00000000-0005-0000-0000-0000207C0000}"/>
    <cellStyle name="60% - Accent2 121 2" xfId="31786" xr:uid="{00000000-0005-0000-0000-0000217C0000}"/>
    <cellStyle name="60% - Accent2 122" xfId="31787" xr:uid="{00000000-0005-0000-0000-0000227C0000}"/>
    <cellStyle name="60% - Accent2 122 2" xfId="31788" xr:uid="{00000000-0005-0000-0000-0000237C0000}"/>
    <cellStyle name="60% - Accent2 123" xfId="31789" xr:uid="{00000000-0005-0000-0000-0000247C0000}"/>
    <cellStyle name="60% - Accent2 123 2" xfId="31790" xr:uid="{00000000-0005-0000-0000-0000257C0000}"/>
    <cellStyle name="60% - Accent2 124" xfId="31791" xr:uid="{00000000-0005-0000-0000-0000267C0000}"/>
    <cellStyle name="60% - Accent2 124 2" xfId="31792" xr:uid="{00000000-0005-0000-0000-0000277C0000}"/>
    <cellStyle name="60% - Accent2 125" xfId="31793" xr:uid="{00000000-0005-0000-0000-0000287C0000}"/>
    <cellStyle name="60% - Accent2 125 2" xfId="31794" xr:uid="{00000000-0005-0000-0000-0000297C0000}"/>
    <cellStyle name="60% - Accent2 126" xfId="31795" xr:uid="{00000000-0005-0000-0000-00002A7C0000}"/>
    <cellStyle name="60% - Accent2 126 2" xfId="31796" xr:uid="{00000000-0005-0000-0000-00002B7C0000}"/>
    <cellStyle name="60% - Accent2 127" xfId="31797" xr:uid="{00000000-0005-0000-0000-00002C7C0000}"/>
    <cellStyle name="60% - Accent2 127 2" xfId="31798" xr:uid="{00000000-0005-0000-0000-00002D7C0000}"/>
    <cellStyle name="60% - Accent2 128" xfId="31799" xr:uid="{00000000-0005-0000-0000-00002E7C0000}"/>
    <cellStyle name="60% - Accent2 128 2" xfId="31800" xr:uid="{00000000-0005-0000-0000-00002F7C0000}"/>
    <cellStyle name="60% - Accent2 129" xfId="31801" xr:uid="{00000000-0005-0000-0000-0000307C0000}"/>
    <cellStyle name="60% - Accent2 129 2" xfId="31802" xr:uid="{00000000-0005-0000-0000-0000317C0000}"/>
    <cellStyle name="60% - Accent2 13" xfId="31803" xr:uid="{00000000-0005-0000-0000-0000327C0000}"/>
    <cellStyle name="60% - Accent2 13 2" xfId="31804" xr:uid="{00000000-0005-0000-0000-0000337C0000}"/>
    <cellStyle name="60% - Accent2 130" xfId="31805" xr:uid="{00000000-0005-0000-0000-0000347C0000}"/>
    <cellStyle name="60% - Accent2 130 2" xfId="31806" xr:uid="{00000000-0005-0000-0000-0000357C0000}"/>
    <cellStyle name="60% - Accent2 131" xfId="31807" xr:uid="{00000000-0005-0000-0000-0000367C0000}"/>
    <cellStyle name="60% - Accent2 131 2" xfId="31808" xr:uid="{00000000-0005-0000-0000-0000377C0000}"/>
    <cellStyle name="60% - Accent2 132" xfId="31809" xr:uid="{00000000-0005-0000-0000-0000387C0000}"/>
    <cellStyle name="60% - Accent2 132 2" xfId="31810" xr:uid="{00000000-0005-0000-0000-0000397C0000}"/>
    <cellStyle name="60% - Accent2 133" xfId="31811" xr:uid="{00000000-0005-0000-0000-00003A7C0000}"/>
    <cellStyle name="60% - Accent2 133 2" xfId="31812" xr:uid="{00000000-0005-0000-0000-00003B7C0000}"/>
    <cellStyle name="60% - Accent2 134" xfId="31813" xr:uid="{00000000-0005-0000-0000-00003C7C0000}"/>
    <cellStyle name="60% - Accent2 134 2" xfId="31814" xr:uid="{00000000-0005-0000-0000-00003D7C0000}"/>
    <cellStyle name="60% - Accent2 135" xfId="31815" xr:uid="{00000000-0005-0000-0000-00003E7C0000}"/>
    <cellStyle name="60% - Accent2 135 2" xfId="31816" xr:uid="{00000000-0005-0000-0000-00003F7C0000}"/>
    <cellStyle name="60% - Accent2 136" xfId="31817" xr:uid="{00000000-0005-0000-0000-0000407C0000}"/>
    <cellStyle name="60% - Accent2 136 2" xfId="31818" xr:uid="{00000000-0005-0000-0000-0000417C0000}"/>
    <cellStyle name="60% - Accent2 137" xfId="31819" xr:uid="{00000000-0005-0000-0000-0000427C0000}"/>
    <cellStyle name="60% - Accent2 137 2" xfId="31820" xr:uid="{00000000-0005-0000-0000-0000437C0000}"/>
    <cellStyle name="60% - Accent2 138" xfId="31821" xr:uid="{00000000-0005-0000-0000-0000447C0000}"/>
    <cellStyle name="60% - Accent2 138 2" xfId="31822" xr:uid="{00000000-0005-0000-0000-0000457C0000}"/>
    <cellStyle name="60% - Accent2 139" xfId="31823" xr:uid="{00000000-0005-0000-0000-0000467C0000}"/>
    <cellStyle name="60% - Accent2 139 2" xfId="31824" xr:uid="{00000000-0005-0000-0000-0000477C0000}"/>
    <cellStyle name="60% - Accent2 14" xfId="31825" xr:uid="{00000000-0005-0000-0000-0000487C0000}"/>
    <cellStyle name="60% - Accent2 14 2" xfId="31826" xr:uid="{00000000-0005-0000-0000-0000497C0000}"/>
    <cellStyle name="60% - Accent2 140" xfId="31827" xr:uid="{00000000-0005-0000-0000-00004A7C0000}"/>
    <cellStyle name="60% - Accent2 140 2" xfId="31828" xr:uid="{00000000-0005-0000-0000-00004B7C0000}"/>
    <cellStyle name="60% - Accent2 141" xfId="31829" xr:uid="{00000000-0005-0000-0000-00004C7C0000}"/>
    <cellStyle name="60% - Accent2 141 2" xfId="31830" xr:uid="{00000000-0005-0000-0000-00004D7C0000}"/>
    <cellStyle name="60% - Accent2 142" xfId="31831" xr:uid="{00000000-0005-0000-0000-00004E7C0000}"/>
    <cellStyle name="60% - Accent2 142 2" xfId="31832" xr:uid="{00000000-0005-0000-0000-00004F7C0000}"/>
    <cellStyle name="60% - Accent2 143" xfId="31833" xr:uid="{00000000-0005-0000-0000-0000507C0000}"/>
    <cellStyle name="60% - Accent2 143 2" xfId="31834" xr:uid="{00000000-0005-0000-0000-0000517C0000}"/>
    <cellStyle name="60% - Accent2 144" xfId="31835" xr:uid="{00000000-0005-0000-0000-0000527C0000}"/>
    <cellStyle name="60% - Accent2 144 2" xfId="31836" xr:uid="{00000000-0005-0000-0000-0000537C0000}"/>
    <cellStyle name="60% - Accent2 145" xfId="31837" xr:uid="{00000000-0005-0000-0000-0000547C0000}"/>
    <cellStyle name="60% - Accent2 145 2" xfId="31838" xr:uid="{00000000-0005-0000-0000-0000557C0000}"/>
    <cellStyle name="60% - Accent2 146" xfId="31839" xr:uid="{00000000-0005-0000-0000-0000567C0000}"/>
    <cellStyle name="60% - Accent2 146 2" xfId="31840" xr:uid="{00000000-0005-0000-0000-0000577C0000}"/>
    <cellStyle name="60% - Accent2 147" xfId="31841" xr:uid="{00000000-0005-0000-0000-0000587C0000}"/>
    <cellStyle name="60% - Accent2 147 2" xfId="31842" xr:uid="{00000000-0005-0000-0000-0000597C0000}"/>
    <cellStyle name="60% - Accent2 148" xfId="31843" xr:uid="{00000000-0005-0000-0000-00005A7C0000}"/>
    <cellStyle name="60% - Accent2 148 2" xfId="31844" xr:uid="{00000000-0005-0000-0000-00005B7C0000}"/>
    <cellStyle name="60% - Accent2 149" xfId="31845" xr:uid="{00000000-0005-0000-0000-00005C7C0000}"/>
    <cellStyle name="60% - Accent2 149 2" xfId="31846" xr:uid="{00000000-0005-0000-0000-00005D7C0000}"/>
    <cellStyle name="60% - Accent2 15" xfId="31847" xr:uid="{00000000-0005-0000-0000-00005E7C0000}"/>
    <cellStyle name="60% - Accent2 15 2" xfId="31848" xr:uid="{00000000-0005-0000-0000-00005F7C0000}"/>
    <cellStyle name="60% - Accent2 150" xfId="31849" xr:uid="{00000000-0005-0000-0000-0000607C0000}"/>
    <cellStyle name="60% - Accent2 150 2" xfId="31850" xr:uid="{00000000-0005-0000-0000-0000617C0000}"/>
    <cellStyle name="60% - Accent2 151" xfId="31851" xr:uid="{00000000-0005-0000-0000-0000627C0000}"/>
    <cellStyle name="60% - Accent2 151 2" xfId="31852" xr:uid="{00000000-0005-0000-0000-0000637C0000}"/>
    <cellStyle name="60% - Accent2 152" xfId="31853" xr:uid="{00000000-0005-0000-0000-0000647C0000}"/>
    <cellStyle name="60% - Accent2 152 2" xfId="31854" xr:uid="{00000000-0005-0000-0000-0000657C0000}"/>
    <cellStyle name="60% - Accent2 153" xfId="31855" xr:uid="{00000000-0005-0000-0000-0000667C0000}"/>
    <cellStyle name="60% - Accent2 153 2" xfId="31856" xr:uid="{00000000-0005-0000-0000-0000677C0000}"/>
    <cellStyle name="60% - Accent2 154" xfId="31857" xr:uid="{00000000-0005-0000-0000-0000687C0000}"/>
    <cellStyle name="60% - Accent2 154 2" xfId="31858" xr:uid="{00000000-0005-0000-0000-0000697C0000}"/>
    <cellStyle name="60% - Accent2 155" xfId="31859" xr:uid="{00000000-0005-0000-0000-00006A7C0000}"/>
    <cellStyle name="60% - Accent2 155 2" xfId="31860" xr:uid="{00000000-0005-0000-0000-00006B7C0000}"/>
    <cellStyle name="60% - Accent2 156" xfId="31861" xr:uid="{00000000-0005-0000-0000-00006C7C0000}"/>
    <cellStyle name="60% - Accent2 156 2" xfId="31862" xr:uid="{00000000-0005-0000-0000-00006D7C0000}"/>
    <cellStyle name="60% - Accent2 157" xfId="31863" xr:uid="{00000000-0005-0000-0000-00006E7C0000}"/>
    <cellStyle name="60% - Accent2 157 2" xfId="31864" xr:uid="{00000000-0005-0000-0000-00006F7C0000}"/>
    <cellStyle name="60% - Accent2 158" xfId="31865" xr:uid="{00000000-0005-0000-0000-0000707C0000}"/>
    <cellStyle name="60% - Accent2 158 2" xfId="31866" xr:uid="{00000000-0005-0000-0000-0000717C0000}"/>
    <cellStyle name="60% - Accent2 159" xfId="31867" xr:uid="{00000000-0005-0000-0000-0000727C0000}"/>
    <cellStyle name="60% - Accent2 159 2" xfId="31868" xr:uid="{00000000-0005-0000-0000-0000737C0000}"/>
    <cellStyle name="60% - Accent2 16" xfId="31869" xr:uid="{00000000-0005-0000-0000-0000747C0000}"/>
    <cellStyle name="60% - Accent2 16 2" xfId="31870" xr:uid="{00000000-0005-0000-0000-0000757C0000}"/>
    <cellStyle name="60% - Accent2 160" xfId="31871" xr:uid="{00000000-0005-0000-0000-0000767C0000}"/>
    <cellStyle name="60% - Accent2 160 2" xfId="31872" xr:uid="{00000000-0005-0000-0000-0000777C0000}"/>
    <cellStyle name="60% - Accent2 161" xfId="31873" xr:uid="{00000000-0005-0000-0000-0000787C0000}"/>
    <cellStyle name="60% - Accent2 161 2" xfId="31874" xr:uid="{00000000-0005-0000-0000-0000797C0000}"/>
    <cellStyle name="60% - Accent2 162" xfId="31875" xr:uid="{00000000-0005-0000-0000-00007A7C0000}"/>
    <cellStyle name="60% - Accent2 162 2" xfId="31876" xr:uid="{00000000-0005-0000-0000-00007B7C0000}"/>
    <cellStyle name="60% - Accent2 163" xfId="31877" xr:uid="{00000000-0005-0000-0000-00007C7C0000}"/>
    <cellStyle name="60% - Accent2 163 2" xfId="31878" xr:uid="{00000000-0005-0000-0000-00007D7C0000}"/>
    <cellStyle name="60% - Accent2 164" xfId="31879" xr:uid="{00000000-0005-0000-0000-00007E7C0000}"/>
    <cellStyle name="60% - Accent2 164 2" xfId="31880" xr:uid="{00000000-0005-0000-0000-00007F7C0000}"/>
    <cellStyle name="60% - Accent2 165" xfId="31881" xr:uid="{00000000-0005-0000-0000-0000807C0000}"/>
    <cellStyle name="60% - Accent2 165 2" xfId="31882" xr:uid="{00000000-0005-0000-0000-0000817C0000}"/>
    <cellStyle name="60% - Accent2 166" xfId="31883" xr:uid="{00000000-0005-0000-0000-0000827C0000}"/>
    <cellStyle name="60% - Accent2 166 2" xfId="31884" xr:uid="{00000000-0005-0000-0000-0000837C0000}"/>
    <cellStyle name="60% - Accent2 167" xfId="31885" xr:uid="{00000000-0005-0000-0000-0000847C0000}"/>
    <cellStyle name="60% - Accent2 167 2" xfId="31886" xr:uid="{00000000-0005-0000-0000-0000857C0000}"/>
    <cellStyle name="60% - Accent2 168" xfId="31887" xr:uid="{00000000-0005-0000-0000-0000867C0000}"/>
    <cellStyle name="60% - Accent2 168 2" xfId="31888" xr:uid="{00000000-0005-0000-0000-0000877C0000}"/>
    <cellStyle name="60% - Accent2 169" xfId="31889" xr:uid="{00000000-0005-0000-0000-0000887C0000}"/>
    <cellStyle name="60% - Accent2 169 2" xfId="31890" xr:uid="{00000000-0005-0000-0000-0000897C0000}"/>
    <cellStyle name="60% - Accent2 17" xfId="31891" xr:uid="{00000000-0005-0000-0000-00008A7C0000}"/>
    <cellStyle name="60% - Accent2 17 2" xfId="31892" xr:uid="{00000000-0005-0000-0000-00008B7C0000}"/>
    <cellStyle name="60% - Accent2 170" xfId="31893" xr:uid="{00000000-0005-0000-0000-00008C7C0000}"/>
    <cellStyle name="60% - Accent2 170 2" xfId="31894" xr:uid="{00000000-0005-0000-0000-00008D7C0000}"/>
    <cellStyle name="60% - Accent2 171" xfId="31895" xr:uid="{00000000-0005-0000-0000-00008E7C0000}"/>
    <cellStyle name="60% - Accent2 171 2" xfId="31896" xr:uid="{00000000-0005-0000-0000-00008F7C0000}"/>
    <cellStyle name="60% - Accent2 172" xfId="31897" xr:uid="{00000000-0005-0000-0000-0000907C0000}"/>
    <cellStyle name="60% - Accent2 172 2" xfId="31898" xr:uid="{00000000-0005-0000-0000-0000917C0000}"/>
    <cellStyle name="60% - Accent2 173" xfId="31899" xr:uid="{00000000-0005-0000-0000-0000927C0000}"/>
    <cellStyle name="60% - Accent2 173 2" xfId="31900" xr:uid="{00000000-0005-0000-0000-0000937C0000}"/>
    <cellStyle name="60% - Accent2 174" xfId="31901" xr:uid="{00000000-0005-0000-0000-0000947C0000}"/>
    <cellStyle name="60% - Accent2 174 2" xfId="31902" xr:uid="{00000000-0005-0000-0000-0000957C0000}"/>
    <cellStyle name="60% - Accent2 175" xfId="31903" xr:uid="{00000000-0005-0000-0000-0000967C0000}"/>
    <cellStyle name="60% - Accent2 175 2" xfId="31904" xr:uid="{00000000-0005-0000-0000-0000977C0000}"/>
    <cellStyle name="60% - Accent2 176" xfId="31905" xr:uid="{00000000-0005-0000-0000-0000987C0000}"/>
    <cellStyle name="60% - Accent2 176 2" xfId="31906" xr:uid="{00000000-0005-0000-0000-0000997C0000}"/>
    <cellStyle name="60% - Accent2 177" xfId="31907" xr:uid="{00000000-0005-0000-0000-00009A7C0000}"/>
    <cellStyle name="60% - Accent2 177 2" xfId="31908" xr:uid="{00000000-0005-0000-0000-00009B7C0000}"/>
    <cellStyle name="60% - Accent2 178" xfId="31909" xr:uid="{00000000-0005-0000-0000-00009C7C0000}"/>
    <cellStyle name="60% - Accent2 178 2" xfId="31910" xr:uid="{00000000-0005-0000-0000-00009D7C0000}"/>
    <cellStyle name="60% - Accent2 179" xfId="31911" xr:uid="{00000000-0005-0000-0000-00009E7C0000}"/>
    <cellStyle name="60% - Accent2 179 2" xfId="31912" xr:uid="{00000000-0005-0000-0000-00009F7C0000}"/>
    <cellStyle name="60% - Accent2 18" xfId="31913" xr:uid="{00000000-0005-0000-0000-0000A07C0000}"/>
    <cellStyle name="60% - Accent2 18 2" xfId="31914" xr:uid="{00000000-0005-0000-0000-0000A17C0000}"/>
    <cellStyle name="60% - Accent2 180" xfId="31915" xr:uid="{00000000-0005-0000-0000-0000A27C0000}"/>
    <cellStyle name="60% - Accent2 180 2" xfId="31916" xr:uid="{00000000-0005-0000-0000-0000A37C0000}"/>
    <cellStyle name="60% - Accent2 181" xfId="31917" xr:uid="{00000000-0005-0000-0000-0000A47C0000}"/>
    <cellStyle name="60% - Accent2 181 2" xfId="31918" xr:uid="{00000000-0005-0000-0000-0000A57C0000}"/>
    <cellStyle name="60% - Accent2 182" xfId="31919" xr:uid="{00000000-0005-0000-0000-0000A67C0000}"/>
    <cellStyle name="60% - Accent2 182 2" xfId="31920" xr:uid="{00000000-0005-0000-0000-0000A77C0000}"/>
    <cellStyle name="60% - Accent2 183" xfId="31921" xr:uid="{00000000-0005-0000-0000-0000A87C0000}"/>
    <cellStyle name="60% - Accent2 183 2" xfId="31922" xr:uid="{00000000-0005-0000-0000-0000A97C0000}"/>
    <cellStyle name="60% - Accent2 184" xfId="31923" xr:uid="{00000000-0005-0000-0000-0000AA7C0000}"/>
    <cellStyle name="60% - Accent2 184 2" xfId="31924" xr:uid="{00000000-0005-0000-0000-0000AB7C0000}"/>
    <cellStyle name="60% - Accent2 185" xfId="31925" xr:uid="{00000000-0005-0000-0000-0000AC7C0000}"/>
    <cellStyle name="60% - Accent2 185 2" xfId="31926" xr:uid="{00000000-0005-0000-0000-0000AD7C0000}"/>
    <cellStyle name="60% - Accent2 186" xfId="31927" xr:uid="{00000000-0005-0000-0000-0000AE7C0000}"/>
    <cellStyle name="60% - Accent2 186 2" xfId="31928" xr:uid="{00000000-0005-0000-0000-0000AF7C0000}"/>
    <cellStyle name="60% - Accent2 187" xfId="31929" xr:uid="{00000000-0005-0000-0000-0000B07C0000}"/>
    <cellStyle name="60% - Accent2 187 2" xfId="31930" xr:uid="{00000000-0005-0000-0000-0000B17C0000}"/>
    <cellStyle name="60% - Accent2 188" xfId="31931" xr:uid="{00000000-0005-0000-0000-0000B27C0000}"/>
    <cellStyle name="60% - Accent2 188 2" xfId="31932" xr:uid="{00000000-0005-0000-0000-0000B37C0000}"/>
    <cellStyle name="60% - Accent2 189" xfId="31933" xr:uid="{00000000-0005-0000-0000-0000B47C0000}"/>
    <cellStyle name="60% - Accent2 189 2" xfId="31934" xr:uid="{00000000-0005-0000-0000-0000B57C0000}"/>
    <cellStyle name="60% - Accent2 19" xfId="31935" xr:uid="{00000000-0005-0000-0000-0000B67C0000}"/>
    <cellStyle name="60% - Accent2 19 2" xfId="31936" xr:uid="{00000000-0005-0000-0000-0000B77C0000}"/>
    <cellStyle name="60% - Accent2 190" xfId="31937" xr:uid="{00000000-0005-0000-0000-0000B87C0000}"/>
    <cellStyle name="60% - Accent2 190 2" xfId="31938" xr:uid="{00000000-0005-0000-0000-0000B97C0000}"/>
    <cellStyle name="60% - Accent2 191" xfId="31939" xr:uid="{00000000-0005-0000-0000-0000BA7C0000}"/>
    <cellStyle name="60% - Accent2 191 2" xfId="31940" xr:uid="{00000000-0005-0000-0000-0000BB7C0000}"/>
    <cellStyle name="60% - Accent2 192" xfId="31941" xr:uid="{00000000-0005-0000-0000-0000BC7C0000}"/>
    <cellStyle name="60% - Accent2 192 2" xfId="31942" xr:uid="{00000000-0005-0000-0000-0000BD7C0000}"/>
    <cellStyle name="60% - Accent2 193" xfId="31943" xr:uid="{00000000-0005-0000-0000-0000BE7C0000}"/>
    <cellStyle name="60% - Accent2 193 2" xfId="31944" xr:uid="{00000000-0005-0000-0000-0000BF7C0000}"/>
    <cellStyle name="60% - Accent2 194" xfId="31945" xr:uid="{00000000-0005-0000-0000-0000C07C0000}"/>
    <cellStyle name="60% - Accent2 194 2" xfId="31946" xr:uid="{00000000-0005-0000-0000-0000C17C0000}"/>
    <cellStyle name="60% - Accent2 195" xfId="31947" xr:uid="{00000000-0005-0000-0000-0000C27C0000}"/>
    <cellStyle name="60% - Accent2 195 2" xfId="31948" xr:uid="{00000000-0005-0000-0000-0000C37C0000}"/>
    <cellStyle name="60% - Accent2 196" xfId="31949" xr:uid="{00000000-0005-0000-0000-0000C47C0000}"/>
    <cellStyle name="60% - Accent2 196 2" xfId="31950" xr:uid="{00000000-0005-0000-0000-0000C57C0000}"/>
    <cellStyle name="60% - Accent2 197" xfId="31951" xr:uid="{00000000-0005-0000-0000-0000C67C0000}"/>
    <cellStyle name="60% - Accent2 197 2" xfId="31952" xr:uid="{00000000-0005-0000-0000-0000C77C0000}"/>
    <cellStyle name="60% - Accent2 198" xfId="31953" xr:uid="{00000000-0005-0000-0000-0000C87C0000}"/>
    <cellStyle name="60% - Accent2 198 2" xfId="31954" xr:uid="{00000000-0005-0000-0000-0000C97C0000}"/>
    <cellStyle name="60% - Accent2 2" xfId="31955" xr:uid="{00000000-0005-0000-0000-0000CA7C0000}"/>
    <cellStyle name="60% - Accent2 2 2" xfId="31956" xr:uid="{00000000-0005-0000-0000-0000CB7C0000}"/>
    <cellStyle name="60% - Accent2 2 2 2" xfId="31957" xr:uid="{00000000-0005-0000-0000-0000CC7C0000}"/>
    <cellStyle name="60% - Accent2 2 2 2 2" xfId="31958" xr:uid="{00000000-0005-0000-0000-0000CD7C0000}"/>
    <cellStyle name="60% - Accent2 2 2 2 2 2" xfId="31959" xr:uid="{00000000-0005-0000-0000-0000CE7C0000}"/>
    <cellStyle name="60% - Accent2 2 2 2 2 2 2" xfId="31960" xr:uid="{00000000-0005-0000-0000-0000CF7C0000}"/>
    <cellStyle name="60% - Accent2 2 2 2 2 3" xfId="31961" xr:uid="{00000000-0005-0000-0000-0000D07C0000}"/>
    <cellStyle name="60% - Accent2 2 2 2 3" xfId="31962" xr:uid="{00000000-0005-0000-0000-0000D17C0000}"/>
    <cellStyle name="60% - Accent2 2 2 3" xfId="31963" xr:uid="{00000000-0005-0000-0000-0000D27C0000}"/>
    <cellStyle name="60% - Accent2 2 2 3 2" xfId="31964" xr:uid="{00000000-0005-0000-0000-0000D37C0000}"/>
    <cellStyle name="60% - Accent2 2 2 4" xfId="31965" xr:uid="{00000000-0005-0000-0000-0000D47C0000}"/>
    <cellStyle name="60% - Accent2 2 2 4 2" xfId="31966" xr:uid="{00000000-0005-0000-0000-0000D57C0000}"/>
    <cellStyle name="60% - Accent2 2 2 5" xfId="31967" xr:uid="{00000000-0005-0000-0000-0000D67C0000}"/>
    <cellStyle name="60% - Accent2 2 3" xfId="31968" xr:uid="{00000000-0005-0000-0000-0000D77C0000}"/>
    <cellStyle name="60% - Accent2 2 3 2" xfId="31969" xr:uid="{00000000-0005-0000-0000-0000D87C0000}"/>
    <cellStyle name="60% - Accent2 2 4" xfId="31970" xr:uid="{00000000-0005-0000-0000-0000D97C0000}"/>
    <cellStyle name="60% - Accent2 2 4 2" xfId="31971" xr:uid="{00000000-0005-0000-0000-0000DA7C0000}"/>
    <cellStyle name="60% - Accent2 2 5" xfId="31972" xr:uid="{00000000-0005-0000-0000-0000DB7C0000}"/>
    <cellStyle name="60% - Accent2 2 5 2" xfId="31973" xr:uid="{00000000-0005-0000-0000-0000DC7C0000}"/>
    <cellStyle name="60% - Accent2 2 6" xfId="31974" xr:uid="{00000000-0005-0000-0000-0000DD7C0000}"/>
    <cellStyle name="60% - Accent2 20" xfId="31975" xr:uid="{00000000-0005-0000-0000-0000DE7C0000}"/>
    <cellStyle name="60% - Accent2 20 2" xfId="31976" xr:uid="{00000000-0005-0000-0000-0000DF7C0000}"/>
    <cellStyle name="60% - Accent2 21" xfId="31977" xr:uid="{00000000-0005-0000-0000-0000E07C0000}"/>
    <cellStyle name="60% - Accent2 21 2" xfId="31978" xr:uid="{00000000-0005-0000-0000-0000E17C0000}"/>
    <cellStyle name="60% - Accent2 22" xfId="31979" xr:uid="{00000000-0005-0000-0000-0000E27C0000}"/>
    <cellStyle name="60% - Accent2 22 2" xfId="31980" xr:uid="{00000000-0005-0000-0000-0000E37C0000}"/>
    <cellStyle name="60% - Accent2 23" xfId="31981" xr:uid="{00000000-0005-0000-0000-0000E47C0000}"/>
    <cellStyle name="60% - Accent2 23 2" xfId="31982" xr:uid="{00000000-0005-0000-0000-0000E57C0000}"/>
    <cellStyle name="60% - Accent2 24" xfId="31983" xr:uid="{00000000-0005-0000-0000-0000E67C0000}"/>
    <cellStyle name="60% - Accent2 24 2" xfId="31984" xr:uid="{00000000-0005-0000-0000-0000E77C0000}"/>
    <cellStyle name="60% - Accent2 25" xfId="31985" xr:uid="{00000000-0005-0000-0000-0000E87C0000}"/>
    <cellStyle name="60% - Accent2 25 2" xfId="31986" xr:uid="{00000000-0005-0000-0000-0000E97C0000}"/>
    <cellStyle name="60% - Accent2 26" xfId="31987" xr:uid="{00000000-0005-0000-0000-0000EA7C0000}"/>
    <cellStyle name="60% - Accent2 26 2" xfId="31988" xr:uid="{00000000-0005-0000-0000-0000EB7C0000}"/>
    <cellStyle name="60% - Accent2 27" xfId="31989" xr:uid="{00000000-0005-0000-0000-0000EC7C0000}"/>
    <cellStyle name="60% - Accent2 27 2" xfId="31990" xr:uid="{00000000-0005-0000-0000-0000ED7C0000}"/>
    <cellStyle name="60% - Accent2 28" xfId="31991" xr:uid="{00000000-0005-0000-0000-0000EE7C0000}"/>
    <cellStyle name="60% - Accent2 28 2" xfId="31992" xr:uid="{00000000-0005-0000-0000-0000EF7C0000}"/>
    <cellStyle name="60% - Accent2 29" xfId="31993" xr:uid="{00000000-0005-0000-0000-0000F07C0000}"/>
    <cellStyle name="60% - Accent2 29 2" xfId="31994" xr:uid="{00000000-0005-0000-0000-0000F17C0000}"/>
    <cellStyle name="60% - Accent2 3" xfId="31995" xr:uid="{00000000-0005-0000-0000-0000F27C0000}"/>
    <cellStyle name="60% - Accent2 3 2" xfId="31996" xr:uid="{00000000-0005-0000-0000-0000F37C0000}"/>
    <cellStyle name="60% - Accent2 3 2 2" xfId="31997" xr:uid="{00000000-0005-0000-0000-0000F47C0000}"/>
    <cellStyle name="60% - Accent2 3 3" xfId="31998" xr:uid="{00000000-0005-0000-0000-0000F57C0000}"/>
    <cellStyle name="60% - Accent2 3 3 2" xfId="31999" xr:uid="{00000000-0005-0000-0000-0000F67C0000}"/>
    <cellStyle name="60% - Accent2 3 4" xfId="32000" xr:uid="{00000000-0005-0000-0000-0000F77C0000}"/>
    <cellStyle name="60% - Accent2 30" xfId="32001" xr:uid="{00000000-0005-0000-0000-0000F87C0000}"/>
    <cellStyle name="60% - Accent2 30 2" xfId="32002" xr:uid="{00000000-0005-0000-0000-0000F97C0000}"/>
    <cellStyle name="60% - Accent2 31" xfId="32003" xr:uid="{00000000-0005-0000-0000-0000FA7C0000}"/>
    <cellStyle name="60% - Accent2 31 2" xfId="32004" xr:uid="{00000000-0005-0000-0000-0000FB7C0000}"/>
    <cellStyle name="60% - Accent2 32" xfId="32005" xr:uid="{00000000-0005-0000-0000-0000FC7C0000}"/>
    <cellStyle name="60% - Accent2 32 2" xfId="32006" xr:uid="{00000000-0005-0000-0000-0000FD7C0000}"/>
    <cellStyle name="60% - Accent2 33" xfId="32007" xr:uid="{00000000-0005-0000-0000-0000FE7C0000}"/>
    <cellStyle name="60% - Accent2 33 2" xfId="32008" xr:uid="{00000000-0005-0000-0000-0000FF7C0000}"/>
    <cellStyle name="60% - Accent2 34" xfId="32009" xr:uid="{00000000-0005-0000-0000-0000007D0000}"/>
    <cellStyle name="60% - Accent2 34 2" xfId="32010" xr:uid="{00000000-0005-0000-0000-0000017D0000}"/>
    <cellStyle name="60% - Accent2 35" xfId="32011" xr:uid="{00000000-0005-0000-0000-0000027D0000}"/>
    <cellStyle name="60% - Accent2 35 2" xfId="32012" xr:uid="{00000000-0005-0000-0000-0000037D0000}"/>
    <cellStyle name="60% - Accent2 36" xfId="32013" xr:uid="{00000000-0005-0000-0000-0000047D0000}"/>
    <cellStyle name="60% - Accent2 36 2" xfId="32014" xr:uid="{00000000-0005-0000-0000-0000057D0000}"/>
    <cellStyle name="60% - Accent2 37" xfId="32015" xr:uid="{00000000-0005-0000-0000-0000067D0000}"/>
    <cellStyle name="60% - Accent2 37 2" xfId="32016" xr:uid="{00000000-0005-0000-0000-0000077D0000}"/>
    <cellStyle name="60% - Accent2 38" xfId="32017" xr:uid="{00000000-0005-0000-0000-0000087D0000}"/>
    <cellStyle name="60% - Accent2 38 2" xfId="32018" xr:uid="{00000000-0005-0000-0000-0000097D0000}"/>
    <cellStyle name="60% - Accent2 39" xfId="32019" xr:uid="{00000000-0005-0000-0000-00000A7D0000}"/>
    <cellStyle name="60% - Accent2 39 2" xfId="32020" xr:uid="{00000000-0005-0000-0000-00000B7D0000}"/>
    <cellStyle name="60% - Accent2 4" xfId="32021" xr:uid="{00000000-0005-0000-0000-00000C7D0000}"/>
    <cellStyle name="60% - Accent2 4 2" xfId="32022" xr:uid="{00000000-0005-0000-0000-00000D7D0000}"/>
    <cellStyle name="60% - Accent2 4 2 2" xfId="32023" xr:uid="{00000000-0005-0000-0000-00000E7D0000}"/>
    <cellStyle name="60% - Accent2 4 3" xfId="32024" xr:uid="{00000000-0005-0000-0000-00000F7D0000}"/>
    <cellStyle name="60% - Accent2 4 3 2" xfId="32025" xr:uid="{00000000-0005-0000-0000-0000107D0000}"/>
    <cellStyle name="60% - Accent2 4 4" xfId="32026" xr:uid="{00000000-0005-0000-0000-0000117D0000}"/>
    <cellStyle name="60% - Accent2 40" xfId="32027" xr:uid="{00000000-0005-0000-0000-0000127D0000}"/>
    <cellStyle name="60% - Accent2 40 2" xfId="32028" xr:uid="{00000000-0005-0000-0000-0000137D0000}"/>
    <cellStyle name="60% - Accent2 41" xfId="32029" xr:uid="{00000000-0005-0000-0000-0000147D0000}"/>
    <cellStyle name="60% - Accent2 41 2" xfId="32030" xr:uid="{00000000-0005-0000-0000-0000157D0000}"/>
    <cellStyle name="60% - Accent2 42" xfId="32031" xr:uid="{00000000-0005-0000-0000-0000167D0000}"/>
    <cellStyle name="60% - Accent2 42 2" xfId="32032" xr:uid="{00000000-0005-0000-0000-0000177D0000}"/>
    <cellStyle name="60% - Accent2 43" xfId="32033" xr:uid="{00000000-0005-0000-0000-0000187D0000}"/>
    <cellStyle name="60% - Accent2 43 2" xfId="32034" xr:uid="{00000000-0005-0000-0000-0000197D0000}"/>
    <cellStyle name="60% - Accent2 44" xfId="32035" xr:uid="{00000000-0005-0000-0000-00001A7D0000}"/>
    <cellStyle name="60% - Accent2 44 2" xfId="32036" xr:uid="{00000000-0005-0000-0000-00001B7D0000}"/>
    <cellStyle name="60% - Accent2 45" xfId="32037" xr:uid="{00000000-0005-0000-0000-00001C7D0000}"/>
    <cellStyle name="60% - Accent2 45 2" xfId="32038" xr:uid="{00000000-0005-0000-0000-00001D7D0000}"/>
    <cellStyle name="60% - Accent2 46" xfId="32039" xr:uid="{00000000-0005-0000-0000-00001E7D0000}"/>
    <cellStyle name="60% - Accent2 46 2" xfId="32040" xr:uid="{00000000-0005-0000-0000-00001F7D0000}"/>
    <cellStyle name="60% - Accent2 47" xfId="32041" xr:uid="{00000000-0005-0000-0000-0000207D0000}"/>
    <cellStyle name="60% - Accent2 47 2" xfId="32042" xr:uid="{00000000-0005-0000-0000-0000217D0000}"/>
    <cellStyle name="60% - Accent2 48" xfId="32043" xr:uid="{00000000-0005-0000-0000-0000227D0000}"/>
    <cellStyle name="60% - Accent2 48 2" xfId="32044" xr:uid="{00000000-0005-0000-0000-0000237D0000}"/>
    <cellStyle name="60% - Accent2 49" xfId="32045" xr:uid="{00000000-0005-0000-0000-0000247D0000}"/>
    <cellStyle name="60% - Accent2 49 2" xfId="32046" xr:uid="{00000000-0005-0000-0000-0000257D0000}"/>
    <cellStyle name="60% - Accent2 5" xfId="32047" xr:uid="{00000000-0005-0000-0000-0000267D0000}"/>
    <cellStyle name="60% - Accent2 5 2" xfId="32048" xr:uid="{00000000-0005-0000-0000-0000277D0000}"/>
    <cellStyle name="60% - Accent2 5 2 2" xfId="32049" xr:uid="{00000000-0005-0000-0000-0000287D0000}"/>
    <cellStyle name="60% - Accent2 5 3" xfId="32050" xr:uid="{00000000-0005-0000-0000-0000297D0000}"/>
    <cellStyle name="60% - Accent2 5 3 2" xfId="32051" xr:uid="{00000000-0005-0000-0000-00002A7D0000}"/>
    <cellStyle name="60% - Accent2 5 4" xfId="32052" xr:uid="{00000000-0005-0000-0000-00002B7D0000}"/>
    <cellStyle name="60% - Accent2 50" xfId="32053" xr:uid="{00000000-0005-0000-0000-00002C7D0000}"/>
    <cellStyle name="60% - Accent2 50 2" xfId="32054" xr:uid="{00000000-0005-0000-0000-00002D7D0000}"/>
    <cellStyle name="60% - Accent2 51" xfId="32055" xr:uid="{00000000-0005-0000-0000-00002E7D0000}"/>
    <cellStyle name="60% - Accent2 51 2" xfId="32056" xr:uid="{00000000-0005-0000-0000-00002F7D0000}"/>
    <cellStyle name="60% - Accent2 52" xfId="32057" xr:uid="{00000000-0005-0000-0000-0000307D0000}"/>
    <cellStyle name="60% - Accent2 52 2" xfId="32058" xr:uid="{00000000-0005-0000-0000-0000317D0000}"/>
    <cellStyle name="60% - Accent2 53" xfId="32059" xr:uid="{00000000-0005-0000-0000-0000327D0000}"/>
    <cellStyle name="60% - Accent2 53 2" xfId="32060" xr:uid="{00000000-0005-0000-0000-0000337D0000}"/>
    <cellStyle name="60% - Accent2 54" xfId="32061" xr:uid="{00000000-0005-0000-0000-0000347D0000}"/>
    <cellStyle name="60% - Accent2 54 2" xfId="32062" xr:uid="{00000000-0005-0000-0000-0000357D0000}"/>
    <cellStyle name="60% - Accent2 55" xfId="32063" xr:uid="{00000000-0005-0000-0000-0000367D0000}"/>
    <cellStyle name="60% - Accent2 55 2" xfId="32064" xr:uid="{00000000-0005-0000-0000-0000377D0000}"/>
    <cellStyle name="60% - Accent2 56" xfId="32065" xr:uid="{00000000-0005-0000-0000-0000387D0000}"/>
    <cellStyle name="60% - Accent2 56 2" xfId="32066" xr:uid="{00000000-0005-0000-0000-0000397D0000}"/>
    <cellStyle name="60% - Accent2 57" xfId="32067" xr:uid="{00000000-0005-0000-0000-00003A7D0000}"/>
    <cellStyle name="60% - Accent2 57 2" xfId="32068" xr:uid="{00000000-0005-0000-0000-00003B7D0000}"/>
    <cellStyle name="60% - Accent2 58" xfId="32069" xr:uid="{00000000-0005-0000-0000-00003C7D0000}"/>
    <cellStyle name="60% - Accent2 58 2" xfId="32070" xr:uid="{00000000-0005-0000-0000-00003D7D0000}"/>
    <cellStyle name="60% - Accent2 59" xfId="32071" xr:uid="{00000000-0005-0000-0000-00003E7D0000}"/>
    <cellStyle name="60% - Accent2 59 2" xfId="32072" xr:uid="{00000000-0005-0000-0000-00003F7D0000}"/>
    <cellStyle name="60% - Accent2 59 2 2" xfId="32073" xr:uid="{00000000-0005-0000-0000-0000407D0000}"/>
    <cellStyle name="60% - Accent2 59 3" xfId="32074" xr:uid="{00000000-0005-0000-0000-0000417D0000}"/>
    <cellStyle name="60% - Accent2 6" xfId="32075" xr:uid="{00000000-0005-0000-0000-0000427D0000}"/>
    <cellStyle name="60% - Accent2 6 2" xfId="32076" xr:uid="{00000000-0005-0000-0000-0000437D0000}"/>
    <cellStyle name="60% - Accent2 6 2 2" xfId="32077" xr:uid="{00000000-0005-0000-0000-0000447D0000}"/>
    <cellStyle name="60% - Accent2 6 3" xfId="32078" xr:uid="{00000000-0005-0000-0000-0000457D0000}"/>
    <cellStyle name="60% - Accent2 6 3 2" xfId="32079" xr:uid="{00000000-0005-0000-0000-0000467D0000}"/>
    <cellStyle name="60% - Accent2 6 4" xfId="32080" xr:uid="{00000000-0005-0000-0000-0000477D0000}"/>
    <cellStyle name="60% - Accent2 60" xfId="32081" xr:uid="{00000000-0005-0000-0000-0000487D0000}"/>
    <cellStyle name="60% - Accent2 60 2" xfId="32082" xr:uid="{00000000-0005-0000-0000-0000497D0000}"/>
    <cellStyle name="60% - Accent2 61" xfId="32083" xr:uid="{00000000-0005-0000-0000-00004A7D0000}"/>
    <cellStyle name="60% - Accent2 61 2" xfId="32084" xr:uid="{00000000-0005-0000-0000-00004B7D0000}"/>
    <cellStyle name="60% - Accent2 62" xfId="32085" xr:uid="{00000000-0005-0000-0000-00004C7D0000}"/>
    <cellStyle name="60% - Accent2 62 2" xfId="32086" xr:uid="{00000000-0005-0000-0000-00004D7D0000}"/>
    <cellStyle name="60% - Accent2 63" xfId="32087" xr:uid="{00000000-0005-0000-0000-00004E7D0000}"/>
    <cellStyle name="60% - Accent2 63 2" xfId="32088" xr:uid="{00000000-0005-0000-0000-00004F7D0000}"/>
    <cellStyle name="60% - Accent2 64" xfId="32089" xr:uid="{00000000-0005-0000-0000-0000507D0000}"/>
    <cellStyle name="60% - Accent2 64 2" xfId="32090" xr:uid="{00000000-0005-0000-0000-0000517D0000}"/>
    <cellStyle name="60% - Accent2 65" xfId="32091" xr:uid="{00000000-0005-0000-0000-0000527D0000}"/>
    <cellStyle name="60% - Accent2 65 2" xfId="32092" xr:uid="{00000000-0005-0000-0000-0000537D0000}"/>
    <cellStyle name="60% - Accent2 66" xfId="32093" xr:uid="{00000000-0005-0000-0000-0000547D0000}"/>
    <cellStyle name="60% - Accent2 66 2" xfId="32094" xr:uid="{00000000-0005-0000-0000-0000557D0000}"/>
    <cellStyle name="60% - Accent2 67" xfId="32095" xr:uid="{00000000-0005-0000-0000-0000567D0000}"/>
    <cellStyle name="60% - Accent2 67 2" xfId="32096" xr:uid="{00000000-0005-0000-0000-0000577D0000}"/>
    <cellStyle name="60% - Accent2 68" xfId="32097" xr:uid="{00000000-0005-0000-0000-0000587D0000}"/>
    <cellStyle name="60% - Accent2 68 2" xfId="32098" xr:uid="{00000000-0005-0000-0000-0000597D0000}"/>
    <cellStyle name="60% - Accent2 69" xfId="32099" xr:uid="{00000000-0005-0000-0000-00005A7D0000}"/>
    <cellStyle name="60% - Accent2 69 2" xfId="32100" xr:uid="{00000000-0005-0000-0000-00005B7D0000}"/>
    <cellStyle name="60% - Accent2 7" xfId="32101" xr:uid="{00000000-0005-0000-0000-00005C7D0000}"/>
    <cellStyle name="60% - Accent2 7 2" xfId="32102" xr:uid="{00000000-0005-0000-0000-00005D7D0000}"/>
    <cellStyle name="60% - Accent2 7 2 2" xfId="32103" xr:uid="{00000000-0005-0000-0000-00005E7D0000}"/>
    <cellStyle name="60% - Accent2 7 3" xfId="32104" xr:uid="{00000000-0005-0000-0000-00005F7D0000}"/>
    <cellStyle name="60% - Accent2 7 3 2" xfId="32105" xr:uid="{00000000-0005-0000-0000-0000607D0000}"/>
    <cellStyle name="60% - Accent2 7 4" xfId="32106" xr:uid="{00000000-0005-0000-0000-0000617D0000}"/>
    <cellStyle name="60% - Accent2 70" xfId="32107" xr:uid="{00000000-0005-0000-0000-0000627D0000}"/>
    <cellStyle name="60% - Accent2 70 2" xfId="32108" xr:uid="{00000000-0005-0000-0000-0000637D0000}"/>
    <cellStyle name="60% - Accent2 71" xfId="32109" xr:uid="{00000000-0005-0000-0000-0000647D0000}"/>
    <cellStyle name="60% - Accent2 71 2" xfId="32110" xr:uid="{00000000-0005-0000-0000-0000657D0000}"/>
    <cellStyle name="60% - Accent2 72" xfId="32111" xr:uid="{00000000-0005-0000-0000-0000667D0000}"/>
    <cellStyle name="60% - Accent2 72 2" xfId="32112" xr:uid="{00000000-0005-0000-0000-0000677D0000}"/>
    <cellStyle name="60% - Accent2 73" xfId="32113" xr:uid="{00000000-0005-0000-0000-0000687D0000}"/>
    <cellStyle name="60% - Accent2 73 2" xfId="32114" xr:uid="{00000000-0005-0000-0000-0000697D0000}"/>
    <cellStyle name="60% - Accent2 74" xfId="32115" xr:uid="{00000000-0005-0000-0000-00006A7D0000}"/>
    <cellStyle name="60% - Accent2 74 2" xfId="32116" xr:uid="{00000000-0005-0000-0000-00006B7D0000}"/>
    <cellStyle name="60% - Accent2 75" xfId="32117" xr:uid="{00000000-0005-0000-0000-00006C7D0000}"/>
    <cellStyle name="60% - Accent2 75 2" xfId="32118" xr:uid="{00000000-0005-0000-0000-00006D7D0000}"/>
    <cellStyle name="60% - Accent2 76" xfId="32119" xr:uid="{00000000-0005-0000-0000-00006E7D0000}"/>
    <cellStyle name="60% - Accent2 76 2" xfId="32120" xr:uid="{00000000-0005-0000-0000-00006F7D0000}"/>
    <cellStyle name="60% - Accent2 77" xfId="32121" xr:uid="{00000000-0005-0000-0000-0000707D0000}"/>
    <cellStyle name="60% - Accent2 77 2" xfId="32122" xr:uid="{00000000-0005-0000-0000-0000717D0000}"/>
    <cellStyle name="60% - Accent2 78" xfId="32123" xr:uid="{00000000-0005-0000-0000-0000727D0000}"/>
    <cellStyle name="60% - Accent2 78 2" xfId="32124" xr:uid="{00000000-0005-0000-0000-0000737D0000}"/>
    <cellStyle name="60% - Accent2 79" xfId="32125" xr:uid="{00000000-0005-0000-0000-0000747D0000}"/>
    <cellStyle name="60% - Accent2 79 2" xfId="32126" xr:uid="{00000000-0005-0000-0000-0000757D0000}"/>
    <cellStyle name="60% - Accent2 8" xfId="32127" xr:uid="{00000000-0005-0000-0000-0000767D0000}"/>
    <cellStyle name="60% - Accent2 8 2" xfId="32128" xr:uid="{00000000-0005-0000-0000-0000777D0000}"/>
    <cellStyle name="60% - Accent2 8 2 2" xfId="32129" xr:uid="{00000000-0005-0000-0000-0000787D0000}"/>
    <cellStyle name="60% - Accent2 8 3" xfId="32130" xr:uid="{00000000-0005-0000-0000-0000797D0000}"/>
    <cellStyle name="60% - Accent2 8 3 2" xfId="32131" xr:uid="{00000000-0005-0000-0000-00007A7D0000}"/>
    <cellStyle name="60% - Accent2 8 4" xfId="32132" xr:uid="{00000000-0005-0000-0000-00007B7D0000}"/>
    <cellStyle name="60% - Accent2 80" xfId="32133" xr:uid="{00000000-0005-0000-0000-00007C7D0000}"/>
    <cellStyle name="60% - Accent2 80 2" xfId="32134" xr:uid="{00000000-0005-0000-0000-00007D7D0000}"/>
    <cellStyle name="60% - Accent2 81" xfId="32135" xr:uid="{00000000-0005-0000-0000-00007E7D0000}"/>
    <cellStyle name="60% - Accent2 81 2" xfId="32136" xr:uid="{00000000-0005-0000-0000-00007F7D0000}"/>
    <cellStyle name="60% - Accent2 82" xfId="32137" xr:uid="{00000000-0005-0000-0000-0000807D0000}"/>
    <cellStyle name="60% - Accent2 82 2" xfId="32138" xr:uid="{00000000-0005-0000-0000-0000817D0000}"/>
    <cellStyle name="60% - Accent2 83" xfId="32139" xr:uid="{00000000-0005-0000-0000-0000827D0000}"/>
    <cellStyle name="60% - Accent2 83 2" xfId="32140" xr:uid="{00000000-0005-0000-0000-0000837D0000}"/>
    <cellStyle name="60% - Accent2 84" xfId="32141" xr:uid="{00000000-0005-0000-0000-0000847D0000}"/>
    <cellStyle name="60% - Accent2 84 2" xfId="32142" xr:uid="{00000000-0005-0000-0000-0000857D0000}"/>
    <cellStyle name="60% - Accent2 85" xfId="32143" xr:uid="{00000000-0005-0000-0000-0000867D0000}"/>
    <cellStyle name="60% - Accent2 85 2" xfId="32144" xr:uid="{00000000-0005-0000-0000-0000877D0000}"/>
    <cellStyle name="60% - Accent2 86" xfId="32145" xr:uid="{00000000-0005-0000-0000-0000887D0000}"/>
    <cellStyle name="60% - Accent2 86 2" xfId="32146" xr:uid="{00000000-0005-0000-0000-0000897D0000}"/>
    <cellStyle name="60% - Accent2 87" xfId="32147" xr:uid="{00000000-0005-0000-0000-00008A7D0000}"/>
    <cellStyle name="60% - Accent2 87 2" xfId="32148" xr:uid="{00000000-0005-0000-0000-00008B7D0000}"/>
    <cellStyle name="60% - Accent2 88" xfId="32149" xr:uid="{00000000-0005-0000-0000-00008C7D0000}"/>
    <cellStyle name="60% - Accent2 88 2" xfId="32150" xr:uid="{00000000-0005-0000-0000-00008D7D0000}"/>
    <cellStyle name="60% - Accent2 89" xfId="32151" xr:uid="{00000000-0005-0000-0000-00008E7D0000}"/>
    <cellStyle name="60% - Accent2 89 2" xfId="32152" xr:uid="{00000000-0005-0000-0000-00008F7D0000}"/>
    <cellStyle name="60% - Accent2 9" xfId="32153" xr:uid="{00000000-0005-0000-0000-0000907D0000}"/>
    <cellStyle name="60% - Accent2 9 2" xfId="32154" xr:uid="{00000000-0005-0000-0000-0000917D0000}"/>
    <cellStyle name="60% - Accent2 9 2 2" xfId="32155" xr:uid="{00000000-0005-0000-0000-0000927D0000}"/>
    <cellStyle name="60% - Accent2 9 3" xfId="32156" xr:uid="{00000000-0005-0000-0000-0000937D0000}"/>
    <cellStyle name="60% - Accent2 9 3 2" xfId="32157" xr:uid="{00000000-0005-0000-0000-0000947D0000}"/>
    <cellStyle name="60% - Accent2 9 4" xfId="32158" xr:uid="{00000000-0005-0000-0000-0000957D0000}"/>
    <cellStyle name="60% - Accent2 90" xfId="32159" xr:uid="{00000000-0005-0000-0000-0000967D0000}"/>
    <cellStyle name="60% - Accent2 90 2" xfId="32160" xr:uid="{00000000-0005-0000-0000-0000977D0000}"/>
    <cellStyle name="60% - Accent2 91" xfId="32161" xr:uid="{00000000-0005-0000-0000-0000987D0000}"/>
    <cellStyle name="60% - Accent2 91 2" xfId="32162" xr:uid="{00000000-0005-0000-0000-0000997D0000}"/>
    <cellStyle name="60% - Accent2 92" xfId="32163" xr:uid="{00000000-0005-0000-0000-00009A7D0000}"/>
    <cellStyle name="60% - Accent2 92 2" xfId="32164" xr:uid="{00000000-0005-0000-0000-00009B7D0000}"/>
    <cellStyle name="60% - Accent2 93" xfId="32165" xr:uid="{00000000-0005-0000-0000-00009C7D0000}"/>
    <cellStyle name="60% - Accent2 93 2" xfId="32166" xr:uid="{00000000-0005-0000-0000-00009D7D0000}"/>
    <cellStyle name="60% - Accent2 94" xfId="32167" xr:uid="{00000000-0005-0000-0000-00009E7D0000}"/>
    <cellStyle name="60% - Accent2 94 2" xfId="32168" xr:uid="{00000000-0005-0000-0000-00009F7D0000}"/>
    <cellStyle name="60% - Accent2 95" xfId="32169" xr:uid="{00000000-0005-0000-0000-0000A07D0000}"/>
    <cellStyle name="60% - Accent2 95 2" xfId="32170" xr:uid="{00000000-0005-0000-0000-0000A17D0000}"/>
    <cellStyle name="60% - Accent2 96" xfId="32171" xr:uid="{00000000-0005-0000-0000-0000A27D0000}"/>
    <cellStyle name="60% - Accent2 96 2" xfId="32172" xr:uid="{00000000-0005-0000-0000-0000A37D0000}"/>
    <cellStyle name="60% - Accent2 97" xfId="32173" xr:uid="{00000000-0005-0000-0000-0000A47D0000}"/>
    <cellStyle name="60% - Accent2 97 2" xfId="32174" xr:uid="{00000000-0005-0000-0000-0000A57D0000}"/>
    <cellStyle name="60% - Accent2 98" xfId="32175" xr:uid="{00000000-0005-0000-0000-0000A67D0000}"/>
    <cellStyle name="60% - Accent2 98 2" xfId="32176" xr:uid="{00000000-0005-0000-0000-0000A77D0000}"/>
    <cellStyle name="60% - Accent2 99" xfId="32177" xr:uid="{00000000-0005-0000-0000-0000A87D0000}"/>
    <cellStyle name="60% - Accent2 99 2" xfId="32178" xr:uid="{00000000-0005-0000-0000-0000A97D0000}"/>
    <cellStyle name="60% - Accent3 10" xfId="32179" xr:uid="{00000000-0005-0000-0000-0000AA7D0000}"/>
    <cellStyle name="60% - Accent3 10 2" xfId="32180" xr:uid="{00000000-0005-0000-0000-0000AB7D0000}"/>
    <cellStyle name="60% - Accent3 100" xfId="32181" xr:uid="{00000000-0005-0000-0000-0000AC7D0000}"/>
    <cellStyle name="60% - Accent3 100 2" xfId="32182" xr:uid="{00000000-0005-0000-0000-0000AD7D0000}"/>
    <cellStyle name="60% - Accent3 101" xfId="32183" xr:uid="{00000000-0005-0000-0000-0000AE7D0000}"/>
    <cellStyle name="60% - Accent3 101 2" xfId="32184" xr:uid="{00000000-0005-0000-0000-0000AF7D0000}"/>
    <cellStyle name="60% - Accent3 102" xfId="32185" xr:uid="{00000000-0005-0000-0000-0000B07D0000}"/>
    <cellStyle name="60% - Accent3 102 2" xfId="32186" xr:uid="{00000000-0005-0000-0000-0000B17D0000}"/>
    <cellStyle name="60% - Accent3 103" xfId="32187" xr:uid="{00000000-0005-0000-0000-0000B27D0000}"/>
    <cellStyle name="60% - Accent3 103 2" xfId="32188" xr:uid="{00000000-0005-0000-0000-0000B37D0000}"/>
    <cellStyle name="60% - Accent3 104" xfId="32189" xr:uid="{00000000-0005-0000-0000-0000B47D0000}"/>
    <cellStyle name="60% - Accent3 104 2" xfId="32190" xr:uid="{00000000-0005-0000-0000-0000B57D0000}"/>
    <cellStyle name="60% - Accent3 105" xfId="32191" xr:uid="{00000000-0005-0000-0000-0000B67D0000}"/>
    <cellStyle name="60% - Accent3 105 2" xfId="32192" xr:uid="{00000000-0005-0000-0000-0000B77D0000}"/>
    <cellStyle name="60% - Accent3 106" xfId="32193" xr:uid="{00000000-0005-0000-0000-0000B87D0000}"/>
    <cellStyle name="60% - Accent3 106 2" xfId="32194" xr:uid="{00000000-0005-0000-0000-0000B97D0000}"/>
    <cellStyle name="60% - Accent3 107" xfId="32195" xr:uid="{00000000-0005-0000-0000-0000BA7D0000}"/>
    <cellStyle name="60% - Accent3 107 2" xfId="32196" xr:uid="{00000000-0005-0000-0000-0000BB7D0000}"/>
    <cellStyle name="60% - Accent3 108" xfId="32197" xr:uid="{00000000-0005-0000-0000-0000BC7D0000}"/>
    <cellStyle name="60% - Accent3 108 2" xfId="32198" xr:uid="{00000000-0005-0000-0000-0000BD7D0000}"/>
    <cellStyle name="60% - Accent3 109" xfId="32199" xr:uid="{00000000-0005-0000-0000-0000BE7D0000}"/>
    <cellStyle name="60% - Accent3 109 2" xfId="32200" xr:uid="{00000000-0005-0000-0000-0000BF7D0000}"/>
    <cellStyle name="60% - Accent3 11" xfId="32201" xr:uid="{00000000-0005-0000-0000-0000C07D0000}"/>
    <cellStyle name="60% - Accent3 11 2" xfId="32202" xr:uid="{00000000-0005-0000-0000-0000C17D0000}"/>
    <cellStyle name="60% - Accent3 110" xfId="32203" xr:uid="{00000000-0005-0000-0000-0000C27D0000}"/>
    <cellStyle name="60% - Accent3 110 2" xfId="32204" xr:uid="{00000000-0005-0000-0000-0000C37D0000}"/>
    <cellStyle name="60% - Accent3 111" xfId="32205" xr:uid="{00000000-0005-0000-0000-0000C47D0000}"/>
    <cellStyle name="60% - Accent3 111 2" xfId="32206" xr:uid="{00000000-0005-0000-0000-0000C57D0000}"/>
    <cellStyle name="60% - Accent3 112" xfId="32207" xr:uid="{00000000-0005-0000-0000-0000C67D0000}"/>
    <cellStyle name="60% - Accent3 112 2" xfId="32208" xr:uid="{00000000-0005-0000-0000-0000C77D0000}"/>
    <cellStyle name="60% - Accent3 113" xfId="32209" xr:uid="{00000000-0005-0000-0000-0000C87D0000}"/>
    <cellStyle name="60% - Accent3 113 2" xfId="32210" xr:uid="{00000000-0005-0000-0000-0000C97D0000}"/>
    <cellStyle name="60% - Accent3 114" xfId="32211" xr:uid="{00000000-0005-0000-0000-0000CA7D0000}"/>
    <cellStyle name="60% - Accent3 114 2" xfId="32212" xr:uid="{00000000-0005-0000-0000-0000CB7D0000}"/>
    <cellStyle name="60% - Accent3 115" xfId="32213" xr:uid="{00000000-0005-0000-0000-0000CC7D0000}"/>
    <cellStyle name="60% - Accent3 115 2" xfId="32214" xr:uid="{00000000-0005-0000-0000-0000CD7D0000}"/>
    <cellStyle name="60% - Accent3 116" xfId="32215" xr:uid="{00000000-0005-0000-0000-0000CE7D0000}"/>
    <cellStyle name="60% - Accent3 116 2" xfId="32216" xr:uid="{00000000-0005-0000-0000-0000CF7D0000}"/>
    <cellStyle name="60% - Accent3 117" xfId="32217" xr:uid="{00000000-0005-0000-0000-0000D07D0000}"/>
    <cellStyle name="60% - Accent3 117 2" xfId="32218" xr:uid="{00000000-0005-0000-0000-0000D17D0000}"/>
    <cellStyle name="60% - Accent3 118" xfId="32219" xr:uid="{00000000-0005-0000-0000-0000D27D0000}"/>
    <cellStyle name="60% - Accent3 118 2" xfId="32220" xr:uid="{00000000-0005-0000-0000-0000D37D0000}"/>
    <cellStyle name="60% - Accent3 119" xfId="32221" xr:uid="{00000000-0005-0000-0000-0000D47D0000}"/>
    <cellStyle name="60% - Accent3 119 2" xfId="32222" xr:uid="{00000000-0005-0000-0000-0000D57D0000}"/>
    <cellStyle name="60% - Accent3 12" xfId="32223" xr:uid="{00000000-0005-0000-0000-0000D67D0000}"/>
    <cellStyle name="60% - Accent3 12 2" xfId="32224" xr:uid="{00000000-0005-0000-0000-0000D77D0000}"/>
    <cellStyle name="60% - Accent3 120" xfId="32225" xr:uid="{00000000-0005-0000-0000-0000D87D0000}"/>
    <cellStyle name="60% - Accent3 120 2" xfId="32226" xr:uid="{00000000-0005-0000-0000-0000D97D0000}"/>
    <cellStyle name="60% - Accent3 121" xfId="32227" xr:uid="{00000000-0005-0000-0000-0000DA7D0000}"/>
    <cellStyle name="60% - Accent3 121 2" xfId="32228" xr:uid="{00000000-0005-0000-0000-0000DB7D0000}"/>
    <cellStyle name="60% - Accent3 122" xfId="32229" xr:uid="{00000000-0005-0000-0000-0000DC7D0000}"/>
    <cellStyle name="60% - Accent3 122 2" xfId="32230" xr:uid="{00000000-0005-0000-0000-0000DD7D0000}"/>
    <cellStyle name="60% - Accent3 123" xfId="32231" xr:uid="{00000000-0005-0000-0000-0000DE7D0000}"/>
    <cellStyle name="60% - Accent3 123 2" xfId="32232" xr:uid="{00000000-0005-0000-0000-0000DF7D0000}"/>
    <cellStyle name="60% - Accent3 124" xfId="32233" xr:uid="{00000000-0005-0000-0000-0000E07D0000}"/>
    <cellStyle name="60% - Accent3 124 2" xfId="32234" xr:uid="{00000000-0005-0000-0000-0000E17D0000}"/>
    <cellStyle name="60% - Accent3 125" xfId="32235" xr:uid="{00000000-0005-0000-0000-0000E27D0000}"/>
    <cellStyle name="60% - Accent3 125 2" xfId="32236" xr:uid="{00000000-0005-0000-0000-0000E37D0000}"/>
    <cellStyle name="60% - Accent3 126" xfId="32237" xr:uid="{00000000-0005-0000-0000-0000E47D0000}"/>
    <cellStyle name="60% - Accent3 126 2" xfId="32238" xr:uid="{00000000-0005-0000-0000-0000E57D0000}"/>
    <cellStyle name="60% - Accent3 127" xfId="32239" xr:uid="{00000000-0005-0000-0000-0000E67D0000}"/>
    <cellStyle name="60% - Accent3 127 2" xfId="32240" xr:uid="{00000000-0005-0000-0000-0000E77D0000}"/>
    <cellStyle name="60% - Accent3 128" xfId="32241" xr:uid="{00000000-0005-0000-0000-0000E87D0000}"/>
    <cellStyle name="60% - Accent3 128 2" xfId="32242" xr:uid="{00000000-0005-0000-0000-0000E97D0000}"/>
    <cellStyle name="60% - Accent3 129" xfId="32243" xr:uid="{00000000-0005-0000-0000-0000EA7D0000}"/>
    <cellStyle name="60% - Accent3 129 2" xfId="32244" xr:uid="{00000000-0005-0000-0000-0000EB7D0000}"/>
    <cellStyle name="60% - Accent3 13" xfId="32245" xr:uid="{00000000-0005-0000-0000-0000EC7D0000}"/>
    <cellStyle name="60% - Accent3 13 2" xfId="32246" xr:uid="{00000000-0005-0000-0000-0000ED7D0000}"/>
    <cellStyle name="60% - Accent3 130" xfId="32247" xr:uid="{00000000-0005-0000-0000-0000EE7D0000}"/>
    <cellStyle name="60% - Accent3 130 2" xfId="32248" xr:uid="{00000000-0005-0000-0000-0000EF7D0000}"/>
    <cellStyle name="60% - Accent3 131" xfId="32249" xr:uid="{00000000-0005-0000-0000-0000F07D0000}"/>
    <cellStyle name="60% - Accent3 131 2" xfId="32250" xr:uid="{00000000-0005-0000-0000-0000F17D0000}"/>
    <cellStyle name="60% - Accent3 132" xfId="32251" xr:uid="{00000000-0005-0000-0000-0000F27D0000}"/>
    <cellStyle name="60% - Accent3 132 2" xfId="32252" xr:uid="{00000000-0005-0000-0000-0000F37D0000}"/>
    <cellStyle name="60% - Accent3 133" xfId="32253" xr:uid="{00000000-0005-0000-0000-0000F47D0000}"/>
    <cellStyle name="60% - Accent3 133 2" xfId="32254" xr:uid="{00000000-0005-0000-0000-0000F57D0000}"/>
    <cellStyle name="60% - Accent3 134" xfId="32255" xr:uid="{00000000-0005-0000-0000-0000F67D0000}"/>
    <cellStyle name="60% - Accent3 134 2" xfId="32256" xr:uid="{00000000-0005-0000-0000-0000F77D0000}"/>
    <cellStyle name="60% - Accent3 135" xfId="32257" xr:uid="{00000000-0005-0000-0000-0000F87D0000}"/>
    <cellStyle name="60% - Accent3 135 2" xfId="32258" xr:uid="{00000000-0005-0000-0000-0000F97D0000}"/>
    <cellStyle name="60% - Accent3 136" xfId="32259" xr:uid="{00000000-0005-0000-0000-0000FA7D0000}"/>
    <cellStyle name="60% - Accent3 136 2" xfId="32260" xr:uid="{00000000-0005-0000-0000-0000FB7D0000}"/>
    <cellStyle name="60% - Accent3 137" xfId="32261" xr:uid="{00000000-0005-0000-0000-0000FC7D0000}"/>
    <cellStyle name="60% - Accent3 137 2" xfId="32262" xr:uid="{00000000-0005-0000-0000-0000FD7D0000}"/>
    <cellStyle name="60% - Accent3 138" xfId="32263" xr:uid="{00000000-0005-0000-0000-0000FE7D0000}"/>
    <cellStyle name="60% - Accent3 138 2" xfId="32264" xr:uid="{00000000-0005-0000-0000-0000FF7D0000}"/>
    <cellStyle name="60% - Accent3 139" xfId="32265" xr:uid="{00000000-0005-0000-0000-0000007E0000}"/>
    <cellStyle name="60% - Accent3 139 2" xfId="32266" xr:uid="{00000000-0005-0000-0000-0000017E0000}"/>
    <cellStyle name="60% - Accent3 14" xfId="32267" xr:uid="{00000000-0005-0000-0000-0000027E0000}"/>
    <cellStyle name="60% - Accent3 14 2" xfId="32268" xr:uid="{00000000-0005-0000-0000-0000037E0000}"/>
    <cellStyle name="60% - Accent3 140" xfId="32269" xr:uid="{00000000-0005-0000-0000-0000047E0000}"/>
    <cellStyle name="60% - Accent3 140 2" xfId="32270" xr:uid="{00000000-0005-0000-0000-0000057E0000}"/>
    <cellStyle name="60% - Accent3 141" xfId="32271" xr:uid="{00000000-0005-0000-0000-0000067E0000}"/>
    <cellStyle name="60% - Accent3 141 2" xfId="32272" xr:uid="{00000000-0005-0000-0000-0000077E0000}"/>
    <cellStyle name="60% - Accent3 142" xfId="32273" xr:uid="{00000000-0005-0000-0000-0000087E0000}"/>
    <cellStyle name="60% - Accent3 142 2" xfId="32274" xr:uid="{00000000-0005-0000-0000-0000097E0000}"/>
    <cellStyle name="60% - Accent3 143" xfId="32275" xr:uid="{00000000-0005-0000-0000-00000A7E0000}"/>
    <cellStyle name="60% - Accent3 143 2" xfId="32276" xr:uid="{00000000-0005-0000-0000-00000B7E0000}"/>
    <cellStyle name="60% - Accent3 144" xfId="32277" xr:uid="{00000000-0005-0000-0000-00000C7E0000}"/>
    <cellStyle name="60% - Accent3 144 2" xfId="32278" xr:uid="{00000000-0005-0000-0000-00000D7E0000}"/>
    <cellStyle name="60% - Accent3 145" xfId="32279" xr:uid="{00000000-0005-0000-0000-00000E7E0000}"/>
    <cellStyle name="60% - Accent3 145 2" xfId="32280" xr:uid="{00000000-0005-0000-0000-00000F7E0000}"/>
    <cellStyle name="60% - Accent3 146" xfId="32281" xr:uid="{00000000-0005-0000-0000-0000107E0000}"/>
    <cellStyle name="60% - Accent3 146 2" xfId="32282" xr:uid="{00000000-0005-0000-0000-0000117E0000}"/>
    <cellStyle name="60% - Accent3 147" xfId="32283" xr:uid="{00000000-0005-0000-0000-0000127E0000}"/>
    <cellStyle name="60% - Accent3 147 2" xfId="32284" xr:uid="{00000000-0005-0000-0000-0000137E0000}"/>
    <cellStyle name="60% - Accent3 148" xfId="32285" xr:uid="{00000000-0005-0000-0000-0000147E0000}"/>
    <cellStyle name="60% - Accent3 148 2" xfId="32286" xr:uid="{00000000-0005-0000-0000-0000157E0000}"/>
    <cellStyle name="60% - Accent3 149" xfId="32287" xr:uid="{00000000-0005-0000-0000-0000167E0000}"/>
    <cellStyle name="60% - Accent3 149 2" xfId="32288" xr:uid="{00000000-0005-0000-0000-0000177E0000}"/>
    <cellStyle name="60% - Accent3 15" xfId="32289" xr:uid="{00000000-0005-0000-0000-0000187E0000}"/>
    <cellStyle name="60% - Accent3 15 2" xfId="32290" xr:uid="{00000000-0005-0000-0000-0000197E0000}"/>
    <cellStyle name="60% - Accent3 150" xfId="32291" xr:uid="{00000000-0005-0000-0000-00001A7E0000}"/>
    <cellStyle name="60% - Accent3 150 2" xfId="32292" xr:uid="{00000000-0005-0000-0000-00001B7E0000}"/>
    <cellStyle name="60% - Accent3 151" xfId="32293" xr:uid="{00000000-0005-0000-0000-00001C7E0000}"/>
    <cellStyle name="60% - Accent3 151 2" xfId="32294" xr:uid="{00000000-0005-0000-0000-00001D7E0000}"/>
    <cellStyle name="60% - Accent3 152" xfId="32295" xr:uid="{00000000-0005-0000-0000-00001E7E0000}"/>
    <cellStyle name="60% - Accent3 152 2" xfId="32296" xr:uid="{00000000-0005-0000-0000-00001F7E0000}"/>
    <cellStyle name="60% - Accent3 153" xfId="32297" xr:uid="{00000000-0005-0000-0000-0000207E0000}"/>
    <cellStyle name="60% - Accent3 153 2" xfId="32298" xr:uid="{00000000-0005-0000-0000-0000217E0000}"/>
    <cellStyle name="60% - Accent3 154" xfId="32299" xr:uid="{00000000-0005-0000-0000-0000227E0000}"/>
    <cellStyle name="60% - Accent3 154 2" xfId="32300" xr:uid="{00000000-0005-0000-0000-0000237E0000}"/>
    <cellStyle name="60% - Accent3 155" xfId="32301" xr:uid="{00000000-0005-0000-0000-0000247E0000}"/>
    <cellStyle name="60% - Accent3 155 2" xfId="32302" xr:uid="{00000000-0005-0000-0000-0000257E0000}"/>
    <cellStyle name="60% - Accent3 156" xfId="32303" xr:uid="{00000000-0005-0000-0000-0000267E0000}"/>
    <cellStyle name="60% - Accent3 156 2" xfId="32304" xr:uid="{00000000-0005-0000-0000-0000277E0000}"/>
    <cellStyle name="60% - Accent3 157" xfId="32305" xr:uid="{00000000-0005-0000-0000-0000287E0000}"/>
    <cellStyle name="60% - Accent3 157 2" xfId="32306" xr:uid="{00000000-0005-0000-0000-0000297E0000}"/>
    <cellStyle name="60% - Accent3 158" xfId="32307" xr:uid="{00000000-0005-0000-0000-00002A7E0000}"/>
    <cellStyle name="60% - Accent3 158 2" xfId="32308" xr:uid="{00000000-0005-0000-0000-00002B7E0000}"/>
    <cellStyle name="60% - Accent3 159" xfId="32309" xr:uid="{00000000-0005-0000-0000-00002C7E0000}"/>
    <cellStyle name="60% - Accent3 159 2" xfId="32310" xr:uid="{00000000-0005-0000-0000-00002D7E0000}"/>
    <cellStyle name="60% - Accent3 16" xfId="32311" xr:uid="{00000000-0005-0000-0000-00002E7E0000}"/>
    <cellStyle name="60% - Accent3 16 2" xfId="32312" xr:uid="{00000000-0005-0000-0000-00002F7E0000}"/>
    <cellStyle name="60% - Accent3 160" xfId="32313" xr:uid="{00000000-0005-0000-0000-0000307E0000}"/>
    <cellStyle name="60% - Accent3 160 2" xfId="32314" xr:uid="{00000000-0005-0000-0000-0000317E0000}"/>
    <cellStyle name="60% - Accent3 161" xfId="32315" xr:uid="{00000000-0005-0000-0000-0000327E0000}"/>
    <cellStyle name="60% - Accent3 161 2" xfId="32316" xr:uid="{00000000-0005-0000-0000-0000337E0000}"/>
    <cellStyle name="60% - Accent3 162" xfId="32317" xr:uid="{00000000-0005-0000-0000-0000347E0000}"/>
    <cellStyle name="60% - Accent3 162 2" xfId="32318" xr:uid="{00000000-0005-0000-0000-0000357E0000}"/>
    <cellStyle name="60% - Accent3 163" xfId="32319" xr:uid="{00000000-0005-0000-0000-0000367E0000}"/>
    <cellStyle name="60% - Accent3 163 2" xfId="32320" xr:uid="{00000000-0005-0000-0000-0000377E0000}"/>
    <cellStyle name="60% - Accent3 164" xfId="32321" xr:uid="{00000000-0005-0000-0000-0000387E0000}"/>
    <cellStyle name="60% - Accent3 164 2" xfId="32322" xr:uid="{00000000-0005-0000-0000-0000397E0000}"/>
    <cellStyle name="60% - Accent3 165" xfId="32323" xr:uid="{00000000-0005-0000-0000-00003A7E0000}"/>
    <cellStyle name="60% - Accent3 165 2" xfId="32324" xr:uid="{00000000-0005-0000-0000-00003B7E0000}"/>
    <cellStyle name="60% - Accent3 166" xfId="32325" xr:uid="{00000000-0005-0000-0000-00003C7E0000}"/>
    <cellStyle name="60% - Accent3 166 2" xfId="32326" xr:uid="{00000000-0005-0000-0000-00003D7E0000}"/>
    <cellStyle name="60% - Accent3 167" xfId="32327" xr:uid="{00000000-0005-0000-0000-00003E7E0000}"/>
    <cellStyle name="60% - Accent3 167 2" xfId="32328" xr:uid="{00000000-0005-0000-0000-00003F7E0000}"/>
    <cellStyle name="60% - Accent3 168" xfId="32329" xr:uid="{00000000-0005-0000-0000-0000407E0000}"/>
    <cellStyle name="60% - Accent3 168 2" xfId="32330" xr:uid="{00000000-0005-0000-0000-0000417E0000}"/>
    <cellStyle name="60% - Accent3 169" xfId="32331" xr:uid="{00000000-0005-0000-0000-0000427E0000}"/>
    <cellStyle name="60% - Accent3 169 2" xfId="32332" xr:uid="{00000000-0005-0000-0000-0000437E0000}"/>
    <cellStyle name="60% - Accent3 17" xfId="32333" xr:uid="{00000000-0005-0000-0000-0000447E0000}"/>
    <cellStyle name="60% - Accent3 17 2" xfId="32334" xr:uid="{00000000-0005-0000-0000-0000457E0000}"/>
    <cellStyle name="60% - Accent3 170" xfId="32335" xr:uid="{00000000-0005-0000-0000-0000467E0000}"/>
    <cellStyle name="60% - Accent3 170 2" xfId="32336" xr:uid="{00000000-0005-0000-0000-0000477E0000}"/>
    <cellStyle name="60% - Accent3 171" xfId="32337" xr:uid="{00000000-0005-0000-0000-0000487E0000}"/>
    <cellStyle name="60% - Accent3 171 2" xfId="32338" xr:uid="{00000000-0005-0000-0000-0000497E0000}"/>
    <cellStyle name="60% - Accent3 172" xfId="32339" xr:uid="{00000000-0005-0000-0000-00004A7E0000}"/>
    <cellStyle name="60% - Accent3 172 2" xfId="32340" xr:uid="{00000000-0005-0000-0000-00004B7E0000}"/>
    <cellStyle name="60% - Accent3 173" xfId="32341" xr:uid="{00000000-0005-0000-0000-00004C7E0000}"/>
    <cellStyle name="60% - Accent3 173 2" xfId="32342" xr:uid="{00000000-0005-0000-0000-00004D7E0000}"/>
    <cellStyle name="60% - Accent3 174" xfId="32343" xr:uid="{00000000-0005-0000-0000-00004E7E0000}"/>
    <cellStyle name="60% - Accent3 174 2" xfId="32344" xr:uid="{00000000-0005-0000-0000-00004F7E0000}"/>
    <cellStyle name="60% - Accent3 175" xfId="32345" xr:uid="{00000000-0005-0000-0000-0000507E0000}"/>
    <cellStyle name="60% - Accent3 175 2" xfId="32346" xr:uid="{00000000-0005-0000-0000-0000517E0000}"/>
    <cellStyle name="60% - Accent3 176" xfId="32347" xr:uid="{00000000-0005-0000-0000-0000527E0000}"/>
    <cellStyle name="60% - Accent3 176 2" xfId="32348" xr:uid="{00000000-0005-0000-0000-0000537E0000}"/>
    <cellStyle name="60% - Accent3 177" xfId="32349" xr:uid="{00000000-0005-0000-0000-0000547E0000}"/>
    <cellStyle name="60% - Accent3 177 2" xfId="32350" xr:uid="{00000000-0005-0000-0000-0000557E0000}"/>
    <cellStyle name="60% - Accent3 178" xfId="32351" xr:uid="{00000000-0005-0000-0000-0000567E0000}"/>
    <cellStyle name="60% - Accent3 178 2" xfId="32352" xr:uid="{00000000-0005-0000-0000-0000577E0000}"/>
    <cellStyle name="60% - Accent3 179" xfId="32353" xr:uid="{00000000-0005-0000-0000-0000587E0000}"/>
    <cellStyle name="60% - Accent3 179 2" xfId="32354" xr:uid="{00000000-0005-0000-0000-0000597E0000}"/>
    <cellStyle name="60% - Accent3 18" xfId="32355" xr:uid="{00000000-0005-0000-0000-00005A7E0000}"/>
    <cellStyle name="60% - Accent3 18 2" xfId="32356" xr:uid="{00000000-0005-0000-0000-00005B7E0000}"/>
    <cellStyle name="60% - Accent3 180" xfId="32357" xr:uid="{00000000-0005-0000-0000-00005C7E0000}"/>
    <cellStyle name="60% - Accent3 180 2" xfId="32358" xr:uid="{00000000-0005-0000-0000-00005D7E0000}"/>
    <cellStyle name="60% - Accent3 181" xfId="32359" xr:uid="{00000000-0005-0000-0000-00005E7E0000}"/>
    <cellStyle name="60% - Accent3 181 2" xfId="32360" xr:uid="{00000000-0005-0000-0000-00005F7E0000}"/>
    <cellStyle name="60% - Accent3 182" xfId="32361" xr:uid="{00000000-0005-0000-0000-0000607E0000}"/>
    <cellStyle name="60% - Accent3 182 2" xfId="32362" xr:uid="{00000000-0005-0000-0000-0000617E0000}"/>
    <cellStyle name="60% - Accent3 183" xfId="32363" xr:uid="{00000000-0005-0000-0000-0000627E0000}"/>
    <cellStyle name="60% - Accent3 183 2" xfId="32364" xr:uid="{00000000-0005-0000-0000-0000637E0000}"/>
    <cellStyle name="60% - Accent3 184" xfId="32365" xr:uid="{00000000-0005-0000-0000-0000647E0000}"/>
    <cellStyle name="60% - Accent3 184 2" xfId="32366" xr:uid="{00000000-0005-0000-0000-0000657E0000}"/>
    <cellStyle name="60% - Accent3 185" xfId="32367" xr:uid="{00000000-0005-0000-0000-0000667E0000}"/>
    <cellStyle name="60% - Accent3 185 2" xfId="32368" xr:uid="{00000000-0005-0000-0000-0000677E0000}"/>
    <cellStyle name="60% - Accent3 186" xfId="32369" xr:uid="{00000000-0005-0000-0000-0000687E0000}"/>
    <cellStyle name="60% - Accent3 186 2" xfId="32370" xr:uid="{00000000-0005-0000-0000-0000697E0000}"/>
    <cellStyle name="60% - Accent3 187" xfId="32371" xr:uid="{00000000-0005-0000-0000-00006A7E0000}"/>
    <cellStyle name="60% - Accent3 187 2" xfId="32372" xr:uid="{00000000-0005-0000-0000-00006B7E0000}"/>
    <cellStyle name="60% - Accent3 188" xfId="32373" xr:uid="{00000000-0005-0000-0000-00006C7E0000}"/>
    <cellStyle name="60% - Accent3 188 2" xfId="32374" xr:uid="{00000000-0005-0000-0000-00006D7E0000}"/>
    <cellStyle name="60% - Accent3 189" xfId="32375" xr:uid="{00000000-0005-0000-0000-00006E7E0000}"/>
    <cellStyle name="60% - Accent3 189 2" xfId="32376" xr:uid="{00000000-0005-0000-0000-00006F7E0000}"/>
    <cellStyle name="60% - Accent3 19" xfId="32377" xr:uid="{00000000-0005-0000-0000-0000707E0000}"/>
    <cellStyle name="60% - Accent3 19 2" xfId="32378" xr:uid="{00000000-0005-0000-0000-0000717E0000}"/>
    <cellStyle name="60% - Accent3 190" xfId="32379" xr:uid="{00000000-0005-0000-0000-0000727E0000}"/>
    <cellStyle name="60% - Accent3 190 2" xfId="32380" xr:uid="{00000000-0005-0000-0000-0000737E0000}"/>
    <cellStyle name="60% - Accent3 191" xfId="32381" xr:uid="{00000000-0005-0000-0000-0000747E0000}"/>
    <cellStyle name="60% - Accent3 191 2" xfId="32382" xr:uid="{00000000-0005-0000-0000-0000757E0000}"/>
    <cellStyle name="60% - Accent3 192" xfId="32383" xr:uid="{00000000-0005-0000-0000-0000767E0000}"/>
    <cellStyle name="60% - Accent3 192 2" xfId="32384" xr:uid="{00000000-0005-0000-0000-0000777E0000}"/>
    <cellStyle name="60% - Accent3 193" xfId="32385" xr:uid="{00000000-0005-0000-0000-0000787E0000}"/>
    <cellStyle name="60% - Accent3 193 2" xfId="32386" xr:uid="{00000000-0005-0000-0000-0000797E0000}"/>
    <cellStyle name="60% - Accent3 194" xfId="32387" xr:uid="{00000000-0005-0000-0000-00007A7E0000}"/>
    <cellStyle name="60% - Accent3 194 2" xfId="32388" xr:uid="{00000000-0005-0000-0000-00007B7E0000}"/>
    <cellStyle name="60% - Accent3 195" xfId="32389" xr:uid="{00000000-0005-0000-0000-00007C7E0000}"/>
    <cellStyle name="60% - Accent3 195 2" xfId="32390" xr:uid="{00000000-0005-0000-0000-00007D7E0000}"/>
    <cellStyle name="60% - Accent3 196" xfId="32391" xr:uid="{00000000-0005-0000-0000-00007E7E0000}"/>
    <cellStyle name="60% - Accent3 196 2" xfId="32392" xr:uid="{00000000-0005-0000-0000-00007F7E0000}"/>
    <cellStyle name="60% - Accent3 197" xfId="32393" xr:uid="{00000000-0005-0000-0000-0000807E0000}"/>
    <cellStyle name="60% - Accent3 197 2" xfId="32394" xr:uid="{00000000-0005-0000-0000-0000817E0000}"/>
    <cellStyle name="60% - Accent3 198" xfId="32395" xr:uid="{00000000-0005-0000-0000-0000827E0000}"/>
    <cellStyle name="60% - Accent3 198 2" xfId="32396" xr:uid="{00000000-0005-0000-0000-0000837E0000}"/>
    <cellStyle name="60% - Accent3 2" xfId="32397" xr:uid="{00000000-0005-0000-0000-0000847E0000}"/>
    <cellStyle name="60% - Accent3 2 2" xfId="32398" xr:uid="{00000000-0005-0000-0000-0000857E0000}"/>
    <cellStyle name="60% - Accent3 2 2 2" xfId="32399" xr:uid="{00000000-0005-0000-0000-0000867E0000}"/>
    <cellStyle name="60% - Accent3 2 2 2 2" xfId="32400" xr:uid="{00000000-0005-0000-0000-0000877E0000}"/>
    <cellStyle name="60% - Accent3 2 2 2 2 2" xfId="32401" xr:uid="{00000000-0005-0000-0000-0000887E0000}"/>
    <cellStyle name="60% - Accent3 2 2 2 2 2 2" xfId="32402" xr:uid="{00000000-0005-0000-0000-0000897E0000}"/>
    <cellStyle name="60% - Accent3 2 2 2 2 3" xfId="32403" xr:uid="{00000000-0005-0000-0000-00008A7E0000}"/>
    <cellStyle name="60% - Accent3 2 2 2 3" xfId="32404" xr:uid="{00000000-0005-0000-0000-00008B7E0000}"/>
    <cellStyle name="60% - Accent3 2 2 3" xfId="32405" xr:uid="{00000000-0005-0000-0000-00008C7E0000}"/>
    <cellStyle name="60% - Accent3 2 2 3 2" xfId="32406" xr:uid="{00000000-0005-0000-0000-00008D7E0000}"/>
    <cellStyle name="60% - Accent3 2 2 4" xfId="32407" xr:uid="{00000000-0005-0000-0000-00008E7E0000}"/>
    <cellStyle name="60% - Accent3 2 2 4 2" xfId="32408" xr:uid="{00000000-0005-0000-0000-00008F7E0000}"/>
    <cellStyle name="60% - Accent3 2 2 5" xfId="32409" xr:uid="{00000000-0005-0000-0000-0000907E0000}"/>
    <cellStyle name="60% - Accent3 2 3" xfId="32410" xr:uid="{00000000-0005-0000-0000-0000917E0000}"/>
    <cellStyle name="60% - Accent3 2 3 2" xfId="32411" xr:uid="{00000000-0005-0000-0000-0000927E0000}"/>
    <cellStyle name="60% - Accent3 2 4" xfId="32412" xr:uid="{00000000-0005-0000-0000-0000937E0000}"/>
    <cellStyle name="60% - Accent3 2 4 2" xfId="32413" xr:uid="{00000000-0005-0000-0000-0000947E0000}"/>
    <cellStyle name="60% - Accent3 2 5" xfId="32414" xr:uid="{00000000-0005-0000-0000-0000957E0000}"/>
    <cellStyle name="60% - Accent3 2 5 2" xfId="32415" xr:uid="{00000000-0005-0000-0000-0000967E0000}"/>
    <cellStyle name="60% - Accent3 2 6" xfId="32416" xr:uid="{00000000-0005-0000-0000-0000977E0000}"/>
    <cellStyle name="60% - Accent3 20" xfId="32417" xr:uid="{00000000-0005-0000-0000-0000987E0000}"/>
    <cellStyle name="60% - Accent3 20 2" xfId="32418" xr:uid="{00000000-0005-0000-0000-0000997E0000}"/>
    <cellStyle name="60% - Accent3 21" xfId="32419" xr:uid="{00000000-0005-0000-0000-00009A7E0000}"/>
    <cellStyle name="60% - Accent3 21 2" xfId="32420" xr:uid="{00000000-0005-0000-0000-00009B7E0000}"/>
    <cellStyle name="60% - Accent3 22" xfId="32421" xr:uid="{00000000-0005-0000-0000-00009C7E0000}"/>
    <cellStyle name="60% - Accent3 22 2" xfId="32422" xr:uid="{00000000-0005-0000-0000-00009D7E0000}"/>
    <cellStyle name="60% - Accent3 23" xfId="32423" xr:uid="{00000000-0005-0000-0000-00009E7E0000}"/>
    <cellStyle name="60% - Accent3 23 2" xfId="32424" xr:uid="{00000000-0005-0000-0000-00009F7E0000}"/>
    <cellStyle name="60% - Accent3 24" xfId="32425" xr:uid="{00000000-0005-0000-0000-0000A07E0000}"/>
    <cellStyle name="60% - Accent3 24 2" xfId="32426" xr:uid="{00000000-0005-0000-0000-0000A17E0000}"/>
    <cellStyle name="60% - Accent3 25" xfId="32427" xr:uid="{00000000-0005-0000-0000-0000A27E0000}"/>
    <cellStyle name="60% - Accent3 25 2" xfId="32428" xr:uid="{00000000-0005-0000-0000-0000A37E0000}"/>
    <cellStyle name="60% - Accent3 26" xfId="32429" xr:uid="{00000000-0005-0000-0000-0000A47E0000}"/>
    <cellStyle name="60% - Accent3 26 2" xfId="32430" xr:uid="{00000000-0005-0000-0000-0000A57E0000}"/>
    <cellStyle name="60% - Accent3 27" xfId="32431" xr:uid="{00000000-0005-0000-0000-0000A67E0000}"/>
    <cellStyle name="60% - Accent3 27 2" xfId="32432" xr:uid="{00000000-0005-0000-0000-0000A77E0000}"/>
    <cellStyle name="60% - Accent3 28" xfId="32433" xr:uid="{00000000-0005-0000-0000-0000A87E0000}"/>
    <cellStyle name="60% - Accent3 28 2" xfId="32434" xr:uid="{00000000-0005-0000-0000-0000A97E0000}"/>
    <cellStyle name="60% - Accent3 29" xfId="32435" xr:uid="{00000000-0005-0000-0000-0000AA7E0000}"/>
    <cellStyle name="60% - Accent3 29 2" xfId="32436" xr:uid="{00000000-0005-0000-0000-0000AB7E0000}"/>
    <cellStyle name="60% - Accent3 3" xfId="32437" xr:uid="{00000000-0005-0000-0000-0000AC7E0000}"/>
    <cellStyle name="60% - Accent3 3 2" xfId="32438" xr:uid="{00000000-0005-0000-0000-0000AD7E0000}"/>
    <cellStyle name="60% - Accent3 3 2 2" xfId="32439" xr:uid="{00000000-0005-0000-0000-0000AE7E0000}"/>
    <cellStyle name="60% - Accent3 3 3" xfId="32440" xr:uid="{00000000-0005-0000-0000-0000AF7E0000}"/>
    <cellStyle name="60% - Accent3 3 3 2" xfId="32441" xr:uid="{00000000-0005-0000-0000-0000B07E0000}"/>
    <cellStyle name="60% - Accent3 3 4" xfId="32442" xr:uid="{00000000-0005-0000-0000-0000B17E0000}"/>
    <cellStyle name="60% - Accent3 30" xfId="32443" xr:uid="{00000000-0005-0000-0000-0000B27E0000}"/>
    <cellStyle name="60% - Accent3 30 2" xfId="32444" xr:uid="{00000000-0005-0000-0000-0000B37E0000}"/>
    <cellStyle name="60% - Accent3 31" xfId="32445" xr:uid="{00000000-0005-0000-0000-0000B47E0000}"/>
    <cellStyle name="60% - Accent3 31 2" xfId="32446" xr:uid="{00000000-0005-0000-0000-0000B57E0000}"/>
    <cellStyle name="60% - Accent3 32" xfId="32447" xr:uid="{00000000-0005-0000-0000-0000B67E0000}"/>
    <cellStyle name="60% - Accent3 32 2" xfId="32448" xr:uid="{00000000-0005-0000-0000-0000B77E0000}"/>
    <cellStyle name="60% - Accent3 33" xfId="32449" xr:uid="{00000000-0005-0000-0000-0000B87E0000}"/>
    <cellStyle name="60% - Accent3 33 2" xfId="32450" xr:uid="{00000000-0005-0000-0000-0000B97E0000}"/>
    <cellStyle name="60% - Accent3 34" xfId="32451" xr:uid="{00000000-0005-0000-0000-0000BA7E0000}"/>
    <cellStyle name="60% - Accent3 34 2" xfId="32452" xr:uid="{00000000-0005-0000-0000-0000BB7E0000}"/>
    <cellStyle name="60% - Accent3 35" xfId="32453" xr:uid="{00000000-0005-0000-0000-0000BC7E0000}"/>
    <cellStyle name="60% - Accent3 35 2" xfId="32454" xr:uid="{00000000-0005-0000-0000-0000BD7E0000}"/>
    <cellStyle name="60% - Accent3 36" xfId="32455" xr:uid="{00000000-0005-0000-0000-0000BE7E0000}"/>
    <cellStyle name="60% - Accent3 36 2" xfId="32456" xr:uid="{00000000-0005-0000-0000-0000BF7E0000}"/>
    <cellStyle name="60% - Accent3 37" xfId="32457" xr:uid="{00000000-0005-0000-0000-0000C07E0000}"/>
    <cellStyle name="60% - Accent3 37 2" xfId="32458" xr:uid="{00000000-0005-0000-0000-0000C17E0000}"/>
    <cellStyle name="60% - Accent3 38" xfId="32459" xr:uid="{00000000-0005-0000-0000-0000C27E0000}"/>
    <cellStyle name="60% - Accent3 38 2" xfId="32460" xr:uid="{00000000-0005-0000-0000-0000C37E0000}"/>
    <cellStyle name="60% - Accent3 39" xfId="32461" xr:uid="{00000000-0005-0000-0000-0000C47E0000}"/>
    <cellStyle name="60% - Accent3 39 2" xfId="32462" xr:uid="{00000000-0005-0000-0000-0000C57E0000}"/>
    <cellStyle name="60% - Accent3 4" xfId="32463" xr:uid="{00000000-0005-0000-0000-0000C67E0000}"/>
    <cellStyle name="60% - Accent3 4 2" xfId="32464" xr:uid="{00000000-0005-0000-0000-0000C77E0000}"/>
    <cellStyle name="60% - Accent3 4 2 2" xfId="32465" xr:uid="{00000000-0005-0000-0000-0000C87E0000}"/>
    <cellStyle name="60% - Accent3 4 3" xfId="32466" xr:uid="{00000000-0005-0000-0000-0000C97E0000}"/>
    <cellStyle name="60% - Accent3 4 3 2" xfId="32467" xr:uid="{00000000-0005-0000-0000-0000CA7E0000}"/>
    <cellStyle name="60% - Accent3 4 4" xfId="32468" xr:uid="{00000000-0005-0000-0000-0000CB7E0000}"/>
    <cellStyle name="60% - Accent3 40" xfId="32469" xr:uid="{00000000-0005-0000-0000-0000CC7E0000}"/>
    <cellStyle name="60% - Accent3 40 2" xfId="32470" xr:uid="{00000000-0005-0000-0000-0000CD7E0000}"/>
    <cellStyle name="60% - Accent3 41" xfId="32471" xr:uid="{00000000-0005-0000-0000-0000CE7E0000}"/>
    <cellStyle name="60% - Accent3 41 2" xfId="32472" xr:uid="{00000000-0005-0000-0000-0000CF7E0000}"/>
    <cellStyle name="60% - Accent3 42" xfId="32473" xr:uid="{00000000-0005-0000-0000-0000D07E0000}"/>
    <cellStyle name="60% - Accent3 42 2" xfId="32474" xr:uid="{00000000-0005-0000-0000-0000D17E0000}"/>
    <cellStyle name="60% - Accent3 43" xfId="32475" xr:uid="{00000000-0005-0000-0000-0000D27E0000}"/>
    <cellStyle name="60% - Accent3 43 2" xfId="32476" xr:uid="{00000000-0005-0000-0000-0000D37E0000}"/>
    <cellStyle name="60% - Accent3 44" xfId="32477" xr:uid="{00000000-0005-0000-0000-0000D47E0000}"/>
    <cellStyle name="60% - Accent3 44 2" xfId="32478" xr:uid="{00000000-0005-0000-0000-0000D57E0000}"/>
    <cellStyle name="60% - Accent3 45" xfId="32479" xr:uid="{00000000-0005-0000-0000-0000D67E0000}"/>
    <cellStyle name="60% - Accent3 45 2" xfId="32480" xr:uid="{00000000-0005-0000-0000-0000D77E0000}"/>
    <cellStyle name="60% - Accent3 46" xfId="32481" xr:uid="{00000000-0005-0000-0000-0000D87E0000}"/>
    <cellStyle name="60% - Accent3 46 2" xfId="32482" xr:uid="{00000000-0005-0000-0000-0000D97E0000}"/>
    <cellStyle name="60% - Accent3 47" xfId="32483" xr:uid="{00000000-0005-0000-0000-0000DA7E0000}"/>
    <cellStyle name="60% - Accent3 47 2" xfId="32484" xr:uid="{00000000-0005-0000-0000-0000DB7E0000}"/>
    <cellStyle name="60% - Accent3 48" xfId="32485" xr:uid="{00000000-0005-0000-0000-0000DC7E0000}"/>
    <cellStyle name="60% - Accent3 48 2" xfId="32486" xr:uid="{00000000-0005-0000-0000-0000DD7E0000}"/>
    <cellStyle name="60% - Accent3 49" xfId="32487" xr:uid="{00000000-0005-0000-0000-0000DE7E0000}"/>
    <cellStyle name="60% - Accent3 49 2" xfId="32488" xr:uid="{00000000-0005-0000-0000-0000DF7E0000}"/>
    <cellStyle name="60% - Accent3 5" xfId="32489" xr:uid="{00000000-0005-0000-0000-0000E07E0000}"/>
    <cellStyle name="60% - Accent3 5 2" xfId="32490" xr:uid="{00000000-0005-0000-0000-0000E17E0000}"/>
    <cellStyle name="60% - Accent3 5 2 2" xfId="32491" xr:uid="{00000000-0005-0000-0000-0000E27E0000}"/>
    <cellStyle name="60% - Accent3 5 3" xfId="32492" xr:uid="{00000000-0005-0000-0000-0000E37E0000}"/>
    <cellStyle name="60% - Accent3 5 3 2" xfId="32493" xr:uid="{00000000-0005-0000-0000-0000E47E0000}"/>
    <cellStyle name="60% - Accent3 5 4" xfId="32494" xr:uid="{00000000-0005-0000-0000-0000E57E0000}"/>
    <cellStyle name="60% - Accent3 50" xfId="32495" xr:uid="{00000000-0005-0000-0000-0000E67E0000}"/>
    <cellStyle name="60% - Accent3 50 2" xfId="32496" xr:uid="{00000000-0005-0000-0000-0000E77E0000}"/>
    <cellStyle name="60% - Accent3 51" xfId="32497" xr:uid="{00000000-0005-0000-0000-0000E87E0000}"/>
    <cellStyle name="60% - Accent3 51 2" xfId="32498" xr:uid="{00000000-0005-0000-0000-0000E97E0000}"/>
    <cellStyle name="60% - Accent3 52" xfId="32499" xr:uid="{00000000-0005-0000-0000-0000EA7E0000}"/>
    <cellStyle name="60% - Accent3 52 2" xfId="32500" xr:uid="{00000000-0005-0000-0000-0000EB7E0000}"/>
    <cellStyle name="60% - Accent3 53" xfId="32501" xr:uid="{00000000-0005-0000-0000-0000EC7E0000}"/>
    <cellStyle name="60% - Accent3 53 2" xfId="32502" xr:uid="{00000000-0005-0000-0000-0000ED7E0000}"/>
    <cellStyle name="60% - Accent3 54" xfId="32503" xr:uid="{00000000-0005-0000-0000-0000EE7E0000}"/>
    <cellStyle name="60% - Accent3 54 2" xfId="32504" xr:uid="{00000000-0005-0000-0000-0000EF7E0000}"/>
    <cellStyle name="60% - Accent3 55" xfId="32505" xr:uid="{00000000-0005-0000-0000-0000F07E0000}"/>
    <cellStyle name="60% - Accent3 55 2" xfId="32506" xr:uid="{00000000-0005-0000-0000-0000F17E0000}"/>
    <cellStyle name="60% - Accent3 56" xfId="32507" xr:uid="{00000000-0005-0000-0000-0000F27E0000}"/>
    <cellStyle name="60% - Accent3 56 2" xfId="32508" xr:uid="{00000000-0005-0000-0000-0000F37E0000}"/>
    <cellStyle name="60% - Accent3 57" xfId="32509" xr:uid="{00000000-0005-0000-0000-0000F47E0000}"/>
    <cellStyle name="60% - Accent3 57 2" xfId="32510" xr:uid="{00000000-0005-0000-0000-0000F57E0000}"/>
    <cellStyle name="60% - Accent3 58" xfId="32511" xr:uid="{00000000-0005-0000-0000-0000F67E0000}"/>
    <cellStyle name="60% - Accent3 58 2" xfId="32512" xr:uid="{00000000-0005-0000-0000-0000F77E0000}"/>
    <cellStyle name="60% - Accent3 59" xfId="32513" xr:uid="{00000000-0005-0000-0000-0000F87E0000}"/>
    <cellStyle name="60% - Accent3 59 2" xfId="32514" xr:uid="{00000000-0005-0000-0000-0000F97E0000}"/>
    <cellStyle name="60% - Accent3 59 2 2" xfId="32515" xr:uid="{00000000-0005-0000-0000-0000FA7E0000}"/>
    <cellStyle name="60% - Accent3 59 3" xfId="32516" xr:uid="{00000000-0005-0000-0000-0000FB7E0000}"/>
    <cellStyle name="60% - Accent3 6" xfId="32517" xr:uid="{00000000-0005-0000-0000-0000FC7E0000}"/>
    <cellStyle name="60% - Accent3 6 2" xfId="32518" xr:uid="{00000000-0005-0000-0000-0000FD7E0000}"/>
    <cellStyle name="60% - Accent3 6 2 2" xfId="32519" xr:uid="{00000000-0005-0000-0000-0000FE7E0000}"/>
    <cellStyle name="60% - Accent3 6 3" xfId="32520" xr:uid="{00000000-0005-0000-0000-0000FF7E0000}"/>
    <cellStyle name="60% - Accent3 6 3 2" xfId="32521" xr:uid="{00000000-0005-0000-0000-0000007F0000}"/>
    <cellStyle name="60% - Accent3 6 4" xfId="32522" xr:uid="{00000000-0005-0000-0000-0000017F0000}"/>
    <cellStyle name="60% - Accent3 60" xfId="32523" xr:uid="{00000000-0005-0000-0000-0000027F0000}"/>
    <cellStyle name="60% - Accent3 60 2" xfId="32524" xr:uid="{00000000-0005-0000-0000-0000037F0000}"/>
    <cellStyle name="60% - Accent3 61" xfId="32525" xr:uid="{00000000-0005-0000-0000-0000047F0000}"/>
    <cellStyle name="60% - Accent3 61 2" xfId="32526" xr:uid="{00000000-0005-0000-0000-0000057F0000}"/>
    <cellStyle name="60% - Accent3 62" xfId="32527" xr:uid="{00000000-0005-0000-0000-0000067F0000}"/>
    <cellStyle name="60% - Accent3 62 2" xfId="32528" xr:uid="{00000000-0005-0000-0000-0000077F0000}"/>
    <cellStyle name="60% - Accent3 63" xfId="32529" xr:uid="{00000000-0005-0000-0000-0000087F0000}"/>
    <cellStyle name="60% - Accent3 63 2" xfId="32530" xr:uid="{00000000-0005-0000-0000-0000097F0000}"/>
    <cellStyle name="60% - Accent3 64" xfId="32531" xr:uid="{00000000-0005-0000-0000-00000A7F0000}"/>
    <cellStyle name="60% - Accent3 64 2" xfId="32532" xr:uid="{00000000-0005-0000-0000-00000B7F0000}"/>
    <cellStyle name="60% - Accent3 65" xfId="32533" xr:uid="{00000000-0005-0000-0000-00000C7F0000}"/>
    <cellStyle name="60% - Accent3 65 2" xfId="32534" xr:uid="{00000000-0005-0000-0000-00000D7F0000}"/>
    <cellStyle name="60% - Accent3 66" xfId="32535" xr:uid="{00000000-0005-0000-0000-00000E7F0000}"/>
    <cellStyle name="60% - Accent3 66 2" xfId="32536" xr:uid="{00000000-0005-0000-0000-00000F7F0000}"/>
    <cellStyle name="60% - Accent3 67" xfId="32537" xr:uid="{00000000-0005-0000-0000-0000107F0000}"/>
    <cellStyle name="60% - Accent3 67 2" xfId="32538" xr:uid="{00000000-0005-0000-0000-0000117F0000}"/>
    <cellStyle name="60% - Accent3 68" xfId="32539" xr:uid="{00000000-0005-0000-0000-0000127F0000}"/>
    <cellStyle name="60% - Accent3 68 2" xfId="32540" xr:uid="{00000000-0005-0000-0000-0000137F0000}"/>
    <cellStyle name="60% - Accent3 69" xfId="32541" xr:uid="{00000000-0005-0000-0000-0000147F0000}"/>
    <cellStyle name="60% - Accent3 69 2" xfId="32542" xr:uid="{00000000-0005-0000-0000-0000157F0000}"/>
    <cellStyle name="60% - Accent3 7" xfId="32543" xr:uid="{00000000-0005-0000-0000-0000167F0000}"/>
    <cellStyle name="60% - Accent3 7 2" xfId="32544" xr:uid="{00000000-0005-0000-0000-0000177F0000}"/>
    <cellStyle name="60% - Accent3 7 2 2" xfId="32545" xr:uid="{00000000-0005-0000-0000-0000187F0000}"/>
    <cellStyle name="60% - Accent3 7 3" xfId="32546" xr:uid="{00000000-0005-0000-0000-0000197F0000}"/>
    <cellStyle name="60% - Accent3 7 3 2" xfId="32547" xr:uid="{00000000-0005-0000-0000-00001A7F0000}"/>
    <cellStyle name="60% - Accent3 7 4" xfId="32548" xr:uid="{00000000-0005-0000-0000-00001B7F0000}"/>
    <cellStyle name="60% - Accent3 70" xfId="32549" xr:uid="{00000000-0005-0000-0000-00001C7F0000}"/>
    <cellStyle name="60% - Accent3 70 2" xfId="32550" xr:uid="{00000000-0005-0000-0000-00001D7F0000}"/>
    <cellStyle name="60% - Accent3 71" xfId="32551" xr:uid="{00000000-0005-0000-0000-00001E7F0000}"/>
    <cellStyle name="60% - Accent3 71 2" xfId="32552" xr:uid="{00000000-0005-0000-0000-00001F7F0000}"/>
    <cellStyle name="60% - Accent3 72" xfId="32553" xr:uid="{00000000-0005-0000-0000-0000207F0000}"/>
    <cellStyle name="60% - Accent3 72 2" xfId="32554" xr:uid="{00000000-0005-0000-0000-0000217F0000}"/>
    <cellStyle name="60% - Accent3 73" xfId="32555" xr:uid="{00000000-0005-0000-0000-0000227F0000}"/>
    <cellStyle name="60% - Accent3 73 2" xfId="32556" xr:uid="{00000000-0005-0000-0000-0000237F0000}"/>
    <cellStyle name="60% - Accent3 74" xfId="32557" xr:uid="{00000000-0005-0000-0000-0000247F0000}"/>
    <cellStyle name="60% - Accent3 74 2" xfId="32558" xr:uid="{00000000-0005-0000-0000-0000257F0000}"/>
    <cellStyle name="60% - Accent3 75" xfId="32559" xr:uid="{00000000-0005-0000-0000-0000267F0000}"/>
    <cellStyle name="60% - Accent3 75 2" xfId="32560" xr:uid="{00000000-0005-0000-0000-0000277F0000}"/>
    <cellStyle name="60% - Accent3 76" xfId="32561" xr:uid="{00000000-0005-0000-0000-0000287F0000}"/>
    <cellStyle name="60% - Accent3 76 2" xfId="32562" xr:uid="{00000000-0005-0000-0000-0000297F0000}"/>
    <cellStyle name="60% - Accent3 77" xfId="32563" xr:uid="{00000000-0005-0000-0000-00002A7F0000}"/>
    <cellStyle name="60% - Accent3 77 2" xfId="32564" xr:uid="{00000000-0005-0000-0000-00002B7F0000}"/>
    <cellStyle name="60% - Accent3 78" xfId="32565" xr:uid="{00000000-0005-0000-0000-00002C7F0000}"/>
    <cellStyle name="60% - Accent3 78 2" xfId="32566" xr:uid="{00000000-0005-0000-0000-00002D7F0000}"/>
    <cellStyle name="60% - Accent3 79" xfId="32567" xr:uid="{00000000-0005-0000-0000-00002E7F0000}"/>
    <cellStyle name="60% - Accent3 79 2" xfId="32568" xr:uid="{00000000-0005-0000-0000-00002F7F0000}"/>
    <cellStyle name="60% - Accent3 8" xfId="32569" xr:uid="{00000000-0005-0000-0000-0000307F0000}"/>
    <cellStyle name="60% - Accent3 8 2" xfId="32570" xr:uid="{00000000-0005-0000-0000-0000317F0000}"/>
    <cellStyle name="60% - Accent3 8 2 2" xfId="32571" xr:uid="{00000000-0005-0000-0000-0000327F0000}"/>
    <cellStyle name="60% - Accent3 8 3" xfId="32572" xr:uid="{00000000-0005-0000-0000-0000337F0000}"/>
    <cellStyle name="60% - Accent3 8 3 2" xfId="32573" xr:uid="{00000000-0005-0000-0000-0000347F0000}"/>
    <cellStyle name="60% - Accent3 8 4" xfId="32574" xr:uid="{00000000-0005-0000-0000-0000357F0000}"/>
    <cellStyle name="60% - Accent3 80" xfId="32575" xr:uid="{00000000-0005-0000-0000-0000367F0000}"/>
    <cellStyle name="60% - Accent3 80 2" xfId="32576" xr:uid="{00000000-0005-0000-0000-0000377F0000}"/>
    <cellStyle name="60% - Accent3 81" xfId="32577" xr:uid="{00000000-0005-0000-0000-0000387F0000}"/>
    <cellStyle name="60% - Accent3 81 2" xfId="32578" xr:uid="{00000000-0005-0000-0000-0000397F0000}"/>
    <cellStyle name="60% - Accent3 82" xfId="32579" xr:uid="{00000000-0005-0000-0000-00003A7F0000}"/>
    <cellStyle name="60% - Accent3 82 2" xfId="32580" xr:uid="{00000000-0005-0000-0000-00003B7F0000}"/>
    <cellStyle name="60% - Accent3 83" xfId="32581" xr:uid="{00000000-0005-0000-0000-00003C7F0000}"/>
    <cellStyle name="60% - Accent3 83 2" xfId="32582" xr:uid="{00000000-0005-0000-0000-00003D7F0000}"/>
    <cellStyle name="60% - Accent3 84" xfId="32583" xr:uid="{00000000-0005-0000-0000-00003E7F0000}"/>
    <cellStyle name="60% - Accent3 84 2" xfId="32584" xr:uid="{00000000-0005-0000-0000-00003F7F0000}"/>
    <cellStyle name="60% - Accent3 85" xfId="32585" xr:uid="{00000000-0005-0000-0000-0000407F0000}"/>
    <cellStyle name="60% - Accent3 85 2" xfId="32586" xr:uid="{00000000-0005-0000-0000-0000417F0000}"/>
    <cellStyle name="60% - Accent3 86" xfId="32587" xr:uid="{00000000-0005-0000-0000-0000427F0000}"/>
    <cellStyle name="60% - Accent3 86 2" xfId="32588" xr:uid="{00000000-0005-0000-0000-0000437F0000}"/>
    <cellStyle name="60% - Accent3 87" xfId="32589" xr:uid="{00000000-0005-0000-0000-0000447F0000}"/>
    <cellStyle name="60% - Accent3 87 2" xfId="32590" xr:uid="{00000000-0005-0000-0000-0000457F0000}"/>
    <cellStyle name="60% - Accent3 88" xfId="32591" xr:uid="{00000000-0005-0000-0000-0000467F0000}"/>
    <cellStyle name="60% - Accent3 88 2" xfId="32592" xr:uid="{00000000-0005-0000-0000-0000477F0000}"/>
    <cellStyle name="60% - Accent3 89" xfId="32593" xr:uid="{00000000-0005-0000-0000-0000487F0000}"/>
    <cellStyle name="60% - Accent3 89 2" xfId="32594" xr:uid="{00000000-0005-0000-0000-0000497F0000}"/>
    <cellStyle name="60% - Accent3 9" xfId="32595" xr:uid="{00000000-0005-0000-0000-00004A7F0000}"/>
    <cellStyle name="60% - Accent3 9 2" xfId="32596" xr:uid="{00000000-0005-0000-0000-00004B7F0000}"/>
    <cellStyle name="60% - Accent3 9 2 2" xfId="32597" xr:uid="{00000000-0005-0000-0000-00004C7F0000}"/>
    <cellStyle name="60% - Accent3 9 3" xfId="32598" xr:uid="{00000000-0005-0000-0000-00004D7F0000}"/>
    <cellStyle name="60% - Accent3 9 3 2" xfId="32599" xr:uid="{00000000-0005-0000-0000-00004E7F0000}"/>
    <cellStyle name="60% - Accent3 9 4" xfId="32600" xr:uid="{00000000-0005-0000-0000-00004F7F0000}"/>
    <cellStyle name="60% - Accent3 90" xfId="32601" xr:uid="{00000000-0005-0000-0000-0000507F0000}"/>
    <cellStyle name="60% - Accent3 90 2" xfId="32602" xr:uid="{00000000-0005-0000-0000-0000517F0000}"/>
    <cellStyle name="60% - Accent3 91" xfId="32603" xr:uid="{00000000-0005-0000-0000-0000527F0000}"/>
    <cellStyle name="60% - Accent3 91 2" xfId="32604" xr:uid="{00000000-0005-0000-0000-0000537F0000}"/>
    <cellStyle name="60% - Accent3 92" xfId="32605" xr:uid="{00000000-0005-0000-0000-0000547F0000}"/>
    <cellStyle name="60% - Accent3 92 2" xfId="32606" xr:uid="{00000000-0005-0000-0000-0000557F0000}"/>
    <cellStyle name="60% - Accent3 93" xfId="32607" xr:uid="{00000000-0005-0000-0000-0000567F0000}"/>
    <cellStyle name="60% - Accent3 93 2" xfId="32608" xr:uid="{00000000-0005-0000-0000-0000577F0000}"/>
    <cellStyle name="60% - Accent3 94" xfId="32609" xr:uid="{00000000-0005-0000-0000-0000587F0000}"/>
    <cellStyle name="60% - Accent3 94 2" xfId="32610" xr:uid="{00000000-0005-0000-0000-0000597F0000}"/>
    <cellStyle name="60% - Accent3 95" xfId="32611" xr:uid="{00000000-0005-0000-0000-00005A7F0000}"/>
    <cellStyle name="60% - Accent3 95 2" xfId="32612" xr:uid="{00000000-0005-0000-0000-00005B7F0000}"/>
    <cellStyle name="60% - Accent3 96" xfId="32613" xr:uid="{00000000-0005-0000-0000-00005C7F0000}"/>
    <cellStyle name="60% - Accent3 96 2" xfId="32614" xr:uid="{00000000-0005-0000-0000-00005D7F0000}"/>
    <cellStyle name="60% - Accent3 97" xfId="32615" xr:uid="{00000000-0005-0000-0000-00005E7F0000}"/>
    <cellStyle name="60% - Accent3 97 2" xfId="32616" xr:uid="{00000000-0005-0000-0000-00005F7F0000}"/>
    <cellStyle name="60% - Accent3 98" xfId="32617" xr:uid="{00000000-0005-0000-0000-0000607F0000}"/>
    <cellStyle name="60% - Accent3 98 2" xfId="32618" xr:uid="{00000000-0005-0000-0000-0000617F0000}"/>
    <cellStyle name="60% - Accent3 99" xfId="32619" xr:uid="{00000000-0005-0000-0000-0000627F0000}"/>
    <cellStyle name="60% - Accent3 99 2" xfId="32620" xr:uid="{00000000-0005-0000-0000-0000637F0000}"/>
    <cellStyle name="60% - Accent4 10" xfId="32621" xr:uid="{00000000-0005-0000-0000-0000647F0000}"/>
    <cellStyle name="60% - Accent4 10 2" xfId="32622" xr:uid="{00000000-0005-0000-0000-0000657F0000}"/>
    <cellStyle name="60% - Accent4 100" xfId="32623" xr:uid="{00000000-0005-0000-0000-0000667F0000}"/>
    <cellStyle name="60% - Accent4 100 2" xfId="32624" xr:uid="{00000000-0005-0000-0000-0000677F0000}"/>
    <cellStyle name="60% - Accent4 101" xfId="32625" xr:uid="{00000000-0005-0000-0000-0000687F0000}"/>
    <cellStyle name="60% - Accent4 101 2" xfId="32626" xr:uid="{00000000-0005-0000-0000-0000697F0000}"/>
    <cellStyle name="60% - Accent4 102" xfId="32627" xr:uid="{00000000-0005-0000-0000-00006A7F0000}"/>
    <cellStyle name="60% - Accent4 102 2" xfId="32628" xr:uid="{00000000-0005-0000-0000-00006B7F0000}"/>
    <cellStyle name="60% - Accent4 103" xfId="32629" xr:uid="{00000000-0005-0000-0000-00006C7F0000}"/>
    <cellStyle name="60% - Accent4 103 2" xfId="32630" xr:uid="{00000000-0005-0000-0000-00006D7F0000}"/>
    <cellStyle name="60% - Accent4 104" xfId="32631" xr:uid="{00000000-0005-0000-0000-00006E7F0000}"/>
    <cellStyle name="60% - Accent4 104 2" xfId="32632" xr:uid="{00000000-0005-0000-0000-00006F7F0000}"/>
    <cellStyle name="60% - Accent4 105" xfId="32633" xr:uid="{00000000-0005-0000-0000-0000707F0000}"/>
    <cellStyle name="60% - Accent4 105 2" xfId="32634" xr:uid="{00000000-0005-0000-0000-0000717F0000}"/>
    <cellStyle name="60% - Accent4 106" xfId="32635" xr:uid="{00000000-0005-0000-0000-0000727F0000}"/>
    <cellStyle name="60% - Accent4 106 2" xfId="32636" xr:uid="{00000000-0005-0000-0000-0000737F0000}"/>
    <cellStyle name="60% - Accent4 107" xfId="32637" xr:uid="{00000000-0005-0000-0000-0000747F0000}"/>
    <cellStyle name="60% - Accent4 107 2" xfId="32638" xr:uid="{00000000-0005-0000-0000-0000757F0000}"/>
    <cellStyle name="60% - Accent4 108" xfId="32639" xr:uid="{00000000-0005-0000-0000-0000767F0000}"/>
    <cellStyle name="60% - Accent4 108 2" xfId="32640" xr:uid="{00000000-0005-0000-0000-0000777F0000}"/>
    <cellStyle name="60% - Accent4 109" xfId="32641" xr:uid="{00000000-0005-0000-0000-0000787F0000}"/>
    <cellStyle name="60% - Accent4 109 2" xfId="32642" xr:uid="{00000000-0005-0000-0000-0000797F0000}"/>
    <cellStyle name="60% - Accent4 11" xfId="32643" xr:uid="{00000000-0005-0000-0000-00007A7F0000}"/>
    <cellStyle name="60% - Accent4 11 2" xfId="32644" xr:uid="{00000000-0005-0000-0000-00007B7F0000}"/>
    <cellStyle name="60% - Accent4 110" xfId="32645" xr:uid="{00000000-0005-0000-0000-00007C7F0000}"/>
    <cellStyle name="60% - Accent4 110 2" xfId="32646" xr:uid="{00000000-0005-0000-0000-00007D7F0000}"/>
    <cellStyle name="60% - Accent4 111" xfId="32647" xr:uid="{00000000-0005-0000-0000-00007E7F0000}"/>
    <cellStyle name="60% - Accent4 111 2" xfId="32648" xr:uid="{00000000-0005-0000-0000-00007F7F0000}"/>
    <cellStyle name="60% - Accent4 112" xfId="32649" xr:uid="{00000000-0005-0000-0000-0000807F0000}"/>
    <cellStyle name="60% - Accent4 112 2" xfId="32650" xr:uid="{00000000-0005-0000-0000-0000817F0000}"/>
    <cellStyle name="60% - Accent4 113" xfId="32651" xr:uid="{00000000-0005-0000-0000-0000827F0000}"/>
    <cellStyle name="60% - Accent4 113 2" xfId="32652" xr:uid="{00000000-0005-0000-0000-0000837F0000}"/>
    <cellStyle name="60% - Accent4 114" xfId="32653" xr:uid="{00000000-0005-0000-0000-0000847F0000}"/>
    <cellStyle name="60% - Accent4 114 2" xfId="32654" xr:uid="{00000000-0005-0000-0000-0000857F0000}"/>
    <cellStyle name="60% - Accent4 115" xfId="32655" xr:uid="{00000000-0005-0000-0000-0000867F0000}"/>
    <cellStyle name="60% - Accent4 115 2" xfId="32656" xr:uid="{00000000-0005-0000-0000-0000877F0000}"/>
    <cellStyle name="60% - Accent4 116" xfId="32657" xr:uid="{00000000-0005-0000-0000-0000887F0000}"/>
    <cellStyle name="60% - Accent4 116 2" xfId="32658" xr:uid="{00000000-0005-0000-0000-0000897F0000}"/>
    <cellStyle name="60% - Accent4 117" xfId="32659" xr:uid="{00000000-0005-0000-0000-00008A7F0000}"/>
    <cellStyle name="60% - Accent4 117 2" xfId="32660" xr:uid="{00000000-0005-0000-0000-00008B7F0000}"/>
    <cellStyle name="60% - Accent4 118" xfId="32661" xr:uid="{00000000-0005-0000-0000-00008C7F0000}"/>
    <cellStyle name="60% - Accent4 118 2" xfId="32662" xr:uid="{00000000-0005-0000-0000-00008D7F0000}"/>
    <cellStyle name="60% - Accent4 119" xfId="32663" xr:uid="{00000000-0005-0000-0000-00008E7F0000}"/>
    <cellStyle name="60% - Accent4 119 2" xfId="32664" xr:uid="{00000000-0005-0000-0000-00008F7F0000}"/>
    <cellStyle name="60% - Accent4 12" xfId="32665" xr:uid="{00000000-0005-0000-0000-0000907F0000}"/>
    <cellStyle name="60% - Accent4 12 2" xfId="32666" xr:uid="{00000000-0005-0000-0000-0000917F0000}"/>
    <cellStyle name="60% - Accent4 120" xfId="32667" xr:uid="{00000000-0005-0000-0000-0000927F0000}"/>
    <cellStyle name="60% - Accent4 120 2" xfId="32668" xr:uid="{00000000-0005-0000-0000-0000937F0000}"/>
    <cellStyle name="60% - Accent4 121" xfId="32669" xr:uid="{00000000-0005-0000-0000-0000947F0000}"/>
    <cellStyle name="60% - Accent4 121 2" xfId="32670" xr:uid="{00000000-0005-0000-0000-0000957F0000}"/>
    <cellStyle name="60% - Accent4 122" xfId="32671" xr:uid="{00000000-0005-0000-0000-0000967F0000}"/>
    <cellStyle name="60% - Accent4 122 2" xfId="32672" xr:uid="{00000000-0005-0000-0000-0000977F0000}"/>
    <cellStyle name="60% - Accent4 123" xfId="32673" xr:uid="{00000000-0005-0000-0000-0000987F0000}"/>
    <cellStyle name="60% - Accent4 123 2" xfId="32674" xr:uid="{00000000-0005-0000-0000-0000997F0000}"/>
    <cellStyle name="60% - Accent4 124" xfId="32675" xr:uid="{00000000-0005-0000-0000-00009A7F0000}"/>
    <cellStyle name="60% - Accent4 124 2" xfId="32676" xr:uid="{00000000-0005-0000-0000-00009B7F0000}"/>
    <cellStyle name="60% - Accent4 125" xfId="32677" xr:uid="{00000000-0005-0000-0000-00009C7F0000}"/>
    <cellStyle name="60% - Accent4 125 2" xfId="32678" xr:uid="{00000000-0005-0000-0000-00009D7F0000}"/>
    <cellStyle name="60% - Accent4 126" xfId="32679" xr:uid="{00000000-0005-0000-0000-00009E7F0000}"/>
    <cellStyle name="60% - Accent4 126 2" xfId="32680" xr:uid="{00000000-0005-0000-0000-00009F7F0000}"/>
    <cellStyle name="60% - Accent4 127" xfId="32681" xr:uid="{00000000-0005-0000-0000-0000A07F0000}"/>
    <cellStyle name="60% - Accent4 127 2" xfId="32682" xr:uid="{00000000-0005-0000-0000-0000A17F0000}"/>
    <cellStyle name="60% - Accent4 128" xfId="32683" xr:uid="{00000000-0005-0000-0000-0000A27F0000}"/>
    <cellStyle name="60% - Accent4 128 2" xfId="32684" xr:uid="{00000000-0005-0000-0000-0000A37F0000}"/>
    <cellStyle name="60% - Accent4 129" xfId="32685" xr:uid="{00000000-0005-0000-0000-0000A47F0000}"/>
    <cellStyle name="60% - Accent4 129 2" xfId="32686" xr:uid="{00000000-0005-0000-0000-0000A57F0000}"/>
    <cellStyle name="60% - Accent4 13" xfId="32687" xr:uid="{00000000-0005-0000-0000-0000A67F0000}"/>
    <cellStyle name="60% - Accent4 13 2" xfId="32688" xr:uid="{00000000-0005-0000-0000-0000A77F0000}"/>
    <cellStyle name="60% - Accent4 130" xfId="32689" xr:uid="{00000000-0005-0000-0000-0000A87F0000}"/>
    <cellStyle name="60% - Accent4 130 2" xfId="32690" xr:uid="{00000000-0005-0000-0000-0000A97F0000}"/>
    <cellStyle name="60% - Accent4 131" xfId="32691" xr:uid="{00000000-0005-0000-0000-0000AA7F0000}"/>
    <cellStyle name="60% - Accent4 131 2" xfId="32692" xr:uid="{00000000-0005-0000-0000-0000AB7F0000}"/>
    <cellStyle name="60% - Accent4 132" xfId="32693" xr:uid="{00000000-0005-0000-0000-0000AC7F0000}"/>
    <cellStyle name="60% - Accent4 132 2" xfId="32694" xr:uid="{00000000-0005-0000-0000-0000AD7F0000}"/>
    <cellStyle name="60% - Accent4 133" xfId="32695" xr:uid="{00000000-0005-0000-0000-0000AE7F0000}"/>
    <cellStyle name="60% - Accent4 133 2" xfId="32696" xr:uid="{00000000-0005-0000-0000-0000AF7F0000}"/>
    <cellStyle name="60% - Accent4 134" xfId="32697" xr:uid="{00000000-0005-0000-0000-0000B07F0000}"/>
    <cellStyle name="60% - Accent4 134 2" xfId="32698" xr:uid="{00000000-0005-0000-0000-0000B17F0000}"/>
    <cellStyle name="60% - Accent4 135" xfId="32699" xr:uid="{00000000-0005-0000-0000-0000B27F0000}"/>
    <cellStyle name="60% - Accent4 135 2" xfId="32700" xr:uid="{00000000-0005-0000-0000-0000B37F0000}"/>
    <cellStyle name="60% - Accent4 136" xfId="32701" xr:uid="{00000000-0005-0000-0000-0000B47F0000}"/>
    <cellStyle name="60% - Accent4 136 2" xfId="32702" xr:uid="{00000000-0005-0000-0000-0000B57F0000}"/>
    <cellStyle name="60% - Accent4 137" xfId="32703" xr:uid="{00000000-0005-0000-0000-0000B67F0000}"/>
    <cellStyle name="60% - Accent4 137 2" xfId="32704" xr:uid="{00000000-0005-0000-0000-0000B77F0000}"/>
    <cellStyle name="60% - Accent4 138" xfId="32705" xr:uid="{00000000-0005-0000-0000-0000B87F0000}"/>
    <cellStyle name="60% - Accent4 138 2" xfId="32706" xr:uid="{00000000-0005-0000-0000-0000B97F0000}"/>
    <cellStyle name="60% - Accent4 139" xfId="32707" xr:uid="{00000000-0005-0000-0000-0000BA7F0000}"/>
    <cellStyle name="60% - Accent4 139 2" xfId="32708" xr:uid="{00000000-0005-0000-0000-0000BB7F0000}"/>
    <cellStyle name="60% - Accent4 14" xfId="32709" xr:uid="{00000000-0005-0000-0000-0000BC7F0000}"/>
    <cellStyle name="60% - Accent4 14 2" xfId="32710" xr:uid="{00000000-0005-0000-0000-0000BD7F0000}"/>
    <cellStyle name="60% - Accent4 140" xfId="32711" xr:uid="{00000000-0005-0000-0000-0000BE7F0000}"/>
    <cellStyle name="60% - Accent4 140 2" xfId="32712" xr:uid="{00000000-0005-0000-0000-0000BF7F0000}"/>
    <cellStyle name="60% - Accent4 141" xfId="32713" xr:uid="{00000000-0005-0000-0000-0000C07F0000}"/>
    <cellStyle name="60% - Accent4 141 2" xfId="32714" xr:uid="{00000000-0005-0000-0000-0000C17F0000}"/>
    <cellStyle name="60% - Accent4 142" xfId="32715" xr:uid="{00000000-0005-0000-0000-0000C27F0000}"/>
    <cellStyle name="60% - Accent4 142 2" xfId="32716" xr:uid="{00000000-0005-0000-0000-0000C37F0000}"/>
    <cellStyle name="60% - Accent4 143" xfId="32717" xr:uid="{00000000-0005-0000-0000-0000C47F0000}"/>
    <cellStyle name="60% - Accent4 143 2" xfId="32718" xr:uid="{00000000-0005-0000-0000-0000C57F0000}"/>
    <cellStyle name="60% - Accent4 144" xfId="32719" xr:uid="{00000000-0005-0000-0000-0000C67F0000}"/>
    <cellStyle name="60% - Accent4 144 2" xfId="32720" xr:uid="{00000000-0005-0000-0000-0000C77F0000}"/>
    <cellStyle name="60% - Accent4 145" xfId="32721" xr:uid="{00000000-0005-0000-0000-0000C87F0000}"/>
    <cellStyle name="60% - Accent4 145 2" xfId="32722" xr:uid="{00000000-0005-0000-0000-0000C97F0000}"/>
    <cellStyle name="60% - Accent4 146" xfId="32723" xr:uid="{00000000-0005-0000-0000-0000CA7F0000}"/>
    <cellStyle name="60% - Accent4 146 2" xfId="32724" xr:uid="{00000000-0005-0000-0000-0000CB7F0000}"/>
    <cellStyle name="60% - Accent4 147" xfId="32725" xr:uid="{00000000-0005-0000-0000-0000CC7F0000}"/>
    <cellStyle name="60% - Accent4 147 2" xfId="32726" xr:uid="{00000000-0005-0000-0000-0000CD7F0000}"/>
    <cellStyle name="60% - Accent4 148" xfId="32727" xr:uid="{00000000-0005-0000-0000-0000CE7F0000}"/>
    <cellStyle name="60% - Accent4 148 2" xfId="32728" xr:uid="{00000000-0005-0000-0000-0000CF7F0000}"/>
    <cellStyle name="60% - Accent4 149" xfId="32729" xr:uid="{00000000-0005-0000-0000-0000D07F0000}"/>
    <cellStyle name="60% - Accent4 149 2" xfId="32730" xr:uid="{00000000-0005-0000-0000-0000D17F0000}"/>
    <cellStyle name="60% - Accent4 15" xfId="32731" xr:uid="{00000000-0005-0000-0000-0000D27F0000}"/>
    <cellStyle name="60% - Accent4 15 2" xfId="32732" xr:uid="{00000000-0005-0000-0000-0000D37F0000}"/>
    <cellStyle name="60% - Accent4 150" xfId="32733" xr:uid="{00000000-0005-0000-0000-0000D47F0000}"/>
    <cellStyle name="60% - Accent4 150 2" xfId="32734" xr:uid="{00000000-0005-0000-0000-0000D57F0000}"/>
    <cellStyle name="60% - Accent4 151" xfId="32735" xr:uid="{00000000-0005-0000-0000-0000D67F0000}"/>
    <cellStyle name="60% - Accent4 151 2" xfId="32736" xr:uid="{00000000-0005-0000-0000-0000D77F0000}"/>
    <cellStyle name="60% - Accent4 152" xfId="32737" xr:uid="{00000000-0005-0000-0000-0000D87F0000}"/>
    <cellStyle name="60% - Accent4 152 2" xfId="32738" xr:uid="{00000000-0005-0000-0000-0000D97F0000}"/>
    <cellStyle name="60% - Accent4 153" xfId="32739" xr:uid="{00000000-0005-0000-0000-0000DA7F0000}"/>
    <cellStyle name="60% - Accent4 153 2" xfId="32740" xr:uid="{00000000-0005-0000-0000-0000DB7F0000}"/>
    <cellStyle name="60% - Accent4 154" xfId="32741" xr:uid="{00000000-0005-0000-0000-0000DC7F0000}"/>
    <cellStyle name="60% - Accent4 154 2" xfId="32742" xr:uid="{00000000-0005-0000-0000-0000DD7F0000}"/>
    <cellStyle name="60% - Accent4 155" xfId="32743" xr:uid="{00000000-0005-0000-0000-0000DE7F0000}"/>
    <cellStyle name="60% - Accent4 155 2" xfId="32744" xr:uid="{00000000-0005-0000-0000-0000DF7F0000}"/>
    <cellStyle name="60% - Accent4 156" xfId="32745" xr:uid="{00000000-0005-0000-0000-0000E07F0000}"/>
    <cellStyle name="60% - Accent4 156 2" xfId="32746" xr:uid="{00000000-0005-0000-0000-0000E17F0000}"/>
    <cellStyle name="60% - Accent4 157" xfId="32747" xr:uid="{00000000-0005-0000-0000-0000E27F0000}"/>
    <cellStyle name="60% - Accent4 157 2" xfId="32748" xr:uid="{00000000-0005-0000-0000-0000E37F0000}"/>
    <cellStyle name="60% - Accent4 158" xfId="32749" xr:uid="{00000000-0005-0000-0000-0000E47F0000}"/>
    <cellStyle name="60% - Accent4 158 2" xfId="32750" xr:uid="{00000000-0005-0000-0000-0000E57F0000}"/>
    <cellStyle name="60% - Accent4 159" xfId="32751" xr:uid="{00000000-0005-0000-0000-0000E67F0000}"/>
    <cellStyle name="60% - Accent4 159 2" xfId="32752" xr:uid="{00000000-0005-0000-0000-0000E77F0000}"/>
    <cellStyle name="60% - Accent4 16" xfId="32753" xr:uid="{00000000-0005-0000-0000-0000E87F0000}"/>
    <cellStyle name="60% - Accent4 16 2" xfId="32754" xr:uid="{00000000-0005-0000-0000-0000E97F0000}"/>
    <cellStyle name="60% - Accent4 160" xfId="32755" xr:uid="{00000000-0005-0000-0000-0000EA7F0000}"/>
    <cellStyle name="60% - Accent4 160 2" xfId="32756" xr:uid="{00000000-0005-0000-0000-0000EB7F0000}"/>
    <cellStyle name="60% - Accent4 161" xfId="32757" xr:uid="{00000000-0005-0000-0000-0000EC7F0000}"/>
    <cellStyle name="60% - Accent4 161 2" xfId="32758" xr:uid="{00000000-0005-0000-0000-0000ED7F0000}"/>
    <cellStyle name="60% - Accent4 162" xfId="32759" xr:uid="{00000000-0005-0000-0000-0000EE7F0000}"/>
    <cellStyle name="60% - Accent4 162 2" xfId="32760" xr:uid="{00000000-0005-0000-0000-0000EF7F0000}"/>
    <cellStyle name="60% - Accent4 163" xfId="32761" xr:uid="{00000000-0005-0000-0000-0000F07F0000}"/>
    <cellStyle name="60% - Accent4 163 2" xfId="32762" xr:uid="{00000000-0005-0000-0000-0000F17F0000}"/>
    <cellStyle name="60% - Accent4 164" xfId="32763" xr:uid="{00000000-0005-0000-0000-0000F27F0000}"/>
    <cellStyle name="60% - Accent4 164 2" xfId="32764" xr:uid="{00000000-0005-0000-0000-0000F37F0000}"/>
    <cellStyle name="60% - Accent4 165" xfId="32765" xr:uid="{00000000-0005-0000-0000-0000F47F0000}"/>
    <cellStyle name="60% - Accent4 165 2" xfId="32766" xr:uid="{00000000-0005-0000-0000-0000F57F0000}"/>
    <cellStyle name="60% - Accent4 166" xfId="32767" xr:uid="{00000000-0005-0000-0000-0000F67F0000}"/>
    <cellStyle name="60% - Accent4 166 2" xfId="32768" xr:uid="{00000000-0005-0000-0000-0000F77F0000}"/>
    <cellStyle name="60% - Accent4 167" xfId="32769" xr:uid="{00000000-0005-0000-0000-0000F87F0000}"/>
    <cellStyle name="60% - Accent4 167 2" xfId="32770" xr:uid="{00000000-0005-0000-0000-0000F97F0000}"/>
    <cellStyle name="60% - Accent4 168" xfId="32771" xr:uid="{00000000-0005-0000-0000-0000FA7F0000}"/>
    <cellStyle name="60% - Accent4 168 2" xfId="32772" xr:uid="{00000000-0005-0000-0000-0000FB7F0000}"/>
    <cellStyle name="60% - Accent4 169" xfId="32773" xr:uid="{00000000-0005-0000-0000-0000FC7F0000}"/>
    <cellStyle name="60% - Accent4 169 2" xfId="32774" xr:uid="{00000000-0005-0000-0000-0000FD7F0000}"/>
    <cellStyle name="60% - Accent4 17" xfId="32775" xr:uid="{00000000-0005-0000-0000-0000FE7F0000}"/>
    <cellStyle name="60% - Accent4 17 2" xfId="32776" xr:uid="{00000000-0005-0000-0000-0000FF7F0000}"/>
    <cellStyle name="60% - Accent4 170" xfId="32777" xr:uid="{00000000-0005-0000-0000-000000800000}"/>
    <cellStyle name="60% - Accent4 170 2" xfId="32778" xr:uid="{00000000-0005-0000-0000-000001800000}"/>
    <cellStyle name="60% - Accent4 171" xfId="32779" xr:uid="{00000000-0005-0000-0000-000002800000}"/>
    <cellStyle name="60% - Accent4 171 2" xfId="32780" xr:uid="{00000000-0005-0000-0000-000003800000}"/>
    <cellStyle name="60% - Accent4 172" xfId="32781" xr:uid="{00000000-0005-0000-0000-000004800000}"/>
    <cellStyle name="60% - Accent4 172 2" xfId="32782" xr:uid="{00000000-0005-0000-0000-000005800000}"/>
    <cellStyle name="60% - Accent4 173" xfId="32783" xr:uid="{00000000-0005-0000-0000-000006800000}"/>
    <cellStyle name="60% - Accent4 173 2" xfId="32784" xr:uid="{00000000-0005-0000-0000-000007800000}"/>
    <cellStyle name="60% - Accent4 174" xfId="32785" xr:uid="{00000000-0005-0000-0000-000008800000}"/>
    <cellStyle name="60% - Accent4 174 2" xfId="32786" xr:uid="{00000000-0005-0000-0000-000009800000}"/>
    <cellStyle name="60% - Accent4 175" xfId="32787" xr:uid="{00000000-0005-0000-0000-00000A800000}"/>
    <cellStyle name="60% - Accent4 175 2" xfId="32788" xr:uid="{00000000-0005-0000-0000-00000B800000}"/>
    <cellStyle name="60% - Accent4 176" xfId="32789" xr:uid="{00000000-0005-0000-0000-00000C800000}"/>
    <cellStyle name="60% - Accent4 176 2" xfId="32790" xr:uid="{00000000-0005-0000-0000-00000D800000}"/>
    <cellStyle name="60% - Accent4 177" xfId="32791" xr:uid="{00000000-0005-0000-0000-00000E800000}"/>
    <cellStyle name="60% - Accent4 177 2" xfId="32792" xr:uid="{00000000-0005-0000-0000-00000F800000}"/>
    <cellStyle name="60% - Accent4 178" xfId="32793" xr:uid="{00000000-0005-0000-0000-000010800000}"/>
    <cellStyle name="60% - Accent4 178 2" xfId="32794" xr:uid="{00000000-0005-0000-0000-000011800000}"/>
    <cellStyle name="60% - Accent4 179" xfId="32795" xr:uid="{00000000-0005-0000-0000-000012800000}"/>
    <cellStyle name="60% - Accent4 179 2" xfId="32796" xr:uid="{00000000-0005-0000-0000-000013800000}"/>
    <cellStyle name="60% - Accent4 18" xfId="32797" xr:uid="{00000000-0005-0000-0000-000014800000}"/>
    <cellStyle name="60% - Accent4 18 2" xfId="32798" xr:uid="{00000000-0005-0000-0000-000015800000}"/>
    <cellStyle name="60% - Accent4 180" xfId="32799" xr:uid="{00000000-0005-0000-0000-000016800000}"/>
    <cellStyle name="60% - Accent4 180 2" xfId="32800" xr:uid="{00000000-0005-0000-0000-000017800000}"/>
    <cellStyle name="60% - Accent4 181" xfId="32801" xr:uid="{00000000-0005-0000-0000-000018800000}"/>
    <cellStyle name="60% - Accent4 181 2" xfId="32802" xr:uid="{00000000-0005-0000-0000-000019800000}"/>
    <cellStyle name="60% - Accent4 182" xfId="32803" xr:uid="{00000000-0005-0000-0000-00001A800000}"/>
    <cellStyle name="60% - Accent4 182 2" xfId="32804" xr:uid="{00000000-0005-0000-0000-00001B800000}"/>
    <cellStyle name="60% - Accent4 183" xfId="32805" xr:uid="{00000000-0005-0000-0000-00001C800000}"/>
    <cellStyle name="60% - Accent4 183 2" xfId="32806" xr:uid="{00000000-0005-0000-0000-00001D800000}"/>
    <cellStyle name="60% - Accent4 184" xfId="32807" xr:uid="{00000000-0005-0000-0000-00001E800000}"/>
    <cellStyle name="60% - Accent4 184 2" xfId="32808" xr:uid="{00000000-0005-0000-0000-00001F800000}"/>
    <cellStyle name="60% - Accent4 185" xfId="32809" xr:uid="{00000000-0005-0000-0000-000020800000}"/>
    <cellStyle name="60% - Accent4 185 2" xfId="32810" xr:uid="{00000000-0005-0000-0000-000021800000}"/>
    <cellStyle name="60% - Accent4 186" xfId="32811" xr:uid="{00000000-0005-0000-0000-000022800000}"/>
    <cellStyle name="60% - Accent4 186 2" xfId="32812" xr:uid="{00000000-0005-0000-0000-000023800000}"/>
    <cellStyle name="60% - Accent4 187" xfId="32813" xr:uid="{00000000-0005-0000-0000-000024800000}"/>
    <cellStyle name="60% - Accent4 187 2" xfId="32814" xr:uid="{00000000-0005-0000-0000-000025800000}"/>
    <cellStyle name="60% - Accent4 188" xfId="32815" xr:uid="{00000000-0005-0000-0000-000026800000}"/>
    <cellStyle name="60% - Accent4 188 2" xfId="32816" xr:uid="{00000000-0005-0000-0000-000027800000}"/>
    <cellStyle name="60% - Accent4 189" xfId="32817" xr:uid="{00000000-0005-0000-0000-000028800000}"/>
    <cellStyle name="60% - Accent4 189 2" xfId="32818" xr:uid="{00000000-0005-0000-0000-000029800000}"/>
    <cellStyle name="60% - Accent4 19" xfId="32819" xr:uid="{00000000-0005-0000-0000-00002A800000}"/>
    <cellStyle name="60% - Accent4 19 2" xfId="32820" xr:uid="{00000000-0005-0000-0000-00002B800000}"/>
    <cellStyle name="60% - Accent4 190" xfId="32821" xr:uid="{00000000-0005-0000-0000-00002C800000}"/>
    <cellStyle name="60% - Accent4 190 2" xfId="32822" xr:uid="{00000000-0005-0000-0000-00002D800000}"/>
    <cellStyle name="60% - Accent4 191" xfId="32823" xr:uid="{00000000-0005-0000-0000-00002E800000}"/>
    <cellStyle name="60% - Accent4 191 2" xfId="32824" xr:uid="{00000000-0005-0000-0000-00002F800000}"/>
    <cellStyle name="60% - Accent4 192" xfId="32825" xr:uid="{00000000-0005-0000-0000-000030800000}"/>
    <cellStyle name="60% - Accent4 192 2" xfId="32826" xr:uid="{00000000-0005-0000-0000-000031800000}"/>
    <cellStyle name="60% - Accent4 193" xfId="32827" xr:uid="{00000000-0005-0000-0000-000032800000}"/>
    <cellStyle name="60% - Accent4 193 2" xfId="32828" xr:uid="{00000000-0005-0000-0000-000033800000}"/>
    <cellStyle name="60% - Accent4 194" xfId="32829" xr:uid="{00000000-0005-0000-0000-000034800000}"/>
    <cellStyle name="60% - Accent4 194 2" xfId="32830" xr:uid="{00000000-0005-0000-0000-000035800000}"/>
    <cellStyle name="60% - Accent4 195" xfId="32831" xr:uid="{00000000-0005-0000-0000-000036800000}"/>
    <cellStyle name="60% - Accent4 195 2" xfId="32832" xr:uid="{00000000-0005-0000-0000-000037800000}"/>
    <cellStyle name="60% - Accent4 196" xfId="32833" xr:uid="{00000000-0005-0000-0000-000038800000}"/>
    <cellStyle name="60% - Accent4 196 2" xfId="32834" xr:uid="{00000000-0005-0000-0000-000039800000}"/>
    <cellStyle name="60% - Accent4 197" xfId="32835" xr:uid="{00000000-0005-0000-0000-00003A800000}"/>
    <cellStyle name="60% - Accent4 197 2" xfId="32836" xr:uid="{00000000-0005-0000-0000-00003B800000}"/>
    <cellStyle name="60% - Accent4 198" xfId="32837" xr:uid="{00000000-0005-0000-0000-00003C800000}"/>
    <cellStyle name="60% - Accent4 198 2" xfId="32838" xr:uid="{00000000-0005-0000-0000-00003D800000}"/>
    <cellStyle name="60% - Accent4 2" xfId="32839" xr:uid="{00000000-0005-0000-0000-00003E800000}"/>
    <cellStyle name="60% - Accent4 2 2" xfId="32840" xr:uid="{00000000-0005-0000-0000-00003F800000}"/>
    <cellStyle name="60% - Accent4 2 2 2" xfId="32841" xr:uid="{00000000-0005-0000-0000-000040800000}"/>
    <cellStyle name="60% - Accent4 2 2 2 2" xfId="32842" xr:uid="{00000000-0005-0000-0000-000041800000}"/>
    <cellStyle name="60% - Accent4 2 2 2 2 2" xfId="32843" xr:uid="{00000000-0005-0000-0000-000042800000}"/>
    <cellStyle name="60% - Accent4 2 2 2 2 2 2" xfId="32844" xr:uid="{00000000-0005-0000-0000-000043800000}"/>
    <cellStyle name="60% - Accent4 2 2 2 2 3" xfId="32845" xr:uid="{00000000-0005-0000-0000-000044800000}"/>
    <cellStyle name="60% - Accent4 2 2 2 3" xfId="32846" xr:uid="{00000000-0005-0000-0000-000045800000}"/>
    <cellStyle name="60% - Accent4 2 2 3" xfId="32847" xr:uid="{00000000-0005-0000-0000-000046800000}"/>
    <cellStyle name="60% - Accent4 2 2 3 2" xfId="32848" xr:uid="{00000000-0005-0000-0000-000047800000}"/>
    <cellStyle name="60% - Accent4 2 2 4" xfId="32849" xr:uid="{00000000-0005-0000-0000-000048800000}"/>
    <cellStyle name="60% - Accent4 2 2 4 2" xfId="32850" xr:uid="{00000000-0005-0000-0000-000049800000}"/>
    <cellStyle name="60% - Accent4 2 2 5" xfId="32851" xr:uid="{00000000-0005-0000-0000-00004A800000}"/>
    <cellStyle name="60% - Accent4 2 3" xfId="32852" xr:uid="{00000000-0005-0000-0000-00004B800000}"/>
    <cellStyle name="60% - Accent4 2 3 2" xfId="32853" xr:uid="{00000000-0005-0000-0000-00004C800000}"/>
    <cellStyle name="60% - Accent4 2 4" xfId="32854" xr:uid="{00000000-0005-0000-0000-00004D800000}"/>
    <cellStyle name="60% - Accent4 2 4 2" xfId="32855" xr:uid="{00000000-0005-0000-0000-00004E800000}"/>
    <cellStyle name="60% - Accent4 2 5" xfId="32856" xr:uid="{00000000-0005-0000-0000-00004F800000}"/>
    <cellStyle name="60% - Accent4 2 5 2" xfId="32857" xr:uid="{00000000-0005-0000-0000-000050800000}"/>
    <cellStyle name="60% - Accent4 2 6" xfId="32858" xr:uid="{00000000-0005-0000-0000-000051800000}"/>
    <cellStyle name="60% - Accent4 20" xfId="32859" xr:uid="{00000000-0005-0000-0000-000052800000}"/>
    <cellStyle name="60% - Accent4 20 2" xfId="32860" xr:uid="{00000000-0005-0000-0000-000053800000}"/>
    <cellStyle name="60% - Accent4 21" xfId="32861" xr:uid="{00000000-0005-0000-0000-000054800000}"/>
    <cellStyle name="60% - Accent4 21 2" xfId="32862" xr:uid="{00000000-0005-0000-0000-000055800000}"/>
    <cellStyle name="60% - Accent4 22" xfId="32863" xr:uid="{00000000-0005-0000-0000-000056800000}"/>
    <cellStyle name="60% - Accent4 22 2" xfId="32864" xr:uid="{00000000-0005-0000-0000-000057800000}"/>
    <cellStyle name="60% - Accent4 23" xfId="32865" xr:uid="{00000000-0005-0000-0000-000058800000}"/>
    <cellStyle name="60% - Accent4 23 2" xfId="32866" xr:uid="{00000000-0005-0000-0000-000059800000}"/>
    <cellStyle name="60% - Accent4 24" xfId="32867" xr:uid="{00000000-0005-0000-0000-00005A800000}"/>
    <cellStyle name="60% - Accent4 24 2" xfId="32868" xr:uid="{00000000-0005-0000-0000-00005B800000}"/>
    <cellStyle name="60% - Accent4 25" xfId="32869" xr:uid="{00000000-0005-0000-0000-00005C800000}"/>
    <cellStyle name="60% - Accent4 25 2" xfId="32870" xr:uid="{00000000-0005-0000-0000-00005D800000}"/>
    <cellStyle name="60% - Accent4 26" xfId="32871" xr:uid="{00000000-0005-0000-0000-00005E800000}"/>
    <cellStyle name="60% - Accent4 26 2" xfId="32872" xr:uid="{00000000-0005-0000-0000-00005F800000}"/>
    <cellStyle name="60% - Accent4 27" xfId="32873" xr:uid="{00000000-0005-0000-0000-000060800000}"/>
    <cellStyle name="60% - Accent4 27 2" xfId="32874" xr:uid="{00000000-0005-0000-0000-000061800000}"/>
    <cellStyle name="60% - Accent4 28" xfId="32875" xr:uid="{00000000-0005-0000-0000-000062800000}"/>
    <cellStyle name="60% - Accent4 28 2" xfId="32876" xr:uid="{00000000-0005-0000-0000-000063800000}"/>
    <cellStyle name="60% - Accent4 29" xfId="32877" xr:uid="{00000000-0005-0000-0000-000064800000}"/>
    <cellStyle name="60% - Accent4 29 2" xfId="32878" xr:uid="{00000000-0005-0000-0000-000065800000}"/>
    <cellStyle name="60% - Accent4 3" xfId="32879" xr:uid="{00000000-0005-0000-0000-000066800000}"/>
    <cellStyle name="60% - Accent4 3 2" xfId="32880" xr:uid="{00000000-0005-0000-0000-000067800000}"/>
    <cellStyle name="60% - Accent4 3 2 2" xfId="32881" xr:uid="{00000000-0005-0000-0000-000068800000}"/>
    <cellStyle name="60% - Accent4 3 3" xfId="32882" xr:uid="{00000000-0005-0000-0000-000069800000}"/>
    <cellStyle name="60% - Accent4 3 3 2" xfId="32883" xr:uid="{00000000-0005-0000-0000-00006A800000}"/>
    <cellStyle name="60% - Accent4 3 4" xfId="32884" xr:uid="{00000000-0005-0000-0000-00006B800000}"/>
    <cellStyle name="60% - Accent4 30" xfId="32885" xr:uid="{00000000-0005-0000-0000-00006C800000}"/>
    <cellStyle name="60% - Accent4 30 2" xfId="32886" xr:uid="{00000000-0005-0000-0000-00006D800000}"/>
    <cellStyle name="60% - Accent4 31" xfId="32887" xr:uid="{00000000-0005-0000-0000-00006E800000}"/>
    <cellStyle name="60% - Accent4 31 2" xfId="32888" xr:uid="{00000000-0005-0000-0000-00006F800000}"/>
    <cellStyle name="60% - Accent4 32" xfId="32889" xr:uid="{00000000-0005-0000-0000-000070800000}"/>
    <cellStyle name="60% - Accent4 32 2" xfId="32890" xr:uid="{00000000-0005-0000-0000-000071800000}"/>
    <cellStyle name="60% - Accent4 33" xfId="32891" xr:uid="{00000000-0005-0000-0000-000072800000}"/>
    <cellStyle name="60% - Accent4 33 2" xfId="32892" xr:uid="{00000000-0005-0000-0000-000073800000}"/>
    <cellStyle name="60% - Accent4 34" xfId="32893" xr:uid="{00000000-0005-0000-0000-000074800000}"/>
    <cellStyle name="60% - Accent4 34 2" xfId="32894" xr:uid="{00000000-0005-0000-0000-000075800000}"/>
    <cellStyle name="60% - Accent4 35" xfId="32895" xr:uid="{00000000-0005-0000-0000-000076800000}"/>
    <cellStyle name="60% - Accent4 35 2" xfId="32896" xr:uid="{00000000-0005-0000-0000-000077800000}"/>
    <cellStyle name="60% - Accent4 36" xfId="32897" xr:uid="{00000000-0005-0000-0000-000078800000}"/>
    <cellStyle name="60% - Accent4 36 2" xfId="32898" xr:uid="{00000000-0005-0000-0000-000079800000}"/>
    <cellStyle name="60% - Accent4 37" xfId="32899" xr:uid="{00000000-0005-0000-0000-00007A800000}"/>
    <cellStyle name="60% - Accent4 37 2" xfId="32900" xr:uid="{00000000-0005-0000-0000-00007B800000}"/>
    <cellStyle name="60% - Accent4 38" xfId="32901" xr:uid="{00000000-0005-0000-0000-00007C800000}"/>
    <cellStyle name="60% - Accent4 38 2" xfId="32902" xr:uid="{00000000-0005-0000-0000-00007D800000}"/>
    <cellStyle name="60% - Accent4 39" xfId="32903" xr:uid="{00000000-0005-0000-0000-00007E800000}"/>
    <cellStyle name="60% - Accent4 39 2" xfId="32904" xr:uid="{00000000-0005-0000-0000-00007F800000}"/>
    <cellStyle name="60% - Accent4 4" xfId="32905" xr:uid="{00000000-0005-0000-0000-000080800000}"/>
    <cellStyle name="60% - Accent4 4 2" xfId="32906" xr:uid="{00000000-0005-0000-0000-000081800000}"/>
    <cellStyle name="60% - Accent4 4 2 2" xfId="32907" xr:uid="{00000000-0005-0000-0000-000082800000}"/>
    <cellStyle name="60% - Accent4 4 3" xfId="32908" xr:uid="{00000000-0005-0000-0000-000083800000}"/>
    <cellStyle name="60% - Accent4 4 3 2" xfId="32909" xr:uid="{00000000-0005-0000-0000-000084800000}"/>
    <cellStyle name="60% - Accent4 4 4" xfId="32910" xr:uid="{00000000-0005-0000-0000-000085800000}"/>
    <cellStyle name="60% - Accent4 40" xfId="32911" xr:uid="{00000000-0005-0000-0000-000086800000}"/>
    <cellStyle name="60% - Accent4 40 2" xfId="32912" xr:uid="{00000000-0005-0000-0000-000087800000}"/>
    <cellStyle name="60% - Accent4 41" xfId="32913" xr:uid="{00000000-0005-0000-0000-000088800000}"/>
    <cellStyle name="60% - Accent4 41 2" xfId="32914" xr:uid="{00000000-0005-0000-0000-000089800000}"/>
    <cellStyle name="60% - Accent4 42" xfId="32915" xr:uid="{00000000-0005-0000-0000-00008A800000}"/>
    <cellStyle name="60% - Accent4 42 2" xfId="32916" xr:uid="{00000000-0005-0000-0000-00008B800000}"/>
    <cellStyle name="60% - Accent4 43" xfId="32917" xr:uid="{00000000-0005-0000-0000-00008C800000}"/>
    <cellStyle name="60% - Accent4 43 2" xfId="32918" xr:uid="{00000000-0005-0000-0000-00008D800000}"/>
    <cellStyle name="60% - Accent4 44" xfId="32919" xr:uid="{00000000-0005-0000-0000-00008E800000}"/>
    <cellStyle name="60% - Accent4 44 2" xfId="32920" xr:uid="{00000000-0005-0000-0000-00008F800000}"/>
    <cellStyle name="60% - Accent4 45" xfId="32921" xr:uid="{00000000-0005-0000-0000-000090800000}"/>
    <cellStyle name="60% - Accent4 45 2" xfId="32922" xr:uid="{00000000-0005-0000-0000-000091800000}"/>
    <cellStyle name="60% - Accent4 46" xfId="32923" xr:uid="{00000000-0005-0000-0000-000092800000}"/>
    <cellStyle name="60% - Accent4 46 2" xfId="32924" xr:uid="{00000000-0005-0000-0000-000093800000}"/>
    <cellStyle name="60% - Accent4 47" xfId="32925" xr:uid="{00000000-0005-0000-0000-000094800000}"/>
    <cellStyle name="60% - Accent4 47 2" xfId="32926" xr:uid="{00000000-0005-0000-0000-000095800000}"/>
    <cellStyle name="60% - Accent4 48" xfId="32927" xr:uid="{00000000-0005-0000-0000-000096800000}"/>
    <cellStyle name="60% - Accent4 48 2" xfId="32928" xr:uid="{00000000-0005-0000-0000-000097800000}"/>
    <cellStyle name="60% - Accent4 49" xfId="32929" xr:uid="{00000000-0005-0000-0000-000098800000}"/>
    <cellStyle name="60% - Accent4 49 2" xfId="32930" xr:uid="{00000000-0005-0000-0000-000099800000}"/>
    <cellStyle name="60% - Accent4 5" xfId="32931" xr:uid="{00000000-0005-0000-0000-00009A800000}"/>
    <cellStyle name="60% - Accent4 5 2" xfId="32932" xr:uid="{00000000-0005-0000-0000-00009B800000}"/>
    <cellStyle name="60% - Accent4 5 2 2" xfId="32933" xr:uid="{00000000-0005-0000-0000-00009C800000}"/>
    <cellStyle name="60% - Accent4 5 3" xfId="32934" xr:uid="{00000000-0005-0000-0000-00009D800000}"/>
    <cellStyle name="60% - Accent4 5 3 2" xfId="32935" xr:uid="{00000000-0005-0000-0000-00009E800000}"/>
    <cellStyle name="60% - Accent4 5 4" xfId="32936" xr:uid="{00000000-0005-0000-0000-00009F800000}"/>
    <cellStyle name="60% - Accent4 50" xfId="32937" xr:uid="{00000000-0005-0000-0000-0000A0800000}"/>
    <cellStyle name="60% - Accent4 50 2" xfId="32938" xr:uid="{00000000-0005-0000-0000-0000A1800000}"/>
    <cellStyle name="60% - Accent4 51" xfId="32939" xr:uid="{00000000-0005-0000-0000-0000A2800000}"/>
    <cellStyle name="60% - Accent4 51 2" xfId="32940" xr:uid="{00000000-0005-0000-0000-0000A3800000}"/>
    <cellStyle name="60% - Accent4 52" xfId="32941" xr:uid="{00000000-0005-0000-0000-0000A4800000}"/>
    <cellStyle name="60% - Accent4 52 2" xfId="32942" xr:uid="{00000000-0005-0000-0000-0000A5800000}"/>
    <cellStyle name="60% - Accent4 53" xfId="32943" xr:uid="{00000000-0005-0000-0000-0000A6800000}"/>
    <cellStyle name="60% - Accent4 53 2" xfId="32944" xr:uid="{00000000-0005-0000-0000-0000A7800000}"/>
    <cellStyle name="60% - Accent4 54" xfId="32945" xr:uid="{00000000-0005-0000-0000-0000A8800000}"/>
    <cellStyle name="60% - Accent4 54 2" xfId="32946" xr:uid="{00000000-0005-0000-0000-0000A9800000}"/>
    <cellStyle name="60% - Accent4 55" xfId="32947" xr:uid="{00000000-0005-0000-0000-0000AA800000}"/>
    <cellStyle name="60% - Accent4 55 2" xfId="32948" xr:uid="{00000000-0005-0000-0000-0000AB800000}"/>
    <cellStyle name="60% - Accent4 56" xfId="32949" xr:uid="{00000000-0005-0000-0000-0000AC800000}"/>
    <cellStyle name="60% - Accent4 56 2" xfId="32950" xr:uid="{00000000-0005-0000-0000-0000AD800000}"/>
    <cellStyle name="60% - Accent4 57" xfId="32951" xr:uid="{00000000-0005-0000-0000-0000AE800000}"/>
    <cellStyle name="60% - Accent4 57 2" xfId="32952" xr:uid="{00000000-0005-0000-0000-0000AF800000}"/>
    <cellStyle name="60% - Accent4 58" xfId="32953" xr:uid="{00000000-0005-0000-0000-0000B0800000}"/>
    <cellStyle name="60% - Accent4 58 2" xfId="32954" xr:uid="{00000000-0005-0000-0000-0000B1800000}"/>
    <cellStyle name="60% - Accent4 59" xfId="32955" xr:uid="{00000000-0005-0000-0000-0000B2800000}"/>
    <cellStyle name="60% - Accent4 59 2" xfId="32956" xr:uid="{00000000-0005-0000-0000-0000B3800000}"/>
    <cellStyle name="60% - Accent4 59 2 2" xfId="32957" xr:uid="{00000000-0005-0000-0000-0000B4800000}"/>
    <cellStyle name="60% - Accent4 59 3" xfId="32958" xr:uid="{00000000-0005-0000-0000-0000B5800000}"/>
    <cellStyle name="60% - Accent4 6" xfId="32959" xr:uid="{00000000-0005-0000-0000-0000B6800000}"/>
    <cellStyle name="60% - Accent4 6 2" xfId="32960" xr:uid="{00000000-0005-0000-0000-0000B7800000}"/>
    <cellStyle name="60% - Accent4 6 2 2" xfId="32961" xr:uid="{00000000-0005-0000-0000-0000B8800000}"/>
    <cellStyle name="60% - Accent4 6 3" xfId="32962" xr:uid="{00000000-0005-0000-0000-0000B9800000}"/>
    <cellStyle name="60% - Accent4 6 3 2" xfId="32963" xr:uid="{00000000-0005-0000-0000-0000BA800000}"/>
    <cellStyle name="60% - Accent4 6 4" xfId="32964" xr:uid="{00000000-0005-0000-0000-0000BB800000}"/>
    <cellStyle name="60% - Accent4 60" xfId="32965" xr:uid="{00000000-0005-0000-0000-0000BC800000}"/>
    <cellStyle name="60% - Accent4 60 2" xfId="32966" xr:uid="{00000000-0005-0000-0000-0000BD800000}"/>
    <cellStyle name="60% - Accent4 61" xfId="32967" xr:uid="{00000000-0005-0000-0000-0000BE800000}"/>
    <cellStyle name="60% - Accent4 61 2" xfId="32968" xr:uid="{00000000-0005-0000-0000-0000BF800000}"/>
    <cellStyle name="60% - Accent4 62" xfId="32969" xr:uid="{00000000-0005-0000-0000-0000C0800000}"/>
    <cellStyle name="60% - Accent4 62 2" xfId="32970" xr:uid="{00000000-0005-0000-0000-0000C1800000}"/>
    <cellStyle name="60% - Accent4 63" xfId="32971" xr:uid="{00000000-0005-0000-0000-0000C2800000}"/>
    <cellStyle name="60% - Accent4 63 2" xfId="32972" xr:uid="{00000000-0005-0000-0000-0000C3800000}"/>
    <cellStyle name="60% - Accent4 64" xfId="32973" xr:uid="{00000000-0005-0000-0000-0000C4800000}"/>
    <cellStyle name="60% - Accent4 64 2" xfId="32974" xr:uid="{00000000-0005-0000-0000-0000C5800000}"/>
    <cellStyle name="60% - Accent4 65" xfId="32975" xr:uid="{00000000-0005-0000-0000-0000C6800000}"/>
    <cellStyle name="60% - Accent4 65 2" xfId="32976" xr:uid="{00000000-0005-0000-0000-0000C7800000}"/>
    <cellStyle name="60% - Accent4 66" xfId="32977" xr:uid="{00000000-0005-0000-0000-0000C8800000}"/>
    <cellStyle name="60% - Accent4 66 2" xfId="32978" xr:uid="{00000000-0005-0000-0000-0000C9800000}"/>
    <cellStyle name="60% - Accent4 67" xfId="32979" xr:uid="{00000000-0005-0000-0000-0000CA800000}"/>
    <cellStyle name="60% - Accent4 67 2" xfId="32980" xr:uid="{00000000-0005-0000-0000-0000CB800000}"/>
    <cellStyle name="60% - Accent4 68" xfId="32981" xr:uid="{00000000-0005-0000-0000-0000CC800000}"/>
    <cellStyle name="60% - Accent4 68 2" xfId="32982" xr:uid="{00000000-0005-0000-0000-0000CD800000}"/>
    <cellStyle name="60% - Accent4 69" xfId="32983" xr:uid="{00000000-0005-0000-0000-0000CE800000}"/>
    <cellStyle name="60% - Accent4 69 2" xfId="32984" xr:uid="{00000000-0005-0000-0000-0000CF800000}"/>
    <cellStyle name="60% - Accent4 7" xfId="32985" xr:uid="{00000000-0005-0000-0000-0000D0800000}"/>
    <cellStyle name="60% - Accent4 7 2" xfId="32986" xr:uid="{00000000-0005-0000-0000-0000D1800000}"/>
    <cellStyle name="60% - Accent4 7 2 2" xfId="32987" xr:uid="{00000000-0005-0000-0000-0000D2800000}"/>
    <cellStyle name="60% - Accent4 7 3" xfId="32988" xr:uid="{00000000-0005-0000-0000-0000D3800000}"/>
    <cellStyle name="60% - Accent4 7 3 2" xfId="32989" xr:uid="{00000000-0005-0000-0000-0000D4800000}"/>
    <cellStyle name="60% - Accent4 7 4" xfId="32990" xr:uid="{00000000-0005-0000-0000-0000D5800000}"/>
    <cellStyle name="60% - Accent4 70" xfId="32991" xr:uid="{00000000-0005-0000-0000-0000D6800000}"/>
    <cellStyle name="60% - Accent4 70 2" xfId="32992" xr:uid="{00000000-0005-0000-0000-0000D7800000}"/>
    <cellStyle name="60% - Accent4 71" xfId="32993" xr:uid="{00000000-0005-0000-0000-0000D8800000}"/>
    <cellStyle name="60% - Accent4 71 2" xfId="32994" xr:uid="{00000000-0005-0000-0000-0000D9800000}"/>
    <cellStyle name="60% - Accent4 72" xfId="32995" xr:uid="{00000000-0005-0000-0000-0000DA800000}"/>
    <cellStyle name="60% - Accent4 72 2" xfId="32996" xr:uid="{00000000-0005-0000-0000-0000DB800000}"/>
    <cellStyle name="60% - Accent4 73" xfId="32997" xr:uid="{00000000-0005-0000-0000-0000DC800000}"/>
    <cellStyle name="60% - Accent4 73 2" xfId="32998" xr:uid="{00000000-0005-0000-0000-0000DD800000}"/>
    <cellStyle name="60% - Accent4 74" xfId="32999" xr:uid="{00000000-0005-0000-0000-0000DE800000}"/>
    <cellStyle name="60% - Accent4 74 2" xfId="33000" xr:uid="{00000000-0005-0000-0000-0000DF800000}"/>
    <cellStyle name="60% - Accent4 75" xfId="33001" xr:uid="{00000000-0005-0000-0000-0000E0800000}"/>
    <cellStyle name="60% - Accent4 75 2" xfId="33002" xr:uid="{00000000-0005-0000-0000-0000E1800000}"/>
    <cellStyle name="60% - Accent4 76" xfId="33003" xr:uid="{00000000-0005-0000-0000-0000E2800000}"/>
    <cellStyle name="60% - Accent4 76 2" xfId="33004" xr:uid="{00000000-0005-0000-0000-0000E3800000}"/>
    <cellStyle name="60% - Accent4 77" xfId="33005" xr:uid="{00000000-0005-0000-0000-0000E4800000}"/>
    <cellStyle name="60% - Accent4 77 2" xfId="33006" xr:uid="{00000000-0005-0000-0000-0000E5800000}"/>
    <cellStyle name="60% - Accent4 78" xfId="33007" xr:uid="{00000000-0005-0000-0000-0000E6800000}"/>
    <cellStyle name="60% - Accent4 78 2" xfId="33008" xr:uid="{00000000-0005-0000-0000-0000E7800000}"/>
    <cellStyle name="60% - Accent4 79" xfId="33009" xr:uid="{00000000-0005-0000-0000-0000E8800000}"/>
    <cellStyle name="60% - Accent4 79 2" xfId="33010" xr:uid="{00000000-0005-0000-0000-0000E9800000}"/>
    <cellStyle name="60% - Accent4 8" xfId="33011" xr:uid="{00000000-0005-0000-0000-0000EA800000}"/>
    <cellStyle name="60% - Accent4 8 2" xfId="33012" xr:uid="{00000000-0005-0000-0000-0000EB800000}"/>
    <cellStyle name="60% - Accent4 8 2 2" xfId="33013" xr:uid="{00000000-0005-0000-0000-0000EC800000}"/>
    <cellStyle name="60% - Accent4 8 3" xfId="33014" xr:uid="{00000000-0005-0000-0000-0000ED800000}"/>
    <cellStyle name="60% - Accent4 8 3 2" xfId="33015" xr:uid="{00000000-0005-0000-0000-0000EE800000}"/>
    <cellStyle name="60% - Accent4 8 4" xfId="33016" xr:uid="{00000000-0005-0000-0000-0000EF800000}"/>
    <cellStyle name="60% - Accent4 80" xfId="33017" xr:uid="{00000000-0005-0000-0000-0000F0800000}"/>
    <cellStyle name="60% - Accent4 80 2" xfId="33018" xr:uid="{00000000-0005-0000-0000-0000F1800000}"/>
    <cellStyle name="60% - Accent4 81" xfId="33019" xr:uid="{00000000-0005-0000-0000-0000F2800000}"/>
    <cellStyle name="60% - Accent4 81 2" xfId="33020" xr:uid="{00000000-0005-0000-0000-0000F3800000}"/>
    <cellStyle name="60% - Accent4 82" xfId="33021" xr:uid="{00000000-0005-0000-0000-0000F4800000}"/>
    <cellStyle name="60% - Accent4 82 2" xfId="33022" xr:uid="{00000000-0005-0000-0000-0000F5800000}"/>
    <cellStyle name="60% - Accent4 83" xfId="33023" xr:uid="{00000000-0005-0000-0000-0000F6800000}"/>
    <cellStyle name="60% - Accent4 83 2" xfId="33024" xr:uid="{00000000-0005-0000-0000-0000F7800000}"/>
    <cellStyle name="60% - Accent4 84" xfId="33025" xr:uid="{00000000-0005-0000-0000-0000F8800000}"/>
    <cellStyle name="60% - Accent4 84 2" xfId="33026" xr:uid="{00000000-0005-0000-0000-0000F9800000}"/>
    <cellStyle name="60% - Accent4 85" xfId="33027" xr:uid="{00000000-0005-0000-0000-0000FA800000}"/>
    <cellStyle name="60% - Accent4 85 2" xfId="33028" xr:uid="{00000000-0005-0000-0000-0000FB800000}"/>
    <cellStyle name="60% - Accent4 86" xfId="33029" xr:uid="{00000000-0005-0000-0000-0000FC800000}"/>
    <cellStyle name="60% - Accent4 86 2" xfId="33030" xr:uid="{00000000-0005-0000-0000-0000FD800000}"/>
    <cellStyle name="60% - Accent4 87" xfId="33031" xr:uid="{00000000-0005-0000-0000-0000FE800000}"/>
    <cellStyle name="60% - Accent4 87 2" xfId="33032" xr:uid="{00000000-0005-0000-0000-0000FF800000}"/>
    <cellStyle name="60% - Accent4 88" xfId="33033" xr:uid="{00000000-0005-0000-0000-000000810000}"/>
    <cellStyle name="60% - Accent4 88 2" xfId="33034" xr:uid="{00000000-0005-0000-0000-000001810000}"/>
    <cellStyle name="60% - Accent4 89" xfId="33035" xr:uid="{00000000-0005-0000-0000-000002810000}"/>
    <cellStyle name="60% - Accent4 89 2" xfId="33036" xr:uid="{00000000-0005-0000-0000-000003810000}"/>
    <cellStyle name="60% - Accent4 9" xfId="33037" xr:uid="{00000000-0005-0000-0000-000004810000}"/>
    <cellStyle name="60% - Accent4 9 2" xfId="33038" xr:uid="{00000000-0005-0000-0000-000005810000}"/>
    <cellStyle name="60% - Accent4 9 2 2" xfId="33039" xr:uid="{00000000-0005-0000-0000-000006810000}"/>
    <cellStyle name="60% - Accent4 9 3" xfId="33040" xr:uid="{00000000-0005-0000-0000-000007810000}"/>
    <cellStyle name="60% - Accent4 9 3 2" xfId="33041" xr:uid="{00000000-0005-0000-0000-000008810000}"/>
    <cellStyle name="60% - Accent4 9 4" xfId="33042" xr:uid="{00000000-0005-0000-0000-000009810000}"/>
    <cellStyle name="60% - Accent4 90" xfId="33043" xr:uid="{00000000-0005-0000-0000-00000A810000}"/>
    <cellStyle name="60% - Accent4 90 2" xfId="33044" xr:uid="{00000000-0005-0000-0000-00000B810000}"/>
    <cellStyle name="60% - Accent4 91" xfId="33045" xr:uid="{00000000-0005-0000-0000-00000C810000}"/>
    <cellStyle name="60% - Accent4 91 2" xfId="33046" xr:uid="{00000000-0005-0000-0000-00000D810000}"/>
    <cellStyle name="60% - Accent4 92" xfId="33047" xr:uid="{00000000-0005-0000-0000-00000E810000}"/>
    <cellStyle name="60% - Accent4 92 2" xfId="33048" xr:uid="{00000000-0005-0000-0000-00000F810000}"/>
    <cellStyle name="60% - Accent4 93" xfId="33049" xr:uid="{00000000-0005-0000-0000-000010810000}"/>
    <cellStyle name="60% - Accent4 93 2" xfId="33050" xr:uid="{00000000-0005-0000-0000-000011810000}"/>
    <cellStyle name="60% - Accent4 94" xfId="33051" xr:uid="{00000000-0005-0000-0000-000012810000}"/>
    <cellStyle name="60% - Accent4 94 2" xfId="33052" xr:uid="{00000000-0005-0000-0000-000013810000}"/>
    <cellStyle name="60% - Accent4 95" xfId="33053" xr:uid="{00000000-0005-0000-0000-000014810000}"/>
    <cellStyle name="60% - Accent4 95 2" xfId="33054" xr:uid="{00000000-0005-0000-0000-000015810000}"/>
    <cellStyle name="60% - Accent4 96" xfId="33055" xr:uid="{00000000-0005-0000-0000-000016810000}"/>
    <cellStyle name="60% - Accent4 96 2" xfId="33056" xr:uid="{00000000-0005-0000-0000-000017810000}"/>
    <cellStyle name="60% - Accent4 97" xfId="33057" xr:uid="{00000000-0005-0000-0000-000018810000}"/>
    <cellStyle name="60% - Accent4 97 2" xfId="33058" xr:uid="{00000000-0005-0000-0000-000019810000}"/>
    <cellStyle name="60% - Accent4 98" xfId="33059" xr:uid="{00000000-0005-0000-0000-00001A810000}"/>
    <cellStyle name="60% - Accent4 98 2" xfId="33060" xr:uid="{00000000-0005-0000-0000-00001B810000}"/>
    <cellStyle name="60% - Accent4 99" xfId="33061" xr:uid="{00000000-0005-0000-0000-00001C810000}"/>
    <cellStyle name="60% - Accent4 99 2" xfId="33062" xr:uid="{00000000-0005-0000-0000-00001D810000}"/>
    <cellStyle name="60% - Accent5 10" xfId="33063" xr:uid="{00000000-0005-0000-0000-00001E810000}"/>
    <cellStyle name="60% - Accent5 10 2" xfId="33064" xr:uid="{00000000-0005-0000-0000-00001F810000}"/>
    <cellStyle name="60% - Accent5 100" xfId="33065" xr:uid="{00000000-0005-0000-0000-000020810000}"/>
    <cellStyle name="60% - Accent5 100 2" xfId="33066" xr:uid="{00000000-0005-0000-0000-000021810000}"/>
    <cellStyle name="60% - Accent5 101" xfId="33067" xr:uid="{00000000-0005-0000-0000-000022810000}"/>
    <cellStyle name="60% - Accent5 101 2" xfId="33068" xr:uid="{00000000-0005-0000-0000-000023810000}"/>
    <cellStyle name="60% - Accent5 102" xfId="33069" xr:uid="{00000000-0005-0000-0000-000024810000}"/>
    <cellStyle name="60% - Accent5 102 2" xfId="33070" xr:uid="{00000000-0005-0000-0000-000025810000}"/>
    <cellStyle name="60% - Accent5 103" xfId="33071" xr:uid="{00000000-0005-0000-0000-000026810000}"/>
    <cellStyle name="60% - Accent5 103 2" xfId="33072" xr:uid="{00000000-0005-0000-0000-000027810000}"/>
    <cellStyle name="60% - Accent5 104" xfId="33073" xr:uid="{00000000-0005-0000-0000-000028810000}"/>
    <cellStyle name="60% - Accent5 104 2" xfId="33074" xr:uid="{00000000-0005-0000-0000-000029810000}"/>
    <cellStyle name="60% - Accent5 105" xfId="33075" xr:uid="{00000000-0005-0000-0000-00002A810000}"/>
    <cellStyle name="60% - Accent5 105 2" xfId="33076" xr:uid="{00000000-0005-0000-0000-00002B810000}"/>
    <cellStyle name="60% - Accent5 106" xfId="33077" xr:uid="{00000000-0005-0000-0000-00002C810000}"/>
    <cellStyle name="60% - Accent5 106 2" xfId="33078" xr:uid="{00000000-0005-0000-0000-00002D810000}"/>
    <cellStyle name="60% - Accent5 107" xfId="33079" xr:uid="{00000000-0005-0000-0000-00002E810000}"/>
    <cellStyle name="60% - Accent5 107 2" xfId="33080" xr:uid="{00000000-0005-0000-0000-00002F810000}"/>
    <cellStyle name="60% - Accent5 108" xfId="33081" xr:uid="{00000000-0005-0000-0000-000030810000}"/>
    <cellStyle name="60% - Accent5 108 2" xfId="33082" xr:uid="{00000000-0005-0000-0000-000031810000}"/>
    <cellStyle name="60% - Accent5 109" xfId="33083" xr:uid="{00000000-0005-0000-0000-000032810000}"/>
    <cellStyle name="60% - Accent5 109 2" xfId="33084" xr:uid="{00000000-0005-0000-0000-000033810000}"/>
    <cellStyle name="60% - Accent5 11" xfId="33085" xr:uid="{00000000-0005-0000-0000-000034810000}"/>
    <cellStyle name="60% - Accent5 11 2" xfId="33086" xr:uid="{00000000-0005-0000-0000-000035810000}"/>
    <cellStyle name="60% - Accent5 110" xfId="33087" xr:uid="{00000000-0005-0000-0000-000036810000}"/>
    <cellStyle name="60% - Accent5 110 2" xfId="33088" xr:uid="{00000000-0005-0000-0000-000037810000}"/>
    <cellStyle name="60% - Accent5 111" xfId="33089" xr:uid="{00000000-0005-0000-0000-000038810000}"/>
    <cellStyle name="60% - Accent5 111 2" xfId="33090" xr:uid="{00000000-0005-0000-0000-000039810000}"/>
    <cellStyle name="60% - Accent5 112" xfId="33091" xr:uid="{00000000-0005-0000-0000-00003A810000}"/>
    <cellStyle name="60% - Accent5 112 2" xfId="33092" xr:uid="{00000000-0005-0000-0000-00003B810000}"/>
    <cellStyle name="60% - Accent5 113" xfId="33093" xr:uid="{00000000-0005-0000-0000-00003C810000}"/>
    <cellStyle name="60% - Accent5 113 2" xfId="33094" xr:uid="{00000000-0005-0000-0000-00003D810000}"/>
    <cellStyle name="60% - Accent5 114" xfId="33095" xr:uid="{00000000-0005-0000-0000-00003E810000}"/>
    <cellStyle name="60% - Accent5 114 2" xfId="33096" xr:uid="{00000000-0005-0000-0000-00003F810000}"/>
    <cellStyle name="60% - Accent5 115" xfId="33097" xr:uid="{00000000-0005-0000-0000-000040810000}"/>
    <cellStyle name="60% - Accent5 115 2" xfId="33098" xr:uid="{00000000-0005-0000-0000-000041810000}"/>
    <cellStyle name="60% - Accent5 116" xfId="33099" xr:uid="{00000000-0005-0000-0000-000042810000}"/>
    <cellStyle name="60% - Accent5 116 2" xfId="33100" xr:uid="{00000000-0005-0000-0000-000043810000}"/>
    <cellStyle name="60% - Accent5 117" xfId="33101" xr:uid="{00000000-0005-0000-0000-000044810000}"/>
    <cellStyle name="60% - Accent5 117 2" xfId="33102" xr:uid="{00000000-0005-0000-0000-000045810000}"/>
    <cellStyle name="60% - Accent5 118" xfId="33103" xr:uid="{00000000-0005-0000-0000-000046810000}"/>
    <cellStyle name="60% - Accent5 118 2" xfId="33104" xr:uid="{00000000-0005-0000-0000-000047810000}"/>
    <cellStyle name="60% - Accent5 119" xfId="33105" xr:uid="{00000000-0005-0000-0000-000048810000}"/>
    <cellStyle name="60% - Accent5 119 2" xfId="33106" xr:uid="{00000000-0005-0000-0000-000049810000}"/>
    <cellStyle name="60% - Accent5 12" xfId="33107" xr:uid="{00000000-0005-0000-0000-00004A810000}"/>
    <cellStyle name="60% - Accent5 12 2" xfId="33108" xr:uid="{00000000-0005-0000-0000-00004B810000}"/>
    <cellStyle name="60% - Accent5 120" xfId="33109" xr:uid="{00000000-0005-0000-0000-00004C810000}"/>
    <cellStyle name="60% - Accent5 120 2" xfId="33110" xr:uid="{00000000-0005-0000-0000-00004D810000}"/>
    <cellStyle name="60% - Accent5 121" xfId="33111" xr:uid="{00000000-0005-0000-0000-00004E810000}"/>
    <cellStyle name="60% - Accent5 121 2" xfId="33112" xr:uid="{00000000-0005-0000-0000-00004F810000}"/>
    <cellStyle name="60% - Accent5 122" xfId="33113" xr:uid="{00000000-0005-0000-0000-000050810000}"/>
    <cellStyle name="60% - Accent5 122 2" xfId="33114" xr:uid="{00000000-0005-0000-0000-000051810000}"/>
    <cellStyle name="60% - Accent5 123" xfId="33115" xr:uid="{00000000-0005-0000-0000-000052810000}"/>
    <cellStyle name="60% - Accent5 123 2" xfId="33116" xr:uid="{00000000-0005-0000-0000-000053810000}"/>
    <cellStyle name="60% - Accent5 124" xfId="33117" xr:uid="{00000000-0005-0000-0000-000054810000}"/>
    <cellStyle name="60% - Accent5 124 2" xfId="33118" xr:uid="{00000000-0005-0000-0000-000055810000}"/>
    <cellStyle name="60% - Accent5 125" xfId="33119" xr:uid="{00000000-0005-0000-0000-000056810000}"/>
    <cellStyle name="60% - Accent5 125 2" xfId="33120" xr:uid="{00000000-0005-0000-0000-000057810000}"/>
    <cellStyle name="60% - Accent5 126" xfId="33121" xr:uid="{00000000-0005-0000-0000-000058810000}"/>
    <cellStyle name="60% - Accent5 126 2" xfId="33122" xr:uid="{00000000-0005-0000-0000-000059810000}"/>
    <cellStyle name="60% - Accent5 127" xfId="33123" xr:uid="{00000000-0005-0000-0000-00005A810000}"/>
    <cellStyle name="60% - Accent5 127 2" xfId="33124" xr:uid="{00000000-0005-0000-0000-00005B810000}"/>
    <cellStyle name="60% - Accent5 128" xfId="33125" xr:uid="{00000000-0005-0000-0000-00005C810000}"/>
    <cellStyle name="60% - Accent5 128 2" xfId="33126" xr:uid="{00000000-0005-0000-0000-00005D810000}"/>
    <cellStyle name="60% - Accent5 129" xfId="33127" xr:uid="{00000000-0005-0000-0000-00005E810000}"/>
    <cellStyle name="60% - Accent5 129 2" xfId="33128" xr:uid="{00000000-0005-0000-0000-00005F810000}"/>
    <cellStyle name="60% - Accent5 13" xfId="33129" xr:uid="{00000000-0005-0000-0000-000060810000}"/>
    <cellStyle name="60% - Accent5 13 2" xfId="33130" xr:uid="{00000000-0005-0000-0000-000061810000}"/>
    <cellStyle name="60% - Accent5 130" xfId="33131" xr:uid="{00000000-0005-0000-0000-000062810000}"/>
    <cellStyle name="60% - Accent5 130 2" xfId="33132" xr:uid="{00000000-0005-0000-0000-000063810000}"/>
    <cellStyle name="60% - Accent5 131" xfId="33133" xr:uid="{00000000-0005-0000-0000-000064810000}"/>
    <cellStyle name="60% - Accent5 131 2" xfId="33134" xr:uid="{00000000-0005-0000-0000-000065810000}"/>
    <cellStyle name="60% - Accent5 132" xfId="33135" xr:uid="{00000000-0005-0000-0000-000066810000}"/>
    <cellStyle name="60% - Accent5 132 2" xfId="33136" xr:uid="{00000000-0005-0000-0000-000067810000}"/>
    <cellStyle name="60% - Accent5 133" xfId="33137" xr:uid="{00000000-0005-0000-0000-000068810000}"/>
    <cellStyle name="60% - Accent5 133 2" xfId="33138" xr:uid="{00000000-0005-0000-0000-000069810000}"/>
    <cellStyle name="60% - Accent5 134" xfId="33139" xr:uid="{00000000-0005-0000-0000-00006A810000}"/>
    <cellStyle name="60% - Accent5 134 2" xfId="33140" xr:uid="{00000000-0005-0000-0000-00006B810000}"/>
    <cellStyle name="60% - Accent5 135" xfId="33141" xr:uid="{00000000-0005-0000-0000-00006C810000}"/>
    <cellStyle name="60% - Accent5 135 2" xfId="33142" xr:uid="{00000000-0005-0000-0000-00006D810000}"/>
    <cellStyle name="60% - Accent5 136" xfId="33143" xr:uid="{00000000-0005-0000-0000-00006E810000}"/>
    <cellStyle name="60% - Accent5 136 2" xfId="33144" xr:uid="{00000000-0005-0000-0000-00006F810000}"/>
    <cellStyle name="60% - Accent5 137" xfId="33145" xr:uid="{00000000-0005-0000-0000-000070810000}"/>
    <cellStyle name="60% - Accent5 137 2" xfId="33146" xr:uid="{00000000-0005-0000-0000-000071810000}"/>
    <cellStyle name="60% - Accent5 138" xfId="33147" xr:uid="{00000000-0005-0000-0000-000072810000}"/>
    <cellStyle name="60% - Accent5 138 2" xfId="33148" xr:uid="{00000000-0005-0000-0000-000073810000}"/>
    <cellStyle name="60% - Accent5 139" xfId="33149" xr:uid="{00000000-0005-0000-0000-000074810000}"/>
    <cellStyle name="60% - Accent5 139 2" xfId="33150" xr:uid="{00000000-0005-0000-0000-000075810000}"/>
    <cellStyle name="60% - Accent5 14" xfId="33151" xr:uid="{00000000-0005-0000-0000-000076810000}"/>
    <cellStyle name="60% - Accent5 14 2" xfId="33152" xr:uid="{00000000-0005-0000-0000-000077810000}"/>
    <cellStyle name="60% - Accent5 140" xfId="33153" xr:uid="{00000000-0005-0000-0000-000078810000}"/>
    <cellStyle name="60% - Accent5 140 2" xfId="33154" xr:uid="{00000000-0005-0000-0000-000079810000}"/>
    <cellStyle name="60% - Accent5 141" xfId="33155" xr:uid="{00000000-0005-0000-0000-00007A810000}"/>
    <cellStyle name="60% - Accent5 141 2" xfId="33156" xr:uid="{00000000-0005-0000-0000-00007B810000}"/>
    <cellStyle name="60% - Accent5 142" xfId="33157" xr:uid="{00000000-0005-0000-0000-00007C810000}"/>
    <cellStyle name="60% - Accent5 142 2" xfId="33158" xr:uid="{00000000-0005-0000-0000-00007D810000}"/>
    <cellStyle name="60% - Accent5 143" xfId="33159" xr:uid="{00000000-0005-0000-0000-00007E810000}"/>
    <cellStyle name="60% - Accent5 143 2" xfId="33160" xr:uid="{00000000-0005-0000-0000-00007F810000}"/>
    <cellStyle name="60% - Accent5 144" xfId="33161" xr:uid="{00000000-0005-0000-0000-000080810000}"/>
    <cellStyle name="60% - Accent5 144 2" xfId="33162" xr:uid="{00000000-0005-0000-0000-000081810000}"/>
    <cellStyle name="60% - Accent5 145" xfId="33163" xr:uid="{00000000-0005-0000-0000-000082810000}"/>
    <cellStyle name="60% - Accent5 145 2" xfId="33164" xr:uid="{00000000-0005-0000-0000-000083810000}"/>
    <cellStyle name="60% - Accent5 146" xfId="33165" xr:uid="{00000000-0005-0000-0000-000084810000}"/>
    <cellStyle name="60% - Accent5 146 2" xfId="33166" xr:uid="{00000000-0005-0000-0000-000085810000}"/>
    <cellStyle name="60% - Accent5 147" xfId="33167" xr:uid="{00000000-0005-0000-0000-000086810000}"/>
    <cellStyle name="60% - Accent5 147 2" xfId="33168" xr:uid="{00000000-0005-0000-0000-000087810000}"/>
    <cellStyle name="60% - Accent5 148" xfId="33169" xr:uid="{00000000-0005-0000-0000-000088810000}"/>
    <cellStyle name="60% - Accent5 148 2" xfId="33170" xr:uid="{00000000-0005-0000-0000-000089810000}"/>
    <cellStyle name="60% - Accent5 149" xfId="33171" xr:uid="{00000000-0005-0000-0000-00008A810000}"/>
    <cellStyle name="60% - Accent5 149 2" xfId="33172" xr:uid="{00000000-0005-0000-0000-00008B810000}"/>
    <cellStyle name="60% - Accent5 15" xfId="33173" xr:uid="{00000000-0005-0000-0000-00008C810000}"/>
    <cellStyle name="60% - Accent5 15 2" xfId="33174" xr:uid="{00000000-0005-0000-0000-00008D810000}"/>
    <cellStyle name="60% - Accent5 150" xfId="33175" xr:uid="{00000000-0005-0000-0000-00008E810000}"/>
    <cellStyle name="60% - Accent5 150 2" xfId="33176" xr:uid="{00000000-0005-0000-0000-00008F810000}"/>
    <cellStyle name="60% - Accent5 151" xfId="33177" xr:uid="{00000000-0005-0000-0000-000090810000}"/>
    <cellStyle name="60% - Accent5 151 2" xfId="33178" xr:uid="{00000000-0005-0000-0000-000091810000}"/>
    <cellStyle name="60% - Accent5 152" xfId="33179" xr:uid="{00000000-0005-0000-0000-000092810000}"/>
    <cellStyle name="60% - Accent5 152 2" xfId="33180" xr:uid="{00000000-0005-0000-0000-000093810000}"/>
    <cellStyle name="60% - Accent5 153" xfId="33181" xr:uid="{00000000-0005-0000-0000-000094810000}"/>
    <cellStyle name="60% - Accent5 153 2" xfId="33182" xr:uid="{00000000-0005-0000-0000-000095810000}"/>
    <cellStyle name="60% - Accent5 154" xfId="33183" xr:uid="{00000000-0005-0000-0000-000096810000}"/>
    <cellStyle name="60% - Accent5 154 2" xfId="33184" xr:uid="{00000000-0005-0000-0000-000097810000}"/>
    <cellStyle name="60% - Accent5 155" xfId="33185" xr:uid="{00000000-0005-0000-0000-000098810000}"/>
    <cellStyle name="60% - Accent5 155 2" xfId="33186" xr:uid="{00000000-0005-0000-0000-000099810000}"/>
    <cellStyle name="60% - Accent5 156" xfId="33187" xr:uid="{00000000-0005-0000-0000-00009A810000}"/>
    <cellStyle name="60% - Accent5 156 2" xfId="33188" xr:uid="{00000000-0005-0000-0000-00009B810000}"/>
    <cellStyle name="60% - Accent5 157" xfId="33189" xr:uid="{00000000-0005-0000-0000-00009C810000}"/>
    <cellStyle name="60% - Accent5 157 2" xfId="33190" xr:uid="{00000000-0005-0000-0000-00009D810000}"/>
    <cellStyle name="60% - Accent5 158" xfId="33191" xr:uid="{00000000-0005-0000-0000-00009E810000}"/>
    <cellStyle name="60% - Accent5 158 2" xfId="33192" xr:uid="{00000000-0005-0000-0000-00009F810000}"/>
    <cellStyle name="60% - Accent5 159" xfId="33193" xr:uid="{00000000-0005-0000-0000-0000A0810000}"/>
    <cellStyle name="60% - Accent5 159 2" xfId="33194" xr:uid="{00000000-0005-0000-0000-0000A1810000}"/>
    <cellStyle name="60% - Accent5 16" xfId="33195" xr:uid="{00000000-0005-0000-0000-0000A2810000}"/>
    <cellStyle name="60% - Accent5 16 2" xfId="33196" xr:uid="{00000000-0005-0000-0000-0000A3810000}"/>
    <cellStyle name="60% - Accent5 160" xfId="33197" xr:uid="{00000000-0005-0000-0000-0000A4810000}"/>
    <cellStyle name="60% - Accent5 160 2" xfId="33198" xr:uid="{00000000-0005-0000-0000-0000A5810000}"/>
    <cellStyle name="60% - Accent5 161" xfId="33199" xr:uid="{00000000-0005-0000-0000-0000A6810000}"/>
    <cellStyle name="60% - Accent5 161 2" xfId="33200" xr:uid="{00000000-0005-0000-0000-0000A7810000}"/>
    <cellStyle name="60% - Accent5 162" xfId="33201" xr:uid="{00000000-0005-0000-0000-0000A8810000}"/>
    <cellStyle name="60% - Accent5 162 2" xfId="33202" xr:uid="{00000000-0005-0000-0000-0000A9810000}"/>
    <cellStyle name="60% - Accent5 163" xfId="33203" xr:uid="{00000000-0005-0000-0000-0000AA810000}"/>
    <cellStyle name="60% - Accent5 163 2" xfId="33204" xr:uid="{00000000-0005-0000-0000-0000AB810000}"/>
    <cellStyle name="60% - Accent5 164" xfId="33205" xr:uid="{00000000-0005-0000-0000-0000AC810000}"/>
    <cellStyle name="60% - Accent5 164 2" xfId="33206" xr:uid="{00000000-0005-0000-0000-0000AD810000}"/>
    <cellStyle name="60% - Accent5 165" xfId="33207" xr:uid="{00000000-0005-0000-0000-0000AE810000}"/>
    <cellStyle name="60% - Accent5 165 2" xfId="33208" xr:uid="{00000000-0005-0000-0000-0000AF810000}"/>
    <cellStyle name="60% - Accent5 166" xfId="33209" xr:uid="{00000000-0005-0000-0000-0000B0810000}"/>
    <cellStyle name="60% - Accent5 166 2" xfId="33210" xr:uid="{00000000-0005-0000-0000-0000B1810000}"/>
    <cellStyle name="60% - Accent5 167" xfId="33211" xr:uid="{00000000-0005-0000-0000-0000B2810000}"/>
    <cellStyle name="60% - Accent5 167 2" xfId="33212" xr:uid="{00000000-0005-0000-0000-0000B3810000}"/>
    <cellStyle name="60% - Accent5 168" xfId="33213" xr:uid="{00000000-0005-0000-0000-0000B4810000}"/>
    <cellStyle name="60% - Accent5 168 2" xfId="33214" xr:uid="{00000000-0005-0000-0000-0000B5810000}"/>
    <cellStyle name="60% - Accent5 169" xfId="33215" xr:uid="{00000000-0005-0000-0000-0000B6810000}"/>
    <cellStyle name="60% - Accent5 169 2" xfId="33216" xr:uid="{00000000-0005-0000-0000-0000B7810000}"/>
    <cellStyle name="60% - Accent5 17" xfId="33217" xr:uid="{00000000-0005-0000-0000-0000B8810000}"/>
    <cellStyle name="60% - Accent5 17 2" xfId="33218" xr:uid="{00000000-0005-0000-0000-0000B9810000}"/>
    <cellStyle name="60% - Accent5 170" xfId="33219" xr:uid="{00000000-0005-0000-0000-0000BA810000}"/>
    <cellStyle name="60% - Accent5 170 2" xfId="33220" xr:uid="{00000000-0005-0000-0000-0000BB810000}"/>
    <cellStyle name="60% - Accent5 171" xfId="33221" xr:uid="{00000000-0005-0000-0000-0000BC810000}"/>
    <cellStyle name="60% - Accent5 171 2" xfId="33222" xr:uid="{00000000-0005-0000-0000-0000BD810000}"/>
    <cellStyle name="60% - Accent5 172" xfId="33223" xr:uid="{00000000-0005-0000-0000-0000BE810000}"/>
    <cellStyle name="60% - Accent5 172 2" xfId="33224" xr:uid="{00000000-0005-0000-0000-0000BF810000}"/>
    <cellStyle name="60% - Accent5 173" xfId="33225" xr:uid="{00000000-0005-0000-0000-0000C0810000}"/>
    <cellStyle name="60% - Accent5 173 2" xfId="33226" xr:uid="{00000000-0005-0000-0000-0000C1810000}"/>
    <cellStyle name="60% - Accent5 174" xfId="33227" xr:uid="{00000000-0005-0000-0000-0000C2810000}"/>
    <cellStyle name="60% - Accent5 174 2" xfId="33228" xr:uid="{00000000-0005-0000-0000-0000C3810000}"/>
    <cellStyle name="60% - Accent5 175" xfId="33229" xr:uid="{00000000-0005-0000-0000-0000C4810000}"/>
    <cellStyle name="60% - Accent5 175 2" xfId="33230" xr:uid="{00000000-0005-0000-0000-0000C5810000}"/>
    <cellStyle name="60% - Accent5 176" xfId="33231" xr:uid="{00000000-0005-0000-0000-0000C6810000}"/>
    <cellStyle name="60% - Accent5 176 2" xfId="33232" xr:uid="{00000000-0005-0000-0000-0000C7810000}"/>
    <cellStyle name="60% - Accent5 177" xfId="33233" xr:uid="{00000000-0005-0000-0000-0000C8810000}"/>
    <cellStyle name="60% - Accent5 177 2" xfId="33234" xr:uid="{00000000-0005-0000-0000-0000C9810000}"/>
    <cellStyle name="60% - Accent5 178" xfId="33235" xr:uid="{00000000-0005-0000-0000-0000CA810000}"/>
    <cellStyle name="60% - Accent5 178 2" xfId="33236" xr:uid="{00000000-0005-0000-0000-0000CB810000}"/>
    <cellStyle name="60% - Accent5 179" xfId="33237" xr:uid="{00000000-0005-0000-0000-0000CC810000}"/>
    <cellStyle name="60% - Accent5 179 2" xfId="33238" xr:uid="{00000000-0005-0000-0000-0000CD810000}"/>
    <cellStyle name="60% - Accent5 18" xfId="33239" xr:uid="{00000000-0005-0000-0000-0000CE810000}"/>
    <cellStyle name="60% - Accent5 18 2" xfId="33240" xr:uid="{00000000-0005-0000-0000-0000CF810000}"/>
    <cellStyle name="60% - Accent5 180" xfId="33241" xr:uid="{00000000-0005-0000-0000-0000D0810000}"/>
    <cellStyle name="60% - Accent5 180 2" xfId="33242" xr:uid="{00000000-0005-0000-0000-0000D1810000}"/>
    <cellStyle name="60% - Accent5 181" xfId="33243" xr:uid="{00000000-0005-0000-0000-0000D2810000}"/>
    <cellStyle name="60% - Accent5 181 2" xfId="33244" xr:uid="{00000000-0005-0000-0000-0000D3810000}"/>
    <cellStyle name="60% - Accent5 182" xfId="33245" xr:uid="{00000000-0005-0000-0000-0000D4810000}"/>
    <cellStyle name="60% - Accent5 182 2" xfId="33246" xr:uid="{00000000-0005-0000-0000-0000D5810000}"/>
    <cellStyle name="60% - Accent5 183" xfId="33247" xr:uid="{00000000-0005-0000-0000-0000D6810000}"/>
    <cellStyle name="60% - Accent5 183 2" xfId="33248" xr:uid="{00000000-0005-0000-0000-0000D7810000}"/>
    <cellStyle name="60% - Accent5 184" xfId="33249" xr:uid="{00000000-0005-0000-0000-0000D8810000}"/>
    <cellStyle name="60% - Accent5 184 2" xfId="33250" xr:uid="{00000000-0005-0000-0000-0000D9810000}"/>
    <cellStyle name="60% - Accent5 185" xfId="33251" xr:uid="{00000000-0005-0000-0000-0000DA810000}"/>
    <cellStyle name="60% - Accent5 185 2" xfId="33252" xr:uid="{00000000-0005-0000-0000-0000DB810000}"/>
    <cellStyle name="60% - Accent5 186" xfId="33253" xr:uid="{00000000-0005-0000-0000-0000DC810000}"/>
    <cellStyle name="60% - Accent5 186 2" xfId="33254" xr:uid="{00000000-0005-0000-0000-0000DD810000}"/>
    <cellStyle name="60% - Accent5 187" xfId="33255" xr:uid="{00000000-0005-0000-0000-0000DE810000}"/>
    <cellStyle name="60% - Accent5 187 2" xfId="33256" xr:uid="{00000000-0005-0000-0000-0000DF810000}"/>
    <cellStyle name="60% - Accent5 188" xfId="33257" xr:uid="{00000000-0005-0000-0000-0000E0810000}"/>
    <cellStyle name="60% - Accent5 188 2" xfId="33258" xr:uid="{00000000-0005-0000-0000-0000E1810000}"/>
    <cellStyle name="60% - Accent5 189" xfId="33259" xr:uid="{00000000-0005-0000-0000-0000E2810000}"/>
    <cellStyle name="60% - Accent5 189 2" xfId="33260" xr:uid="{00000000-0005-0000-0000-0000E3810000}"/>
    <cellStyle name="60% - Accent5 19" xfId="33261" xr:uid="{00000000-0005-0000-0000-0000E4810000}"/>
    <cellStyle name="60% - Accent5 19 2" xfId="33262" xr:uid="{00000000-0005-0000-0000-0000E5810000}"/>
    <cellStyle name="60% - Accent5 190" xfId="33263" xr:uid="{00000000-0005-0000-0000-0000E6810000}"/>
    <cellStyle name="60% - Accent5 190 2" xfId="33264" xr:uid="{00000000-0005-0000-0000-0000E7810000}"/>
    <cellStyle name="60% - Accent5 191" xfId="33265" xr:uid="{00000000-0005-0000-0000-0000E8810000}"/>
    <cellStyle name="60% - Accent5 191 2" xfId="33266" xr:uid="{00000000-0005-0000-0000-0000E9810000}"/>
    <cellStyle name="60% - Accent5 192" xfId="33267" xr:uid="{00000000-0005-0000-0000-0000EA810000}"/>
    <cellStyle name="60% - Accent5 192 2" xfId="33268" xr:uid="{00000000-0005-0000-0000-0000EB810000}"/>
    <cellStyle name="60% - Accent5 193" xfId="33269" xr:uid="{00000000-0005-0000-0000-0000EC810000}"/>
    <cellStyle name="60% - Accent5 193 2" xfId="33270" xr:uid="{00000000-0005-0000-0000-0000ED810000}"/>
    <cellStyle name="60% - Accent5 194" xfId="33271" xr:uid="{00000000-0005-0000-0000-0000EE810000}"/>
    <cellStyle name="60% - Accent5 194 2" xfId="33272" xr:uid="{00000000-0005-0000-0000-0000EF810000}"/>
    <cellStyle name="60% - Accent5 195" xfId="33273" xr:uid="{00000000-0005-0000-0000-0000F0810000}"/>
    <cellStyle name="60% - Accent5 195 2" xfId="33274" xr:uid="{00000000-0005-0000-0000-0000F1810000}"/>
    <cellStyle name="60% - Accent5 196" xfId="33275" xr:uid="{00000000-0005-0000-0000-0000F2810000}"/>
    <cellStyle name="60% - Accent5 196 2" xfId="33276" xr:uid="{00000000-0005-0000-0000-0000F3810000}"/>
    <cellStyle name="60% - Accent5 197" xfId="33277" xr:uid="{00000000-0005-0000-0000-0000F4810000}"/>
    <cellStyle name="60% - Accent5 197 2" xfId="33278" xr:uid="{00000000-0005-0000-0000-0000F5810000}"/>
    <cellStyle name="60% - Accent5 198" xfId="33279" xr:uid="{00000000-0005-0000-0000-0000F6810000}"/>
    <cellStyle name="60% - Accent5 198 2" xfId="33280" xr:uid="{00000000-0005-0000-0000-0000F7810000}"/>
    <cellStyle name="60% - Accent5 2" xfId="33281" xr:uid="{00000000-0005-0000-0000-0000F8810000}"/>
    <cellStyle name="60% - Accent5 2 2" xfId="33282" xr:uid="{00000000-0005-0000-0000-0000F9810000}"/>
    <cellStyle name="60% - Accent5 2 2 2" xfId="33283" xr:uid="{00000000-0005-0000-0000-0000FA810000}"/>
    <cellStyle name="60% - Accent5 2 2 2 2" xfId="33284" xr:uid="{00000000-0005-0000-0000-0000FB810000}"/>
    <cellStyle name="60% - Accent5 2 2 2 2 2" xfId="33285" xr:uid="{00000000-0005-0000-0000-0000FC810000}"/>
    <cellStyle name="60% - Accent5 2 2 2 2 2 2" xfId="33286" xr:uid="{00000000-0005-0000-0000-0000FD810000}"/>
    <cellStyle name="60% - Accent5 2 2 2 2 3" xfId="33287" xr:uid="{00000000-0005-0000-0000-0000FE810000}"/>
    <cellStyle name="60% - Accent5 2 2 2 3" xfId="33288" xr:uid="{00000000-0005-0000-0000-0000FF810000}"/>
    <cellStyle name="60% - Accent5 2 2 3" xfId="33289" xr:uid="{00000000-0005-0000-0000-000000820000}"/>
    <cellStyle name="60% - Accent5 2 2 3 2" xfId="33290" xr:uid="{00000000-0005-0000-0000-000001820000}"/>
    <cellStyle name="60% - Accent5 2 2 4" xfId="33291" xr:uid="{00000000-0005-0000-0000-000002820000}"/>
    <cellStyle name="60% - Accent5 2 2 4 2" xfId="33292" xr:uid="{00000000-0005-0000-0000-000003820000}"/>
    <cellStyle name="60% - Accent5 2 2 5" xfId="33293" xr:uid="{00000000-0005-0000-0000-000004820000}"/>
    <cellStyle name="60% - Accent5 2 3" xfId="33294" xr:uid="{00000000-0005-0000-0000-000005820000}"/>
    <cellStyle name="60% - Accent5 2 3 2" xfId="33295" xr:uid="{00000000-0005-0000-0000-000006820000}"/>
    <cellStyle name="60% - Accent5 2 4" xfId="33296" xr:uid="{00000000-0005-0000-0000-000007820000}"/>
    <cellStyle name="60% - Accent5 2 4 2" xfId="33297" xr:uid="{00000000-0005-0000-0000-000008820000}"/>
    <cellStyle name="60% - Accent5 2 5" xfId="33298" xr:uid="{00000000-0005-0000-0000-000009820000}"/>
    <cellStyle name="60% - Accent5 2 5 2" xfId="33299" xr:uid="{00000000-0005-0000-0000-00000A820000}"/>
    <cellStyle name="60% - Accent5 2 6" xfId="33300" xr:uid="{00000000-0005-0000-0000-00000B820000}"/>
    <cellStyle name="60% - Accent5 20" xfId="33301" xr:uid="{00000000-0005-0000-0000-00000C820000}"/>
    <cellStyle name="60% - Accent5 20 2" xfId="33302" xr:uid="{00000000-0005-0000-0000-00000D820000}"/>
    <cellStyle name="60% - Accent5 21" xfId="33303" xr:uid="{00000000-0005-0000-0000-00000E820000}"/>
    <cellStyle name="60% - Accent5 21 2" xfId="33304" xr:uid="{00000000-0005-0000-0000-00000F820000}"/>
    <cellStyle name="60% - Accent5 22" xfId="33305" xr:uid="{00000000-0005-0000-0000-000010820000}"/>
    <cellStyle name="60% - Accent5 22 2" xfId="33306" xr:uid="{00000000-0005-0000-0000-000011820000}"/>
    <cellStyle name="60% - Accent5 23" xfId="33307" xr:uid="{00000000-0005-0000-0000-000012820000}"/>
    <cellStyle name="60% - Accent5 23 2" xfId="33308" xr:uid="{00000000-0005-0000-0000-000013820000}"/>
    <cellStyle name="60% - Accent5 24" xfId="33309" xr:uid="{00000000-0005-0000-0000-000014820000}"/>
    <cellStyle name="60% - Accent5 24 2" xfId="33310" xr:uid="{00000000-0005-0000-0000-000015820000}"/>
    <cellStyle name="60% - Accent5 25" xfId="33311" xr:uid="{00000000-0005-0000-0000-000016820000}"/>
    <cellStyle name="60% - Accent5 25 2" xfId="33312" xr:uid="{00000000-0005-0000-0000-000017820000}"/>
    <cellStyle name="60% - Accent5 26" xfId="33313" xr:uid="{00000000-0005-0000-0000-000018820000}"/>
    <cellStyle name="60% - Accent5 26 2" xfId="33314" xr:uid="{00000000-0005-0000-0000-000019820000}"/>
    <cellStyle name="60% - Accent5 27" xfId="33315" xr:uid="{00000000-0005-0000-0000-00001A820000}"/>
    <cellStyle name="60% - Accent5 27 2" xfId="33316" xr:uid="{00000000-0005-0000-0000-00001B820000}"/>
    <cellStyle name="60% - Accent5 28" xfId="33317" xr:uid="{00000000-0005-0000-0000-00001C820000}"/>
    <cellStyle name="60% - Accent5 28 2" xfId="33318" xr:uid="{00000000-0005-0000-0000-00001D820000}"/>
    <cellStyle name="60% - Accent5 29" xfId="33319" xr:uid="{00000000-0005-0000-0000-00001E820000}"/>
    <cellStyle name="60% - Accent5 29 2" xfId="33320" xr:uid="{00000000-0005-0000-0000-00001F820000}"/>
    <cellStyle name="60% - Accent5 3" xfId="33321" xr:uid="{00000000-0005-0000-0000-000020820000}"/>
    <cellStyle name="60% - Accent5 3 2" xfId="33322" xr:uid="{00000000-0005-0000-0000-000021820000}"/>
    <cellStyle name="60% - Accent5 3 2 2" xfId="33323" xr:uid="{00000000-0005-0000-0000-000022820000}"/>
    <cellStyle name="60% - Accent5 3 3" xfId="33324" xr:uid="{00000000-0005-0000-0000-000023820000}"/>
    <cellStyle name="60% - Accent5 3 3 2" xfId="33325" xr:uid="{00000000-0005-0000-0000-000024820000}"/>
    <cellStyle name="60% - Accent5 3 4" xfId="33326" xr:uid="{00000000-0005-0000-0000-000025820000}"/>
    <cellStyle name="60% - Accent5 30" xfId="33327" xr:uid="{00000000-0005-0000-0000-000026820000}"/>
    <cellStyle name="60% - Accent5 30 2" xfId="33328" xr:uid="{00000000-0005-0000-0000-000027820000}"/>
    <cellStyle name="60% - Accent5 31" xfId="33329" xr:uid="{00000000-0005-0000-0000-000028820000}"/>
    <cellStyle name="60% - Accent5 31 2" xfId="33330" xr:uid="{00000000-0005-0000-0000-000029820000}"/>
    <cellStyle name="60% - Accent5 32" xfId="33331" xr:uid="{00000000-0005-0000-0000-00002A820000}"/>
    <cellStyle name="60% - Accent5 32 2" xfId="33332" xr:uid="{00000000-0005-0000-0000-00002B820000}"/>
    <cellStyle name="60% - Accent5 33" xfId="33333" xr:uid="{00000000-0005-0000-0000-00002C820000}"/>
    <cellStyle name="60% - Accent5 33 2" xfId="33334" xr:uid="{00000000-0005-0000-0000-00002D820000}"/>
    <cellStyle name="60% - Accent5 34" xfId="33335" xr:uid="{00000000-0005-0000-0000-00002E820000}"/>
    <cellStyle name="60% - Accent5 34 2" xfId="33336" xr:uid="{00000000-0005-0000-0000-00002F820000}"/>
    <cellStyle name="60% - Accent5 35" xfId="33337" xr:uid="{00000000-0005-0000-0000-000030820000}"/>
    <cellStyle name="60% - Accent5 35 2" xfId="33338" xr:uid="{00000000-0005-0000-0000-000031820000}"/>
    <cellStyle name="60% - Accent5 36" xfId="33339" xr:uid="{00000000-0005-0000-0000-000032820000}"/>
    <cellStyle name="60% - Accent5 36 2" xfId="33340" xr:uid="{00000000-0005-0000-0000-000033820000}"/>
    <cellStyle name="60% - Accent5 37" xfId="33341" xr:uid="{00000000-0005-0000-0000-000034820000}"/>
    <cellStyle name="60% - Accent5 37 2" xfId="33342" xr:uid="{00000000-0005-0000-0000-000035820000}"/>
    <cellStyle name="60% - Accent5 38" xfId="33343" xr:uid="{00000000-0005-0000-0000-000036820000}"/>
    <cellStyle name="60% - Accent5 38 2" xfId="33344" xr:uid="{00000000-0005-0000-0000-000037820000}"/>
    <cellStyle name="60% - Accent5 39" xfId="33345" xr:uid="{00000000-0005-0000-0000-000038820000}"/>
    <cellStyle name="60% - Accent5 39 2" xfId="33346" xr:uid="{00000000-0005-0000-0000-000039820000}"/>
    <cellStyle name="60% - Accent5 4" xfId="33347" xr:uid="{00000000-0005-0000-0000-00003A820000}"/>
    <cellStyle name="60% - Accent5 4 2" xfId="33348" xr:uid="{00000000-0005-0000-0000-00003B820000}"/>
    <cellStyle name="60% - Accent5 4 2 2" xfId="33349" xr:uid="{00000000-0005-0000-0000-00003C820000}"/>
    <cellStyle name="60% - Accent5 4 3" xfId="33350" xr:uid="{00000000-0005-0000-0000-00003D820000}"/>
    <cellStyle name="60% - Accent5 4 3 2" xfId="33351" xr:uid="{00000000-0005-0000-0000-00003E820000}"/>
    <cellStyle name="60% - Accent5 4 4" xfId="33352" xr:uid="{00000000-0005-0000-0000-00003F820000}"/>
    <cellStyle name="60% - Accent5 40" xfId="33353" xr:uid="{00000000-0005-0000-0000-000040820000}"/>
    <cellStyle name="60% - Accent5 40 2" xfId="33354" xr:uid="{00000000-0005-0000-0000-000041820000}"/>
    <cellStyle name="60% - Accent5 41" xfId="33355" xr:uid="{00000000-0005-0000-0000-000042820000}"/>
    <cellStyle name="60% - Accent5 41 2" xfId="33356" xr:uid="{00000000-0005-0000-0000-000043820000}"/>
    <cellStyle name="60% - Accent5 42" xfId="33357" xr:uid="{00000000-0005-0000-0000-000044820000}"/>
    <cellStyle name="60% - Accent5 42 2" xfId="33358" xr:uid="{00000000-0005-0000-0000-000045820000}"/>
    <cellStyle name="60% - Accent5 43" xfId="33359" xr:uid="{00000000-0005-0000-0000-000046820000}"/>
    <cellStyle name="60% - Accent5 43 2" xfId="33360" xr:uid="{00000000-0005-0000-0000-000047820000}"/>
    <cellStyle name="60% - Accent5 44" xfId="33361" xr:uid="{00000000-0005-0000-0000-000048820000}"/>
    <cellStyle name="60% - Accent5 44 2" xfId="33362" xr:uid="{00000000-0005-0000-0000-000049820000}"/>
    <cellStyle name="60% - Accent5 45" xfId="33363" xr:uid="{00000000-0005-0000-0000-00004A820000}"/>
    <cellStyle name="60% - Accent5 45 2" xfId="33364" xr:uid="{00000000-0005-0000-0000-00004B820000}"/>
    <cellStyle name="60% - Accent5 46" xfId="33365" xr:uid="{00000000-0005-0000-0000-00004C820000}"/>
    <cellStyle name="60% - Accent5 46 2" xfId="33366" xr:uid="{00000000-0005-0000-0000-00004D820000}"/>
    <cellStyle name="60% - Accent5 47" xfId="33367" xr:uid="{00000000-0005-0000-0000-00004E820000}"/>
    <cellStyle name="60% - Accent5 47 2" xfId="33368" xr:uid="{00000000-0005-0000-0000-00004F820000}"/>
    <cellStyle name="60% - Accent5 48" xfId="33369" xr:uid="{00000000-0005-0000-0000-000050820000}"/>
    <cellStyle name="60% - Accent5 48 2" xfId="33370" xr:uid="{00000000-0005-0000-0000-000051820000}"/>
    <cellStyle name="60% - Accent5 49" xfId="33371" xr:uid="{00000000-0005-0000-0000-000052820000}"/>
    <cellStyle name="60% - Accent5 49 2" xfId="33372" xr:uid="{00000000-0005-0000-0000-000053820000}"/>
    <cellStyle name="60% - Accent5 5" xfId="33373" xr:uid="{00000000-0005-0000-0000-000054820000}"/>
    <cellStyle name="60% - Accent5 5 2" xfId="33374" xr:uid="{00000000-0005-0000-0000-000055820000}"/>
    <cellStyle name="60% - Accent5 5 2 2" xfId="33375" xr:uid="{00000000-0005-0000-0000-000056820000}"/>
    <cellStyle name="60% - Accent5 5 3" xfId="33376" xr:uid="{00000000-0005-0000-0000-000057820000}"/>
    <cellStyle name="60% - Accent5 5 3 2" xfId="33377" xr:uid="{00000000-0005-0000-0000-000058820000}"/>
    <cellStyle name="60% - Accent5 5 4" xfId="33378" xr:uid="{00000000-0005-0000-0000-000059820000}"/>
    <cellStyle name="60% - Accent5 50" xfId="33379" xr:uid="{00000000-0005-0000-0000-00005A820000}"/>
    <cellStyle name="60% - Accent5 50 2" xfId="33380" xr:uid="{00000000-0005-0000-0000-00005B820000}"/>
    <cellStyle name="60% - Accent5 51" xfId="33381" xr:uid="{00000000-0005-0000-0000-00005C820000}"/>
    <cellStyle name="60% - Accent5 51 2" xfId="33382" xr:uid="{00000000-0005-0000-0000-00005D820000}"/>
    <cellStyle name="60% - Accent5 52" xfId="33383" xr:uid="{00000000-0005-0000-0000-00005E820000}"/>
    <cellStyle name="60% - Accent5 52 2" xfId="33384" xr:uid="{00000000-0005-0000-0000-00005F820000}"/>
    <cellStyle name="60% - Accent5 53" xfId="33385" xr:uid="{00000000-0005-0000-0000-000060820000}"/>
    <cellStyle name="60% - Accent5 53 2" xfId="33386" xr:uid="{00000000-0005-0000-0000-000061820000}"/>
    <cellStyle name="60% - Accent5 54" xfId="33387" xr:uid="{00000000-0005-0000-0000-000062820000}"/>
    <cellStyle name="60% - Accent5 54 2" xfId="33388" xr:uid="{00000000-0005-0000-0000-000063820000}"/>
    <cellStyle name="60% - Accent5 55" xfId="33389" xr:uid="{00000000-0005-0000-0000-000064820000}"/>
    <cellStyle name="60% - Accent5 55 2" xfId="33390" xr:uid="{00000000-0005-0000-0000-000065820000}"/>
    <cellStyle name="60% - Accent5 56" xfId="33391" xr:uid="{00000000-0005-0000-0000-000066820000}"/>
    <cellStyle name="60% - Accent5 56 2" xfId="33392" xr:uid="{00000000-0005-0000-0000-000067820000}"/>
    <cellStyle name="60% - Accent5 57" xfId="33393" xr:uid="{00000000-0005-0000-0000-000068820000}"/>
    <cellStyle name="60% - Accent5 57 2" xfId="33394" xr:uid="{00000000-0005-0000-0000-000069820000}"/>
    <cellStyle name="60% - Accent5 58" xfId="33395" xr:uid="{00000000-0005-0000-0000-00006A820000}"/>
    <cellStyle name="60% - Accent5 58 2" xfId="33396" xr:uid="{00000000-0005-0000-0000-00006B820000}"/>
    <cellStyle name="60% - Accent5 59" xfId="33397" xr:uid="{00000000-0005-0000-0000-00006C820000}"/>
    <cellStyle name="60% - Accent5 59 2" xfId="33398" xr:uid="{00000000-0005-0000-0000-00006D820000}"/>
    <cellStyle name="60% - Accent5 59 2 2" xfId="33399" xr:uid="{00000000-0005-0000-0000-00006E820000}"/>
    <cellStyle name="60% - Accent5 59 3" xfId="33400" xr:uid="{00000000-0005-0000-0000-00006F820000}"/>
    <cellStyle name="60% - Accent5 6" xfId="33401" xr:uid="{00000000-0005-0000-0000-000070820000}"/>
    <cellStyle name="60% - Accent5 6 2" xfId="33402" xr:uid="{00000000-0005-0000-0000-000071820000}"/>
    <cellStyle name="60% - Accent5 6 2 2" xfId="33403" xr:uid="{00000000-0005-0000-0000-000072820000}"/>
    <cellStyle name="60% - Accent5 6 3" xfId="33404" xr:uid="{00000000-0005-0000-0000-000073820000}"/>
    <cellStyle name="60% - Accent5 6 3 2" xfId="33405" xr:uid="{00000000-0005-0000-0000-000074820000}"/>
    <cellStyle name="60% - Accent5 6 4" xfId="33406" xr:uid="{00000000-0005-0000-0000-000075820000}"/>
    <cellStyle name="60% - Accent5 60" xfId="33407" xr:uid="{00000000-0005-0000-0000-000076820000}"/>
    <cellStyle name="60% - Accent5 60 2" xfId="33408" xr:uid="{00000000-0005-0000-0000-000077820000}"/>
    <cellStyle name="60% - Accent5 61" xfId="33409" xr:uid="{00000000-0005-0000-0000-000078820000}"/>
    <cellStyle name="60% - Accent5 61 2" xfId="33410" xr:uid="{00000000-0005-0000-0000-000079820000}"/>
    <cellStyle name="60% - Accent5 62" xfId="33411" xr:uid="{00000000-0005-0000-0000-00007A820000}"/>
    <cellStyle name="60% - Accent5 62 2" xfId="33412" xr:uid="{00000000-0005-0000-0000-00007B820000}"/>
    <cellStyle name="60% - Accent5 63" xfId="33413" xr:uid="{00000000-0005-0000-0000-00007C820000}"/>
    <cellStyle name="60% - Accent5 63 2" xfId="33414" xr:uid="{00000000-0005-0000-0000-00007D820000}"/>
    <cellStyle name="60% - Accent5 64" xfId="33415" xr:uid="{00000000-0005-0000-0000-00007E820000}"/>
    <cellStyle name="60% - Accent5 64 2" xfId="33416" xr:uid="{00000000-0005-0000-0000-00007F820000}"/>
    <cellStyle name="60% - Accent5 65" xfId="33417" xr:uid="{00000000-0005-0000-0000-000080820000}"/>
    <cellStyle name="60% - Accent5 65 2" xfId="33418" xr:uid="{00000000-0005-0000-0000-000081820000}"/>
    <cellStyle name="60% - Accent5 66" xfId="33419" xr:uid="{00000000-0005-0000-0000-000082820000}"/>
    <cellStyle name="60% - Accent5 66 2" xfId="33420" xr:uid="{00000000-0005-0000-0000-000083820000}"/>
    <cellStyle name="60% - Accent5 67" xfId="33421" xr:uid="{00000000-0005-0000-0000-000084820000}"/>
    <cellStyle name="60% - Accent5 67 2" xfId="33422" xr:uid="{00000000-0005-0000-0000-000085820000}"/>
    <cellStyle name="60% - Accent5 68" xfId="33423" xr:uid="{00000000-0005-0000-0000-000086820000}"/>
    <cellStyle name="60% - Accent5 68 2" xfId="33424" xr:uid="{00000000-0005-0000-0000-000087820000}"/>
    <cellStyle name="60% - Accent5 69" xfId="33425" xr:uid="{00000000-0005-0000-0000-000088820000}"/>
    <cellStyle name="60% - Accent5 69 2" xfId="33426" xr:uid="{00000000-0005-0000-0000-000089820000}"/>
    <cellStyle name="60% - Accent5 7" xfId="33427" xr:uid="{00000000-0005-0000-0000-00008A820000}"/>
    <cellStyle name="60% - Accent5 7 2" xfId="33428" xr:uid="{00000000-0005-0000-0000-00008B820000}"/>
    <cellStyle name="60% - Accent5 7 2 2" xfId="33429" xr:uid="{00000000-0005-0000-0000-00008C820000}"/>
    <cellStyle name="60% - Accent5 7 3" xfId="33430" xr:uid="{00000000-0005-0000-0000-00008D820000}"/>
    <cellStyle name="60% - Accent5 7 3 2" xfId="33431" xr:uid="{00000000-0005-0000-0000-00008E820000}"/>
    <cellStyle name="60% - Accent5 7 4" xfId="33432" xr:uid="{00000000-0005-0000-0000-00008F820000}"/>
    <cellStyle name="60% - Accent5 70" xfId="33433" xr:uid="{00000000-0005-0000-0000-000090820000}"/>
    <cellStyle name="60% - Accent5 70 2" xfId="33434" xr:uid="{00000000-0005-0000-0000-000091820000}"/>
    <cellStyle name="60% - Accent5 71" xfId="33435" xr:uid="{00000000-0005-0000-0000-000092820000}"/>
    <cellStyle name="60% - Accent5 71 2" xfId="33436" xr:uid="{00000000-0005-0000-0000-000093820000}"/>
    <cellStyle name="60% - Accent5 72" xfId="33437" xr:uid="{00000000-0005-0000-0000-000094820000}"/>
    <cellStyle name="60% - Accent5 72 2" xfId="33438" xr:uid="{00000000-0005-0000-0000-000095820000}"/>
    <cellStyle name="60% - Accent5 73" xfId="33439" xr:uid="{00000000-0005-0000-0000-000096820000}"/>
    <cellStyle name="60% - Accent5 73 2" xfId="33440" xr:uid="{00000000-0005-0000-0000-000097820000}"/>
    <cellStyle name="60% - Accent5 74" xfId="33441" xr:uid="{00000000-0005-0000-0000-000098820000}"/>
    <cellStyle name="60% - Accent5 74 2" xfId="33442" xr:uid="{00000000-0005-0000-0000-000099820000}"/>
    <cellStyle name="60% - Accent5 75" xfId="33443" xr:uid="{00000000-0005-0000-0000-00009A820000}"/>
    <cellStyle name="60% - Accent5 75 2" xfId="33444" xr:uid="{00000000-0005-0000-0000-00009B820000}"/>
    <cellStyle name="60% - Accent5 76" xfId="33445" xr:uid="{00000000-0005-0000-0000-00009C820000}"/>
    <cellStyle name="60% - Accent5 76 2" xfId="33446" xr:uid="{00000000-0005-0000-0000-00009D820000}"/>
    <cellStyle name="60% - Accent5 77" xfId="33447" xr:uid="{00000000-0005-0000-0000-00009E820000}"/>
    <cellStyle name="60% - Accent5 77 2" xfId="33448" xr:uid="{00000000-0005-0000-0000-00009F820000}"/>
    <cellStyle name="60% - Accent5 78" xfId="33449" xr:uid="{00000000-0005-0000-0000-0000A0820000}"/>
    <cellStyle name="60% - Accent5 78 2" xfId="33450" xr:uid="{00000000-0005-0000-0000-0000A1820000}"/>
    <cellStyle name="60% - Accent5 79" xfId="33451" xr:uid="{00000000-0005-0000-0000-0000A2820000}"/>
    <cellStyle name="60% - Accent5 79 2" xfId="33452" xr:uid="{00000000-0005-0000-0000-0000A3820000}"/>
    <cellStyle name="60% - Accent5 8" xfId="33453" xr:uid="{00000000-0005-0000-0000-0000A4820000}"/>
    <cellStyle name="60% - Accent5 8 2" xfId="33454" xr:uid="{00000000-0005-0000-0000-0000A5820000}"/>
    <cellStyle name="60% - Accent5 8 2 2" xfId="33455" xr:uid="{00000000-0005-0000-0000-0000A6820000}"/>
    <cellStyle name="60% - Accent5 8 3" xfId="33456" xr:uid="{00000000-0005-0000-0000-0000A7820000}"/>
    <cellStyle name="60% - Accent5 8 3 2" xfId="33457" xr:uid="{00000000-0005-0000-0000-0000A8820000}"/>
    <cellStyle name="60% - Accent5 8 4" xfId="33458" xr:uid="{00000000-0005-0000-0000-0000A9820000}"/>
    <cellStyle name="60% - Accent5 80" xfId="33459" xr:uid="{00000000-0005-0000-0000-0000AA820000}"/>
    <cellStyle name="60% - Accent5 80 2" xfId="33460" xr:uid="{00000000-0005-0000-0000-0000AB820000}"/>
    <cellStyle name="60% - Accent5 81" xfId="33461" xr:uid="{00000000-0005-0000-0000-0000AC820000}"/>
    <cellStyle name="60% - Accent5 81 2" xfId="33462" xr:uid="{00000000-0005-0000-0000-0000AD820000}"/>
    <cellStyle name="60% - Accent5 82" xfId="33463" xr:uid="{00000000-0005-0000-0000-0000AE820000}"/>
    <cellStyle name="60% - Accent5 82 2" xfId="33464" xr:uid="{00000000-0005-0000-0000-0000AF820000}"/>
    <cellStyle name="60% - Accent5 83" xfId="33465" xr:uid="{00000000-0005-0000-0000-0000B0820000}"/>
    <cellStyle name="60% - Accent5 83 2" xfId="33466" xr:uid="{00000000-0005-0000-0000-0000B1820000}"/>
    <cellStyle name="60% - Accent5 84" xfId="33467" xr:uid="{00000000-0005-0000-0000-0000B2820000}"/>
    <cellStyle name="60% - Accent5 84 2" xfId="33468" xr:uid="{00000000-0005-0000-0000-0000B3820000}"/>
    <cellStyle name="60% - Accent5 85" xfId="33469" xr:uid="{00000000-0005-0000-0000-0000B4820000}"/>
    <cellStyle name="60% - Accent5 85 2" xfId="33470" xr:uid="{00000000-0005-0000-0000-0000B5820000}"/>
    <cellStyle name="60% - Accent5 86" xfId="33471" xr:uid="{00000000-0005-0000-0000-0000B6820000}"/>
    <cellStyle name="60% - Accent5 86 2" xfId="33472" xr:uid="{00000000-0005-0000-0000-0000B7820000}"/>
    <cellStyle name="60% - Accent5 87" xfId="33473" xr:uid="{00000000-0005-0000-0000-0000B8820000}"/>
    <cellStyle name="60% - Accent5 87 2" xfId="33474" xr:uid="{00000000-0005-0000-0000-0000B9820000}"/>
    <cellStyle name="60% - Accent5 88" xfId="33475" xr:uid="{00000000-0005-0000-0000-0000BA820000}"/>
    <cellStyle name="60% - Accent5 88 2" xfId="33476" xr:uid="{00000000-0005-0000-0000-0000BB820000}"/>
    <cellStyle name="60% - Accent5 89" xfId="33477" xr:uid="{00000000-0005-0000-0000-0000BC820000}"/>
    <cellStyle name="60% - Accent5 89 2" xfId="33478" xr:uid="{00000000-0005-0000-0000-0000BD820000}"/>
    <cellStyle name="60% - Accent5 9" xfId="33479" xr:uid="{00000000-0005-0000-0000-0000BE820000}"/>
    <cellStyle name="60% - Accent5 9 2" xfId="33480" xr:uid="{00000000-0005-0000-0000-0000BF820000}"/>
    <cellStyle name="60% - Accent5 9 2 2" xfId="33481" xr:uid="{00000000-0005-0000-0000-0000C0820000}"/>
    <cellStyle name="60% - Accent5 9 3" xfId="33482" xr:uid="{00000000-0005-0000-0000-0000C1820000}"/>
    <cellStyle name="60% - Accent5 9 3 2" xfId="33483" xr:uid="{00000000-0005-0000-0000-0000C2820000}"/>
    <cellStyle name="60% - Accent5 9 4" xfId="33484" xr:uid="{00000000-0005-0000-0000-0000C3820000}"/>
    <cellStyle name="60% - Accent5 90" xfId="33485" xr:uid="{00000000-0005-0000-0000-0000C4820000}"/>
    <cellStyle name="60% - Accent5 90 2" xfId="33486" xr:uid="{00000000-0005-0000-0000-0000C5820000}"/>
    <cellStyle name="60% - Accent5 91" xfId="33487" xr:uid="{00000000-0005-0000-0000-0000C6820000}"/>
    <cellStyle name="60% - Accent5 91 2" xfId="33488" xr:uid="{00000000-0005-0000-0000-0000C7820000}"/>
    <cellStyle name="60% - Accent5 92" xfId="33489" xr:uid="{00000000-0005-0000-0000-0000C8820000}"/>
    <cellStyle name="60% - Accent5 92 2" xfId="33490" xr:uid="{00000000-0005-0000-0000-0000C9820000}"/>
    <cellStyle name="60% - Accent5 93" xfId="33491" xr:uid="{00000000-0005-0000-0000-0000CA820000}"/>
    <cellStyle name="60% - Accent5 93 2" xfId="33492" xr:uid="{00000000-0005-0000-0000-0000CB820000}"/>
    <cellStyle name="60% - Accent5 94" xfId="33493" xr:uid="{00000000-0005-0000-0000-0000CC820000}"/>
    <cellStyle name="60% - Accent5 94 2" xfId="33494" xr:uid="{00000000-0005-0000-0000-0000CD820000}"/>
    <cellStyle name="60% - Accent5 95" xfId="33495" xr:uid="{00000000-0005-0000-0000-0000CE820000}"/>
    <cellStyle name="60% - Accent5 95 2" xfId="33496" xr:uid="{00000000-0005-0000-0000-0000CF820000}"/>
    <cellStyle name="60% - Accent5 96" xfId="33497" xr:uid="{00000000-0005-0000-0000-0000D0820000}"/>
    <cellStyle name="60% - Accent5 96 2" xfId="33498" xr:uid="{00000000-0005-0000-0000-0000D1820000}"/>
    <cellStyle name="60% - Accent5 97" xfId="33499" xr:uid="{00000000-0005-0000-0000-0000D2820000}"/>
    <cellStyle name="60% - Accent5 97 2" xfId="33500" xr:uid="{00000000-0005-0000-0000-0000D3820000}"/>
    <cellStyle name="60% - Accent5 98" xfId="33501" xr:uid="{00000000-0005-0000-0000-0000D4820000}"/>
    <cellStyle name="60% - Accent5 98 2" xfId="33502" xr:uid="{00000000-0005-0000-0000-0000D5820000}"/>
    <cellStyle name="60% - Accent5 99" xfId="33503" xr:uid="{00000000-0005-0000-0000-0000D6820000}"/>
    <cellStyle name="60% - Accent5 99 2" xfId="33504" xr:uid="{00000000-0005-0000-0000-0000D7820000}"/>
    <cellStyle name="60% - Accent6 10" xfId="33505" xr:uid="{00000000-0005-0000-0000-0000D8820000}"/>
    <cellStyle name="60% - Accent6 10 2" xfId="33506" xr:uid="{00000000-0005-0000-0000-0000D9820000}"/>
    <cellStyle name="60% - Accent6 100" xfId="33507" xr:uid="{00000000-0005-0000-0000-0000DA820000}"/>
    <cellStyle name="60% - Accent6 100 2" xfId="33508" xr:uid="{00000000-0005-0000-0000-0000DB820000}"/>
    <cellStyle name="60% - Accent6 101" xfId="33509" xr:uid="{00000000-0005-0000-0000-0000DC820000}"/>
    <cellStyle name="60% - Accent6 101 2" xfId="33510" xr:uid="{00000000-0005-0000-0000-0000DD820000}"/>
    <cellStyle name="60% - Accent6 102" xfId="33511" xr:uid="{00000000-0005-0000-0000-0000DE820000}"/>
    <cellStyle name="60% - Accent6 102 2" xfId="33512" xr:uid="{00000000-0005-0000-0000-0000DF820000}"/>
    <cellStyle name="60% - Accent6 103" xfId="33513" xr:uid="{00000000-0005-0000-0000-0000E0820000}"/>
    <cellStyle name="60% - Accent6 103 2" xfId="33514" xr:uid="{00000000-0005-0000-0000-0000E1820000}"/>
    <cellStyle name="60% - Accent6 104" xfId="33515" xr:uid="{00000000-0005-0000-0000-0000E2820000}"/>
    <cellStyle name="60% - Accent6 104 2" xfId="33516" xr:uid="{00000000-0005-0000-0000-0000E3820000}"/>
    <cellStyle name="60% - Accent6 105" xfId="33517" xr:uid="{00000000-0005-0000-0000-0000E4820000}"/>
    <cellStyle name="60% - Accent6 105 2" xfId="33518" xr:uid="{00000000-0005-0000-0000-0000E5820000}"/>
    <cellStyle name="60% - Accent6 106" xfId="33519" xr:uid="{00000000-0005-0000-0000-0000E6820000}"/>
    <cellStyle name="60% - Accent6 106 2" xfId="33520" xr:uid="{00000000-0005-0000-0000-0000E7820000}"/>
    <cellStyle name="60% - Accent6 107" xfId="33521" xr:uid="{00000000-0005-0000-0000-0000E8820000}"/>
    <cellStyle name="60% - Accent6 107 2" xfId="33522" xr:uid="{00000000-0005-0000-0000-0000E9820000}"/>
    <cellStyle name="60% - Accent6 108" xfId="33523" xr:uid="{00000000-0005-0000-0000-0000EA820000}"/>
    <cellStyle name="60% - Accent6 108 2" xfId="33524" xr:uid="{00000000-0005-0000-0000-0000EB820000}"/>
    <cellStyle name="60% - Accent6 109" xfId="33525" xr:uid="{00000000-0005-0000-0000-0000EC820000}"/>
    <cellStyle name="60% - Accent6 109 2" xfId="33526" xr:uid="{00000000-0005-0000-0000-0000ED820000}"/>
    <cellStyle name="60% - Accent6 11" xfId="33527" xr:uid="{00000000-0005-0000-0000-0000EE820000}"/>
    <cellStyle name="60% - Accent6 11 2" xfId="33528" xr:uid="{00000000-0005-0000-0000-0000EF820000}"/>
    <cellStyle name="60% - Accent6 110" xfId="33529" xr:uid="{00000000-0005-0000-0000-0000F0820000}"/>
    <cellStyle name="60% - Accent6 110 2" xfId="33530" xr:uid="{00000000-0005-0000-0000-0000F1820000}"/>
    <cellStyle name="60% - Accent6 111" xfId="33531" xr:uid="{00000000-0005-0000-0000-0000F2820000}"/>
    <cellStyle name="60% - Accent6 111 2" xfId="33532" xr:uid="{00000000-0005-0000-0000-0000F3820000}"/>
    <cellStyle name="60% - Accent6 112" xfId="33533" xr:uid="{00000000-0005-0000-0000-0000F4820000}"/>
    <cellStyle name="60% - Accent6 112 2" xfId="33534" xr:uid="{00000000-0005-0000-0000-0000F5820000}"/>
    <cellStyle name="60% - Accent6 113" xfId="33535" xr:uid="{00000000-0005-0000-0000-0000F6820000}"/>
    <cellStyle name="60% - Accent6 113 2" xfId="33536" xr:uid="{00000000-0005-0000-0000-0000F7820000}"/>
    <cellStyle name="60% - Accent6 114" xfId="33537" xr:uid="{00000000-0005-0000-0000-0000F8820000}"/>
    <cellStyle name="60% - Accent6 114 2" xfId="33538" xr:uid="{00000000-0005-0000-0000-0000F9820000}"/>
    <cellStyle name="60% - Accent6 115" xfId="33539" xr:uid="{00000000-0005-0000-0000-0000FA820000}"/>
    <cellStyle name="60% - Accent6 115 2" xfId="33540" xr:uid="{00000000-0005-0000-0000-0000FB820000}"/>
    <cellStyle name="60% - Accent6 116" xfId="33541" xr:uid="{00000000-0005-0000-0000-0000FC820000}"/>
    <cellStyle name="60% - Accent6 116 2" xfId="33542" xr:uid="{00000000-0005-0000-0000-0000FD820000}"/>
    <cellStyle name="60% - Accent6 117" xfId="33543" xr:uid="{00000000-0005-0000-0000-0000FE820000}"/>
    <cellStyle name="60% - Accent6 117 2" xfId="33544" xr:uid="{00000000-0005-0000-0000-0000FF820000}"/>
    <cellStyle name="60% - Accent6 118" xfId="33545" xr:uid="{00000000-0005-0000-0000-000000830000}"/>
    <cellStyle name="60% - Accent6 118 2" xfId="33546" xr:uid="{00000000-0005-0000-0000-000001830000}"/>
    <cellStyle name="60% - Accent6 119" xfId="33547" xr:uid="{00000000-0005-0000-0000-000002830000}"/>
    <cellStyle name="60% - Accent6 119 2" xfId="33548" xr:uid="{00000000-0005-0000-0000-000003830000}"/>
    <cellStyle name="60% - Accent6 12" xfId="33549" xr:uid="{00000000-0005-0000-0000-000004830000}"/>
    <cellStyle name="60% - Accent6 12 2" xfId="33550" xr:uid="{00000000-0005-0000-0000-000005830000}"/>
    <cellStyle name="60% - Accent6 120" xfId="33551" xr:uid="{00000000-0005-0000-0000-000006830000}"/>
    <cellStyle name="60% - Accent6 120 2" xfId="33552" xr:uid="{00000000-0005-0000-0000-000007830000}"/>
    <cellStyle name="60% - Accent6 121" xfId="33553" xr:uid="{00000000-0005-0000-0000-000008830000}"/>
    <cellStyle name="60% - Accent6 121 2" xfId="33554" xr:uid="{00000000-0005-0000-0000-000009830000}"/>
    <cellStyle name="60% - Accent6 122" xfId="33555" xr:uid="{00000000-0005-0000-0000-00000A830000}"/>
    <cellStyle name="60% - Accent6 122 2" xfId="33556" xr:uid="{00000000-0005-0000-0000-00000B830000}"/>
    <cellStyle name="60% - Accent6 123" xfId="33557" xr:uid="{00000000-0005-0000-0000-00000C830000}"/>
    <cellStyle name="60% - Accent6 123 2" xfId="33558" xr:uid="{00000000-0005-0000-0000-00000D830000}"/>
    <cellStyle name="60% - Accent6 124" xfId="33559" xr:uid="{00000000-0005-0000-0000-00000E830000}"/>
    <cellStyle name="60% - Accent6 124 2" xfId="33560" xr:uid="{00000000-0005-0000-0000-00000F830000}"/>
    <cellStyle name="60% - Accent6 125" xfId="33561" xr:uid="{00000000-0005-0000-0000-000010830000}"/>
    <cellStyle name="60% - Accent6 125 2" xfId="33562" xr:uid="{00000000-0005-0000-0000-000011830000}"/>
    <cellStyle name="60% - Accent6 126" xfId="33563" xr:uid="{00000000-0005-0000-0000-000012830000}"/>
    <cellStyle name="60% - Accent6 126 2" xfId="33564" xr:uid="{00000000-0005-0000-0000-000013830000}"/>
    <cellStyle name="60% - Accent6 127" xfId="33565" xr:uid="{00000000-0005-0000-0000-000014830000}"/>
    <cellStyle name="60% - Accent6 127 2" xfId="33566" xr:uid="{00000000-0005-0000-0000-000015830000}"/>
    <cellStyle name="60% - Accent6 128" xfId="33567" xr:uid="{00000000-0005-0000-0000-000016830000}"/>
    <cellStyle name="60% - Accent6 128 2" xfId="33568" xr:uid="{00000000-0005-0000-0000-000017830000}"/>
    <cellStyle name="60% - Accent6 129" xfId="33569" xr:uid="{00000000-0005-0000-0000-000018830000}"/>
    <cellStyle name="60% - Accent6 129 2" xfId="33570" xr:uid="{00000000-0005-0000-0000-000019830000}"/>
    <cellStyle name="60% - Accent6 13" xfId="33571" xr:uid="{00000000-0005-0000-0000-00001A830000}"/>
    <cellStyle name="60% - Accent6 13 2" xfId="33572" xr:uid="{00000000-0005-0000-0000-00001B830000}"/>
    <cellStyle name="60% - Accent6 130" xfId="33573" xr:uid="{00000000-0005-0000-0000-00001C830000}"/>
    <cellStyle name="60% - Accent6 130 2" xfId="33574" xr:uid="{00000000-0005-0000-0000-00001D830000}"/>
    <cellStyle name="60% - Accent6 131" xfId="33575" xr:uid="{00000000-0005-0000-0000-00001E830000}"/>
    <cellStyle name="60% - Accent6 131 2" xfId="33576" xr:uid="{00000000-0005-0000-0000-00001F830000}"/>
    <cellStyle name="60% - Accent6 132" xfId="33577" xr:uid="{00000000-0005-0000-0000-000020830000}"/>
    <cellStyle name="60% - Accent6 132 2" xfId="33578" xr:uid="{00000000-0005-0000-0000-000021830000}"/>
    <cellStyle name="60% - Accent6 133" xfId="33579" xr:uid="{00000000-0005-0000-0000-000022830000}"/>
    <cellStyle name="60% - Accent6 133 2" xfId="33580" xr:uid="{00000000-0005-0000-0000-000023830000}"/>
    <cellStyle name="60% - Accent6 134" xfId="33581" xr:uid="{00000000-0005-0000-0000-000024830000}"/>
    <cellStyle name="60% - Accent6 134 2" xfId="33582" xr:uid="{00000000-0005-0000-0000-000025830000}"/>
    <cellStyle name="60% - Accent6 135" xfId="33583" xr:uid="{00000000-0005-0000-0000-000026830000}"/>
    <cellStyle name="60% - Accent6 135 2" xfId="33584" xr:uid="{00000000-0005-0000-0000-000027830000}"/>
    <cellStyle name="60% - Accent6 136" xfId="33585" xr:uid="{00000000-0005-0000-0000-000028830000}"/>
    <cellStyle name="60% - Accent6 136 2" xfId="33586" xr:uid="{00000000-0005-0000-0000-000029830000}"/>
    <cellStyle name="60% - Accent6 137" xfId="33587" xr:uid="{00000000-0005-0000-0000-00002A830000}"/>
    <cellStyle name="60% - Accent6 137 2" xfId="33588" xr:uid="{00000000-0005-0000-0000-00002B830000}"/>
    <cellStyle name="60% - Accent6 138" xfId="33589" xr:uid="{00000000-0005-0000-0000-00002C830000}"/>
    <cellStyle name="60% - Accent6 138 2" xfId="33590" xr:uid="{00000000-0005-0000-0000-00002D830000}"/>
    <cellStyle name="60% - Accent6 139" xfId="33591" xr:uid="{00000000-0005-0000-0000-00002E830000}"/>
    <cellStyle name="60% - Accent6 139 2" xfId="33592" xr:uid="{00000000-0005-0000-0000-00002F830000}"/>
    <cellStyle name="60% - Accent6 14" xfId="33593" xr:uid="{00000000-0005-0000-0000-000030830000}"/>
    <cellStyle name="60% - Accent6 14 2" xfId="33594" xr:uid="{00000000-0005-0000-0000-000031830000}"/>
    <cellStyle name="60% - Accent6 140" xfId="33595" xr:uid="{00000000-0005-0000-0000-000032830000}"/>
    <cellStyle name="60% - Accent6 140 2" xfId="33596" xr:uid="{00000000-0005-0000-0000-000033830000}"/>
    <cellStyle name="60% - Accent6 141" xfId="33597" xr:uid="{00000000-0005-0000-0000-000034830000}"/>
    <cellStyle name="60% - Accent6 141 2" xfId="33598" xr:uid="{00000000-0005-0000-0000-000035830000}"/>
    <cellStyle name="60% - Accent6 142" xfId="33599" xr:uid="{00000000-0005-0000-0000-000036830000}"/>
    <cellStyle name="60% - Accent6 142 2" xfId="33600" xr:uid="{00000000-0005-0000-0000-000037830000}"/>
    <cellStyle name="60% - Accent6 143" xfId="33601" xr:uid="{00000000-0005-0000-0000-000038830000}"/>
    <cellStyle name="60% - Accent6 143 2" xfId="33602" xr:uid="{00000000-0005-0000-0000-000039830000}"/>
    <cellStyle name="60% - Accent6 144" xfId="33603" xr:uid="{00000000-0005-0000-0000-00003A830000}"/>
    <cellStyle name="60% - Accent6 144 2" xfId="33604" xr:uid="{00000000-0005-0000-0000-00003B830000}"/>
    <cellStyle name="60% - Accent6 145" xfId="33605" xr:uid="{00000000-0005-0000-0000-00003C830000}"/>
    <cellStyle name="60% - Accent6 145 2" xfId="33606" xr:uid="{00000000-0005-0000-0000-00003D830000}"/>
    <cellStyle name="60% - Accent6 146" xfId="33607" xr:uid="{00000000-0005-0000-0000-00003E830000}"/>
    <cellStyle name="60% - Accent6 146 2" xfId="33608" xr:uid="{00000000-0005-0000-0000-00003F830000}"/>
    <cellStyle name="60% - Accent6 147" xfId="33609" xr:uid="{00000000-0005-0000-0000-000040830000}"/>
    <cellStyle name="60% - Accent6 147 2" xfId="33610" xr:uid="{00000000-0005-0000-0000-000041830000}"/>
    <cellStyle name="60% - Accent6 148" xfId="33611" xr:uid="{00000000-0005-0000-0000-000042830000}"/>
    <cellStyle name="60% - Accent6 148 2" xfId="33612" xr:uid="{00000000-0005-0000-0000-000043830000}"/>
    <cellStyle name="60% - Accent6 149" xfId="33613" xr:uid="{00000000-0005-0000-0000-000044830000}"/>
    <cellStyle name="60% - Accent6 149 2" xfId="33614" xr:uid="{00000000-0005-0000-0000-000045830000}"/>
    <cellStyle name="60% - Accent6 15" xfId="33615" xr:uid="{00000000-0005-0000-0000-000046830000}"/>
    <cellStyle name="60% - Accent6 15 2" xfId="33616" xr:uid="{00000000-0005-0000-0000-000047830000}"/>
    <cellStyle name="60% - Accent6 150" xfId="33617" xr:uid="{00000000-0005-0000-0000-000048830000}"/>
    <cellStyle name="60% - Accent6 150 2" xfId="33618" xr:uid="{00000000-0005-0000-0000-000049830000}"/>
    <cellStyle name="60% - Accent6 151" xfId="33619" xr:uid="{00000000-0005-0000-0000-00004A830000}"/>
    <cellStyle name="60% - Accent6 151 2" xfId="33620" xr:uid="{00000000-0005-0000-0000-00004B830000}"/>
    <cellStyle name="60% - Accent6 152" xfId="33621" xr:uid="{00000000-0005-0000-0000-00004C830000}"/>
    <cellStyle name="60% - Accent6 152 2" xfId="33622" xr:uid="{00000000-0005-0000-0000-00004D830000}"/>
    <cellStyle name="60% - Accent6 153" xfId="33623" xr:uid="{00000000-0005-0000-0000-00004E830000}"/>
    <cellStyle name="60% - Accent6 153 2" xfId="33624" xr:uid="{00000000-0005-0000-0000-00004F830000}"/>
    <cellStyle name="60% - Accent6 154" xfId="33625" xr:uid="{00000000-0005-0000-0000-000050830000}"/>
    <cellStyle name="60% - Accent6 154 2" xfId="33626" xr:uid="{00000000-0005-0000-0000-000051830000}"/>
    <cellStyle name="60% - Accent6 155" xfId="33627" xr:uid="{00000000-0005-0000-0000-000052830000}"/>
    <cellStyle name="60% - Accent6 155 2" xfId="33628" xr:uid="{00000000-0005-0000-0000-000053830000}"/>
    <cellStyle name="60% - Accent6 156" xfId="33629" xr:uid="{00000000-0005-0000-0000-000054830000}"/>
    <cellStyle name="60% - Accent6 156 2" xfId="33630" xr:uid="{00000000-0005-0000-0000-000055830000}"/>
    <cellStyle name="60% - Accent6 157" xfId="33631" xr:uid="{00000000-0005-0000-0000-000056830000}"/>
    <cellStyle name="60% - Accent6 157 2" xfId="33632" xr:uid="{00000000-0005-0000-0000-000057830000}"/>
    <cellStyle name="60% - Accent6 158" xfId="33633" xr:uid="{00000000-0005-0000-0000-000058830000}"/>
    <cellStyle name="60% - Accent6 158 2" xfId="33634" xr:uid="{00000000-0005-0000-0000-000059830000}"/>
    <cellStyle name="60% - Accent6 159" xfId="33635" xr:uid="{00000000-0005-0000-0000-00005A830000}"/>
    <cellStyle name="60% - Accent6 159 2" xfId="33636" xr:uid="{00000000-0005-0000-0000-00005B830000}"/>
    <cellStyle name="60% - Accent6 16" xfId="33637" xr:uid="{00000000-0005-0000-0000-00005C830000}"/>
    <cellStyle name="60% - Accent6 16 2" xfId="33638" xr:uid="{00000000-0005-0000-0000-00005D830000}"/>
    <cellStyle name="60% - Accent6 160" xfId="33639" xr:uid="{00000000-0005-0000-0000-00005E830000}"/>
    <cellStyle name="60% - Accent6 160 2" xfId="33640" xr:uid="{00000000-0005-0000-0000-00005F830000}"/>
    <cellStyle name="60% - Accent6 161" xfId="33641" xr:uid="{00000000-0005-0000-0000-000060830000}"/>
    <cellStyle name="60% - Accent6 161 2" xfId="33642" xr:uid="{00000000-0005-0000-0000-000061830000}"/>
    <cellStyle name="60% - Accent6 162" xfId="33643" xr:uid="{00000000-0005-0000-0000-000062830000}"/>
    <cellStyle name="60% - Accent6 162 2" xfId="33644" xr:uid="{00000000-0005-0000-0000-000063830000}"/>
    <cellStyle name="60% - Accent6 163" xfId="33645" xr:uid="{00000000-0005-0000-0000-000064830000}"/>
    <cellStyle name="60% - Accent6 163 2" xfId="33646" xr:uid="{00000000-0005-0000-0000-000065830000}"/>
    <cellStyle name="60% - Accent6 164" xfId="33647" xr:uid="{00000000-0005-0000-0000-000066830000}"/>
    <cellStyle name="60% - Accent6 164 2" xfId="33648" xr:uid="{00000000-0005-0000-0000-000067830000}"/>
    <cellStyle name="60% - Accent6 165" xfId="33649" xr:uid="{00000000-0005-0000-0000-000068830000}"/>
    <cellStyle name="60% - Accent6 165 2" xfId="33650" xr:uid="{00000000-0005-0000-0000-000069830000}"/>
    <cellStyle name="60% - Accent6 166" xfId="33651" xr:uid="{00000000-0005-0000-0000-00006A830000}"/>
    <cellStyle name="60% - Accent6 166 2" xfId="33652" xr:uid="{00000000-0005-0000-0000-00006B830000}"/>
    <cellStyle name="60% - Accent6 167" xfId="33653" xr:uid="{00000000-0005-0000-0000-00006C830000}"/>
    <cellStyle name="60% - Accent6 167 2" xfId="33654" xr:uid="{00000000-0005-0000-0000-00006D830000}"/>
    <cellStyle name="60% - Accent6 168" xfId="33655" xr:uid="{00000000-0005-0000-0000-00006E830000}"/>
    <cellStyle name="60% - Accent6 168 2" xfId="33656" xr:uid="{00000000-0005-0000-0000-00006F830000}"/>
    <cellStyle name="60% - Accent6 169" xfId="33657" xr:uid="{00000000-0005-0000-0000-000070830000}"/>
    <cellStyle name="60% - Accent6 169 2" xfId="33658" xr:uid="{00000000-0005-0000-0000-000071830000}"/>
    <cellStyle name="60% - Accent6 17" xfId="33659" xr:uid="{00000000-0005-0000-0000-000072830000}"/>
    <cellStyle name="60% - Accent6 17 2" xfId="33660" xr:uid="{00000000-0005-0000-0000-000073830000}"/>
    <cellStyle name="60% - Accent6 170" xfId="33661" xr:uid="{00000000-0005-0000-0000-000074830000}"/>
    <cellStyle name="60% - Accent6 170 2" xfId="33662" xr:uid="{00000000-0005-0000-0000-000075830000}"/>
    <cellStyle name="60% - Accent6 171" xfId="33663" xr:uid="{00000000-0005-0000-0000-000076830000}"/>
    <cellStyle name="60% - Accent6 171 2" xfId="33664" xr:uid="{00000000-0005-0000-0000-000077830000}"/>
    <cellStyle name="60% - Accent6 172" xfId="33665" xr:uid="{00000000-0005-0000-0000-000078830000}"/>
    <cellStyle name="60% - Accent6 172 2" xfId="33666" xr:uid="{00000000-0005-0000-0000-000079830000}"/>
    <cellStyle name="60% - Accent6 173" xfId="33667" xr:uid="{00000000-0005-0000-0000-00007A830000}"/>
    <cellStyle name="60% - Accent6 173 2" xfId="33668" xr:uid="{00000000-0005-0000-0000-00007B830000}"/>
    <cellStyle name="60% - Accent6 174" xfId="33669" xr:uid="{00000000-0005-0000-0000-00007C830000}"/>
    <cellStyle name="60% - Accent6 174 2" xfId="33670" xr:uid="{00000000-0005-0000-0000-00007D830000}"/>
    <cellStyle name="60% - Accent6 175" xfId="33671" xr:uid="{00000000-0005-0000-0000-00007E830000}"/>
    <cellStyle name="60% - Accent6 175 2" xfId="33672" xr:uid="{00000000-0005-0000-0000-00007F830000}"/>
    <cellStyle name="60% - Accent6 176" xfId="33673" xr:uid="{00000000-0005-0000-0000-000080830000}"/>
    <cellStyle name="60% - Accent6 176 2" xfId="33674" xr:uid="{00000000-0005-0000-0000-000081830000}"/>
    <cellStyle name="60% - Accent6 177" xfId="33675" xr:uid="{00000000-0005-0000-0000-000082830000}"/>
    <cellStyle name="60% - Accent6 177 2" xfId="33676" xr:uid="{00000000-0005-0000-0000-000083830000}"/>
    <cellStyle name="60% - Accent6 178" xfId="33677" xr:uid="{00000000-0005-0000-0000-000084830000}"/>
    <cellStyle name="60% - Accent6 178 2" xfId="33678" xr:uid="{00000000-0005-0000-0000-000085830000}"/>
    <cellStyle name="60% - Accent6 179" xfId="33679" xr:uid="{00000000-0005-0000-0000-000086830000}"/>
    <cellStyle name="60% - Accent6 179 2" xfId="33680" xr:uid="{00000000-0005-0000-0000-000087830000}"/>
    <cellStyle name="60% - Accent6 18" xfId="33681" xr:uid="{00000000-0005-0000-0000-000088830000}"/>
    <cellStyle name="60% - Accent6 18 2" xfId="33682" xr:uid="{00000000-0005-0000-0000-000089830000}"/>
    <cellStyle name="60% - Accent6 180" xfId="33683" xr:uid="{00000000-0005-0000-0000-00008A830000}"/>
    <cellStyle name="60% - Accent6 180 2" xfId="33684" xr:uid="{00000000-0005-0000-0000-00008B830000}"/>
    <cellStyle name="60% - Accent6 181" xfId="33685" xr:uid="{00000000-0005-0000-0000-00008C830000}"/>
    <cellStyle name="60% - Accent6 181 2" xfId="33686" xr:uid="{00000000-0005-0000-0000-00008D830000}"/>
    <cellStyle name="60% - Accent6 182" xfId="33687" xr:uid="{00000000-0005-0000-0000-00008E830000}"/>
    <cellStyle name="60% - Accent6 182 2" xfId="33688" xr:uid="{00000000-0005-0000-0000-00008F830000}"/>
    <cellStyle name="60% - Accent6 183" xfId="33689" xr:uid="{00000000-0005-0000-0000-000090830000}"/>
    <cellStyle name="60% - Accent6 183 2" xfId="33690" xr:uid="{00000000-0005-0000-0000-000091830000}"/>
    <cellStyle name="60% - Accent6 184" xfId="33691" xr:uid="{00000000-0005-0000-0000-000092830000}"/>
    <cellStyle name="60% - Accent6 184 2" xfId="33692" xr:uid="{00000000-0005-0000-0000-000093830000}"/>
    <cellStyle name="60% - Accent6 185" xfId="33693" xr:uid="{00000000-0005-0000-0000-000094830000}"/>
    <cellStyle name="60% - Accent6 185 2" xfId="33694" xr:uid="{00000000-0005-0000-0000-000095830000}"/>
    <cellStyle name="60% - Accent6 186" xfId="33695" xr:uid="{00000000-0005-0000-0000-000096830000}"/>
    <cellStyle name="60% - Accent6 186 2" xfId="33696" xr:uid="{00000000-0005-0000-0000-000097830000}"/>
    <cellStyle name="60% - Accent6 187" xfId="33697" xr:uid="{00000000-0005-0000-0000-000098830000}"/>
    <cellStyle name="60% - Accent6 187 2" xfId="33698" xr:uid="{00000000-0005-0000-0000-000099830000}"/>
    <cellStyle name="60% - Accent6 188" xfId="33699" xr:uid="{00000000-0005-0000-0000-00009A830000}"/>
    <cellStyle name="60% - Accent6 188 2" xfId="33700" xr:uid="{00000000-0005-0000-0000-00009B830000}"/>
    <cellStyle name="60% - Accent6 189" xfId="33701" xr:uid="{00000000-0005-0000-0000-00009C830000}"/>
    <cellStyle name="60% - Accent6 189 2" xfId="33702" xr:uid="{00000000-0005-0000-0000-00009D830000}"/>
    <cellStyle name="60% - Accent6 19" xfId="33703" xr:uid="{00000000-0005-0000-0000-00009E830000}"/>
    <cellStyle name="60% - Accent6 19 2" xfId="33704" xr:uid="{00000000-0005-0000-0000-00009F830000}"/>
    <cellStyle name="60% - Accent6 190" xfId="33705" xr:uid="{00000000-0005-0000-0000-0000A0830000}"/>
    <cellStyle name="60% - Accent6 190 2" xfId="33706" xr:uid="{00000000-0005-0000-0000-0000A1830000}"/>
    <cellStyle name="60% - Accent6 191" xfId="33707" xr:uid="{00000000-0005-0000-0000-0000A2830000}"/>
    <cellStyle name="60% - Accent6 191 2" xfId="33708" xr:uid="{00000000-0005-0000-0000-0000A3830000}"/>
    <cellStyle name="60% - Accent6 192" xfId="33709" xr:uid="{00000000-0005-0000-0000-0000A4830000}"/>
    <cellStyle name="60% - Accent6 192 2" xfId="33710" xr:uid="{00000000-0005-0000-0000-0000A5830000}"/>
    <cellStyle name="60% - Accent6 193" xfId="33711" xr:uid="{00000000-0005-0000-0000-0000A6830000}"/>
    <cellStyle name="60% - Accent6 193 2" xfId="33712" xr:uid="{00000000-0005-0000-0000-0000A7830000}"/>
    <cellStyle name="60% - Accent6 194" xfId="33713" xr:uid="{00000000-0005-0000-0000-0000A8830000}"/>
    <cellStyle name="60% - Accent6 194 2" xfId="33714" xr:uid="{00000000-0005-0000-0000-0000A9830000}"/>
    <cellStyle name="60% - Accent6 195" xfId="33715" xr:uid="{00000000-0005-0000-0000-0000AA830000}"/>
    <cellStyle name="60% - Accent6 195 2" xfId="33716" xr:uid="{00000000-0005-0000-0000-0000AB830000}"/>
    <cellStyle name="60% - Accent6 196" xfId="33717" xr:uid="{00000000-0005-0000-0000-0000AC830000}"/>
    <cellStyle name="60% - Accent6 196 2" xfId="33718" xr:uid="{00000000-0005-0000-0000-0000AD830000}"/>
    <cellStyle name="60% - Accent6 197" xfId="33719" xr:uid="{00000000-0005-0000-0000-0000AE830000}"/>
    <cellStyle name="60% - Accent6 197 2" xfId="33720" xr:uid="{00000000-0005-0000-0000-0000AF830000}"/>
    <cellStyle name="60% - Accent6 198" xfId="33721" xr:uid="{00000000-0005-0000-0000-0000B0830000}"/>
    <cellStyle name="60% - Accent6 198 2" xfId="33722" xr:uid="{00000000-0005-0000-0000-0000B1830000}"/>
    <cellStyle name="60% - Accent6 2" xfId="33723" xr:uid="{00000000-0005-0000-0000-0000B2830000}"/>
    <cellStyle name="60% - Accent6 2 2" xfId="33724" xr:uid="{00000000-0005-0000-0000-0000B3830000}"/>
    <cellStyle name="60% - Accent6 2 2 2" xfId="33725" xr:uid="{00000000-0005-0000-0000-0000B4830000}"/>
    <cellStyle name="60% - Accent6 2 2 2 2" xfId="33726" xr:uid="{00000000-0005-0000-0000-0000B5830000}"/>
    <cellStyle name="60% - Accent6 2 2 2 2 2" xfId="33727" xr:uid="{00000000-0005-0000-0000-0000B6830000}"/>
    <cellStyle name="60% - Accent6 2 2 2 2 2 2" xfId="33728" xr:uid="{00000000-0005-0000-0000-0000B7830000}"/>
    <cellStyle name="60% - Accent6 2 2 2 2 3" xfId="33729" xr:uid="{00000000-0005-0000-0000-0000B8830000}"/>
    <cellStyle name="60% - Accent6 2 2 2 3" xfId="33730" xr:uid="{00000000-0005-0000-0000-0000B9830000}"/>
    <cellStyle name="60% - Accent6 2 2 3" xfId="33731" xr:uid="{00000000-0005-0000-0000-0000BA830000}"/>
    <cellStyle name="60% - Accent6 2 2 3 2" xfId="33732" xr:uid="{00000000-0005-0000-0000-0000BB830000}"/>
    <cellStyle name="60% - Accent6 2 2 4" xfId="33733" xr:uid="{00000000-0005-0000-0000-0000BC830000}"/>
    <cellStyle name="60% - Accent6 2 2 4 2" xfId="33734" xr:uid="{00000000-0005-0000-0000-0000BD830000}"/>
    <cellStyle name="60% - Accent6 2 2 5" xfId="33735" xr:uid="{00000000-0005-0000-0000-0000BE830000}"/>
    <cellStyle name="60% - Accent6 2 3" xfId="33736" xr:uid="{00000000-0005-0000-0000-0000BF830000}"/>
    <cellStyle name="60% - Accent6 2 3 2" xfId="33737" xr:uid="{00000000-0005-0000-0000-0000C0830000}"/>
    <cellStyle name="60% - Accent6 2 4" xfId="33738" xr:uid="{00000000-0005-0000-0000-0000C1830000}"/>
    <cellStyle name="60% - Accent6 2 4 2" xfId="33739" xr:uid="{00000000-0005-0000-0000-0000C2830000}"/>
    <cellStyle name="60% - Accent6 2 5" xfId="33740" xr:uid="{00000000-0005-0000-0000-0000C3830000}"/>
    <cellStyle name="60% - Accent6 2 5 2" xfId="33741" xr:uid="{00000000-0005-0000-0000-0000C4830000}"/>
    <cellStyle name="60% - Accent6 2 6" xfId="33742" xr:uid="{00000000-0005-0000-0000-0000C5830000}"/>
    <cellStyle name="60% - Accent6 20" xfId="33743" xr:uid="{00000000-0005-0000-0000-0000C6830000}"/>
    <cellStyle name="60% - Accent6 20 2" xfId="33744" xr:uid="{00000000-0005-0000-0000-0000C7830000}"/>
    <cellStyle name="60% - Accent6 21" xfId="33745" xr:uid="{00000000-0005-0000-0000-0000C8830000}"/>
    <cellStyle name="60% - Accent6 21 2" xfId="33746" xr:uid="{00000000-0005-0000-0000-0000C9830000}"/>
    <cellStyle name="60% - Accent6 22" xfId="33747" xr:uid="{00000000-0005-0000-0000-0000CA830000}"/>
    <cellStyle name="60% - Accent6 22 2" xfId="33748" xr:uid="{00000000-0005-0000-0000-0000CB830000}"/>
    <cellStyle name="60% - Accent6 23" xfId="33749" xr:uid="{00000000-0005-0000-0000-0000CC830000}"/>
    <cellStyle name="60% - Accent6 23 2" xfId="33750" xr:uid="{00000000-0005-0000-0000-0000CD830000}"/>
    <cellStyle name="60% - Accent6 24" xfId="33751" xr:uid="{00000000-0005-0000-0000-0000CE830000}"/>
    <cellStyle name="60% - Accent6 24 2" xfId="33752" xr:uid="{00000000-0005-0000-0000-0000CF830000}"/>
    <cellStyle name="60% - Accent6 25" xfId="33753" xr:uid="{00000000-0005-0000-0000-0000D0830000}"/>
    <cellStyle name="60% - Accent6 25 2" xfId="33754" xr:uid="{00000000-0005-0000-0000-0000D1830000}"/>
    <cellStyle name="60% - Accent6 26" xfId="33755" xr:uid="{00000000-0005-0000-0000-0000D2830000}"/>
    <cellStyle name="60% - Accent6 26 2" xfId="33756" xr:uid="{00000000-0005-0000-0000-0000D3830000}"/>
    <cellStyle name="60% - Accent6 27" xfId="33757" xr:uid="{00000000-0005-0000-0000-0000D4830000}"/>
    <cellStyle name="60% - Accent6 27 2" xfId="33758" xr:uid="{00000000-0005-0000-0000-0000D5830000}"/>
    <cellStyle name="60% - Accent6 28" xfId="33759" xr:uid="{00000000-0005-0000-0000-0000D6830000}"/>
    <cellStyle name="60% - Accent6 28 2" xfId="33760" xr:uid="{00000000-0005-0000-0000-0000D7830000}"/>
    <cellStyle name="60% - Accent6 29" xfId="33761" xr:uid="{00000000-0005-0000-0000-0000D8830000}"/>
    <cellStyle name="60% - Accent6 29 2" xfId="33762" xr:uid="{00000000-0005-0000-0000-0000D9830000}"/>
    <cellStyle name="60% - Accent6 3" xfId="33763" xr:uid="{00000000-0005-0000-0000-0000DA830000}"/>
    <cellStyle name="60% - Accent6 3 2" xfId="33764" xr:uid="{00000000-0005-0000-0000-0000DB830000}"/>
    <cellStyle name="60% - Accent6 3 2 2" xfId="33765" xr:uid="{00000000-0005-0000-0000-0000DC830000}"/>
    <cellStyle name="60% - Accent6 3 3" xfId="33766" xr:uid="{00000000-0005-0000-0000-0000DD830000}"/>
    <cellStyle name="60% - Accent6 3 3 2" xfId="33767" xr:uid="{00000000-0005-0000-0000-0000DE830000}"/>
    <cellStyle name="60% - Accent6 3 4" xfId="33768" xr:uid="{00000000-0005-0000-0000-0000DF830000}"/>
    <cellStyle name="60% - Accent6 30" xfId="33769" xr:uid="{00000000-0005-0000-0000-0000E0830000}"/>
    <cellStyle name="60% - Accent6 30 2" xfId="33770" xr:uid="{00000000-0005-0000-0000-0000E1830000}"/>
    <cellStyle name="60% - Accent6 31" xfId="33771" xr:uid="{00000000-0005-0000-0000-0000E2830000}"/>
    <cellStyle name="60% - Accent6 31 2" xfId="33772" xr:uid="{00000000-0005-0000-0000-0000E3830000}"/>
    <cellStyle name="60% - Accent6 32" xfId="33773" xr:uid="{00000000-0005-0000-0000-0000E4830000}"/>
    <cellStyle name="60% - Accent6 32 2" xfId="33774" xr:uid="{00000000-0005-0000-0000-0000E5830000}"/>
    <cellStyle name="60% - Accent6 33" xfId="33775" xr:uid="{00000000-0005-0000-0000-0000E6830000}"/>
    <cellStyle name="60% - Accent6 33 2" xfId="33776" xr:uid="{00000000-0005-0000-0000-0000E7830000}"/>
    <cellStyle name="60% - Accent6 34" xfId="33777" xr:uid="{00000000-0005-0000-0000-0000E8830000}"/>
    <cellStyle name="60% - Accent6 34 2" xfId="33778" xr:uid="{00000000-0005-0000-0000-0000E9830000}"/>
    <cellStyle name="60% - Accent6 35" xfId="33779" xr:uid="{00000000-0005-0000-0000-0000EA830000}"/>
    <cellStyle name="60% - Accent6 35 2" xfId="33780" xr:uid="{00000000-0005-0000-0000-0000EB830000}"/>
    <cellStyle name="60% - Accent6 36" xfId="33781" xr:uid="{00000000-0005-0000-0000-0000EC830000}"/>
    <cellStyle name="60% - Accent6 36 2" xfId="33782" xr:uid="{00000000-0005-0000-0000-0000ED830000}"/>
    <cellStyle name="60% - Accent6 37" xfId="33783" xr:uid="{00000000-0005-0000-0000-0000EE830000}"/>
    <cellStyle name="60% - Accent6 37 2" xfId="33784" xr:uid="{00000000-0005-0000-0000-0000EF830000}"/>
    <cellStyle name="60% - Accent6 38" xfId="33785" xr:uid="{00000000-0005-0000-0000-0000F0830000}"/>
    <cellStyle name="60% - Accent6 38 2" xfId="33786" xr:uid="{00000000-0005-0000-0000-0000F1830000}"/>
    <cellStyle name="60% - Accent6 39" xfId="33787" xr:uid="{00000000-0005-0000-0000-0000F2830000}"/>
    <cellStyle name="60% - Accent6 39 2" xfId="33788" xr:uid="{00000000-0005-0000-0000-0000F3830000}"/>
    <cellStyle name="60% - Accent6 4" xfId="33789" xr:uid="{00000000-0005-0000-0000-0000F4830000}"/>
    <cellStyle name="60% - Accent6 4 2" xfId="33790" xr:uid="{00000000-0005-0000-0000-0000F5830000}"/>
    <cellStyle name="60% - Accent6 4 2 2" xfId="33791" xr:uid="{00000000-0005-0000-0000-0000F6830000}"/>
    <cellStyle name="60% - Accent6 4 3" xfId="33792" xr:uid="{00000000-0005-0000-0000-0000F7830000}"/>
    <cellStyle name="60% - Accent6 4 3 2" xfId="33793" xr:uid="{00000000-0005-0000-0000-0000F8830000}"/>
    <cellStyle name="60% - Accent6 4 4" xfId="33794" xr:uid="{00000000-0005-0000-0000-0000F9830000}"/>
    <cellStyle name="60% - Accent6 40" xfId="33795" xr:uid="{00000000-0005-0000-0000-0000FA830000}"/>
    <cellStyle name="60% - Accent6 40 2" xfId="33796" xr:uid="{00000000-0005-0000-0000-0000FB830000}"/>
    <cellStyle name="60% - Accent6 41" xfId="33797" xr:uid="{00000000-0005-0000-0000-0000FC830000}"/>
    <cellStyle name="60% - Accent6 41 2" xfId="33798" xr:uid="{00000000-0005-0000-0000-0000FD830000}"/>
    <cellStyle name="60% - Accent6 42" xfId="33799" xr:uid="{00000000-0005-0000-0000-0000FE830000}"/>
    <cellStyle name="60% - Accent6 42 2" xfId="33800" xr:uid="{00000000-0005-0000-0000-0000FF830000}"/>
    <cellStyle name="60% - Accent6 43" xfId="33801" xr:uid="{00000000-0005-0000-0000-000000840000}"/>
    <cellStyle name="60% - Accent6 43 2" xfId="33802" xr:uid="{00000000-0005-0000-0000-000001840000}"/>
    <cellStyle name="60% - Accent6 44" xfId="33803" xr:uid="{00000000-0005-0000-0000-000002840000}"/>
    <cellStyle name="60% - Accent6 44 2" xfId="33804" xr:uid="{00000000-0005-0000-0000-000003840000}"/>
    <cellStyle name="60% - Accent6 45" xfId="33805" xr:uid="{00000000-0005-0000-0000-000004840000}"/>
    <cellStyle name="60% - Accent6 45 2" xfId="33806" xr:uid="{00000000-0005-0000-0000-000005840000}"/>
    <cellStyle name="60% - Accent6 46" xfId="33807" xr:uid="{00000000-0005-0000-0000-000006840000}"/>
    <cellStyle name="60% - Accent6 46 2" xfId="33808" xr:uid="{00000000-0005-0000-0000-000007840000}"/>
    <cellStyle name="60% - Accent6 47" xfId="33809" xr:uid="{00000000-0005-0000-0000-000008840000}"/>
    <cellStyle name="60% - Accent6 47 2" xfId="33810" xr:uid="{00000000-0005-0000-0000-000009840000}"/>
    <cellStyle name="60% - Accent6 48" xfId="33811" xr:uid="{00000000-0005-0000-0000-00000A840000}"/>
    <cellStyle name="60% - Accent6 48 2" xfId="33812" xr:uid="{00000000-0005-0000-0000-00000B840000}"/>
    <cellStyle name="60% - Accent6 49" xfId="33813" xr:uid="{00000000-0005-0000-0000-00000C840000}"/>
    <cellStyle name="60% - Accent6 49 2" xfId="33814" xr:uid="{00000000-0005-0000-0000-00000D840000}"/>
    <cellStyle name="60% - Accent6 5" xfId="33815" xr:uid="{00000000-0005-0000-0000-00000E840000}"/>
    <cellStyle name="60% - Accent6 5 2" xfId="33816" xr:uid="{00000000-0005-0000-0000-00000F840000}"/>
    <cellStyle name="60% - Accent6 5 2 2" xfId="33817" xr:uid="{00000000-0005-0000-0000-000010840000}"/>
    <cellStyle name="60% - Accent6 5 3" xfId="33818" xr:uid="{00000000-0005-0000-0000-000011840000}"/>
    <cellStyle name="60% - Accent6 5 3 2" xfId="33819" xr:uid="{00000000-0005-0000-0000-000012840000}"/>
    <cellStyle name="60% - Accent6 5 4" xfId="33820" xr:uid="{00000000-0005-0000-0000-000013840000}"/>
    <cellStyle name="60% - Accent6 50" xfId="33821" xr:uid="{00000000-0005-0000-0000-000014840000}"/>
    <cellStyle name="60% - Accent6 50 2" xfId="33822" xr:uid="{00000000-0005-0000-0000-000015840000}"/>
    <cellStyle name="60% - Accent6 51" xfId="33823" xr:uid="{00000000-0005-0000-0000-000016840000}"/>
    <cellStyle name="60% - Accent6 51 2" xfId="33824" xr:uid="{00000000-0005-0000-0000-000017840000}"/>
    <cellStyle name="60% - Accent6 52" xfId="33825" xr:uid="{00000000-0005-0000-0000-000018840000}"/>
    <cellStyle name="60% - Accent6 52 2" xfId="33826" xr:uid="{00000000-0005-0000-0000-000019840000}"/>
    <cellStyle name="60% - Accent6 53" xfId="33827" xr:uid="{00000000-0005-0000-0000-00001A840000}"/>
    <cellStyle name="60% - Accent6 53 2" xfId="33828" xr:uid="{00000000-0005-0000-0000-00001B840000}"/>
    <cellStyle name="60% - Accent6 54" xfId="33829" xr:uid="{00000000-0005-0000-0000-00001C840000}"/>
    <cellStyle name="60% - Accent6 54 2" xfId="33830" xr:uid="{00000000-0005-0000-0000-00001D840000}"/>
    <cellStyle name="60% - Accent6 55" xfId="33831" xr:uid="{00000000-0005-0000-0000-00001E840000}"/>
    <cellStyle name="60% - Accent6 55 2" xfId="33832" xr:uid="{00000000-0005-0000-0000-00001F840000}"/>
    <cellStyle name="60% - Accent6 56" xfId="33833" xr:uid="{00000000-0005-0000-0000-000020840000}"/>
    <cellStyle name="60% - Accent6 56 2" xfId="33834" xr:uid="{00000000-0005-0000-0000-000021840000}"/>
    <cellStyle name="60% - Accent6 57" xfId="33835" xr:uid="{00000000-0005-0000-0000-000022840000}"/>
    <cellStyle name="60% - Accent6 57 2" xfId="33836" xr:uid="{00000000-0005-0000-0000-000023840000}"/>
    <cellStyle name="60% - Accent6 58" xfId="33837" xr:uid="{00000000-0005-0000-0000-000024840000}"/>
    <cellStyle name="60% - Accent6 58 2" xfId="33838" xr:uid="{00000000-0005-0000-0000-000025840000}"/>
    <cellStyle name="60% - Accent6 59" xfId="33839" xr:uid="{00000000-0005-0000-0000-000026840000}"/>
    <cellStyle name="60% - Accent6 59 2" xfId="33840" xr:uid="{00000000-0005-0000-0000-000027840000}"/>
    <cellStyle name="60% - Accent6 59 2 2" xfId="33841" xr:uid="{00000000-0005-0000-0000-000028840000}"/>
    <cellStyle name="60% - Accent6 59 3" xfId="33842" xr:uid="{00000000-0005-0000-0000-000029840000}"/>
    <cellStyle name="60% - Accent6 6" xfId="33843" xr:uid="{00000000-0005-0000-0000-00002A840000}"/>
    <cellStyle name="60% - Accent6 6 2" xfId="33844" xr:uid="{00000000-0005-0000-0000-00002B840000}"/>
    <cellStyle name="60% - Accent6 6 2 2" xfId="33845" xr:uid="{00000000-0005-0000-0000-00002C840000}"/>
    <cellStyle name="60% - Accent6 6 3" xfId="33846" xr:uid="{00000000-0005-0000-0000-00002D840000}"/>
    <cellStyle name="60% - Accent6 6 3 2" xfId="33847" xr:uid="{00000000-0005-0000-0000-00002E840000}"/>
    <cellStyle name="60% - Accent6 6 4" xfId="33848" xr:uid="{00000000-0005-0000-0000-00002F840000}"/>
    <cellStyle name="60% - Accent6 60" xfId="33849" xr:uid="{00000000-0005-0000-0000-000030840000}"/>
    <cellStyle name="60% - Accent6 60 2" xfId="33850" xr:uid="{00000000-0005-0000-0000-000031840000}"/>
    <cellStyle name="60% - Accent6 61" xfId="33851" xr:uid="{00000000-0005-0000-0000-000032840000}"/>
    <cellStyle name="60% - Accent6 61 2" xfId="33852" xr:uid="{00000000-0005-0000-0000-000033840000}"/>
    <cellStyle name="60% - Accent6 62" xfId="33853" xr:uid="{00000000-0005-0000-0000-000034840000}"/>
    <cellStyle name="60% - Accent6 62 2" xfId="33854" xr:uid="{00000000-0005-0000-0000-000035840000}"/>
    <cellStyle name="60% - Accent6 63" xfId="33855" xr:uid="{00000000-0005-0000-0000-000036840000}"/>
    <cellStyle name="60% - Accent6 63 2" xfId="33856" xr:uid="{00000000-0005-0000-0000-000037840000}"/>
    <cellStyle name="60% - Accent6 64" xfId="33857" xr:uid="{00000000-0005-0000-0000-000038840000}"/>
    <cellStyle name="60% - Accent6 64 2" xfId="33858" xr:uid="{00000000-0005-0000-0000-000039840000}"/>
    <cellStyle name="60% - Accent6 65" xfId="33859" xr:uid="{00000000-0005-0000-0000-00003A840000}"/>
    <cellStyle name="60% - Accent6 65 2" xfId="33860" xr:uid="{00000000-0005-0000-0000-00003B840000}"/>
    <cellStyle name="60% - Accent6 66" xfId="33861" xr:uid="{00000000-0005-0000-0000-00003C840000}"/>
    <cellStyle name="60% - Accent6 66 2" xfId="33862" xr:uid="{00000000-0005-0000-0000-00003D840000}"/>
    <cellStyle name="60% - Accent6 67" xfId="33863" xr:uid="{00000000-0005-0000-0000-00003E840000}"/>
    <cellStyle name="60% - Accent6 67 2" xfId="33864" xr:uid="{00000000-0005-0000-0000-00003F840000}"/>
    <cellStyle name="60% - Accent6 68" xfId="33865" xr:uid="{00000000-0005-0000-0000-000040840000}"/>
    <cellStyle name="60% - Accent6 68 2" xfId="33866" xr:uid="{00000000-0005-0000-0000-000041840000}"/>
    <cellStyle name="60% - Accent6 69" xfId="33867" xr:uid="{00000000-0005-0000-0000-000042840000}"/>
    <cellStyle name="60% - Accent6 69 2" xfId="33868" xr:uid="{00000000-0005-0000-0000-000043840000}"/>
    <cellStyle name="60% - Accent6 7" xfId="33869" xr:uid="{00000000-0005-0000-0000-000044840000}"/>
    <cellStyle name="60% - Accent6 7 2" xfId="33870" xr:uid="{00000000-0005-0000-0000-000045840000}"/>
    <cellStyle name="60% - Accent6 7 2 2" xfId="33871" xr:uid="{00000000-0005-0000-0000-000046840000}"/>
    <cellStyle name="60% - Accent6 7 3" xfId="33872" xr:uid="{00000000-0005-0000-0000-000047840000}"/>
    <cellStyle name="60% - Accent6 7 3 2" xfId="33873" xr:uid="{00000000-0005-0000-0000-000048840000}"/>
    <cellStyle name="60% - Accent6 7 4" xfId="33874" xr:uid="{00000000-0005-0000-0000-000049840000}"/>
    <cellStyle name="60% - Accent6 70" xfId="33875" xr:uid="{00000000-0005-0000-0000-00004A840000}"/>
    <cellStyle name="60% - Accent6 70 2" xfId="33876" xr:uid="{00000000-0005-0000-0000-00004B840000}"/>
    <cellStyle name="60% - Accent6 71" xfId="33877" xr:uid="{00000000-0005-0000-0000-00004C840000}"/>
    <cellStyle name="60% - Accent6 71 2" xfId="33878" xr:uid="{00000000-0005-0000-0000-00004D840000}"/>
    <cellStyle name="60% - Accent6 72" xfId="33879" xr:uid="{00000000-0005-0000-0000-00004E840000}"/>
    <cellStyle name="60% - Accent6 72 2" xfId="33880" xr:uid="{00000000-0005-0000-0000-00004F840000}"/>
    <cellStyle name="60% - Accent6 73" xfId="33881" xr:uid="{00000000-0005-0000-0000-000050840000}"/>
    <cellStyle name="60% - Accent6 73 2" xfId="33882" xr:uid="{00000000-0005-0000-0000-000051840000}"/>
    <cellStyle name="60% - Accent6 74" xfId="33883" xr:uid="{00000000-0005-0000-0000-000052840000}"/>
    <cellStyle name="60% - Accent6 74 2" xfId="33884" xr:uid="{00000000-0005-0000-0000-000053840000}"/>
    <cellStyle name="60% - Accent6 75" xfId="33885" xr:uid="{00000000-0005-0000-0000-000054840000}"/>
    <cellStyle name="60% - Accent6 75 2" xfId="33886" xr:uid="{00000000-0005-0000-0000-000055840000}"/>
    <cellStyle name="60% - Accent6 76" xfId="33887" xr:uid="{00000000-0005-0000-0000-000056840000}"/>
    <cellStyle name="60% - Accent6 76 2" xfId="33888" xr:uid="{00000000-0005-0000-0000-000057840000}"/>
    <cellStyle name="60% - Accent6 77" xfId="33889" xr:uid="{00000000-0005-0000-0000-000058840000}"/>
    <cellStyle name="60% - Accent6 77 2" xfId="33890" xr:uid="{00000000-0005-0000-0000-000059840000}"/>
    <cellStyle name="60% - Accent6 78" xfId="33891" xr:uid="{00000000-0005-0000-0000-00005A840000}"/>
    <cellStyle name="60% - Accent6 78 2" xfId="33892" xr:uid="{00000000-0005-0000-0000-00005B840000}"/>
    <cellStyle name="60% - Accent6 79" xfId="33893" xr:uid="{00000000-0005-0000-0000-00005C840000}"/>
    <cellStyle name="60% - Accent6 79 2" xfId="33894" xr:uid="{00000000-0005-0000-0000-00005D840000}"/>
    <cellStyle name="60% - Accent6 8" xfId="33895" xr:uid="{00000000-0005-0000-0000-00005E840000}"/>
    <cellStyle name="60% - Accent6 8 2" xfId="33896" xr:uid="{00000000-0005-0000-0000-00005F840000}"/>
    <cellStyle name="60% - Accent6 8 2 2" xfId="33897" xr:uid="{00000000-0005-0000-0000-000060840000}"/>
    <cellStyle name="60% - Accent6 8 3" xfId="33898" xr:uid="{00000000-0005-0000-0000-000061840000}"/>
    <cellStyle name="60% - Accent6 8 3 2" xfId="33899" xr:uid="{00000000-0005-0000-0000-000062840000}"/>
    <cellStyle name="60% - Accent6 8 4" xfId="33900" xr:uid="{00000000-0005-0000-0000-000063840000}"/>
    <cellStyle name="60% - Accent6 80" xfId="33901" xr:uid="{00000000-0005-0000-0000-000064840000}"/>
    <cellStyle name="60% - Accent6 80 2" xfId="33902" xr:uid="{00000000-0005-0000-0000-000065840000}"/>
    <cellStyle name="60% - Accent6 81" xfId="33903" xr:uid="{00000000-0005-0000-0000-000066840000}"/>
    <cellStyle name="60% - Accent6 81 2" xfId="33904" xr:uid="{00000000-0005-0000-0000-000067840000}"/>
    <cellStyle name="60% - Accent6 82" xfId="33905" xr:uid="{00000000-0005-0000-0000-000068840000}"/>
    <cellStyle name="60% - Accent6 82 2" xfId="33906" xr:uid="{00000000-0005-0000-0000-000069840000}"/>
    <cellStyle name="60% - Accent6 83" xfId="33907" xr:uid="{00000000-0005-0000-0000-00006A840000}"/>
    <cellStyle name="60% - Accent6 83 2" xfId="33908" xr:uid="{00000000-0005-0000-0000-00006B840000}"/>
    <cellStyle name="60% - Accent6 84" xfId="33909" xr:uid="{00000000-0005-0000-0000-00006C840000}"/>
    <cellStyle name="60% - Accent6 84 2" xfId="33910" xr:uid="{00000000-0005-0000-0000-00006D840000}"/>
    <cellStyle name="60% - Accent6 85" xfId="33911" xr:uid="{00000000-0005-0000-0000-00006E840000}"/>
    <cellStyle name="60% - Accent6 85 2" xfId="33912" xr:uid="{00000000-0005-0000-0000-00006F840000}"/>
    <cellStyle name="60% - Accent6 86" xfId="33913" xr:uid="{00000000-0005-0000-0000-000070840000}"/>
    <cellStyle name="60% - Accent6 86 2" xfId="33914" xr:uid="{00000000-0005-0000-0000-000071840000}"/>
    <cellStyle name="60% - Accent6 87" xfId="33915" xr:uid="{00000000-0005-0000-0000-000072840000}"/>
    <cellStyle name="60% - Accent6 87 2" xfId="33916" xr:uid="{00000000-0005-0000-0000-000073840000}"/>
    <cellStyle name="60% - Accent6 88" xfId="33917" xr:uid="{00000000-0005-0000-0000-000074840000}"/>
    <cellStyle name="60% - Accent6 88 2" xfId="33918" xr:uid="{00000000-0005-0000-0000-000075840000}"/>
    <cellStyle name="60% - Accent6 89" xfId="33919" xr:uid="{00000000-0005-0000-0000-000076840000}"/>
    <cellStyle name="60% - Accent6 89 2" xfId="33920" xr:uid="{00000000-0005-0000-0000-000077840000}"/>
    <cellStyle name="60% - Accent6 9" xfId="33921" xr:uid="{00000000-0005-0000-0000-000078840000}"/>
    <cellStyle name="60% - Accent6 9 2" xfId="33922" xr:uid="{00000000-0005-0000-0000-000079840000}"/>
    <cellStyle name="60% - Accent6 9 2 2" xfId="33923" xr:uid="{00000000-0005-0000-0000-00007A840000}"/>
    <cellStyle name="60% - Accent6 9 3" xfId="33924" xr:uid="{00000000-0005-0000-0000-00007B840000}"/>
    <cellStyle name="60% - Accent6 9 3 2" xfId="33925" xr:uid="{00000000-0005-0000-0000-00007C840000}"/>
    <cellStyle name="60% - Accent6 9 4" xfId="33926" xr:uid="{00000000-0005-0000-0000-00007D840000}"/>
    <cellStyle name="60% - Accent6 90" xfId="33927" xr:uid="{00000000-0005-0000-0000-00007E840000}"/>
    <cellStyle name="60% - Accent6 90 2" xfId="33928" xr:uid="{00000000-0005-0000-0000-00007F840000}"/>
    <cellStyle name="60% - Accent6 91" xfId="33929" xr:uid="{00000000-0005-0000-0000-000080840000}"/>
    <cellStyle name="60% - Accent6 91 2" xfId="33930" xr:uid="{00000000-0005-0000-0000-000081840000}"/>
    <cellStyle name="60% - Accent6 92" xfId="33931" xr:uid="{00000000-0005-0000-0000-000082840000}"/>
    <cellStyle name="60% - Accent6 92 2" xfId="33932" xr:uid="{00000000-0005-0000-0000-000083840000}"/>
    <cellStyle name="60% - Accent6 93" xfId="33933" xr:uid="{00000000-0005-0000-0000-000084840000}"/>
    <cellStyle name="60% - Accent6 93 2" xfId="33934" xr:uid="{00000000-0005-0000-0000-000085840000}"/>
    <cellStyle name="60% - Accent6 94" xfId="33935" xr:uid="{00000000-0005-0000-0000-000086840000}"/>
    <cellStyle name="60% - Accent6 94 2" xfId="33936" xr:uid="{00000000-0005-0000-0000-000087840000}"/>
    <cellStyle name="60% - Accent6 95" xfId="33937" xr:uid="{00000000-0005-0000-0000-000088840000}"/>
    <cellStyle name="60% - Accent6 95 2" xfId="33938" xr:uid="{00000000-0005-0000-0000-000089840000}"/>
    <cellStyle name="60% - Accent6 96" xfId="33939" xr:uid="{00000000-0005-0000-0000-00008A840000}"/>
    <cellStyle name="60% - Accent6 96 2" xfId="33940" xr:uid="{00000000-0005-0000-0000-00008B840000}"/>
    <cellStyle name="60% - Accent6 97" xfId="33941" xr:uid="{00000000-0005-0000-0000-00008C840000}"/>
    <cellStyle name="60% - Accent6 97 2" xfId="33942" xr:uid="{00000000-0005-0000-0000-00008D840000}"/>
    <cellStyle name="60% - Accent6 98" xfId="33943" xr:uid="{00000000-0005-0000-0000-00008E840000}"/>
    <cellStyle name="60% - Accent6 98 2" xfId="33944" xr:uid="{00000000-0005-0000-0000-00008F840000}"/>
    <cellStyle name="60% - Accent6 99" xfId="33945" xr:uid="{00000000-0005-0000-0000-000090840000}"/>
    <cellStyle name="60% - Accent6 99 2" xfId="33946" xr:uid="{00000000-0005-0000-0000-000091840000}"/>
    <cellStyle name="60% - Ênfase1 2" xfId="33947" xr:uid="{00000000-0005-0000-0000-000092840000}"/>
    <cellStyle name="60% - Ênfase1 2 2" xfId="33948" xr:uid="{00000000-0005-0000-0000-000093840000}"/>
    <cellStyle name="60% - Ênfase1 3" xfId="33949" xr:uid="{00000000-0005-0000-0000-000094840000}"/>
    <cellStyle name="60% - Ênfase2 2" xfId="33950" xr:uid="{00000000-0005-0000-0000-000095840000}"/>
    <cellStyle name="60% - Ênfase2 2 2" xfId="33951" xr:uid="{00000000-0005-0000-0000-000096840000}"/>
    <cellStyle name="60% - Ênfase2 3" xfId="33952" xr:uid="{00000000-0005-0000-0000-000097840000}"/>
    <cellStyle name="60% - Ênfase3 2" xfId="33953" xr:uid="{00000000-0005-0000-0000-000098840000}"/>
    <cellStyle name="60% - Ênfase3 2 2" xfId="33954" xr:uid="{00000000-0005-0000-0000-000099840000}"/>
    <cellStyle name="60% - Ênfase3 3" xfId="33955" xr:uid="{00000000-0005-0000-0000-00009A840000}"/>
    <cellStyle name="60% - Ênfase4 2" xfId="33956" xr:uid="{00000000-0005-0000-0000-00009B840000}"/>
    <cellStyle name="60% - Ênfase4 2 2" xfId="33957" xr:uid="{00000000-0005-0000-0000-00009C840000}"/>
    <cellStyle name="60% - Ênfase4 3" xfId="33958" xr:uid="{00000000-0005-0000-0000-00009D840000}"/>
    <cellStyle name="60% - Ênfase5 2" xfId="33959" xr:uid="{00000000-0005-0000-0000-00009E840000}"/>
    <cellStyle name="60% - Ênfase5 2 2" xfId="33960" xr:uid="{00000000-0005-0000-0000-00009F840000}"/>
    <cellStyle name="60% - Ênfase5 3" xfId="33961" xr:uid="{00000000-0005-0000-0000-0000A0840000}"/>
    <cellStyle name="60% - Ênfase6 2" xfId="33962" xr:uid="{00000000-0005-0000-0000-0000A1840000}"/>
    <cellStyle name="60% - Ênfase6 2 2" xfId="33963" xr:uid="{00000000-0005-0000-0000-0000A2840000}"/>
    <cellStyle name="60% - Ênfase6 3" xfId="33964" xr:uid="{00000000-0005-0000-0000-0000A3840000}"/>
    <cellStyle name="60% - Énfasis1" xfId="33965" xr:uid="{00000000-0005-0000-0000-0000A4840000}"/>
    <cellStyle name="60% - Énfasis1 2" xfId="33966" xr:uid="{00000000-0005-0000-0000-0000A5840000}"/>
    <cellStyle name="60% - Énfasis1 2 2" xfId="33967" xr:uid="{00000000-0005-0000-0000-0000A6840000}"/>
    <cellStyle name="60% - Énfasis1 3" xfId="33968" xr:uid="{00000000-0005-0000-0000-0000A7840000}"/>
    <cellStyle name="60% - Énfasis2" xfId="33969" xr:uid="{00000000-0005-0000-0000-0000A8840000}"/>
    <cellStyle name="60% - Énfasis2 2" xfId="33970" xr:uid="{00000000-0005-0000-0000-0000A9840000}"/>
    <cellStyle name="60% - Énfasis2 2 2" xfId="33971" xr:uid="{00000000-0005-0000-0000-0000AA840000}"/>
    <cellStyle name="60% - Énfasis2 3" xfId="33972" xr:uid="{00000000-0005-0000-0000-0000AB840000}"/>
    <cellStyle name="60% - Énfasis3" xfId="33973" xr:uid="{00000000-0005-0000-0000-0000AC840000}"/>
    <cellStyle name="60% - Énfasis3 2" xfId="33974" xr:uid="{00000000-0005-0000-0000-0000AD840000}"/>
    <cellStyle name="60% - Énfasis3 2 2" xfId="33975" xr:uid="{00000000-0005-0000-0000-0000AE840000}"/>
    <cellStyle name="60% - Énfasis3 3" xfId="33976" xr:uid="{00000000-0005-0000-0000-0000AF840000}"/>
    <cellStyle name="60% - Énfasis4" xfId="33977" xr:uid="{00000000-0005-0000-0000-0000B0840000}"/>
    <cellStyle name="60% - Énfasis4 2" xfId="33978" xr:uid="{00000000-0005-0000-0000-0000B1840000}"/>
    <cellStyle name="60% - Énfasis4 2 2" xfId="33979" xr:uid="{00000000-0005-0000-0000-0000B2840000}"/>
    <cellStyle name="60% - Énfasis4 3" xfId="33980" xr:uid="{00000000-0005-0000-0000-0000B3840000}"/>
    <cellStyle name="60% - Énfasis5" xfId="33981" xr:uid="{00000000-0005-0000-0000-0000B4840000}"/>
    <cellStyle name="60% - Énfasis5 2" xfId="33982" xr:uid="{00000000-0005-0000-0000-0000B5840000}"/>
    <cellStyle name="60% - Énfasis5 2 2" xfId="33983" xr:uid="{00000000-0005-0000-0000-0000B6840000}"/>
    <cellStyle name="60% - Énfasis5 3" xfId="33984" xr:uid="{00000000-0005-0000-0000-0000B7840000}"/>
    <cellStyle name="60% - Énfasis6" xfId="33985" xr:uid="{00000000-0005-0000-0000-0000B8840000}"/>
    <cellStyle name="60% - Énfasis6 2" xfId="33986" xr:uid="{00000000-0005-0000-0000-0000B9840000}"/>
    <cellStyle name="60% - Énfasis6 2 2" xfId="33987" xr:uid="{00000000-0005-0000-0000-0000BA840000}"/>
    <cellStyle name="60% - Énfasis6 3" xfId="33988" xr:uid="{00000000-0005-0000-0000-0000BB840000}"/>
    <cellStyle name="752131" xfId="33989" xr:uid="{00000000-0005-0000-0000-0000BC840000}"/>
    <cellStyle name="8pt" xfId="33990" xr:uid="{00000000-0005-0000-0000-0000BD840000}"/>
    <cellStyle name="8pt 2" xfId="33991" xr:uid="{00000000-0005-0000-0000-0000BE840000}"/>
    <cellStyle name="8pt 2 2" xfId="33992" xr:uid="{00000000-0005-0000-0000-0000BF840000}"/>
    <cellStyle name="8pt 2 2 2" xfId="33993" xr:uid="{00000000-0005-0000-0000-0000C0840000}"/>
    <cellStyle name="8pt 2 3" xfId="33994" xr:uid="{00000000-0005-0000-0000-0000C1840000}"/>
    <cellStyle name="8pt 3" xfId="33995" xr:uid="{00000000-0005-0000-0000-0000C2840000}"/>
    <cellStyle name="8pt 3 2" xfId="33996" xr:uid="{00000000-0005-0000-0000-0000C3840000}"/>
    <cellStyle name="8pt 4" xfId="33997" xr:uid="{00000000-0005-0000-0000-0000C4840000}"/>
    <cellStyle name="Aaia?iue [0]_vaqduGfTSN7qyUJNWHRlcWo3H" xfId="33998" xr:uid="{00000000-0005-0000-0000-0000C5840000}"/>
    <cellStyle name="Aaia?iue_vaqduGfTSN7qyUJNWHRlcWo3H" xfId="33999" xr:uid="{00000000-0005-0000-0000-0000C6840000}"/>
    <cellStyle name="Äåíåæíûé [0]_vaqduGfTSN7qyUJNWHRlcWo3H" xfId="34000" xr:uid="{00000000-0005-0000-0000-0000C7840000}"/>
    <cellStyle name="Äåíåæíûé_vaqduGfTSN7qyUJNWHRlcWo3H" xfId="34001" xr:uid="{00000000-0005-0000-0000-0000C8840000}"/>
    <cellStyle name="ab" xfId="34002" xr:uid="{00000000-0005-0000-0000-0000C9840000}"/>
    <cellStyle name="ac" xfId="34003" xr:uid="{00000000-0005-0000-0000-0000CA840000}"/>
    <cellStyle name="ac 2" xfId="34004" xr:uid="{00000000-0005-0000-0000-0000CB840000}"/>
    <cellStyle name="ac 2 2" xfId="34005" xr:uid="{00000000-0005-0000-0000-0000CC840000}"/>
    <cellStyle name="ac 3" xfId="34006" xr:uid="{00000000-0005-0000-0000-0000CD840000}"/>
    <cellStyle name="Accent1 - 20%" xfId="34007" xr:uid="{00000000-0005-0000-0000-0000CE840000}"/>
    <cellStyle name="Accent1 - 20% 2" xfId="34008" xr:uid="{00000000-0005-0000-0000-0000CF840000}"/>
    <cellStyle name="Accent1 - 20% 2 2" xfId="34009" xr:uid="{00000000-0005-0000-0000-0000D0840000}"/>
    <cellStyle name="Accent1 - 20% 3" xfId="34010" xr:uid="{00000000-0005-0000-0000-0000D1840000}"/>
    <cellStyle name="Accent1 - 20% 3 2" xfId="34011" xr:uid="{00000000-0005-0000-0000-0000D2840000}"/>
    <cellStyle name="Accent1 - 20% 4" xfId="34012" xr:uid="{00000000-0005-0000-0000-0000D3840000}"/>
    <cellStyle name="Accent1 - 20% 4 2" xfId="34013" xr:uid="{00000000-0005-0000-0000-0000D4840000}"/>
    <cellStyle name="Accent1 - 20% 5" xfId="34014" xr:uid="{00000000-0005-0000-0000-0000D5840000}"/>
    <cellStyle name="Accent1 - 20% 5 2" xfId="34015" xr:uid="{00000000-0005-0000-0000-0000D6840000}"/>
    <cellStyle name="Accent1 - 20% 6" xfId="34016" xr:uid="{00000000-0005-0000-0000-0000D7840000}"/>
    <cellStyle name="Accent1 - 40%" xfId="34017" xr:uid="{00000000-0005-0000-0000-0000D8840000}"/>
    <cellStyle name="Accent1 - 40% 2" xfId="34018" xr:uid="{00000000-0005-0000-0000-0000D9840000}"/>
    <cellStyle name="Accent1 - 40% 2 2" xfId="34019" xr:uid="{00000000-0005-0000-0000-0000DA840000}"/>
    <cellStyle name="Accent1 - 40% 3" xfId="34020" xr:uid="{00000000-0005-0000-0000-0000DB840000}"/>
    <cellStyle name="Accent1 - 40% 3 2" xfId="34021" xr:uid="{00000000-0005-0000-0000-0000DC840000}"/>
    <cellStyle name="Accent1 - 40% 4" xfId="34022" xr:uid="{00000000-0005-0000-0000-0000DD840000}"/>
    <cellStyle name="Accent1 - 40% 4 2" xfId="34023" xr:uid="{00000000-0005-0000-0000-0000DE840000}"/>
    <cellStyle name="Accent1 - 40% 5" xfId="34024" xr:uid="{00000000-0005-0000-0000-0000DF840000}"/>
    <cellStyle name="Accent1 - 40% 5 2" xfId="34025" xr:uid="{00000000-0005-0000-0000-0000E0840000}"/>
    <cellStyle name="Accent1 - 40% 6" xfId="34026" xr:uid="{00000000-0005-0000-0000-0000E1840000}"/>
    <cellStyle name="Accent1 - 60%" xfId="34027" xr:uid="{00000000-0005-0000-0000-0000E2840000}"/>
    <cellStyle name="Accent1 - 60% 2" xfId="34028" xr:uid="{00000000-0005-0000-0000-0000E3840000}"/>
    <cellStyle name="Accent1 - 60% 2 2" xfId="34029" xr:uid="{00000000-0005-0000-0000-0000E4840000}"/>
    <cellStyle name="Accent1 - 60% 3" xfId="34030" xr:uid="{00000000-0005-0000-0000-0000E5840000}"/>
    <cellStyle name="Accent1 - 60% 3 2" xfId="34031" xr:uid="{00000000-0005-0000-0000-0000E6840000}"/>
    <cellStyle name="Accent1 - 60% 4" xfId="34032" xr:uid="{00000000-0005-0000-0000-0000E7840000}"/>
    <cellStyle name="Accent1 - 60% 4 2" xfId="34033" xr:uid="{00000000-0005-0000-0000-0000E8840000}"/>
    <cellStyle name="Accent1 - 60% 5" xfId="34034" xr:uid="{00000000-0005-0000-0000-0000E9840000}"/>
    <cellStyle name="Accent1 - 60% 5 2" xfId="34035" xr:uid="{00000000-0005-0000-0000-0000EA840000}"/>
    <cellStyle name="Accent1 - 60% 6" xfId="34036" xr:uid="{00000000-0005-0000-0000-0000EB840000}"/>
    <cellStyle name="Accent1 10" xfId="34037" xr:uid="{00000000-0005-0000-0000-0000EC840000}"/>
    <cellStyle name="Accent1 10 2" xfId="34038" xr:uid="{00000000-0005-0000-0000-0000ED840000}"/>
    <cellStyle name="Accent1 10 2 2" xfId="34039" xr:uid="{00000000-0005-0000-0000-0000EE840000}"/>
    <cellStyle name="Accent1 10 3" xfId="34040" xr:uid="{00000000-0005-0000-0000-0000EF840000}"/>
    <cellStyle name="Accent1 100" xfId="34041" xr:uid="{00000000-0005-0000-0000-0000F0840000}"/>
    <cellStyle name="Accent1 100 2" xfId="34042" xr:uid="{00000000-0005-0000-0000-0000F1840000}"/>
    <cellStyle name="Accent1 100 2 2" xfId="34043" xr:uid="{00000000-0005-0000-0000-0000F2840000}"/>
    <cellStyle name="Accent1 100 3" xfId="34044" xr:uid="{00000000-0005-0000-0000-0000F3840000}"/>
    <cellStyle name="Accent1 101" xfId="34045" xr:uid="{00000000-0005-0000-0000-0000F4840000}"/>
    <cellStyle name="Accent1 101 2" xfId="34046" xr:uid="{00000000-0005-0000-0000-0000F5840000}"/>
    <cellStyle name="Accent1 101 2 2" xfId="34047" xr:uid="{00000000-0005-0000-0000-0000F6840000}"/>
    <cellStyle name="Accent1 101 3" xfId="34048" xr:uid="{00000000-0005-0000-0000-0000F7840000}"/>
    <cellStyle name="Accent1 102" xfId="34049" xr:uid="{00000000-0005-0000-0000-0000F8840000}"/>
    <cellStyle name="Accent1 102 2" xfId="34050" xr:uid="{00000000-0005-0000-0000-0000F9840000}"/>
    <cellStyle name="Accent1 102 2 2" xfId="34051" xr:uid="{00000000-0005-0000-0000-0000FA840000}"/>
    <cellStyle name="Accent1 102 3" xfId="34052" xr:uid="{00000000-0005-0000-0000-0000FB840000}"/>
    <cellStyle name="Accent1 103" xfId="34053" xr:uid="{00000000-0005-0000-0000-0000FC840000}"/>
    <cellStyle name="Accent1 103 2" xfId="34054" xr:uid="{00000000-0005-0000-0000-0000FD840000}"/>
    <cellStyle name="Accent1 103 2 2" xfId="34055" xr:uid="{00000000-0005-0000-0000-0000FE840000}"/>
    <cellStyle name="Accent1 103 3" xfId="34056" xr:uid="{00000000-0005-0000-0000-0000FF840000}"/>
    <cellStyle name="Accent1 104" xfId="34057" xr:uid="{00000000-0005-0000-0000-000000850000}"/>
    <cellStyle name="Accent1 104 2" xfId="34058" xr:uid="{00000000-0005-0000-0000-000001850000}"/>
    <cellStyle name="Accent1 104 2 2" xfId="34059" xr:uid="{00000000-0005-0000-0000-000002850000}"/>
    <cellStyle name="Accent1 104 3" xfId="34060" xr:uid="{00000000-0005-0000-0000-000003850000}"/>
    <cellStyle name="Accent1 105" xfId="34061" xr:uid="{00000000-0005-0000-0000-000004850000}"/>
    <cellStyle name="Accent1 105 2" xfId="34062" xr:uid="{00000000-0005-0000-0000-000005850000}"/>
    <cellStyle name="Accent1 105 2 2" xfId="34063" xr:uid="{00000000-0005-0000-0000-000006850000}"/>
    <cellStyle name="Accent1 105 3" xfId="34064" xr:uid="{00000000-0005-0000-0000-000007850000}"/>
    <cellStyle name="Accent1 106" xfId="34065" xr:uid="{00000000-0005-0000-0000-000008850000}"/>
    <cellStyle name="Accent1 106 2" xfId="34066" xr:uid="{00000000-0005-0000-0000-000009850000}"/>
    <cellStyle name="Accent1 106 2 2" xfId="34067" xr:uid="{00000000-0005-0000-0000-00000A850000}"/>
    <cellStyle name="Accent1 106 3" xfId="34068" xr:uid="{00000000-0005-0000-0000-00000B850000}"/>
    <cellStyle name="Accent1 107" xfId="34069" xr:uid="{00000000-0005-0000-0000-00000C850000}"/>
    <cellStyle name="Accent1 107 2" xfId="34070" xr:uid="{00000000-0005-0000-0000-00000D850000}"/>
    <cellStyle name="Accent1 107 2 2" xfId="34071" xr:uid="{00000000-0005-0000-0000-00000E850000}"/>
    <cellStyle name="Accent1 107 3" xfId="34072" xr:uid="{00000000-0005-0000-0000-00000F850000}"/>
    <cellStyle name="Accent1 108" xfId="34073" xr:uid="{00000000-0005-0000-0000-000010850000}"/>
    <cellStyle name="Accent1 108 2" xfId="34074" xr:uid="{00000000-0005-0000-0000-000011850000}"/>
    <cellStyle name="Accent1 108 2 2" xfId="34075" xr:uid="{00000000-0005-0000-0000-000012850000}"/>
    <cellStyle name="Accent1 108 3" xfId="34076" xr:uid="{00000000-0005-0000-0000-000013850000}"/>
    <cellStyle name="Accent1 109" xfId="34077" xr:uid="{00000000-0005-0000-0000-000014850000}"/>
    <cellStyle name="Accent1 109 2" xfId="34078" xr:uid="{00000000-0005-0000-0000-000015850000}"/>
    <cellStyle name="Accent1 109 2 2" xfId="34079" xr:uid="{00000000-0005-0000-0000-000016850000}"/>
    <cellStyle name="Accent1 109 3" xfId="34080" xr:uid="{00000000-0005-0000-0000-000017850000}"/>
    <cellStyle name="Accent1 11" xfId="34081" xr:uid="{00000000-0005-0000-0000-000018850000}"/>
    <cellStyle name="Accent1 11 2" xfId="34082" xr:uid="{00000000-0005-0000-0000-000019850000}"/>
    <cellStyle name="Accent1 11 2 2" xfId="34083" xr:uid="{00000000-0005-0000-0000-00001A850000}"/>
    <cellStyle name="Accent1 11 3" xfId="34084" xr:uid="{00000000-0005-0000-0000-00001B850000}"/>
    <cellStyle name="Accent1 110" xfId="34085" xr:uid="{00000000-0005-0000-0000-00001C850000}"/>
    <cellStyle name="Accent1 110 2" xfId="34086" xr:uid="{00000000-0005-0000-0000-00001D850000}"/>
    <cellStyle name="Accent1 110 2 2" xfId="34087" xr:uid="{00000000-0005-0000-0000-00001E850000}"/>
    <cellStyle name="Accent1 110 3" xfId="34088" xr:uid="{00000000-0005-0000-0000-00001F850000}"/>
    <cellStyle name="Accent1 111" xfId="34089" xr:uid="{00000000-0005-0000-0000-000020850000}"/>
    <cellStyle name="Accent1 111 2" xfId="34090" xr:uid="{00000000-0005-0000-0000-000021850000}"/>
    <cellStyle name="Accent1 111 2 2" xfId="34091" xr:uid="{00000000-0005-0000-0000-000022850000}"/>
    <cellStyle name="Accent1 111 3" xfId="34092" xr:uid="{00000000-0005-0000-0000-000023850000}"/>
    <cellStyle name="Accent1 112" xfId="34093" xr:uid="{00000000-0005-0000-0000-000024850000}"/>
    <cellStyle name="Accent1 112 2" xfId="34094" xr:uid="{00000000-0005-0000-0000-000025850000}"/>
    <cellStyle name="Accent1 112 2 2" xfId="34095" xr:uid="{00000000-0005-0000-0000-000026850000}"/>
    <cellStyle name="Accent1 112 3" xfId="34096" xr:uid="{00000000-0005-0000-0000-000027850000}"/>
    <cellStyle name="Accent1 113" xfId="34097" xr:uid="{00000000-0005-0000-0000-000028850000}"/>
    <cellStyle name="Accent1 113 2" xfId="34098" xr:uid="{00000000-0005-0000-0000-000029850000}"/>
    <cellStyle name="Accent1 113 2 2" xfId="34099" xr:uid="{00000000-0005-0000-0000-00002A850000}"/>
    <cellStyle name="Accent1 113 3" xfId="34100" xr:uid="{00000000-0005-0000-0000-00002B850000}"/>
    <cellStyle name="Accent1 114" xfId="34101" xr:uid="{00000000-0005-0000-0000-00002C850000}"/>
    <cellStyle name="Accent1 114 2" xfId="34102" xr:uid="{00000000-0005-0000-0000-00002D850000}"/>
    <cellStyle name="Accent1 114 2 2" xfId="34103" xr:uid="{00000000-0005-0000-0000-00002E850000}"/>
    <cellStyle name="Accent1 114 3" xfId="34104" xr:uid="{00000000-0005-0000-0000-00002F850000}"/>
    <cellStyle name="Accent1 115" xfId="34105" xr:uid="{00000000-0005-0000-0000-000030850000}"/>
    <cellStyle name="Accent1 115 2" xfId="34106" xr:uid="{00000000-0005-0000-0000-000031850000}"/>
    <cellStyle name="Accent1 115 2 2" xfId="34107" xr:uid="{00000000-0005-0000-0000-000032850000}"/>
    <cellStyle name="Accent1 115 3" xfId="34108" xr:uid="{00000000-0005-0000-0000-000033850000}"/>
    <cellStyle name="Accent1 116" xfId="34109" xr:uid="{00000000-0005-0000-0000-000034850000}"/>
    <cellStyle name="Accent1 116 2" xfId="34110" xr:uid="{00000000-0005-0000-0000-000035850000}"/>
    <cellStyle name="Accent1 116 2 2" xfId="34111" xr:uid="{00000000-0005-0000-0000-000036850000}"/>
    <cellStyle name="Accent1 116 3" xfId="34112" xr:uid="{00000000-0005-0000-0000-000037850000}"/>
    <cellStyle name="Accent1 117" xfId="34113" xr:uid="{00000000-0005-0000-0000-000038850000}"/>
    <cellStyle name="Accent1 117 2" xfId="34114" xr:uid="{00000000-0005-0000-0000-000039850000}"/>
    <cellStyle name="Accent1 117 2 2" xfId="34115" xr:uid="{00000000-0005-0000-0000-00003A850000}"/>
    <cellStyle name="Accent1 117 3" xfId="34116" xr:uid="{00000000-0005-0000-0000-00003B850000}"/>
    <cellStyle name="Accent1 118" xfId="34117" xr:uid="{00000000-0005-0000-0000-00003C850000}"/>
    <cellStyle name="Accent1 118 2" xfId="34118" xr:uid="{00000000-0005-0000-0000-00003D850000}"/>
    <cellStyle name="Accent1 118 2 2" xfId="34119" xr:uid="{00000000-0005-0000-0000-00003E850000}"/>
    <cellStyle name="Accent1 118 3" xfId="34120" xr:uid="{00000000-0005-0000-0000-00003F850000}"/>
    <cellStyle name="Accent1 119" xfId="34121" xr:uid="{00000000-0005-0000-0000-000040850000}"/>
    <cellStyle name="Accent1 119 2" xfId="34122" xr:uid="{00000000-0005-0000-0000-000041850000}"/>
    <cellStyle name="Accent1 119 2 2" xfId="34123" xr:uid="{00000000-0005-0000-0000-000042850000}"/>
    <cellStyle name="Accent1 119 3" xfId="34124" xr:uid="{00000000-0005-0000-0000-000043850000}"/>
    <cellStyle name="Accent1 12" xfId="34125" xr:uid="{00000000-0005-0000-0000-000044850000}"/>
    <cellStyle name="Accent1 12 2" xfId="34126" xr:uid="{00000000-0005-0000-0000-000045850000}"/>
    <cellStyle name="Accent1 12 2 2" xfId="34127" xr:uid="{00000000-0005-0000-0000-000046850000}"/>
    <cellStyle name="Accent1 12 3" xfId="34128" xr:uid="{00000000-0005-0000-0000-000047850000}"/>
    <cellStyle name="Accent1 120" xfId="34129" xr:uid="{00000000-0005-0000-0000-000048850000}"/>
    <cellStyle name="Accent1 120 2" xfId="34130" xr:uid="{00000000-0005-0000-0000-000049850000}"/>
    <cellStyle name="Accent1 120 2 2" xfId="34131" xr:uid="{00000000-0005-0000-0000-00004A850000}"/>
    <cellStyle name="Accent1 120 3" xfId="34132" xr:uid="{00000000-0005-0000-0000-00004B850000}"/>
    <cellStyle name="Accent1 121" xfId="34133" xr:uid="{00000000-0005-0000-0000-00004C850000}"/>
    <cellStyle name="Accent1 121 2" xfId="34134" xr:uid="{00000000-0005-0000-0000-00004D850000}"/>
    <cellStyle name="Accent1 121 2 2" xfId="34135" xr:uid="{00000000-0005-0000-0000-00004E850000}"/>
    <cellStyle name="Accent1 121 3" xfId="34136" xr:uid="{00000000-0005-0000-0000-00004F850000}"/>
    <cellStyle name="Accent1 122" xfId="34137" xr:uid="{00000000-0005-0000-0000-000050850000}"/>
    <cellStyle name="Accent1 122 2" xfId="34138" xr:uid="{00000000-0005-0000-0000-000051850000}"/>
    <cellStyle name="Accent1 122 2 2" xfId="34139" xr:uid="{00000000-0005-0000-0000-000052850000}"/>
    <cellStyle name="Accent1 122 3" xfId="34140" xr:uid="{00000000-0005-0000-0000-000053850000}"/>
    <cellStyle name="Accent1 123" xfId="34141" xr:uid="{00000000-0005-0000-0000-000054850000}"/>
    <cellStyle name="Accent1 123 2" xfId="34142" xr:uid="{00000000-0005-0000-0000-000055850000}"/>
    <cellStyle name="Accent1 123 2 2" xfId="34143" xr:uid="{00000000-0005-0000-0000-000056850000}"/>
    <cellStyle name="Accent1 123 3" xfId="34144" xr:uid="{00000000-0005-0000-0000-000057850000}"/>
    <cellStyle name="Accent1 124" xfId="34145" xr:uid="{00000000-0005-0000-0000-000058850000}"/>
    <cellStyle name="Accent1 124 2" xfId="34146" xr:uid="{00000000-0005-0000-0000-000059850000}"/>
    <cellStyle name="Accent1 124 2 2" xfId="34147" xr:uid="{00000000-0005-0000-0000-00005A850000}"/>
    <cellStyle name="Accent1 124 3" xfId="34148" xr:uid="{00000000-0005-0000-0000-00005B850000}"/>
    <cellStyle name="Accent1 125" xfId="34149" xr:uid="{00000000-0005-0000-0000-00005C850000}"/>
    <cellStyle name="Accent1 125 2" xfId="34150" xr:uid="{00000000-0005-0000-0000-00005D850000}"/>
    <cellStyle name="Accent1 125 2 2" xfId="34151" xr:uid="{00000000-0005-0000-0000-00005E850000}"/>
    <cellStyle name="Accent1 125 3" xfId="34152" xr:uid="{00000000-0005-0000-0000-00005F850000}"/>
    <cellStyle name="Accent1 126" xfId="34153" xr:uid="{00000000-0005-0000-0000-000060850000}"/>
    <cellStyle name="Accent1 126 2" xfId="34154" xr:uid="{00000000-0005-0000-0000-000061850000}"/>
    <cellStyle name="Accent1 126 2 2" xfId="34155" xr:uid="{00000000-0005-0000-0000-000062850000}"/>
    <cellStyle name="Accent1 126 3" xfId="34156" xr:uid="{00000000-0005-0000-0000-000063850000}"/>
    <cellStyle name="Accent1 127" xfId="34157" xr:uid="{00000000-0005-0000-0000-000064850000}"/>
    <cellStyle name="Accent1 127 2" xfId="34158" xr:uid="{00000000-0005-0000-0000-000065850000}"/>
    <cellStyle name="Accent1 127 2 2" xfId="34159" xr:uid="{00000000-0005-0000-0000-000066850000}"/>
    <cellStyle name="Accent1 127 3" xfId="34160" xr:uid="{00000000-0005-0000-0000-000067850000}"/>
    <cellStyle name="Accent1 128" xfId="34161" xr:uid="{00000000-0005-0000-0000-000068850000}"/>
    <cellStyle name="Accent1 128 2" xfId="34162" xr:uid="{00000000-0005-0000-0000-000069850000}"/>
    <cellStyle name="Accent1 128 2 2" xfId="34163" xr:uid="{00000000-0005-0000-0000-00006A850000}"/>
    <cellStyle name="Accent1 128 3" xfId="34164" xr:uid="{00000000-0005-0000-0000-00006B850000}"/>
    <cellStyle name="Accent1 129" xfId="34165" xr:uid="{00000000-0005-0000-0000-00006C850000}"/>
    <cellStyle name="Accent1 129 2" xfId="34166" xr:uid="{00000000-0005-0000-0000-00006D850000}"/>
    <cellStyle name="Accent1 129 2 2" xfId="34167" xr:uid="{00000000-0005-0000-0000-00006E850000}"/>
    <cellStyle name="Accent1 129 3" xfId="34168" xr:uid="{00000000-0005-0000-0000-00006F850000}"/>
    <cellStyle name="Accent1 13" xfId="34169" xr:uid="{00000000-0005-0000-0000-000070850000}"/>
    <cellStyle name="Accent1 13 2" xfId="34170" xr:uid="{00000000-0005-0000-0000-000071850000}"/>
    <cellStyle name="Accent1 13 2 2" xfId="34171" xr:uid="{00000000-0005-0000-0000-000072850000}"/>
    <cellStyle name="Accent1 13 3" xfId="34172" xr:uid="{00000000-0005-0000-0000-000073850000}"/>
    <cellStyle name="Accent1 130" xfId="34173" xr:uid="{00000000-0005-0000-0000-000074850000}"/>
    <cellStyle name="Accent1 130 2" xfId="34174" xr:uid="{00000000-0005-0000-0000-000075850000}"/>
    <cellStyle name="Accent1 130 2 2" xfId="34175" xr:uid="{00000000-0005-0000-0000-000076850000}"/>
    <cellStyle name="Accent1 130 3" xfId="34176" xr:uid="{00000000-0005-0000-0000-000077850000}"/>
    <cellStyle name="Accent1 131" xfId="34177" xr:uid="{00000000-0005-0000-0000-000078850000}"/>
    <cellStyle name="Accent1 131 2" xfId="34178" xr:uid="{00000000-0005-0000-0000-000079850000}"/>
    <cellStyle name="Accent1 131 2 2" xfId="34179" xr:uid="{00000000-0005-0000-0000-00007A850000}"/>
    <cellStyle name="Accent1 131 3" xfId="34180" xr:uid="{00000000-0005-0000-0000-00007B850000}"/>
    <cellStyle name="Accent1 132" xfId="34181" xr:uid="{00000000-0005-0000-0000-00007C850000}"/>
    <cellStyle name="Accent1 132 2" xfId="34182" xr:uid="{00000000-0005-0000-0000-00007D850000}"/>
    <cellStyle name="Accent1 132 2 2" xfId="34183" xr:uid="{00000000-0005-0000-0000-00007E850000}"/>
    <cellStyle name="Accent1 132 3" xfId="34184" xr:uid="{00000000-0005-0000-0000-00007F850000}"/>
    <cellStyle name="Accent1 133" xfId="34185" xr:uid="{00000000-0005-0000-0000-000080850000}"/>
    <cellStyle name="Accent1 133 2" xfId="34186" xr:uid="{00000000-0005-0000-0000-000081850000}"/>
    <cellStyle name="Accent1 133 2 2" xfId="34187" xr:uid="{00000000-0005-0000-0000-000082850000}"/>
    <cellStyle name="Accent1 133 3" xfId="34188" xr:uid="{00000000-0005-0000-0000-000083850000}"/>
    <cellStyle name="Accent1 134" xfId="34189" xr:uid="{00000000-0005-0000-0000-000084850000}"/>
    <cellStyle name="Accent1 134 2" xfId="34190" xr:uid="{00000000-0005-0000-0000-000085850000}"/>
    <cellStyle name="Accent1 134 2 2" xfId="34191" xr:uid="{00000000-0005-0000-0000-000086850000}"/>
    <cellStyle name="Accent1 134 3" xfId="34192" xr:uid="{00000000-0005-0000-0000-000087850000}"/>
    <cellStyle name="Accent1 135" xfId="34193" xr:uid="{00000000-0005-0000-0000-000088850000}"/>
    <cellStyle name="Accent1 135 2" xfId="34194" xr:uid="{00000000-0005-0000-0000-000089850000}"/>
    <cellStyle name="Accent1 135 2 2" xfId="34195" xr:uid="{00000000-0005-0000-0000-00008A850000}"/>
    <cellStyle name="Accent1 135 3" xfId="34196" xr:uid="{00000000-0005-0000-0000-00008B850000}"/>
    <cellStyle name="Accent1 136" xfId="34197" xr:uid="{00000000-0005-0000-0000-00008C850000}"/>
    <cellStyle name="Accent1 136 2" xfId="34198" xr:uid="{00000000-0005-0000-0000-00008D850000}"/>
    <cellStyle name="Accent1 136 2 2" xfId="34199" xr:uid="{00000000-0005-0000-0000-00008E850000}"/>
    <cellStyle name="Accent1 136 3" xfId="34200" xr:uid="{00000000-0005-0000-0000-00008F850000}"/>
    <cellStyle name="Accent1 137" xfId="34201" xr:uid="{00000000-0005-0000-0000-000090850000}"/>
    <cellStyle name="Accent1 137 2" xfId="34202" xr:uid="{00000000-0005-0000-0000-000091850000}"/>
    <cellStyle name="Accent1 137 2 2" xfId="34203" xr:uid="{00000000-0005-0000-0000-000092850000}"/>
    <cellStyle name="Accent1 137 3" xfId="34204" xr:uid="{00000000-0005-0000-0000-000093850000}"/>
    <cellStyle name="Accent1 138" xfId="34205" xr:uid="{00000000-0005-0000-0000-000094850000}"/>
    <cellStyle name="Accent1 138 2" xfId="34206" xr:uid="{00000000-0005-0000-0000-000095850000}"/>
    <cellStyle name="Accent1 138 2 2" xfId="34207" xr:uid="{00000000-0005-0000-0000-000096850000}"/>
    <cellStyle name="Accent1 138 3" xfId="34208" xr:uid="{00000000-0005-0000-0000-000097850000}"/>
    <cellStyle name="Accent1 139" xfId="34209" xr:uid="{00000000-0005-0000-0000-000098850000}"/>
    <cellStyle name="Accent1 139 2" xfId="34210" xr:uid="{00000000-0005-0000-0000-000099850000}"/>
    <cellStyle name="Accent1 139 2 2" xfId="34211" xr:uid="{00000000-0005-0000-0000-00009A850000}"/>
    <cellStyle name="Accent1 139 3" xfId="34212" xr:uid="{00000000-0005-0000-0000-00009B850000}"/>
    <cellStyle name="Accent1 14" xfId="34213" xr:uid="{00000000-0005-0000-0000-00009C850000}"/>
    <cellStyle name="Accent1 14 2" xfId="34214" xr:uid="{00000000-0005-0000-0000-00009D850000}"/>
    <cellStyle name="Accent1 14 2 2" xfId="34215" xr:uid="{00000000-0005-0000-0000-00009E850000}"/>
    <cellStyle name="Accent1 14 3" xfId="34216" xr:uid="{00000000-0005-0000-0000-00009F850000}"/>
    <cellStyle name="Accent1 140" xfId="34217" xr:uid="{00000000-0005-0000-0000-0000A0850000}"/>
    <cellStyle name="Accent1 140 2" xfId="34218" xr:uid="{00000000-0005-0000-0000-0000A1850000}"/>
    <cellStyle name="Accent1 140 2 2" xfId="34219" xr:uid="{00000000-0005-0000-0000-0000A2850000}"/>
    <cellStyle name="Accent1 140 3" xfId="34220" xr:uid="{00000000-0005-0000-0000-0000A3850000}"/>
    <cellStyle name="Accent1 141" xfId="34221" xr:uid="{00000000-0005-0000-0000-0000A4850000}"/>
    <cellStyle name="Accent1 141 2" xfId="34222" xr:uid="{00000000-0005-0000-0000-0000A5850000}"/>
    <cellStyle name="Accent1 141 2 2" xfId="34223" xr:uid="{00000000-0005-0000-0000-0000A6850000}"/>
    <cellStyle name="Accent1 141 3" xfId="34224" xr:uid="{00000000-0005-0000-0000-0000A7850000}"/>
    <cellStyle name="Accent1 142" xfId="34225" xr:uid="{00000000-0005-0000-0000-0000A8850000}"/>
    <cellStyle name="Accent1 142 2" xfId="34226" xr:uid="{00000000-0005-0000-0000-0000A9850000}"/>
    <cellStyle name="Accent1 142 2 2" xfId="34227" xr:uid="{00000000-0005-0000-0000-0000AA850000}"/>
    <cellStyle name="Accent1 142 3" xfId="34228" xr:uid="{00000000-0005-0000-0000-0000AB850000}"/>
    <cellStyle name="Accent1 143" xfId="34229" xr:uid="{00000000-0005-0000-0000-0000AC850000}"/>
    <cellStyle name="Accent1 143 2" xfId="34230" xr:uid="{00000000-0005-0000-0000-0000AD850000}"/>
    <cellStyle name="Accent1 143 2 2" xfId="34231" xr:uid="{00000000-0005-0000-0000-0000AE850000}"/>
    <cellStyle name="Accent1 143 3" xfId="34232" xr:uid="{00000000-0005-0000-0000-0000AF850000}"/>
    <cellStyle name="Accent1 144" xfId="34233" xr:uid="{00000000-0005-0000-0000-0000B0850000}"/>
    <cellStyle name="Accent1 144 2" xfId="34234" xr:uid="{00000000-0005-0000-0000-0000B1850000}"/>
    <cellStyle name="Accent1 144 2 2" xfId="34235" xr:uid="{00000000-0005-0000-0000-0000B2850000}"/>
    <cellStyle name="Accent1 144 3" xfId="34236" xr:uid="{00000000-0005-0000-0000-0000B3850000}"/>
    <cellStyle name="Accent1 145" xfId="34237" xr:uid="{00000000-0005-0000-0000-0000B4850000}"/>
    <cellStyle name="Accent1 145 2" xfId="34238" xr:uid="{00000000-0005-0000-0000-0000B5850000}"/>
    <cellStyle name="Accent1 145 2 2" xfId="34239" xr:uid="{00000000-0005-0000-0000-0000B6850000}"/>
    <cellStyle name="Accent1 145 3" xfId="34240" xr:uid="{00000000-0005-0000-0000-0000B7850000}"/>
    <cellStyle name="Accent1 146" xfId="34241" xr:uid="{00000000-0005-0000-0000-0000B8850000}"/>
    <cellStyle name="Accent1 146 2" xfId="34242" xr:uid="{00000000-0005-0000-0000-0000B9850000}"/>
    <cellStyle name="Accent1 146 2 2" xfId="34243" xr:uid="{00000000-0005-0000-0000-0000BA850000}"/>
    <cellStyle name="Accent1 146 3" xfId="34244" xr:uid="{00000000-0005-0000-0000-0000BB850000}"/>
    <cellStyle name="Accent1 147" xfId="34245" xr:uid="{00000000-0005-0000-0000-0000BC850000}"/>
    <cellStyle name="Accent1 147 2" xfId="34246" xr:uid="{00000000-0005-0000-0000-0000BD850000}"/>
    <cellStyle name="Accent1 147 2 2" xfId="34247" xr:uid="{00000000-0005-0000-0000-0000BE850000}"/>
    <cellStyle name="Accent1 147 3" xfId="34248" xr:uid="{00000000-0005-0000-0000-0000BF850000}"/>
    <cellStyle name="Accent1 148" xfId="34249" xr:uid="{00000000-0005-0000-0000-0000C0850000}"/>
    <cellStyle name="Accent1 148 2" xfId="34250" xr:uid="{00000000-0005-0000-0000-0000C1850000}"/>
    <cellStyle name="Accent1 148 2 2" xfId="34251" xr:uid="{00000000-0005-0000-0000-0000C2850000}"/>
    <cellStyle name="Accent1 148 3" xfId="34252" xr:uid="{00000000-0005-0000-0000-0000C3850000}"/>
    <cellStyle name="Accent1 149" xfId="34253" xr:uid="{00000000-0005-0000-0000-0000C4850000}"/>
    <cellStyle name="Accent1 149 2" xfId="34254" xr:uid="{00000000-0005-0000-0000-0000C5850000}"/>
    <cellStyle name="Accent1 149 2 2" xfId="34255" xr:uid="{00000000-0005-0000-0000-0000C6850000}"/>
    <cellStyle name="Accent1 149 3" xfId="34256" xr:uid="{00000000-0005-0000-0000-0000C7850000}"/>
    <cellStyle name="Accent1 15" xfId="34257" xr:uid="{00000000-0005-0000-0000-0000C8850000}"/>
    <cellStyle name="Accent1 15 2" xfId="34258" xr:uid="{00000000-0005-0000-0000-0000C9850000}"/>
    <cellStyle name="Accent1 15 2 2" xfId="34259" xr:uid="{00000000-0005-0000-0000-0000CA850000}"/>
    <cellStyle name="Accent1 15 3" xfId="34260" xr:uid="{00000000-0005-0000-0000-0000CB850000}"/>
    <cellStyle name="Accent1 150" xfId="34261" xr:uid="{00000000-0005-0000-0000-0000CC850000}"/>
    <cellStyle name="Accent1 150 2" xfId="34262" xr:uid="{00000000-0005-0000-0000-0000CD850000}"/>
    <cellStyle name="Accent1 150 2 2" xfId="34263" xr:uid="{00000000-0005-0000-0000-0000CE850000}"/>
    <cellStyle name="Accent1 150 3" xfId="34264" xr:uid="{00000000-0005-0000-0000-0000CF850000}"/>
    <cellStyle name="Accent1 151" xfId="34265" xr:uid="{00000000-0005-0000-0000-0000D0850000}"/>
    <cellStyle name="Accent1 151 2" xfId="34266" xr:uid="{00000000-0005-0000-0000-0000D1850000}"/>
    <cellStyle name="Accent1 151 2 2" xfId="34267" xr:uid="{00000000-0005-0000-0000-0000D2850000}"/>
    <cellStyle name="Accent1 151 3" xfId="34268" xr:uid="{00000000-0005-0000-0000-0000D3850000}"/>
    <cellStyle name="Accent1 152" xfId="34269" xr:uid="{00000000-0005-0000-0000-0000D4850000}"/>
    <cellStyle name="Accent1 152 2" xfId="34270" xr:uid="{00000000-0005-0000-0000-0000D5850000}"/>
    <cellStyle name="Accent1 152 2 2" xfId="34271" xr:uid="{00000000-0005-0000-0000-0000D6850000}"/>
    <cellStyle name="Accent1 152 3" xfId="34272" xr:uid="{00000000-0005-0000-0000-0000D7850000}"/>
    <cellStyle name="Accent1 153" xfId="34273" xr:uid="{00000000-0005-0000-0000-0000D8850000}"/>
    <cellStyle name="Accent1 153 2" xfId="34274" xr:uid="{00000000-0005-0000-0000-0000D9850000}"/>
    <cellStyle name="Accent1 153 2 2" xfId="34275" xr:uid="{00000000-0005-0000-0000-0000DA850000}"/>
    <cellStyle name="Accent1 153 3" xfId="34276" xr:uid="{00000000-0005-0000-0000-0000DB850000}"/>
    <cellStyle name="Accent1 154" xfId="34277" xr:uid="{00000000-0005-0000-0000-0000DC850000}"/>
    <cellStyle name="Accent1 154 2" xfId="34278" xr:uid="{00000000-0005-0000-0000-0000DD850000}"/>
    <cellStyle name="Accent1 154 2 2" xfId="34279" xr:uid="{00000000-0005-0000-0000-0000DE850000}"/>
    <cellStyle name="Accent1 154 3" xfId="34280" xr:uid="{00000000-0005-0000-0000-0000DF850000}"/>
    <cellStyle name="Accent1 155" xfId="34281" xr:uid="{00000000-0005-0000-0000-0000E0850000}"/>
    <cellStyle name="Accent1 155 2" xfId="34282" xr:uid="{00000000-0005-0000-0000-0000E1850000}"/>
    <cellStyle name="Accent1 155 2 2" xfId="34283" xr:uid="{00000000-0005-0000-0000-0000E2850000}"/>
    <cellStyle name="Accent1 155 3" xfId="34284" xr:uid="{00000000-0005-0000-0000-0000E3850000}"/>
    <cellStyle name="Accent1 156" xfId="34285" xr:uid="{00000000-0005-0000-0000-0000E4850000}"/>
    <cellStyle name="Accent1 156 2" xfId="34286" xr:uid="{00000000-0005-0000-0000-0000E5850000}"/>
    <cellStyle name="Accent1 156 2 2" xfId="34287" xr:uid="{00000000-0005-0000-0000-0000E6850000}"/>
    <cellStyle name="Accent1 156 3" xfId="34288" xr:uid="{00000000-0005-0000-0000-0000E7850000}"/>
    <cellStyle name="Accent1 157" xfId="34289" xr:uid="{00000000-0005-0000-0000-0000E8850000}"/>
    <cellStyle name="Accent1 157 2" xfId="34290" xr:uid="{00000000-0005-0000-0000-0000E9850000}"/>
    <cellStyle name="Accent1 157 2 2" xfId="34291" xr:uid="{00000000-0005-0000-0000-0000EA850000}"/>
    <cellStyle name="Accent1 157 3" xfId="34292" xr:uid="{00000000-0005-0000-0000-0000EB850000}"/>
    <cellStyle name="Accent1 158" xfId="34293" xr:uid="{00000000-0005-0000-0000-0000EC850000}"/>
    <cellStyle name="Accent1 158 2" xfId="34294" xr:uid="{00000000-0005-0000-0000-0000ED850000}"/>
    <cellStyle name="Accent1 158 2 2" xfId="34295" xr:uid="{00000000-0005-0000-0000-0000EE850000}"/>
    <cellStyle name="Accent1 158 3" xfId="34296" xr:uid="{00000000-0005-0000-0000-0000EF850000}"/>
    <cellStyle name="Accent1 159" xfId="34297" xr:uid="{00000000-0005-0000-0000-0000F0850000}"/>
    <cellStyle name="Accent1 159 2" xfId="34298" xr:uid="{00000000-0005-0000-0000-0000F1850000}"/>
    <cellStyle name="Accent1 16" xfId="34299" xr:uid="{00000000-0005-0000-0000-0000F2850000}"/>
    <cellStyle name="Accent1 16 2" xfId="34300" xr:uid="{00000000-0005-0000-0000-0000F3850000}"/>
    <cellStyle name="Accent1 16 2 2" xfId="34301" xr:uid="{00000000-0005-0000-0000-0000F4850000}"/>
    <cellStyle name="Accent1 16 3" xfId="34302" xr:uid="{00000000-0005-0000-0000-0000F5850000}"/>
    <cellStyle name="Accent1 160" xfId="34303" xr:uid="{00000000-0005-0000-0000-0000F6850000}"/>
    <cellStyle name="Accent1 160 2" xfId="34304" xr:uid="{00000000-0005-0000-0000-0000F7850000}"/>
    <cellStyle name="Accent1 161" xfId="34305" xr:uid="{00000000-0005-0000-0000-0000F8850000}"/>
    <cellStyle name="Accent1 161 2" xfId="34306" xr:uid="{00000000-0005-0000-0000-0000F9850000}"/>
    <cellStyle name="Accent1 162" xfId="34307" xr:uid="{00000000-0005-0000-0000-0000FA850000}"/>
    <cellStyle name="Accent1 162 2" xfId="34308" xr:uid="{00000000-0005-0000-0000-0000FB850000}"/>
    <cellStyle name="Accent1 163" xfId="34309" xr:uid="{00000000-0005-0000-0000-0000FC850000}"/>
    <cellStyle name="Accent1 163 2" xfId="34310" xr:uid="{00000000-0005-0000-0000-0000FD850000}"/>
    <cellStyle name="Accent1 164" xfId="34311" xr:uid="{00000000-0005-0000-0000-0000FE850000}"/>
    <cellStyle name="Accent1 164 2" xfId="34312" xr:uid="{00000000-0005-0000-0000-0000FF850000}"/>
    <cellStyle name="Accent1 165" xfId="34313" xr:uid="{00000000-0005-0000-0000-000000860000}"/>
    <cellStyle name="Accent1 165 2" xfId="34314" xr:uid="{00000000-0005-0000-0000-000001860000}"/>
    <cellStyle name="Accent1 166" xfId="34315" xr:uid="{00000000-0005-0000-0000-000002860000}"/>
    <cellStyle name="Accent1 166 2" xfId="34316" xr:uid="{00000000-0005-0000-0000-000003860000}"/>
    <cellStyle name="Accent1 167" xfId="34317" xr:uid="{00000000-0005-0000-0000-000004860000}"/>
    <cellStyle name="Accent1 167 2" xfId="34318" xr:uid="{00000000-0005-0000-0000-000005860000}"/>
    <cellStyle name="Accent1 168" xfId="34319" xr:uid="{00000000-0005-0000-0000-000006860000}"/>
    <cellStyle name="Accent1 168 2" xfId="34320" xr:uid="{00000000-0005-0000-0000-000007860000}"/>
    <cellStyle name="Accent1 169" xfId="34321" xr:uid="{00000000-0005-0000-0000-000008860000}"/>
    <cellStyle name="Accent1 169 2" xfId="34322" xr:uid="{00000000-0005-0000-0000-000009860000}"/>
    <cellStyle name="Accent1 17" xfId="34323" xr:uid="{00000000-0005-0000-0000-00000A860000}"/>
    <cellStyle name="Accent1 17 2" xfId="34324" xr:uid="{00000000-0005-0000-0000-00000B860000}"/>
    <cellStyle name="Accent1 17 2 2" xfId="34325" xr:uid="{00000000-0005-0000-0000-00000C860000}"/>
    <cellStyle name="Accent1 17 3" xfId="34326" xr:uid="{00000000-0005-0000-0000-00000D860000}"/>
    <cellStyle name="Accent1 170" xfId="34327" xr:uid="{00000000-0005-0000-0000-00000E860000}"/>
    <cellStyle name="Accent1 170 2" xfId="34328" xr:uid="{00000000-0005-0000-0000-00000F860000}"/>
    <cellStyle name="Accent1 171" xfId="34329" xr:uid="{00000000-0005-0000-0000-000010860000}"/>
    <cellStyle name="Accent1 171 2" xfId="34330" xr:uid="{00000000-0005-0000-0000-000011860000}"/>
    <cellStyle name="Accent1 172" xfId="34331" xr:uid="{00000000-0005-0000-0000-000012860000}"/>
    <cellStyle name="Accent1 172 2" xfId="34332" xr:uid="{00000000-0005-0000-0000-000013860000}"/>
    <cellStyle name="Accent1 173" xfId="34333" xr:uid="{00000000-0005-0000-0000-000014860000}"/>
    <cellStyle name="Accent1 173 2" xfId="34334" xr:uid="{00000000-0005-0000-0000-000015860000}"/>
    <cellStyle name="Accent1 174" xfId="34335" xr:uid="{00000000-0005-0000-0000-000016860000}"/>
    <cellStyle name="Accent1 174 2" xfId="34336" xr:uid="{00000000-0005-0000-0000-000017860000}"/>
    <cellStyle name="Accent1 175" xfId="34337" xr:uid="{00000000-0005-0000-0000-000018860000}"/>
    <cellStyle name="Accent1 175 2" xfId="34338" xr:uid="{00000000-0005-0000-0000-000019860000}"/>
    <cellStyle name="Accent1 176" xfId="34339" xr:uid="{00000000-0005-0000-0000-00001A860000}"/>
    <cellStyle name="Accent1 176 2" xfId="34340" xr:uid="{00000000-0005-0000-0000-00001B860000}"/>
    <cellStyle name="Accent1 177" xfId="34341" xr:uid="{00000000-0005-0000-0000-00001C860000}"/>
    <cellStyle name="Accent1 177 2" xfId="34342" xr:uid="{00000000-0005-0000-0000-00001D860000}"/>
    <cellStyle name="Accent1 178" xfId="34343" xr:uid="{00000000-0005-0000-0000-00001E860000}"/>
    <cellStyle name="Accent1 178 2" xfId="34344" xr:uid="{00000000-0005-0000-0000-00001F860000}"/>
    <cellStyle name="Accent1 179" xfId="34345" xr:uid="{00000000-0005-0000-0000-000020860000}"/>
    <cellStyle name="Accent1 179 2" xfId="34346" xr:uid="{00000000-0005-0000-0000-000021860000}"/>
    <cellStyle name="Accent1 18" xfId="34347" xr:uid="{00000000-0005-0000-0000-000022860000}"/>
    <cellStyle name="Accent1 18 2" xfId="34348" xr:uid="{00000000-0005-0000-0000-000023860000}"/>
    <cellStyle name="Accent1 18 2 2" xfId="34349" xr:uid="{00000000-0005-0000-0000-000024860000}"/>
    <cellStyle name="Accent1 18 3" xfId="34350" xr:uid="{00000000-0005-0000-0000-000025860000}"/>
    <cellStyle name="Accent1 180" xfId="34351" xr:uid="{00000000-0005-0000-0000-000026860000}"/>
    <cellStyle name="Accent1 180 2" xfId="34352" xr:uid="{00000000-0005-0000-0000-000027860000}"/>
    <cellStyle name="Accent1 181" xfId="34353" xr:uid="{00000000-0005-0000-0000-000028860000}"/>
    <cellStyle name="Accent1 181 2" xfId="34354" xr:uid="{00000000-0005-0000-0000-000029860000}"/>
    <cellStyle name="Accent1 182" xfId="34355" xr:uid="{00000000-0005-0000-0000-00002A860000}"/>
    <cellStyle name="Accent1 182 2" xfId="34356" xr:uid="{00000000-0005-0000-0000-00002B860000}"/>
    <cellStyle name="Accent1 183" xfId="34357" xr:uid="{00000000-0005-0000-0000-00002C860000}"/>
    <cellStyle name="Accent1 183 2" xfId="34358" xr:uid="{00000000-0005-0000-0000-00002D860000}"/>
    <cellStyle name="Accent1 184" xfId="34359" xr:uid="{00000000-0005-0000-0000-00002E860000}"/>
    <cellStyle name="Accent1 184 2" xfId="34360" xr:uid="{00000000-0005-0000-0000-00002F860000}"/>
    <cellStyle name="Accent1 185" xfId="34361" xr:uid="{00000000-0005-0000-0000-000030860000}"/>
    <cellStyle name="Accent1 185 2" xfId="34362" xr:uid="{00000000-0005-0000-0000-000031860000}"/>
    <cellStyle name="Accent1 186" xfId="34363" xr:uid="{00000000-0005-0000-0000-000032860000}"/>
    <cellStyle name="Accent1 186 2" xfId="34364" xr:uid="{00000000-0005-0000-0000-000033860000}"/>
    <cellStyle name="Accent1 187" xfId="34365" xr:uid="{00000000-0005-0000-0000-000034860000}"/>
    <cellStyle name="Accent1 187 2" xfId="34366" xr:uid="{00000000-0005-0000-0000-000035860000}"/>
    <cellStyle name="Accent1 188" xfId="34367" xr:uid="{00000000-0005-0000-0000-000036860000}"/>
    <cellStyle name="Accent1 188 2" xfId="34368" xr:uid="{00000000-0005-0000-0000-000037860000}"/>
    <cellStyle name="Accent1 189" xfId="34369" xr:uid="{00000000-0005-0000-0000-000038860000}"/>
    <cellStyle name="Accent1 189 2" xfId="34370" xr:uid="{00000000-0005-0000-0000-000039860000}"/>
    <cellStyle name="Accent1 19" xfId="34371" xr:uid="{00000000-0005-0000-0000-00003A860000}"/>
    <cellStyle name="Accent1 19 2" xfId="34372" xr:uid="{00000000-0005-0000-0000-00003B860000}"/>
    <cellStyle name="Accent1 19 2 2" xfId="34373" xr:uid="{00000000-0005-0000-0000-00003C860000}"/>
    <cellStyle name="Accent1 19 3" xfId="34374" xr:uid="{00000000-0005-0000-0000-00003D860000}"/>
    <cellStyle name="Accent1 190" xfId="34375" xr:uid="{00000000-0005-0000-0000-00003E860000}"/>
    <cellStyle name="Accent1 190 2" xfId="34376" xr:uid="{00000000-0005-0000-0000-00003F860000}"/>
    <cellStyle name="Accent1 191" xfId="34377" xr:uid="{00000000-0005-0000-0000-000040860000}"/>
    <cellStyle name="Accent1 191 2" xfId="34378" xr:uid="{00000000-0005-0000-0000-000041860000}"/>
    <cellStyle name="Accent1 192" xfId="34379" xr:uid="{00000000-0005-0000-0000-000042860000}"/>
    <cellStyle name="Accent1 192 2" xfId="34380" xr:uid="{00000000-0005-0000-0000-000043860000}"/>
    <cellStyle name="Accent1 193" xfId="34381" xr:uid="{00000000-0005-0000-0000-000044860000}"/>
    <cellStyle name="Accent1 193 2" xfId="34382" xr:uid="{00000000-0005-0000-0000-000045860000}"/>
    <cellStyle name="Accent1 194" xfId="34383" xr:uid="{00000000-0005-0000-0000-000046860000}"/>
    <cellStyle name="Accent1 194 2" xfId="34384" xr:uid="{00000000-0005-0000-0000-000047860000}"/>
    <cellStyle name="Accent1 195" xfId="34385" xr:uid="{00000000-0005-0000-0000-000048860000}"/>
    <cellStyle name="Accent1 195 2" xfId="34386" xr:uid="{00000000-0005-0000-0000-000049860000}"/>
    <cellStyle name="Accent1 196" xfId="34387" xr:uid="{00000000-0005-0000-0000-00004A860000}"/>
    <cellStyle name="Accent1 196 2" xfId="34388" xr:uid="{00000000-0005-0000-0000-00004B860000}"/>
    <cellStyle name="Accent1 197" xfId="34389" xr:uid="{00000000-0005-0000-0000-00004C860000}"/>
    <cellStyle name="Accent1 197 2" xfId="34390" xr:uid="{00000000-0005-0000-0000-00004D860000}"/>
    <cellStyle name="Accent1 198" xfId="34391" xr:uid="{00000000-0005-0000-0000-00004E860000}"/>
    <cellStyle name="Accent1 198 2" xfId="34392" xr:uid="{00000000-0005-0000-0000-00004F860000}"/>
    <cellStyle name="Accent1 2" xfId="34393" xr:uid="{00000000-0005-0000-0000-000050860000}"/>
    <cellStyle name="Accent1 2 2" xfId="34394" xr:uid="{00000000-0005-0000-0000-000051860000}"/>
    <cellStyle name="Accent1 2 2 2" xfId="34395" xr:uid="{00000000-0005-0000-0000-000052860000}"/>
    <cellStyle name="Accent1 2 2 2 2" xfId="34396" xr:uid="{00000000-0005-0000-0000-000053860000}"/>
    <cellStyle name="Accent1 2 2 2 2 2" xfId="34397" xr:uid="{00000000-0005-0000-0000-000054860000}"/>
    <cellStyle name="Accent1 2 2 2 2 2 2" xfId="34398" xr:uid="{00000000-0005-0000-0000-000055860000}"/>
    <cellStyle name="Accent1 2 2 2 2 3" xfId="34399" xr:uid="{00000000-0005-0000-0000-000056860000}"/>
    <cellStyle name="Accent1 2 2 2 3" xfId="34400" xr:uid="{00000000-0005-0000-0000-000057860000}"/>
    <cellStyle name="Accent1 2 2 3" xfId="34401" xr:uid="{00000000-0005-0000-0000-000058860000}"/>
    <cellStyle name="Accent1 2 2 3 2" xfId="34402" xr:uid="{00000000-0005-0000-0000-000059860000}"/>
    <cellStyle name="Accent1 2 2 4" xfId="34403" xr:uid="{00000000-0005-0000-0000-00005A860000}"/>
    <cellStyle name="Accent1 2 2 4 2" xfId="34404" xr:uid="{00000000-0005-0000-0000-00005B860000}"/>
    <cellStyle name="Accent1 2 2 5" xfId="34405" xr:uid="{00000000-0005-0000-0000-00005C860000}"/>
    <cellStyle name="Accent1 2 3" xfId="34406" xr:uid="{00000000-0005-0000-0000-00005D860000}"/>
    <cellStyle name="Accent1 2 3 2" xfId="34407" xr:uid="{00000000-0005-0000-0000-00005E860000}"/>
    <cellStyle name="Accent1 2 4" xfId="34408" xr:uid="{00000000-0005-0000-0000-00005F860000}"/>
    <cellStyle name="Accent1 2 4 2" xfId="34409" xr:uid="{00000000-0005-0000-0000-000060860000}"/>
    <cellStyle name="Accent1 2 5" xfId="34410" xr:uid="{00000000-0005-0000-0000-000061860000}"/>
    <cellStyle name="Accent1 2 5 2" xfId="34411" xr:uid="{00000000-0005-0000-0000-000062860000}"/>
    <cellStyle name="Accent1 2 6" xfId="34412" xr:uid="{00000000-0005-0000-0000-000063860000}"/>
    <cellStyle name="Accent1 20" xfId="34413" xr:uid="{00000000-0005-0000-0000-000064860000}"/>
    <cellStyle name="Accent1 20 2" xfId="34414" xr:uid="{00000000-0005-0000-0000-000065860000}"/>
    <cellStyle name="Accent1 20 2 2" xfId="34415" xr:uid="{00000000-0005-0000-0000-000066860000}"/>
    <cellStyle name="Accent1 20 3" xfId="34416" xr:uid="{00000000-0005-0000-0000-000067860000}"/>
    <cellStyle name="Accent1 21" xfId="34417" xr:uid="{00000000-0005-0000-0000-000068860000}"/>
    <cellStyle name="Accent1 21 2" xfId="34418" xr:uid="{00000000-0005-0000-0000-000069860000}"/>
    <cellStyle name="Accent1 21 2 2" xfId="34419" xr:uid="{00000000-0005-0000-0000-00006A860000}"/>
    <cellStyle name="Accent1 21 3" xfId="34420" xr:uid="{00000000-0005-0000-0000-00006B860000}"/>
    <cellStyle name="Accent1 22" xfId="34421" xr:uid="{00000000-0005-0000-0000-00006C860000}"/>
    <cellStyle name="Accent1 22 2" xfId="34422" xr:uid="{00000000-0005-0000-0000-00006D860000}"/>
    <cellStyle name="Accent1 22 2 2" xfId="34423" xr:uid="{00000000-0005-0000-0000-00006E860000}"/>
    <cellStyle name="Accent1 22 3" xfId="34424" xr:uid="{00000000-0005-0000-0000-00006F860000}"/>
    <cellStyle name="Accent1 23" xfId="34425" xr:uid="{00000000-0005-0000-0000-000070860000}"/>
    <cellStyle name="Accent1 23 2" xfId="34426" xr:uid="{00000000-0005-0000-0000-000071860000}"/>
    <cellStyle name="Accent1 23 2 2" xfId="34427" xr:uid="{00000000-0005-0000-0000-000072860000}"/>
    <cellStyle name="Accent1 23 3" xfId="34428" xr:uid="{00000000-0005-0000-0000-000073860000}"/>
    <cellStyle name="Accent1 24" xfId="34429" xr:uid="{00000000-0005-0000-0000-000074860000}"/>
    <cellStyle name="Accent1 24 2" xfId="34430" xr:uid="{00000000-0005-0000-0000-000075860000}"/>
    <cellStyle name="Accent1 24 2 2" xfId="34431" xr:uid="{00000000-0005-0000-0000-000076860000}"/>
    <cellStyle name="Accent1 24 3" xfId="34432" xr:uid="{00000000-0005-0000-0000-000077860000}"/>
    <cellStyle name="Accent1 25" xfId="34433" xr:uid="{00000000-0005-0000-0000-000078860000}"/>
    <cellStyle name="Accent1 25 2" xfId="34434" xr:uid="{00000000-0005-0000-0000-000079860000}"/>
    <cellStyle name="Accent1 25 2 2" xfId="34435" xr:uid="{00000000-0005-0000-0000-00007A860000}"/>
    <cellStyle name="Accent1 25 3" xfId="34436" xr:uid="{00000000-0005-0000-0000-00007B860000}"/>
    <cellStyle name="Accent1 26" xfId="34437" xr:uid="{00000000-0005-0000-0000-00007C860000}"/>
    <cellStyle name="Accent1 26 2" xfId="34438" xr:uid="{00000000-0005-0000-0000-00007D860000}"/>
    <cellStyle name="Accent1 26 2 2" xfId="34439" xr:uid="{00000000-0005-0000-0000-00007E860000}"/>
    <cellStyle name="Accent1 26 3" xfId="34440" xr:uid="{00000000-0005-0000-0000-00007F860000}"/>
    <cellStyle name="Accent1 27" xfId="34441" xr:uid="{00000000-0005-0000-0000-000080860000}"/>
    <cellStyle name="Accent1 27 2" xfId="34442" xr:uid="{00000000-0005-0000-0000-000081860000}"/>
    <cellStyle name="Accent1 27 2 2" xfId="34443" xr:uid="{00000000-0005-0000-0000-000082860000}"/>
    <cellStyle name="Accent1 27 3" xfId="34444" xr:uid="{00000000-0005-0000-0000-000083860000}"/>
    <cellStyle name="Accent1 28" xfId="34445" xr:uid="{00000000-0005-0000-0000-000084860000}"/>
    <cellStyle name="Accent1 28 2" xfId="34446" xr:uid="{00000000-0005-0000-0000-000085860000}"/>
    <cellStyle name="Accent1 28 2 2" xfId="34447" xr:uid="{00000000-0005-0000-0000-000086860000}"/>
    <cellStyle name="Accent1 28 3" xfId="34448" xr:uid="{00000000-0005-0000-0000-000087860000}"/>
    <cellStyle name="Accent1 29" xfId="34449" xr:uid="{00000000-0005-0000-0000-000088860000}"/>
    <cellStyle name="Accent1 29 2" xfId="34450" xr:uid="{00000000-0005-0000-0000-000089860000}"/>
    <cellStyle name="Accent1 29 2 2" xfId="34451" xr:uid="{00000000-0005-0000-0000-00008A860000}"/>
    <cellStyle name="Accent1 29 3" xfId="34452" xr:uid="{00000000-0005-0000-0000-00008B860000}"/>
    <cellStyle name="Accent1 3" xfId="34453" xr:uid="{00000000-0005-0000-0000-00008C860000}"/>
    <cellStyle name="Accent1 3 2" xfId="34454" xr:uid="{00000000-0005-0000-0000-00008D860000}"/>
    <cellStyle name="Accent1 3 2 2" xfId="34455" xr:uid="{00000000-0005-0000-0000-00008E860000}"/>
    <cellStyle name="Accent1 3 3" xfId="34456" xr:uid="{00000000-0005-0000-0000-00008F860000}"/>
    <cellStyle name="Accent1 3 3 2" xfId="34457" xr:uid="{00000000-0005-0000-0000-000090860000}"/>
    <cellStyle name="Accent1 3 4" xfId="34458" xr:uid="{00000000-0005-0000-0000-000091860000}"/>
    <cellStyle name="Accent1 3 4 2" xfId="34459" xr:uid="{00000000-0005-0000-0000-000092860000}"/>
    <cellStyle name="Accent1 3 5" xfId="34460" xr:uid="{00000000-0005-0000-0000-000093860000}"/>
    <cellStyle name="Accent1 30" xfId="34461" xr:uid="{00000000-0005-0000-0000-000094860000}"/>
    <cellStyle name="Accent1 30 2" xfId="34462" xr:uid="{00000000-0005-0000-0000-000095860000}"/>
    <cellStyle name="Accent1 30 2 2" xfId="34463" xr:uid="{00000000-0005-0000-0000-000096860000}"/>
    <cellStyle name="Accent1 30 3" xfId="34464" xr:uid="{00000000-0005-0000-0000-000097860000}"/>
    <cellStyle name="Accent1 31" xfId="34465" xr:uid="{00000000-0005-0000-0000-000098860000}"/>
    <cellStyle name="Accent1 31 2" xfId="34466" xr:uid="{00000000-0005-0000-0000-000099860000}"/>
    <cellStyle name="Accent1 31 2 2" xfId="34467" xr:uid="{00000000-0005-0000-0000-00009A860000}"/>
    <cellStyle name="Accent1 31 3" xfId="34468" xr:uid="{00000000-0005-0000-0000-00009B860000}"/>
    <cellStyle name="Accent1 32" xfId="34469" xr:uid="{00000000-0005-0000-0000-00009C860000}"/>
    <cellStyle name="Accent1 32 2" xfId="34470" xr:uid="{00000000-0005-0000-0000-00009D860000}"/>
    <cellStyle name="Accent1 32 2 2" xfId="34471" xr:uid="{00000000-0005-0000-0000-00009E860000}"/>
    <cellStyle name="Accent1 32 3" xfId="34472" xr:uid="{00000000-0005-0000-0000-00009F860000}"/>
    <cellStyle name="Accent1 33" xfId="34473" xr:uid="{00000000-0005-0000-0000-0000A0860000}"/>
    <cellStyle name="Accent1 33 2" xfId="34474" xr:uid="{00000000-0005-0000-0000-0000A1860000}"/>
    <cellStyle name="Accent1 33 2 2" xfId="34475" xr:uid="{00000000-0005-0000-0000-0000A2860000}"/>
    <cellStyle name="Accent1 33 3" xfId="34476" xr:uid="{00000000-0005-0000-0000-0000A3860000}"/>
    <cellStyle name="Accent1 34" xfId="34477" xr:uid="{00000000-0005-0000-0000-0000A4860000}"/>
    <cellStyle name="Accent1 34 2" xfId="34478" xr:uid="{00000000-0005-0000-0000-0000A5860000}"/>
    <cellStyle name="Accent1 34 2 2" xfId="34479" xr:uid="{00000000-0005-0000-0000-0000A6860000}"/>
    <cellStyle name="Accent1 34 3" xfId="34480" xr:uid="{00000000-0005-0000-0000-0000A7860000}"/>
    <cellStyle name="Accent1 35" xfId="34481" xr:uid="{00000000-0005-0000-0000-0000A8860000}"/>
    <cellStyle name="Accent1 35 2" xfId="34482" xr:uid="{00000000-0005-0000-0000-0000A9860000}"/>
    <cellStyle name="Accent1 35 2 2" xfId="34483" xr:uid="{00000000-0005-0000-0000-0000AA860000}"/>
    <cellStyle name="Accent1 35 3" xfId="34484" xr:uid="{00000000-0005-0000-0000-0000AB860000}"/>
    <cellStyle name="Accent1 36" xfId="34485" xr:uid="{00000000-0005-0000-0000-0000AC860000}"/>
    <cellStyle name="Accent1 36 2" xfId="34486" xr:uid="{00000000-0005-0000-0000-0000AD860000}"/>
    <cellStyle name="Accent1 36 2 2" xfId="34487" xr:uid="{00000000-0005-0000-0000-0000AE860000}"/>
    <cellStyle name="Accent1 36 3" xfId="34488" xr:uid="{00000000-0005-0000-0000-0000AF860000}"/>
    <cellStyle name="Accent1 37" xfId="34489" xr:uid="{00000000-0005-0000-0000-0000B0860000}"/>
    <cellStyle name="Accent1 37 2" xfId="34490" xr:uid="{00000000-0005-0000-0000-0000B1860000}"/>
    <cellStyle name="Accent1 37 2 2" xfId="34491" xr:uid="{00000000-0005-0000-0000-0000B2860000}"/>
    <cellStyle name="Accent1 37 3" xfId="34492" xr:uid="{00000000-0005-0000-0000-0000B3860000}"/>
    <cellStyle name="Accent1 38" xfId="34493" xr:uid="{00000000-0005-0000-0000-0000B4860000}"/>
    <cellStyle name="Accent1 38 2" xfId="34494" xr:uid="{00000000-0005-0000-0000-0000B5860000}"/>
    <cellStyle name="Accent1 38 2 2" xfId="34495" xr:uid="{00000000-0005-0000-0000-0000B6860000}"/>
    <cellStyle name="Accent1 38 3" xfId="34496" xr:uid="{00000000-0005-0000-0000-0000B7860000}"/>
    <cellStyle name="Accent1 39" xfId="34497" xr:uid="{00000000-0005-0000-0000-0000B8860000}"/>
    <cellStyle name="Accent1 39 2" xfId="34498" xr:uid="{00000000-0005-0000-0000-0000B9860000}"/>
    <cellStyle name="Accent1 39 2 2" xfId="34499" xr:uid="{00000000-0005-0000-0000-0000BA860000}"/>
    <cellStyle name="Accent1 39 3" xfId="34500" xr:uid="{00000000-0005-0000-0000-0000BB860000}"/>
    <cellStyle name="Accent1 4" xfId="34501" xr:uid="{00000000-0005-0000-0000-0000BC860000}"/>
    <cellStyle name="Accent1 4 2" xfId="34502" xr:uid="{00000000-0005-0000-0000-0000BD860000}"/>
    <cellStyle name="Accent1 4 2 2" xfId="34503" xr:uid="{00000000-0005-0000-0000-0000BE860000}"/>
    <cellStyle name="Accent1 4 3" xfId="34504" xr:uid="{00000000-0005-0000-0000-0000BF860000}"/>
    <cellStyle name="Accent1 4 3 2" xfId="34505" xr:uid="{00000000-0005-0000-0000-0000C0860000}"/>
    <cellStyle name="Accent1 4 4" xfId="34506" xr:uid="{00000000-0005-0000-0000-0000C1860000}"/>
    <cellStyle name="Accent1 4 4 2" xfId="34507" xr:uid="{00000000-0005-0000-0000-0000C2860000}"/>
    <cellStyle name="Accent1 4 5" xfId="34508" xr:uid="{00000000-0005-0000-0000-0000C3860000}"/>
    <cellStyle name="Accent1 40" xfId="34509" xr:uid="{00000000-0005-0000-0000-0000C4860000}"/>
    <cellStyle name="Accent1 40 2" xfId="34510" xr:uid="{00000000-0005-0000-0000-0000C5860000}"/>
    <cellStyle name="Accent1 40 2 2" xfId="34511" xr:uid="{00000000-0005-0000-0000-0000C6860000}"/>
    <cellStyle name="Accent1 40 3" xfId="34512" xr:uid="{00000000-0005-0000-0000-0000C7860000}"/>
    <cellStyle name="Accent1 41" xfId="34513" xr:uid="{00000000-0005-0000-0000-0000C8860000}"/>
    <cellStyle name="Accent1 41 2" xfId="34514" xr:uid="{00000000-0005-0000-0000-0000C9860000}"/>
    <cellStyle name="Accent1 41 2 2" xfId="34515" xr:uid="{00000000-0005-0000-0000-0000CA860000}"/>
    <cellStyle name="Accent1 41 3" xfId="34516" xr:uid="{00000000-0005-0000-0000-0000CB860000}"/>
    <cellStyle name="Accent1 42" xfId="34517" xr:uid="{00000000-0005-0000-0000-0000CC860000}"/>
    <cellStyle name="Accent1 42 2" xfId="34518" xr:uid="{00000000-0005-0000-0000-0000CD860000}"/>
    <cellStyle name="Accent1 42 2 2" xfId="34519" xr:uid="{00000000-0005-0000-0000-0000CE860000}"/>
    <cellStyle name="Accent1 42 3" xfId="34520" xr:uid="{00000000-0005-0000-0000-0000CF860000}"/>
    <cellStyle name="Accent1 43" xfId="34521" xr:uid="{00000000-0005-0000-0000-0000D0860000}"/>
    <cellStyle name="Accent1 43 2" xfId="34522" xr:uid="{00000000-0005-0000-0000-0000D1860000}"/>
    <cellStyle name="Accent1 43 2 2" xfId="34523" xr:uid="{00000000-0005-0000-0000-0000D2860000}"/>
    <cellStyle name="Accent1 43 3" xfId="34524" xr:uid="{00000000-0005-0000-0000-0000D3860000}"/>
    <cellStyle name="Accent1 44" xfId="34525" xr:uid="{00000000-0005-0000-0000-0000D4860000}"/>
    <cellStyle name="Accent1 44 2" xfId="34526" xr:uid="{00000000-0005-0000-0000-0000D5860000}"/>
    <cellStyle name="Accent1 44 2 2" xfId="34527" xr:uid="{00000000-0005-0000-0000-0000D6860000}"/>
    <cellStyle name="Accent1 44 3" xfId="34528" xr:uid="{00000000-0005-0000-0000-0000D7860000}"/>
    <cellStyle name="Accent1 45" xfId="34529" xr:uid="{00000000-0005-0000-0000-0000D8860000}"/>
    <cellStyle name="Accent1 45 2" xfId="34530" xr:uid="{00000000-0005-0000-0000-0000D9860000}"/>
    <cellStyle name="Accent1 45 2 2" xfId="34531" xr:uid="{00000000-0005-0000-0000-0000DA860000}"/>
    <cellStyle name="Accent1 45 3" xfId="34532" xr:uid="{00000000-0005-0000-0000-0000DB860000}"/>
    <cellStyle name="Accent1 46" xfId="34533" xr:uid="{00000000-0005-0000-0000-0000DC860000}"/>
    <cellStyle name="Accent1 46 2" xfId="34534" xr:uid="{00000000-0005-0000-0000-0000DD860000}"/>
    <cellStyle name="Accent1 46 2 2" xfId="34535" xr:uid="{00000000-0005-0000-0000-0000DE860000}"/>
    <cellStyle name="Accent1 46 3" xfId="34536" xr:uid="{00000000-0005-0000-0000-0000DF860000}"/>
    <cellStyle name="Accent1 47" xfId="34537" xr:uid="{00000000-0005-0000-0000-0000E0860000}"/>
    <cellStyle name="Accent1 47 2" xfId="34538" xr:uid="{00000000-0005-0000-0000-0000E1860000}"/>
    <cellStyle name="Accent1 47 2 2" xfId="34539" xr:uid="{00000000-0005-0000-0000-0000E2860000}"/>
    <cellStyle name="Accent1 47 3" xfId="34540" xr:uid="{00000000-0005-0000-0000-0000E3860000}"/>
    <cellStyle name="Accent1 48" xfId="34541" xr:uid="{00000000-0005-0000-0000-0000E4860000}"/>
    <cellStyle name="Accent1 48 2" xfId="34542" xr:uid="{00000000-0005-0000-0000-0000E5860000}"/>
    <cellStyle name="Accent1 48 2 2" xfId="34543" xr:uid="{00000000-0005-0000-0000-0000E6860000}"/>
    <cellStyle name="Accent1 48 3" xfId="34544" xr:uid="{00000000-0005-0000-0000-0000E7860000}"/>
    <cellStyle name="Accent1 49" xfId="34545" xr:uid="{00000000-0005-0000-0000-0000E8860000}"/>
    <cellStyle name="Accent1 49 2" xfId="34546" xr:uid="{00000000-0005-0000-0000-0000E9860000}"/>
    <cellStyle name="Accent1 49 2 2" xfId="34547" xr:uid="{00000000-0005-0000-0000-0000EA860000}"/>
    <cellStyle name="Accent1 49 3" xfId="34548" xr:uid="{00000000-0005-0000-0000-0000EB860000}"/>
    <cellStyle name="Accent1 5" xfId="34549" xr:uid="{00000000-0005-0000-0000-0000EC860000}"/>
    <cellStyle name="Accent1 5 2" xfId="34550" xr:uid="{00000000-0005-0000-0000-0000ED860000}"/>
    <cellStyle name="Accent1 5 2 2" xfId="34551" xr:uid="{00000000-0005-0000-0000-0000EE860000}"/>
    <cellStyle name="Accent1 5 3" xfId="34552" xr:uid="{00000000-0005-0000-0000-0000EF860000}"/>
    <cellStyle name="Accent1 5 3 2" xfId="34553" xr:uid="{00000000-0005-0000-0000-0000F0860000}"/>
    <cellStyle name="Accent1 5 4" xfId="34554" xr:uid="{00000000-0005-0000-0000-0000F1860000}"/>
    <cellStyle name="Accent1 5 4 2" xfId="34555" xr:uid="{00000000-0005-0000-0000-0000F2860000}"/>
    <cellStyle name="Accent1 5 5" xfId="34556" xr:uid="{00000000-0005-0000-0000-0000F3860000}"/>
    <cellStyle name="Accent1 50" xfId="34557" xr:uid="{00000000-0005-0000-0000-0000F4860000}"/>
    <cellStyle name="Accent1 50 2" xfId="34558" xr:uid="{00000000-0005-0000-0000-0000F5860000}"/>
    <cellStyle name="Accent1 50 2 2" xfId="34559" xr:uid="{00000000-0005-0000-0000-0000F6860000}"/>
    <cellStyle name="Accent1 50 3" xfId="34560" xr:uid="{00000000-0005-0000-0000-0000F7860000}"/>
    <cellStyle name="Accent1 51" xfId="34561" xr:uid="{00000000-0005-0000-0000-0000F8860000}"/>
    <cellStyle name="Accent1 51 2" xfId="34562" xr:uid="{00000000-0005-0000-0000-0000F9860000}"/>
    <cellStyle name="Accent1 51 2 2" xfId="34563" xr:uid="{00000000-0005-0000-0000-0000FA860000}"/>
    <cellStyle name="Accent1 51 3" xfId="34564" xr:uid="{00000000-0005-0000-0000-0000FB860000}"/>
    <cellStyle name="Accent1 52" xfId="34565" xr:uid="{00000000-0005-0000-0000-0000FC860000}"/>
    <cellStyle name="Accent1 52 2" xfId="34566" xr:uid="{00000000-0005-0000-0000-0000FD860000}"/>
    <cellStyle name="Accent1 52 2 2" xfId="34567" xr:uid="{00000000-0005-0000-0000-0000FE860000}"/>
    <cellStyle name="Accent1 52 3" xfId="34568" xr:uid="{00000000-0005-0000-0000-0000FF860000}"/>
    <cellStyle name="Accent1 53" xfId="34569" xr:uid="{00000000-0005-0000-0000-000000870000}"/>
    <cellStyle name="Accent1 53 2" xfId="34570" xr:uid="{00000000-0005-0000-0000-000001870000}"/>
    <cellStyle name="Accent1 53 2 2" xfId="34571" xr:uid="{00000000-0005-0000-0000-000002870000}"/>
    <cellStyle name="Accent1 53 3" xfId="34572" xr:uid="{00000000-0005-0000-0000-000003870000}"/>
    <cellStyle name="Accent1 54" xfId="34573" xr:uid="{00000000-0005-0000-0000-000004870000}"/>
    <cellStyle name="Accent1 54 2" xfId="34574" xr:uid="{00000000-0005-0000-0000-000005870000}"/>
    <cellStyle name="Accent1 54 2 2" xfId="34575" xr:uid="{00000000-0005-0000-0000-000006870000}"/>
    <cellStyle name="Accent1 54 3" xfId="34576" xr:uid="{00000000-0005-0000-0000-000007870000}"/>
    <cellStyle name="Accent1 55" xfId="34577" xr:uid="{00000000-0005-0000-0000-000008870000}"/>
    <cellStyle name="Accent1 55 2" xfId="34578" xr:uid="{00000000-0005-0000-0000-000009870000}"/>
    <cellStyle name="Accent1 55 2 2" xfId="34579" xr:uid="{00000000-0005-0000-0000-00000A870000}"/>
    <cellStyle name="Accent1 55 3" xfId="34580" xr:uid="{00000000-0005-0000-0000-00000B870000}"/>
    <cellStyle name="Accent1 56" xfId="34581" xr:uid="{00000000-0005-0000-0000-00000C870000}"/>
    <cellStyle name="Accent1 56 2" xfId="34582" xr:uid="{00000000-0005-0000-0000-00000D870000}"/>
    <cellStyle name="Accent1 56 2 2" xfId="34583" xr:uid="{00000000-0005-0000-0000-00000E870000}"/>
    <cellStyle name="Accent1 56 3" xfId="34584" xr:uid="{00000000-0005-0000-0000-00000F870000}"/>
    <cellStyle name="Accent1 57" xfId="34585" xr:uid="{00000000-0005-0000-0000-000010870000}"/>
    <cellStyle name="Accent1 57 2" xfId="34586" xr:uid="{00000000-0005-0000-0000-000011870000}"/>
    <cellStyle name="Accent1 57 2 2" xfId="34587" xr:uid="{00000000-0005-0000-0000-000012870000}"/>
    <cellStyle name="Accent1 57 3" xfId="34588" xr:uid="{00000000-0005-0000-0000-000013870000}"/>
    <cellStyle name="Accent1 58" xfId="34589" xr:uid="{00000000-0005-0000-0000-000014870000}"/>
    <cellStyle name="Accent1 58 2" xfId="34590" xr:uid="{00000000-0005-0000-0000-000015870000}"/>
    <cellStyle name="Accent1 58 2 2" xfId="34591" xr:uid="{00000000-0005-0000-0000-000016870000}"/>
    <cellStyle name="Accent1 58 3" xfId="34592" xr:uid="{00000000-0005-0000-0000-000017870000}"/>
    <cellStyle name="Accent1 59" xfId="34593" xr:uid="{00000000-0005-0000-0000-000018870000}"/>
    <cellStyle name="Accent1 59 2" xfId="34594" xr:uid="{00000000-0005-0000-0000-000019870000}"/>
    <cellStyle name="Accent1 59 2 2" xfId="34595" xr:uid="{00000000-0005-0000-0000-00001A870000}"/>
    <cellStyle name="Accent1 59 3" xfId="34596" xr:uid="{00000000-0005-0000-0000-00001B870000}"/>
    <cellStyle name="Accent1 59 3 2" xfId="34597" xr:uid="{00000000-0005-0000-0000-00001C870000}"/>
    <cellStyle name="Accent1 59 4" xfId="34598" xr:uid="{00000000-0005-0000-0000-00001D870000}"/>
    <cellStyle name="Accent1 6" xfId="34599" xr:uid="{00000000-0005-0000-0000-00001E870000}"/>
    <cellStyle name="Accent1 6 2" xfId="34600" xr:uid="{00000000-0005-0000-0000-00001F870000}"/>
    <cellStyle name="Accent1 6 2 2" xfId="34601" xr:uid="{00000000-0005-0000-0000-000020870000}"/>
    <cellStyle name="Accent1 6 3" xfId="34602" xr:uid="{00000000-0005-0000-0000-000021870000}"/>
    <cellStyle name="Accent1 6 3 2" xfId="34603" xr:uid="{00000000-0005-0000-0000-000022870000}"/>
    <cellStyle name="Accent1 6 4" xfId="34604" xr:uid="{00000000-0005-0000-0000-000023870000}"/>
    <cellStyle name="Accent1 6 4 2" xfId="34605" xr:uid="{00000000-0005-0000-0000-000024870000}"/>
    <cellStyle name="Accent1 6 5" xfId="34606" xr:uid="{00000000-0005-0000-0000-000025870000}"/>
    <cellStyle name="Accent1 60" xfId="34607" xr:uid="{00000000-0005-0000-0000-000026870000}"/>
    <cellStyle name="Accent1 60 2" xfId="34608" xr:uid="{00000000-0005-0000-0000-000027870000}"/>
    <cellStyle name="Accent1 60 2 2" xfId="34609" xr:uid="{00000000-0005-0000-0000-000028870000}"/>
    <cellStyle name="Accent1 60 3" xfId="34610" xr:uid="{00000000-0005-0000-0000-000029870000}"/>
    <cellStyle name="Accent1 61" xfId="34611" xr:uid="{00000000-0005-0000-0000-00002A870000}"/>
    <cellStyle name="Accent1 61 2" xfId="34612" xr:uid="{00000000-0005-0000-0000-00002B870000}"/>
    <cellStyle name="Accent1 61 2 2" xfId="34613" xr:uid="{00000000-0005-0000-0000-00002C870000}"/>
    <cellStyle name="Accent1 61 3" xfId="34614" xr:uid="{00000000-0005-0000-0000-00002D870000}"/>
    <cellStyle name="Accent1 62" xfId="34615" xr:uid="{00000000-0005-0000-0000-00002E870000}"/>
    <cellStyle name="Accent1 62 2" xfId="34616" xr:uid="{00000000-0005-0000-0000-00002F870000}"/>
    <cellStyle name="Accent1 62 2 2" xfId="34617" xr:uid="{00000000-0005-0000-0000-000030870000}"/>
    <cellStyle name="Accent1 62 3" xfId="34618" xr:uid="{00000000-0005-0000-0000-000031870000}"/>
    <cellStyle name="Accent1 63" xfId="34619" xr:uid="{00000000-0005-0000-0000-000032870000}"/>
    <cellStyle name="Accent1 63 2" xfId="34620" xr:uid="{00000000-0005-0000-0000-000033870000}"/>
    <cellStyle name="Accent1 63 2 2" xfId="34621" xr:uid="{00000000-0005-0000-0000-000034870000}"/>
    <cellStyle name="Accent1 63 3" xfId="34622" xr:uid="{00000000-0005-0000-0000-000035870000}"/>
    <cellStyle name="Accent1 64" xfId="34623" xr:uid="{00000000-0005-0000-0000-000036870000}"/>
    <cellStyle name="Accent1 64 2" xfId="34624" xr:uid="{00000000-0005-0000-0000-000037870000}"/>
    <cellStyle name="Accent1 64 2 2" xfId="34625" xr:uid="{00000000-0005-0000-0000-000038870000}"/>
    <cellStyle name="Accent1 64 3" xfId="34626" xr:uid="{00000000-0005-0000-0000-000039870000}"/>
    <cellStyle name="Accent1 65" xfId="34627" xr:uid="{00000000-0005-0000-0000-00003A870000}"/>
    <cellStyle name="Accent1 65 2" xfId="34628" xr:uid="{00000000-0005-0000-0000-00003B870000}"/>
    <cellStyle name="Accent1 65 2 2" xfId="34629" xr:uid="{00000000-0005-0000-0000-00003C870000}"/>
    <cellStyle name="Accent1 65 3" xfId="34630" xr:uid="{00000000-0005-0000-0000-00003D870000}"/>
    <cellStyle name="Accent1 66" xfId="34631" xr:uid="{00000000-0005-0000-0000-00003E870000}"/>
    <cellStyle name="Accent1 66 2" xfId="34632" xr:uid="{00000000-0005-0000-0000-00003F870000}"/>
    <cellStyle name="Accent1 66 2 2" xfId="34633" xr:uid="{00000000-0005-0000-0000-000040870000}"/>
    <cellStyle name="Accent1 66 3" xfId="34634" xr:uid="{00000000-0005-0000-0000-000041870000}"/>
    <cellStyle name="Accent1 67" xfId="34635" xr:uid="{00000000-0005-0000-0000-000042870000}"/>
    <cellStyle name="Accent1 67 2" xfId="34636" xr:uid="{00000000-0005-0000-0000-000043870000}"/>
    <cellStyle name="Accent1 67 2 2" xfId="34637" xr:uid="{00000000-0005-0000-0000-000044870000}"/>
    <cellStyle name="Accent1 67 3" xfId="34638" xr:uid="{00000000-0005-0000-0000-000045870000}"/>
    <cellStyle name="Accent1 68" xfId="34639" xr:uid="{00000000-0005-0000-0000-000046870000}"/>
    <cellStyle name="Accent1 68 2" xfId="34640" xr:uid="{00000000-0005-0000-0000-000047870000}"/>
    <cellStyle name="Accent1 68 2 2" xfId="34641" xr:uid="{00000000-0005-0000-0000-000048870000}"/>
    <cellStyle name="Accent1 68 3" xfId="34642" xr:uid="{00000000-0005-0000-0000-000049870000}"/>
    <cellStyle name="Accent1 69" xfId="34643" xr:uid="{00000000-0005-0000-0000-00004A870000}"/>
    <cellStyle name="Accent1 69 2" xfId="34644" xr:uid="{00000000-0005-0000-0000-00004B870000}"/>
    <cellStyle name="Accent1 69 2 2" xfId="34645" xr:uid="{00000000-0005-0000-0000-00004C870000}"/>
    <cellStyle name="Accent1 69 3" xfId="34646" xr:uid="{00000000-0005-0000-0000-00004D870000}"/>
    <cellStyle name="Accent1 7" xfId="34647" xr:uid="{00000000-0005-0000-0000-00004E870000}"/>
    <cellStyle name="Accent1 7 2" xfId="34648" xr:uid="{00000000-0005-0000-0000-00004F870000}"/>
    <cellStyle name="Accent1 7 2 2" xfId="34649" xr:uid="{00000000-0005-0000-0000-000050870000}"/>
    <cellStyle name="Accent1 7 3" xfId="34650" xr:uid="{00000000-0005-0000-0000-000051870000}"/>
    <cellStyle name="Accent1 7 3 2" xfId="34651" xr:uid="{00000000-0005-0000-0000-000052870000}"/>
    <cellStyle name="Accent1 7 4" xfId="34652" xr:uid="{00000000-0005-0000-0000-000053870000}"/>
    <cellStyle name="Accent1 7 4 2" xfId="34653" xr:uid="{00000000-0005-0000-0000-000054870000}"/>
    <cellStyle name="Accent1 7 5" xfId="34654" xr:uid="{00000000-0005-0000-0000-000055870000}"/>
    <cellStyle name="Accent1 70" xfId="34655" xr:uid="{00000000-0005-0000-0000-000056870000}"/>
    <cellStyle name="Accent1 70 2" xfId="34656" xr:uid="{00000000-0005-0000-0000-000057870000}"/>
    <cellStyle name="Accent1 70 2 2" xfId="34657" xr:uid="{00000000-0005-0000-0000-000058870000}"/>
    <cellStyle name="Accent1 70 3" xfId="34658" xr:uid="{00000000-0005-0000-0000-000059870000}"/>
    <cellStyle name="Accent1 71" xfId="34659" xr:uid="{00000000-0005-0000-0000-00005A870000}"/>
    <cellStyle name="Accent1 71 2" xfId="34660" xr:uid="{00000000-0005-0000-0000-00005B870000}"/>
    <cellStyle name="Accent1 71 2 2" xfId="34661" xr:uid="{00000000-0005-0000-0000-00005C870000}"/>
    <cellStyle name="Accent1 71 3" xfId="34662" xr:uid="{00000000-0005-0000-0000-00005D870000}"/>
    <cellStyle name="Accent1 72" xfId="34663" xr:uid="{00000000-0005-0000-0000-00005E870000}"/>
    <cellStyle name="Accent1 72 2" xfId="34664" xr:uid="{00000000-0005-0000-0000-00005F870000}"/>
    <cellStyle name="Accent1 72 2 2" xfId="34665" xr:uid="{00000000-0005-0000-0000-000060870000}"/>
    <cellStyle name="Accent1 72 3" xfId="34666" xr:uid="{00000000-0005-0000-0000-000061870000}"/>
    <cellStyle name="Accent1 73" xfId="34667" xr:uid="{00000000-0005-0000-0000-000062870000}"/>
    <cellStyle name="Accent1 73 2" xfId="34668" xr:uid="{00000000-0005-0000-0000-000063870000}"/>
    <cellStyle name="Accent1 73 2 2" xfId="34669" xr:uid="{00000000-0005-0000-0000-000064870000}"/>
    <cellStyle name="Accent1 73 3" xfId="34670" xr:uid="{00000000-0005-0000-0000-000065870000}"/>
    <cellStyle name="Accent1 74" xfId="34671" xr:uid="{00000000-0005-0000-0000-000066870000}"/>
    <cellStyle name="Accent1 74 2" xfId="34672" xr:uid="{00000000-0005-0000-0000-000067870000}"/>
    <cellStyle name="Accent1 74 2 2" xfId="34673" xr:uid="{00000000-0005-0000-0000-000068870000}"/>
    <cellStyle name="Accent1 74 3" xfId="34674" xr:uid="{00000000-0005-0000-0000-000069870000}"/>
    <cellStyle name="Accent1 75" xfId="34675" xr:uid="{00000000-0005-0000-0000-00006A870000}"/>
    <cellStyle name="Accent1 75 2" xfId="34676" xr:uid="{00000000-0005-0000-0000-00006B870000}"/>
    <cellStyle name="Accent1 75 2 2" xfId="34677" xr:uid="{00000000-0005-0000-0000-00006C870000}"/>
    <cellStyle name="Accent1 75 3" xfId="34678" xr:uid="{00000000-0005-0000-0000-00006D870000}"/>
    <cellStyle name="Accent1 76" xfId="34679" xr:uid="{00000000-0005-0000-0000-00006E870000}"/>
    <cellStyle name="Accent1 76 2" xfId="34680" xr:uid="{00000000-0005-0000-0000-00006F870000}"/>
    <cellStyle name="Accent1 76 2 2" xfId="34681" xr:uid="{00000000-0005-0000-0000-000070870000}"/>
    <cellStyle name="Accent1 76 3" xfId="34682" xr:uid="{00000000-0005-0000-0000-000071870000}"/>
    <cellStyle name="Accent1 77" xfId="34683" xr:uid="{00000000-0005-0000-0000-000072870000}"/>
    <cellStyle name="Accent1 77 2" xfId="34684" xr:uid="{00000000-0005-0000-0000-000073870000}"/>
    <cellStyle name="Accent1 77 2 2" xfId="34685" xr:uid="{00000000-0005-0000-0000-000074870000}"/>
    <cellStyle name="Accent1 77 3" xfId="34686" xr:uid="{00000000-0005-0000-0000-000075870000}"/>
    <cellStyle name="Accent1 78" xfId="34687" xr:uid="{00000000-0005-0000-0000-000076870000}"/>
    <cellStyle name="Accent1 78 2" xfId="34688" xr:uid="{00000000-0005-0000-0000-000077870000}"/>
    <cellStyle name="Accent1 78 2 2" xfId="34689" xr:uid="{00000000-0005-0000-0000-000078870000}"/>
    <cellStyle name="Accent1 78 3" xfId="34690" xr:uid="{00000000-0005-0000-0000-000079870000}"/>
    <cellStyle name="Accent1 79" xfId="34691" xr:uid="{00000000-0005-0000-0000-00007A870000}"/>
    <cellStyle name="Accent1 79 2" xfId="34692" xr:uid="{00000000-0005-0000-0000-00007B870000}"/>
    <cellStyle name="Accent1 79 2 2" xfId="34693" xr:uid="{00000000-0005-0000-0000-00007C870000}"/>
    <cellStyle name="Accent1 79 3" xfId="34694" xr:uid="{00000000-0005-0000-0000-00007D870000}"/>
    <cellStyle name="Accent1 8" xfId="34695" xr:uid="{00000000-0005-0000-0000-00007E870000}"/>
    <cellStyle name="Accent1 8 2" xfId="34696" xr:uid="{00000000-0005-0000-0000-00007F870000}"/>
    <cellStyle name="Accent1 8 2 2" xfId="34697" xr:uid="{00000000-0005-0000-0000-000080870000}"/>
    <cellStyle name="Accent1 8 3" xfId="34698" xr:uid="{00000000-0005-0000-0000-000081870000}"/>
    <cellStyle name="Accent1 8 3 2" xfId="34699" xr:uid="{00000000-0005-0000-0000-000082870000}"/>
    <cellStyle name="Accent1 8 4" xfId="34700" xr:uid="{00000000-0005-0000-0000-000083870000}"/>
    <cellStyle name="Accent1 8 4 2" xfId="34701" xr:uid="{00000000-0005-0000-0000-000084870000}"/>
    <cellStyle name="Accent1 8 5" xfId="34702" xr:uid="{00000000-0005-0000-0000-000085870000}"/>
    <cellStyle name="Accent1 80" xfId="34703" xr:uid="{00000000-0005-0000-0000-000086870000}"/>
    <cellStyle name="Accent1 80 2" xfId="34704" xr:uid="{00000000-0005-0000-0000-000087870000}"/>
    <cellStyle name="Accent1 80 2 2" xfId="34705" xr:uid="{00000000-0005-0000-0000-000088870000}"/>
    <cellStyle name="Accent1 80 3" xfId="34706" xr:uid="{00000000-0005-0000-0000-000089870000}"/>
    <cellStyle name="Accent1 81" xfId="34707" xr:uid="{00000000-0005-0000-0000-00008A870000}"/>
    <cellStyle name="Accent1 81 2" xfId="34708" xr:uid="{00000000-0005-0000-0000-00008B870000}"/>
    <cellStyle name="Accent1 81 2 2" xfId="34709" xr:uid="{00000000-0005-0000-0000-00008C870000}"/>
    <cellStyle name="Accent1 81 3" xfId="34710" xr:uid="{00000000-0005-0000-0000-00008D870000}"/>
    <cellStyle name="Accent1 82" xfId="34711" xr:uid="{00000000-0005-0000-0000-00008E870000}"/>
    <cellStyle name="Accent1 82 2" xfId="34712" xr:uid="{00000000-0005-0000-0000-00008F870000}"/>
    <cellStyle name="Accent1 82 2 2" xfId="34713" xr:uid="{00000000-0005-0000-0000-000090870000}"/>
    <cellStyle name="Accent1 82 3" xfId="34714" xr:uid="{00000000-0005-0000-0000-000091870000}"/>
    <cellStyle name="Accent1 83" xfId="34715" xr:uid="{00000000-0005-0000-0000-000092870000}"/>
    <cellStyle name="Accent1 83 2" xfId="34716" xr:uid="{00000000-0005-0000-0000-000093870000}"/>
    <cellStyle name="Accent1 83 2 2" xfId="34717" xr:uid="{00000000-0005-0000-0000-000094870000}"/>
    <cellStyle name="Accent1 83 3" xfId="34718" xr:uid="{00000000-0005-0000-0000-000095870000}"/>
    <cellStyle name="Accent1 84" xfId="34719" xr:uid="{00000000-0005-0000-0000-000096870000}"/>
    <cellStyle name="Accent1 84 2" xfId="34720" xr:uid="{00000000-0005-0000-0000-000097870000}"/>
    <cellStyle name="Accent1 84 2 2" xfId="34721" xr:uid="{00000000-0005-0000-0000-000098870000}"/>
    <cellStyle name="Accent1 84 3" xfId="34722" xr:uid="{00000000-0005-0000-0000-000099870000}"/>
    <cellStyle name="Accent1 85" xfId="34723" xr:uid="{00000000-0005-0000-0000-00009A870000}"/>
    <cellStyle name="Accent1 85 2" xfId="34724" xr:uid="{00000000-0005-0000-0000-00009B870000}"/>
    <cellStyle name="Accent1 85 2 2" xfId="34725" xr:uid="{00000000-0005-0000-0000-00009C870000}"/>
    <cellStyle name="Accent1 85 3" xfId="34726" xr:uid="{00000000-0005-0000-0000-00009D870000}"/>
    <cellStyle name="Accent1 86" xfId="34727" xr:uid="{00000000-0005-0000-0000-00009E870000}"/>
    <cellStyle name="Accent1 86 2" xfId="34728" xr:uid="{00000000-0005-0000-0000-00009F870000}"/>
    <cellStyle name="Accent1 86 2 2" xfId="34729" xr:uid="{00000000-0005-0000-0000-0000A0870000}"/>
    <cellStyle name="Accent1 86 3" xfId="34730" xr:uid="{00000000-0005-0000-0000-0000A1870000}"/>
    <cellStyle name="Accent1 87" xfId="34731" xr:uid="{00000000-0005-0000-0000-0000A2870000}"/>
    <cellStyle name="Accent1 87 2" xfId="34732" xr:uid="{00000000-0005-0000-0000-0000A3870000}"/>
    <cellStyle name="Accent1 87 2 2" xfId="34733" xr:uid="{00000000-0005-0000-0000-0000A4870000}"/>
    <cellStyle name="Accent1 87 3" xfId="34734" xr:uid="{00000000-0005-0000-0000-0000A5870000}"/>
    <cellStyle name="Accent1 88" xfId="34735" xr:uid="{00000000-0005-0000-0000-0000A6870000}"/>
    <cellStyle name="Accent1 88 2" xfId="34736" xr:uid="{00000000-0005-0000-0000-0000A7870000}"/>
    <cellStyle name="Accent1 88 2 2" xfId="34737" xr:uid="{00000000-0005-0000-0000-0000A8870000}"/>
    <cellStyle name="Accent1 88 3" xfId="34738" xr:uid="{00000000-0005-0000-0000-0000A9870000}"/>
    <cellStyle name="Accent1 89" xfId="34739" xr:uid="{00000000-0005-0000-0000-0000AA870000}"/>
    <cellStyle name="Accent1 89 2" xfId="34740" xr:uid="{00000000-0005-0000-0000-0000AB870000}"/>
    <cellStyle name="Accent1 89 2 2" xfId="34741" xr:uid="{00000000-0005-0000-0000-0000AC870000}"/>
    <cellStyle name="Accent1 89 3" xfId="34742" xr:uid="{00000000-0005-0000-0000-0000AD870000}"/>
    <cellStyle name="Accent1 9" xfId="34743" xr:uid="{00000000-0005-0000-0000-0000AE870000}"/>
    <cellStyle name="Accent1 9 2" xfId="34744" xr:uid="{00000000-0005-0000-0000-0000AF870000}"/>
    <cellStyle name="Accent1 9 2 2" xfId="34745" xr:uid="{00000000-0005-0000-0000-0000B0870000}"/>
    <cellStyle name="Accent1 9 3" xfId="34746" xr:uid="{00000000-0005-0000-0000-0000B1870000}"/>
    <cellStyle name="Accent1 9 3 2" xfId="34747" xr:uid="{00000000-0005-0000-0000-0000B2870000}"/>
    <cellStyle name="Accent1 9 4" xfId="34748" xr:uid="{00000000-0005-0000-0000-0000B3870000}"/>
    <cellStyle name="Accent1 9 4 2" xfId="34749" xr:uid="{00000000-0005-0000-0000-0000B4870000}"/>
    <cellStyle name="Accent1 9 5" xfId="34750" xr:uid="{00000000-0005-0000-0000-0000B5870000}"/>
    <cellStyle name="Accent1 90" xfId="34751" xr:uid="{00000000-0005-0000-0000-0000B6870000}"/>
    <cellStyle name="Accent1 90 2" xfId="34752" xr:uid="{00000000-0005-0000-0000-0000B7870000}"/>
    <cellStyle name="Accent1 90 2 2" xfId="34753" xr:uid="{00000000-0005-0000-0000-0000B8870000}"/>
    <cellStyle name="Accent1 90 3" xfId="34754" xr:uid="{00000000-0005-0000-0000-0000B9870000}"/>
    <cellStyle name="Accent1 91" xfId="34755" xr:uid="{00000000-0005-0000-0000-0000BA870000}"/>
    <cellStyle name="Accent1 91 2" xfId="34756" xr:uid="{00000000-0005-0000-0000-0000BB870000}"/>
    <cellStyle name="Accent1 91 2 2" xfId="34757" xr:uid="{00000000-0005-0000-0000-0000BC870000}"/>
    <cellStyle name="Accent1 91 3" xfId="34758" xr:uid="{00000000-0005-0000-0000-0000BD870000}"/>
    <cellStyle name="Accent1 92" xfId="34759" xr:uid="{00000000-0005-0000-0000-0000BE870000}"/>
    <cellStyle name="Accent1 92 2" xfId="34760" xr:uid="{00000000-0005-0000-0000-0000BF870000}"/>
    <cellStyle name="Accent1 92 2 2" xfId="34761" xr:uid="{00000000-0005-0000-0000-0000C0870000}"/>
    <cellStyle name="Accent1 92 3" xfId="34762" xr:uid="{00000000-0005-0000-0000-0000C1870000}"/>
    <cellStyle name="Accent1 93" xfId="34763" xr:uid="{00000000-0005-0000-0000-0000C2870000}"/>
    <cellStyle name="Accent1 93 2" xfId="34764" xr:uid="{00000000-0005-0000-0000-0000C3870000}"/>
    <cellStyle name="Accent1 93 2 2" xfId="34765" xr:uid="{00000000-0005-0000-0000-0000C4870000}"/>
    <cellStyle name="Accent1 93 3" xfId="34766" xr:uid="{00000000-0005-0000-0000-0000C5870000}"/>
    <cellStyle name="Accent1 94" xfId="34767" xr:uid="{00000000-0005-0000-0000-0000C6870000}"/>
    <cellStyle name="Accent1 94 2" xfId="34768" xr:uid="{00000000-0005-0000-0000-0000C7870000}"/>
    <cellStyle name="Accent1 94 2 2" xfId="34769" xr:uid="{00000000-0005-0000-0000-0000C8870000}"/>
    <cellStyle name="Accent1 94 3" xfId="34770" xr:uid="{00000000-0005-0000-0000-0000C9870000}"/>
    <cellStyle name="Accent1 95" xfId="34771" xr:uid="{00000000-0005-0000-0000-0000CA870000}"/>
    <cellStyle name="Accent1 95 2" xfId="34772" xr:uid="{00000000-0005-0000-0000-0000CB870000}"/>
    <cellStyle name="Accent1 95 2 2" xfId="34773" xr:uid="{00000000-0005-0000-0000-0000CC870000}"/>
    <cellStyle name="Accent1 95 3" xfId="34774" xr:uid="{00000000-0005-0000-0000-0000CD870000}"/>
    <cellStyle name="Accent1 96" xfId="34775" xr:uid="{00000000-0005-0000-0000-0000CE870000}"/>
    <cellStyle name="Accent1 96 2" xfId="34776" xr:uid="{00000000-0005-0000-0000-0000CF870000}"/>
    <cellStyle name="Accent1 96 2 2" xfId="34777" xr:uid="{00000000-0005-0000-0000-0000D0870000}"/>
    <cellStyle name="Accent1 96 3" xfId="34778" xr:uid="{00000000-0005-0000-0000-0000D1870000}"/>
    <cellStyle name="Accent1 97" xfId="34779" xr:uid="{00000000-0005-0000-0000-0000D2870000}"/>
    <cellStyle name="Accent1 97 2" xfId="34780" xr:uid="{00000000-0005-0000-0000-0000D3870000}"/>
    <cellStyle name="Accent1 97 2 2" xfId="34781" xr:uid="{00000000-0005-0000-0000-0000D4870000}"/>
    <cellStyle name="Accent1 97 3" xfId="34782" xr:uid="{00000000-0005-0000-0000-0000D5870000}"/>
    <cellStyle name="Accent1 98" xfId="34783" xr:uid="{00000000-0005-0000-0000-0000D6870000}"/>
    <cellStyle name="Accent1 98 2" xfId="34784" xr:uid="{00000000-0005-0000-0000-0000D7870000}"/>
    <cellStyle name="Accent1 98 2 2" xfId="34785" xr:uid="{00000000-0005-0000-0000-0000D8870000}"/>
    <cellStyle name="Accent1 98 3" xfId="34786" xr:uid="{00000000-0005-0000-0000-0000D9870000}"/>
    <cellStyle name="Accent1 99" xfId="34787" xr:uid="{00000000-0005-0000-0000-0000DA870000}"/>
    <cellStyle name="Accent1 99 2" xfId="34788" xr:uid="{00000000-0005-0000-0000-0000DB870000}"/>
    <cellStyle name="Accent1 99 2 2" xfId="34789" xr:uid="{00000000-0005-0000-0000-0000DC870000}"/>
    <cellStyle name="Accent1 99 3" xfId="34790" xr:uid="{00000000-0005-0000-0000-0000DD870000}"/>
    <cellStyle name="Accent2 - 20%" xfId="34791" xr:uid="{00000000-0005-0000-0000-0000DE870000}"/>
    <cellStyle name="Accent2 - 20% 2" xfId="34792" xr:uid="{00000000-0005-0000-0000-0000DF870000}"/>
    <cellStyle name="Accent2 - 20% 2 2" xfId="34793" xr:uid="{00000000-0005-0000-0000-0000E0870000}"/>
    <cellStyle name="Accent2 - 20% 3" xfId="34794" xr:uid="{00000000-0005-0000-0000-0000E1870000}"/>
    <cellStyle name="Accent2 - 20% 3 2" xfId="34795" xr:uid="{00000000-0005-0000-0000-0000E2870000}"/>
    <cellStyle name="Accent2 - 20% 4" xfId="34796" xr:uid="{00000000-0005-0000-0000-0000E3870000}"/>
    <cellStyle name="Accent2 - 20% 4 2" xfId="34797" xr:uid="{00000000-0005-0000-0000-0000E4870000}"/>
    <cellStyle name="Accent2 - 20% 5" xfId="34798" xr:uid="{00000000-0005-0000-0000-0000E5870000}"/>
    <cellStyle name="Accent2 - 20% 5 2" xfId="34799" xr:uid="{00000000-0005-0000-0000-0000E6870000}"/>
    <cellStyle name="Accent2 - 20% 6" xfId="34800" xr:uid="{00000000-0005-0000-0000-0000E7870000}"/>
    <cellStyle name="Accent2 - 40%" xfId="34801" xr:uid="{00000000-0005-0000-0000-0000E8870000}"/>
    <cellStyle name="Accent2 - 40% 2" xfId="34802" xr:uid="{00000000-0005-0000-0000-0000E9870000}"/>
    <cellStyle name="Accent2 - 40% 2 2" xfId="34803" xr:uid="{00000000-0005-0000-0000-0000EA870000}"/>
    <cellStyle name="Accent2 - 40% 3" xfId="34804" xr:uid="{00000000-0005-0000-0000-0000EB870000}"/>
    <cellStyle name="Accent2 - 40% 3 2" xfId="34805" xr:uid="{00000000-0005-0000-0000-0000EC870000}"/>
    <cellStyle name="Accent2 - 40% 4" xfId="34806" xr:uid="{00000000-0005-0000-0000-0000ED870000}"/>
    <cellStyle name="Accent2 - 40% 4 2" xfId="34807" xr:uid="{00000000-0005-0000-0000-0000EE870000}"/>
    <cellStyle name="Accent2 - 40% 5" xfId="34808" xr:uid="{00000000-0005-0000-0000-0000EF870000}"/>
    <cellStyle name="Accent2 - 40% 5 2" xfId="34809" xr:uid="{00000000-0005-0000-0000-0000F0870000}"/>
    <cellStyle name="Accent2 - 40% 6" xfId="34810" xr:uid="{00000000-0005-0000-0000-0000F1870000}"/>
    <cellStyle name="Accent2 - 60%" xfId="34811" xr:uid="{00000000-0005-0000-0000-0000F2870000}"/>
    <cellStyle name="Accent2 - 60% 2" xfId="34812" xr:uid="{00000000-0005-0000-0000-0000F3870000}"/>
    <cellStyle name="Accent2 - 60% 2 2" xfId="34813" xr:uid="{00000000-0005-0000-0000-0000F4870000}"/>
    <cellStyle name="Accent2 - 60% 3" xfId="34814" xr:uid="{00000000-0005-0000-0000-0000F5870000}"/>
    <cellStyle name="Accent2 - 60% 3 2" xfId="34815" xr:uid="{00000000-0005-0000-0000-0000F6870000}"/>
    <cellStyle name="Accent2 - 60% 4" xfId="34816" xr:uid="{00000000-0005-0000-0000-0000F7870000}"/>
    <cellStyle name="Accent2 - 60% 4 2" xfId="34817" xr:uid="{00000000-0005-0000-0000-0000F8870000}"/>
    <cellStyle name="Accent2 - 60% 5" xfId="34818" xr:uid="{00000000-0005-0000-0000-0000F9870000}"/>
    <cellStyle name="Accent2 - 60% 5 2" xfId="34819" xr:uid="{00000000-0005-0000-0000-0000FA870000}"/>
    <cellStyle name="Accent2 - 60% 6" xfId="34820" xr:uid="{00000000-0005-0000-0000-0000FB870000}"/>
    <cellStyle name="Accent2 10" xfId="34821" xr:uid="{00000000-0005-0000-0000-0000FC870000}"/>
    <cellStyle name="Accent2 10 2" xfId="34822" xr:uid="{00000000-0005-0000-0000-0000FD870000}"/>
    <cellStyle name="Accent2 10 2 2" xfId="34823" xr:uid="{00000000-0005-0000-0000-0000FE870000}"/>
    <cellStyle name="Accent2 10 3" xfId="34824" xr:uid="{00000000-0005-0000-0000-0000FF870000}"/>
    <cellStyle name="Accent2 100" xfId="34825" xr:uid="{00000000-0005-0000-0000-000000880000}"/>
    <cellStyle name="Accent2 100 2" xfId="34826" xr:uid="{00000000-0005-0000-0000-000001880000}"/>
    <cellStyle name="Accent2 100 2 2" xfId="34827" xr:uid="{00000000-0005-0000-0000-000002880000}"/>
    <cellStyle name="Accent2 100 3" xfId="34828" xr:uid="{00000000-0005-0000-0000-000003880000}"/>
    <cellStyle name="Accent2 101" xfId="34829" xr:uid="{00000000-0005-0000-0000-000004880000}"/>
    <cellStyle name="Accent2 101 2" xfId="34830" xr:uid="{00000000-0005-0000-0000-000005880000}"/>
    <cellStyle name="Accent2 101 2 2" xfId="34831" xr:uid="{00000000-0005-0000-0000-000006880000}"/>
    <cellStyle name="Accent2 101 3" xfId="34832" xr:uid="{00000000-0005-0000-0000-000007880000}"/>
    <cellStyle name="Accent2 102" xfId="34833" xr:uid="{00000000-0005-0000-0000-000008880000}"/>
    <cellStyle name="Accent2 102 2" xfId="34834" xr:uid="{00000000-0005-0000-0000-000009880000}"/>
    <cellStyle name="Accent2 102 2 2" xfId="34835" xr:uid="{00000000-0005-0000-0000-00000A880000}"/>
    <cellStyle name="Accent2 102 3" xfId="34836" xr:uid="{00000000-0005-0000-0000-00000B880000}"/>
    <cellStyle name="Accent2 103" xfId="34837" xr:uid="{00000000-0005-0000-0000-00000C880000}"/>
    <cellStyle name="Accent2 103 2" xfId="34838" xr:uid="{00000000-0005-0000-0000-00000D880000}"/>
    <cellStyle name="Accent2 103 2 2" xfId="34839" xr:uid="{00000000-0005-0000-0000-00000E880000}"/>
    <cellStyle name="Accent2 103 3" xfId="34840" xr:uid="{00000000-0005-0000-0000-00000F880000}"/>
    <cellStyle name="Accent2 104" xfId="34841" xr:uid="{00000000-0005-0000-0000-000010880000}"/>
    <cellStyle name="Accent2 104 2" xfId="34842" xr:uid="{00000000-0005-0000-0000-000011880000}"/>
    <cellStyle name="Accent2 104 2 2" xfId="34843" xr:uid="{00000000-0005-0000-0000-000012880000}"/>
    <cellStyle name="Accent2 104 3" xfId="34844" xr:uid="{00000000-0005-0000-0000-000013880000}"/>
    <cellStyle name="Accent2 105" xfId="34845" xr:uid="{00000000-0005-0000-0000-000014880000}"/>
    <cellStyle name="Accent2 105 2" xfId="34846" xr:uid="{00000000-0005-0000-0000-000015880000}"/>
    <cellStyle name="Accent2 105 2 2" xfId="34847" xr:uid="{00000000-0005-0000-0000-000016880000}"/>
    <cellStyle name="Accent2 105 3" xfId="34848" xr:uid="{00000000-0005-0000-0000-000017880000}"/>
    <cellStyle name="Accent2 106" xfId="34849" xr:uid="{00000000-0005-0000-0000-000018880000}"/>
    <cellStyle name="Accent2 106 2" xfId="34850" xr:uid="{00000000-0005-0000-0000-000019880000}"/>
    <cellStyle name="Accent2 106 2 2" xfId="34851" xr:uid="{00000000-0005-0000-0000-00001A880000}"/>
    <cellStyle name="Accent2 106 3" xfId="34852" xr:uid="{00000000-0005-0000-0000-00001B880000}"/>
    <cellStyle name="Accent2 107" xfId="34853" xr:uid="{00000000-0005-0000-0000-00001C880000}"/>
    <cellStyle name="Accent2 107 2" xfId="34854" xr:uid="{00000000-0005-0000-0000-00001D880000}"/>
    <cellStyle name="Accent2 107 2 2" xfId="34855" xr:uid="{00000000-0005-0000-0000-00001E880000}"/>
    <cellStyle name="Accent2 107 3" xfId="34856" xr:uid="{00000000-0005-0000-0000-00001F880000}"/>
    <cellStyle name="Accent2 108" xfId="34857" xr:uid="{00000000-0005-0000-0000-000020880000}"/>
    <cellStyle name="Accent2 108 2" xfId="34858" xr:uid="{00000000-0005-0000-0000-000021880000}"/>
    <cellStyle name="Accent2 108 2 2" xfId="34859" xr:uid="{00000000-0005-0000-0000-000022880000}"/>
    <cellStyle name="Accent2 108 3" xfId="34860" xr:uid="{00000000-0005-0000-0000-000023880000}"/>
    <cellStyle name="Accent2 109" xfId="34861" xr:uid="{00000000-0005-0000-0000-000024880000}"/>
    <cellStyle name="Accent2 109 2" xfId="34862" xr:uid="{00000000-0005-0000-0000-000025880000}"/>
    <cellStyle name="Accent2 109 2 2" xfId="34863" xr:uid="{00000000-0005-0000-0000-000026880000}"/>
    <cellStyle name="Accent2 109 3" xfId="34864" xr:uid="{00000000-0005-0000-0000-000027880000}"/>
    <cellStyle name="Accent2 11" xfId="34865" xr:uid="{00000000-0005-0000-0000-000028880000}"/>
    <cellStyle name="Accent2 11 2" xfId="34866" xr:uid="{00000000-0005-0000-0000-000029880000}"/>
    <cellStyle name="Accent2 11 2 2" xfId="34867" xr:uid="{00000000-0005-0000-0000-00002A880000}"/>
    <cellStyle name="Accent2 11 3" xfId="34868" xr:uid="{00000000-0005-0000-0000-00002B880000}"/>
    <cellStyle name="Accent2 110" xfId="34869" xr:uid="{00000000-0005-0000-0000-00002C880000}"/>
    <cellStyle name="Accent2 110 2" xfId="34870" xr:uid="{00000000-0005-0000-0000-00002D880000}"/>
    <cellStyle name="Accent2 110 2 2" xfId="34871" xr:uid="{00000000-0005-0000-0000-00002E880000}"/>
    <cellStyle name="Accent2 110 3" xfId="34872" xr:uid="{00000000-0005-0000-0000-00002F880000}"/>
    <cellStyle name="Accent2 111" xfId="34873" xr:uid="{00000000-0005-0000-0000-000030880000}"/>
    <cellStyle name="Accent2 111 2" xfId="34874" xr:uid="{00000000-0005-0000-0000-000031880000}"/>
    <cellStyle name="Accent2 111 2 2" xfId="34875" xr:uid="{00000000-0005-0000-0000-000032880000}"/>
    <cellStyle name="Accent2 111 3" xfId="34876" xr:uid="{00000000-0005-0000-0000-000033880000}"/>
    <cellStyle name="Accent2 112" xfId="34877" xr:uid="{00000000-0005-0000-0000-000034880000}"/>
    <cellStyle name="Accent2 112 2" xfId="34878" xr:uid="{00000000-0005-0000-0000-000035880000}"/>
    <cellStyle name="Accent2 112 2 2" xfId="34879" xr:uid="{00000000-0005-0000-0000-000036880000}"/>
    <cellStyle name="Accent2 112 3" xfId="34880" xr:uid="{00000000-0005-0000-0000-000037880000}"/>
    <cellStyle name="Accent2 113" xfId="34881" xr:uid="{00000000-0005-0000-0000-000038880000}"/>
    <cellStyle name="Accent2 113 2" xfId="34882" xr:uid="{00000000-0005-0000-0000-000039880000}"/>
    <cellStyle name="Accent2 113 2 2" xfId="34883" xr:uid="{00000000-0005-0000-0000-00003A880000}"/>
    <cellStyle name="Accent2 113 3" xfId="34884" xr:uid="{00000000-0005-0000-0000-00003B880000}"/>
    <cellStyle name="Accent2 114" xfId="34885" xr:uid="{00000000-0005-0000-0000-00003C880000}"/>
    <cellStyle name="Accent2 114 2" xfId="34886" xr:uid="{00000000-0005-0000-0000-00003D880000}"/>
    <cellStyle name="Accent2 114 2 2" xfId="34887" xr:uid="{00000000-0005-0000-0000-00003E880000}"/>
    <cellStyle name="Accent2 114 3" xfId="34888" xr:uid="{00000000-0005-0000-0000-00003F880000}"/>
    <cellStyle name="Accent2 115" xfId="34889" xr:uid="{00000000-0005-0000-0000-000040880000}"/>
    <cellStyle name="Accent2 115 2" xfId="34890" xr:uid="{00000000-0005-0000-0000-000041880000}"/>
    <cellStyle name="Accent2 115 2 2" xfId="34891" xr:uid="{00000000-0005-0000-0000-000042880000}"/>
    <cellStyle name="Accent2 115 3" xfId="34892" xr:uid="{00000000-0005-0000-0000-000043880000}"/>
    <cellStyle name="Accent2 116" xfId="34893" xr:uid="{00000000-0005-0000-0000-000044880000}"/>
    <cellStyle name="Accent2 116 2" xfId="34894" xr:uid="{00000000-0005-0000-0000-000045880000}"/>
    <cellStyle name="Accent2 116 2 2" xfId="34895" xr:uid="{00000000-0005-0000-0000-000046880000}"/>
    <cellStyle name="Accent2 116 3" xfId="34896" xr:uid="{00000000-0005-0000-0000-000047880000}"/>
    <cellStyle name="Accent2 117" xfId="34897" xr:uid="{00000000-0005-0000-0000-000048880000}"/>
    <cellStyle name="Accent2 117 2" xfId="34898" xr:uid="{00000000-0005-0000-0000-000049880000}"/>
    <cellStyle name="Accent2 117 2 2" xfId="34899" xr:uid="{00000000-0005-0000-0000-00004A880000}"/>
    <cellStyle name="Accent2 117 3" xfId="34900" xr:uid="{00000000-0005-0000-0000-00004B880000}"/>
    <cellStyle name="Accent2 118" xfId="34901" xr:uid="{00000000-0005-0000-0000-00004C880000}"/>
    <cellStyle name="Accent2 118 2" xfId="34902" xr:uid="{00000000-0005-0000-0000-00004D880000}"/>
    <cellStyle name="Accent2 118 2 2" xfId="34903" xr:uid="{00000000-0005-0000-0000-00004E880000}"/>
    <cellStyle name="Accent2 118 3" xfId="34904" xr:uid="{00000000-0005-0000-0000-00004F880000}"/>
    <cellStyle name="Accent2 119" xfId="34905" xr:uid="{00000000-0005-0000-0000-000050880000}"/>
    <cellStyle name="Accent2 119 2" xfId="34906" xr:uid="{00000000-0005-0000-0000-000051880000}"/>
    <cellStyle name="Accent2 119 2 2" xfId="34907" xr:uid="{00000000-0005-0000-0000-000052880000}"/>
    <cellStyle name="Accent2 119 3" xfId="34908" xr:uid="{00000000-0005-0000-0000-000053880000}"/>
    <cellStyle name="Accent2 12" xfId="34909" xr:uid="{00000000-0005-0000-0000-000054880000}"/>
    <cellStyle name="Accent2 12 2" xfId="34910" xr:uid="{00000000-0005-0000-0000-000055880000}"/>
    <cellStyle name="Accent2 12 2 2" xfId="34911" xr:uid="{00000000-0005-0000-0000-000056880000}"/>
    <cellStyle name="Accent2 12 3" xfId="34912" xr:uid="{00000000-0005-0000-0000-000057880000}"/>
    <cellStyle name="Accent2 120" xfId="34913" xr:uid="{00000000-0005-0000-0000-000058880000}"/>
    <cellStyle name="Accent2 120 2" xfId="34914" xr:uid="{00000000-0005-0000-0000-000059880000}"/>
    <cellStyle name="Accent2 120 2 2" xfId="34915" xr:uid="{00000000-0005-0000-0000-00005A880000}"/>
    <cellStyle name="Accent2 120 3" xfId="34916" xr:uid="{00000000-0005-0000-0000-00005B880000}"/>
    <cellStyle name="Accent2 121" xfId="34917" xr:uid="{00000000-0005-0000-0000-00005C880000}"/>
    <cellStyle name="Accent2 121 2" xfId="34918" xr:uid="{00000000-0005-0000-0000-00005D880000}"/>
    <cellStyle name="Accent2 121 2 2" xfId="34919" xr:uid="{00000000-0005-0000-0000-00005E880000}"/>
    <cellStyle name="Accent2 121 3" xfId="34920" xr:uid="{00000000-0005-0000-0000-00005F880000}"/>
    <cellStyle name="Accent2 122" xfId="34921" xr:uid="{00000000-0005-0000-0000-000060880000}"/>
    <cellStyle name="Accent2 122 2" xfId="34922" xr:uid="{00000000-0005-0000-0000-000061880000}"/>
    <cellStyle name="Accent2 122 2 2" xfId="34923" xr:uid="{00000000-0005-0000-0000-000062880000}"/>
    <cellStyle name="Accent2 122 3" xfId="34924" xr:uid="{00000000-0005-0000-0000-000063880000}"/>
    <cellStyle name="Accent2 123" xfId="34925" xr:uid="{00000000-0005-0000-0000-000064880000}"/>
    <cellStyle name="Accent2 123 2" xfId="34926" xr:uid="{00000000-0005-0000-0000-000065880000}"/>
    <cellStyle name="Accent2 123 2 2" xfId="34927" xr:uid="{00000000-0005-0000-0000-000066880000}"/>
    <cellStyle name="Accent2 123 3" xfId="34928" xr:uid="{00000000-0005-0000-0000-000067880000}"/>
    <cellStyle name="Accent2 124" xfId="34929" xr:uid="{00000000-0005-0000-0000-000068880000}"/>
    <cellStyle name="Accent2 124 2" xfId="34930" xr:uid="{00000000-0005-0000-0000-000069880000}"/>
    <cellStyle name="Accent2 124 2 2" xfId="34931" xr:uid="{00000000-0005-0000-0000-00006A880000}"/>
    <cellStyle name="Accent2 124 3" xfId="34932" xr:uid="{00000000-0005-0000-0000-00006B880000}"/>
    <cellStyle name="Accent2 125" xfId="34933" xr:uid="{00000000-0005-0000-0000-00006C880000}"/>
    <cellStyle name="Accent2 125 2" xfId="34934" xr:uid="{00000000-0005-0000-0000-00006D880000}"/>
    <cellStyle name="Accent2 125 2 2" xfId="34935" xr:uid="{00000000-0005-0000-0000-00006E880000}"/>
    <cellStyle name="Accent2 125 3" xfId="34936" xr:uid="{00000000-0005-0000-0000-00006F880000}"/>
    <cellStyle name="Accent2 126" xfId="34937" xr:uid="{00000000-0005-0000-0000-000070880000}"/>
    <cellStyle name="Accent2 126 2" xfId="34938" xr:uid="{00000000-0005-0000-0000-000071880000}"/>
    <cellStyle name="Accent2 126 2 2" xfId="34939" xr:uid="{00000000-0005-0000-0000-000072880000}"/>
    <cellStyle name="Accent2 126 3" xfId="34940" xr:uid="{00000000-0005-0000-0000-000073880000}"/>
    <cellStyle name="Accent2 127" xfId="34941" xr:uid="{00000000-0005-0000-0000-000074880000}"/>
    <cellStyle name="Accent2 127 2" xfId="34942" xr:uid="{00000000-0005-0000-0000-000075880000}"/>
    <cellStyle name="Accent2 127 2 2" xfId="34943" xr:uid="{00000000-0005-0000-0000-000076880000}"/>
    <cellStyle name="Accent2 127 3" xfId="34944" xr:uid="{00000000-0005-0000-0000-000077880000}"/>
    <cellStyle name="Accent2 128" xfId="34945" xr:uid="{00000000-0005-0000-0000-000078880000}"/>
    <cellStyle name="Accent2 128 2" xfId="34946" xr:uid="{00000000-0005-0000-0000-000079880000}"/>
    <cellStyle name="Accent2 128 2 2" xfId="34947" xr:uid="{00000000-0005-0000-0000-00007A880000}"/>
    <cellStyle name="Accent2 128 3" xfId="34948" xr:uid="{00000000-0005-0000-0000-00007B880000}"/>
    <cellStyle name="Accent2 129" xfId="34949" xr:uid="{00000000-0005-0000-0000-00007C880000}"/>
    <cellStyle name="Accent2 129 2" xfId="34950" xr:uid="{00000000-0005-0000-0000-00007D880000}"/>
    <cellStyle name="Accent2 129 2 2" xfId="34951" xr:uid="{00000000-0005-0000-0000-00007E880000}"/>
    <cellStyle name="Accent2 129 3" xfId="34952" xr:uid="{00000000-0005-0000-0000-00007F880000}"/>
    <cellStyle name="Accent2 13" xfId="34953" xr:uid="{00000000-0005-0000-0000-000080880000}"/>
    <cellStyle name="Accent2 13 2" xfId="34954" xr:uid="{00000000-0005-0000-0000-000081880000}"/>
    <cellStyle name="Accent2 13 2 2" xfId="34955" xr:uid="{00000000-0005-0000-0000-000082880000}"/>
    <cellStyle name="Accent2 13 3" xfId="34956" xr:uid="{00000000-0005-0000-0000-000083880000}"/>
    <cellStyle name="Accent2 130" xfId="34957" xr:uid="{00000000-0005-0000-0000-000084880000}"/>
    <cellStyle name="Accent2 130 2" xfId="34958" xr:uid="{00000000-0005-0000-0000-000085880000}"/>
    <cellStyle name="Accent2 130 2 2" xfId="34959" xr:uid="{00000000-0005-0000-0000-000086880000}"/>
    <cellStyle name="Accent2 130 3" xfId="34960" xr:uid="{00000000-0005-0000-0000-000087880000}"/>
    <cellStyle name="Accent2 131" xfId="34961" xr:uid="{00000000-0005-0000-0000-000088880000}"/>
    <cellStyle name="Accent2 131 2" xfId="34962" xr:uid="{00000000-0005-0000-0000-000089880000}"/>
    <cellStyle name="Accent2 131 2 2" xfId="34963" xr:uid="{00000000-0005-0000-0000-00008A880000}"/>
    <cellStyle name="Accent2 131 3" xfId="34964" xr:uid="{00000000-0005-0000-0000-00008B880000}"/>
    <cellStyle name="Accent2 132" xfId="34965" xr:uid="{00000000-0005-0000-0000-00008C880000}"/>
    <cellStyle name="Accent2 132 2" xfId="34966" xr:uid="{00000000-0005-0000-0000-00008D880000}"/>
    <cellStyle name="Accent2 132 2 2" xfId="34967" xr:uid="{00000000-0005-0000-0000-00008E880000}"/>
    <cellStyle name="Accent2 132 3" xfId="34968" xr:uid="{00000000-0005-0000-0000-00008F880000}"/>
    <cellStyle name="Accent2 133" xfId="34969" xr:uid="{00000000-0005-0000-0000-000090880000}"/>
    <cellStyle name="Accent2 133 2" xfId="34970" xr:uid="{00000000-0005-0000-0000-000091880000}"/>
    <cellStyle name="Accent2 133 2 2" xfId="34971" xr:uid="{00000000-0005-0000-0000-000092880000}"/>
    <cellStyle name="Accent2 133 3" xfId="34972" xr:uid="{00000000-0005-0000-0000-000093880000}"/>
    <cellStyle name="Accent2 134" xfId="34973" xr:uid="{00000000-0005-0000-0000-000094880000}"/>
    <cellStyle name="Accent2 134 2" xfId="34974" xr:uid="{00000000-0005-0000-0000-000095880000}"/>
    <cellStyle name="Accent2 134 2 2" xfId="34975" xr:uid="{00000000-0005-0000-0000-000096880000}"/>
    <cellStyle name="Accent2 134 3" xfId="34976" xr:uid="{00000000-0005-0000-0000-000097880000}"/>
    <cellStyle name="Accent2 135" xfId="34977" xr:uid="{00000000-0005-0000-0000-000098880000}"/>
    <cellStyle name="Accent2 135 2" xfId="34978" xr:uid="{00000000-0005-0000-0000-000099880000}"/>
    <cellStyle name="Accent2 135 2 2" xfId="34979" xr:uid="{00000000-0005-0000-0000-00009A880000}"/>
    <cellStyle name="Accent2 135 3" xfId="34980" xr:uid="{00000000-0005-0000-0000-00009B880000}"/>
    <cellStyle name="Accent2 136" xfId="34981" xr:uid="{00000000-0005-0000-0000-00009C880000}"/>
    <cellStyle name="Accent2 136 2" xfId="34982" xr:uid="{00000000-0005-0000-0000-00009D880000}"/>
    <cellStyle name="Accent2 136 2 2" xfId="34983" xr:uid="{00000000-0005-0000-0000-00009E880000}"/>
    <cellStyle name="Accent2 136 3" xfId="34984" xr:uid="{00000000-0005-0000-0000-00009F880000}"/>
    <cellStyle name="Accent2 137" xfId="34985" xr:uid="{00000000-0005-0000-0000-0000A0880000}"/>
    <cellStyle name="Accent2 137 2" xfId="34986" xr:uid="{00000000-0005-0000-0000-0000A1880000}"/>
    <cellStyle name="Accent2 137 2 2" xfId="34987" xr:uid="{00000000-0005-0000-0000-0000A2880000}"/>
    <cellStyle name="Accent2 137 3" xfId="34988" xr:uid="{00000000-0005-0000-0000-0000A3880000}"/>
    <cellStyle name="Accent2 138" xfId="34989" xr:uid="{00000000-0005-0000-0000-0000A4880000}"/>
    <cellStyle name="Accent2 138 2" xfId="34990" xr:uid="{00000000-0005-0000-0000-0000A5880000}"/>
    <cellStyle name="Accent2 138 2 2" xfId="34991" xr:uid="{00000000-0005-0000-0000-0000A6880000}"/>
    <cellStyle name="Accent2 138 3" xfId="34992" xr:uid="{00000000-0005-0000-0000-0000A7880000}"/>
    <cellStyle name="Accent2 139" xfId="34993" xr:uid="{00000000-0005-0000-0000-0000A8880000}"/>
    <cellStyle name="Accent2 139 2" xfId="34994" xr:uid="{00000000-0005-0000-0000-0000A9880000}"/>
    <cellStyle name="Accent2 139 2 2" xfId="34995" xr:uid="{00000000-0005-0000-0000-0000AA880000}"/>
    <cellStyle name="Accent2 139 3" xfId="34996" xr:uid="{00000000-0005-0000-0000-0000AB880000}"/>
    <cellStyle name="Accent2 14" xfId="34997" xr:uid="{00000000-0005-0000-0000-0000AC880000}"/>
    <cellStyle name="Accent2 14 2" xfId="34998" xr:uid="{00000000-0005-0000-0000-0000AD880000}"/>
    <cellStyle name="Accent2 14 2 2" xfId="34999" xr:uid="{00000000-0005-0000-0000-0000AE880000}"/>
    <cellStyle name="Accent2 14 3" xfId="35000" xr:uid="{00000000-0005-0000-0000-0000AF880000}"/>
    <cellStyle name="Accent2 140" xfId="35001" xr:uid="{00000000-0005-0000-0000-0000B0880000}"/>
    <cellStyle name="Accent2 140 2" xfId="35002" xr:uid="{00000000-0005-0000-0000-0000B1880000}"/>
    <cellStyle name="Accent2 140 2 2" xfId="35003" xr:uid="{00000000-0005-0000-0000-0000B2880000}"/>
    <cellStyle name="Accent2 140 3" xfId="35004" xr:uid="{00000000-0005-0000-0000-0000B3880000}"/>
    <cellStyle name="Accent2 141" xfId="35005" xr:uid="{00000000-0005-0000-0000-0000B4880000}"/>
    <cellStyle name="Accent2 141 2" xfId="35006" xr:uid="{00000000-0005-0000-0000-0000B5880000}"/>
    <cellStyle name="Accent2 141 2 2" xfId="35007" xr:uid="{00000000-0005-0000-0000-0000B6880000}"/>
    <cellStyle name="Accent2 141 3" xfId="35008" xr:uid="{00000000-0005-0000-0000-0000B7880000}"/>
    <cellStyle name="Accent2 142" xfId="35009" xr:uid="{00000000-0005-0000-0000-0000B8880000}"/>
    <cellStyle name="Accent2 142 2" xfId="35010" xr:uid="{00000000-0005-0000-0000-0000B9880000}"/>
    <cellStyle name="Accent2 142 2 2" xfId="35011" xr:uid="{00000000-0005-0000-0000-0000BA880000}"/>
    <cellStyle name="Accent2 142 3" xfId="35012" xr:uid="{00000000-0005-0000-0000-0000BB880000}"/>
    <cellStyle name="Accent2 143" xfId="35013" xr:uid="{00000000-0005-0000-0000-0000BC880000}"/>
    <cellStyle name="Accent2 143 2" xfId="35014" xr:uid="{00000000-0005-0000-0000-0000BD880000}"/>
    <cellStyle name="Accent2 143 2 2" xfId="35015" xr:uid="{00000000-0005-0000-0000-0000BE880000}"/>
    <cellStyle name="Accent2 143 3" xfId="35016" xr:uid="{00000000-0005-0000-0000-0000BF880000}"/>
    <cellStyle name="Accent2 144" xfId="35017" xr:uid="{00000000-0005-0000-0000-0000C0880000}"/>
    <cellStyle name="Accent2 144 2" xfId="35018" xr:uid="{00000000-0005-0000-0000-0000C1880000}"/>
    <cellStyle name="Accent2 144 2 2" xfId="35019" xr:uid="{00000000-0005-0000-0000-0000C2880000}"/>
    <cellStyle name="Accent2 144 3" xfId="35020" xr:uid="{00000000-0005-0000-0000-0000C3880000}"/>
    <cellStyle name="Accent2 145" xfId="35021" xr:uid="{00000000-0005-0000-0000-0000C4880000}"/>
    <cellStyle name="Accent2 145 2" xfId="35022" xr:uid="{00000000-0005-0000-0000-0000C5880000}"/>
    <cellStyle name="Accent2 145 2 2" xfId="35023" xr:uid="{00000000-0005-0000-0000-0000C6880000}"/>
    <cellStyle name="Accent2 145 3" xfId="35024" xr:uid="{00000000-0005-0000-0000-0000C7880000}"/>
    <cellStyle name="Accent2 146" xfId="35025" xr:uid="{00000000-0005-0000-0000-0000C8880000}"/>
    <cellStyle name="Accent2 146 2" xfId="35026" xr:uid="{00000000-0005-0000-0000-0000C9880000}"/>
    <cellStyle name="Accent2 146 2 2" xfId="35027" xr:uid="{00000000-0005-0000-0000-0000CA880000}"/>
    <cellStyle name="Accent2 146 3" xfId="35028" xr:uid="{00000000-0005-0000-0000-0000CB880000}"/>
    <cellStyle name="Accent2 147" xfId="35029" xr:uid="{00000000-0005-0000-0000-0000CC880000}"/>
    <cellStyle name="Accent2 147 2" xfId="35030" xr:uid="{00000000-0005-0000-0000-0000CD880000}"/>
    <cellStyle name="Accent2 147 2 2" xfId="35031" xr:uid="{00000000-0005-0000-0000-0000CE880000}"/>
    <cellStyle name="Accent2 147 3" xfId="35032" xr:uid="{00000000-0005-0000-0000-0000CF880000}"/>
    <cellStyle name="Accent2 148" xfId="35033" xr:uid="{00000000-0005-0000-0000-0000D0880000}"/>
    <cellStyle name="Accent2 148 2" xfId="35034" xr:uid="{00000000-0005-0000-0000-0000D1880000}"/>
    <cellStyle name="Accent2 148 2 2" xfId="35035" xr:uid="{00000000-0005-0000-0000-0000D2880000}"/>
    <cellStyle name="Accent2 148 3" xfId="35036" xr:uid="{00000000-0005-0000-0000-0000D3880000}"/>
    <cellStyle name="Accent2 149" xfId="35037" xr:uid="{00000000-0005-0000-0000-0000D4880000}"/>
    <cellStyle name="Accent2 149 2" xfId="35038" xr:uid="{00000000-0005-0000-0000-0000D5880000}"/>
    <cellStyle name="Accent2 149 2 2" xfId="35039" xr:uid="{00000000-0005-0000-0000-0000D6880000}"/>
    <cellStyle name="Accent2 149 3" xfId="35040" xr:uid="{00000000-0005-0000-0000-0000D7880000}"/>
    <cellStyle name="Accent2 15" xfId="35041" xr:uid="{00000000-0005-0000-0000-0000D8880000}"/>
    <cellStyle name="Accent2 15 2" xfId="35042" xr:uid="{00000000-0005-0000-0000-0000D9880000}"/>
    <cellStyle name="Accent2 15 2 2" xfId="35043" xr:uid="{00000000-0005-0000-0000-0000DA880000}"/>
    <cellStyle name="Accent2 15 3" xfId="35044" xr:uid="{00000000-0005-0000-0000-0000DB880000}"/>
    <cellStyle name="Accent2 150" xfId="35045" xr:uid="{00000000-0005-0000-0000-0000DC880000}"/>
    <cellStyle name="Accent2 150 2" xfId="35046" xr:uid="{00000000-0005-0000-0000-0000DD880000}"/>
    <cellStyle name="Accent2 150 2 2" xfId="35047" xr:uid="{00000000-0005-0000-0000-0000DE880000}"/>
    <cellStyle name="Accent2 150 3" xfId="35048" xr:uid="{00000000-0005-0000-0000-0000DF880000}"/>
    <cellStyle name="Accent2 151" xfId="35049" xr:uid="{00000000-0005-0000-0000-0000E0880000}"/>
    <cellStyle name="Accent2 151 2" xfId="35050" xr:uid="{00000000-0005-0000-0000-0000E1880000}"/>
    <cellStyle name="Accent2 151 2 2" xfId="35051" xr:uid="{00000000-0005-0000-0000-0000E2880000}"/>
    <cellStyle name="Accent2 151 3" xfId="35052" xr:uid="{00000000-0005-0000-0000-0000E3880000}"/>
    <cellStyle name="Accent2 152" xfId="35053" xr:uid="{00000000-0005-0000-0000-0000E4880000}"/>
    <cellStyle name="Accent2 152 2" xfId="35054" xr:uid="{00000000-0005-0000-0000-0000E5880000}"/>
    <cellStyle name="Accent2 152 2 2" xfId="35055" xr:uid="{00000000-0005-0000-0000-0000E6880000}"/>
    <cellStyle name="Accent2 152 3" xfId="35056" xr:uid="{00000000-0005-0000-0000-0000E7880000}"/>
    <cellStyle name="Accent2 153" xfId="35057" xr:uid="{00000000-0005-0000-0000-0000E8880000}"/>
    <cellStyle name="Accent2 153 2" xfId="35058" xr:uid="{00000000-0005-0000-0000-0000E9880000}"/>
    <cellStyle name="Accent2 153 2 2" xfId="35059" xr:uid="{00000000-0005-0000-0000-0000EA880000}"/>
    <cellStyle name="Accent2 153 3" xfId="35060" xr:uid="{00000000-0005-0000-0000-0000EB880000}"/>
    <cellStyle name="Accent2 154" xfId="35061" xr:uid="{00000000-0005-0000-0000-0000EC880000}"/>
    <cellStyle name="Accent2 154 2" xfId="35062" xr:uid="{00000000-0005-0000-0000-0000ED880000}"/>
    <cellStyle name="Accent2 154 2 2" xfId="35063" xr:uid="{00000000-0005-0000-0000-0000EE880000}"/>
    <cellStyle name="Accent2 154 3" xfId="35064" xr:uid="{00000000-0005-0000-0000-0000EF880000}"/>
    <cellStyle name="Accent2 155" xfId="35065" xr:uid="{00000000-0005-0000-0000-0000F0880000}"/>
    <cellStyle name="Accent2 155 2" xfId="35066" xr:uid="{00000000-0005-0000-0000-0000F1880000}"/>
    <cellStyle name="Accent2 155 2 2" xfId="35067" xr:uid="{00000000-0005-0000-0000-0000F2880000}"/>
    <cellStyle name="Accent2 155 3" xfId="35068" xr:uid="{00000000-0005-0000-0000-0000F3880000}"/>
    <cellStyle name="Accent2 156" xfId="35069" xr:uid="{00000000-0005-0000-0000-0000F4880000}"/>
    <cellStyle name="Accent2 156 2" xfId="35070" xr:uid="{00000000-0005-0000-0000-0000F5880000}"/>
    <cellStyle name="Accent2 156 2 2" xfId="35071" xr:uid="{00000000-0005-0000-0000-0000F6880000}"/>
    <cellStyle name="Accent2 156 3" xfId="35072" xr:uid="{00000000-0005-0000-0000-0000F7880000}"/>
    <cellStyle name="Accent2 157" xfId="35073" xr:uid="{00000000-0005-0000-0000-0000F8880000}"/>
    <cellStyle name="Accent2 157 2" xfId="35074" xr:uid="{00000000-0005-0000-0000-0000F9880000}"/>
    <cellStyle name="Accent2 157 2 2" xfId="35075" xr:uid="{00000000-0005-0000-0000-0000FA880000}"/>
    <cellStyle name="Accent2 157 3" xfId="35076" xr:uid="{00000000-0005-0000-0000-0000FB880000}"/>
    <cellStyle name="Accent2 158" xfId="35077" xr:uid="{00000000-0005-0000-0000-0000FC880000}"/>
    <cellStyle name="Accent2 158 2" xfId="35078" xr:uid="{00000000-0005-0000-0000-0000FD880000}"/>
    <cellStyle name="Accent2 158 2 2" xfId="35079" xr:uid="{00000000-0005-0000-0000-0000FE880000}"/>
    <cellStyle name="Accent2 158 3" xfId="35080" xr:uid="{00000000-0005-0000-0000-0000FF880000}"/>
    <cellStyle name="Accent2 159" xfId="35081" xr:uid="{00000000-0005-0000-0000-000000890000}"/>
    <cellStyle name="Accent2 159 2" xfId="35082" xr:uid="{00000000-0005-0000-0000-000001890000}"/>
    <cellStyle name="Accent2 16" xfId="35083" xr:uid="{00000000-0005-0000-0000-000002890000}"/>
    <cellStyle name="Accent2 16 2" xfId="35084" xr:uid="{00000000-0005-0000-0000-000003890000}"/>
    <cellStyle name="Accent2 16 2 2" xfId="35085" xr:uid="{00000000-0005-0000-0000-000004890000}"/>
    <cellStyle name="Accent2 16 3" xfId="35086" xr:uid="{00000000-0005-0000-0000-000005890000}"/>
    <cellStyle name="Accent2 160" xfId="35087" xr:uid="{00000000-0005-0000-0000-000006890000}"/>
    <cellStyle name="Accent2 160 2" xfId="35088" xr:uid="{00000000-0005-0000-0000-000007890000}"/>
    <cellStyle name="Accent2 161" xfId="35089" xr:uid="{00000000-0005-0000-0000-000008890000}"/>
    <cellStyle name="Accent2 161 2" xfId="35090" xr:uid="{00000000-0005-0000-0000-000009890000}"/>
    <cellStyle name="Accent2 162" xfId="35091" xr:uid="{00000000-0005-0000-0000-00000A890000}"/>
    <cellStyle name="Accent2 162 2" xfId="35092" xr:uid="{00000000-0005-0000-0000-00000B890000}"/>
    <cellStyle name="Accent2 163" xfId="35093" xr:uid="{00000000-0005-0000-0000-00000C890000}"/>
    <cellStyle name="Accent2 163 2" xfId="35094" xr:uid="{00000000-0005-0000-0000-00000D890000}"/>
    <cellStyle name="Accent2 164" xfId="35095" xr:uid="{00000000-0005-0000-0000-00000E890000}"/>
    <cellStyle name="Accent2 164 2" xfId="35096" xr:uid="{00000000-0005-0000-0000-00000F890000}"/>
    <cellStyle name="Accent2 165" xfId="35097" xr:uid="{00000000-0005-0000-0000-000010890000}"/>
    <cellStyle name="Accent2 165 2" xfId="35098" xr:uid="{00000000-0005-0000-0000-000011890000}"/>
    <cellStyle name="Accent2 166" xfId="35099" xr:uid="{00000000-0005-0000-0000-000012890000}"/>
    <cellStyle name="Accent2 166 2" xfId="35100" xr:uid="{00000000-0005-0000-0000-000013890000}"/>
    <cellStyle name="Accent2 167" xfId="35101" xr:uid="{00000000-0005-0000-0000-000014890000}"/>
    <cellStyle name="Accent2 167 2" xfId="35102" xr:uid="{00000000-0005-0000-0000-000015890000}"/>
    <cellStyle name="Accent2 168" xfId="35103" xr:uid="{00000000-0005-0000-0000-000016890000}"/>
    <cellStyle name="Accent2 168 2" xfId="35104" xr:uid="{00000000-0005-0000-0000-000017890000}"/>
    <cellStyle name="Accent2 169" xfId="35105" xr:uid="{00000000-0005-0000-0000-000018890000}"/>
    <cellStyle name="Accent2 169 2" xfId="35106" xr:uid="{00000000-0005-0000-0000-000019890000}"/>
    <cellStyle name="Accent2 17" xfId="35107" xr:uid="{00000000-0005-0000-0000-00001A890000}"/>
    <cellStyle name="Accent2 17 2" xfId="35108" xr:uid="{00000000-0005-0000-0000-00001B890000}"/>
    <cellStyle name="Accent2 17 2 2" xfId="35109" xr:uid="{00000000-0005-0000-0000-00001C890000}"/>
    <cellStyle name="Accent2 17 3" xfId="35110" xr:uid="{00000000-0005-0000-0000-00001D890000}"/>
    <cellStyle name="Accent2 170" xfId="35111" xr:uid="{00000000-0005-0000-0000-00001E890000}"/>
    <cellStyle name="Accent2 170 2" xfId="35112" xr:uid="{00000000-0005-0000-0000-00001F890000}"/>
    <cellStyle name="Accent2 171" xfId="35113" xr:uid="{00000000-0005-0000-0000-000020890000}"/>
    <cellStyle name="Accent2 171 2" xfId="35114" xr:uid="{00000000-0005-0000-0000-000021890000}"/>
    <cellStyle name="Accent2 172" xfId="35115" xr:uid="{00000000-0005-0000-0000-000022890000}"/>
    <cellStyle name="Accent2 172 2" xfId="35116" xr:uid="{00000000-0005-0000-0000-000023890000}"/>
    <cellStyle name="Accent2 173" xfId="35117" xr:uid="{00000000-0005-0000-0000-000024890000}"/>
    <cellStyle name="Accent2 173 2" xfId="35118" xr:uid="{00000000-0005-0000-0000-000025890000}"/>
    <cellStyle name="Accent2 174" xfId="35119" xr:uid="{00000000-0005-0000-0000-000026890000}"/>
    <cellStyle name="Accent2 174 2" xfId="35120" xr:uid="{00000000-0005-0000-0000-000027890000}"/>
    <cellStyle name="Accent2 175" xfId="35121" xr:uid="{00000000-0005-0000-0000-000028890000}"/>
    <cellStyle name="Accent2 175 2" xfId="35122" xr:uid="{00000000-0005-0000-0000-000029890000}"/>
    <cellStyle name="Accent2 176" xfId="35123" xr:uid="{00000000-0005-0000-0000-00002A890000}"/>
    <cellStyle name="Accent2 176 2" xfId="35124" xr:uid="{00000000-0005-0000-0000-00002B890000}"/>
    <cellStyle name="Accent2 177" xfId="35125" xr:uid="{00000000-0005-0000-0000-00002C890000}"/>
    <cellStyle name="Accent2 177 2" xfId="35126" xr:uid="{00000000-0005-0000-0000-00002D890000}"/>
    <cellStyle name="Accent2 178" xfId="35127" xr:uid="{00000000-0005-0000-0000-00002E890000}"/>
    <cellStyle name="Accent2 178 2" xfId="35128" xr:uid="{00000000-0005-0000-0000-00002F890000}"/>
    <cellStyle name="Accent2 179" xfId="35129" xr:uid="{00000000-0005-0000-0000-000030890000}"/>
    <cellStyle name="Accent2 179 2" xfId="35130" xr:uid="{00000000-0005-0000-0000-000031890000}"/>
    <cellStyle name="Accent2 18" xfId="35131" xr:uid="{00000000-0005-0000-0000-000032890000}"/>
    <cellStyle name="Accent2 18 2" xfId="35132" xr:uid="{00000000-0005-0000-0000-000033890000}"/>
    <cellStyle name="Accent2 18 2 2" xfId="35133" xr:uid="{00000000-0005-0000-0000-000034890000}"/>
    <cellStyle name="Accent2 18 3" xfId="35134" xr:uid="{00000000-0005-0000-0000-000035890000}"/>
    <cellStyle name="Accent2 180" xfId="35135" xr:uid="{00000000-0005-0000-0000-000036890000}"/>
    <cellStyle name="Accent2 180 2" xfId="35136" xr:uid="{00000000-0005-0000-0000-000037890000}"/>
    <cellStyle name="Accent2 181" xfId="35137" xr:uid="{00000000-0005-0000-0000-000038890000}"/>
    <cellStyle name="Accent2 181 2" xfId="35138" xr:uid="{00000000-0005-0000-0000-000039890000}"/>
    <cellStyle name="Accent2 182" xfId="35139" xr:uid="{00000000-0005-0000-0000-00003A890000}"/>
    <cellStyle name="Accent2 182 2" xfId="35140" xr:uid="{00000000-0005-0000-0000-00003B890000}"/>
    <cellStyle name="Accent2 183" xfId="35141" xr:uid="{00000000-0005-0000-0000-00003C890000}"/>
    <cellStyle name="Accent2 183 2" xfId="35142" xr:uid="{00000000-0005-0000-0000-00003D890000}"/>
    <cellStyle name="Accent2 184" xfId="35143" xr:uid="{00000000-0005-0000-0000-00003E890000}"/>
    <cellStyle name="Accent2 184 2" xfId="35144" xr:uid="{00000000-0005-0000-0000-00003F890000}"/>
    <cellStyle name="Accent2 185" xfId="35145" xr:uid="{00000000-0005-0000-0000-000040890000}"/>
    <cellStyle name="Accent2 185 2" xfId="35146" xr:uid="{00000000-0005-0000-0000-000041890000}"/>
    <cellStyle name="Accent2 186" xfId="35147" xr:uid="{00000000-0005-0000-0000-000042890000}"/>
    <cellStyle name="Accent2 186 2" xfId="35148" xr:uid="{00000000-0005-0000-0000-000043890000}"/>
    <cellStyle name="Accent2 187" xfId="35149" xr:uid="{00000000-0005-0000-0000-000044890000}"/>
    <cellStyle name="Accent2 187 2" xfId="35150" xr:uid="{00000000-0005-0000-0000-000045890000}"/>
    <cellStyle name="Accent2 188" xfId="35151" xr:uid="{00000000-0005-0000-0000-000046890000}"/>
    <cellStyle name="Accent2 188 2" xfId="35152" xr:uid="{00000000-0005-0000-0000-000047890000}"/>
    <cellStyle name="Accent2 189" xfId="35153" xr:uid="{00000000-0005-0000-0000-000048890000}"/>
    <cellStyle name="Accent2 189 2" xfId="35154" xr:uid="{00000000-0005-0000-0000-000049890000}"/>
    <cellStyle name="Accent2 19" xfId="35155" xr:uid="{00000000-0005-0000-0000-00004A890000}"/>
    <cellStyle name="Accent2 19 2" xfId="35156" xr:uid="{00000000-0005-0000-0000-00004B890000}"/>
    <cellStyle name="Accent2 19 2 2" xfId="35157" xr:uid="{00000000-0005-0000-0000-00004C890000}"/>
    <cellStyle name="Accent2 19 3" xfId="35158" xr:uid="{00000000-0005-0000-0000-00004D890000}"/>
    <cellStyle name="Accent2 190" xfId="35159" xr:uid="{00000000-0005-0000-0000-00004E890000}"/>
    <cellStyle name="Accent2 190 2" xfId="35160" xr:uid="{00000000-0005-0000-0000-00004F890000}"/>
    <cellStyle name="Accent2 191" xfId="35161" xr:uid="{00000000-0005-0000-0000-000050890000}"/>
    <cellStyle name="Accent2 191 2" xfId="35162" xr:uid="{00000000-0005-0000-0000-000051890000}"/>
    <cellStyle name="Accent2 192" xfId="35163" xr:uid="{00000000-0005-0000-0000-000052890000}"/>
    <cellStyle name="Accent2 192 2" xfId="35164" xr:uid="{00000000-0005-0000-0000-000053890000}"/>
    <cellStyle name="Accent2 193" xfId="35165" xr:uid="{00000000-0005-0000-0000-000054890000}"/>
    <cellStyle name="Accent2 193 2" xfId="35166" xr:uid="{00000000-0005-0000-0000-000055890000}"/>
    <cellStyle name="Accent2 194" xfId="35167" xr:uid="{00000000-0005-0000-0000-000056890000}"/>
    <cellStyle name="Accent2 194 2" xfId="35168" xr:uid="{00000000-0005-0000-0000-000057890000}"/>
    <cellStyle name="Accent2 195" xfId="35169" xr:uid="{00000000-0005-0000-0000-000058890000}"/>
    <cellStyle name="Accent2 195 2" xfId="35170" xr:uid="{00000000-0005-0000-0000-000059890000}"/>
    <cellStyle name="Accent2 196" xfId="35171" xr:uid="{00000000-0005-0000-0000-00005A890000}"/>
    <cellStyle name="Accent2 196 2" xfId="35172" xr:uid="{00000000-0005-0000-0000-00005B890000}"/>
    <cellStyle name="Accent2 197" xfId="35173" xr:uid="{00000000-0005-0000-0000-00005C890000}"/>
    <cellStyle name="Accent2 197 2" xfId="35174" xr:uid="{00000000-0005-0000-0000-00005D890000}"/>
    <cellStyle name="Accent2 198" xfId="35175" xr:uid="{00000000-0005-0000-0000-00005E890000}"/>
    <cellStyle name="Accent2 198 2" xfId="35176" xr:uid="{00000000-0005-0000-0000-00005F890000}"/>
    <cellStyle name="Accent2 2" xfId="35177" xr:uid="{00000000-0005-0000-0000-000060890000}"/>
    <cellStyle name="Accent2 2 2" xfId="35178" xr:uid="{00000000-0005-0000-0000-000061890000}"/>
    <cellStyle name="Accent2 2 2 2" xfId="35179" xr:uid="{00000000-0005-0000-0000-000062890000}"/>
    <cellStyle name="Accent2 2 2 2 2" xfId="35180" xr:uid="{00000000-0005-0000-0000-000063890000}"/>
    <cellStyle name="Accent2 2 2 2 2 2" xfId="35181" xr:uid="{00000000-0005-0000-0000-000064890000}"/>
    <cellStyle name="Accent2 2 2 2 2 2 2" xfId="35182" xr:uid="{00000000-0005-0000-0000-000065890000}"/>
    <cellStyle name="Accent2 2 2 2 2 3" xfId="35183" xr:uid="{00000000-0005-0000-0000-000066890000}"/>
    <cellStyle name="Accent2 2 2 2 3" xfId="35184" xr:uid="{00000000-0005-0000-0000-000067890000}"/>
    <cellStyle name="Accent2 2 2 3" xfId="35185" xr:uid="{00000000-0005-0000-0000-000068890000}"/>
    <cellStyle name="Accent2 2 2 3 2" xfId="35186" xr:uid="{00000000-0005-0000-0000-000069890000}"/>
    <cellStyle name="Accent2 2 2 4" xfId="35187" xr:uid="{00000000-0005-0000-0000-00006A890000}"/>
    <cellStyle name="Accent2 2 2 4 2" xfId="35188" xr:uid="{00000000-0005-0000-0000-00006B890000}"/>
    <cellStyle name="Accent2 2 2 5" xfId="35189" xr:uid="{00000000-0005-0000-0000-00006C890000}"/>
    <cellStyle name="Accent2 2 3" xfId="35190" xr:uid="{00000000-0005-0000-0000-00006D890000}"/>
    <cellStyle name="Accent2 2 3 2" xfId="35191" xr:uid="{00000000-0005-0000-0000-00006E890000}"/>
    <cellStyle name="Accent2 2 4" xfId="35192" xr:uid="{00000000-0005-0000-0000-00006F890000}"/>
    <cellStyle name="Accent2 2 4 2" xfId="35193" xr:uid="{00000000-0005-0000-0000-000070890000}"/>
    <cellStyle name="Accent2 2 5" xfId="35194" xr:uid="{00000000-0005-0000-0000-000071890000}"/>
    <cellStyle name="Accent2 2 5 2" xfId="35195" xr:uid="{00000000-0005-0000-0000-000072890000}"/>
    <cellStyle name="Accent2 2 6" xfId="35196" xr:uid="{00000000-0005-0000-0000-000073890000}"/>
    <cellStyle name="Accent2 20" xfId="35197" xr:uid="{00000000-0005-0000-0000-000074890000}"/>
    <cellStyle name="Accent2 20 2" xfId="35198" xr:uid="{00000000-0005-0000-0000-000075890000}"/>
    <cellStyle name="Accent2 20 2 2" xfId="35199" xr:uid="{00000000-0005-0000-0000-000076890000}"/>
    <cellStyle name="Accent2 20 3" xfId="35200" xr:uid="{00000000-0005-0000-0000-000077890000}"/>
    <cellStyle name="Accent2 21" xfId="35201" xr:uid="{00000000-0005-0000-0000-000078890000}"/>
    <cellStyle name="Accent2 21 2" xfId="35202" xr:uid="{00000000-0005-0000-0000-000079890000}"/>
    <cellStyle name="Accent2 21 2 2" xfId="35203" xr:uid="{00000000-0005-0000-0000-00007A890000}"/>
    <cellStyle name="Accent2 21 3" xfId="35204" xr:uid="{00000000-0005-0000-0000-00007B890000}"/>
    <cellStyle name="Accent2 22" xfId="35205" xr:uid="{00000000-0005-0000-0000-00007C890000}"/>
    <cellStyle name="Accent2 22 2" xfId="35206" xr:uid="{00000000-0005-0000-0000-00007D890000}"/>
    <cellStyle name="Accent2 22 2 2" xfId="35207" xr:uid="{00000000-0005-0000-0000-00007E890000}"/>
    <cellStyle name="Accent2 22 3" xfId="35208" xr:uid="{00000000-0005-0000-0000-00007F890000}"/>
    <cellStyle name="Accent2 23" xfId="35209" xr:uid="{00000000-0005-0000-0000-000080890000}"/>
    <cellStyle name="Accent2 23 2" xfId="35210" xr:uid="{00000000-0005-0000-0000-000081890000}"/>
    <cellStyle name="Accent2 23 2 2" xfId="35211" xr:uid="{00000000-0005-0000-0000-000082890000}"/>
    <cellStyle name="Accent2 23 3" xfId="35212" xr:uid="{00000000-0005-0000-0000-000083890000}"/>
    <cellStyle name="Accent2 24" xfId="35213" xr:uid="{00000000-0005-0000-0000-000084890000}"/>
    <cellStyle name="Accent2 24 2" xfId="35214" xr:uid="{00000000-0005-0000-0000-000085890000}"/>
    <cellStyle name="Accent2 24 2 2" xfId="35215" xr:uid="{00000000-0005-0000-0000-000086890000}"/>
    <cellStyle name="Accent2 24 3" xfId="35216" xr:uid="{00000000-0005-0000-0000-000087890000}"/>
    <cellStyle name="Accent2 25" xfId="35217" xr:uid="{00000000-0005-0000-0000-000088890000}"/>
    <cellStyle name="Accent2 25 2" xfId="35218" xr:uid="{00000000-0005-0000-0000-000089890000}"/>
    <cellStyle name="Accent2 25 2 2" xfId="35219" xr:uid="{00000000-0005-0000-0000-00008A890000}"/>
    <cellStyle name="Accent2 25 3" xfId="35220" xr:uid="{00000000-0005-0000-0000-00008B890000}"/>
    <cellStyle name="Accent2 26" xfId="35221" xr:uid="{00000000-0005-0000-0000-00008C890000}"/>
    <cellStyle name="Accent2 26 2" xfId="35222" xr:uid="{00000000-0005-0000-0000-00008D890000}"/>
    <cellStyle name="Accent2 26 2 2" xfId="35223" xr:uid="{00000000-0005-0000-0000-00008E890000}"/>
    <cellStyle name="Accent2 26 3" xfId="35224" xr:uid="{00000000-0005-0000-0000-00008F890000}"/>
    <cellStyle name="Accent2 27" xfId="35225" xr:uid="{00000000-0005-0000-0000-000090890000}"/>
    <cellStyle name="Accent2 27 2" xfId="35226" xr:uid="{00000000-0005-0000-0000-000091890000}"/>
    <cellStyle name="Accent2 27 2 2" xfId="35227" xr:uid="{00000000-0005-0000-0000-000092890000}"/>
    <cellStyle name="Accent2 27 3" xfId="35228" xr:uid="{00000000-0005-0000-0000-000093890000}"/>
    <cellStyle name="Accent2 28" xfId="35229" xr:uid="{00000000-0005-0000-0000-000094890000}"/>
    <cellStyle name="Accent2 28 2" xfId="35230" xr:uid="{00000000-0005-0000-0000-000095890000}"/>
    <cellStyle name="Accent2 28 2 2" xfId="35231" xr:uid="{00000000-0005-0000-0000-000096890000}"/>
    <cellStyle name="Accent2 28 3" xfId="35232" xr:uid="{00000000-0005-0000-0000-000097890000}"/>
    <cellStyle name="Accent2 29" xfId="35233" xr:uid="{00000000-0005-0000-0000-000098890000}"/>
    <cellStyle name="Accent2 29 2" xfId="35234" xr:uid="{00000000-0005-0000-0000-000099890000}"/>
    <cellStyle name="Accent2 29 2 2" xfId="35235" xr:uid="{00000000-0005-0000-0000-00009A890000}"/>
    <cellStyle name="Accent2 29 3" xfId="35236" xr:uid="{00000000-0005-0000-0000-00009B890000}"/>
    <cellStyle name="Accent2 3" xfId="35237" xr:uid="{00000000-0005-0000-0000-00009C890000}"/>
    <cellStyle name="Accent2 3 2" xfId="35238" xr:uid="{00000000-0005-0000-0000-00009D890000}"/>
    <cellStyle name="Accent2 3 2 2" xfId="35239" xr:uid="{00000000-0005-0000-0000-00009E890000}"/>
    <cellStyle name="Accent2 3 3" xfId="35240" xr:uid="{00000000-0005-0000-0000-00009F890000}"/>
    <cellStyle name="Accent2 3 3 2" xfId="35241" xr:uid="{00000000-0005-0000-0000-0000A0890000}"/>
    <cellStyle name="Accent2 3 4" xfId="35242" xr:uid="{00000000-0005-0000-0000-0000A1890000}"/>
    <cellStyle name="Accent2 3 4 2" xfId="35243" xr:uid="{00000000-0005-0000-0000-0000A2890000}"/>
    <cellStyle name="Accent2 3 5" xfId="35244" xr:uid="{00000000-0005-0000-0000-0000A3890000}"/>
    <cellStyle name="Accent2 30" xfId="35245" xr:uid="{00000000-0005-0000-0000-0000A4890000}"/>
    <cellStyle name="Accent2 30 2" xfId="35246" xr:uid="{00000000-0005-0000-0000-0000A5890000}"/>
    <cellStyle name="Accent2 30 2 2" xfId="35247" xr:uid="{00000000-0005-0000-0000-0000A6890000}"/>
    <cellStyle name="Accent2 30 3" xfId="35248" xr:uid="{00000000-0005-0000-0000-0000A7890000}"/>
    <cellStyle name="Accent2 31" xfId="35249" xr:uid="{00000000-0005-0000-0000-0000A8890000}"/>
    <cellStyle name="Accent2 31 2" xfId="35250" xr:uid="{00000000-0005-0000-0000-0000A9890000}"/>
    <cellStyle name="Accent2 31 2 2" xfId="35251" xr:uid="{00000000-0005-0000-0000-0000AA890000}"/>
    <cellStyle name="Accent2 31 3" xfId="35252" xr:uid="{00000000-0005-0000-0000-0000AB890000}"/>
    <cellStyle name="Accent2 32" xfId="35253" xr:uid="{00000000-0005-0000-0000-0000AC890000}"/>
    <cellStyle name="Accent2 32 2" xfId="35254" xr:uid="{00000000-0005-0000-0000-0000AD890000}"/>
    <cellStyle name="Accent2 32 2 2" xfId="35255" xr:uid="{00000000-0005-0000-0000-0000AE890000}"/>
    <cellStyle name="Accent2 32 3" xfId="35256" xr:uid="{00000000-0005-0000-0000-0000AF890000}"/>
    <cellStyle name="Accent2 33" xfId="35257" xr:uid="{00000000-0005-0000-0000-0000B0890000}"/>
    <cellStyle name="Accent2 33 2" xfId="35258" xr:uid="{00000000-0005-0000-0000-0000B1890000}"/>
    <cellStyle name="Accent2 33 2 2" xfId="35259" xr:uid="{00000000-0005-0000-0000-0000B2890000}"/>
    <cellStyle name="Accent2 33 3" xfId="35260" xr:uid="{00000000-0005-0000-0000-0000B3890000}"/>
    <cellStyle name="Accent2 34" xfId="35261" xr:uid="{00000000-0005-0000-0000-0000B4890000}"/>
    <cellStyle name="Accent2 34 2" xfId="35262" xr:uid="{00000000-0005-0000-0000-0000B5890000}"/>
    <cellStyle name="Accent2 34 2 2" xfId="35263" xr:uid="{00000000-0005-0000-0000-0000B6890000}"/>
    <cellStyle name="Accent2 34 3" xfId="35264" xr:uid="{00000000-0005-0000-0000-0000B7890000}"/>
    <cellStyle name="Accent2 35" xfId="35265" xr:uid="{00000000-0005-0000-0000-0000B8890000}"/>
    <cellStyle name="Accent2 35 2" xfId="35266" xr:uid="{00000000-0005-0000-0000-0000B9890000}"/>
    <cellStyle name="Accent2 35 2 2" xfId="35267" xr:uid="{00000000-0005-0000-0000-0000BA890000}"/>
    <cellStyle name="Accent2 35 3" xfId="35268" xr:uid="{00000000-0005-0000-0000-0000BB890000}"/>
    <cellStyle name="Accent2 36" xfId="35269" xr:uid="{00000000-0005-0000-0000-0000BC890000}"/>
    <cellStyle name="Accent2 36 2" xfId="35270" xr:uid="{00000000-0005-0000-0000-0000BD890000}"/>
    <cellStyle name="Accent2 36 2 2" xfId="35271" xr:uid="{00000000-0005-0000-0000-0000BE890000}"/>
    <cellStyle name="Accent2 36 3" xfId="35272" xr:uid="{00000000-0005-0000-0000-0000BF890000}"/>
    <cellStyle name="Accent2 37" xfId="35273" xr:uid="{00000000-0005-0000-0000-0000C0890000}"/>
    <cellStyle name="Accent2 37 2" xfId="35274" xr:uid="{00000000-0005-0000-0000-0000C1890000}"/>
    <cellStyle name="Accent2 37 2 2" xfId="35275" xr:uid="{00000000-0005-0000-0000-0000C2890000}"/>
    <cellStyle name="Accent2 37 3" xfId="35276" xr:uid="{00000000-0005-0000-0000-0000C3890000}"/>
    <cellStyle name="Accent2 38" xfId="35277" xr:uid="{00000000-0005-0000-0000-0000C4890000}"/>
    <cellStyle name="Accent2 38 2" xfId="35278" xr:uid="{00000000-0005-0000-0000-0000C5890000}"/>
    <cellStyle name="Accent2 38 2 2" xfId="35279" xr:uid="{00000000-0005-0000-0000-0000C6890000}"/>
    <cellStyle name="Accent2 38 3" xfId="35280" xr:uid="{00000000-0005-0000-0000-0000C7890000}"/>
    <cellStyle name="Accent2 39" xfId="35281" xr:uid="{00000000-0005-0000-0000-0000C8890000}"/>
    <cellStyle name="Accent2 39 2" xfId="35282" xr:uid="{00000000-0005-0000-0000-0000C9890000}"/>
    <cellStyle name="Accent2 39 2 2" xfId="35283" xr:uid="{00000000-0005-0000-0000-0000CA890000}"/>
    <cellStyle name="Accent2 39 3" xfId="35284" xr:uid="{00000000-0005-0000-0000-0000CB890000}"/>
    <cellStyle name="Accent2 4" xfId="35285" xr:uid="{00000000-0005-0000-0000-0000CC890000}"/>
    <cellStyle name="Accent2 4 2" xfId="35286" xr:uid="{00000000-0005-0000-0000-0000CD890000}"/>
    <cellStyle name="Accent2 4 2 2" xfId="35287" xr:uid="{00000000-0005-0000-0000-0000CE890000}"/>
    <cellStyle name="Accent2 4 3" xfId="35288" xr:uid="{00000000-0005-0000-0000-0000CF890000}"/>
    <cellStyle name="Accent2 4 3 2" xfId="35289" xr:uid="{00000000-0005-0000-0000-0000D0890000}"/>
    <cellStyle name="Accent2 4 4" xfId="35290" xr:uid="{00000000-0005-0000-0000-0000D1890000}"/>
    <cellStyle name="Accent2 4 4 2" xfId="35291" xr:uid="{00000000-0005-0000-0000-0000D2890000}"/>
    <cellStyle name="Accent2 4 5" xfId="35292" xr:uid="{00000000-0005-0000-0000-0000D3890000}"/>
    <cellStyle name="Accent2 40" xfId="35293" xr:uid="{00000000-0005-0000-0000-0000D4890000}"/>
    <cellStyle name="Accent2 40 2" xfId="35294" xr:uid="{00000000-0005-0000-0000-0000D5890000}"/>
    <cellStyle name="Accent2 40 2 2" xfId="35295" xr:uid="{00000000-0005-0000-0000-0000D6890000}"/>
    <cellStyle name="Accent2 40 3" xfId="35296" xr:uid="{00000000-0005-0000-0000-0000D7890000}"/>
    <cellStyle name="Accent2 41" xfId="35297" xr:uid="{00000000-0005-0000-0000-0000D8890000}"/>
    <cellStyle name="Accent2 41 2" xfId="35298" xr:uid="{00000000-0005-0000-0000-0000D9890000}"/>
    <cellStyle name="Accent2 41 2 2" xfId="35299" xr:uid="{00000000-0005-0000-0000-0000DA890000}"/>
    <cellStyle name="Accent2 41 3" xfId="35300" xr:uid="{00000000-0005-0000-0000-0000DB890000}"/>
    <cellStyle name="Accent2 42" xfId="35301" xr:uid="{00000000-0005-0000-0000-0000DC890000}"/>
    <cellStyle name="Accent2 42 2" xfId="35302" xr:uid="{00000000-0005-0000-0000-0000DD890000}"/>
    <cellStyle name="Accent2 42 2 2" xfId="35303" xr:uid="{00000000-0005-0000-0000-0000DE890000}"/>
    <cellStyle name="Accent2 42 3" xfId="35304" xr:uid="{00000000-0005-0000-0000-0000DF890000}"/>
    <cellStyle name="Accent2 43" xfId="35305" xr:uid="{00000000-0005-0000-0000-0000E0890000}"/>
    <cellStyle name="Accent2 43 2" xfId="35306" xr:uid="{00000000-0005-0000-0000-0000E1890000}"/>
    <cellStyle name="Accent2 43 2 2" xfId="35307" xr:uid="{00000000-0005-0000-0000-0000E2890000}"/>
    <cellStyle name="Accent2 43 3" xfId="35308" xr:uid="{00000000-0005-0000-0000-0000E3890000}"/>
    <cellStyle name="Accent2 44" xfId="35309" xr:uid="{00000000-0005-0000-0000-0000E4890000}"/>
    <cellStyle name="Accent2 44 2" xfId="35310" xr:uid="{00000000-0005-0000-0000-0000E5890000}"/>
    <cellStyle name="Accent2 44 2 2" xfId="35311" xr:uid="{00000000-0005-0000-0000-0000E6890000}"/>
    <cellStyle name="Accent2 44 3" xfId="35312" xr:uid="{00000000-0005-0000-0000-0000E7890000}"/>
    <cellStyle name="Accent2 45" xfId="35313" xr:uid="{00000000-0005-0000-0000-0000E8890000}"/>
    <cellStyle name="Accent2 45 2" xfId="35314" xr:uid="{00000000-0005-0000-0000-0000E9890000}"/>
    <cellStyle name="Accent2 45 2 2" xfId="35315" xr:uid="{00000000-0005-0000-0000-0000EA890000}"/>
    <cellStyle name="Accent2 45 3" xfId="35316" xr:uid="{00000000-0005-0000-0000-0000EB890000}"/>
    <cellStyle name="Accent2 46" xfId="35317" xr:uid="{00000000-0005-0000-0000-0000EC890000}"/>
    <cellStyle name="Accent2 46 2" xfId="35318" xr:uid="{00000000-0005-0000-0000-0000ED890000}"/>
    <cellStyle name="Accent2 46 2 2" xfId="35319" xr:uid="{00000000-0005-0000-0000-0000EE890000}"/>
    <cellStyle name="Accent2 46 3" xfId="35320" xr:uid="{00000000-0005-0000-0000-0000EF890000}"/>
    <cellStyle name="Accent2 47" xfId="35321" xr:uid="{00000000-0005-0000-0000-0000F0890000}"/>
    <cellStyle name="Accent2 47 2" xfId="35322" xr:uid="{00000000-0005-0000-0000-0000F1890000}"/>
    <cellStyle name="Accent2 47 2 2" xfId="35323" xr:uid="{00000000-0005-0000-0000-0000F2890000}"/>
    <cellStyle name="Accent2 47 3" xfId="35324" xr:uid="{00000000-0005-0000-0000-0000F3890000}"/>
    <cellStyle name="Accent2 48" xfId="35325" xr:uid="{00000000-0005-0000-0000-0000F4890000}"/>
    <cellStyle name="Accent2 48 2" xfId="35326" xr:uid="{00000000-0005-0000-0000-0000F5890000}"/>
    <cellStyle name="Accent2 48 2 2" xfId="35327" xr:uid="{00000000-0005-0000-0000-0000F6890000}"/>
    <cellStyle name="Accent2 48 3" xfId="35328" xr:uid="{00000000-0005-0000-0000-0000F7890000}"/>
    <cellStyle name="Accent2 49" xfId="35329" xr:uid="{00000000-0005-0000-0000-0000F8890000}"/>
    <cellStyle name="Accent2 49 2" xfId="35330" xr:uid="{00000000-0005-0000-0000-0000F9890000}"/>
    <cellStyle name="Accent2 49 2 2" xfId="35331" xr:uid="{00000000-0005-0000-0000-0000FA890000}"/>
    <cellStyle name="Accent2 49 3" xfId="35332" xr:uid="{00000000-0005-0000-0000-0000FB890000}"/>
    <cellStyle name="Accent2 5" xfId="35333" xr:uid="{00000000-0005-0000-0000-0000FC890000}"/>
    <cellStyle name="Accent2 5 2" xfId="35334" xr:uid="{00000000-0005-0000-0000-0000FD890000}"/>
    <cellStyle name="Accent2 5 2 2" xfId="35335" xr:uid="{00000000-0005-0000-0000-0000FE890000}"/>
    <cellStyle name="Accent2 5 3" xfId="35336" xr:uid="{00000000-0005-0000-0000-0000FF890000}"/>
    <cellStyle name="Accent2 5 3 2" xfId="35337" xr:uid="{00000000-0005-0000-0000-0000008A0000}"/>
    <cellStyle name="Accent2 5 4" xfId="35338" xr:uid="{00000000-0005-0000-0000-0000018A0000}"/>
    <cellStyle name="Accent2 5 4 2" xfId="35339" xr:uid="{00000000-0005-0000-0000-0000028A0000}"/>
    <cellStyle name="Accent2 5 5" xfId="35340" xr:uid="{00000000-0005-0000-0000-0000038A0000}"/>
    <cellStyle name="Accent2 50" xfId="35341" xr:uid="{00000000-0005-0000-0000-0000048A0000}"/>
    <cellStyle name="Accent2 50 2" xfId="35342" xr:uid="{00000000-0005-0000-0000-0000058A0000}"/>
    <cellStyle name="Accent2 50 2 2" xfId="35343" xr:uid="{00000000-0005-0000-0000-0000068A0000}"/>
    <cellStyle name="Accent2 50 3" xfId="35344" xr:uid="{00000000-0005-0000-0000-0000078A0000}"/>
    <cellStyle name="Accent2 51" xfId="35345" xr:uid="{00000000-0005-0000-0000-0000088A0000}"/>
    <cellStyle name="Accent2 51 2" xfId="35346" xr:uid="{00000000-0005-0000-0000-0000098A0000}"/>
    <cellStyle name="Accent2 51 2 2" xfId="35347" xr:uid="{00000000-0005-0000-0000-00000A8A0000}"/>
    <cellStyle name="Accent2 51 3" xfId="35348" xr:uid="{00000000-0005-0000-0000-00000B8A0000}"/>
    <cellStyle name="Accent2 52" xfId="35349" xr:uid="{00000000-0005-0000-0000-00000C8A0000}"/>
    <cellStyle name="Accent2 52 2" xfId="35350" xr:uid="{00000000-0005-0000-0000-00000D8A0000}"/>
    <cellStyle name="Accent2 52 2 2" xfId="35351" xr:uid="{00000000-0005-0000-0000-00000E8A0000}"/>
    <cellStyle name="Accent2 52 3" xfId="35352" xr:uid="{00000000-0005-0000-0000-00000F8A0000}"/>
    <cellStyle name="Accent2 53" xfId="35353" xr:uid="{00000000-0005-0000-0000-0000108A0000}"/>
    <cellStyle name="Accent2 53 2" xfId="35354" xr:uid="{00000000-0005-0000-0000-0000118A0000}"/>
    <cellStyle name="Accent2 53 2 2" xfId="35355" xr:uid="{00000000-0005-0000-0000-0000128A0000}"/>
    <cellStyle name="Accent2 53 3" xfId="35356" xr:uid="{00000000-0005-0000-0000-0000138A0000}"/>
    <cellStyle name="Accent2 54" xfId="35357" xr:uid="{00000000-0005-0000-0000-0000148A0000}"/>
    <cellStyle name="Accent2 54 2" xfId="35358" xr:uid="{00000000-0005-0000-0000-0000158A0000}"/>
    <cellStyle name="Accent2 54 2 2" xfId="35359" xr:uid="{00000000-0005-0000-0000-0000168A0000}"/>
    <cellStyle name="Accent2 54 3" xfId="35360" xr:uid="{00000000-0005-0000-0000-0000178A0000}"/>
    <cellStyle name="Accent2 55" xfId="35361" xr:uid="{00000000-0005-0000-0000-0000188A0000}"/>
    <cellStyle name="Accent2 55 2" xfId="35362" xr:uid="{00000000-0005-0000-0000-0000198A0000}"/>
    <cellStyle name="Accent2 55 2 2" xfId="35363" xr:uid="{00000000-0005-0000-0000-00001A8A0000}"/>
    <cellStyle name="Accent2 55 3" xfId="35364" xr:uid="{00000000-0005-0000-0000-00001B8A0000}"/>
    <cellStyle name="Accent2 56" xfId="35365" xr:uid="{00000000-0005-0000-0000-00001C8A0000}"/>
    <cellStyle name="Accent2 56 2" xfId="35366" xr:uid="{00000000-0005-0000-0000-00001D8A0000}"/>
    <cellStyle name="Accent2 56 2 2" xfId="35367" xr:uid="{00000000-0005-0000-0000-00001E8A0000}"/>
    <cellStyle name="Accent2 56 3" xfId="35368" xr:uid="{00000000-0005-0000-0000-00001F8A0000}"/>
    <cellStyle name="Accent2 57" xfId="35369" xr:uid="{00000000-0005-0000-0000-0000208A0000}"/>
    <cellStyle name="Accent2 57 2" xfId="35370" xr:uid="{00000000-0005-0000-0000-0000218A0000}"/>
    <cellStyle name="Accent2 57 2 2" xfId="35371" xr:uid="{00000000-0005-0000-0000-0000228A0000}"/>
    <cellStyle name="Accent2 57 3" xfId="35372" xr:uid="{00000000-0005-0000-0000-0000238A0000}"/>
    <cellStyle name="Accent2 58" xfId="35373" xr:uid="{00000000-0005-0000-0000-0000248A0000}"/>
    <cellStyle name="Accent2 58 2" xfId="35374" xr:uid="{00000000-0005-0000-0000-0000258A0000}"/>
    <cellStyle name="Accent2 58 2 2" xfId="35375" xr:uid="{00000000-0005-0000-0000-0000268A0000}"/>
    <cellStyle name="Accent2 58 3" xfId="35376" xr:uid="{00000000-0005-0000-0000-0000278A0000}"/>
    <cellStyle name="Accent2 59" xfId="35377" xr:uid="{00000000-0005-0000-0000-0000288A0000}"/>
    <cellStyle name="Accent2 59 2" xfId="35378" xr:uid="{00000000-0005-0000-0000-0000298A0000}"/>
    <cellStyle name="Accent2 59 2 2" xfId="35379" xr:uid="{00000000-0005-0000-0000-00002A8A0000}"/>
    <cellStyle name="Accent2 59 3" xfId="35380" xr:uid="{00000000-0005-0000-0000-00002B8A0000}"/>
    <cellStyle name="Accent2 59 3 2" xfId="35381" xr:uid="{00000000-0005-0000-0000-00002C8A0000}"/>
    <cellStyle name="Accent2 59 4" xfId="35382" xr:uid="{00000000-0005-0000-0000-00002D8A0000}"/>
    <cellStyle name="Accent2 6" xfId="35383" xr:uid="{00000000-0005-0000-0000-00002E8A0000}"/>
    <cellStyle name="Accent2 6 2" xfId="35384" xr:uid="{00000000-0005-0000-0000-00002F8A0000}"/>
    <cellStyle name="Accent2 6 2 2" xfId="35385" xr:uid="{00000000-0005-0000-0000-0000308A0000}"/>
    <cellStyle name="Accent2 6 3" xfId="35386" xr:uid="{00000000-0005-0000-0000-0000318A0000}"/>
    <cellStyle name="Accent2 6 3 2" xfId="35387" xr:uid="{00000000-0005-0000-0000-0000328A0000}"/>
    <cellStyle name="Accent2 6 4" xfId="35388" xr:uid="{00000000-0005-0000-0000-0000338A0000}"/>
    <cellStyle name="Accent2 6 4 2" xfId="35389" xr:uid="{00000000-0005-0000-0000-0000348A0000}"/>
    <cellStyle name="Accent2 6 5" xfId="35390" xr:uid="{00000000-0005-0000-0000-0000358A0000}"/>
    <cellStyle name="Accent2 60" xfId="35391" xr:uid="{00000000-0005-0000-0000-0000368A0000}"/>
    <cellStyle name="Accent2 60 2" xfId="35392" xr:uid="{00000000-0005-0000-0000-0000378A0000}"/>
    <cellStyle name="Accent2 60 2 2" xfId="35393" xr:uid="{00000000-0005-0000-0000-0000388A0000}"/>
    <cellStyle name="Accent2 60 3" xfId="35394" xr:uid="{00000000-0005-0000-0000-0000398A0000}"/>
    <cellStyle name="Accent2 61" xfId="35395" xr:uid="{00000000-0005-0000-0000-00003A8A0000}"/>
    <cellStyle name="Accent2 61 2" xfId="35396" xr:uid="{00000000-0005-0000-0000-00003B8A0000}"/>
    <cellStyle name="Accent2 61 2 2" xfId="35397" xr:uid="{00000000-0005-0000-0000-00003C8A0000}"/>
    <cellStyle name="Accent2 61 3" xfId="35398" xr:uid="{00000000-0005-0000-0000-00003D8A0000}"/>
    <cellStyle name="Accent2 62" xfId="35399" xr:uid="{00000000-0005-0000-0000-00003E8A0000}"/>
    <cellStyle name="Accent2 62 2" xfId="35400" xr:uid="{00000000-0005-0000-0000-00003F8A0000}"/>
    <cellStyle name="Accent2 62 2 2" xfId="35401" xr:uid="{00000000-0005-0000-0000-0000408A0000}"/>
    <cellStyle name="Accent2 62 3" xfId="35402" xr:uid="{00000000-0005-0000-0000-0000418A0000}"/>
    <cellStyle name="Accent2 63" xfId="35403" xr:uid="{00000000-0005-0000-0000-0000428A0000}"/>
    <cellStyle name="Accent2 63 2" xfId="35404" xr:uid="{00000000-0005-0000-0000-0000438A0000}"/>
    <cellStyle name="Accent2 63 2 2" xfId="35405" xr:uid="{00000000-0005-0000-0000-0000448A0000}"/>
    <cellStyle name="Accent2 63 3" xfId="35406" xr:uid="{00000000-0005-0000-0000-0000458A0000}"/>
    <cellStyle name="Accent2 64" xfId="35407" xr:uid="{00000000-0005-0000-0000-0000468A0000}"/>
    <cellStyle name="Accent2 64 2" xfId="35408" xr:uid="{00000000-0005-0000-0000-0000478A0000}"/>
    <cellStyle name="Accent2 64 2 2" xfId="35409" xr:uid="{00000000-0005-0000-0000-0000488A0000}"/>
    <cellStyle name="Accent2 64 3" xfId="35410" xr:uid="{00000000-0005-0000-0000-0000498A0000}"/>
    <cellStyle name="Accent2 65" xfId="35411" xr:uid="{00000000-0005-0000-0000-00004A8A0000}"/>
    <cellStyle name="Accent2 65 2" xfId="35412" xr:uid="{00000000-0005-0000-0000-00004B8A0000}"/>
    <cellStyle name="Accent2 65 2 2" xfId="35413" xr:uid="{00000000-0005-0000-0000-00004C8A0000}"/>
    <cellStyle name="Accent2 65 3" xfId="35414" xr:uid="{00000000-0005-0000-0000-00004D8A0000}"/>
    <cellStyle name="Accent2 66" xfId="35415" xr:uid="{00000000-0005-0000-0000-00004E8A0000}"/>
    <cellStyle name="Accent2 66 2" xfId="35416" xr:uid="{00000000-0005-0000-0000-00004F8A0000}"/>
    <cellStyle name="Accent2 66 2 2" xfId="35417" xr:uid="{00000000-0005-0000-0000-0000508A0000}"/>
    <cellStyle name="Accent2 66 3" xfId="35418" xr:uid="{00000000-0005-0000-0000-0000518A0000}"/>
    <cellStyle name="Accent2 67" xfId="35419" xr:uid="{00000000-0005-0000-0000-0000528A0000}"/>
    <cellStyle name="Accent2 67 2" xfId="35420" xr:uid="{00000000-0005-0000-0000-0000538A0000}"/>
    <cellStyle name="Accent2 67 2 2" xfId="35421" xr:uid="{00000000-0005-0000-0000-0000548A0000}"/>
    <cellStyle name="Accent2 67 3" xfId="35422" xr:uid="{00000000-0005-0000-0000-0000558A0000}"/>
    <cellStyle name="Accent2 68" xfId="35423" xr:uid="{00000000-0005-0000-0000-0000568A0000}"/>
    <cellStyle name="Accent2 68 2" xfId="35424" xr:uid="{00000000-0005-0000-0000-0000578A0000}"/>
    <cellStyle name="Accent2 68 2 2" xfId="35425" xr:uid="{00000000-0005-0000-0000-0000588A0000}"/>
    <cellStyle name="Accent2 68 3" xfId="35426" xr:uid="{00000000-0005-0000-0000-0000598A0000}"/>
    <cellStyle name="Accent2 69" xfId="35427" xr:uid="{00000000-0005-0000-0000-00005A8A0000}"/>
    <cellStyle name="Accent2 69 2" xfId="35428" xr:uid="{00000000-0005-0000-0000-00005B8A0000}"/>
    <cellStyle name="Accent2 69 2 2" xfId="35429" xr:uid="{00000000-0005-0000-0000-00005C8A0000}"/>
    <cellStyle name="Accent2 69 3" xfId="35430" xr:uid="{00000000-0005-0000-0000-00005D8A0000}"/>
    <cellStyle name="Accent2 7" xfId="35431" xr:uid="{00000000-0005-0000-0000-00005E8A0000}"/>
    <cellStyle name="Accent2 7 2" xfId="35432" xr:uid="{00000000-0005-0000-0000-00005F8A0000}"/>
    <cellStyle name="Accent2 7 2 2" xfId="35433" xr:uid="{00000000-0005-0000-0000-0000608A0000}"/>
    <cellStyle name="Accent2 7 3" xfId="35434" xr:uid="{00000000-0005-0000-0000-0000618A0000}"/>
    <cellStyle name="Accent2 7 3 2" xfId="35435" xr:uid="{00000000-0005-0000-0000-0000628A0000}"/>
    <cellStyle name="Accent2 7 4" xfId="35436" xr:uid="{00000000-0005-0000-0000-0000638A0000}"/>
    <cellStyle name="Accent2 7 4 2" xfId="35437" xr:uid="{00000000-0005-0000-0000-0000648A0000}"/>
    <cellStyle name="Accent2 7 5" xfId="35438" xr:uid="{00000000-0005-0000-0000-0000658A0000}"/>
    <cellStyle name="Accent2 70" xfId="35439" xr:uid="{00000000-0005-0000-0000-0000668A0000}"/>
    <cellStyle name="Accent2 70 2" xfId="35440" xr:uid="{00000000-0005-0000-0000-0000678A0000}"/>
    <cellStyle name="Accent2 70 2 2" xfId="35441" xr:uid="{00000000-0005-0000-0000-0000688A0000}"/>
    <cellStyle name="Accent2 70 3" xfId="35442" xr:uid="{00000000-0005-0000-0000-0000698A0000}"/>
    <cellStyle name="Accent2 71" xfId="35443" xr:uid="{00000000-0005-0000-0000-00006A8A0000}"/>
    <cellStyle name="Accent2 71 2" xfId="35444" xr:uid="{00000000-0005-0000-0000-00006B8A0000}"/>
    <cellStyle name="Accent2 71 2 2" xfId="35445" xr:uid="{00000000-0005-0000-0000-00006C8A0000}"/>
    <cellStyle name="Accent2 71 3" xfId="35446" xr:uid="{00000000-0005-0000-0000-00006D8A0000}"/>
    <cellStyle name="Accent2 72" xfId="35447" xr:uid="{00000000-0005-0000-0000-00006E8A0000}"/>
    <cellStyle name="Accent2 72 2" xfId="35448" xr:uid="{00000000-0005-0000-0000-00006F8A0000}"/>
    <cellStyle name="Accent2 72 2 2" xfId="35449" xr:uid="{00000000-0005-0000-0000-0000708A0000}"/>
    <cellStyle name="Accent2 72 3" xfId="35450" xr:uid="{00000000-0005-0000-0000-0000718A0000}"/>
    <cellStyle name="Accent2 73" xfId="35451" xr:uid="{00000000-0005-0000-0000-0000728A0000}"/>
    <cellStyle name="Accent2 73 2" xfId="35452" xr:uid="{00000000-0005-0000-0000-0000738A0000}"/>
    <cellStyle name="Accent2 73 2 2" xfId="35453" xr:uid="{00000000-0005-0000-0000-0000748A0000}"/>
    <cellStyle name="Accent2 73 3" xfId="35454" xr:uid="{00000000-0005-0000-0000-0000758A0000}"/>
    <cellStyle name="Accent2 74" xfId="35455" xr:uid="{00000000-0005-0000-0000-0000768A0000}"/>
    <cellStyle name="Accent2 74 2" xfId="35456" xr:uid="{00000000-0005-0000-0000-0000778A0000}"/>
    <cellStyle name="Accent2 74 2 2" xfId="35457" xr:uid="{00000000-0005-0000-0000-0000788A0000}"/>
    <cellStyle name="Accent2 74 3" xfId="35458" xr:uid="{00000000-0005-0000-0000-0000798A0000}"/>
    <cellStyle name="Accent2 75" xfId="35459" xr:uid="{00000000-0005-0000-0000-00007A8A0000}"/>
    <cellStyle name="Accent2 75 2" xfId="35460" xr:uid="{00000000-0005-0000-0000-00007B8A0000}"/>
    <cellStyle name="Accent2 75 2 2" xfId="35461" xr:uid="{00000000-0005-0000-0000-00007C8A0000}"/>
    <cellStyle name="Accent2 75 3" xfId="35462" xr:uid="{00000000-0005-0000-0000-00007D8A0000}"/>
    <cellStyle name="Accent2 76" xfId="35463" xr:uid="{00000000-0005-0000-0000-00007E8A0000}"/>
    <cellStyle name="Accent2 76 2" xfId="35464" xr:uid="{00000000-0005-0000-0000-00007F8A0000}"/>
    <cellStyle name="Accent2 76 2 2" xfId="35465" xr:uid="{00000000-0005-0000-0000-0000808A0000}"/>
    <cellStyle name="Accent2 76 3" xfId="35466" xr:uid="{00000000-0005-0000-0000-0000818A0000}"/>
    <cellStyle name="Accent2 77" xfId="35467" xr:uid="{00000000-0005-0000-0000-0000828A0000}"/>
    <cellStyle name="Accent2 77 2" xfId="35468" xr:uid="{00000000-0005-0000-0000-0000838A0000}"/>
    <cellStyle name="Accent2 77 2 2" xfId="35469" xr:uid="{00000000-0005-0000-0000-0000848A0000}"/>
    <cellStyle name="Accent2 77 3" xfId="35470" xr:uid="{00000000-0005-0000-0000-0000858A0000}"/>
    <cellStyle name="Accent2 78" xfId="35471" xr:uid="{00000000-0005-0000-0000-0000868A0000}"/>
    <cellStyle name="Accent2 78 2" xfId="35472" xr:uid="{00000000-0005-0000-0000-0000878A0000}"/>
    <cellStyle name="Accent2 78 2 2" xfId="35473" xr:uid="{00000000-0005-0000-0000-0000888A0000}"/>
    <cellStyle name="Accent2 78 3" xfId="35474" xr:uid="{00000000-0005-0000-0000-0000898A0000}"/>
    <cellStyle name="Accent2 79" xfId="35475" xr:uid="{00000000-0005-0000-0000-00008A8A0000}"/>
    <cellStyle name="Accent2 79 2" xfId="35476" xr:uid="{00000000-0005-0000-0000-00008B8A0000}"/>
    <cellStyle name="Accent2 79 2 2" xfId="35477" xr:uid="{00000000-0005-0000-0000-00008C8A0000}"/>
    <cellStyle name="Accent2 79 3" xfId="35478" xr:uid="{00000000-0005-0000-0000-00008D8A0000}"/>
    <cellStyle name="Accent2 8" xfId="35479" xr:uid="{00000000-0005-0000-0000-00008E8A0000}"/>
    <cellStyle name="Accent2 8 2" xfId="35480" xr:uid="{00000000-0005-0000-0000-00008F8A0000}"/>
    <cellStyle name="Accent2 8 2 2" xfId="35481" xr:uid="{00000000-0005-0000-0000-0000908A0000}"/>
    <cellStyle name="Accent2 8 3" xfId="35482" xr:uid="{00000000-0005-0000-0000-0000918A0000}"/>
    <cellStyle name="Accent2 8 3 2" xfId="35483" xr:uid="{00000000-0005-0000-0000-0000928A0000}"/>
    <cellStyle name="Accent2 8 4" xfId="35484" xr:uid="{00000000-0005-0000-0000-0000938A0000}"/>
    <cellStyle name="Accent2 8 4 2" xfId="35485" xr:uid="{00000000-0005-0000-0000-0000948A0000}"/>
    <cellStyle name="Accent2 8 5" xfId="35486" xr:uid="{00000000-0005-0000-0000-0000958A0000}"/>
    <cellStyle name="Accent2 80" xfId="35487" xr:uid="{00000000-0005-0000-0000-0000968A0000}"/>
    <cellStyle name="Accent2 80 2" xfId="35488" xr:uid="{00000000-0005-0000-0000-0000978A0000}"/>
    <cellStyle name="Accent2 80 2 2" xfId="35489" xr:uid="{00000000-0005-0000-0000-0000988A0000}"/>
    <cellStyle name="Accent2 80 3" xfId="35490" xr:uid="{00000000-0005-0000-0000-0000998A0000}"/>
    <cellStyle name="Accent2 81" xfId="35491" xr:uid="{00000000-0005-0000-0000-00009A8A0000}"/>
    <cellStyle name="Accent2 81 2" xfId="35492" xr:uid="{00000000-0005-0000-0000-00009B8A0000}"/>
    <cellStyle name="Accent2 81 2 2" xfId="35493" xr:uid="{00000000-0005-0000-0000-00009C8A0000}"/>
    <cellStyle name="Accent2 81 3" xfId="35494" xr:uid="{00000000-0005-0000-0000-00009D8A0000}"/>
    <cellStyle name="Accent2 82" xfId="35495" xr:uid="{00000000-0005-0000-0000-00009E8A0000}"/>
    <cellStyle name="Accent2 82 2" xfId="35496" xr:uid="{00000000-0005-0000-0000-00009F8A0000}"/>
    <cellStyle name="Accent2 82 2 2" xfId="35497" xr:uid="{00000000-0005-0000-0000-0000A08A0000}"/>
    <cellStyle name="Accent2 82 3" xfId="35498" xr:uid="{00000000-0005-0000-0000-0000A18A0000}"/>
    <cellStyle name="Accent2 83" xfId="35499" xr:uid="{00000000-0005-0000-0000-0000A28A0000}"/>
    <cellStyle name="Accent2 83 2" xfId="35500" xr:uid="{00000000-0005-0000-0000-0000A38A0000}"/>
    <cellStyle name="Accent2 83 2 2" xfId="35501" xr:uid="{00000000-0005-0000-0000-0000A48A0000}"/>
    <cellStyle name="Accent2 83 3" xfId="35502" xr:uid="{00000000-0005-0000-0000-0000A58A0000}"/>
    <cellStyle name="Accent2 84" xfId="35503" xr:uid="{00000000-0005-0000-0000-0000A68A0000}"/>
    <cellStyle name="Accent2 84 2" xfId="35504" xr:uid="{00000000-0005-0000-0000-0000A78A0000}"/>
    <cellStyle name="Accent2 84 2 2" xfId="35505" xr:uid="{00000000-0005-0000-0000-0000A88A0000}"/>
    <cellStyle name="Accent2 84 3" xfId="35506" xr:uid="{00000000-0005-0000-0000-0000A98A0000}"/>
    <cellStyle name="Accent2 85" xfId="35507" xr:uid="{00000000-0005-0000-0000-0000AA8A0000}"/>
    <cellStyle name="Accent2 85 2" xfId="35508" xr:uid="{00000000-0005-0000-0000-0000AB8A0000}"/>
    <cellStyle name="Accent2 85 2 2" xfId="35509" xr:uid="{00000000-0005-0000-0000-0000AC8A0000}"/>
    <cellStyle name="Accent2 85 3" xfId="35510" xr:uid="{00000000-0005-0000-0000-0000AD8A0000}"/>
    <cellStyle name="Accent2 86" xfId="35511" xr:uid="{00000000-0005-0000-0000-0000AE8A0000}"/>
    <cellStyle name="Accent2 86 2" xfId="35512" xr:uid="{00000000-0005-0000-0000-0000AF8A0000}"/>
    <cellStyle name="Accent2 86 2 2" xfId="35513" xr:uid="{00000000-0005-0000-0000-0000B08A0000}"/>
    <cellStyle name="Accent2 86 3" xfId="35514" xr:uid="{00000000-0005-0000-0000-0000B18A0000}"/>
    <cellStyle name="Accent2 87" xfId="35515" xr:uid="{00000000-0005-0000-0000-0000B28A0000}"/>
    <cellStyle name="Accent2 87 2" xfId="35516" xr:uid="{00000000-0005-0000-0000-0000B38A0000}"/>
    <cellStyle name="Accent2 87 2 2" xfId="35517" xr:uid="{00000000-0005-0000-0000-0000B48A0000}"/>
    <cellStyle name="Accent2 87 3" xfId="35518" xr:uid="{00000000-0005-0000-0000-0000B58A0000}"/>
    <cellStyle name="Accent2 88" xfId="35519" xr:uid="{00000000-0005-0000-0000-0000B68A0000}"/>
    <cellStyle name="Accent2 88 2" xfId="35520" xr:uid="{00000000-0005-0000-0000-0000B78A0000}"/>
    <cellStyle name="Accent2 88 2 2" xfId="35521" xr:uid="{00000000-0005-0000-0000-0000B88A0000}"/>
    <cellStyle name="Accent2 88 3" xfId="35522" xr:uid="{00000000-0005-0000-0000-0000B98A0000}"/>
    <cellStyle name="Accent2 89" xfId="35523" xr:uid="{00000000-0005-0000-0000-0000BA8A0000}"/>
    <cellStyle name="Accent2 89 2" xfId="35524" xr:uid="{00000000-0005-0000-0000-0000BB8A0000}"/>
    <cellStyle name="Accent2 89 2 2" xfId="35525" xr:uid="{00000000-0005-0000-0000-0000BC8A0000}"/>
    <cellStyle name="Accent2 89 3" xfId="35526" xr:uid="{00000000-0005-0000-0000-0000BD8A0000}"/>
    <cellStyle name="Accent2 9" xfId="35527" xr:uid="{00000000-0005-0000-0000-0000BE8A0000}"/>
    <cellStyle name="Accent2 9 2" xfId="35528" xr:uid="{00000000-0005-0000-0000-0000BF8A0000}"/>
    <cellStyle name="Accent2 9 2 2" xfId="35529" xr:uid="{00000000-0005-0000-0000-0000C08A0000}"/>
    <cellStyle name="Accent2 9 3" xfId="35530" xr:uid="{00000000-0005-0000-0000-0000C18A0000}"/>
    <cellStyle name="Accent2 9 3 2" xfId="35531" xr:uid="{00000000-0005-0000-0000-0000C28A0000}"/>
    <cellStyle name="Accent2 9 4" xfId="35532" xr:uid="{00000000-0005-0000-0000-0000C38A0000}"/>
    <cellStyle name="Accent2 9 4 2" xfId="35533" xr:uid="{00000000-0005-0000-0000-0000C48A0000}"/>
    <cellStyle name="Accent2 9 5" xfId="35534" xr:uid="{00000000-0005-0000-0000-0000C58A0000}"/>
    <cellStyle name="Accent2 90" xfId="35535" xr:uid="{00000000-0005-0000-0000-0000C68A0000}"/>
    <cellStyle name="Accent2 90 2" xfId="35536" xr:uid="{00000000-0005-0000-0000-0000C78A0000}"/>
    <cellStyle name="Accent2 90 2 2" xfId="35537" xr:uid="{00000000-0005-0000-0000-0000C88A0000}"/>
    <cellStyle name="Accent2 90 3" xfId="35538" xr:uid="{00000000-0005-0000-0000-0000C98A0000}"/>
    <cellStyle name="Accent2 91" xfId="35539" xr:uid="{00000000-0005-0000-0000-0000CA8A0000}"/>
    <cellStyle name="Accent2 91 2" xfId="35540" xr:uid="{00000000-0005-0000-0000-0000CB8A0000}"/>
    <cellStyle name="Accent2 91 2 2" xfId="35541" xr:uid="{00000000-0005-0000-0000-0000CC8A0000}"/>
    <cellStyle name="Accent2 91 3" xfId="35542" xr:uid="{00000000-0005-0000-0000-0000CD8A0000}"/>
    <cellStyle name="Accent2 92" xfId="35543" xr:uid="{00000000-0005-0000-0000-0000CE8A0000}"/>
    <cellStyle name="Accent2 92 2" xfId="35544" xr:uid="{00000000-0005-0000-0000-0000CF8A0000}"/>
    <cellStyle name="Accent2 92 2 2" xfId="35545" xr:uid="{00000000-0005-0000-0000-0000D08A0000}"/>
    <cellStyle name="Accent2 92 3" xfId="35546" xr:uid="{00000000-0005-0000-0000-0000D18A0000}"/>
    <cellStyle name="Accent2 93" xfId="35547" xr:uid="{00000000-0005-0000-0000-0000D28A0000}"/>
    <cellStyle name="Accent2 93 2" xfId="35548" xr:uid="{00000000-0005-0000-0000-0000D38A0000}"/>
    <cellStyle name="Accent2 93 2 2" xfId="35549" xr:uid="{00000000-0005-0000-0000-0000D48A0000}"/>
    <cellStyle name="Accent2 93 3" xfId="35550" xr:uid="{00000000-0005-0000-0000-0000D58A0000}"/>
    <cellStyle name="Accent2 94" xfId="35551" xr:uid="{00000000-0005-0000-0000-0000D68A0000}"/>
    <cellStyle name="Accent2 94 2" xfId="35552" xr:uid="{00000000-0005-0000-0000-0000D78A0000}"/>
    <cellStyle name="Accent2 94 2 2" xfId="35553" xr:uid="{00000000-0005-0000-0000-0000D88A0000}"/>
    <cellStyle name="Accent2 94 3" xfId="35554" xr:uid="{00000000-0005-0000-0000-0000D98A0000}"/>
    <cellStyle name="Accent2 95" xfId="35555" xr:uid="{00000000-0005-0000-0000-0000DA8A0000}"/>
    <cellStyle name="Accent2 95 2" xfId="35556" xr:uid="{00000000-0005-0000-0000-0000DB8A0000}"/>
    <cellStyle name="Accent2 95 2 2" xfId="35557" xr:uid="{00000000-0005-0000-0000-0000DC8A0000}"/>
    <cellStyle name="Accent2 95 3" xfId="35558" xr:uid="{00000000-0005-0000-0000-0000DD8A0000}"/>
    <cellStyle name="Accent2 96" xfId="35559" xr:uid="{00000000-0005-0000-0000-0000DE8A0000}"/>
    <cellStyle name="Accent2 96 2" xfId="35560" xr:uid="{00000000-0005-0000-0000-0000DF8A0000}"/>
    <cellStyle name="Accent2 96 2 2" xfId="35561" xr:uid="{00000000-0005-0000-0000-0000E08A0000}"/>
    <cellStyle name="Accent2 96 3" xfId="35562" xr:uid="{00000000-0005-0000-0000-0000E18A0000}"/>
    <cellStyle name="Accent2 97" xfId="35563" xr:uid="{00000000-0005-0000-0000-0000E28A0000}"/>
    <cellStyle name="Accent2 97 2" xfId="35564" xr:uid="{00000000-0005-0000-0000-0000E38A0000}"/>
    <cellStyle name="Accent2 97 2 2" xfId="35565" xr:uid="{00000000-0005-0000-0000-0000E48A0000}"/>
    <cellStyle name="Accent2 97 3" xfId="35566" xr:uid="{00000000-0005-0000-0000-0000E58A0000}"/>
    <cellStyle name="Accent2 98" xfId="35567" xr:uid="{00000000-0005-0000-0000-0000E68A0000}"/>
    <cellStyle name="Accent2 98 2" xfId="35568" xr:uid="{00000000-0005-0000-0000-0000E78A0000}"/>
    <cellStyle name="Accent2 98 2 2" xfId="35569" xr:uid="{00000000-0005-0000-0000-0000E88A0000}"/>
    <cellStyle name="Accent2 98 3" xfId="35570" xr:uid="{00000000-0005-0000-0000-0000E98A0000}"/>
    <cellStyle name="Accent2 99" xfId="35571" xr:uid="{00000000-0005-0000-0000-0000EA8A0000}"/>
    <cellStyle name="Accent2 99 2" xfId="35572" xr:uid="{00000000-0005-0000-0000-0000EB8A0000}"/>
    <cellStyle name="Accent2 99 2 2" xfId="35573" xr:uid="{00000000-0005-0000-0000-0000EC8A0000}"/>
    <cellStyle name="Accent2 99 3" xfId="35574" xr:uid="{00000000-0005-0000-0000-0000ED8A0000}"/>
    <cellStyle name="Accent3 - 20%" xfId="35575" xr:uid="{00000000-0005-0000-0000-0000EE8A0000}"/>
    <cellStyle name="Accent3 - 20% 2" xfId="35576" xr:uid="{00000000-0005-0000-0000-0000EF8A0000}"/>
    <cellStyle name="Accent3 - 20% 2 2" xfId="35577" xr:uid="{00000000-0005-0000-0000-0000F08A0000}"/>
    <cellStyle name="Accent3 - 20% 3" xfId="35578" xr:uid="{00000000-0005-0000-0000-0000F18A0000}"/>
    <cellStyle name="Accent3 - 20% 3 2" xfId="35579" xr:uid="{00000000-0005-0000-0000-0000F28A0000}"/>
    <cellStyle name="Accent3 - 20% 4" xfId="35580" xr:uid="{00000000-0005-0000-0000-0000F38A0000}"/>
    <cellStyle name="Accent3 - 20% 4 2" xfId="35581" xr:uid="{00000000-0005-0000-0000-0000F48A0000}"/>
    <cellStyle name="Accent3 - 20% 5" xfId="35582" xr:uid="{00000000-0005-0000-0000-0000F58A0000}"/>
    <cellStyle name="Accent3 - 20% 5 2" xfId="35583" xr:uid="{00000000-0005-0000-0000-0000F68A0000}"/>
    <cellStyle name="Accent3 - 20% 6" xfId="35584" xr:uid="{00000000-0005-0000-0000-0000F78A0000}"/>
    <cellStyle name="Accent3 - 40%" xfId="35585" xr:uid="{00000000-0005-0000-0000-0000F88A0000}"/>
    <cellStyle name="Accent3 - 40% 2" xfId="35586" xr:uid="{00000000-0005-0000-0000-0000F98A0000}"/>
    <cellStyle name="Accent3 - 40% 2 2" xfId="35587" xr:uid="{00000000-0005-0000-0000-0000FA8A0000}"/>
    <cellStyle name="Accent3 - 40% 3" xfId="35588" xr:uid="{00000000-0005-0000-0000-0000FB8A0000}"/>
    <cellStyle name="Accent3 - 40% 3 2" xfId="35589" xr:uid="{00000000-0005-0000-0000-0000FC8A0000}"/>
    <cellStyle name="Accent3 - 40% 4" xfId="35590" xr:uid="{00000000-0005-0000-0000-0000FD8A0000}"/>
    <cellStyle name="Accent3 - 40% 4 2" xfId="35591" xr:uid="{00000000-0005-0000-0000-0000FE8A0000}"/>
    <cellStyle name="Accent3 - 40% 5" xfId="35592" xr:uid="{00000000-0005-0000-0000-0000FF8A0000}"/>
    <cellStyle name="Accent3 - 40% 5 2" xfId="35593" xr:uid="{00000000-0005-0000-0000-0000008B0000}"/>
    <cellStyle name="Accent3 - 40% 6" xfId="35594" xr:uid="{00000000-0005-0000-0000-0000018B0000}"/>
    <cellStyle name="Accent3 - 60%" xfId="35595" xr:uid="{00000000-0005-0000-0000-0000028B0000}"/>
    <cellStyle name="Accent3 - 60% 2" xfId="35596" xr:uid="{00000000-0005-0000-0000-0000038B0000}"/>
    <cellStyle name="Accent3 - 60% 2 2" xfId="35597" xr:uid="{00000000-0005-0000-0000-0000048B0000}"/>
    <cellStyle name="Accent3 - 60% 3" xfId="35598" xr:uid="{00000000-0005-0000-0000-0000058B0000}"/>
    <cellStyle name="Accent3 - 60% 3 2" xfId="35599" xr:uid="{00000000-0005-0000-0000-0000068B0000}"/>
    <cellStyle name="Accent3 - 60% 4" xfId="35600" xr:uid="{00000000-0005-0000-0000-0000078B0000}"/>
    <cellStyle name="Accent3 - 60% 4 2" xfId="35601" xr:uid="{00000000-0005-0000-0000-0000088B0000}"/>
    <cellStyle name="Accent3 - 60% 5" xfId="35602" xr:uid="{00000000-0005-0000-0000-0000098B0000}"/>
    <cellStyle name="Accent3 - 60% 5 2" xfId="35603" xr:uid="{00000000-0005-0000-0000-00000A8B0000}"/>
    <cellStyle name="Accent3 - 60% 6" xfId="35604" xr:uid="{00000000-0005-0000-0000-00000B8B0000}"/>
    <cellStyle name="Accent3 10" xfId="35605" xr:uid="{00000000-0005-0000-0000-00000C8B0000}"/>
    <cellStyle name="Accent3 10 2" xfId="35606" xr:uid="{00000000-0005-0000-0000-00000D8B0000}"/>
    <cellStyle name="Accent3 10 2 2" xfId="35607" xr:uid="{00000000-0005-0000-0000-00000E8B0000}"/>
    <cellStyle name="Accent3 10 3" xfId="35608" xr:uid="{00000000-0005-0000-0000-00000F8B0000}"/>
    <cellStyle name="Accent3 100" xfId="35609" xr:uid="{00000000-0005-0000-0000-0000108B0000}"/>
    <cellStyle name="Accent3 100 2" xfId="35610" xr:uid="{00000000-0005-0000-0000-0000118B0000}"/>
    <cellStyle name="Accent3 100 2 2" xfId="35611" xr:uid="{00000000-0005-0000-0000-0000128B0000}"/>
    <cellStyle name="Accent3 100 3" xfId="35612" xr:uid="{00000000-0005-0000-0000-0000138B0000}"/>
    <cellStyle name="Accent3 101" xfId="35613" xr:uid="{00000000-0005-0000-0000-0000148B0000}"/>
    <cellStyle name="Accent3 101 2" xfId="35614" xr:uid="{00000000-0005-0000-0000-0000158B0000}"/>
    <cellStyle name="Accent3 101 2 2" xfId="35615" xr:uid="{00000000-0005-0000-0000-0000168B0000}"/>
    <cellStyle name="Accent3 101 3" xfId="35616" xr:uid="{00000000-0005-0000-0000-0000178B0000}"/>
    <cellStyle name="Accent3 102" xfId="35617" xr:uid="{00000000-0005-0000-0000-0000188B0000}"/>
    <cellStyle name="Accent3 102 2" xfId="35618" xr:uid="{00000000-0005-0000-0000-0000198B0000}"/>
    <cellStyle name="Accent3 102 2 2" xfId="35619" xr:uid="{00000000-0005-0000-0000-00001A8B0000}"/>
    <cellStyle name="Accent3 102 3" xfId="35620" xr:uid="{00000000-0005-0000-0000-00001B8B0000}"/>
    <cellStyle name="Accent3 103" xfId="35621" xr:uid="{00000000-0005-0000-0000-00001C8B0000}"/>
    <cellStyle name="Accent3 103 2" xfId="35622" xr:uid="{00000000-0005-0000-0000-00001D8B0000}"/>
    <cellStyle name="Accent3 103 2 2" xfId="35623" xr:uid="{00000000-0005-0000-0000-00001E8B0000}"/>
    <cellStyle name="Accent3 103 3" xfId="35624" xr:uid="{00000000-0005-0000-0000-00001F8B0000}"/>
    <cellStyle name="Accent3 104" xfId="35625" xr:uid="{00000000-0005-0000-0000-0000208B0000}"/>
    <cellStyle name="Accent3 104 2" xfId="35626" xr:uid="{00000000-0005-0000-0000-0000218B0000}"/>
    <cellStyle name="Accent3 104 2 2" xfId="35627" xr:uid="{00000000-0005-0000-0000-0000228B0000}"/>
    <cellStyle name="Accent3 104 3" xfId="35628" xr:uid="{00000000-0005-0000-0000-0000238B0000}"/>
    <cellStyle name="Accent3 105" xfId="35629" xr:uid="{00000000-0005-0000-0000-0000248B0000}"/>
    <cellStyle name="Accent3 105 2" xfId="35630" xr:uid="{00000000-0005-0000-0000-0000258B0000}"/>
    <cellStyle name="Accent3 105 2 2" xfId="35631" xr:uid="{00000000-0005-0000-0000-0000268B0000}"/>
    <cellStyle name="Accent3 105 3" xfId="35632" xr:uid="{00000000-0005-0000-0000-0000278B0000}"/>
    <cellStyle name="Accent3 106" xfId="35633" xr:uid="{00000000-0005-0000-0000-0000288B0000}"/>
    <cellStyle name="Accent3 106 2" xfId="35634" xr:uid="{00000000-0005-0000-0000-0000298B0000}"/>
    <cellStyle name="Accent3 106 2 2" xfId="35635" xr:uid="{00000000-0005-0000-0000-00002A8B0000}"/>
    <cellStyle name="Accent3 106 3" xfId="35636" xr:uid="{00000000-0005-0000-0000-00002B8B0000}"/>
    <cellStyle name="Accent3 107" xfId="35637" xr:uid="{00000000-0005-0000-0000-00002C8B0000}"/>
    <cellStyle name="Accent3 107 2" xfId="35638" xr:uid="{00000000-0005-0000-0000-00002D8B0000}"/>
    <cellStyle name="Accent3 107 2 2" xfId="35639" xr:uid="{00000000-0005-0000-0000-00002E8B0000}"/>
    <cellStyle name="Accent3 107 3" xfId="35640" xr:uid="{00000000-0005-0000-0000-00002F8B0000}"/>
    <cellStyle name="Accent3 108" xfId="35641" xr:uid="{00000000-0005-0000-0000-0000308B0000}"/>
    <cellStyle name="Accent3 108 2" xfId="35642" xr:uid="{00000000-0005-0000-0000-0000318B0000}"/>
    <cellStyle name="Accent3 108 2 2" xfId="35643" xr:uid="{00000000-0005-0000-0000-0000328B0000}"/>
    <cellStyle name="Accent3 108 3" xfId="35644" xr:uid="{00000000-0005-0000-0000-0000338B0000}"/>
    <cellStyle name="Accent3 109" xfId="35645" xr:uid="{00000000-0005-0000-0000-0000348B0000}"/>
    <cellStyle name="Accent3 109 2" xfId="35646" xr:uid="{00000000-0005-0000-0000-0000358B0000}"/>
    <cellStyle name="Accent3 109 2 2" xfId="35647" xr:uid="{00000000-0005-0000-0000-0000368B0000}"/>
    <cellStyle name="Accent3 109 3" xfId="35648" xr:uid="{00000000-0005-0000-0000-0000378B0000}"/>
    <cellStyle name="Accent3 11" xfId="35649" xr:uid="{00000000-0005-0000-0000-0000388B0000}"/>
    <cellStyle name="Accent3 11 2" xfId="35650" xr:uid="{00000000-0005-0000-0000-0000398B0000}"/>
    <cellStyle name="Accent3 11 2 2" xfId="35651" xr:uid="{00000000-0005-0000-0000-00003A8B0000}"/>
    <cellStyle name="Accent3 11 3" xfId="35652" xr:uid="{00000000-0005-0000-0000-00003B8B0000}"/>
    <cellStyle name="Accent3 110" xfId="35653" xr:uid="{00000000-0005-0000-0000-00003C8B0000}"/>
    <cellStyle name="Accent3 110 2" xfId="35654" xr:uid="{00000000-0005-0000-0000-00003D8B0000}"/>
    <cellStyle name="Accent3 110 2 2" xfId="35655" xr:uid="{00000000-0005-0000-0000-00003E8B0000}"/>
    <cellStyle name="Accent3 110 3" xfId="35656" xr:uid="{00000000-0005-0000-0000-00003F8B0000}"/>
    <cellStyle name="Accent3 111" xfId="35657" xr:uid="{00000000-0005-0000-0000-0000408B0000}"/>
    <cellStyle name="Accent3 111 2" xfId="35658" xr:uid="{00000000-0005-0000-0000-0000418B0000}"/>
    <cellStyle name="Accent3 111 2 2" xfId="35659" xr:uid="{00000000-0005-0000-0000-0000428B0000}"/>
    <cellStyle name="Accent3 111 3" xfId="35660" xr:uid="{00000000-0005-0000-0000-0000438B0000}"/>
    <cellStyle name="Accent3 112" xfId="35661" xr:uid="{00000000-0005-0000-0000-0000448B0000}"/>
    <cellStyle name="Accent3 112 2" xfId="35662" xr:uid="{00000000-0005-0000-0000-0000458B0000}"/>
    <cellStyle name="Accent3 112 2 2" xfId="35663" xr:uid="{00000000-0005-0000-0000-0000468B0000}"/>
    <cellStyle name="Accent3 112 3" xfId="35664" xr:uid="{00000000-0005-0000-0000-0000478B0000}"/>
    <cellStyle name="Accent3 113" xfId="35665" xr:uid="{00000000-0005-0000-0000-0000488B0000}"/>
    <cellStyle name="Accent3 113 2" xfId="35666" xr:uid="{00000000-0005-0000-0000-0000498B0000}"/>
    <cellStyle name="Accent3 113 2 2" xfId="35667" xr:uid="{00000000-0005-0000-0000-00004A8B0000}"/>
    <cellStyle name="Accent3 113 3" xfId="35668" xr:uid="{00000000-0005-0000-0000-00004B8B0000}"/>
    <cellStyle name="Accent3 114" xfId="35669" xr:uid="{00000000-0005-0000-0000-00004C8B0000}"/>
    <cellStyle name="Accent3 114 2" xfId="35670" xr:uid="{00000000-0005-0000-0000-00004D8B0000}"/>
    <cellStyle name="Accent3 114 2 2" xfId="35671" xr:uid="{00000000-0005-0000-0000-00004E8B0000}"/>
    <cellStyle name="Accent3 114 3" xfId="35672" xr:uid="{00000000-0005-0000-0000-00004F8B0000}"/>
    <cellStyle name="Accent3 115" xfId="35673" xr:uid="{00000000-0005-0000-0000-0000508B0000}"/>
    <cellStyle name="Accent3 115 2" xfId="35674" xr:uid="{00000000-0005-0000-0000-0000518B0000}"/>
    <cellStyle name="Accent3 115 2 2" xfId="35675" xr:uid="{00000000-0005-0000-0000-0000528B0000}"/>
    <cellStyle name="Accent3 115 3" xfId="35676" xr:uid="{00000000-0005-0000-0000-0000538B0000}"/>
    <cellStyle name="Accent3 116" xfId="35677" xr:uid="{00000000-0005-0000-0000-0000548B0000}"/>
    <cellStyle name="Accent3 116 2" xfId="35678" xr:uid="{00000000-0005-0000-0000-0000558B0000}"/>
    <cellStyle name="Accent3 116 2 2" xfId="35679" xr:uid="{00000000-0005-0000-0000-0000568B0000}"/>
    <cellStyle name="Accent3 116 3" xfId="35680" xr:uid="{00000000-0005-0000-0000-0000578B0000}"/>
    <cellStyle name="Accent3 117" xfId="35681" xr:uid="{00000000-0005-0000-0000-0000588B0000}"/>
    <cellStyle name="Accent3 117 2" xfId="35682" xr:uid="{00000000-0005-0000-0000-0000598B0000}"/>
    <cellStyle name="Accent3 117 2 2" xfId="35683" xr:uid="{00000000-0005-0000-0000-00005A8B0000}"/>
    <cellStyle name="Accent3 117 3" xfId="35684" xr:uid="{00000000-0005-0000-0000-00005B8B0000}"/>
    <cellStyle name="Accent3 118" xfId="35685" xr:uid="{00000000-0005-0000-0000-00005C8B0000}"/>
    <cellStyle name="Accent3 118 2" xfId="35686" xr:uid="{00000000-0005-0000-0000-00005D8B0000}"/>
    <cellStyle name="Accent3 118 2 2" xfId="35687" xr:uid="{00000000-0005-0000-0000-00005E8B0000}"/>
    <cellStyle name="Accent3 118 3" xfId="35688" xr:uid="{00000000-0005-0000-0000-00005F8B0000}"/>
    <cellStyle name="Accent3 119" xfId="35689" xr:uid="{00000000-0005-0000-0000-0000608B0000}"/>
    <cellStyle name="Accent3 119 2" xfId="35690" xr:uid="{00000000-0005-0000-0000-0000618B0000}"/>
    <cellStyle name="Accent3 119 2 2" xfId="35691" xr:uid="{00000000-0005-0000-0000-0000628B0000}"/>
    <cellStyle name="Accent3 119 3" xfId="35692" xr:uid="{00000000-0005-0000-0000-0000638B0000}"/>
    <cellStyle name="Accent3 12" xfId="35693" xr:uid="{00000000-0005-0000-0000-0000648B0000}"/>
    <cellStyle name="Accent3 12 2" xfId="35694" xr:uid="{00000000-0005-0000-0000-0000658B0000}"/>
    <cellStyle name="Accent3 12 2 2" xfId="35695" xr:uid="{00000000-0005-0000-0000-0000668B0000}"/>
    <cellStyle name="Accent3 12 3" xfId="35696" xr:uid="{00000000-0005-0000-0000-0000678B0000}"/>
    <cellStyle name="Accent3 120" xfId="35697" xr:uid="{00000000-0005-0000-0000-0000688B0000}"/>
    <cellStyle name="Accent3 120 2" xfId="35698" xr:uid="{00000000-0005-0000-0000-0000698B0000}"/>
    <cellStyle name="Accent3 120 2 2" xfId="35699" xr:uid="{00000000-0005-0000-0000-00006A8B0000}"/>
    <cellStyle name="Accent3 120 3" xfId="35700" xr:uid="{00000000-0005-0000-0000-00006B8B0000}"/>
    <cellStyle name="Accent3 121" xfId="35701" xr:uid="{00000000-0005-0000-0000-00006C8B0000}"/>
    <cellStyle name="Accent3 121 2" xfId="35702" xr:uid="{00000000-0005-0000-0000-00006D8B0000}"/>
    <cellStyle name="Accent3 121 2 2" xfId="35703" xr:uid="{00000000-0005-0000-0000-00006E8B0000}"/>
    <cellStyle name="Accent3 121 3" xfId="35704" xr:uid="{00000000-0005-0000-0000-00006F8B0000}"/>
    <cellStyle name="Accent3 122" xfId="35705" xr:uid="{00000000-0005-0000-0000-0000708B0000}"/>
    <cellStyle name="Accent3 122 2" xfId="35706" xr:uid="{00000000-0005-0000-0000-0000718B0000}"/>
    <cellStyle name="Accent3 122 2 2" xfId="35707" xr:uid="{00000000-0005-0000-0000-0000728B0000}"/>
    <cellStyle name="Accent3 122 3" xfId="35708" xr:uid="{00000000-0005-0000-0000-0000738B0000}"/>
    <cellStyle name="Accent3 123" xfId="35709" xr:uid="{00000000-0005-0000-0000-0000748B0000}"/>
    <cellStyle name="Accent3 123 2" xfId="35710" xr:uid="{00000000-0005-0000-0000-0000758B0000}"/>
    <cellStyle name="Accent3 123 2 2" xfId="35711" xr:uid="{00000000-0005-0000-0000-0000768B0000}"/>
    <cellStyle name="Accent3 123 3" xfId="35712" xr:uid="{00000000-0005-0000-0000-0000778B0000}"/>
    <cellStyle name="Accent3 124" xfId="35713" xr:uid="{00000000-0005-0000-0000-0000788B0000}"/>
    <cellStyle name="Accent3 124 2" xfId="35714" xr:uid="{00000000-0005-0000-0000-0000798B0000}"/>
    <cellStyle name="Accent3 124 2 2" xfId="35715" xr:uid="{00000000-0005-0000-0000-00007A8B0000}"/>
    <cellStyle name="Accent3 124 3" xfId="35716" xr:uid="{00000000-0005-0000-0000-00007B8B0000}"/>
    <cellStyle name="Accent3 125" xfId="35717" xr:uid="{00000000-0005-0000-0000-00007C8B0000}"/>
    <cellStyle name="Accent3 125 2" xfId="35718" xr:uid="{00000000-0005-0000-0000-00007D8B0000}"/>
    <cellStyle name="Accent3 125 2 2" xfId="35719" xr:uid="{00000000-0005-0000-0000-00007E8B0000}"/>
    <cellStyle name="Accent3 125 3" xfId="35720" xr:uid="{00000000-0005-0000-0000-00007F8B0000}"/>
    <cellStyle name="Accent3 126" xfId="35721" xr:uid="{00000000-0005-0000-0000-0000808B0000}"/>
    <cellStyle name="Accent3 126 2" xfId="35722" xr:uid="{00000000-0005-0000-0000-0000818B0000}"/>
    <cellStyle name="Accent3 126 2 2" xfId="35723" xr:uid="{00000000-0005-0000-0000-0000828B0000}"/>
    <cellStyle name="Accent3 126 3" xfId="35724" xr:uid="{00000000-0005-0000-0000-0000838B0000}"/>
    <cellStyle name="Accent3 127" xfId="35725" xr:uid="{00000000-0005-0000-0000-0000848B0000}"/>
    <cellStyle name="Accent3 127 2" xfId="35726" xr:uid="{00000000-0005-0000-0000-0000858B0000}"/>
    <cellStyle name="Accent3 127 2 2" xfId="35727" xr:uid="{00000000-0005-0000-0000-0000868B0000}"/>
    <cellStyle name="Accent3 127 3" xfId="35728" xr:uid="{00000000-0005-0000-0000-0000878B0000}"/>
    <cellStyle name="Accent3 128" xfId="35729" xr:uid="{00000000-0005-0000-0000-0000888B0000}"/>
    <cellStyle name="Accent3 128 2" xfId="35730" xr:uid="{00000000-0005-0000-0000-0000898B0000}"/>
    <cellStyle name="Accent3 128 2 2" xfId="35731" xr:uid="{00000000-0005-0000-0000-00008A8B0000}"/>
    <cellStyle name="Accent3 128 3" xfId="35732" xr:uid="{00000000-0005-0000-0000-00008B8B0000}"/>
    <cellStyle name="Accent3 129" xfId="35733" xr:uid="{00000000-0005-0000-0000-00008C8B0000}"/>
    <cellStyle name="Accent3 129 2" xfId="35734" xr:uid="{00000000-0005-0000-0000-00008D8B0000}"/>
    <cellStyle name="Accent3 129 2 2" xfId="35735" xr:uid="{00000000-0005-0000-0000-00008E8B0000}"/>
    <cellStyle name="Accent3 129 3" xfId="35736" xr:uid="{00000000-0005-0000-0000-00008F8B0000}"/>
    <cellStyle name="Accent3 13" xfId="35737" xr:uid="{00000000-0005-0000-0000-0000908B0000}"/>
    <cellStyle name="Accent3 13 2" xfId="35738" xr:uid="{00000000-0005-0000-0000-0000918B0000}"/>
    <cellStyle name="Accent3 13 2 2" xfId="35739" xr:uid="{00000000-0005-0000-0000-0000928B0000}"/>
    <cellStyle name="Accent3 13 3" xfId="35740" xr:uid="{00000000-0005-0000-0000-0000938B0000}"/>
    <cellStyle name="Accent3 130" xfId="35741" xr:uid="{00000000-0005-0000-0000-0000948B0000}"/>
    <cellStyle name="Accent3 130 2" xfId="35742" xr:uid="{00000000-0005-0000-0000-0000958B0000}"/>
    <cellStyle name="Accent3 130 2 2" xfId="35743" xr:uid="{00000000-0005-0000-0000-0000968B0000}"/>
    <cellStyle name="Accent3 130 3" xfId="35744" xr:uid="{00000000-0005-0000-0000-0000978B0000}"/>
    <cellStyle name="Accent3 131" xfId="35745" xr:uid="{00000000-0005-0000-0000-0000988B0000}"/>
    <cellStyle name="Accent3 131 2" xfId="35746" xr:uid="{00000000-0005-0000-0000-0000998B0000}"/>
    <cellStyle name="Accent3 131 2 2" xfId="35747" xr:uid="{00000000-0005-0000-0000-00009A8B0000}"/>
    <cellStyle name="Accent3 131 3" xfId="35748" xr:uid="{00000000-0005-0000-0000-00009B8B0000}"/>
    <cellStyle name="Accent3 132" xfId="35749" xr:uid="{00000000-0005-0000-0000-00009C8B0000}"/>
    <cellStyle name="Accent3 132 2" xfId="35750" xr:uid="{00000000-0005-0000-0000-00009D8B0000}"/>
    <cellStyle name="Accent3 132 2 2" xfId="35751" xr:uid="{00000000-0005-0000-0000-00009E8B0000}"/>
    <cellStyle name="Accent3 132 3" xfId="35752" xr:uid="{00000000-0005-0000-0000-00009F8B0000}"/>
    <cellStyle name="Accent3 133" xfId="35753" xr:uid="{00000000-0005-0000-0000-0000A08B0000}"/>
    <cellStyle name="Accent3 133 2" xfId="35754" xr:uid="{00000000-0005-0000-0000-0000A18B0000}"/>
    <cellStyle name="Accent3 133 2 2" xfId="35755" xr:uid="{00000000-0005-0000-0000-0000A28B0000}"/>
    <cellStyle name="Accent3 133 3" xfId="35756" xr:uid="{00000000-0005-0000-0000-0000A38B0000}"/>
    <cellStyle name="Accent3 134" xfId="35757" xr:uid="{00000000-0005-0000-0000-0000A48B0000}"/>
    <cellStyle name="Accent3 134 2" xfId="35758" xr:uid="{00000000-0005-0000-0000-0000A58B0000}"/>
    <cellStyle name="Accent3 134 2 2" xfId="35759" xr:uid="{00000000-0005-0000-0000-0000A68B0000}"/>
    <cellStyle name="Accent3 134 3" xfId="35760" xr:uid="{00000000-0005-0000-0000-0000A78B0000}"/>
    <cellStyle name="Accent3 135" xfId="35761" xr:uid="{00000000-0005-0000-0000-0000A88B0000}"/>
    <cellStyle name="Accent3 135 2" xfId="35762" xr:uid="{00000000-0005-0000-0000-0000A98B0000}"/>
    <cellStyle name="Accent3 135 2 2" xfId="35763" xr:uid="{00000000-0005-0000-0000-0000AA8B0000}"/>
    <cellStyle name="Accent3 135 3" xfId="35764" xr:uid="{00000000-0005-0000-0000-0000AB8B0000}"/>
    <cellStyle name="Accent3 136" xfId="35765" xr:uid="{00000000-0005-0000-0000-0000AC8B0000}"/>
    <cellStyle name="Accent3 136 2" xfId="35766" xr:uid="{00000000-0005-0000-0000-0000AD8B0000}"/>
    <cellStyle name="Accent3 136 2 2" xfId="35767" xr:uid="{00000000-0005-0000-0000-0000AE8B0000}"/>
    <cellStyle name="Accent3 136 3" xfId="35768" xr:uid="{00000000-0005-0000-0000-0000AF8B0000}"/>
    <cellStyle name="Accent3 137" xfId="35769" xr:uid="{00000000-0005-0000-0000-0000B08B0000}"/>
    <cellStyle name="Accent3 137 2" xfId="35770" xr:uid="{00000000-0005-0000-0000-0000B18B0000}"/>
    <cellStyle name="Accent3 137 2 2" xfId="35771" xr:uid="{00000000-0005-0000-0000-0000B28B0000}"/>
    <cellStyle name="Accent3 137 3" xfId="35772" xr:uid="{00000000-0005-0000-0000-0000B38B0000}"/>
    <cellStyle name="Accent3 138" xfId="35773" xr:uid="{00000000-0005-0000-0000-0000B48B0000}"/>
    <cellStyle name="Accent3 138 2" xfId="35774" xr:uid="{00000000-0005-0000-0000-0000B58B0000}"/>
    <cellStyle name="Accent3 138 2 2" xfId="35775" xr:uid="{00000000-0005-0000-0000-0000B68B0000}"/>
    <cellStyle name="Accent3 138 3" xfId="35776" xr:uid="{00000000-0005-0000-0000-0000B78B0000}"/>
    <cellStyle name="Accent3 139" xfId="35777" xr:uid="{00000000-0005-0000-0000-0000B88B0000}"/>
    <cellStyle name="Accent3 139 2" xfId="35778" xr:uid="{00000000-0005-0000-0000-0000B98B0000}"/>
    <cellStyle name="Accent3 139 2 2" xfId="35779" xr:uid="{00000000-0005-0000-0000-0000BA8B0000}"/>
    <cellStyle name="Accent3 139 3" xfId="35780" xr:uid="{00000000-0005-0000-0000-0000BB8B0000}"/>
    <cellStyle name="Accent3 14" xfId="35781" xr:uid="{00000000-0005-0000-0000-0000BC8B0000}"/>
    <cellStyle name="Accent3 14 2" xfId="35782" xr:uid="{00000000-0005-0000-0000-0000BD8B0000}"/>
    <cellStyle name="Accent3 14 2 2" xfId="35783" xr:uid="{00000000-0005-0000-0000-0000BE8B0000}"/>
    <cellStyle name="Accent3 14 3" xfId="35784" xr:uid="{00000000-0005-0000-0000-0000BF8B0000}"/>
    <cellStyle name="Accent3 140" xfId="35785" xr:uid="{00000000-0005-0000-0000-0000C08B0000}"/>
    <cellStyle name="Accent3 140 2" xfId="35786" xr:uid="{00000000-0005-0000-0000-0000C18B0000}"/>
    <cellStyle name="Accent3 140 2 2" xfId="35787" xr:uid="{00000000-0005-0000-0000-0000C28B0000}"/>
    <cellStyle name="Accent3 140 3" xfId="35788" xr:uid="{00000000-0005-0000-0000-0000C38B0000}"/>
    <cellStyle name="Accent3 141" xfId="35789" xr:uid="{00000000-0005-0000-0000-0000C48B0000}"/>
    <cellStyle name="Accent3 141 2" xfId="35790" xr:uid="{00000000-0005-0000-0000-0000C58B0000}"/>
    <cellStyle name="Accent3 141 2 2" xfId="35791" xr:uid="{00000000-0005-0000-0000-0000C68B0000}"/>
    <cellStyle name="Accent3 141 3" xfId="35792" xr:uid="{00000000-0005-0000-0000-0000C78B0000}"/>
    <cellStyle name="Accent3 142" xfId="35793" xr:uid="{00000000-0005-0000-0000-0000C88B0000}"/>
    <cellStyle name="Accent3 142 2" xfId="35794" xr:uid="{00000000-0005-0000-0000-0000C98B0000}"/>
    <cellStyle name="Accent3 142 2 2" xfId="35795" xr:uid="{00000000-0005-0000-0000-0000CA8B0000}"/>
    <cellStyle name="Accent3 142 3" xfId="35796" xr:uid="{00000000-0005-0000-0000-0000CB8B0000}"/>
    <cellStyle name="Accent3 143" xfId="35797" xr:uid="{00000000-0005-0000-0000-0000CC8B0000}"/>
    <cellStyle name="Accent3 143 2" xfId="35798" xr:uid="{00000000-0005-0000-0000-0000CD8B0000}"/>
    <cellStyle name="Accent3 143 2 2" xfId="35799" xr:uid="{00000000-0005-0000-0000-0000CE8B0000}"/>
    <cellStyle name="Accent3 143 3" xfId="35800" xr:uid="{00000000-0005-0000-0000-0000CF8B0000}"/>
    <cellStyle name="Accent3 144" xfId="35801" xr:uid="{00000000-0005-0000-0000-0000D08B0000}"/>
    <cellStyle name="Accent3 144 2" xfId="35802" xr:uid="{00000000-0005-0000-0000-0000D18B0000}"/>
    <cellStyle name="Accent3 144 2 2" xfId="35803" xr:uid="{00000000-0005-0000-0000-0000D28B0000}"/>
    <cellStyle name="Accent3 144 3" xfId="35804" xr:uid="{00000000-0005-0000-0000-0000D38B0000}"/>
    <cellStyle name="Accent3 145" xfId="35805" xr:uid="{00000000-0005-0000-0000-0000D48B0000}"/>
    <cellStyle name="Accent3 145 2" xfId="35806" xr:uid="{00000000-0005-0000-0000-0000D58B0000}"/>
    <cellStyle name="Accent3 145 2 2" xfId="35807" xr:uid="{00000000-0005-0000-0000-0000D68B0000}"/>
    <cellStyle name="Accent3 145 3" xfId="35808" xr:uid="{00000000-0005-0000-0000-0000D78B0000}"/>
    <cellStyle name="Accent3 146" xfId="35809" xr:uid="{00000000-0005-0000-0000-0000D88B0000}"/>
    <cellStyle name="Accent3 146 2" xfId="35810" xr:uid="{00000000-0005-0000-0000-0000D98B0000}"/>
    <cellStyle name="Accent3 146 2 2" xfId="35811" xr:uid="{00000000-0005-0000-0000-0000DA8B0000}"/>
    <cellStyle name="Accent3 146 3" xfId="35812" xr:uid="{00000000-0005-0000-0000-0000DB8B0000}"/>
    <cellStyle name="Accent3 147" xfId="35813" xr:uid="{00000000-0005-0000-0000-0000DC8B0000}"/>
    <cellStyle name="Accent3 147 2" xfId="35814" xr:uid="{00000000-0005-0000-0000-0000DD8B0000}"/>
    <cellStyle name="Accent3 147 2 2" xfId="35815" xr:uid="{00000000-0005-0000-0000-0000DE8B0000}"/>
    <cellStyle name="Accent3 147 3" xfId="35816" xr:uid="{00000000-0005-0000-0000-0000DF8B0000}"/>
    <cellStyle name="Accent3 148" xfId="35817" xr:uid="{00000000-0005-0000-0000-0000E08B0000}"/>
    <cellStyle name="Accent3 148 2" xfId="35818" xr:uid="{00000000-0005-0000-0000-0000E18B0000}"/>
    <cellStyle name="Accent3 148 2 2" xfId="35819" xr:uid="{00000000-0005-0000-0000-0000E28B0000}"/>
    <cellStyle name="Accent3 148 3" xfId="35820" xr:uid="{00000000-0005-0000-0000-0000E38B0000}"/>
    <cellStyle name="Accent3 149" xfId="35821" xr:uid="{00000000-0005-0000-0000-0000E48B0000}"/>
    <cellStyle name="Accent3 149 2" xfId="35822" xr:uid="{00000000-0005-0000-0000-0000E58B0000}"/>
    <cellStyle name="Accent3 149 2 2" xfId="35823" xr:uid="{00000000-0005-0000-0000-0000E68B0000}"/>
    <cellStyle name="Accent3 149 3" xfId="35824" xr:uid="{00000000-0005-0000-0000-0000E78B0000}"/>
    <cellStyle name="Accent3 15" xfId="35825" xr:uid="{00000000-0005-0000-0000-0000E88B0000}"/>
    <cellStyle name="Accent3 15 2" xfId="35826" xr:uid="{00000000-0005-0000-0000-0000E98B0000}"/>
    <cellStyle name="Accent3 15 2 2" xfId="35827" xr:uid="{00000000-0005-0000-0000-0000EA8B0000}"/>
    <cellStyle name="Accent3 15 3" xfId="35828" xr:uid="{00000000-0005-0000-0000-0000EB8B0000}"/>
    <cellStyle name="Accent3 150" xfId="35829" xr:uid="{00000000-0005-0000-0000-0000EC8B0000}"/>
    <cellStyle name="Accent3 150 2" xfId="35830" xr:uid="{00000000-0005-0000-0000-0000ED8B0000}"/>
    <cellStyle name="Accent3 150 2 2" xfId="35831" xr:uid="{00000000-0005-0000-0000-0000EE8B0000}"/>
    <cellStyle name="Accent3 150 3" xfId="35832" xr:uid="{00000000-0005-0000-0000-0000EF8B0000}"/>
    <cellStyle name="Accent3 151" xfId="35833" xr:uid="{00000000-0005-0000-0000-0000F08B0000}"/>
    <cellStyle name="Accent3 151 2" xfId="35834" xr:uid="{00000000-0005-0000-0000-0000F18B0000}"/>
    <cellStyle name="Accent3 151 2 2" xfId="35835" xr:uid="{00000000-0005-0000-0000-0000F28B0000}"/>
    <cellStyle name="Accent3 151 3" xfId="35836" xr:uid="{00000000-0005-0000-0000-0000F38B0000}"/>
    <cellStyle name="Accent3 152" xfId="35837" xr:uid="{00000000-0005-0000-0000-0000F48B0000}"/>
    <cellStyle name="Accent3 152 2" xfId="35838" xr:uid="{00000000-0005-0000-0000-0000F58B0000}"/>
    <cellStyle name="Accent3 152 2 2" xfId="35839" xr:uid="{00000000-0005-0000-0000-0000F68B0000}"/>
    <cellStyle name="Accent3 152 3" xfId="35840" xr:uid="{00000000-0005-0000-0000-0000F78B0000}"/>
    <cellStyle name="Accent3 153" xfId="35841" xr:uid="{00000000-0005-0000-0000-0000F88B0000}"/>
    <cellStyle name="Accent3 153 2" xfId="35842" xr:uid="{00000000-0005-0000-0000-0000F98B0000}"/>
    <cellStyle name="Accent3 153 2 2" xfId="35843" xr:uid="{00000000-0005-0000-0000-0000FA8B0000}"/>
    <cellStyle name="Accent3 153 3" xfId="35844" xr:uid="{00000000-0005-0000-0000-0000FB8B0000}"/>
    <cellStyle name="Accent3 154" xfId="35845" xr:uid="{00000000-0005-0000-0000-0000FC8B0000}"/>
    <cellStyle name="Accent3 154 2" xfId="35846" xr:uid="{00000000-0005-0000-0000-0000FD8B0000}"/>
    <cellStyle name="Accent3 154 2 2" xfId="35847" xr:uid="{00000000-0005-0000-0000-0000FE8B0000}"/>
    <cellStyle name="Accent3 154 3" xfId="35848" xr:uid="{00000000-0005-0000-0000-0000FF8B0000}"/>
    <cellStyle name="Accent3 155" xfId="35849" xr:uid="{00000000-0005-0000-0000-0000008C0000}"/>
    <cellStyle name="Accent3 155 2" xfId="35850" xr:uid="{00000000-0005-0000-0000-0000018C0000}"/>
    <cellStyle name="Accent3 155 2 2" xfId="35851" xr:uid="{00000000-0005-0000-0000-0000028C0000}"/>
    <cellStyle name="Accent3 155 3" xfId="35852" xr:uid="{00000000-0005-0000-0000-0000038C0000}"/>
    <cellStyle name="Accent3 156" xfId="35853" xr:uid="{00000000-0005-0000-0000-0000048C0000}"/>
    <cellStyle name="Accent3 156 2" xfId="35854" xr:uid="{00000000-0005-0000-0000-0000058C0000}"/>
    <cellStyle name="Accent3 156 2 2" xfId="35855" xr:uid="{00000000-0005-0000-0000-0000068C0000}"/>
    <cellStyle name="Accent3 156 3" xfId="35856" xr:uid="{00000000-0005-0000-0000-0000078C0000}"/>
    <cellStyle name="Accent3 157" xfId="35857" xr:uid="{00000000-0005-0000-0000-0000088C0000}"/>
    <cellStyle name="Accent3 157 2" xfId="35858" xr:uid="{00000000-0005-0000-0000-0000098C0000}"/>
    <cellStyle name="Accent3 157 2 2" xfId="35859" xr:uid="{00000000-0005-0000-0000-00000A8C0000}"/>
    <cellStyle name="Accent3 157 3" xfId="35860" xr:uid="{00000000-0005-0000-0000-00000B8C0000}"/>
    <cellStyle name="Accent3 158" xfId="35861" xr:uid="{00000000-0005-0000-0000-00000C8C0000}"/>
    <cellStyle name="Accent3 158 2" xfId="35862" xr:uid="{00000000-0005-0000-0000-00000D8C0000}"/>
    <cellStyle name="Accent3 158 2 2" xfId="35863" xr:uid="{00000000-0005-0000-0000-00000E8C0000}"/>
    <cellStyle name="Accent3 158 3" xfId="35864" xr:uid="{00000000-0005-0000-0000-00000F8C0000}"/>
    <cellStyle name="Accent3 159" xfId="35865" xr:uid="{00000000-0005-0000-0000-0000108C0000}"/>
    <cellStyle name="Accent3 159 2" xfId="35866" xr:uid="{00000000-0005-0000-0000-0000118C0000}"/>
    <cellStyle name="Accent3 16" xfId="35867" xr:uid="{00000000-0005-0000-0000-0000128C0000}"/>
    <cellStyle name="Accent3 16 2" xfId="35868" xr:uid="{00000000-0005-0000-0000-0000138C0000}"/>
    <cellStyle name="Accent3 16 2 2" xfId="35869" xr:uid="{00000000-0005-0000-0000-0000148C0000}"/>
    <cellStyle name="Accent3 16 3" xfId="35870" xr:uid="{00000000-0005-0000-0000-0000158C0000}"/>
    <cellStyle name="Accent3 160" xfId="35871" xr:uid="{00000000-0005-0000-0000-0000168C0000}"/>
    <cellStyle name="Accent3 160 2" xfId="35872" xr:uid="{00000000-0005-0000-0000-0000178C0000}"/>
    <cellStyle name="Accent3 161" xfId="35873" xr:uid="{00000000-0005-0000-0000-0000188C0000}"/>
    <cellStyle name="Accent3 161 2" xfId="35874" xr:uid="{00000000-0005-0000-0000-0000198C0000}"/>
    <cellStyle name="Accent3 162" xfId="35875" xr:uid="{00000000-0005-0000-0000-00001A8C0000}"/>
    <cellStyle name="Accent3 162 2" xfId="35876" xr:uid="{00000000-0005-0000-0000-00001B8C0000}"/>
    <cellStyle name="Accent3 163" xfId="35877" xr:uid="{00000000-0005-0000-0000-00001C8C0000}"/>
    <cellStyle name="Accent3 163 2" xfId="35878" xr:uid="{00000000-0005-0000-0000-00001D8C0000}"/>
    <cellStyle name="Accent3 164" xfId="35879" xr:uid="{00000000-0005-0000-0000-00001E8C0000}"/>
    <cellStyle name="Accent3 164 2" xfId="35880" xr:uid="{00000000-0005-0000-0000-00001F8C0000}"/>
    <cellStyle name="Accent3 165" xfId="35881" xr:uid="{00000000-0005-0000-0000-0000208C0000}"/>
    <cellStyle name="Accent3 165 2" xfId="35882" xr:uid="{00000000-0005-0000-0000-0000218C0000}"/>
    <cellStyle name="Accent3 166" xfId="35883" xr:uid="{00000000-0005-0000-0000-0000228C0000}"/>
    <cellStyle name="Accent3 166 2" xfId="35884" xr:uid="{00000000-0005-0000-0000-0000238C0000}"/>
    <cellStyle name="Accent3 167" xfId="35885" xr:uid="{00000000-0005-0000-0000-0000248C0000}"/>
    <cellStyle name="Accent3 167 2" xfId="35886" xr:uid="{00000000-0005-0000-0000-0000258C0000}"/>
    <cellStyle name="Accent3 168" xfId="35887" xr:uid="{00000000-0005-0000-0000-0000268C0000}"/>
    <cellStyle name="Accent3 168 2" xfId="35888" xr:uid="{00000000-0005-0000-0000-0000278C0000}"/>
    <cellStyle name="Accent3 169" xfId="35889" xr:uid="{00000000-0005-0000-0000-0000288C0000}"/>
    <cellStyle name="Accent3 169 2" xfId="35890" xr:uid="{00000000-0005-0000-0000-0000298C0000}"/>
    <cellStyle name="Accent3 17" xfId="35891" xr:uid="{00000000-0005-0000-0000-00002A8C0000}"/>
    <cellStyle name="Accent3 17 2" xfId="35892" xr:uid="{00000000-0005-0000-0000-00002B8C0000}"/>
    <cellStyle name="Accent3 17 2 2" xfId="35893" xr:uid="{00000000-0005-0000-0000-00002C8C0000}"/>
    <cellStyle name="Accent3 17 3" xfId="35894" xr:uid="{00000000-0005-0000-0000-00002D8C0000}"/>
    <cellStyle name="Accent3 170" xfId="35895" xr:uid="{00000000-0005-0000-0000-00002E8C0000}"/>
    <cellStyle name="Accent3 170 2" xfId="35896" xr:uid="{00000000-0005-0000-0000-00002F8C0000}"/>
    <cellStyle name="Accent3 171" xfId="35897" xr:uid="{00000000-0005-0000-0000-0000308C0000}"/>
    <cellStyle name="Accent3 171 2" xfId="35898" xr:uid="{00000000-0005-0000-0000-0000318C0000}"/>
    <cellStyle name="Accent3 172" xfId="35899" xr:uid="{00000000-0005-0000-0000-0000328C0000}"/>
    <cellStyle name="Accent3 172 2" xfId="35900" xr:uid="{00000000-0005-0000-0000-0000338C0000}"/>
    <cellStyle name="Accent3 173" xfId="35901" xr:uid="{00000000-0005-0000-0000-0000348C0000}"/>
    <cellStyle name="Accent3 173 2" xfId="35902" xr:uid="{00000000-0005-0000-0000-0000358C0000}"/>
    <cellStyle name="Accent3 174" xfId="35903" xr:uid="{00000000-0005-0000-0000-0000368C0000}"/>
    <cellStyle name="Accent3 174 2" xfId="35904" xr:uid="{00000000-0005-0000-0000-0000378C0000}"/>
    <cellStyle name="Accent3 175" xfId="35905" xr:uid="{00000000-0005-0000-0000-0000388C0000}"/>
    <cellStyle name="Accent3 175 2" xfId="35906" xr:uid="{00000000-0005-0000-0000-0000398C0000}"/>
    <cellStyle name="Accent3 176" xfId="35907" xr:uid="{00000000-0005-0000-0000-00003A8C0000}"/>
    <cellStyle name="Accent3 176 2" xfId="35908" xr:uid="{00000000-0005-0000-0000-00003B8C0000}"/>
    <cellStyle name="Accent3 177" xfId="35909" xr:uid="{00000000-0005-0000-0000-00003C8C0000}"/>
    <cellStyle name="Accent3 177 2" xfId="35910" xr:uid="{00000000-0005-0000-0000-00003D8C0000}"/>
    <cellStyle name="Accent3 178" xfId="35911" xr:uid="{00000000-0005-0000-0000-00003E8C0000}"/>
    <cellStyle name="Accent3 178 2" xfId="35912" xr:uid="{00000000-0005-0000-0000-00003F8C0000}"/>
    <cellStyle name="Accent3 179" xfId="35913" xr:uid="{00000000-0005-0000-0000-0000408C0000}"/>
    <cellStyle name="Accent3 179 2" xfId="35914" xr:uid="{00000000-0005-0000-0000-0000418C0000}"/>
    <cellStyle name="Accent3 18" xfId="35915" xr:uid="{00000000-0005-0000-0000-0000428C0000}"/>
    <cellStyle name="Accent3 18 2" xfId="35916" xr:uid="{00000000-0005-0000-0000-0000438C0000}"/>
    <cellStyle name="Accent3 18 2 2" xfId="35917" xr:uid="{00000000-0005-0000-0000-0000448C0000}"/>
    <cellStyle name="Accent3 18 3" xfId="35918" xr:uid="{00000000-0005-0000-0000-0000458C0000}"/>
    <cellStyle name="Accent3 180" xfId="35919" xr:uid="{00000000-0005-0000-0000-0000468C0000}"/>
    <cellStyle name="Accent3 180 2" xfId="35920" xr:uid="{00000000-0005-0000-0000-0000478C0000}"/>
    <cellStyle name="Accent3 181" xfId="35921" xr:uid="{00000000-0005-0000-0000-0000488C0000}"/>
    <cellStyle name="Accent3 181 2" xfId="35922" xr:uid="{00000000-0005-0000-0000-0000498C0000}"/>
    <cellStyle name="Accent3 182" xfId="35923" xr:uid="{00000000-0005-0000-0000-00004A8C0000}"/>
    <cellStyle name="Accent3 182 2" xfId="35924" xr:uid="{00000000-0005-0000-0000-00004B8C0000}"/>
    <cellStyle name="Accent3 183" xfId="35925" xr:uid="{00000000-0005-0000-0000-00004C8C0000}"/>
    <cellStyle name="Accent3 183 2" xfId="35926" xr:uid="{00000000-0005-0000-0000-00004D8C0000}"/>
    <cellStyle name="Accent3 184" xfId="35927" xr:uid="{00000000-0005-0000-0000-00004E8C0000}"/>
    <cellStyle name="Accent3 184 2" xfId="35928" xr:uid="{00000000-0005-0000-0000-00004F8C0000}"/>
    <cellStyle name="Accent3 185" xfId="35929" xr:uid="{00000000-0005-0000-0000-0000508C0000}"/>
    <cellStyle name="Accent3 185 2" xfId="35930" xr:uid="{00000000-0005-0000-0000-0000518C0000}"/>
    <cellStyle name="Accent3 186" xfId="35931" xr:uid="{00000000-0005-0000-0000-0000528C0000}"/>
    <cellStyle name="Accent3 186 2" xfId="35932" xr:uid="{00000000-0005-0000-0000-0000538C0000}"/>
    <cellStyle name="Accent3 187" xfId="35933" xr:uid="{00000000-0005-0000-0000-0000548C0000}"/>
    <cellStyle name="Accent3 187 2" xfId="35934" xr:uid="{00000000-0005-0000-0000-0000558C0000}"/>
    <cellStyle name="Accent3 188" xfId="35935" xr:uid="{00000000-0005-0000-0000-0000568C0000}"/>
    <cellStyle name="Accent3 188 2" xfId="35936" xr:uid="{00000000-0005-0000-0000-0000578C0000}"/>
    <cellStyle name="Accent3 189" xfId="35937" xr:uid="{00000000-0005-0000-0000-0000588C0000}"/>
    <cellStyle name="Accent3 189 2" xfId="35938" xr:uid="{00000000-0005-0000-0000-0000598C0000}"/>
    <cellStyle name="Accent3 19" xfId="35939" xr:uid="{00000000-0005-0000-0000-00005A8C0000}"/>
    <cellStyle name="Accent3 19 2" xfId="35940" xr:uid="{00000000-0005-0000-0000-00005B8C0000}"/>
    <cellStyle name="Accent3 19 2 2" xfId="35941" xr:uid="{00000000-0005-0000-0000-00005C8C0000}"/>
    <cellStyle name="Accent3 19 3" xfId="35942" xr:uid="{00000000-0005-0000-0000-00005D8C0000}"/>
    <cellStyle name="Accent3 190" xfId="35943" xr:uid="{00000000-0005-0000-0000-00005E8C0000}"/>
    <cellStyle name="Accent3 190 2" xfId="35944" xr:uid="{00000000-0005-0000-0000-00005F8C0000}"/>
    <cellStyle name="Accent3 191" xfId="35945" xr:uid="{00000000-0005-0000-0000-0000608C0000}"/>
    <cellStyle name="Accent3 191 2" xfId="35946" xr:uid="{00000000-0005-0000-0000-0000618C0000}"/>
    <cellStyle name="Accent3 192" xfId="35947" xr:uid="{00000000-0005-0000-0000-0000628C0000}"/>
    <cellStyle name="Accent3 192 2" xfId="35948" xr:uid="{00000000-0005-0000-0000-0000638C0000}"/>
    <cellStyle name="Accent3 193" xfId="35949" xr:uid="{00000000-0005-0000-0000-0000648C0000}"/>
    <cellStyle name="Accent3 193 2" xfId="35950" xr:uid="{00000000-0005-0000-0000-0000658C0000}"/>
    <cellStyle name="Accent3 194" xfId="35951" xr:uid="{00000000-0005-0000-0000-0000668C0000}"/>
    <cellStyle name="Accent3 194 2" xfId="35952" xr:uid="{00000000-0005-0000-0000-0000678C0000}"/>
    <cellStyle name="Accent3 195" xfId="35953" xr:uid="{00000000-0005-0000-0000-0000688C0000}"/>
    <cellStyle name="Accent3 195 2" xfId="35954" xr:uid="{00000000-0005-0000-0000-0000698C0000}"/>
    <cellStyle name="Accent3 196" xfId="35955" xr:uid="{00000000-0005-0000-0000-00006A8C0000}"/>
    <cellStyle name="Accent3 196 2" xfId="35956" xr:uid="{00000000-0005-0000-0000-00006B8C0000}"/>
    <cellStyle name="Accent3 197" xfId="35957" xr:uid="{00000000-0005-0000-0000-00006C8C0000}"/>
    <cellStyle name="Accent3 197 2" xfId="35958" xr:uid="{00000000-0005-0000-0000-00006D8C0000}"/>
    <cellStyle name="Accent3 198" xfId="35959" xr:uid="{00000000-0005-0000-0000-00006E8C0000}"/>
    <cellStyle name="Accent3 198 2" xfId="35960" xr:uid="{00000000-0005-0000-0000-00006F8C0000}"/>
    <cellStyle name="Accent3 2" xfId="35961" xr:uid="{00000000-0005-0000-0000-0000708C0000}"/>
    <cellStyle name="Accent3 2 2" xfId="35962" xr:uid="{00000000-0005-0000-0000-0000718C0000}"/>
    <cellStyle name="Accent3 2 2 2" xfId="35963" xr:uid="{00000000-0005-0000-0000-0000728C0000}"/>
    <cellStyle name="Accent3 2 2 2 2" xfId="35964" xr:uid="{00000000-0005-0000-0000-0000738C0000}"/>
    <cellStyle name="Accent3 2 2 2 2 2" xfId="35965" xr:uid="{00000000-0005-0000-0000-0000748C0000}"/>
    <cellStyle name="Accent3 2 2 2 2 2 2" xfId="35966" xr:uid="{00000000-0005-0000-0000-0000758C0000}"/>
    <cellStyle name="Accent3 2 2 2 2 3" xfId="35967" xr:uid="{00000000-0005-0000-0000-0000768C0000}"/>
    <cellStyle name="Accent3 2 2 2 3" xfId="35968" xr:uid="{00000000-0005-0000-0000-0000778C0000}"/>
    <cellStyle name="Accent3 2 2 3" xfId="35969" xr:uid="{00000000-0005-0000-0000-0000788C0000}"/>
    <cellStyle name="Accent3 2 2 3 2" xfId="35970" xr:uid="{00000000-0005-0000-0000-0000798C0000}"/>
    <cellStyle name="Accent3 2 2 4" xfId="35971" xr:uid="{00000000-0005-0000-0000-00007A8C0000}"/>
    <cellStyle name="Accent3 2 2 4 2" xfId="35972" xr:uid="{00000000-0005-0000-0000-00007B8C0000}"/>
    <cellStyle name="Accent3 2 2 5" xfId="35973" xr:uid="{00000000-0005-0000-0000-00007C8C0000}"/>
    <cellStyle name="Accent3 2 3" xfId="35974" xr:uid="{00000000-0005-0000-0000-00007D8C0000}"/>
    <cellStyle name="Accent3 2 3 2" xfId="35975" xr:uid="{00000000-0005-0000-0000-00007E8C0000}"/>
    <cellStyle name="Accent3 2 4" xfId="35976" xr:uid="{00000000-0005-0000-0000-00007F8C0000}"/>
    <cellStyle name="Accent3 2 4 2" xfId="35977" xr:uid="{00000000-0005-0000-0000-0000808C0000}"/>
    <cellStyle name="Accent3 2 5" xfId="35978" xr:uid="{00000000-0005-0000-0000-0000818C0000}"/>
    <cellStyle name="Accent3 2 5 2" xfId="35979" xr:uid="{00000000-0005-0000-0000-0000828C0000}"/>
    <cellStyle name="Accent3 2 6" xfId="35980" xr:uid="{00000000-0005-0000-0000-0000838C0000}"/>
    <cellStyle name="Accent3 20" xfId="35981" xr:uid="{00000000-0005-0000-0000-0000848C0000}"/>
    <cellStyle name="Accent3 20 2" xfId="35982" xr:uid="{00000000-0005-0000-0000-0000858C0000}"/>
    <cellStyle name="Accent3 20 2 2" xfId="35983" xr:uid="{00000000-0005-0000-0000-0000868C0000}"/>
    <cellStyle name="Accent3 20 3" xfId="35984" xr:uid="{00000000-0005-0000-0000-0000878C0000}"/>
    <cellStyle name="Accent3 21" xfId="35985" xr:uid="{00000000-0005-0000-0000-0000888C0000}"/>
    <cellStyle name="Accent3 21 2" xfId="35986" xr:uid="{00000000-0005-0000-0000-0000898C0000}"/>
    <cellStyle name="Accent3 21 2 2" xfId="35987" xr:uid="{00000000-0005-0000-0000-00008A8C0000}"/>
    <cellStyle name="Accent3 21 3" xfId="35988" xr:uid="{00000000-0005-0000-0000-00008B8C0000}"/>
    <cellStyle name="Accent3 22" xfId="35989" xr:uid="{00000000-0005-0000-0000-00008C8C0000}"/>
    <cellStyle name="Accent3 22 2" xfId="35990" xr:uid="{00000000-0005-0000-0000-00008D8C0000}"/>
    <cellStyle name="Accent3 22 2 2" xfId="35991" xr:uid="{00000000-0005-0000-0000-00008E8C0000}"/>
    <cellStyle name="Accent3 22 3" xfId="35992" xr:uid="{00000000-0005-0000-0000-00008F8C0000}"/>
    <cellStyle name="Accent3 23" xfId="35993" xr:uid="{00000000-0005-0000-0000-0000908C0000}"/>
    <cellStyle name="Accent3 23 2" xfId="35994" xr:uid="{00000000-0005-0000-0000-0000918C0000}"/>
    <cellStyle name="Accent3 23 2 2" xfId="35995" xr:uid="{00000000-0005-0000-0000-0000928C0000}"/>
    <cellStyle name="Accent3 23 3" xfId="35996" xr:uid="{00000000-0005-0000-0000-0000938C0000}"/>
    <cellStyle name="Accent3 24" xfId="35997" xr:uid="{00000000-0005-0000-0000-0000948C0000}"/>
    <cellStyle name="Accent3 24 2" xfId="35998" xr:uid="{00000000-0005-0000-0000-0000958C0000}"/>
    <cellStyle name="Accent3 24 2 2" xfId="35999" xr:uid="{00000000-0005-0000-0000-0000968C0000}"/>
    <cellStyle name="Accent3 24 3" xfId="36000" xr:uid="{00000000-0005-0000-0000-0000978C0000}"/>
    <cellStyle name="Accent3 25" xfId="36001" xr:uid="{00000000-0005-0000-0000-0000988C0000}"/>
    <cellStyle name="Accent3 25 2" xfId="36002" xr:uid="{00000000-0005-0000-0000-0000998C0000}"/>
    <cellStyle name="Accent3 25 2 2" xfId="36003" xr:uid="{00000000-0005-0000-0000-00009A8C0000}"/>
    <cellStyle name="Accent3 25 3" xfId="36004" xr:uid="{00000000-0005-0000-0000-00009B8C0000}"/>
    <cellStyle name="Accent3 26" xfId="36005" xr:uid="{00000000-0005-0000-0000-00009C8C0000}"/>
    <cellStyle name="Accent3 26 2" xfId="36006" xr:uid="{00000000-0005-0000-0000-00009D8C0000}"/>
    <cellStyle name="Accent3 26 2 2" xfId="36007" xr:uid="{00000000-0005-0000-0000-00009E8C0000}"/>
    <cellStyle name="Accent3 26 3" xfId="36008" xr:uid="{00000000-0005-0000-0000-00009F8C0000}"/>
    <cellStyle name="Accent3 27" xfId="36009" xr:uid="{00000000-0005-0000-0000-0000A08C0000}"/>
    <cellStyle name="Accent3 27 2" xfId="36010" xr:uid="{00000000-0005-0000-0000-0000A18C0000}"/>
    <cellStyle name="Accent3 27 2 2" xfId="36011" xr:uid="{00000000-0005-0000-0000-0000A28C0000}"/>
    <cellStyle name="Accent3 27 3" xfId="36012" xr:uid="{00000000-0005-0000-0000-0000A38C0000}"/>
    <cellStyle name="Accent3 28" xfId="36013" xr:uid="{00000000-0005-0000-0000-0000A48C0000}"/>
    <cellStyle name="Accent3 28 2" xfId="36014" xr:uid="{00000000-0005-0000-0000-0000A58C0000}"/>
    <cellStyle name="Accent3 28 2 2" xfId="36015" xr:uid="{00000000-0005-0000-0000-0000A68C0000}"/>
    <cellStyle name="Accent3 28 3" xfId="36016" xr:uid="{00000000-0005-0000-0000-0000A78C0000}"/>
    <cellStyle name="Accent3 29" xfId="36017" xr:uid="{00000000-0005-0000-0000-0000A88C0000}"/>
    <cellStyle name="Accent3 29 2" xfId="36018" xr:uid="{00000000-0005-0000-0000-0000A98C0000}"/>
    <cellStyle name="Accent3 29 2 2" xfId="36019" xr:uid="{00000000-0005-0000-0000-0000AA8C0000}"/>
    <cellStyle name="Accent3 29 3" xfId="36020" xr:uid="{00000000-0005-0000-0000-0000AB8C0000}"/>
    <cellStyle name="Accent3 3" xfId="36021" xr:uid="{00000000-0005-0000-0000-0000AC8C0000}"/>
    <cellStyle name="Accent3 3 2" xfId="36022" xr:uid="{00000000-0005-0000-0000-0000AD8C0000}"/>
    <cellStyle name="Accent3 3 2 2" xfId="36023" xr:uid="{00000000-0005-0000-0000-0000AE8C0000}"/>
    <cellStyle name="Accent3 3 3" xfId="36024" xr:uid="{00000000-0005-0000-0000-0000AF8C0000}"/>
    <cellStyle name="Accent3 3 3 2" xfId="36025" xr:uid="{00000000-0005-0000-0000-0000B08C0000}"/>
    <cellStyle name="Accent3 3 4" xfId="36026" xr:uid="{00000000-0005-0000-0000-0000B18C0000}"/>
    <cellStyle name="Accent3 3 4 2" xfId="36027" xr:uid="{00000000-0005-0000-0000-0000B28C0000}"/>
    <cellStyle name="Accent3 3 5" xfId="36028" xr:uid="{00000000-0005-0000-0000-0000B38C0000}"/>
    <cellStyle name="Accent3 30" xfId="36029" xr:uid="{00000000-0005-0000-0000-0000B48C0000}"/>
    <cellStyle name="Accent3 30 2" xfId="36030" xr:uid="{00000000-0005-0000-0000-0000B58C0000}"/>
    <cellStyle name="Accent3 30 2 2" xfId="36031" xr:uid="{00000000-0005-0000-0000-0000B68C0000}"/>
    <cellStyle name="Accent3 30 3" xfId="36032" xr:uid="{00000000-0005-0000-0000-0000B78C0000}"/>
    <cellStyle name="Accent3 31" xfId="36033" xr:uid="{00000000-0005-0000-0000-0000B88C0000}"/>
    <cellStyle name="Accent3 31 2" xfId="36034" xr:uid="{00000000-0005-0000-0000-0000B98C0000}"/>
    <cellStyle name="Accent3 31 2 2" xfId="36035" xr:uid="{00000000-0005-0000-0000-0000BA8C0000}"/>
    <cellStyle name="Accent3 31 3" xfId="36036" xr:uid="{00000000-0005-0000-0000-0000BB8C0000}"/>
    <cellStyle name="Accent3 32" xfId="36037" xr:uid="{00000000-0005-0000-0000-0000BC8C0000}"/>
    <cellStyle name="Accent3 32 2" xfId="36038" xr:uid="{00000000-0005-0000-0000-0000BD8C0000}"/>
    <cellStyle name="Accent3 32 2 2" xfId="36039" xr:uid="{00000000-0005-0000-0000-0000BE8C0000}"/>
    <cellStyle name="Accent3 32 3" xfId="36040" xr:uid="{00000000-0005-0000-0000-0000BF8C0000}"/>
    <cellStyle name="Accent3 33" xfId="36041" xr:uid="{00000000-0005-0000-0000-0000C08C0000}"/>
    <cellStyle name="Accent3 33 2" xfId="36042" xr:uid="{00000000-0005-0000-0000-0000C18C0000}"/>
    <cellStyle name="Accent3 33 2 2" xfId="36043" xr:uid="{00000000-0005-0000-0000-0000C28C0000}"/>
    <cellStyle name="Accent3 33 3" xfId="36044" xr:uid="{00000000-0005-0000-0000-0000C38C0000}"/>
    <cellStyle name="Accent3 34" xfId="36045" xr:uid="{00000000-0005-0000-0000-0000C48C0000}"/>
    <cellStyle name="Accent3 34 2" xfId="36046" xr:uid="{00000000-0005-0000-0000-0000C58C0000}"/>
    <cellStyle name="Accent3 34 2 2" xfId="36047" xr:uid="{00000000-0005-0000-0000-0000C68C0000}"/>
    <cellStyle name="Accent3 34 3" xfId="36048" xr:uid="{00000000-0005-0000-0000-0000C78C0000}"/>
    <cellStyle name="Accent3 35" xfId="36049" xr:uid="{00000000-0005-0000-0000-0000C88C0000}"/>
    <cellStyle name="Accent3 35 2" xfId="36050" xr:uid="{00000000-0005-0000-0000-0000C98C0000}"/>
    <cellStyle name="Accent3 35 2 2" xfId="36051" xr:uid="{00000000-0005-0000-0000-0000CA8C0000}"/>
    <cellStyle name="Accent3 35 3" xfId="36052" xr:uid="{00000000-0005-0000-0000-0000CB8C0000}"/>
    <cellStyle name="Accent3 36" xfId="36053" xr:uid="{00000000-0005-0000-0000-0000CC8C0000}"/>
    <cellStyle name="Accent3 36 2" xfId="36054" xr:uid="{00000000-0005-0000-0000-0000CD8C0000}"/>
    <cellStyle name="Accent3 36 2 2" xfId="36055" xr:uid="{00000000-0005-0000-0000-0000CE8C0000}"/>
    <cellStyle name="Accent3 36 3" xfId="36056" xr:uid="{00000000-0005-0000-0000-0000CF8C0000}"/>
    <cellStyle name="Accent3 37" xfId="36057" xr:uid="{00000000-0005-0000-0000-0000D08C0000}"/>
    <cellStyle name="Accent3 37 2" xfId="36058" xr:uid="{00000000-0005-0000-0000-0000D18C0000}"/>
    <cellStyle name="Accent3 37 2 2" xfId="36059" xr:uid="{00000000-0005-0000-0000-0000D28C0000}"/>
    <cellStyle name="Accent3 37 3" xfId="36060" xr:uid="{00000000-0005-0000-0000-0000D38C0000}"/>
    <cellStyle name="Accent3 38" xfId="36061" xr:uid="{00000000-0005-0000-0000-0000D48C0000}"/>
    <cellStyle name="Accent3 38 2" xfId="36062" xr:uid="{00000000-0005-0000-0000-0000D58C0000}"/>
    <cellStyle name="Accent3 38 2 2" xfId="36063" xr:uid="{00000000-0005-0000-0000-0000D68C0000}"/>
    <cellStyle name="Accent3 38 3" xfId="36064" xr:uid="{00000000-0005-0000-0000-0000D78C0000}"/>
    <cellStyle name="Accent3 39" xfId="36065" xr:uid="{00000000-0005-0000-0000-0000D88C0000}"/>
    <cellStyle name="Accent3 39 2" xfId="36066" xr:uid="{00000000-0005-0000-0000-0000D98C0000}"/>
    <cellStyle name="Accent3 39 2 2" xfId="36067" xr:uid="{00000000-0005-0000-0000-0000DA8C0000}"/>
    <cellStyle name="Accent3 39 3" xfId="36068" xr:uid="{00000000-0005-0000-0000-0000DB8C0000}"/>
    <cellStyle name="Accent3 4" xfId="36069" xr:uid="{00000000-0005-0000-0000-0000DC8C0000}"/>
    <cellStyle name="Accent3 4 2" xfId="36070" xr:uid="{00000000-0005-0000-0000-0000DD8C0000}"/>
    <cellStyle name="Accent3 4 2 2" xfId="36071" xr:uid="{00000000-0005-0000-0000-0000DE8C0000}"/>
    <cellStyle name="Accent3 4 3" xfId="36072" xr:uid="{00000000-0005-0000-0000-0000DF8C0000}"/>
    <cellStyle name="Accent3 4 3 2" xfId="36073" xr:uid="{00000000-0005-0000-0000-0000E08C0000}"/>
    <cellStyle name="Accent3 4 4" xfId="36074" xr:uid="{00000000-0005-0000-0000-0000E18C0000}"/>
    <cellStyle name="Accent3 4 4 2" xfId="36075" xr:uid="{00000000-0005-0000-0000-0000E28C0000}"/>
    <cellStyle name="Accent3 4 5" xfId="36076" xr:uid="{00000000-0005-0000-0000-0000E38C0000}"/>
    <cellStyle name="Accent3 40" xfId="36077" xr:uid="{00000000-0005-0000-0000-0000E48C0000}"/>
    <cellStyle name="Accent3 40 2" xfId="36078" xr:uid="{00000000-0005-0000-0000-0000E58C0000}"/>
    <cellStyle name="Accent3 40 2 2" xfId="36079" xr:uid="{00000000-0005-0000-0000-0000E68C0000}"/>
    <cellStyle name="Accent3 40 3" xfId="36080" xr:uid="{00000000-0005-0000-0000-0000E78C0000}"/>
    <cellStyle name="Accent3 41" xfId="36081" xr:uid="{00000000-0005-0000-0000-0000E88C0000}"/>
    <cellStyle name="Accent3 41 2" xfId="36082" xr:uid="{00000000-0005-0000-0000-0000E98C0000}"/>
    <cellStyle name="Accent3 41 2 2" xfId="36083" xr:uid="{00000000-0005-0000-0000-0000EA8C0000}"/>
    <cellStyle name="Accent3 41 3" xfId="36084" xr:uid="{00000000-0005-0000-0000-0000EB8C0000}"/>
    <cellStyle name="Accent3 42" xfId="36085" xr:uid="{00000000-0005-0000-0000-0000EC8C0000}"/>
    <cellStyle name="Accent3 42 2" xfId="36086" xr:uid="{00000000-0005-0000-0000-0000ED8C0000}"/>
    <cellStyle name="Accent3 42 2 2" xfId="36087" xr:uid="{00000000-0005-0000-0000-0000EE8C0000}"/>
    <cellStyle name="Accent3 42 3" xfId="36088" xr:uid="{00000000-0005-0000-0000-0000EF8C0000}"/>
    <cellStyle name="Accent3 43" xfId="36089" xr:uid="{00000000-0005-0000-0000-0000F08C0000}"/>
    <cellStyle name="Accent3 43 2" xfId="36090" xr:uid="{00000000-0005-0000-0000-0000F18C0000}"/>
    <cellStyle name="Accent3 43 2 2" xfId="36091" xr:uid="{00000000-0005-0000-0000-0000F28C0000}"/>
    <cellStyle name="Accent3 43 3" xfId="36092" xr:uid="{00000000-0005-0000-0000-0000F38C0000}"/>
    <cellStyle name="Accent3 44" xfId="36093" xr:uid="{00000000-0005-0000-0000-0000F48C0000}"/>
    <cellStyle name="Accent3 44 2" xfId="36094" xr:uid="{00000000-0005-0000-0000-0000F58C0000}"/>
    <cellStyle name="Accent3 44 2 2" xfId="36095" xr:uid="{00000000-0005-0000-0000-0000F68C0000}"/>
    <cellStyle name="Accent3 44 3" xfId="36096" xr:uid="{00000000-0005-0000-0000-0000F78C0000}"/>
    <cellStyle name="Accent3 45" xfId="36097" xr:uid="{00000000-0005-0000-0000-0000F88C0000}"/>
    <cellStyle name="Accent3 45 2" xfId="36098" xr:uid="{00000000-0005-0000-0000-0000F98C0000}"/>
    <cellStyle name="Accent3 45 2 2" xfId="36099" xr:uid="{00000000-0005-0000-0000-0000FA8C0000}"/>
    <cellStyle name="Accent3 45 3" xfId="36100" xr:uid="{00000000-0005-0000-0000-0000FB8C0000}"/>
    <cellStyle name="Accent3 46" xfId="36101" xr:uid="{00000000-0005-0000-0000-0000FC8C0000}"/>
    <cellStyle name="Accent3 46 2" xfId="36102" xr:uid="{00000000-0005-0000-0000-0000FD8C0000}"/>
    <cellStyle name="Accent3 46 2 2" xfId="36103" xr:uid="{00000000-0005-0000-0000-0000FE8C0000}"/>
    <cellStyle name="Accent3 46 3" xfId="36104" xr:uid="{00000000-0005-0000-0000-0000FF8C0000}"/>
    <cellStyle name="Accent3 47" xfId="36105" xr:uid="{00000000-0005-0000-0000-0000008D0000}"/>
    <cellStyle name="Accent3 47 2" xfId="36106" xr:uid="{00000000-0005-0000-0000-0000018D0000}"/>
    <cellStyle name="Accent3 47 2 2" xfId="36107" xr:uid="{00000000-0005-0000-0000-0000028D0000}"/>
    <cellStyle name="Accent3 47 3" xfId="36108" xr:uid="{00000000-0005-0000-0000-0000038D0000}"/>
    <cellStyle name="Accent3 48" xfId="36109" xr:uid="{00000000-0005-0000-0000-0000048D0000}"/>
    <cellStyle name="Accent3 48 2" xfId="36110" xr:uid="{00000000-0005-0000-0000-0000058D0000}"/>
    <cellStyle name="Accent3 48 2 2" xfId="36111" xr:uid="{00000000-0005-0000-0000-0000068D0000}"/>
    <cellStyle name="Accent3 48 3" xfId="36112" xr:uid="{00000000-0005-0000-0000-0000078D0000}"/>
    <cellStyle name="Accent3 49" xfId="36113" xr:uid="{00000000-0005-0000-0000-0000088D0000}"/>
    <cellStyle name="Accent3 49 2" xfId="36114" xr:uid="{00000000-0005-0000-0000-0000098D0000}"/>
    <cellStyle name="Accent3 49 2 2" xfId="36115" xr:uid="{00000000-0005-0000-0000-00000A8D0000}"/>
    <cellStyle name="Accent3 49 3" xfId="36116" xr:uid="{00000000-0005-0000-0000-00000B8D0000}"/>
    <cellStyle name="Accent3 5" xfId="36117" xr:uid="{00000000-0005-0000-0000-00000C8D0000}"/>
    <cellStyle name="Accent3 5 2" xfId="36118" xr:uid="{00000000-0005-0000-0000-00000D8D0000}"/>
    <cellStyle name="Accent3 5 2 2" xfId="36119" xr:uid="{00000000-0005-0000-0000-00000E8D0000}"/>
    <cellStyle name="Accent3 5 3" xfId="36120" xr:uid="{00000000-0005-0000-0000-00000F8D0000}"/>
    <cellStyle name="Accent3 5 3 2" xfId="36121" xr:uid="{00000000-0005-0000-0000-0000108D0000}"/>
    <cellStyle name="Accent3 5 4" xfId="36122" xr:uid="{00000000-0005-0000-0000-0000118D0000}"/>
    <cellStyle name="Accent3 5 4 2" xfId="36123" xr:uid="{00000000-0005-0000-0000-0000128D0000}"/>
    <cellStyle name="Accent3 5 5" xfId="36124" xr:uid="{00000000-0005-0000-0000-0000138D0000}"/>
    <cellStyle name="Accent3 50" xfId="36125" xr:uid="{00000000-0005-0000-0000-0000148D0000}"/>
    <cellStyle name="Accent3 50 2" xfId="36126" xr:uid="{00000000-0005-0000-0000-0000158D0000}"/>
    <cellStyle name="Accent3 50 2 2" xfId="36127" xr:uid="{00000000-0005-0000-0000-0000168D0000}"/>
    <cellStyle name="Accent3 50 3" xfId="36128" xr:uid="{00000000-0005-0000-0000-0000178D0000}"/>
    <cellStyle name="Accent3 51" xfId="36129" xr:uid="{00000000-0005-0000-0000-0000188D0000}"/>
    <cellStyle name="Accent3 51 2" xfId="36130" xr:uid="{00000000-0005-0000-0000-0000198D0000}"/>
    <cellStyle name="Accent3 51 2 2" xfId="36131" xr:uid="{00000000-0005-0000-0000-00001A8D0000}"/>
    <cellStyle name="Accent3 51 3" xfId="36132" xr:uid="{00000000-0005-0000-0000-00001B8D0000}"/>
    <cellStyle name="Accent3 52" xfId="36133" xr:uid="{00000000-0005-0000-0000-00001C8D0000}"/>
    <cellStyle name="Accent3 52 2" xfId="36134" xr:uid="{00000000-0005-0000-0000-00001D8D0000}"/>
    <cellStyle name="Accent3 52 2 2" xfId="36135" xr:uid="{00000000-0005-0000-0000-00001E8D0000}"/>
    <cellStyle name="Accent3 52 3" xfId="36136" xr:uid="{00000000-0005-0000-0000-00001F8D0000}"/>
    <cellStyle name="Accent3 53" xfId="36137" xr:uid="{00000000-0005-0000-0000-0000208D0000}"/>
    <cellStyle name="Accent3 53 2" xfId="36138" xr:uid="{00000000-0005-0000-0000-0000218D0000}"/>
    <cellStyle name="Accent3 53 2 2" xfId="36139" xr:uid="{00000000-0005-0000-0000-0000228D0000}"/>
    <cellStyle name="Accent3 53 3" xfId="36140" xr:uid="{00000000-0005-0000-0000-0000238D0000}"/>
    <cellStyle name="Accent3 54" xfId="36141" xr:uid="{00000000-0005-0000-0000-0000248D0000}"/>
    <cellStyle name="Accent3 54 2" xfId="36142" xr:uid="{00000000-0005-0000-0000-0000258D0000}"/>
    <cellStyle name="Accent3 54 2 2" xfId="36143" xr:uid="{00000000-0005-0000-0000-0000268D0000}"/>
    <cellStyle name="Accent3 54 3" xfId="36144" xr:uid="{00000000-0005-0000-0000-0000278D0000}"/>
    <cellStyle name="Accent3 55" xfId="36145" xr:uid="{00000000-0005-0000-0000-0000288D0000}"/>
    <cellStyle name="Accent3 55 2" xfId="36146" xr:uid="{00000000-0005-0000-0000-0000298D0000}"/>
    <cellStyle name="Accent3 55 2 2" xfId="36147" xr:uid="{00000000-0005-0000-0000-00002A8D0000}"/>
    <cellStyle name="Accent3 55 3" xfId="36148" xr:uid="{00000000-0005-0000-0000-00002B8D0000}"/>
    <cellStyle name="Accent3 56" xfId="36149" xr:uid="{00000000-0005-0000-0000-00002C8D0000}"/>
    <cellStyle name="Accent3 56 2" xfId="36150" xr:uid="{00000000-0005-0000-0000-00002D8D0000}"/>
    <cellStyle name="Accent3 56 2 2" xfId="36151" xr:uid="{00000000-0005-0000-0000-00002E8D0000}"/>
    <cellStyle name="Accent3 56 3" xfId="36152" xr:uid="{00000000-0005-0000-0000-00002F8D0000}"/>
    <cellStyle name="Accent3 57" xfId="36153" xr:uid="{00000000-0005-0000-0000-0000308D0000}"/>
    <cellStyle name="Accent3 57 2" xfId="36154" xr:uid="{00000000-0005-0000-0000-0000318D0000}"/>
    <cellStyle name="Accent3 57 2 2" xfId="36155" xr:uid="{00000000-0005-0000-0000-0000328D0000}"/>
    <cellStyle name="Accent3 57 3" xfId="36156" xr:uid="{00000000-0005-0000-0000-0000338D0000}"/>
    <cellStyle name="Accent3 58" xfId="36157" xr:uid="{00000000-0005-0000-0000-0000348D0000}"/>
    <cellStyle name="Accent3 58 2" xfId="36158" xr:uid="{00000000-0005-0000-0000-0000358D0000}"/>
    <cellStyle name="Accent3 58 2 2" xfId="36159" xr:uid="{00000000-0005-0000-0000-0000368D0000}"/>
    <cellStyle name="Accent3 58 3" xfId="36160" xr:uid="{00000000-0005-0000-0000-0000378D0000}"/>
    <cellStyle name="Accent3 59" xfId="36161" xr:uid="{00000000-0005-0000-0000-0000388D0000}"/>
    <cellStyle name="Accent3 59 2" xfId="36162" xr:uid="{00000000-0005-0000-0000-0000398D0000}"/>
    <cellStyle name="Accent3 59 2 2" xfId="36163" xr:uid="{00000000-0005-0000-0000-00003A8D0000}"/>
    <cellStyle name="Accent3 59 3" xfId="36164" xr:uid="{00000000-0005-0000-0000-00003B8D0000}"/>
    <cellStyle name="Accent3 59 3 2" xfId="36165" xr:uid="{00000000-0005-0000-0000-00003C8D0000}"/>
    <cellStyle name="Accent3 59 4" xfId="36166" xr:uid="{00000000-0005-0000-0000-00003D8D0000}"/>
    <cellStyle name="Accent3 6" xfId="36167" xr:uid="{00000000-0005-0000-0000-00003E8D0000}"/>
    <cellStyle name="Accent3 6 2" xfId="36168" xr:uid="{00000000-0005-0000-0000-00003F8D0000}"/>
    <cellStyle name="Accent3 6 2 2" xfId="36169" xr:uid="{00000000-0005-0000-0000-0000408D0000}"/>
    <cellStyle name="Accent3 6 3" xfId="36170" xr:uid="{00000000-0005-0000-0000-0000418D0000}"/>
    <cellStyle name="Accent3 6 3 2" xfId="36171" xr:uid="{00000000-0005-0000-0000-0000428D0000}"/>
    <cellStyle name="Accent3 6 4" xfId="36172" xr:uid="{00000000-0005-0000-0000-0000438D0000}"/>
    <cellStyle name="Accent3 6 4 2" xfId="36173" xr:uid="{00000000-0005-0000-0000-0000448D0000}"/>
    <cellStyle name="Accent3 6 5" xfId="36174" xr:uid="{00000000-0005-0000-0000-0000458D0000}"/>
    <cellStyle name="Accent3 60" xfId="36175" xr:uid="{00000000-0005-0000-0000-0000468D0000}"/>
    <cellStyle name="Accent3 60 2" xfId="36176" xr:uid="{00000000-0005-0000-0000-0000478D0000}"/>
    <cellStyle name="Accent3 60 2 2" xfId="36177" xr:uid="{00000000-0005-0000-0000-0000488D0000}"/>
    <cellStyle name="Accent3 60 3" xfId="36178" xr:uid="{00000000-0005-0000-0000-0000498D0000}"/>
    <cellStyle name="Accent3 61" xfId="36179" xr:uid="{00000000-0005-0000-0000-00004A8D0000}"/>
    <cellStyle name="Accent3 61 2" xfId="36180" xr:uid="{00000000-0005-0000-0000-00004B8D0000}"/>
    <cellStyle name="Accent3 61 2 2" xfId="36181" xr:uid="{00000000-0005-0000-0000-00004C8D0000}"/>
    <cellStyle name="Accent3 61 3" xfId="36182" xr:uid="{00000000-0005-0000-0000-00004D8D0000}"/>
    <cellStyle name="Accent3 62" xfId="36183" xr:uid="{00000000-0005-0000-0000-00004E8D0000}"/>
    <cellStyle name="Accent3 62 2" xfId="36184" xr:uid="{00000000-0005-0000-0000-00004F8D0000}"/>
    <cellStyle name="Accent3 62 2 2" xfId="36185" xr:uid="{00000000-0005-0000-0000-0000508D0000}"/>
    <cellStyle name="Accent3 62 3" xfId="36186" xr:uid="{00000000-0005-0000-0000-0000518D0000}"/>
    <cellStyle name="Accent3 63" xfId="36187" xr:uid="{00000000-0005-0000-0000-0000528D0000}"/>
    <cellStyle name="Accent3 63 2" xfId="36188" xr:uid="{00000000-0005-0000-0000-0000538D0000}"/>
    <cellStyle name="Accent3 63 2 2" xfId="36189" xr:uid="{00000000-0005-0000-0000-0000548D0000}"/>
    <cellStyle name="Accent3 63 3" xfId="36190" xr:uid="{00000000-0005-0000-0000-0000558D0000}"/>
    <cellStyle name="Accent3 64" xfId="36191" xr:uid="{00000000-0005-0000-0000-0000568D0000}"/>
    <cellStyle name="Accent3 64 2" xfId="36192" xr:uid="{00000000-0005-0000-0000-0000578D0000}"/>
    <cellStyle name="Accent3 64 2 2" xfId="36193" xr:uid="{00000000-0005-0000-0000-0000588D0000}"/>
    <cellStyle name="Accent3 64 3" xfId="36194" xr:uid="{00000000-0005-0000-0000-0000598D0000}"/>
    <cellStyle name="Accent3 65" xfId="36195" xr:uid="{00000000-0005-0000-0000-00005A8D0000}"/>
    <cellStyle name="Accent3 65 2" xfId="36196" xr:uid="{00000000-0005-0000-0000-00005B8D0000}"/>
    <cellStyle name="Accent3 65 2 2" xfId="36197" xr:uid="{00000000-0005-0000-0000-00005C8D0000}"/>
    <cellStyle name="Accent3 65 3" xfId="36198" xr:uid="{00000000-0005-0000-0000-00005D8D0000}"/>
    <cellStyle name="Accent3 66" xfId="36199" xr:uid="{00000000-0005-0000-0000-00005E8D0000}"/>
    <cellStyle name="Accent3 66 2" xfId="36200" xr:uid="{00000000-0005-0000-0000-00005F8D0000}"/>
    <cellStyle name="Accent3 66 2 2" xfId="36201" xr:uid="{00000000-0005-0000-0000-0000608D0000}"/>
    <cellStyle name="Accent3 66 3" xfId="36202" xr:uid="{00000000-0005-0000-0000-0000618D0000}"/>
    <cellStyle name="Accent3 67" xfId="36203" xr:uid="{00000000-0005-0000-0000-0000628D0000}"/>
    <cellStyle name="Accent3 67 2" xfId="36204" xr:uid="{00000000-0005-0000-0000-0000638D0000}"/>
    <cellStyle name="Accent3 67 2 2" xfId="36205" xr:uid="{00000000-0005-0000-0000-0000648D0000}"/>
    <cellStyle name="Accent3 67 3" xfId="36206" xr:uid="{00000000-0005-0000-0000-0000658D0000}"/>
    <cellStyle name="Accent3 68" xfId="36207" xr:uid="{00000000-0005-0000-0000-0000668D0000}"/>
    <cellStyle name="Accent3 68 2" xfId="36208" xr:uid="{00000000-0005-0000-0000-0000678D0000}"/>
    <cellStyle name="Accent3 68 2 2" xfId="36209" xr:uid="{00000000-0005-0000-0000-0000688D0000}"/>
    <cellStyle name="Accent3 68 3" xfId="36210" xr:uid="{00000000-0005-0000-0000-0000698D0000}"/>
    <cellStyle name="Accent3 69" xfId="36211" xr:uid="{00000000-0005-0000-0000-00006A8D0000}"/>
    <cellStyle name="Accent3 69 2" xfId="36212" xr:uid="{00000000-0005-0000-0000-00006B8D0000}"/>
    <cellStyle name="Accent3 69 2 2" xfId="36213" xr:uid="{00000000-0005-0000-0000-00006C8D0000}"/>
    <cellStyle name="Accent3 69 3" xfId="36214" xr:uid="{00000000-0005-0000-0000-00006D8D0000}"/>
    <cellStyle name="Accent3 7" xfId="36215" xr:uid="{00000000-0005-0000-0000-00006E8D0000}"/>
    <cellStyle name="Accent3 7 2" xfId="36216" xr:uid="{00000000-0005-0000-0000-00006F8D0000}"/>
    <cellStyle name="Accent3 7 2 2" xfId="36217" xr:uid="{00000000-0005-0000-0000-0000708D0000}"/>
    <cellStyle name="Accent3 7 3" xfId="36218" xr:uid="{00000000-0005-0000-0000-0000718D0000}"/>
    <cellStyle name="Accent3 7 3 2" xfId="36219" xr:uid="{00000000-0005-0000-0000-0000728D0000}"/>
    <cellStyle name="Accent3 7 4" xfId="36220" xr:uid="{00000000-0005-0000-0000-0000738D0000}"/>
    <cellStyle name="Accent3 7 4 2" xfId="36221" xr:uid="{00000000-0005-0000-0000-0000748D0000}"/>
    <cellStyle name="Accent3 7 5" xfId="36222" xr:uid="{00000000-0005-0000-0000-0000758D0000}"/>
    <cellStyle name="Accent3 70" xfId="36223" xr:uid="{00000000-0005-0000-0000-0000768D0000}"/>
    <cellStyle name="Accent3 70 2" xfId="36224" xr:uid="{00000000-0005-0000-0000-0000778D0000}"/>
    <cellStyle name="Accent3 70 2 2" xfId="36225" xr:uid="{00000000-0005-0000-0000-0000788D0000}"/>
    <cellStyle name="Accent3 70 3" xfId="36226" xr:uid="{00000000-0005-0000-0000-0000798D0000}"/>
    <cellStyle name="Accent3 71" xfId="36227" xr:uid="{00000000-0005-0000-0000-00007A8D0000}"/>
    <cellStyle name="Accent3 71 2" xfId="36228" xr:uid="{00000000-0005-0000-0000-00007B8D0000}"/>
    <cellStyle name="Accent3 71 2 2" xfId="36229" xr:uid="{00000000-0005-0000-0000-00007C8D0000}"/>
    <cellStyle name="Accent3 71 3" xfId="36230" xr:uid="{00000000-0005-0000-0000-00007D8D0000}"/>
    <cellStyle name="Accent3 72" xfId="36231" xr:uid="{00000000-0005-0000-0000-00007E8D0000}"/>
    <cellStyle name="Accent3 72 2" xfId="36232" xr:uid="{00000000-0005-0000-0000-00007F8D0000}"/>
    <cellStyle name="Accent3 72 2 2" xfId="36233" xr:uid="{00000000-0005-0000-0000-0000808D0000}"/>
    <cellStyle name="Accent3 72 3" xfId="36234" xr:uid="{00000000-0005-0000-0000-0000818D0000}"/>
    <cellStyle name="Accent3 73" xfId="36235" xr:uid="{00000000-0005-0000-0000-0000828D0000}"/>
    <cellStyle name="Accent3 73 2" xfId="36236" xr:uid="{00000000-0005-0000-0000-0000838D0000}"/>
    <cellStyle name="Accent3 73 2 2" xfId="36237" xr:uid="{00000000-0005-0000-0000-0000848D0000}"/>
    <cellStyle name="Accent3 73 3" xfId="36238" xr:uid="{00000000-0005-0000-0000-0000858D0000}"/>
    <cellStyle name="Accent3 74" xfId="36239" xr:uid="{00000000-0005-0000-0000-0000868D0000}"/>
    <cellStyle name="Accent3 74 2" xfId="36240" xr:uid="{00000000-0005-0000-0000-0000878D0000}"/>
    <cellStyle name="Accent3 74 2 2" xfId="36241" xr:uid="{00000000-0005-0000-0000-0000888D0000}"/>
    <cellStyle name="Accent3 74 3" xfId="36242" xr:uid="{00000000-0005-0000-0000-0000898D0000}"/>
    <cellStyle name="Accent3 75" xfId="36243" xr:uid="{00000000-0005-0000-0000-00008A8D0000}"/>
    <cellStyle name="Accent3 75 2" xfId="36244" xr:uid="{00000000-0005-0000-0000-00008B8D0000}"/>
    <cellStyle name="Accent3 75 2 2" xfId="36245" xr:uid="{00000000-0005-0000-0000-00008C8D0000}"/>
    <cellStyle name="Accent3 75 3" xfId="36246" xr:uid="{00000000-0005-0000-0000-00008D8D0000}"/>
    <cellStyle name="Accent3 76" xfId="36247" xr:uid="{00000000-0005-0000-0000-00008E8D0000}"/>
    <cellStyle name="Accent3 76 2" xfId="36248" xr:uid="{00000000-0005-0000-0000-00008F8D0000}"/>
    <cellStyle name="Accent3 76 2 2" xfId="36249" xr:uid="{00000000-0005-0000-0000-0000908D0000}"/>
    <cellStyle name="Accent3 76 3" xfId="36250" xr:uid="{00000000-0005-0000-0000-0000918D0000}"/>
    <cellStyle name="Accent3 77" xfId="36251" xr:uid="{00000000-0005-0000-0000-0000928D0000}"/>
    <cellStyle name="Accent3 77 2" xfId="36252" xr:uid="{00000000-0005-0000-0000-0000938D0000}"/>
    <cellStyle name="Accent3 77 2 2" xfId="36253" xr:uid="{00000000-0005-0000-0000-0000948D0000}"/>
    <cellStyle name="Accent3 77 3" xfId="36254" xr:uid="{00000000-0005-0000-0000-0000958D0000}"/>
    <cellStyle name="Accent3 78" xfId="36255" xr:uid="{00000000-0005-0000-0000-0000968D0000}"/>
    <cellStyle name="Accent3 78 2" xfId="36256" xr:uid="{00000000-0005-0000-0000-0000978D0000}"/>
    <cellStyle name="Accent3 78 2 2" xfId="36257" xr:uid="{00000000-0005-0000-0000-0000988D0000}"/>
    <cellStyle name="Accent3 78 3" xfId="36258" xr:uid="{00000000-0005-0000-0000-0000998D0000}"/>
    <cellStyle name="Accent3 79" xfId="36259" xr:uid="{00000000-0005-0000-0000-00009A8D0000}"/>
    <cellStyle name="Accent3 79 2" xfId="36260" xr:uid="{00000000-0005-0000-0000-00009B8D0000}"/>
    <cellStyle name="Accent3 79 2 2" xfId="36261" xr:uid="{00000000-0005-0000-0000-00009C8D0000}"/>
    <cellStyle name="Accent3 79 3" xfId="36262" xr:uid="{00000000-0005-0000-0000-00009D8D0000}"/>
    <cellStyle name="Accent3 8" xfId="36263" xr:uid="{00000000-0005-0000-0000-00009E8D0000}"/>
    <cellStyle name="Accent3 8 2" xfId="36264" xr:uid="{00000000-0005-0000-0000-00009F8D0000}"/>
    <cellStyle name="Accent3 8 2 2" xfId="36265" xr:uid="{00000000-0005-0000-0000-0000A08D0000}"/>
    <cellStyle name="Accent3 8 3" xfId="36266" xr:uid="{00000000-0005-0000-0000-0000A18D0000}"/>
    <cellStyle name="Accent3 8 3 2" xfId="36267" xr:uid="{00000000-0005-0000-0000-0000A28D0000}"/>
    <cellStyle name="Accent3 8 4" xfId="36268" xr:uid="{00000000-0005-0000-0000-0000A38D0000}"/>
    <cellStyle name="Accent3 8 4 2" xfId="36269" xr:uid="{00000000-0005-0000-0000-0000A48D0000}"/>
    <cellStyle name="Accent3 8 5" xfId="36270" xr:uid="{00000000-0005-0000-0000-0000A58D0000}"/>
    <cellStyle name="Accent3 80" xfId="36271" xr:uid="{00000000-0005-0000-0000-0000A68D0000}"/>
    <cellStyle name="Accent3 80 2" xfId="36272" xr:uid="{00000000-0005-0000-0000-0000A78D0000}"/>
    <cellStyle name="Accent3 80 2 2" xfId="36273" xr:uid="{00000000-0005-0000-0000-0000A88D0000}"/>
    <cellStyle name="Accent3 80 3" xfId="36274" xr:uid="{00000000-0005-0000-0000-0000A98D0000}"/>
    <cellStyle name="Accent3 81" xfId="36275" xr:uid="{00000000-0005-0000-0000-0000AA8D0000}"/>
    <cellStyle name="Accent3 81 2" xfId="36276" xr:uid="{00000000-0005-0000-0000-0000AB8D0000}"/>
    <cellStyle name="Accent3 81 2 2" xfId="36277" xr:uid="{00000000-0005-0000-0000-0000AC8D0000}"/>
    <cellStyle name="Accent3 81 3" xfId="36278" xr:uid="{00000000-0005-0000-0000-0000AD8D0000}"/>
    <cellStyle name="Accent3 82" xfId="36279" xr:uid="{00000000-0005-0000-0000-0000AE8D0000}"/>
    <cellStyle name="Accent3 82 2" xfId="36280" xr:uid="{00000000-0005-0000-0000-0000AF8D0000}"/>
    <cellStyle name="Accent3 82 2 2" xfId="36281" xr:uid="{00000000-0005-0000-0000-0000B08D0000}"/>
    <cellStyle name="Accent3 82 3" xfId="36282" xr:uid="{00000000-0005-0000-0000-0000B18D0000}"/>
    <cellStyle name="Accent3 83" xfId="36283" xr:uid="{00000000-0005-0000-0000-0000B28D0000}"/>
    <cellStyle name="Accent3 83 2" xfId="36284" xr:uid="{00000000-0005-0000-0000-0000B38D0000}"/>
    <cellStyle name="Accent3 83 2 2" xfId="36285" xr:uid="{00000000-0005-0000-0000-0000B48D0000}"/>
    <cellStyle name="Accent3 83 3" xfId="36286" xr:uid="{00000000-0005-0000-0000-0000B58D0000}"/>
    <cellStyle name="Accent3 84" xfId="36287" xr:uid="{00000000-0005-0000-0000-0000B68D0000}"/>
    <cellStyle name="Accent3 84 2" xfId="36288" xr:uid="{00000000-0005-0000-0000-0000B78D0000}"/>
    <cellStyle name="Accent3 84 2 2" xfId="36289" xr:uid="{00000000-0005-0000-0000-0000B88D0000}"/>
    <cellStyle name="Accent3 84 3" xfId="36290" xr:uid="{00000000-0005-0000-0000-0000B98D0000}"/>
    <cellStyle name="Accent3 85" xfId="36291" xr:uid="{00000000-0005-0000-0000-0000BA8D0000}"/>
    <cellStyle name="Accent3 85 2" xfId="36292" xr:uid="{00000000-0005-0000-0000-0000BB8D0000}"/>
    <cellStyle name="Accent3 85 2 2" xfId="36293" xr:uid="{00000000-0005-0000-0000-0000BC8D0000}"/>
    <cellStyle name="Accent3 85 3" xfId="36294" xr:uid="{00000000-0005-0000-0000-0000BD8D0000}"/>
    <cellStyle name="Accent3 86" xfId="36295" xr:uid="{00000000-0005-0000-0000-0000BE8D0000}"/>
    <cellStyle name="Accent3 86 2" xfId="36296" xr:uid="{00000000-0005-0000-0000-0000BF8D0000}"/>
    <cellStyle name="Accent3 86 2 2" xfId="36297" xr:uid="{00000000-0005-0000-0000-0000C08D0000}"/>
    <cellStyle name="Accent3 86 3" xfId="36298" xr:uid="{00000000-0005-0000-0000-0000C18D0000}"/>
    <cellStyle name="Accent3 87" xfId="36299" xr:uid="{00000000-0005-0000-0000-0000C28D0000}"/>
    <cellStyle name="Accent3 87 2" xfId="36300" xr:uid="{00000000-0005-0000-0000-0000C38D0000}"/>
    <cellStyle name="Accent3 87 2 2" xfId="36301" xr:uid="{00000000-0005-0000-0000-0000C48D0000}"/>
    <cellStyle name="Accent3 87 3" xfId="36302" xr:uid="{00000000-0005-0000-0000-0000C58D0000}"/>
    <cellStyle name="Accent3 88" xfId="36303" xr:uid="{00000000-0005-0000-0000-0000C68D0000}"/>
    <cellStyle name="Accent3 88 2" xfId="36304" xr:uid="{00000000-0005-0000-0000-0000C78D0000}"/>
    <cellStyle name="Accent3 88 2 2" xfId="36305" xr:uid="{00000000-0005-0000-0000-0000C88D0000}"/>
    <cellStyle name="Accent3 88 3" xfId="36306" xr:uid="{00000000-0005-0000-0000-0000C98D0000}"/>
    <cellStyle name="Accent3 89" xfId="36307" xr:uid="{00000000-0005-0000-0000-0000CA8D0000}"/>
    <cellStyle name="Accent3 89 2" xfId="36308" xr:uid="{00000000-0005-0000-0000-0000CB8D0000}"/>
    <cellStyle name="Accent3 89 2 2" xfId="36309" xr:uid="{00000000-0005-0000-0000-0000CC8D0000}"/>
    <cellStyle name="Accent3 89 3" xfId="36310" xr:uid="{00000000-0005-0000-0000-0000CD8D0000}"/>
    <cellStyle name="Accent3 9" xfId="36311" xr:uid="{00000000-0005-0000-0000-0000CE8D0000}"/>
    <cellStyle name="Accent3 9 2" xfId="36312" xr:uid="{00000000-0005-0000-0000-0000CF8D0000}"/>
    <cellStyle name="Accent3 9 2 2" xfId="36313" xr:uid="{00000000-0005-0000-0000-0000D08D0000}"/>
    <cellStyle name="Accent3 9 3" xfId="36314" xr:uid="{00000000-0005-0000-0000-0000D18D0000}"/>
    <cellStyle name="Accent3 9 3 2" xfId="36315" xr:uid="{00000000-0005-0000-0000-0000D28D0000}"/>
    <cellStyle name="Accent3 9 4" xfId="36316" xr:uid="{00000000-0005-0000-0000-0000D38D0000}"/>
    <cellStyle name="Accent3 9 4 2" xfId="36317" xr:uid="{00000000-0005-0000-0000-0000D48D0000}"/>
    <cellStyle name="Accent3 9 5" xfId="36318" xr:uid="{00000000-0005-0000-0000-0000D58D0000}"/>
    <cellStyle name="Accent3 90" xfId="36319" xr:uid="{00000000-0005-0000-0000-0000D68D0000}"/>
    <cellStyle name="Accent3 90 2" xfId="36320" xr:uid="{00000000-0005-0000-0000-0000D78D0000}"/>
    <cellStyle name="Accent3 90 2 2" xfId="36321" xr:uid="{00000000-0005-0000-0000-0000D88D0000}"/>
    <cellStyle name="Accent3 90 3" xfId="36322" xr:uid="{00000000-0005-0000-0000-0000D98D0000}"/>
    <cellStyle name="Accent3 91" xfId="36323" xr:uid="{00000000-0005-0000-0000-0000DA8D0000}"/>
    <cellStyle name="Accent3 91 2" xfId="36324" xr:uid="{00000000-0005-0000-0000-0000DB8D0000}"/>
    <cellStyle name="Accent3 91 2 2" xfId="36325" xr:uid="{00000000-0005-0000-0000-0000DC8D0000}"/>
    <cellStyle name="Accent3 91 3" xfId="36326" xr:uid="{00000000-0005-0000-0000-0000DD8D0000}"/>
    <cellStyle name="Accent3 92" xfId="36327" xr:uid="{00000000-0005-0000-0000-0000DE8D0000}"/>
    <cellStyle name="Accent3 92 2" xfId="36328" xr:uid="{00000000-0005-0000-0000-0000DF8D0000}"/>
    <cellStyle name="Accent3 92 2 2" xfId="36329" xr:uid="{00000000-0005-0000-0000-0000E08D0000}"/>
    <cellStyle name="Accent3 92 3" xfId="36330" xr:uid="{00000000-0005-0000-0000-0000E18D0000}"/>
    <cellStyle name="Accent3 93" xfId="36331" xr:uid="{00000000-0005-0000-0000-0000E28D0000}"/>
    <cellStyle name="Accent3 93 2" xfId="36332" xr:uid="{00000000-0005-0000-0000-0000E38D0000}"/>
    <cellStyle name="Accent3 93 2 2" xfId="36333" xr:uid="{00000000-0005-0000-0000-0000E48D0000}"/>
    <cellStyle name="Accent3 93 3" xfId="36334" xr:uid="{00000000-0005-0000-0000-0000E58D0000}"/>
    <cellStyle name="Accent3 94" xfId="36335" xr:uid="{00000000-0005-0000-0000-0000E68D0000}"/>
    <cellStyle name="Accent3 94 2" xfId="36336" xr:uid="{00000000-0005-0000-0000-0000E78D0000}"/>
    <cellStyle name="Accent3 94 2 2" xfId="36337" xr:uid="{00000000-0005-0000-0000-0000E88D0000}"/>
    <cellStyle name="Accent3 94 3" xfId="36338" xr:uid="{00000000-0005-0000-0000-0000E98D0000}"/>
    <cellStyle name="Accent3 95" xfId="36339" xr:uid="{00000000-0005-0000-0000-0000EA8D0000}"/>
    <cellStyle name="Accent3 95 2" xfId="36340" xr:uid="{00000000-0005-0000-0000-0000EB8D0000}"/>
    <cellStyle name="Accent3 95 2 2" xfId="36341" xr:uid="{00000000-0005-0000-0000-0000EC8D0000}"/>
    <cellStyle name="Accent3 95 3" xfId="36342" xr:uid="{00000000-0005-0000-0000-0000ED8D0000}"/>
    <cellStyle name="Accent3 96" xfId="36343" xr:uid="{00000000-0005-0000-0000-0000EE8D0000}"/>
    <cellStyle name="Accent3 96 2" xfId="36344" xr:uid="{00000000-0005-0000-0000-0000EF8D0000}"/>
    <cellStyle name="Accent3 96 2 2" xfId="36345" xr:uid="{00000000-0005-0000-0000-0000F08D0000}"/>
    <cellStyle name="Accent3 96 3" xfId="36346" xr:uid="{00000000-0005-0000-0000-0000F18D0000}"/>
    <cellStyle name="Accent3 97" xfId="36347" xr:uid="{00000000-0005-0000-0000-0000F28D0000}"/>
    <cellStyle name="Accent3 97 2" xfId="36348" xr:uid="{00000000-0005-0000-0000-0000F38D0000}"/>
    <cellStyle name="Accent3 97 2 2" xfId="36349" xr:uid="{00000000-0005-0000-0000-0000F48D0000}"/>
    <cellStyle name="Accent3 97 3" xfId="36350" xr:uid="{00000000-0005-0000-0000-0000F58D0000}"/>
    <cellStyle name="Accent3 98" xfId="36351" xr:uid="{00000000-0005-0000-0000-0000F68D0000}"/>
    <cellStyle name="Accent3 98 2" xfId="36352" xr:uid="{00000000-0005-0000-0000-0000F78D0000}"/>
    <cellStyle name="Accent3 98 2 2" xfId="36353" xr:uid="{00000000-0005-0000-0000-0000F88D0000}"/>
    <cellStyle name="Accent3 98 3" xfId="36354" xr:uid="{00000000-0005-0000-0000-0000F98D0000}"/>
    <cellStyle name="Accent3 99" xfId="36355" xr:uid="{00000000-0005-0000-0000-0000FA8D0000}"/>
    <cellStyle name="Accent3 99 2" xfId="36356" xr:uid="{00000000-0005-0000-0000-0000FB8D0000}"/>
    <cellStyle name="Accent3 99 2 2" xfId="36357" xr:uid="{00000000-0005-0000-0000-0000FC8D0000}"/>
    <cellStyle name="Accent3 99 3" xfId="36358" xr:uid="{00000000-0005-0000-0000-0000FD8D0000}"/>
    <cellStyle name="Accent4 - 20%" xfId="36359" xr:uid="{00000000-0005-0000-0000-0000FE8D0000}"/>
    <cellStyle name="Accent4 - 20% 2" xfId="36360" xr:uid="{00000000-0005-0000-0000-0000FF8D0000}"/>
    <cellStyle name="Accent4 - 20% 2 2" xfId="36361" xr:uid="{00000000-0005-0000-0000-0000008E0000}"/>
    <cellStyle name="Accent4 - 20% 3" xfId="36362" xr:uid="{00000000-0005-0000-0000-0000018E0000}"/>
    <cellStyle name="Accent4 - 40%" xfId="36363" xr:uid="{00000000-0005-0000-0000-0000028E0000}"/>
    <cellStyle name="Accent4 - 40% 2" xfId="36364" xr:uid="{00000000-0005-0000-0000-0000038E0000}"/>
    <cellStyle name="Accent4 - 40% 2 2" xfId="36365" xr:uid="{00000000-0005-0000-0000-0000048E0000}"/>
    <cellStyle name="Accent4 - 40% 3" xfId="36366" xr:uid="{00000000-0005-0000-0000-0000058E0000}"/>
    <cellStyle name="Accent4 - 40% 3 2" xfId="36367" xr:uid="{00000000-0005-0000-0000-0000068E0000}"/>
    <cellStyle name="Accent4 - 40% 4" xfId="36368" xr:uid="{00000000-0005-0000-0000-0000078E0000}"/>
    <cellStyle name="Accent4 - 40% 4 2" xfId="36369" xr:uid="{00000000-0005-0000-0000-0000088E0000}"/>
    <cellStyle name="Accent4 - 40% 5" xfId="36370" xr:uid="{00000000-0005-0000-0000-0000098E0000}"/>
    <cellStyle name="Accent4 - 40% 5 2" xfId="36371" xr:uid="{00000000-0005-0000-0000-00000A8E0000}"/>
    <cellStyle name="Accent4 - 40% 6" xfId="36372" xr:uid="{00000000-0005-0000-0000-00000B8E0000}"/>
    <cellStyle name="Accent4 - 60%" xfId="36373" xr:uid="{00000000-0005-0000-0000-00000C8E0000}"/>
    <cellStyle name="Accent4 - 60% 2" xfId="36374" xr:uid="{00000000-0005-0000-0000-00000D8E0000}"/>
    <cellStyle name="Accent4 - 60% 2 2" xfId="36375" xr:uid="{00000000-0005-0000-0000-00000E8E0000}"/>
    <cellStyle name="Accent4 - 60% 3" xfId="36376" xr:uid="{00000000-0005-0000-0000-00000F8E0000}"/>
    <cellStyle name="Accent4 - 60% 3 2" xfId="36377" xr:uid="{00000000-0005-0000-0000-0000108E0000}"/>
    <cellStyle name="Accent4 - 60% 4" xfId="36378" xr:uid="{00000000-0005-0000-0000-0000118E0000}"/>
    <cellStyle name="Accent4 - 60% 4 2" xfId="36379" xr:uid="{00000000-0005-0000-0000-0000128E0000}"/>
    <cellStyle name="Accent4 - 60% 5" xfId="36380" xr:uid="{00000000-0005-0000-0000-0000138E0000}"/>
    <cellStyle name="Accent4 - 60% 5 2" xfId="36381" xr:uid="{00000000-0005-0000-0000-0000148E0000}"/>
    <cellStyle name="Accent4 - 60% 6" xfId="36382" xr:uid="{00000000-0005-0000-0000-0000158E0000}"/>
    <cellStyle name="Accent4 10" xfId="36383" xr:uid="{00000000-0005-0000-0000-0000168E0000}"/>
    <cellStyle name="Accent4 10 2" xfId="36384" xr:uid="{00000000-0005-0000-0000-0000178E0000}"/>
    <cellStyle name="Accent4 10 2 2" xfId="36385" xr:uid="{00000000-0005-0000-0000-0000188E0000}"/>
    <cellStyle name="Accent4 10 3" xfId="36386" xr:uid="{00000000-0005-0000-0000-0000198E0000}"/>
    <cellStyle name="Accent4 100" xfId="36387" xr:uid="{00000000-0005-0000-0000-00001A8E0000}"/>
    <cellStyle name="Accent4 100 2" xfId="36388" xr:uid="{00000000-0005-0000-0000-00001B8E0000}"/>
    <cellStyle name="Accent4 100 2 2" xfId="36389" xr:uid="{00000000-0005-0000-0000-00001C8E0000}"/>
    <cellStyle name="Accent4 100 3" xfId="36390" xr:uid="{00000000-0005-0000-0000-00001D8E0000}"/>
    <cellStyle name="Accent4 101" xfId="36391" xr:uid="{00000000-0005-0000-0000-00001E8E0000}"/>
    <cellStyle name="Accent4 101 2" xfId="36392" xr:uid="{00000000-0005-0000-0000-00001F8E0000}"/>
    <cellStyle name="Accent4 101 2 2" xfId="36393" xr:uid="{00000000-0005-0000-0000-0000208E0000}"/>
    <cellStyle name="Accent4 101 3" xfId="36394" xr:uid="{00000000-0005-0000-0000-0000218E0000}"/>
    <cellStyle name="Accent4 102" xfId="36395" xr:uid="{00000000-0005-0000-0000-0000228E0000}"/>
    <cellStyle name="Accent4 102 2" xfId="36396" xr:uid="{00000000-0005-0000-0000-0000238E0000}"/>
    <cellStyle name="Accent4 102 2 2" xfId="36397" xr:uid="{00000000-0005-0000-0000-0000248E0000}"/>
    <cellStyle name="Accent4 102 3" xfId="36398" xr:uid="{00000000-0005-0000-0000-0000258E0000}"/>
    <cellStyle name="Accent4 103" xfId="36399" xr:uid="{00000000-0005-0000-0000-0000268E0000}"/>
    <cellStyle name="Accent4 103 2" xfId="36400" xr:uid="{00000000-0005-0000-0000-0000278E0000}"/>
    <cellStyle name="Accent4 103 2 2" xfId="36401" xr:uid="{00000000-0005-0000-0000-0000288E0000}"/>
    <cellStyle name="Accent4 103 3" xfId="36402" xr:uid="{00000000-0005-0000-0000-0000298E0000}"/>
    <cellStyle name="Accent4 104" xfId="36403" xr:uid="{00000000-0005-0000-0000-00002A8E0000}"/>
    <cellStyle name="Accent4 104 2" xfId="36404" xr:uid="{00000000-0005-0000-0000-00002B8E0000}"/>
    <cellStyle name="Accent4 104 2 2" xfId="36405" xr:uid="{00000000-0005-0000-0000-00002C8E0000}"/>
    <cellStyle name="Accent4 104 3" xfId="36406" xr:uid="{00000000-0005-0000-0000-00002D8E0000}"/>
    <cellStyle name="Accent4 105" xfId="36407" xr:uid="{00000000-0005-0000-0000-00002E8E0000}"/>
    <cellStyle name="Accent4 105 2" xfId="36408" xr:uid="{00000000-0005-0000-0000-00002F8E0000}"/>
    <cellStyle name="Accent4 105 2 2" xfId="36409" xr:uid="{00000000-0005-0000-0000-0000308E0000}"/>
    <cellStyle name="Accent4 105 3" xfId="36410" xr:uid="{00000000-0005-0000-0000-0000318E0000}"/>
    <cellStyle name="Accent4 106" xfId="36411" xr:uid="{00000000-0005-0000-0000-0000328E0000}"/>
    <cellStyle name="Accent4 106 2" xfId="36412" xr:uid="{00000000-0005-0000-0000-0000338E0000}"/>
    <cellStyle name="Accent4 106 2 2" xfId="36413" xr:uid="{00000000-0005-0000-0000-0000348E0000}"/>
    <cellStyle name="Accent4 106 3" xfId="36414" xr:uid="{00000000-0005-0000-0000-0000358E0000}"/>
    <cellStyle name="Accent4 107" xfId="36415" xr:uid="{00000000-0005-0000-0000-0000368E0000}"/>
    <cellStyle name="Accent4 107 2" xfId="36416" xr:uid="{00000000-0005-0000-0000-0000378E0000}"/>
    <cellStyle name="Accent4 107 2 2" xfId="36417" xr:uid="{00000000-0005-0000-0000-0000388E0000}"/>
    <cellStyle name="Accent4 107 3" xfId="36418" xr:uid="{00000000-0005-0000-0000-0000398E0000}"/>
    <cellStyle name="Accent4 108" xfId="36419" xr:uid="{00000000-0005-0000-0000-00003A8E0000}"/>
    <cellStyle name="Accent4 108 2" xfId="36420" xr:uid="{00000000-0005-0000-0000-00003B8E0000}"/>
    <cellStyle name="Accent4 108 2 2" xfId="36421" xr:uid="{00000000-0005-0000-0000-00003C8E0000}"/>
    <cellStyle name="Accent4 108 3" xfId="36422" xr:uid="{00000000-0005-0000-0000-00003D8E0000}"/>
    <cellStyle name="Accent4 109" xfId="36423" xr:uid="{00000000-0005-0000-0000-00003E8E0000}"/>
    <cellStyle name="Accent4 109 2" xfId="36424" xr:uid="{00000000-0005-0000-0000-00003F8E0000}"/>
    <cellStyle name="Accent4 109 2 2" xfId="36425" xr:uid="{00000000-0005-0000-0000-0000408E0000}"/>
    <cellStyle name="Accent4 109 3" xfId="36426" xr:uid="{00000000-0005-0000-0000-0000418E0000}"/>
    <cellStyle name="Accent4 11" xfId="36427" xr:uid="{00000000-0005-0000-0000-0000428E0000}"/>
    <cellStyle name="Accent4 11 2" xfId="36428" xr:uid="{00000000-0005-0000-0000-0000438E0000}"/>
    <cellStyle name="Accent4 11 2 2" xfId="36429" xr:uid="{00000000-0005-0000-0000-0000448E0000}"/>
    <cellStyle name="Accent4 11 3" xfId="36430" xr:uid="{00000000-0005-0000-0000-0000458E0000}"/>
    <cellStyle name="Accent4 110" xfId="36431" xr:uid="{00000000-0005-0000-0000-0000468E0000}"/>
    <cellStyle name="Accent4 110 2" xfId="36432" xr:uid="{00000000-0005-0000-0000-0000478E0000}"/>
    <cellStyle name="Accent4 110 2 2" xfId="36433" xr:uid="{00000000-0005-0000-0000-0000488E0000}"/>
    <cellStyle name="Accent4 110 3" xfId="36434" xr:uid="{00000000-0005-0000-0000-0000498E0000}"/>
    <cellStyle name="Accent4 111" xfId="36435" xr:uid="{00000000-0005-0000-0000-00004A8E0000}"/>
    <cellStyle name="Accent4 111 2" xfId="36436" xr:uid="{00000000-0005-0000-0000-00004B8E0000}"/>
    <cellStyle name="Accent4 111 2 2" xfId="36437" xr:uid="{00000000-0005-0000-0000-00004C8E0000}"/>
    <cellStyle name="Accent4 111 3" xfId="36438" xr:uid="{00000000-0005-0000-0000-00004D8E0000}"/>
    <cellStyle name="Accent4 112" xfId="36439" xr:uid="{00000000-0005-0000-0000-00004E8E0000}"/>
    <cellStyle name="Accent4 112 2" xfId="36440" xr:uid="{00000000-0005-0000-0000-00004F8E0000}"/>
    <cellStyle name="Accent4 112 2 2" xfId="36441" xr:uid="{00000000-0005-0000-0000-0000508E0000}"/>
    <cellStyle name="Accent4 112 3" xfId="36442" xr:uid="{00000000-0005-0000-0000-0000518E0000}"/>
    <cellStyle name="Accent4 113" xfId="36443" xr:uid="{00000000-0005-0000-0000-0000528E0000}"/>
    <cellStyle name="Accent4 113 2" xfId="36444" xr:uid="{00000000-0005-0000-0000-0000538E0000}"/>
    <cellStyle name="Accent4 113 2 2" xfId="36445" xr:uid="{00000000-0005-0000-0000-0000548E0000}"/>
    <cellStyle name="Accent4 113 3" xfId="36446" xr:uid="{00000000-0005-0000-0000-0000558E0000}"/>
    <cellStyle name="Accent4 114" xfId="36447" xr:uid="{00000000-0005-0000-0000-0000568E0000}"/>
    <cellStyle name="Accent4 114 2" xfId="36448" xr:uid="{00000000-0005-0000-0000-0000578E0000}"/>
    <cellStyle name="Accent4 114 2 2" xfId="36449" xr:uid="{00000000-0005-0000-0000-0000588E0000}"/>
    <cellStyle name="Accent4 114 3" xfId="36450" xr:uid="{00000000-0005-0000-0000-0000598E0000}"/>
    <cellStyle name="Accent4 115" xfId="36451" xr:uid="{00000000-0005-0000-0000-00005A8E0000}"/>
    <cellStyle name="Accent4 115 2" xfId="36452" xr:uid="{00000000-0005-0000-0000-00005B8E0000}"/>
    <cellStyle name="Accent4 115 2 2" xfId="36453" xr:uid="{00000000-0005-0000-0000-00005C8E0000}"/>
    <cellStyle name="Accent4 115 3" xfId="36454" xr:uid="{00000000-0005-0000-0000-00005D8E0000}"/>
    <cellStyle name="Accent4 116" xfId="36455" xr:uid="{00000000-0005-0000-0000-00005E8E0000}"/>
    <cellStyle name="Accent4 116 2" xfId="36456" xr:uid="{00000000-0005-0000-0000-00005F8E0000}"/>
    <cellStyle name="Accent4 116 2 2" xfId="36457" xr:uid="{00000000-0005-0000-0000-0000608E0000}"/>
    <cellStyle name="Accent4 116 3" xfId="36458" xr:uid="{00000000-0005-0000-0000-0000618E0000}"/>
    <cellStyle name="Accent4 117" xfId="36459" xr:uid="{00000000-0005-0000-0000-0000628E0000}"/>
    <cellStyle name="Accent4 117 2" xfId="36460" xr:uid="{00000000-0005-0000-0000-0000638E0000}"/>
    <cellStyle name="Accent4 117 2 2" xfId="36461" xr:uid="{00000000-0005-0000-0000-0000648E0000}"/>
    <cellStyle name="Accent4 117 3" xfId="36462" xr:uid="{00000000-0005-0000-0000-0000658E0000}"/>
    <cellStyle name="Accent4 118" xfId="36463" xr:uid="{00000000-0005-0000-0000-0000668E0000}"/>
    <cellStyle name="Accent4 118 2" xfId="36464" xr:uid="{00000000-0005-0000-0000-0000678E0000}"/>
    <cellStyle name="Accent4 118 2 2" xfId="36465" xr:uid="{00000000-0005-0000-0000-0000688E0000}"/>
    <cellStyle name="Accent4 118 3" xfId="36466" xr:uid="{00000000-0005-0000-0000-0000698E0000}"/>
    <cellStyle name="Accent4 119" xfId="36467" xr:uid="{00000000-0005-0000-0000-00006A8E0000}"/>
    <cellStyle name="Accent4 119 2" xfId="36468" xr:uid="{00000000-0005-0000-0000-00006B8E0000}"/>
    <cellStyle name="Accent4 119 2 2" xfId="36469" xr:uid="{00000000-0005-0000-0000-00006C8E0000}"/>
    <cellStyle name="Accent4 119 3" xfId="36470" xr:uid="{00000000-0005-0000-0000-00006D8E0000}"/>
    <cellStyle name="Accent4 12" xfId="36471" xr:uid="{00000000-0005-0000-0000-00006E8E0000}"/>
    <cellStyle name="Accent4 12 2" xfId="36472" xr:uid="{00000000-0005-0000-0000-00006F8E0000}"/>
    <cellStyle name="Accent4 12 2 2" xfId="36473" xr:uid="{00000000-0005-0000-0000-0000708E0000}"/>
    <cellStyle name="Accent4 12 3" xfId="36474" xr:uid="{00000000-0005-0000-0000-0000718E0000}"/>
    <cellStyle name="Accent4 120" xfId="36475" xr:uid="{00000000-0005-0000-0000-0000728E0000}"/>
    <cellStyle name="Accent4 120 2" xfId="36476" xr:uid="{00000000-0005-0000-0000-0000738E0000}"/>
    <cellStyle name="Accent4 120 2 2" xfId="36477" xr:uid="{00000000-0005-0000-0000-0000748E0000}"/>
    <cellStyle name="Accent4 120 3" xfId="36478" xr:uid="{00000000-0005-0000-0000-0000758E0000}"/>
    <cellStyle name="Accent4 121" xfId="36479" xr:uid="{00000000-0005-0000-0000-0000768E0000}"/>
    <cellStyle name="Accent4 121 2" xfId="36480" xr:uid="{00000000-0005-0000-0000-0000778E0000}"/>
    <cellStyle name="Accent4 121 2 2" xfId="36481" xr:uid="{00000000-0005-0000-0000-0000788E0000}"/>
    <cellStyle name="Accent4 121 3" xfId="36482" xr:uid="{00000000-0005-0000-0000-0000798E0000}"/>
    <cellStyle name="Accent4 122" xfId="36483" xr:uid="{00000000-0005-0000-0000-00007A8E0000}"/>
    <cellStyle name="Accent4 122 2" xfId="36484" xr:uid="{00000000-0005-0000-0000-00007B8E0000}"/>
    <cellStyle name="Accent4 122 2 2" xfId="36485" xr:uid="{00000000-0005-0000-0000-00007C8E0000}"/>
    <cellStyle name="Accent4 122 3" xfId="36486" xr:uid="{00000000-0005-0000-0000-00007D8E0000}"/>
    <cellStyle name="Accent4 123" xfId="36487" xr:uid="{00000000-0005-0000-0000-00007E8E0000}"/>
    <cellStyle name="Accent4 123 2" xfId="36488" xr:uid="{00000000-0005-0000-0000-00007F8E0000}"/>
    <cellStyle name="Accent4 123 2 2" xfId="36489" xr:uid="{00000000-0005-0000-0000-0000808E0000}"/>
    <cellStyle name="Accent4 123 3" xfId="36490" xr:uid="{00000000-0005-0000-0000-0000818E0000}"/>
    <cellStyle name="Accent4 124" xfId="36491" xr:uid="{00000000-0005-0000-0000-0000828E0000}"/>
    <cellStyle name="Accent4 124 2" xfId="36492" xr:uid="{00000000-0005-0000-0000-0000838E0000}"/>
    <cellStyle name="Accent4 124 2 2" xfId="36493" xr:uid="{00000000-0005-0000-0000-0000848E0000}"/>
    <cellStyle name="Accent4 124 3" xfId="36494" xr:uid="{00000000-0005-0000-0000-0000858E0000}"/>
    <cellStyle name="Accent4 125" xfId="36495" xr:uid="{00000000-0005-0000-0000-0000868E0000}"/>
    <cellStyle name="Accent4 125 2" xfId="36496" xr:uid="{00000000-0005-0000-0000-0000878E0000}"/>
    <cellStyle name="Accent4 125 2 2" xfId="36497" xr:uid="{00000000-0005-0000-0000-0000888E0000}"/>
    <cellStyle name="Accent4 125 3" xfId="36498" xr:uid="{00000000-0005-0000-0000-0000898E0000}"/>
    <cellStyle name="Accent4 126" xfId="36499" xr:uid="{00000000-0005-0000-0000-00008A8E0000}"/>
    <cellStyle name="Accent4 126 2" xfId="36500" xr:uid="{00000000-0005-0000-0000-00008B8E0000}"/>
    <cellStyle name="Accent4 126 2 2" xfId="36501" xr:uid="{00000000-0005-0000-0000-00008C8E0000}"/>
    <cellStyle name="Accent4 126 3" xfId="36502" xr:uid="{00000000-0005-0000-0000-00008D8E0000}"/>
    <cellStyle name="Accent4 127" xfId="36503" xr:uid="{00000000-0005-0000-0000-00008E8E0000}"/>
    <cellStyle name="Accent4 127 2" xfId="36504" xr:uid="{00000000-0005-0000-0000-00008F8E0000}"/>
    <cellStyle name="Accent4 127 2 2" xfId="36505" xr:uid="{00000000-0005-0000-0000-0000908E0000}"/>
    <cellStyle name="Accent4 127 3" xfId="36506" xr:uid="{00000000-0005-0000-0000-0000918E0000}"/>
    <cellStyle name="Accent4 128" xfId="36507" xr:uid="{00000000-0005-0000-0000-0000928E0000}"/>
    <cellStyle name="Accent4 128 2" xfId="36508" xr:uid="{00000000-0005-0000-0000-0000938E0000}"/>
    <cellStyle name="Accent4 128 2 2" xfId="36509" xr:uid="{00000000-0005-0000-0000-0000948E0000}"/>
    <cellStyle name="Accent4 128 3" xfId="36510" xr:uid="{00000000-0005-0000-0000-0000958E0000}"/>
    <cellStyle name="Accent4 129" xfId="36511" xr:uid="{00000000-0005-0000-0000-0000968E0000}"/>
    <cellStyle name="Accent4 129 2" xfId="36512" xr:uid="{00000000-0005-0000-0000-0000978E0000}"/>
    <cellStyle name="Accent4 129 2 2" xfId="36513" xr:uid="{00000000-0005-0000-0000-0000988E0000}"/>
    <cellStyle name="Accent4 129 3" xfId="36514" xr:uid="{00000000-0005-0000-0000-0000998E0000}"/>
    <cellStyle name="Accent4 13" xfId="36515" xr:uid="{00000000-0005-0000-0000-00009A8E0000}"/>
    <cellStyle name="Accent4 13 2" xfId="36516" xr:uid="{00000000-0005-0000-0000-00009B8E0000}"/>
    <cellStyle name="Accent4 13 2 2" xfId="36517" xr:uid="{00000000-0005-0000-0000-00009C8E0000}"/>
    <cellStyle name="Accent4 13 3" xfId="36518" xr:uid="{00000000-0005-0000-0000-00009D8E0000}"/>
    <cellStyle name="Accent4 130" xfId="36519" xr:uid="{00000000-0005-0000-0000-00009E8E0000}"/>
    <cellStyle name="Accent4 130 2" xfId="36520" xr:uid="{00000000-0005-0000-0000-00009F8E0000}"/>
    <cellStyle name="Accent4 130 2 2" xfId="36521" xr:uid="{00000000-0005-0000-0000-0000A08E0000}"/>
    <cellStyle name="Accent4 130 3" xfId="36522" xr:uid="{00000000-0005-0000-0000-0000A18E0000}"/>
    <cellStyle name="Accent4 131" xfId="36523" xr:uid="{00000000-0005-0000-0000-0000A28E0000}"/>
    <cellStyle name="Accent4 131 2" xfId="36524" xr:uid="{00000000-0005-0000-0000-0000A38E0000}"/>
    <cellStyle name="Accent4 131 2 2" xfId="36525" xr:uid="{00000000-0005-0000-0000-0000A48E0000}"/>
    <cellStyle name="Accent4 131 3" xfId="36526" xr:uid="{00000000-0005-0000-0000-0000A58E0000}"/>
    <cellStyle name="Accent4 132" xfId="36527" xr:uid="{00000000-0005-0000-0000-0000A68E0000}"/>
    <cellStyle name="Accent4 132 2" xfId="36528" xr:uid="{00000000-0005-0000-0000-0000A78E0000}"/>
    <cellStyle name="Accent4 132 2 2" xfId="36529" xr:uid="{00000000-0005-0000-0000-0000A88E0000}"/>
    <cellStyle name="Accent4 132 3" xfId="36530" xr:uid="{00000000-0005-0000-0000-0000A98E0000}"/>
    <cellStyle name="Accent4 133" xfId="36531" xr:uid="{00000000-0005-0000-0000-0000AA8E0000}"/>
    <cellStyle name="Accent4 133 2" xfId="36532" xr:uid="{00000000-0005-0000-0000-0000AB8E0000}"/>
    <cellStyle name="Accent4 133 2 2" xfId="36533" xr:uid="{00000000-0005-0000-0000-0000AC8E0000}"/>
    <cellStyle name="Accent4 133 3" xfId="36534" xr:uid="{00000000-0005-0000-0000-0000AD8E0000}"/>
    <cellStyle name="Accent4 134" xfId="36535" xr:uid="{00000000-0005-0000-0000-0000AE8E0000}"/>
    <cellStyle name="Accent4 134 2" xfId="36536" xr:uid="{00000000-0005-0000-0000-0000AF8E0000}"/>
    <cellStyle name="Accent4 134 2 2" xfId="36537" xr:uid="{00000000-0005-0000-0000-0000B08E0000}"/>
    <cellStyle name="Accent4 134 3" xfId="36538" xr:uid="{00000000-0005-0000-0000-0000B18E0000}"/>
    <cellStyle name="Accent4 135" xfId="36539" xr:uid="{00000000-0005-0000-0000-0000B28E0000}"/>
    <cellStyle name="Accent4 135 2" xfId="36540" xr:uid="{00000000-0005-0000-0000-0000B38E0000}"/>
    <cellStyle name="Accent4 135 2 2" xfId="36541" xr:uid="{00000000-0005-0000-0000-0000B48E0000}"/>
    <cellStyle name="Accent4 135 3" xfId="36542" xr:uid="{00000000-0005-0000-0000-0000B58E0000}"/>
    <cellStyle name="Accent4 136" xfId="36543" xr:uid="{00000000-0005-0000-0000-0000B68E0000}"/>
    <cellStyle name="Accent4 136 2" xfId="36544" xr:uid="{00000000-0005-0000-0000-0000B78E0000}"/>
    <cellStyle name="Accent4 136 2 2" xfId="36545" xr:uid="{00000000-0005-0000-0000-0000B88E0000}"/>
    <cellStyle name="Accent4 136 3" xfId="36546" xr:uid="{00000000-0005-0000-0000-0000B98E0000}"/>
    <cellStyle name="Accent4 137" xfId="36547" xr:uid="{00000000-0005-0000-0000-0000BA8E0000}"/>
    <cellStyle name="Accent4 137 2" xfId="36548" xr:uid="{00000000-0005-0000-0000-0000BB8E0000}"/>
    <cellStyle name="Accent4 137 2 2" xfId="36549" xr:uid="{00000000-0005-0000-0000-0000BC8E0000}"/>
    <cellStyle name="Accent4 137 3" xfId="36550" xr:uid="{00000000-0005-0000-0000-0000BD8E0000}"/>
    <cellStyle name="Accent4 138" xfId="36551" xr:uid="{00000000-0005-0000-0000-0000BE8E0000}"/>
    <cellStyle name="Accent4 138 2" xfId="36552" xr:uid="{00000000-0005-0000-0000-0000BF8E0000}"/>
    <cellStyle name="Accent4 138 2 2" xfId="36553" xr:uid="{00000000-0005-0000-0000-0000C08E0000}"/>
    <cellStyle name="Accent4 138 3" xfId="36554" xr:uid="{00000000-0005-0000-0000-0000C18E0000}"/>
    <cellStyle name="Accent4 139" xfId="36555" xr:uid="{00000000-0005-0000-0000-0000C28E0000}"/>
    <cellStyle name="Accent4 139 2" xfId="36556" xr:uid="{00000000-0005-0000-0000-0000C38E0000}"/>
    <cellStyle name="Accent4 139 2 2" xfId="36557" xr:uid="{00000000-0005-0000-0000-0000C48E0000}"/>
    <cellStyle name="Accent4 139 3" xfId="36558" xr:uid="{00000000-0005-0000-0000-0000C58E0000}"/>
    <cellStyle name="Accent4 14" xfId="36559" xr:uid="{00000000-0005-0000-0000-0000C68E0000}"/>
    <cellStyle name="Accent4 14 2" xfId="36560" xr:uid="{00000000-0005-0000-0000-0000C78E0000}"/>
    <cellStyle name="Accent4 14 2 2" xfId="36561" xr:uid="{00000000-0005-0000-0000-0000C88E0000}"/>
    <cellStyle name="Accent4 14 3" xfId="36562" xr:uid="{00000000-0005-0000-0000-0000C98E0000}"/>
    <cellStyle name="Accent4 140" xfId="36563" xr:uid="{00000000-0005-0000-0000-0000CA8E0000}"/>
    <cellStyle name="Accent4 140 2" xfId="36564" xr:uid="{00000000-0005-0000-0000-0000CB8E0000}"/>
    <cellStyle name="Accent4 140 2 2" xfId="36565" xr:uid="{00000000-0005-0000-0000-0000CC8E0000}"/>
    <cellStyle name="Accent4 140 3" xfId="36566" xr:uid="{00000000-0005-0000-0000-0000CD8E0000}"/>
    <cellStyle name="Accent4 141" xfId="36567" xr:uid="{00000000-0005-0000-0000-0000CE8E0000}"/>
    <cellStyle name="Accent4 141 2" xfId="36568" xr:uid="{00000000-0005-0000-0000-0000CF8E0000}"/>
    <cellStyle name="Accent4 141 2 2" xfId="36569" xr:uid="{00000000-0005-0000-0000-0000D08E0000}"/>
    <cellStyle name="Accent4 141 3" xfId="36570" xr:uid="{00000000-0005-0000-0000-0000D18E0000}"/>
    <cellStyle name="Accent4 142" xfId="36571" xr:uid="{00000000-0005-0000-0000-0000D28E0000}"/>
    <cellStyle name="Accent4 142 2" xfId="36572" xr:uid="{00000000-0005-0000-0000-0000D38E0000}"/>
    <cellStyle name="Accent4 142 2 2" xfId="36573" xr:uid="{00000000-0005-0000-0000-0000D48E0000}"/>
    <cellStyle name="Accent4 142 3" xfId="36574" xr:uid="{00000000-0005-0000-0000-0000D58E0000}"/>
    <cellStyle name="Accent4 143" xfId="36575" xr:uid="{00000000-0005-0000-0000-0000D68E0000}"/>
    <cellStyle name="Accent4 143 2" xfId="36576" xr:uid="{00000000-0005-0000-0000-0000D78E0000}"/>
    <cellStyle name="Accent4 143 2 2" xfId="36577" xr:uid="{00000000-0005-0000-0000-0000D88E0000}"/>
    <cellStyle name="Accent4 143 3" xfId="36578" xr:uid="{00000000-0005-0000-0000-0000D98E0000}"/>
    <cellStyle name="Accent4 144" xfId="36579" xr:uid="{00000000-0005-0000-0000-0000DA8E0000}"/>
    <cellStyle name="Accent4 144 2" xfId="36580" xr:uid="{00000000-0005-0000-0000-0000DB8E0000}"/>
    <cellStyle name="Accent4 144 2 2" xfId="36581" xr:uid="{00000000-0005-0000-0000-0000DC8E0000}"/>
    <cellStyle name="Accent4 144 3" xfId="36582" xr:uid="{00000000-0005-0000-0000-0000DD8E0000}"/>
    <cellStyle name="Accent4 145" xfId="36583" xr:uid="{00000000-0005-0000-0000-0000DE8E0000}"/>
    <cellStyle name="Accent4 145 2" xfId="36584" xr:uid="{00000000-0005-0000-0000-0000DF8E0000}"/>
    <cellStyle name="Accent4 145 2 2" xfId="36585" xr:uid="{00000000-0005-0000-0000-0000E08E0000}"/>
    <cellStyle name="Accent4 145 3" xfId="36586" xr:uid="{00000000-0005-0000-0000-0000E18E0000}"/>
    <cellStyle name="Accent4 146" xfId="36587" xr:uid="{00000000-0005-0000-0000-0000E28E0000}"/>
    <cellStyle name="Accent4 146 2" xfId="36588" xr:uid="{00000000-0005-0000-0000-0000E38E0000}"/>
    <cellStyle name="Accent4 146 2 2" xfId="36589" xr:uid="{00000000-0005-0000-0000-0000E48E0000}"/>
    <cellStyle name="Accent4 146 3" xfId="36590" xr:uid="{00000000-0005-0000-0000-0000E58E0000}"/>
    <cellStyle name="Accent4 147" xfId="36591" xr:uid="{00000000-0005-0000-0000-0000E68E0000}"/>
    <cellStyle name="Accent4 147 2" xfId="36592" xr:uid="{00000000-0005-0000-0000-0000E78E0000}"/>
    <cellStyle name="Accent4 147 2 2" xfId="36593" xr:uid="{00000000-0005-0000-0000-0000E88E0000}"/>
    <cellStyle name="Accent4 147 3" xfId="36594" xr:uid="{00000000-0005-0000-0000-0000E98E0000}"/>
    <cellStyle name="Accent4 148" xfId="36595" xr:uid="{00000000-0005-0000-0000-0000EA8E0000}"/>
    <cellStyle name="Accent4 148 2" xfId="36596" xr:uid="{00000000-0005-0000-0000-0000EB8E0000}"/>
    <cellStyle name="Accent4 148 2 2" xfId="36597" xr:uid="{00000000-0005-0000-0000-0000EC8E0000}"/>
    <cellStyle name="Accent4 148 3" xfId="36598" xr:uid="{00000000-0005-0000-0000-0000ED8E0000}"/>
    <cellStyle name="Accent4 149" xfId="36599" xr:uid="{00000000-0005-0000-0000-0000EE8E0000}"/>
    <cellStyle name="Accent4 149 2" xfId="36600" xr:uid="{00000000-0005-0000-0000-0000EF8E0000}"/>
    <cellStyle name="Accent4 149 2 2" xfId="36601" xr:uid="{00000000-0005-0000-0000-0000F08E0000}"/>
    <cellStyle name="Accent4 149 3" xfId="36602" xr:uid="{00000000-0005-0000-0000-0000F18E0000}"/>
    <cellStyle name="Accent4 15" xfId="36603" xr:uid="{00000000-0005-0000-0000-0000F28E0000}"/>
    <cellStyle name="Accent4 15 2" xfId="36604" xr:uid="{00000000-0005-0000-0000-0000F38E0000}"/>
    <cellStyle name="Accent4 15 2 2" xfId="36605" xr:uid="{00000000-0005-0000-0000-0000F48E0000}"/>
    <cellStyle name="Accent4 15 3" xfId="36606" xr:uid="{00000000-0005-0000-0000-0000F58E0000}"/>
    <cellStyle name="Accent4 150" xfId="36607" xr:uid="{00000000-0005-0000-0000-0000F68E0000}"/>
    <cellStyle name="Accent4 150 2" xfId="36608" xr:uid="{00000000-0005-0000-0000-0000F78E0000}"/>
    <cellStyle name="Accent4 150 2 2" xfId="36609" xr:uid="{00000000-0005-0000-0000-0000F88E0000}"/>
    <cellStyle name="Accent4 150 3" xfId="36610" xr:uid="{00000000-0005-0000-0000-0000F98E0000}"/>
    <cellStyle name="Accent4 151" xfId="36611" xr:uid="{00000000-0005-0000-0000-0000FA8E0000}"/>
    <cellStyle name="Accent4 151 2" xfId="36612" xr:uid="{00000000-0005-0000-0000-0000FB8E0000}"/>
    <cellStyle name="Accent4 151 2 2" xfId="36613" xr:uid="{00000000-0005-0000-0000-0000FC8E0000}"/>
    <cellStyle name="Accent4 151 3" xfId="36614" xr:uid="{00000000-0005-0000-0000-0000FD8E0000}"/>
    <cellStyle name="Accent4 152" xfId="36615" xr:uid="{00000000-0005-0000-0000-0000FE8E0000}"/>
    <cellStyle name="Accent4 152 2" xfId="36616" xr:uid="{00000000-0005-0000-0000-0000FF8E0000}"/>
    <cellStyle name="Accent4 152 2 2" xfId="36617" xr:uid="{00000000-0005-0000-0000-0000008F0000}"/>
    <cellStyle name="Accent4 152 3" xfId="36618" xr:uid="{00000000-0005-0000-0000-0000018F0000}"/>
    <cellStyle name="Accent4 153" xfId="36619" xr:uid="{00000000-0005-0000-0000-0000028F0000}"/>
    <cellStyle name="Accent4 153 2" xfId="36620" xr:uid="{00000000-0005-0000-0000-0000038F0000}"/>
    <cellStyle name="Accent4 153 2 2" xfId="36621" xr:uid="{00000000-0005-0000-0000-0000048F0000}"/>
    <cellStyle name="Accent4 153 3" xfId="36622" xr:uid="{00000000-0005-0000-0000-0000058F0000}"/>
    <cellStyle name="Accent4 154" xfId="36623" xr:uid="{00000000-0005-0000-0000-0000068F0000}"/>
    <cellStyle name="Accent4 154 2" xfId="36624" xr:uid="{00000000-0005-0000-0000-0000078F0000}"/>
    <cellStyle name="Accent4 154 2 2" xfId="36625" xr:uid="{00000000-0005-0000-0000-0000088F0000}"/>
    <cellStyle name="Accent4 154 3" xfId="36626" xr:uid="{00000000-0005-0000-0000-0000098F0000}"/>
    <cellStyle name="Accent4 155" xfId="36627" xr:uid="{00000000-0005-0000-0000-00000A8F0000}"/>
    <cellStyle name="Accent4 155 2" xfId="36628" xr:uid="{00000000-0005-0000-0000-00000B8F0000}"/>
    <cellStyle name="Accent4 155 2 2" xfId="36629" xr:uid="{00000000-0005-0000-0000-00000C8F0000}"/>
    <cellStyle name="Accent4 155 3" xfId="36630" xr:uid="{00000000-0005-0000-0000-00000D8F0000}"/>
    <cellStyle name="Accent4 156" xfId="36631" xr:uid="{00000000-0005-0000-0000-00000E8F0000}"/>
    <cellStyle name="Accent4 156 2" xfId="36632" xr:uid="{00000000-0005-0000-0000-00000F8F0000}"/>
    <cellStyle name="Accent4 156 2 2" xfId="36633" xr:uid="{00000000-0005-0000-0000-0000108F0000}"/>
    <cellStyle name="Accent4 156 3" xfId="36634" xr:uid="{00000000-0005-0000-0000-0000118F0000}"/>
    <cellStyle name="Accent4 157" xfId="36635" xr:uid="{00000000-0005-0000-0000-0000128F0000}"/>
    <cellStyle name="Accent4 157 2" xfId="36636" xr:uid="{00000000-0005-0000-0000-0000138F0000}"/>
    <cellStyle name="Accent4 157 2 2" xfId="36637" xr:uid="{00000000-0005-0000-0000-0000148F0000}"/>
    <cellStyle name="Accent4 157 3" xfId="36638" xr:uid="{00000000-0005-0000-0000-0000158F0000}"/>
    <cellStyle name="Accent4 158" xfId="36639" xr:uid="{00000000-0005-0000-0000-0000168F0000}"/>
    <cellStyle name="Accent4 158 2" xfId="36640" xr:uid="{00000000-0005-0000-0000-0000178F0000}"/>
    <cellStyle name="Accent4 158 2 2" xfId="36641" xr:uid="{00000000-0005-0000-0000-0000188F0000}"/>
    <cellStyle name="Accent4 158 3" xfId="36642" xr:uid="{00000000-0005-0000-0000-0000198F0000}"/>
    <cellStyle name="Accent4 159" xfId="36643" xr:uid="{00000000-0005-0000-0000-00001A8F0000}"/>
    <cellStyle name="Accent4 159 2" xfId="36644" xr:uid="{00000000-0005-0000-0000-00001B8F0000}"/>
    <cellStyle name="Accent4 16" xfId="36645" xr:uid="{00000000-0005-0000-0000-00001C8F0000}"/>
    <cellStyle name="Accent4 16 2" xfId="36646" xr:uid="{00000000-0005-0000-0000-00001D8F0000}"/>
    <cellStyle name="Accent4 16 2 2" xfId="36647" xr:uid="{00000000-0005-0000-0000-00001E8F0000}"/>
    <cellStyle name="Accent4 16 3" xfId="36648" xr:uid="{00000000-0005-0000-0000-00001F8F0000}"/>
    <cellStyle name="Accent4 160" xfId="36649" xr:uid="{00000000-0005-0000-0000-0000208F0000}"/>
    <cellStyle name="Accent4 160 2" xfId="36650" xr:uid="{00000000-0005-0000-0000-0000218F0000}"/>
    <cellStyle name="Accent4 161" xfId="36651" xr:uid="{00000000-0005-0000-0000-0000228F0000}"/>
    <cellStyle name="Accent4 161 2" xfId="36652" xr:uid="{00000000-0005-0000-0000-0000238F0000}"/>
    <cellStyle name="Accent4 162" xfId="36653" xr:uid="{00000000-0005-0000-0000-0000248F0000}"/>
    <cellStyle name="Accent4 162 2" xfId="36654" xr:uid="{00000000-0005-0000-0000-0000258F0000}"/>
    <cellStyle name="Accent4 163" xfId="36655" xr:uid="{00000000-0005-0000-0000-0000268F0000}"/>
    <cellStyle name="Accent4 163 2" xfId="36656" xr:uid="{00000000-0005-0000-0000-0000278F0000}"/>
    <cellStyle name="Accent4 164" xfId="36657" xr:uid="{00000000-0005-0000-0000-0000288F0000}"/>
    <cellStyle name="Accent4 164 2" xfId="36658" xr:uid="{00000000-0005-0000-0000-0000298F0000}"/>
    <cellStyle name="Accent4 165" xfId="36659" xr:uid="{00000000-0005-0000-0000-00002A8F0000}"/>
    <cellStyle name="Accent4 165 2" xfId="36660" xr:uid="{00000000-0005-0000-0000-00002B8F0000}"/>
    <cellStyle name="Accent4 166" xfId="36661" xr:uid="{00000000-0005-0000-0000-00002C8F0000}"/>
    <cellStyle name="Accent4 166 2" xfId="36662" xr:uid="{00000000-0005-0000-0000-00002D8F0000}"/>
    <cellStyle name="Accent4 167" xfId="36663" xr:uid="{00000000-0005-0000-0000-00002E8F0000}"/>
    <cellStyle name="Accent4 167 2" xfId="36664" xr:uid="{00000000-0005-0000-0000-00002F8F0000}"/>
    <cellStyle name="Accent4 168" xfId="36665" xr:uid="{00000000-0005-0000-0000-0000308F0000}"/>
    <cellStyle name="Accent4 168 2" xfId="36666" xr:uid="{00000000-0005-0000-0000-0000318F0000}"/>
    <cellStyle name="Accent4 169" xfId="36667" xr:uid="{00000000-0005-0000-0000-0000328F0000}"/>
    <cellStyle name="Accent4 169 2" xfId="36668" xr:uid="{00000000-0005-0000-0000-0000338F0000}"/>
    <cellStyle name="Accent4 17" xfId="36669" xr:uid="{00000000-0005-0000-0000-0000348F0000}"/>
    <cellStyle name="Accent4 17 2" xfId="36670" xr:uid="{00000000-0005-0000-0000-0000358F0000}"/>
    <cellStyle name="Accent4 17 2 2" xfId="36671" xr:uid="{00000000-0005-0000-0000-0000368F0000}"/>
    <cellStyle name="Accent4 17 3" xfId="36672" xr:uid="{00000000-0005-0000-0000-0000378F0000}"/>
    <cellStyle name="Accent4 170" xfId="36673" xr:uid="{00000000-0005-0000-0000-0000388F0000}"/>
    <cellStyle name="Accent4 170 2" xfId="36674" xr:uid="{00000000-0005-0000-0000-0000398F0000}"/>
    <cellStyle name="Accent4 171" xfId="36675" xr:uid="{00000000-0005-0000-0000-00003A8F0000}"/>
    <cellStyle name="Accent4 171 2" xfId="36676" xr:uid="{00000000-0005-0000-0000-00003B8F0000}"/>
    <cellStyle name="Accent4 172" xfId="36677" xr:uid="{00000000-0005-0000-0000-00003C8F0000}"/>
    <cellStyle name="Accent4 172 2" xfId="36678" xr:uid="{00000000-0005-0000-0000-00003D8F0000}"/>
    <cellStyle name="Accent4 173" xfId="36679" xr:uid="{00000000-0005-0000-0000-00003E8F0000}"/>
    <cellStyle name="Accent4 173 2" xfId="36680" xr:uid="{00000000-0005-0000-0000-00003F8F0000}"/>
    <cellStyle name="Accent4 174" xfId="36681" xr:uid="{00000000-0005-0000-0000-0000408F0000}"/>
    <cellStyle name="Accent4 174 2" xfId="36682" xr:uid="{00000000-0005-0000-0000-0000418F0000}"/>
    <cellStyle name="Accent4 175" xfId="36683" xr:uid="{00000000-0005-0000-0000-0000428F0000}"/>
    <cellStyle name="Accent4 175 2" xfId="36684" xr:uid="{00000000-0005-0000-0000-0000438F0000}"/>
    <cellStyle name="Accent4 176" xfId="36685" xr:uid="{00000000-0005-0000-0000-0000448F0000}"/>
    <cellStyle name="Accent4 176 2" xfId="36686" xr:uid="{00000000-0005-0000-0000-0000458F0000}"/>
    <cellStyle name="Accent4 177" xfId="36687" xr:uid="{00000000-0005-0000-0000-0000468F0000}"/>
    <cellStyle name="Accent4 177 2" xfId="36688" xr:uid="{00000000-0005-0000-0000-0000478F0000}"/>
    <cellStyle name="Accent4 178" xfId="36689" xr:uid="{00000000-0005-0000-0000-0000488F0000}"/>
    <cellStyle name="Accent4 178 2" xfId="36690" xr:uid="{00000000-0005-0000-0000-0000498F0000}"/>
    <cellStyle name="Accent4 179" xfId="36691" xr:uid="{00000000-0005-0000-0000-00004A8F0000}"/>
    <cellStyle name="Accent4 179 2" xfId="36692" xr:uid="{00000000-0005-0000-0000-00004B8F0000}"/>
    <cellStyle name="Accent4 18" xfId="36693" xr:uid="{00000000-0005-0000-0000-00004C8F0000}"/>
    <cellStyle name="Accent4 18 2" xfId="36694" xr:uid="{00000000-0005-0000-0000-00004D8F0000}"/>
    <cellStyle name="Accent4 18 2 2" xfId="36695" xr:uid="{00000000-0005-0000-0000-00004E8F0000}"/>
    <cellStyle name="Accent4 18 3" xfId="36696" xr:uid="{00000000-0005-0000-0000-00004F8F0000}"/>
    <cellStyle name="Accent4 180" xfId="36697" xr:uid="{00000000-0005-0000-0000-0000508F0000}"/>
    <cellStyle name="Accent4 180 2" xfId="36698" xr:uid="{00000000-0005-0000-0000-0000518F0000}"/>
    <cellStyle name="Accent4 181" xfId="36699" xr:uid="{00000000-0005-0000-0000-0000528F0000}"/>
    <cellStyle name="Accent4 181 2" xfId="36700" xr:uid="{00000000-0005-0000-0000-0000538F0000}"/>
    <cellStyle name="Accent4 182" xfId="36701" xr:uid="{00000000-0005-0000-0000-0000548F0000}"/>
    <cellStyle name="Accent4 182 2" xfId="36702" xr:uid="{00000000-0005-0000-0000-0000558F0000}"/>
    <cellStyle name="Accent4 183" xfId="36703" xr:uid="{00000000-0005-0000-0000-0000568F0000}"/>
    <cellStyle name="Accent4 183 2" xfId="36704" xr:uid="{00000000-0005-0000-0000-0000578F0000}"/>
    <cellStyle name="Accent4 184" xfId="36705" xr:uid="{00000000-0005-0000-0000-0000588F0000}"/>
    <cellStyle name="Accent4 184 2" xfId="36706" xr:uid="{00000000-0005-0000-0000-0000598F0000}"/>
    <cellStyle name="Accent4 185" xfId="36707" xr:uid="{00000000-0005-0000-0000-00005A8F0000}"/>
    <cellStyle name="Accent4 185 2" xfId="36708" xr:uid="{00000000-0005-0000-0000-00005B8F0000}"/>
    <cellStyle name="Accent4 186" xfId="36709" xr:uid="{00000000-0005-0000-0000-00005C8F0000}"/>
    <cellStyle name="Accent4 186 2" xfId="36710" xr:uid="{00000000-0005-0000-0000-00005D8F0000}"/>
    <cellStyle name="Accent4 187" xfId="36711" xr:uid="{00000000-0005-0000-0000-00005E8F0000}"/>
    <cellStyle name="Accent4 187 2" xfId="36712" xr:uid="{00000000-0005-0000-0000-00005F8F0000}"/>
    <cellStyle name="Accent4 188" xfId="36713" xr:uid="{00000000-0005-0000-0000-0000608F0000}"/>
    <cellStyle name="Accent4 188 2" xfId="36714" xr:uid="{00000000-0005-0000-0000-0000618F0000}"/>
    <cellStyle name="Accent4 189" xfId="36715" xr:uid="{00000000-0005-0000-0000-0000628F0000}"/>
    <cellStyle name="Accent4 189 2" xfId="36716" xr:uid="{00000000-0005-0000-0000-0000638F0000}"/>
    <cellStyle name="Accent4 19" xfId="36717" xr:uid="{00000000-0005-0000-0000-0000648F0000}"/>
    <cellStyle name="Accent4 19 2" xfId="36718" xr:uid="{00000000-0005-0000-0000-0000658F0000}"/>
    <cellStyle name="Accent4 19 2 2" xfId="36719" xr:uid="{00000000-0005-0000-0000-0000668F0000}"/>
    <cellStyle name="Accent4 19 3" xfId="36720" xr:uid="{00000000-0005-0000-0000-0000678F0000}"/>
    <cellStyle name="Accent4 190" xfId="36721" xr:uid="{00000000-0005-0000-0000-0000688F0000}"/>
    <cellStyle name="Accent4 190 2" xfId="36722" xr:uid="{00000000-0005-0000-0000-0000698F0000}"/>
    <cellStyle name="Accent4 191" xfId="36723" xr:uid="{00000000-0005-0000-0000-00006A8F0000}"/>
    <cellStyle name="Accent4 191 2" xfId="36724" xr:uid="{00000000-0005-0000-0000-00006B8F0000}"/>
    <cellStyle name="Accent4 192" xfId="36725" xr:uid="{00000000-0005-0000-0000-00006C8F0000}"/>
    <cellStyle name="Accent4 192 2" xfId="36726" xr:uid="{00000000-0005-0000-0000-00006D8F0000}"/>
    <cellStyle name="Accent4 193" xfId="36727" xr:uid="{00000000-0005-0000-0000-00006E8F0000}"/>
    <cellStyle name="Accent4 193 2" xfId="36728" xr:uid="{00000000-0005-0000-0000-00006F8F0000}"/>
    <cellStyle name="Accent4 194" xfId="36729" xr:uid="{00000000-0005-0000-0000-0000708F0000}"/>
    <cellStyle name="Accent4 194 2" xfId="36730" xr:uid="{00000000-0005-0000-0000-0000718F0000}"/>
    <cellStyle name="Accent4 195" xfId="36731" xr:uid="{00000000-0005-0000-0000-0000728F0000}"/>
    <cellStyle name="Accent4 195 2" xfId="36732" xr:uid="{00000000-0005-0000-0000-0000738F0000}"/>
    <cellStyle name="Accent4 196" xfId="36733" xr:uid="{00000000-0005-0000-0000-0000748F0000}"/>
    <cellStyle name="Accent4 196 2" xfId="36734" xr:uid="{00000000-0005-0000-0000-0000758F0000}"/>
    <cellStyle name="Accent4 197" xfId="36735" xr:uid="{00000000-0005-0000-0000-0000768F0000}"/>
    <cellStyle name="Accent4 197 2" xfId="36736" xr:uid="{00000000-0005-0000-0000-0000778F0000}"/>
    <cellStyle name="Accent4 198" xfId="36737" xr:uid="{00000000-0005-0000-0000-0000788F0000}"/>
    <cellStyle name="Accent4 198 2" xfId="36738" xr:uid="{00000000-0005-0000-0000-0000798F0000}"/>
    <cellStyle name="Accent4 2" xfId="36739" xr:uid="{00000000-0005-0000-0000-00007A8F0000}"/>
    <cellStyle name="Accent4 2 2" xfId="36740" xr:uid="{00000000-0005-0000-0000-00007B8F0000}"/>
    <cellStyle name="Accent4 2 2 2" xfId="36741" xr:uid="{00000000-0005-0000-0000-00007C8F0000}"/>
    <cellStyle name="Accent4 2 2 2 2" xfId="36742" xr:uid="{00000000-0005-0000-0000-00007D8F0000}"/>
    <cellStyle name="Accent4 2 2 2 2 2" xfId="36743" xr:uid="{00000000-0005-0000-0000-00007E8F0000}"/>
    <cellStyle name="Accent4 2 2 2 2 2 2" xfId="36744" xr:uid="{00000000-0005-0000-0000-00007F8F0000}"/>
    <cellStyle name="Accent4 2 2 2 2 3" xfId="36745" xr:uid="{00000000-0005-0000-0000-0000808F0000}"/>
    <cellStyle name="Accent4 2 2 2 3" xfId="36746" xr:uid="{00000000-0005-0000-0000-0000818F0000}"/>
    <cellStyle name="Accent4 2 2 3" xfId="36747" xr:uid="{00000000-0005-0000-0000-0000828F0000}"/>
    <cellStyle name="Accent4 2 2 3 2" xfId="36748" xr:uid="{00000000-0005-0000-0000-0000838F0000}"/>
    <cellStyle name="Accent4 2 2 4" xfId="36749" xr:uid="{00000000-0005-0000-0000-0000848F0000}"/>
    <cellStyle name="Accent4 2 2 4 2" xfId="36750" xr:uid="{00000000-0005-0000-0000-0000858F0000}"/>
    <cellStyle name="Accent4 2 2 5" xfId="36751" xr:uid="{00000000-0005-0000-0000-0000868F0000}"/>
    <cellStyle name="Accent4 2 3" xfId="36752" xr:uid="{00000000-0005-0000-0000-0000878F0000}"/>
    <cellStyle name="Accent4 2 3 2" xfId="36753" xr:uid="{00000000-0005-0000-0000-0000888F0000}"/>
    <cellStyle name="Accent4 2 4" xfId="36754" xr:uid="{00000000-0005-0000-0000-0000898F0000}"/>
    <cellStyle name="Accent4 2 4 2" xfId="36755" xr:uid="{00000000-0005-0000-0000-00008A8F0000}"/>
    <cellStyle name="Accent4 2 5" xfId="36756" xr:uid="{00000000-0005-0000-0000-00008B8F0000}"/>
    <cellStyle name="Accent4 2 5 2" xfId="36757" xr:uid="{00000000-0005-0000-0000-00008C8F0000}"/>
    <cellStyle name="Accent4 2 6" xfId="36758" xr:uid="{00000000-0005-0000-0000-00008D8F0000}"/>
    <cellStyle name="Accent4 20" xfId="36759" xr:uid="{00000000-0005-0000-0000-00008E8F0000}"/>
    <cellStyle name="Accent4 20 2" xfId="36760" xr:uid="{00000000-0005-0000-0000-00008F8F0000}"/>
    <cellStyle name="Accent4 20 2 2" xfId="36761" xr:uid="{00000000-0005-0000-0000-0000908F0000}"/>
    <cellStyle name="Accent4 20 3" xfId="36762" xr:uid="{00000000-0005-0000-0000-0000918F0000}"/>
    <cellStyle name="Accent4 21" xfId="36763" xr:uid="{00000000-0005-0000-0000-0000928F0000}"/>
    <cellStyle name="Accent4 21 2" xfId="36764" xr:uid="{00000000-0005-0000-0000-0000938F0000}"/>
    <cellStyle name="Accent4 21 2 2" xfId="36765" xr:uid="{00000000-0005-0000-0000-0000948F0000}"/>
    <cellStyle name="Accent4 21 3" xfId="36766" xr:uid="{00000000-0005-0000-0000-0000958F0000}"/>
    <cellStyle name="Accent4 22" xfId="36767" xr:uid="{00000000-0005-0000-0000-0000968F0000}"/>
    <cellStyle name="Accent4 22 2" xfId="36768" xr:uid="{00000000-0005-0000-0000-0000978F0000}"/>
    <cellStyle name="Accent4 22 2 2" xfId="36769" xr:uid="{00000000-0005-0000-0000-0000988F0000}"/>
    <cellStyle name="Accent4 22 3" xfId="36770" xr:uid="{00000000-0005-0000-0000-0000998F0000}"/>
    <cellStyle name="Accent4 23" xfId="36771" xr:uid="{00000000-0005-0000-0000-00009A8F0000}"/>
    <cellStyle name="Accent4 23 2" xfId="36772" xr:uid="{00000000-0005-0000-0000-00009B8F0000}"/>
    <cellStyle name="Accent4 23 2 2" xfId="36773" xr:uid="{00000000-0005-0000-0000-00009C8F0000}"/>
    <cellStyle name="Accent4 23 3" xfId="36774" xr:uid="{00000000-0005-0000-0000-00009D8F0000}"/>
    <cellStyle name="Accent4 24" xfId="36775" xr:uid="{00000000-0005-0000-0000-00009E8F0000}"/>
    <cellStyle name="Accent4 24 2" xfId="36776" xr:uid="{00000000-0005-0000-0000-00009F8F0000}"/>
    <cellStyle name="Accent4 24 2 2" xfId="36777" xr:uid="{00000000-0005-0000-0000-0000A08F0000}"/>
    <cellStyle name="Accent4 24 3" xfId="36778" xr:uid="{00000000-0005-0000-0000-0000A18F0000}"/>
    <cellStyle name="Accent4 25" xfId="36779" xr:uid="{00000000-0005-0000-0000-0000A28F0000}"/>
    <cellStyle name="Accent4 25 2" xfId="36780" xr:uid="{00000000-0005-0000-0000-0000A38F0000}"/>
    <cellStyle name="Accent4 25 2 2" xfId="36781" xr:uid="{00000000-0005-0000-0000-0000A48F0000}"/>
    <cellStyle name="Accent4 25 3" xfId="36782" xr:uid="{00000000-0005-0000-0000-0000A58F0000}"/>
    <cellStyle name="Accent4 26" xfId="36783" xr:uid="{00000000-0005-0000-0000-0000A68F0000}"/>
    <cellStyle name="Accent4 26 2" xfId="36784" xr:uid="{00000000-0005-0000-0000-0000A78F0000}"/>
    <cellStyle name="Accent4 26 2 2" xfId="36785" xr:uid="{00000000-0005-0000-0000-0000A88F0000}"/>
    <cellStyle name="Accent4 26 3" xfId="36786" xr:uid="{00000000-0005-0000-0000-0000A98F0000}"/>
    <cellStyle name="Accent4 27" xfId="36787" xr:uid="{00000000-0005-0000-0000-0000AA8F0000}"/>
    <cellStyle name="Accent4 27 2" xfId="36788" xr:uid="{00000000-0005-0000-0000-0000AB8F0000}"/>
    <cellStyle name="Accent4 27 2 2" xfId="36789" xr:uid="{00000000-0005-0000-0000-0000AC8F0000}"/>
    <cellStyle name="Accent4 27 3" xfId="36790" xr:uid="{00000000-0005-0000-0000-0000AD8F0000}"/>
    <cellStyle name="Accent4 28" xfId="36791" xr:uid="{00000000-0005-0000-0000-0000AE8F0000}"/>
    <cellStyle name="Accent4 28 2" xfId="36792" xr:uid="{00000000-0005-0000-0000-0000AF8F0000}"/>
    <cellStyle name="Accent4 28 2 2" xfId="36793" xr:uid="{00000000-0005-0000-0000-0000B08F0000}"/>
    <cellStyle name="Accent4 28 3" xfId="36794" xr:uid="{00000000-0005-0000-0000-0000B18F0000}"/>
    <cellStyle name="Accent4 29" xfId="36795" xr:uid="{00000000-0005-0000-0000-0000B28F0000}"/>
    <cellStyle name="Accent4 29 2" xfId="36796" xr:uid="{00000000-0005-0000-0000-0000B38F0000}"/>
    <cellStyle name="Accent4 29 2 2" xfId="36797" xr:uid="{00000000-0005-0000-0000-0000B48F0000}"/>
    <cellStyle name="Accent4 29 3" xfId="36798" xr:uid="{00000000-0005-0000-0000-0000B58F0000}"/>
    <cellStyle name="Accent4 3" xfId="36799" xr:uid="{00000000-0005-0000-0000-0000B68F0000}"/>
    <cellStyle name="Accent4 3 2" xfId="36800" xr:uid="{00000000-0005-0000-0000-0000B78F0000}"/>
    <cellStyle name="Accent4 3 2 2" xfId="36801" xr:uid="{00000000-0005-0000-0000-0000B88F0000}"/>
    <cellStyle name="Accent4 3 3" xfId="36802" xr:uid="{00000000-0005-0000-0000-0000B98F0000}"/>
    <cellStyle name="Accent4 3 3 2" xfId="36803" xr:uid="{00000000-0005-0000-0000-0000BA8F0000}"/>
    <cellStyle name="Accent4 3 4" xfId="36804" xr:uid="{00000000-0005-0000-0000-0000BB8F0000}"/>
    <cellStyle name="Accent4 3 4 2" xfId="36805" xr:uid="{00000000-0005-0000-0000-0000BC8F0000}"/>
    <cellStyle name="Accent4 3 5" xfId="36806" xr:uid="{00000000-0005-0000-0000-0000BD8F0000}"/>
    <cellStyle name="Accent4 30" xfId="36807" xr:uid="{00000000-0005-0000-0000-0000BE8F0000}"/>
    <cellStyle name="Accent4 30 2" xfId="36808" xr:uid="{00000000-0005-0000-0000-0000BF8F0000}"/>
    <cellStyle name="Accent4 30 2 2" xfId="36809" xr:uid="{00000000-0005-0000-0000-0000C08F0000}"/>
    <cellStyle name="Accent4 30 3" xfId="36810" xr:uid="{00000000-0005-0000-0000-0000C18F0000}"/>
    <cellStyle name="Accent4 31" xfId="36811" xr:uid="{00000000-0005-0000-0000-0000C28F0000}"/>
    <cellStyle name="Accent4 31 2" xfId="36812" xr:uid="{00000000-0005-0000-0000-0000C38F0000}"/>
    <cellStyle name="Accent4 31 2 2" xfId="36813" xr:uid="{00000000-0005-0000-0000-0000C48F0000}"/>
    <cellStyle name="Accent4 31 3" xfId="36814" xr:uid="{00000000-0005-0000-0000-0000C58F0000}"/>
    <cellStyle name="Accent4 32" xfId="36815" xr:uid="{00000000-0005-0000-0000-0000C68F0000}"/>
    <cellStyle name="Accent4 32 2" xfId="36816" xr:uid="{00000000-0005-0000-0000-0000C78F0000}"/>
    <cellStyle name="Accent4 32 2 2" xfId="36817" xr:uid="{00000000-0005-0000-0000-0000C88F0000}"/>
    <cellStyle name="Accent4 32 3" xfId="36818" xr:uid="{00000000-0005-0000-0000-0000C98F0000}"/>
    <cellStyle name="Accent4 33" xfId="36819" xr:uid="{00000000-0005-0000-0000-0000CA8F0000}"/>
    <cellStyle name="Accent4 33 2" xfId="36820" xr:uid="{00000000-0005-0000-0000-0000CB8F0000}"/>
    <cellStyle name="Accent4 33 2 2" xfId="36821" xr:uid="{00000000-0005-0000-0000-0000CC8F0000}"/>
    <cellStyle name="Accent4 33 3" xfId="36822" xr:uid="{00000000-0005-0000-0000-0000CD8F0000}"/>
    <cellStyle name="Accent4 34" xfId="36823" xr:uid="{00000000-0005-0000-0000-0000CE8F0000}"/>
    <cellStyle name="Accent4 34 2" xfId="36824" xr:uid="{00000000-0005-0000-0000-0000CF8F0000}"/>
    <cellStyle name="Accent4 34 2 2" xfId="36825" xr:uid="{00000000-0005-0000-0000-0000D08F0000}"/>
    <cellStyle name="Accent4 34 3" xfId="36826" xr:uid="{00000000-0005-0000-0000-0000D18F0000}"/>
    <cellStyle name="Accent4 35" xfId="36827" xr:uid="{00000000-0005-0000-0000-0000D28F0000}"/>
    <cellStyle name="Accent4 35 2" xfId="36828" xr:uid="{00000000-0005-0000-0000-0000D38F0000}"/>
    <cellStyle name="Accent4 35 2 2" xfId="36829" xr:uid="{00000000-0005-0000-0000-0000D48F0000}"/>
    <cellStyle name="Accent4 35 3" xfId="36830" xr:uid="{00000000-0005-0000-0000-0000D58F0000}"/>
    <cellStyle name="Accent4 36" xfId="36831" xr:uid="{00000000-0005-0000-0000-0000D68F0000}"/>
    <cellStyle name="Accent4 36 2" xfId="36832" xr:uid="{00000000-0005-0000-0000-0000D78F0000}"/>
    <cellStyle name="Accent4 36 2 2" xfId="36833" xr:uid="{00000000-0005-0000-0000-0000D88F0000}"/>
    <cellStyle name="Accent4 36 3" xfId="36834" xr:uid="{00000000-0005-0000-0000-0000D98F0000}"/>
    <cellStyle name="Accent4 37" xfId="36835" xr:uid="{00000000-0005-0000-0000-0000DA8F0000}"/>
    <cellStyle name="Accent4 37 2" xfId="36836" xr:uid="{00000000-0005-0000-0000-0000DB8F0000}"/>
    <cellStyle name="Accent4 37 2 2" xfId="36837" xr:uid="{00000000-0005-0000-0000-0000DC8F0000}"/>
    <cellStyle name="Accent4 37 3" xfId="36838" xr:uid="{00000000-0005-0000-0000-0000DD8F0000}"/>
    <cellStyle name="Accent4 38" xfId="36839" xr:uid="{00000000-0005-0000-0000-0000DE8F0000}"/>
    <cellStyle name="Accent4 38 2" xfId="36840" xr:uid="{00000000-0005-0000-0000-0000DF8F0000}"/>
    <cellStyle name="Accent4 38 2 2" xfId="36841" xr:uid="{00000000-0005-0000-0000-0000E08F0000}"/>
    <cellStyle name="Accent4 38 3" xfId="36842" xr:uid="{00000000-0005-0000-0000-0000E18F0000}"/>
    <cellStyle name="Accent4 39" xfId="36843" xr:uid="{00000000-0005-0000-0000-0000E28F0000}"/>
    <cellStyle name="Accent4 39 2" xfId="36844" xr:uid="{00000000-0005-0000-0000-0000E38F0000}"/>
    <cellStyle name="Accent4 39 2 2" xfId="36845" xr:uid="{00000000-0005-0000-0000-0000E48F0000}"/>
    <cellStyle name="Accent4 39 3" xfId="36846" xr:uid="{00000000-0005-0000-0000-0000E58F0000}"/>
    <cellStyle name="Accent4 4" xfId="36847" xr:uid="{00000000-0005-0000-0000-0000E68F0000}"/>
    <cellStyle name="Accent4 4 2" xfId="36848" xr:uid="{00000000-0005-0000-0000-0000E78F0000}"/>
    <cellStyle name="Accent4 4 2 2" xfId="36849" xr:uid="{00000000-0005-0000-0000-0000E88F0000}"/>
    <cellStyle name="Accent4 4 3" xfId="36850" xr:uid="{00000000-0005-0000-0000-0000E98F0000}"/>
    <cellStyle name="Accent4 4 3 2" xfId="36851" xr:uid="{00000000-0005-0000-0000-0000EA8F0000}"/>
    <cellStyle name="Accent4 4 4" xfId="36852" xr:uid="{00000000-0005-0000-0000-0000EB8F0000}"/>
    <cellStyle name="Accent4 4 4 2" xfId="36853" xr:uid="{00000000-0005-0000-0000-0000EC8F0000}"/>
    <cellStyle name="Accent4 4 5" xfId="36854" xr:uid="{00000000-0005-0000-0000-0000ED8F0000}"/>
    <cellStyle name="Accent4 40" xfId="36855" xr:uid="{00000000-0005-0000-0000-0000EE8F0000}"/>
    <cellStyle name="Accent4 40 2" xfId="36856" xr:uid="{00000000-0005-0000-0000-0000EF8F0000}"/>
    <cellStyle name="Accent4 40 2 2" xfId="36857" xr:uid="{00000000-0005-0000-0000-0000F08F0000}"/>
    <cellStyle name="Accent4 40 3" xfId="36858" xr:uid="{00000000-0005-0000-0000-0000F18F0000}"/>
    <cellStyle name="Accent4 41" xfId="36859" xr:uid="{00000000-0005-0000-0000-0000F28F0000}"/>
    <cellStyle name="Accent4 41 2" xfId="36860" xr:uid="{00000000-0005-0000-0000-0000F38F0000}"/>
    <cellStyle name="Accent4 41 2 2" xfId="36861" xr:uid="{00000000-0005-0000-0000-0000F48F0000}"/>
    <cellStyle name="Accent4 41 3" xfId="36862" xr:uid="{00000000-0005-0000-0000-0000F58F0000}"/>
    <cellStyle name="Accent4 42" xfId="36863" xr:uid="{00000000-0005-0000-0000-0000F68F0000}"/>
    <cellStyle name="Accent4 42 2" xfId="36864" xr:uid="{00000000-0005-0000-0000-0000F78F0000}"/>
    <cellStyle name="Accent4 42 2 2" xfId="36865" xr:uid="{00000000-0005-0000-0000-0000F88F0000}"/>
    <cellStyle name="Accent4 42 3" xfId="36866" xr:uid="{00000000-0005-0000-0000-0000F98F0000}"/>
    <cellStyle name="Accent4 43" xfId="36867" xr:uid="{00000000-0005-0000-0000-0000FA8F0000}"/>
    <cellStyle name="Accent4 43 2" xfId="36868" xr:uid="{00000000-0005-0000-0000-0000FB8F0000}"/>
    <cellStyle name="Accent4 43 2 2" xfId="36869" xr:uid="{00000000-0005-0000-0000-0000FC8F0000}"/>
    <cellStyle name="Accent4 43 3" xfId="36870" xr:uid="{00000000-0005-0000-0000-0000FD8F0000}"/>
    <cellStyle name="Accent4 44" xfId="36871" xr:uid="{00000000-0005-0000-0000-0000FE8F0000}"/>
    <cellStyle name="Accent4 44 2" xfId="36872" xr:uid="{00000000-0005-0000-0000-0000FF8F0000}"/>
    <cellStyle name="Accent4 44 2 2" xfId="36873" xr:uid="{00000000-0005-0000-0000-000000900000}"/>
    <cellStyle name="Accent4 44 3" xfId="36874" xr:uid="{00000000-0005-0000-0000-000001900000}"/>
    <cellStyle name="Accent4 45" xfId="36875" xr:uid="{00000000-0005-0000-0000-000002900000}"/>
    <cellStyle name="Accent4 45 2" xfId="36876" xr:uid="{00000000-0005-0000-0000-000003900000}"/>
    <cellStyle name="Accent4 45 2 2" xfId="36877" xr:uid="{00000000-0005-0000-0000-000004900000}"/>
    <cellStyle name="Accent4 45 3" xfId="36878" xr:uid="{00000000-0005-0000-0000-000005900000}"/>
    <cellStyle name="Accent4 46" xfId="36879" xr:uid="{00000000-0005-0000-0000-000006900000}"/>
    <cellStyle name="Accent4 46 2" xfId="36880" xr:uid="{00000000-0005-0000-0000-000007900000}"/>
    <cellStyle name="Accent4 46 2 2" xfId="36881" xr:uid="{00000000-0005-0000-0000-000008900000}"/>
    <cellStyle name="Accent4 46 3" xfId="36882" xr:uid="{00000000-0005-0000-0000-000009900000}"/>
    <cellStyle name="Accent4 47" xfId="36883" xr:uid="{00000000-0005-0000-0000-00000A900000}"/>
    <cellStyle name="Accent4 47 2" xfId="36884" xr:uid="{00000000-0005-0000-0000-00000B900000}"/>
    <cellStyle name="Accent4 47 2 2" xfId="36885" xr:uid="{00000000-0005-0000-0000-00000C900000}"/>
    <cellStyle name="Accent4 47 3" xfId="36886" xr:uid="{00000000-0005-0000-0000-00000D900000}"/>
    <cellStyle name="Accent4 48" xfId="36887" xr:uid="{00000000-0005-0000-0000-00000E900000}"/>
    <cellStyle name="Accent4 48 2" xfId="36888" xr:uid="{00000000-0005-0000-0000-00000F900000}"/>
    <cellStyle name="Accent4 48 2 2" xfId="36889" xr:uid="{00000000-0005-0000-0000-000010900000}"/>
    <cellStyle name="Accent4 48 3" xfId="36890" xr:uid="{00000000-0005-0000-0000-000011900000}"/>
    <cellStyle name="Accent4 49" xfId="36891" xr:uid="{00000000-0005-0000-0000-000012900000}"/>
    <cellStyle name="Accent4 49 2" xfId="36892" xr:uid="{00000000-0005-0000-0000-000013900000}"/>
    <cellStyle name="Accent4 49 2 2" xfId="36893" xr:uid="{00000000-0005-0000-0000-000014900000}"/>
    <cellStyle name="Accent4 49 3" xfId="36894" xr:uid="{00000000-0005-0000-0000-000015900000}"/>
    <cellStyle name="Accent4 5" xfId="36895" xr:uid="{00000000-0005-0000-0000-000016900000}"/>
    <cellStyle name="Accent4 5 2" xfId="36896" xr:uid="{00000000-0005-0000-0000-000017900000}"/>
    <cellStyle name="Accent4 5 2 2" xfId="36897" xr:uid="{00000000-0005-0000-0000-000018900000}"/>
    <cellStyle name="Accent4 5 3" xfId="36898" xr:uid="{00000000-0005-0000-0000-000019900000}"/>
    <cellStyle name="Accent4 5 3 2" xfId="36899" xr:uid="{00000000-0005-0000-0000-00001A900000}"/>
    <cellStyle name="Accent4 5 4" xfId="36900" xr:uid="{00000000-0005-0000-0000-00001B900000}"/>
    <cellStyle name="Accent4 5 4 2" xfId="36901" xr:uid="{00000000-0005-0000-0000-00001C900000}"/>
    <cellStyle name="Accent4 5 5" xfId="36902" xr:uid="{00000000-0005-0000-0000-00001D900000}"/>
    <cellStyle name="Accent4 50" xfId="36903" xr:uid="{00000000-0005-0000-0000-00001E900000}"/>
    <cellStyle name="Accent4 50 2" xfId="36904" xr:uid="{00000000-0005-0000-0000-00001F900000}"/>
    <cellStyle name="Accent4 50 2 2" xfId="36905" xr:uid="{00000000-0005-0000-0000-000020900000}"/>
    <cellStyle name="Accent4 50 3" xfId="36906" xr:uid="{00000000-0005-0000-0000-000021900000}"/>
    <cellStyle name="Accent4 51" xfId="36907" xr:uid="{00000000-0005-0000-0000-000022900000}"/>
    <cellStyle name="Accent4 51 2" xfId="36908" xr:uid="{00000000-0005-0000-0000-000023900000}"/>
    <cellStyle name="Accent4 51 2 2" xfId="36909" xr:uid="{00000000-0005-0000-0000-000024900000}"/>
    <cellStyle name="Accent4 51 3" xfId="36910" xr:uid="{00000000-0005-0000-0000-000025900000}"/>
    <cellStyle name="Accent4 52" xfId="36911" xr:uid="{00000000-0005-0000-0000-000026900000}"/>
    <cellStyle name="Accent4 52 2" xfId="36912" xr:uid="{00000000-0005-0000-0000-000027900000}"/>
    <cellStyle name="Accent4 52 2 2" xfId="36913" xr:uid="{00000000-0005-0000-0000-000028900000}"/>
    <cellStyle name="Accent4 52 3" xfId="36914" xr:uid="{00000000-0005-0000-0000-000029900000}"/>
    <cellStyle name="Accent4 53" xfId="36915" xr:uid="{00000000-0005-0000-0000-00002A900000}"/>
    <cellStyle name="Accent4 53 2" xfId="36916" xr:uid="{00000000-0005-0000-0000-00002B900000}"/>
    <cellStyle name="Accent4 53 2 2" xfId="36917" xr:uid="{00000000-0005-0000-0000-00002C900000}"/>
    <cellStyle name="Accent4 53 3" xfId="36918" xr:uid="{00000000-0005-0000-0000-00002D900000}"/>
    <cellStyle name="Accent4 54" xfId="36919" xr:uid="{00000000-0005-0000-0000-00002E900000}"/>
    <cellStyle name="Accent4 54 2" xfId="36920" xr:uid="{00000000-0005-0000-0000-00002F900000}"/>
    <cellStyle name="Accent4 54 2 2" xfId="36921" xr:uid="{00000000-0005-0000-0000-000030900000}"/>
    <cellStyle name="Accent4 54 3" xfId="36922" xr:uid="{00000000-0005-0000-0000-000031900000}"/>
    <cellStyle name="Accent4 55" xfId="36923" xr:uid="{00000000-0005-0000-0000-000032900000}"/>
    <cellStyle name="Accent4 55 2" xfId="36924" xr:uid="{00000000-0005-0000-0000-000033900000}"/>
    <cellStyle name="Accent4 55 2 2" xfId="36925" xr:uid="{00000000-0005-0000-0000-000034900000}"/>
    <cellStyle name="Accent4 55 3" xfId="36926" xr:uid="{00000000-0005-0000-0000-000035900000}"/>
    <cellStyle name="Accent4 56" xfId="36927" xr:uid="{00000000-0005-0000-0000-000036900000}"/>
    <cellStyle name="Accent4 56 2" xfId="36928" xr:uid="{00000000-0005-0000-0000-000037900000}"/>
    <cellStyle name="Accent4 56 2 2" xfId="36929" xr:uid="{00000000-0005-0000-0000-000038900000}"/>
    <cellStyle name="Accent4 56 3" xfId="36930" xr:uid="{00000000-0005-0000-0000-000039900000}"/>
    <cellStyle name="Accent4 57" xfId="36931" xr:uid="{00000000-0005-0000-0000-00003A900000}"/>
    <cellStyle name="Accent4 57 2" xfId="36932" xr:uid="{00000000-0005-0000-0000-00003B900000}"/>
    <cellStyle name="Accent4 57 2 2" xfId="36933" xr:uid="{00000000-0005-0000-0000-00003C900000}"/>
    <cellStyle name="Accent4 57 3" xfId="36934" xr:uid="{00000000-0005-0000-0000-00003D900000}"/>
    <cellStyle name="Accent4 58" xfId="36935" xr:uid="{00000000-0005-0000-0000-00003E900000}"/>
    <cellStyle name="Accent4 58 2" xfId="36936" xr:uid="{00000000-0005-0000-0000-00003F900000}"/>
    <cellStyle name="Accent4 58 2 2" xfId="36937" xr:uid="{00000000-0005-0000-0000-000040900000}"/>
    <cellStyle name="Accent4 58 3" xfId="36938" xr:uid="{00000000-0005-0000-0000-000041900000}"/>
    <cellStyle name="Accent4 59" xfId="36939" xr:uid="{00000000-0005-0000-0000-000042900000}"/>
    <cellStyle name="Accent4 59 2" xfId="36940" xr:uid="{00000000-0005-0000-0000-000043900000}"/>
    <cellStyle name="Accent4 59 2 2" xfId="36941" xr:uid="{00000000-0005-0000-0000-000044900000}"/>
    <cellStyle name="Accent4 59 3" xfId="36942" xr:uid="{00000000-0005-0000-0000-000045900000}"/>
    <cellStyle name="Accent4 59 3 2" xfId="36943" xr:uid="{00000000-0005-0000-0000-000046900000}"/>
    <cellStyle name="Accent4 59 4" xfId="36944" xr:uid="{00000000-0005-0000-0000-000047900000}"/>
    <cellStyle name="Accent4 6" xfId="36945" xr:uid="{00000000-0005-0000-0000-000048900000}"/>
    <cellStyle name="Accent4 6 2" xfId="36946" xr:uid="{00000000-0005-0000-0000-000049900000}"/>
    <cellStyle name="Accent4 6 2 2" xfId="36947" xr:uid="{00000000-0005-0000-0000-00004A900000}"/>
    <cellStyle name="Accent4 6 3" xfId="36948" xr:uid="{00000000-0005-0000-0000-00004B900000}"/>
    <cellStyle name="Accent4 6 3 2" xfId="36949" xr:uid="{00000000-0005-0000-0000-00004C900000}"/>
    <cellStyle name="Accent4 6 4" xfId="36950" xr:uid="{00000000-0005-0000-0000-00004D900000}"/>
    <cellStyle name="Accent4 6 4 2" xfId="36951" xr:uid="{00000000-0005-0000-0000-00004E900000}"/>
    <cellStyle name="Accent4 6 5" xfId="36952" xr:uid="{00000000-0005-0000-0000-00004F900000}"/>
    <cellStyle name="Accent4 60" xfId="36953" xr:uid="{00000000-0005-0000-0000-000050900000}"/>
    <cellStyle name="Accent4 60 2" xfId="36954" xr:uid="{00000000-0005-0000-0000-000051900000}"/>
    <cellStyle name="Accent4 60 2 2" xfId="36955" xr:uid="{00000000-0005-0000-0000-000052900000}"/>
    <cellStyle name="Accent4 60 3" xfId="36956" xr:uid="{00000000-0005-0000-0000-000053900000}"/>
    <cellStyle name="Accent4 61" xfId="36957" xr:uid="{00000000-0005-0000-0000-000054900000}"/>
    <cellStyle name="Accent4 61 2" xfId="36958" xr:uid="{00000000-0005-0000-0000-000055900000}"/>
    <cellStyle name="Accent4 61 2 2" xfId="36959" xr:uid="{00000000-0005-0000-0000-000056900000}"/>
    <cellStyle name="Accent4 61 3" xfId="36960" xr:uid="{00000000-0005-0000-0000-000057900000}"/>
    <cellStyle name="Accent4 62" xfId="36961" xr:uid="{00000000-0005-0000-0000-000058900000}"/>
    <cellStyle name="Accent4 62 2" xfId="36962" xr:uid="{00000000-0005-0000-0000-000059900000}"/>
    <cellStyle name="Accent4 62 2 2" xfId="36963" xr:uid="{00000000-0005-0000-0000-00005A900000}"/>
    <cellStyle name="Accent4 62 3" xfId="36964" xr:uid="{00000000-0005-0000-0000-00005B900000}"/>
    <cellStyle name="Accent4 63" xfId="36965" xr:uid="{00000000-0005-0000-0000-00005C900000}"/>
    <cellStyle name="Accent4 63 2" xfId="36966" xr:uid="{00000000-0005-0000-0000-00005D900000}"/>
    <cellStyle name="Accent4 63 2 2" xfId="36967" xr:uid="{00000000-0005-0000-0000-00005E900000}"/>
    <cellStyle name="Accent4 63 3" xfId="36968" xr:uid="{00000000-0005-0000-0000-00005F900000}"/>
    <cellStyle name="Accent4 64" xfId="36969" xr:uid="{00000000-0005-0000-0000-000060900000}"/>
    <cellStyle name="Accent4 64 2" xfId="36970" xr:uid="{00000000-0005-0000-0000-000061900000}"/>
    <cellStyle name="Accent4 64 2 2" xfId="36971" xr:uid="{00000000-0005-0000-0000-000062900000}"/>
    <cellStyle name="Accent4 64 3" xfId="36972" xr:uid="{00000000-0005-0000-0000-000063900000}"/>
    <cellStyle name="Accent4 65" xfId="36973" xr:uid="{00000000-0005-0000-0000-000064900000}"/>
    <cellStyle name="Accent4 65 2" xfId="36974" xr:uid="{00000000-0005-0000-0000-000065900000}"/>
    <cellStyle name="Accent4 65 2 2" xfId="36975" xr:uid="{00000000-0005-0000-0000-000066900000}"/>
    <cellStyle name="Accent4 65 3" xfId="36976" xr:uid="{00000000-0005-0000-0000-000067900000}"/>
    <cellStyle name="Accent4 66" xfId="36977" xr:uid="{00000000-0005-0000-0000-000068900000}"/>
    <cellStyle name="Accent4 66 2" xfId="36978" xr:uid="{00000000-0005-0000-0000-000069900000}"/>
    <cellStyle name="Accent4 66 2 2" xfId="36979" xr:uid="{00000000-0005-0000-0000-00006A900000}"/>
    <cellStyle name="Accent4 66 3" xfId="36980" xr:uid="{00000000-0005-0000-0000-00006B900000}"/>
    <cellStyle name="Accent4 67" xfId="36981" xr:uid="{00000000-0005-0000-0000-00006C900000}"/>
    <cellStyle name="Accent4 67 2" xfId="36982" xr:uid="{00000000-0005-0000-0000-00006D900000}"/>
    <cellStyle name="Accent4 67 2 2" xfId="36983" xr:uid="{00000000-0005-0000-0000-00006E900000}"/>
    <cellStyle name="Accent4 67 3" xfId="36984" xr:uid="{00000000-0005-0000-0000-00006F900000}"/>
    <cellStyle name="Accent4 68" xfId="36985" xr:uid="{00000000-0005-0000-0000-000070900000}"/>
    <cellStyle name="Accent4 68 2" xfId="36986" xr:uid="{00000000-0005-0000-0000-000071900000}"/>
    <cellStyle name="Accent4 68 2 2" xfId="36987" xr:uid="{00000000-0005-0000-0000-000072900000}"/>
    <cellStyle name="Accent4 68 3" xfId="36988" xr:uid="{00000000-0005-0000-0000-000073900000}"/>
    <cellStyle name="Accent4 69" xfId="36989" xr:uid="{00000000-0005-0000-0000-000074900000}"/>
    <cellStyle name="Accent4 69 2" xfId="36990" xr:uid="{00000000-0005-0000-0000-000075900000}"/>
    <cellStyle name="Accent4 69 2 2" xfId="36991" xr:uid="{00000000-0005-0000-0000-000076900000}"/>
    <cellStyle name="Accent4 69 3" xfId="36992" xr:uid="{00000000-0005-0000-0000-000077900000}"/>
    <cellStyle name="Accent4 7" xfId="36993" xr:uid="{00000000-0005-0000-0000-000078900000}"/>
    <cellStyle name="Accent4 7 2" xfId="36994" xr:uid="{00000000-0005-0000-0000-000079900000}"/>
    <cellStyle name="Accent4 7 2 2" xfId="36995" xr:uid="{00000000-0005-0000-0000-00007A900000}"/>
    <cellStyle name="Accent4 7 3" xfId="36996" xr:uid="{00000000-0005-0000-0000-00007B900000}"/>
    <cellStyle name="Accent4 7 3 2" xfId="36997" xr:uid="{00000000-0005-0000-0000-00007C900000}"/>
    <cellStyle name="Accent4 7 4" xfId="36998" xr:uid="{00000000-0005-0000-0000-00007D900000}"/>
    <cellStyle name="Accent4 7 4 2" xfId="36999" xr:uid="{00000000-0005-0000-0000-00007E900000}"/>
    <cellStyle name="Accent4 7 5" xfId="37000" xr:uid="{00000000-0005-0000-0000-00007F900000}"/>
    <cellStyle name="Accent4 70" xfId="37001" xr:uid="{00000000-0005-0000-0000-000080900000}"/>
    <cellStyle name="Accent4 70 2" xfId="37002" xr:uid="{00000000-0005-0000-0000-000081900000}"/>
    <cellStyle name="Accent4 70 2 2" xfId="37003" xr:uid="{00000000-0005-0000-0000-000082900000}"/>
    <cellStyle name="Accent4 70 3" xfId="37004" xr:uid="{00000000-0005-0000-0000-000083900000}"/>
    <cellStyle name="Accent4 71" xfId="37005" xr:uid="{00000000-0005-0000-0000-000084900000}"/>
    <cellStyle name="Accent4 71 2" xfId="37006" xr:uid="{00000000-0005-0000-0000-000085900000}"/>
    <cellStyle name="Accent4 71 2 2" xfId="37007" xr:uid="{00000000-0005-0000-0000-000086900000}"/>
    <cellStyle name="Accent4 71 3" xfId="37008" xr:uid="{00000000-0005-0000-0000-000087900000}"/>
    <cellStyle name="Accent4 72" xfId="37009" xr:uid="{00000000-0005-0000-0000-000088900000}"/>
    <cellStyle name="Accent4 72 2" xfId="37010" xr:uid="{00000000-0005-0000-0000-000089900000}"/>
    <cellStyle name="Accent4 72 2 2" xfId="37011" xr:uid="{00000000-0005-0000-0000-00008A900000}"/>
    <cellStyle name="Accent4 72 3" xfId="37012" xr:uid="{00000000-0005-0000-0000-00008B900000}"/>
    <cellStyle name="Accent4 73" xfId="37013" xr:uid="{00000000-0005-0000-0000-00008C900000}"/>
    <cellStyle name="Accent4 73 2" xfId="37014" xr:uid="{00000000-0005-0000-0000-00008D900000}"/>
    <cellStyle name="Accent4 73 2 2" xfId="37015" xr:uid="{00000000-0005-0000-0000-00008E900000}"/>
    <cellStyle name="Accent4 73 3" xfId="37016" xr:uid="{00000000-0005-0000-0000-00008F900000}"/>
    <cellStyle name="Accent4 74" xfId="37017" xr:uid="{00000000-0005-0000-0000-000090900000}"/>
    <cellStyle name="Accent4 74 2" xfId="37018" xr:uid="{00000000-0005-0000-0000-000091900000}"/>
    <cellStyle name="Accent4 74 2 2" xfId="37019" xr:uid="{00000000-0005-0000-0000-000092900000}"/>
    <cellStyle name="Accent4 74 3" xfId="37020" xr:uid="{00000000-0005-0000-0000-000093900000}"/>
    <cellStyle name="Accent4 75" xfId="37021" xr:uid="{00000000-0005-0000-0000-000094900000}"/>
    <cellStyle name="Accent4 75 2" xfId="37022" xr:uid="{00000000-0005-0000-0000-000095900000}"/>
    <cellStyle name="Accent4 75 2 2" xfId="37023" xr:uid="{00000000-0005-0000-0000-000096900000}"/>
    <cellStyle name="Accent4 75 3" xfId="37024" xr:uid="{00000000-0005-0000-0000-000097900000}"/>
    <cellStyle name="Accent4 76" xfId="37025" xr:uid="{00000000-0005-0000-0000-000098900000}"/>
    <cellStyle name="Accent4 76 2" xfId="37026" xr:uid="{00000000-0005-0000-0000-000099900000}"/>
    <cellStyle name="Accent4 76 2 2" xfId="37027" xr:uid="{00000000-0005-0000-0000-00009A900000}"/>
    <cellStyle name="Accent4 76 3" xfId="37028" xr:uid="{00000000-0005-0000-0000-00009B900000}"/>
    <cellStyle name="Accent4 77" xfId="37029" xr:uid="{00000000-0005-0000-0000-00009C900000}"/>
    <cellStyle name="Accent4 77 2" xfId="37030" xr:uid="{00000000-0005-0000-0000-00009D900000}"/>
    <cellStyle name="Accent4 77 2 2" xfId="37031" xr:uid="{00000000-0005-0000-0000-00009E900000}"/>
    <cellStyle name="Accent4 77 3" xfId="37032" xr:uid="{00000000-0005-0000-0000-00009F900000}"/>
    <cellStyle name="Accent4 78" xfId="37033" xr:uid="{00000000-0005-0000-0000-0000A0900000}"/>
    <cellStyle name="Accent4 78 2" xfId="37034" xr:uid="{00000000-0005-0000-0000-0000A1900000}"/>
    <cellStyle name="Accent4 78 2 2" xfId="37035" xr:uid="{00000000-0005-0000-0000-0000A2900000}"/>
    <cellStyle name="Accent4 78 3" xfId="37036" xr:uid="{00000000-0005-0000-0000-0000A3900000}"/>
    <cellStyle name="Accent4 79" xfId="37037" xr:uid="{00000000-0005-0000-0000-0000A4900000}"/>
    <cellStyle name="Accent4 79 2" xfId="37038" xr:uid="{00000000-0005-0000-0000-0000A5900000}"/>
    <cellStyle name="Accent4 79 2 2" xfId="37039" xr:uid="{00000000-0005-0000-0000-0000A6900000}"/>
    <cellStyle name="Accent4 79 3" xfId="37040" xr:uid="{00000000-0005-0000-0000-0000A7900000}"/>
    <cellStyle name="Accent4 8" xfId="37041" xr:uid="{00000000-0005-0000-0000-0000A8900000}"/>
    <cellStyle name="Accent4 8 2" xfId="37042" xr:uid="{00000000-0005-0000-0000-0000A9900000}"/>
    <cellStyle name="Accent4 8 2 2" xfId="37043" xr:uid="{00000000-0005-0000-0000-0000AA900000}"/>
    <cellStyle name="Accent4 8 3" xfId="37044" xr:uid="{00000000-0005-0000-0000-0000AB900000}"/>
    <cellStyle name="Accent4 8 3 2" xfId="37045" xr:uid="{00000000-0005-0000-0000-0000AC900000}"/>
    <cellStyle name="Accent4 8 4" xfId="37046" xr:uid="{00000000-0005-0000-0000-0000AD900000}"/>
    <cellStyle name="Accent4 8 4 2" xfId="37047" xr:uid="{00000000-0005-0000-0000-0000AE900000}"/>
    <cellStyle name="Accent4 8 5" xfId="37048" xr:uid="{00000000-0005-0000-0000-0000AF900000}"/>
    <cellStyle name="Accent4 80" xfId="37049" xr:uid="{00000000-0005-0000-0000-0000B0900000}"/>
    <cellStyle name="Accent4 80 2" xfId="37050" xr:uid="{00000000-0005-0000-0000-0000B1900000}"/>
    <cellStyle name="Accent4 80 2 2" xfId="37051" xr:uid="{00000000-0005-0000-0000-0000B2900000}"/>
    <cellStyle name="Accent4 80 3" xfId="37052" xr:uid="{00000000-0005-0000-0000-0000B3900000}"/>
    <cellStyle name="Accent4 81" xfId="37053" xr:uid="{00000000-0005-0000-0000-0000B4900000}"/>
    <cellStyle name="Accent4 81 2" xfId="37054" xr:uid="{00000000-0005-0000-0000-0000B5900000}"/>
    <cellStyle name="Accent4 81 2 2" xfId="37055" xr:uid="{00000000-0005-0000-0000-0000B6900000}"/>
    <cellStyle name="Accent4 81 3" xfId="37056" xr:uid="{00000000-0005-0000-0000-0000B7900000}"/>
    <cellStyle name="Accent4 82" xfId="37057" xr:uid="{00000000-0005-0000-0000-0000B8900000}"/>
    <cellStyle name="Accent4 82 2" xfId="37058" xr:uid="{00000000-0005-0000-0000-0000B9900000}"/>
    <cellStyle name="Accent4 82 2 2" xfId="37059" xr:uid="{00000000-0005-0000-0000-0000BA900000}"/>
    <cellStyle name="Accent4 82 3" xfId="37060" xr:uid="{00000000-0005-0000-0000-0000BB900000}"/>
    <cellStyle name="Accent4 83" xfId="37061" xr:uid="{00000000-0005-0000-0000-0000BC900000}"/>
    <cellStyle name="Accent4 83 2" xfId="37062" xr:uid="{00000000-0005-0000-0000-0000BD900000}"/>
    <cellStyle name="Accent4 83 2 2" xfId="37063" xr:uid="{00000000-0005-0000-0000-0000BE900000}"/>
    <cellStyle name="Accent4 83 3" xfId="37064" xr:uid="{00000000-0005-0000-0000-0000BF900000}"/>
    <cellStyle name="Accent4 84" xfId="37065" xr:uid="{00000000-0005-0000-0000-0000C0900000}"/>
    <cellStyle name="Accent4 84 2" xfId="37066" xr:uid="{00000000-0005-0000-0000-0000C1900000}"/>
    <cellStyle name="Accent4 84 2 2" xfId="37067" xr:uid="{00000000-0005-0000-0000-0000C2900000}"/>
    <cellStyle name="Accent4 84 3" xfId="37068" xr:uid="{00000000-0005-0000-0000-0000C3900000}"/>
    <cellStyle name="Accent4 85" xfId="37069" xr:uid="{00000000-0005-0000-0000-0000C4900000}"/>
    <cellStyle name="Accent4 85 2" xfId="37070" xr:uid="{00000000-0005-0000-0000-0000C5900000}"/>
    <cellStyle name="Accent4 85 2 2" xfId="37071" xr:uid="{00000000-0005-0000-0000-0000C6900000}"/>
    <cellStyle name="Accent4 85 3" xfId="37072" xr:uid="{00000000-0005-0000-0000-0000C7900000}"/>
    <cellStyle name="Accent4 86" xfId="37073" xr:uid="{00000000-0005-0000-0000-0000C8900000}"/>
    <cellStyle name="Accent4 86 2" xfId="37074" xr:uid="{00000000-0005-0000-0000-0000C9900000}"/>
    <cellStyle name="Accent4 86 2 2" xfId="37075" xr:uid="{00000000-0005-0000-0000-0000CA900000}"/>
    <cellStyle name="Accent4 86 3" xfId="37076" xr:uid="{00000000-0005-0000-0000-0000CB900000}"/>
    <cellStyle name="Accent4 87" xfId="37077" xr:uid="{00000000-0005-0000-0000-0000CC900000}"/>
    <cellStyle name="Accent4 87 2" xfId="37078" xr:uid="{00000000-0005-0000-0000-0000CD900000}"/>
    <cellStyle name="Accent4 87 2 2" xfId="37079" xr:uid="{00000000-0005-0000-0000-0000CE900000}"/>
    <cellStyle name="Accent4 87 3" xfId="37080" xr:uid="{00000000-0005-0000-0000-0000CF900000}"/>
    <cellStyle name="Accent4 88" xfId="37081" xr:uid="{00000000-0005-0000-0000-0000D0900000}"/>
    <cellStyle name="Accent4 88 2" xfId="37082" xr:uid="{00000000-0005-0000-0000-0000D1900000}"/>
    <cellStyle name="Accent4 88 2 2" xfId="37083" xr:uid="{00000000-0005-0000-0000-0000D2900000}"/>
    <cellStyle name="Accent4 88 3" xfId="37084" xr:uid="{00000000-0005-0000-0000-0000D3900000}"/>
    <cellStyle name="Accent4 89" xfId="37085" xr:uid="{00000000-0005-0000-0000-0000D4900000}"/>
    <cellStyle name="Accent4 89 2" xfId="37086" xr:uid="{00000000-0005-0000-0000-0000D5900000}"/>
    <cellStyle name="Accent4 89 2 2" xfId="37087" xr:uid="{00000000-0005-0000-0000-0000D6900000}"/>
    <cellStyle name="Accent4 89 3" xfId="37088" xr:uid="{00000000-0005-0000-0000-0000D7900000}"/>
    <cellStyle name="Accent4 9" xfId="37089" xr:uid="{00000000-0005-0000-0000-0000D8900000}"/>
    <cellStyle name="Accent4 9 2" xfId="37090" xr:uid="{00000000-0005-0000-0000-0000D9900000}"/>
    <cellStyle name="Accent4 9 2 2" xfId="37091" xr:uid="{00000000-0005-0000-0000-0000DA900000}"/>
    <cellStyle name="Accent4 9 3" xfId="37092" xr:uid="{00000000-0005-0000-0000-0000DB900000}"/>
    <cellStyle name="Accent4 9 3 2" xfId="37093" xr:uid="{00000000-0005-0000-0000-0000DC900000}"/>
    <cellStyle name="Accent4 9 4" xfId="37094" xr:uid="{00000000-0005-0000-0000-0000DD900000}"/>
    <cellStyle name="Accent4 9 4 2" xfId="37095" xr:uid="{00000000-0005-0000-0000-0000DE900000}"/>
    <cellStyle name="Accent4 9 5" xfId="37096" xr:uid="{00000000-0005-0000-0000-0000DF900000}"/>
    <cellStyle name="Accent4 90" xfId="37097" xr:uid="{00000000-0005-0000-0000-0000E0900000}"/>
    <cellStyle name="Accent4 90 2" xfId="37098" xr:uid="{00000000-0005-0000-0000-0000E1900000}"/>
    <cellStyle name="Accent4 90 2 2" xfId="37099" xr:uid="{00000000-0005-0000-0000-0000E2900000}"/>
    <cellStyle name="Accent4 90 3" xfId="37100" xr:uid="{00000000-0005-0000-0000-0000E3900000}"/>
    <cellStyle name="Accent4 91" xfId="37101" xr:uid="{00000000-0005-0000-0000-0000E4900000}"/>
    <cellStyle name="Accent4 91 2" xfId="37102" xr:uid="{00000000-0005-0000-0000-0000E5900000}"/>
    <cellStyle name="Accent4 91 2 2" xfId="37103" xr:uid="{00000000-0005-0000-0000-0000E6900000}"/>
    <cellStyle name="Accent4 91 3" xfId="37104" xr:uid="{00000000-0005-0000-0000-0000E7900000}"/>
    <cellStyle name="Accent4 92" xfId="37105" xr:uid="{00000000-0005-0000-0000-0000E8900000}"/>
    <cellStyle name="Accent4 92 2" xfId="37106" xr:uid="{00000000-0005-0000-0000-0000E9900000}"/>
    <cellStyle name="Accent4 92 2 2" xfId="37107" xr:uid="{00000000-0005-0000-0000-0000EA900000}"/>
    <cellStyle name="Accent4 92 3" xfId="37108" xr:uid="{00000000-0005-0000-0000-0000EB900000}"/>
    <cellStyle name="Accent4 93" xfId="37109" xr:uid="{00000000-0005-0000-0000-0000EC900000}"/>
    <cellStyle name="Accent4 93 2" xfId="37110" xr:uid="{00000000-0005-0000-0000-0000ED900000}"/>
    <cellStyle name="Accent4 93 2 2" xfId="37111" xr:uid="{00000000-0005-0000-0000-0000EE900000}"/>
    <cellStyle name="Accent4 93 3" xfId="37112" xr:uid="{00000000-0005-0000-0000-0000EF900000}"/>
    <cellStyle name="Accent4 94" xfId="37113" xr:uid="{00000000-0005-0000-0000-0000F0900000}"/>
    <cellStyle name="Accent4 94 2" xfId="37114" xr:uid="{00000000-0005-0000-0000-0000F1900000}"/>
    <cellStyle name="Accent4 94 2 2" xfId="37115" xr:uid="{00000000-0005-0000-0000-0000F2900000}"/>
    <cellStyle name="Accent4 94 3" xfId="37116" xr:uid="{00000000-0005-0000-0000-0000F3900000}"/>
    <cellStyle name="Accent4 95" xfId="37117" xr:uid="{00000000-0005-0000-0000-0000F4900000}"/>
    <cellStyle name="Accent4 95 2" xfId="37118" xr:uid="{00000000-0005-0000-0000-0000F5900000}"/>
    <cellStyle name="Accent4 95 2 2" xfId="37119" xr:uid="{00000000-0005-0000-0000-0000F6900000}"/>
    <cellStyle name="Accent4 95 3" xfId="37120" xr:uid="{00000000-0005-0000-0000-0000F7900000}"/>
    <cellStyle name="Accent4 96" xfId="37121" xr:uid="{00000000-0005-0000-0000-0000F8900000}"/>
    <cellStyle name="Accent4 96 2" xfId="37122" xr:uid="{00000000-0005-0000-0000-0000F9900000}"/>
    <cellStyle name="Accent4 96 2 2" xfId="37123" xr:uid="{00000000-0005-0000-0000-0000FA900000}"/>
    <cellStyle name="Accent4 96 3" xfId="37124" xr:uid="{00000000-0005-0000-0000-0000FB900000}"/>
    <cellStyle name="Accent4 97" xfId="37125" xr:uid="{00000000-0005-0000-0000-0000FC900000}"/>
    <cellStyle name="Accent4 97 2" xfId="37126" xr:uid="{00000000-0005-0000-0000-0000FD900000}"/>
    <cellStyle name="Accent4 97 2 2" xfId="37127" xr:uid="{00000000-0005-0000-0000-0000FE900000}"/>
    <cellStyle name="Accent4 97 3" xfId="37128" xr:uid="{00000000-0005-0000-0000-0000FF900000}"/>
    <cellStyle name="Accent4 98" xfId="37129" xr:uid="{00000000-0005-0000-0000-000000910000}"/>
    <cellStyle name="Accent4 98 2" xfId="37130" xr:uid="{00000000-0005-0000-0000-000001910000}"/>
    <cellStyle name="Accent4 98 2 2" xfId="37131" xr:uid="{00000000-0005-0000-0000-000002910000}"/>
    <cellStyle name="Accent4 98 3" xfId="37132" xr:uid="{00000000-0005-0000-0000-000003910000}"/>
    <cellStyle name="Accent4 99" xfId="37133" xr:uid="{00000000-0005-0000-0000-000004910000}"/>
    <cellStyle name="Accent4 99 2" xfId="37134" xr:uid="{00000000-0005-0000-0000-000005910000}"/>
    <cellStyle name="Accent4 99 2 2" xfId="37135" xr:uid="{00000000-0005-0000-0000-000006910000}"/>
    <cellStyle name="Accent4 99 3" xfId="37136" xr:uid="{00000000-0005-0000-0000-000007910000}"/>
    <cellStyle name="Accent5 - 20%" xfId="37137" xr:uid="{00000000-0005-0000-0000-000008910000}"/>
    <cellStyle name="Accent5 - 20% 2" xfId="37138" xr:uid="{00000000-0005-0000-0000-000009910000}"/>
    <cellStyle name="Accent5 - 20% 2 2" xfId="37139" xr:uid="{00000000-0005-0000-0000-00000A910000}"/>
    <cellStyle name="Accent5 - 20% 3" xfId="37140" xr:uid="{00000000-0005-0000-0000-00000B910000}"/>
    <cellStyle name="Accent5 - 20% 3 2" xfId="37141" xr:uid="{00000000-0005-0000-0000-00000C910000}"/>
    <cellStyle name="Accent5 - 20% 4" xfId="37142" xr:uid="{00000000-0005-0000-0000-00000D910000}"/>
    <cellStyle name="Accent5 - 20% 4 2" xfId="37143" xr:uid="{00000000-0005-0000-0000-00000E910000}"/>
    <cellStyle name="Accent5 - 20% 5" xfId="37144" xr:uid="{00000000-0005-0000-0000-00000F910000}"/>
    <cellStyle name="Accent5 - 20% 5 2" xfId="37145" xr:uid="{00000000-0005-0000-0000-000010910000}"/>
    <cellStyle name="Accent5 - 20% 6" xfId="37146" xr:uid="{00000000-0005-0000-0000-000011910000}"/>
    <cellStyle name="Accent5 - 40%" xfId="37147" xr:uid="{00000000-0005-0000-0000-000012910000}"/>
    <cellStyle name="Accent5 - 40% 2" xfId="37148" xr:uid="{00000000-0005-0000-0000-000013910000}"/>
    <cellStyle name="Accent5 - 40% 2 2" xfId="37149" xr:uid="{00000000-0005-0000-0000-000014910000}"/>
    <cellStyle name="Accent5 - 40% 3" xfId="37150" xr:uid="{00000000-0005-0000-0000-000015910000}"/>
    <cellStyle name="Accent5 - 40% 3 2" xfId="37151" xr:uid="{00000000-0005-0000-0000-000016910000}"/>
    <cellStyle name="Accent5 - 40% 4" xfId="37152" xr:uid="{00000000-0005-0000-0000-000017910000}"/>
    <cellStyle name="Accent5 - 40% 4 2" xfId="37153" xr:uid="{00000000-0005-0000-0000-000018910000}"/>
    <cellStyle name="Accent5 - 40% 5" xfId="37154" xr:uid="{00000000-0005-0000-0000-000019910000}"/>
    <cellStyle name="Accent5 - 40% 5 2" xfId="37155" xr:uid="{00000000-0005-0000-0000-00001A910000}"/>
    <cellStyle name="Accent5 - 40% 6" xfId="37156" xr:uid="{00000000-0005-0000-0000-00001B910000}"/>
    <cellStyle name="Accent5 - 60%" xfId="37157" xr:uid="{00000000-0005-0000-0000-00001C910000}"/>
    <cellStyle name="Accent5 - 60% 2" xfId="37158" xr:uid="{00000000-0005-0000-0000-00001D910000}"/>
    <cellStyle name="Accent5 - 60% 2 2" xfId="37159" xr:uid="{00000000-0005-0000-0000-00001E910000}"/>
    <cellStyle name="Accent5 - 60% 3" xfId="37160" xr:uid="{00000000-0005-0000-0000-00001F910000}"/>
    <cellStyle name="Accent5 - 60% 3 2" xfId="37161" xr:uid="{00000000-0005-0000-0000-000020910000}"/>
    <cellStyle name="Accent5 - 60% 4" xfId="37162" xr:uid="{00000000-0005-0000-0000-000021910000}"/>
    <cellStyle name="Accent5 - 60% 4 2" xfId="37163" xr:uid="{00000000-0005-0000-0000-000022910000}"/>
    <cellStyle name="Accent5 - 60% 5" xfId="37164" xr:uid="{00000000-0005-0000-0000-000023910000}"/>
    <cellStyle name="Accent5 - 60% 5 2" xfId="37165" xr:uid="{00000000-0005-0000-0000-000024910000}"/>
    <cellStyle name="Accent5 - 60% 6" xfId="37166" xr:uid="{00000000-0005-0000-0000-000025910000}"/>
    <cellStyle name="Accent5 10" xfId="37167" xr:uid="{00000000-0005-0000-0000-000026910000}"/>
    <cellStyle name="Accent5 10 2" xfId="37168" xr:uid="{00000000-0005-0000-0000-000027910000}"/>
    <cellStyle name="Accent5 10 2 2" xfId="37169" xr:uid="{00000000-0005-0000-0000-000028910000}"/>
    <cellStyle name="Accent5 10 3" xfId="37170" xr:uid="{00000000-0005-0000-0000-000029910000}"/>
    <cellStyle name="Accent5 100" xfId="37171" xr:uid="{00000000-0005-0000-0000-00002A910000}"/>
    <cellStyle name="Accent5 100 2" xfId="37172" xr:uid="{00000000-0005-0000-0000-00002B910000}"/>
    <cellStyle name="Accent5 100 2 2" xfId="37173" xr:uid="{00000000-0005-0000-0000-00002C910000}"/>
    <cellStyle name="Accent5 100 3" xfId="37174" xr:uid="{00000000-0005-0000-0000-00002D910000}"/>
    <cellStyle name="Accent5 101" xfId="37175" xr:uid="{00000000-0005-0000-0000-00002E910000}"/>
    <cellStyle name="Accent5 101 2" xfId="37176" xr:uid="{00000000-0005-0000-0000-00002F910000}"/>
    <cellStyle name="Accent5 101 2 2" xfId="37177" xr:uid="{00000000-0005-0000-0000-000030910000}"/>
    <cellStyle name="Accent5 101 3" xfId="37178" xr:uid="{00000000-0005-0000-0000-000031910000}"/>
    <cellStyle name="Accent5 102" xfId="37179" xr:uid="{00000000-0005-0000-0000-000032910000}"/>
    <cellStyle name="Accent5 102 2" xfId="37180" xr:uid="{00000000-0005-0000-0000-000033910000}"/>
    <cellStyle name="Accent5 102 2 2" xfId="37181" xr:uid="{00000000-0005-0000-0000-000034910000}"/>
    <cellStyle name="Accent5 102 3" xfId="37182" xr:uid="{00000000-0005-0000-0000-000035910000}"/>
    <cellStyle name="Accent5 103" xfId="37183" xr:uid="{00000000-0005-0000-0000-000036910000}"/>
    <cellStyle name="Accent5 103 2" xfId="37184" xr:uid="{00000000-0005-0000-0000-000037910000}"/>
    <cellStyle name="Accent5 103 2 2" xfId="37185" xr:uid="{00000000-0005-0000-0000-000038910000}"/>
    <cellStyle name="Accent5 103 3" xfId="37186" xr:uid="{00000000-0005-0000-0000-000039910000}"/>
    <cellStyle name="Accent5 104" xfId="37187" xr:uid="{00000000-0005-0000-0000-00003A910000}"/>
    <cellStyle name="Accent5 104 2" xfId="37188" xr:uid="{00000000-0005-0000-0000-00003B910000}"/>
    <cellStyle name="Accent5 104 2 2" xfId="37189" xr:uid="{00000000-0005-0000-0000-00003C910000}"/>
    <cellStyle name="Accent5 104 3" xfId="37190" xr:uid="{00000000-0005-0000-0000-00003D910000}"/>
    <cellStyle name="Accent5 105" xfId="37191" xr:uid="{00000000-0005-0000-0000-00003E910000}"/>
    <cellStyle name="Accent5 105 2" xfId="37192" xr:uid="{00000000-0005-0000-0000-00003F910000}"/>
    <cellStyle name="Accent5 105 2 2" xfId="37193" xr:uid="{00000000-0005-0000-0000-000040910000}"/>
    <cellStyle name="Accent5 105 3" xfId="37194" xr:uid="{00000000-0005-0000-0000-000041910000}"/>
    <cellStyle name="Accent5 106" xfId="37195" xr:uid="{00000000-0005-0000-0000-000042910000}"/>
    <cellStyle name="Accent5 106 2" xfId="37196" xr:uid="{00000000-0005-0000-0000-000043910000}"/>
    <cellStyle name="Accent5 106 2 2" xfId="37197" xr:uid="{00000000-0005-0000-0000-000044910000}"/>
    <cellStyle name="Accent5 106 3" xfId="37198" xr:uid="{00000000-0005-0000-0000-000045910000}"/>
    <cellStyle name="Accent5 107" xfId="37199" xr:uid="{00000000-0005-0000-0000-000046910000}"/>
    <cellStyle name="Accent5 107 2" xfId="37200" xr:uid="{00000000-0005-0000-0000-000047910000}"/>
    <cellStyle name="Accent5 107 2 2" xfId="37201" xr:uid="{00000000-0005-0000-0000-000048910000}"/>
    <cellStyle name="Accent5 107 3" xfId="37202" xr:uid="{00000000-0005-0000-0000-000049910000}"/>
    <cellStyle name="Accent5 108" xfId="37203" xr:uid="{00000000-0005-0000-0000-00004A910000}"/>
    <cellStyle name="Accent5 108 2" xfId="37204" xr:uid="{00000000-0005-0000-0000-00004B910000}"/>
    <cellStyle name="Accent5 108 2 2" xfId="37205" xr:uid="{00000000-0005-0000-0000-00004C910000}"/>
    <cellStyle name="Accent5 108 3" xfId="37206" xr:uid="{00000000-0005-0000-0000-00004D910000}"/>
    <cellStyle name="Accent5 109" xfId="37207" xr:uid="{00000000-0005-0000-0000-00004E910000}"/>
    <cellStyle name="Accent5 109 2" xfId="37208" xr:uid="{00000000-0005-0000-0000-00004F910000}"/>
    <cellStyle name="Accent5 109 2 2" xfId="37209" xr:uid="{00000000-0005-0000-0000-000050910000}"/>
    <cellStyle name="Accent5 109 3" xfId="37210" xr:uid="{00000000-0005-0000-0000-000051910000}"/>
    <cellStyle name="Accent5 11" xfId="37211" xr:uid="{00000000-0005-0000-0000-000052910000}"/>
    <cellStyle name="Accent5 11 2" xfId="37212" xr:uid="{00000000-0005-0000-0000-000053910000}"/>
    <cellStyle name="Accent5 11 2 2" xfId="37213" xr:uid="{00000000-0005-0000-0000-000054910000}"/>
    <cellStyle name="Accent5 11 3" xfId="37214" xr:uid="{00000000-0005-0000-0000-000055910000}"/>
    <cellStyle name="Accent5 110" xfId="37215" xr:uid="{00000000-0005-0000-0000-000056910000}"/>
    <cellStyle name="Accent5 110 2" xfId="37216" xr:uid="{00000000-0005-0000-0000-000057910000}"/>
    <cellStyle name="Accent5 110 2 2" xfId="37217" xr:uid="{00000000-0005-0000-0000-000058910000}"/>
    <cellStyle name="Accent5 110 3" xfId="37218" xr:uid="{00000000-0005-0000-0000-000059910000}"/>
    <cellStyle name="Accent5 111" xfId="37219" xr:uid="{00000000-0005-0000-0000-00005A910000}"/>
    <cellStyle name="Accent5 111 2" xfId="37220" xr:uid="{00000000-0005-0000-0000-00005B910000}"/>
    <cellStyle name="Accent5 111 2 2" xfId="37221" xr:uid="{00000000-0005-0000-0000-00005C910000}"/>
    <cellStyle name="Accent5 111 3" xfId="37222" xr:uid="{00000000-0005-0000-0000-00005D910000}"/>
    <cellStyle name="Accent5 112" xfId="37223" xr:uid="{00000000-0005-0000-0000-00005E910000}"/>
    <cellStyle name="Accent5 112 2" xfId="37224" xr:uid="{00000000-0005-0000-0000-00005F910000}"/>
    <cellStyle name="Accent5 112 2 2" xfId="37225" xr:uid="{00000000-0005-0000-0000-000060910000}"/>
    <cellStyle name="Accent5 112 3" xfId="37226" xr:uid="{00000000-0005-0000-0000-000061910000}"/>
    <cellStyle name="Accent5 113" xfId="37227" xr:uid="{00000000-0005-0000-0000-000062910000}"/>
    <cellStyle name="Accent5 113 2" xfId="37228" xr:uid="{00000000-0005-0000-0000-000063910000}"/>
    <cellStyle name="Accent5 113 2 2" xfId="37229" xr:uid="{00000000-0005-0000-0000-000064910000}"/>
    <cellStyle name="Accent5 113 3" xfId="37230" xr:uid="{00000000-0005-0000-0000-000065910000}"/>
    <cellStyle name="Accent5 114" xfId="37231" xr:uid="{00000000-0005-0000-0000-000066910000}"/>
    <cellStyle name="Accent5 114 2" xfId="37232" xr:uid="{00000000-0005-0000-0000-000067910000}"/>
    <cellStyle name="Accent5 114 2 2" xfId="37233" xr:uid="{00000000-0005-0000-0000-000068910000}"/>
    <cellStyle name="Accent5 114 3" xfId="37234" xr:uid="{00000000-0005-0000-0000-000069910000}"/>
    <cellStyle name="Accent5 115" xfId="37235" xr:uid="{00000000-0005-0000-0000-00006A910000}"/>
    <cellStyle name="Accent5 115 2" xfId="37236" xr:uid="{00000000-0005-0000-0000-00006B910000}"/>
    <cellStyle name="Accent5 115 2 2" xfId="37237" xr:uid="{00000000-0005-0000-0000-00006C910000}"/>
    <cellStyle name="Accent5 115 3" xfId="37238" xr:uid="{00000000-0005-0000-0000-00006D910000}"/>
    <cellStyle name="Accent5 116" xfId="37239" xr:uid="{00000000-0005-0000-0000-00006E910000}"/>
    <cellStyle name="Accent5 116 2" xfId="37240" xr:uid="{00000000-0005-0000-0000-00006F910000}"/>
    <cellStyle name="Accent5 116 2 2" xfId="37241" xr:uid="{00000000-0005-0000-0000-000070910000}"/>
    <cellStyle name="Accent5 116 3" xfId="37242" xr:uid="{00000000-0005-0000-0000-000071910000}"/>
    <cellStyle name="Accent5 117" xfId="37243" xr:uid="{00000000-0005-0000-0000-000072910000}"/>
    <cellStyle name="Accent5 117 2" xfId="37244" xr:uid="{00000000-0005-0000-0000-000073910000}"/>
    <cellStyle name="Accent5 117 2 2" xfId="37245" xr:uid="{00000000-0005-0000-0000-000074910000}"/>
    <cellStyle name="Accent5 117 3" xfId="37246" xr:uid="{00000000-0005-0000-0000-000075910000}"/>
    <cellStyle name="Accent5 118" xfId="37247" xr:uid="{00000000-0005-0000-0000-000076910000}"/>
    <cellStyle name="Accent5 118 2" xfId="37248" xr:uid="{00000000-0005-0000-0000-000077910000}"/>
    <cellStyle name="Accent5 118 2 2" xfId="37249" xr:uid="{00000000-0005-0000-0000-000078910000}"/>
    <cellStyle name="Accent5 118 3" xfId="37250" xr:uid="{00000000-0005-0000-0000-000079910000}"/>
    <cellStyle name="Accent5 119" xfId="37251" xr:uid="{00000000-0005-0000-0000-00007A910000}"/>
    <cellStyle name="Accent5 119 2" xfId="37252" xr:uid="{00000000-0005-0000-0000-00007B910000}"/>
    <cellStyle name="Accent5 119 2 2" xfId="37253" xr:uid="{00000000-0005-0000-0000-00007C910000}"/>
    <cellStyle name="Accent5 119 3" xfId="37254" xr:uid="{00000000-0005-0000-0000-00007D910000}"/>
    <cellStyle name="Accent5 12" xfId="37255" xr:uid="{00000000-0005-0000-0000-00007E910000}"/>
    <cellStyle name="Accent5 12 2" xfId="37256" xr:uid="{00000000-0005-0000-0000-00007F910000}"/>
    <cellStyle name="Accent5 12 2 2" xfId="37257" xr:uid="{00000000-0005-0000-0000-000080910000}"/>
    <cellStyle name="Accent5 12 3" xfId="37258" xr:uid="{00000000-0005-0000-0000-000081910000}"/>
    <cellStyle name="Accent5 120" xfId="37259" xr:uid="{00000000-0005-0000-0000-000082910000}"/>
    <cellStyle name="Accent5 120 2" xfId="37260" xr:uid="{00000000-0005-0000-0000-000083910000}"/>
    <cellStyle name="Accent5 120 2 2" xfId="37261" xr:uid="{00000000-0005-0000-0000-000084910000}"/>
    <cellStyle name="Accent5 120 3" xfId="37262" xr:uid="{00000000-0005-0000-0000-000085910000}"/>
    <cellStyle name="Accent5 121" xfId="37263" xr:uid="{00000000-0005-0000-0000-000086910000}"/>
    <cellStyle name="Accent5 121 2" xfId="37264" xr:uid="{00000000-0005-0000-0000-000087910000}"/>
    <cellStyle name="Accent5 121 2 2" xfId="37265" xr:uid="{00000000-0005-0000-0000-000088910000}"/>
    <cellStyle name="Accent5 121 3" xfId="37266" xr:uid="{00000000-0005-0000-0000-000089910000}"/>
    <cellStyle name="Accent5 122" xfId="37267" xr:uid="{00000000-0005-0000-0000-00008A910000}"/>
    <cellStyle name="Accent5 122 2" xfId="37268" xr:uid="{00000000-0005-0000-0000-00008B910000}"/>
    <cellStyle name="Accent5 122 2 2" xfId="37269" xr:uid="{00000000-0005-0000-0000-00008C910000}"/>
    <cellStyle name="Accent5 122 3" xfId="37270" xr:uid="{00000000-0005-0000-0000-00008D910000}"/>
    <cellStyle name="Accent5 123" xfId="37271" xr:uid="{00000000-0005-0000-0000-00008E910000}"/>
    <cellStyle name="Accent5 123 2" xfId="37272" xr:uid="{00000000-0005-0000-0000-00008F910000}"/>
    <cellStyle name="Accent5 123 2 2" xfId="37273" xr:uid="{00000000-0005-0000-0000-000090910000}"/>
    <cellStyle name="Accent5 123 3" xfId="37274" xr:uid="{00000000-0005-0000-0000-000091910000}"/>
    <cellStyle name="Accent5 124" xfId="37275" xr:uid="{00000000-0005-0000-0000-000092910000}"/>
    <cellStyle name="Accent5 124 2" xfId="37276" xr:uid="{00000000-0005-0000-0000-000093910000}"/>
    <cellStyle name="Accent5 124 2 2" xfId="37277" xr:uid="{00000000-0005-0000-0000-000094910000}"/>
    <cellStyle name="Accent5 124 3" xfId="37278" xr:uid="{00000000-0005-0000-0000-000095910000}"/>
    <cellStyle name="Accent5 125" xfId="37279" xr:uid="{00000000-0005-0000-0000-000096910000}"/>
    <cellStyle name="Accent5 125 2" xfId="37280" xr:uid="{00000000-0005-0000-0000-000097910000}"/>
    <cellStyle name="Accent5 125 2 2" xfId="37281" xr:uid="{00000000-0005-0000-0000-000098910000}"/>
    <cellStyle name="Accent5 125 3" xfId="37282" xr:uid="{00000000-0005-0000-0000-000099910000}"/>
    <cellStyle name="Accent5 126" xfId="37283" xr:uid="{00000000-0005-0000-0000-00009A910000}"/>
    <cellStyle name="Accent5 126 2" xfId="37284" xr:uid="{00000000-0005-0000-0000-00009B910000}"/>
    <cellStyle name="Accent5 126 2 2" xfId="37285" xr:uid="{00000000-0005-0000-0000-00009C910000}"/>
    <cellStyle name="Accent5 126 3" xfId="37286" xr:uid="{00000000-0005-0000-0000-00009D910000}"/>
    <cellStyle name="Accent5 127" xfId="37287" xr:uid="{00000000-0005-0000-0000-00009E910000}"/>
    <cellStyle name="Accent5 127 2" xfId="37288" xr:uid="{00000000-0005-0000-0000-00009F910000}"/>
    <cellStyle name="Accent5 127 2 2" xfId="37289" xr:uid="{00000000-0005-0000-0000-0000A0910000}"/>
    <cellStyle name="Accent5 127 3" xfId="37290" xr:uid="{00000000-0005-0000-0000-0000A1910000}"/>
    <cellStyle name="Accent5 128" xfId="37291" xr:uid="{00000000-0005-0000-0000-0000A2910000}"/>
    <cellStyle name="Accent5 128 2" xfId="37292" xr:uid="{00000000-0005-0000-0000-0000A3910000}"/>
    <cellStyle name="Accent5 128 2 2" xfId="37293" xr:uid="{00000000-0005-0000-0000-0000A4910000}"/>
    <cellStyle name="Accent5 128 3" xfId="37294" xr:uid="{00000000-0005-0000-0000-0000A5910000}"/>
    <cellStyle name="Accent5 129" xfId="37295" xr:uid="{00000000-0005-0000-0000-0000A6910000}"/>
    <cellStyle name="Accent5 129 2" xfId="37296" xr:uid="{00000000-0005-0000-0000-0000A7910000}"/>
    <cellStyle name="Accent5 129 2 2" xfId="37297" xr:uid="{00000000-0005-0000-0000-0000A8910000}"/>
    <cellStyle name="Accent5 129 3" xfId="37298" xr:uid="{00000000-0005-0000-0000-0000A9910000}"/>
    <cellStyle name="Accent5 13" xfId="37299" xr:uid="{00000000-0005-0000-0000-0000AA910000}"/>
    <cellStyle name="Accent5 13 2" xfId="37300" xr:uid="{00000000-0005-0000-0000-0000AB910000}"/>
    <cellStyle name="Accent5 13 2 2" xfId="37301" xr:uid="{00000000-0005-0000-0000-0000AC910000}"/>
    <cellStyle name="Accent5 13 3" xfId="37302" xr:uid="{00000000-0005-0000-0000-0000AD910000}"/>
    <cellStyle name="Accent5 130" xfId="37303" xr:uid="{00000000-0005-0000-0000-0000AE910000}"/>
    <cellStyle name="Accent5 130 2" xfId="37304" xr:uid="{00000000-0005-0000-0000-0000AF910000}"/>
    <cellStyle name="Accent5 130 2 2" xfId="37305" xr:uid="{00000000-0005-0000-0000-0000B0910000}"/>
    <cellStyle name="Accent5 130 3" xfId="37306" xr:uid="{00000000-0005-0000-0000-0000B1910000}"/>
    <cellStyle name="Accent5 131" xfId="37307" xr:uid="{00000000-0005-0000-0000-0000B2910000}"/>
    <cellStyle name="Accent5 131 2" xfId="37308" xr:uid="{00000000-0005-0000-0000-0000B3910000}"/>
    <cellStyle name="Accent5 131 2 2" xfId="37309" xr:uid="{00000000-0005-0000-0000-0000B4910000}"/>
    <cellStyle name="Accent5 131 3" xfId="37310" xr:uid="{00000000-0005-0000-0000-0000B5910000}"/>
    <cellStyle name="Accent5 132" xfId="37311" xr:uid="{00000000-0005-0000-0000-0000B6910000}"/>
    <cellStyle name="Accent5 132 2" xfId="37312" xr:uid="{00000000-0005-0000-0000-0000B7910000}"/>
    <cellStyle name="Accent5 132 2 2" xfId="37313" xr:uid="{00000000-0005-0000-0000-0000B8910000}"/>
    <cellStyle name="Accent5 132 3" xfId="37314" xr:uid="{00000000-0005-0000-0000-0000B9910000}"/>
    <cellStyle name="Accent5 133" xfId="37315" xr:uid="{00000000-0005-0000-0000-0000BA910000}"/>
    <cellStyle name="Accent5 133 2" xfId="37316" xr:uid="{00000000-0005-0000-0000-0000BB910000}"/>
    <cellStyle name="Accent5 133 2 2" xfId="37317" xr:uid="{00000000-0005-0000-0000-0000BC910000}"/>
    <cellStyle name="Accent5 133 3" xfId="37318" xr:uid="{00000000-0005-0000-0000-0000BD910000}"/>
    <cellStyle name="Accent5 134" xfId="37319" xr:uid="{00000000-0005-0000-0000-0000BE910000}"/>
    <cellStyle name="Accent5 134 2" xfId="37320" xr:uid="{00000000-0005-0000-0000-0000BF910000}"/>
    <cellStyle name="Accent5 134 2 2" xfId="37321" xr:uid="{00000000-0005-0000-0000-0000C0910000}"/>
    <cellStyle name="Accent5 134 3" xfId="37322" xr:uid="{00000000-0005-0000-0000-0000C1910000}"/>
    <cellStyle name="Accent5 135" xfId="37323" xr:uid="{00000000-0005-0000-0000-0000C2910000}"/>
    <cellStyle name="Accent5 135 2" xfId="37324" xr:uid="{00000000-0005-0000-0000-0000C3910000}"/>
    <cellStyle name="Accent5 135 2 2" xfId="37325" xr:uid="{00000000-0005-0000-0000-0000C4910000}"/>
    <cellStyle name="Accent5 135 3" xfId="37326" xr:uid="{00000000-0005-0000-0000-0000C5910000}"/>
    <cellStyle name="Accent5 136" xfId="37327" xr:uid="{00000000-0005-0000-0000-0000C6910000}"/>
    <cellStyle name="Accent5 136 2" xfId="37328" xr:uid="{00000000-0005-0000-0000-0000C7910000}"/>
    <cellStyle name="Accent5 136 2 2" xfId="37329" xr:uid="{00000000-0005-0000-0000-0000C8910000}"/>
    <cellStyle name="Accent5 136 3" xfId="37330" xr:uid="{00000000-0005-0000-0000-0000C9910000}"/>
    <cellStyle name="Accent5 137" xfId="37331" xr:uid="{00000000-0005-0000-0000-0000CA910000}"/>
    <cellStyle name="Accent5 137 2" xfId="37332" xr:uid="{00000000-0005-0000-0000-0000CB910000}"/>
    <cellStyle name="Accent5 137 2 2" xfId="37333" xr:uid="{00000000-0005-0000-0000-0000CC910000}"/>
    <cellStyle name="Accent5 137 3" xfId="37334" xr:uid="{00000000-0005-0000-0000-0000CD910000}"/>
    <cellStyle name="Accent5 138" xfId="37335" xr:uid="{00000000-0005-0000-0000-0000CE910000}"/>
    <cellStyle name="Accent5 138 2" xfId="37336" xr:uid="{00000000-0005-0000-0000-0000CF910000}"/>
    <cellStyle name="Accent5 138 2 2" xfId="37337" xr:uid="{00000000-0005-0000-0000-0000D0910000}"/>
    <cellStyle name="Accent5 138 3" xfId="37338" xr:uid="{00000000-0005-0000-0000-0000D1910000}"/>
    <cellStyle name="Accent5 139" xfId="37339" xr:uid="{00000000-0005-0000-0000-0000D2910000}"/>
    <cellStyle name="Accent5 139 2" xfId="37340" xr:uid="{00000000-0005-0000-0000-0000D3910000}"/>
    <cellStyle name="Accent5 139 2 2" xfId="37341" xr:uid="{00000000-0005-0000-0000-0000D4910000}"/>
    <cellStyle name="Accent5 139 3" xfId="37342" xr:uid="{00000000-0005-0000-0000-0000D5910000}"/>
    <cellStyle name="Accent5 14" xfId="37343" xr:uid="{00000000-0005-0000-0000-0000D6910000}"/>
    <cellStyle name="Accent5 14 2" xfId="37344" xr:uid="{00000000-0005-0000-0000-0000D7910000}"/>
    <cellStyle name="Accent5 14 2 2" xfId="37345" xr:uid="{00000000-0005-0000-0000-0000D8910000}"/>
    <cellStyle name="Accent5 14 3" xfId="37346" xr:uid="{00000000-0005-0000-0000-0000D9910000}"/>
    <cellStyle name="Accent5 140" xfId="37347" xr:uid="{00000000-0005-0000-0000-0000DA910000}"/>
    <cellStyle name="Accent5 140 2" xfId="37348" xr:uid="{00000000-0005-0000-0000-0000DB910000}"/>
    <cellStyle name="Accent5 140 2 2" xfId="37349" xr:uid="{00000000-0005-0000-0000-0000DC910000}"/>
    <cellStyle name="Accent5 140 3" xfId="37350" xr:uid="{00000000-0005-0000-0000-0000DD910000}"/>
    <cellStyle name="Accent5 141" xfId="37351" xr:uid="{00000000-0005-0000-0000-0000DE910000}"/>
    <cellStyle name="Accent5 141 2" xfId="37352" xr:uid="{00000000-0005-0000-0000-0000DF910000}"/>
    <cellStyle name="Accent5 141 2 2" xfId="37353" xr:uid="{00000000-0005-0000-0000-0000E0910000}"/>
    <cellStyle name="Accent5 141 3" xfId="37354" xr:uid="{00000000-0005-0000-0000-0000E1910000}"/>
    <cellStyle name="Accent5 142" xfId="37355" xr:uid="{00000000-0005-0000-0000-0000E2910000}"/>
    <cellStyle name="Accent5 142 2" xfId="37356" xr:uid="{00000000-0005-0000-0000-0000E3910000}"/>
    <cellStyle name="Accent5 142 2 2" xfId="37357" xr:uid="{00000000-0005-0000-0000-0000E4910000}"/>
    <cellStyle name="Accent5 142 3" xfId="37358" xr:uid="{00000000-0005-0000-0000-0000E5910000}"/>
    <cellStyle name="Accent5 143" xfId="37359" xr:uid="{00000000-0005-0000-0000-0000E6910000}"/>
    <cellStyle name="Accent5 143 2" xfId="37360" xr:uid="{00000000-0005-0000-0000-0000E7910000}"/>
    <cellStyle name="Accent5 143 2 2" xfId="37361" xr:uid="{00000000-0005-0000-0000-0000E8910000}"/>
    <cellStyle name="Accent5 143 3" xfId="37362" xr:uid="{00000000-0005-0000-0000-0000E9910000}"/>
    <cellStyle name="Accent5 144" xfId="37363" xr:uid="{00000000-0005-0000-0000-0000EA910000}"/>
    <cellStyle name="Accent5 144 2" xfId="37364" xr:uid="{00000000-0005-0000-0000-0000EB910000}"/>
    <cellStyle name="Accent5 144 2 2" xfId="37365" xr:uid="{00000000-0005-0000-0000-0000EC910000}"/>
    <cellStyle name="Accent5 144 3" xfId="37366" xr:uid="{00000000-0005-0000-0000-0000ED910000}"/>
    <cellStyle name="Accent5 145" xfId="37367" xr:uid="{00000000-0005-0000-0000-0000EE910000}"/>
    <cellStyle name="Accent5 145 2" xfId="37368" xr:uid="{00000000-0005-0000-0000-0000EF910000}"/>
    <cellStyle name="Accent5 145 2 2" xfId="37369" xr:uid="{00000000-0005-0000-0000-0000F0910000}"/>
    <cellStyle name="Accent5 145 3" xfId="37370" xr:uid="{00000000-0005-0000-0000-0000F1910000}"/>
    <cellStyle name="Accent5 146" xfId="37371" xr:uid="{00000000-0005-0000-0000-0000F2910000}"/>
    <cellStyle name="Accent5 146 2" xfId="37372" xr:uid="{00000000-0005-0000-0000-0000F3910000}"/>
    <cellStyle name="Accent5 146 2 2" xfId="37373" xr:uid="{00000000-0005-0000-0000-0000F4910000}"/>
    <cellStyle name="Accent5 146 3" xfId="37374" xr:uid="{00000000-0005-0000-0000-0000F5910000}"/>
    <cellStyle name="Accent5 147" xfId="37375" xr:uid="{00000000-0005-0000-0000-0000F6910000}"/>
    <cellStyle name="Accent5 147 2" xfId="37376" xr:uid="{00000000-0005-0000-0000-0000F7910000}"/>
    <cellStyle name="Accent5 147 2 2" xfId="37377" xr:uid="{00000000-0005-0000-0000-0000F8910000}"/>
    <cellStyle name="Accent5 147 3" xfId="37378" xr:uid="{00000000-0005-0000-0000-0000F9910000}"/>
    <cellStyle name="Accent5 148" xfId="37379" xr:uid="{00000000-0005-0000-0000-0000FA910000}"/>
    <cellStyle name="Accent5 148 2" xfId="37380" xr:uid="{00000000-0005-0000-0000-0000FB910000}"/>
    <cellStyle name="Accent5 148 2 2" xfId="37381" xr:uid="{00000000-0005-0000-0000-0000FC910000}"/>
    <cellStyle name="Accent5 148 3" xfId="37382" xr:uid="{00000000-0005-0000-0000-0000FD910000}"/>
    <cellStyle name="Accent5 149" xfId="37383" xr:uid="{00000000-0005-0000-0000-0000FE910000}"/>
    <cellStyle name="Accent5 149 2" xfId="37384" xr:uid="{00000000-0005-0000-0000-0000FF910000}"/>
    <cellStyle name="Accent5 149 2 2" xfId="37385" xr:uid="{00000000-0005-0000-0000-000000920000}"/>
    <cellStyle name="Accent5 149 3" xfId="37386" xr:uid="{00000000-0005-0000-0000-000001920000}"/>
    <cellStyle name="Accent5 15" xfId="37387" xr:uid="{00000000-0005-0000-0000-000002920000}"/>
    <cellStyle name="Accent5 15 2" xfId="37388" xr:uid="{00000000-0005-0000-0000-000003920000}"/>
    <cellStyle name="Accent5 15 2 2" xfId="37389" xr:uid="{00000000-0005-0000-0000-000004920000}"/>
    <cellStyle name="Accent5 15 3" xfId="37390" xr:uid="{00000000-0005-0000-0000-000005920000}"/>
    <cellStyle name="Accent5 150" xfId="37391" xr:uid="{00000000-0005-0000-0000-000006920000}"/>
    <cellStyle name="Accent5 150 2" xfId="37392" xr:uid="{00000000-0005-0000-0000-000007920000}"/>
    <cellStyle name="Accent5 150 2 2" xfId="37393" xr:uid="{00000000-0005-0000-0000-000008920000}"/>
    <cellStyle name="Accent5 150 3" xfId="37394" xr:uid="{00000000-0005-0000-0000-000009920000}"/>
    <cellStyle name="Accent5 151" xfId="37395" xr:uid="{00000000-0005-0000-0000-00000A920000}"/>
    <cellStyle name="Accent5 151 2" xfId="37396" xr:uid="{00000000-0005-0000-0000-00000B920000}"/>
    <cellStyle name="Accent5 151 2 2" xfId="37397" xr:uid="{00000000-0005-0000-0000-00000C920000}"/>
    <cellStyle name="Accent5 151 3" xfId="37398" xr:uid="{00000000-0005-0000-0000-00000D920000}"/>
    <cellStyle name="Accent5 152" xfId="37399" xr:uid="{00000000-0005-0000-0000-00000E920000}"/>
    <cellStyle name="Accent5 152 2" xfId="37400" xr:uid="{00000000-0005-0000-0000-00000F920000}"/>
    <cellStyle name="Accent5 152 2 2" xfId="37401" xr:uid="{00000000-0005-0000-0000-000010920000}"/>
    <cellStyle name="Accent5 152 3" xfId="37402" xr:uid="{00000000-0005-0000-0000-000011920000}"/>
    <cellStyle name="Accent5 153" xfId="37403" xr:uid="{00000000-0005-0000-0000-000012920000}"/>
    <cellStyle name="Accent5 153 2" xfId="37404" xr:uid="{00000000-0005-0000-0000-000013920000}"/>
    <cellStyle name="Accent5 153 2 2" xfId="37405" xr:uid="{00000000-0005-0000-0000-000014920000}"/>
    <cellStyle name="Accent5 153 3" xfId="37406" xr:uid="{00000000-0005-0000-0000-000015920000}"/>
    <cellStyle name="Accent5 154" xfId="37407" xr:uid="{00000000-0005-0000-0000-000016920000}"/>
    <cellStyle name="Accent5 154 2" xfId="37408" xr:uid="{00000000-0005-0000-0000-000017920000}"/>
    <cellStyle name="Accent5 154 2 2" xfId="37409" xr:uid="{00000000-0005-0000-0000-000018920000}"/>
    <cellStyle name="Accent5 154 3" xfId="37410" xr:uid="{00000000-0005-0000-0000-000019920000}"/>
    <cellStyle name="Accent5 155" xfId="37411" xr:uid="{00000000-0005-0000-0000-00001A920000}"/>
    <cellStyle name="Accent5 155 2" xfId="37412" xr:uid="{00000000-0005-0000-0000-00001B920000}"/>
    <cellStyle name="Accent5 155 2 2" xfId="37413" xr:uid="{00000000-0005-0000-0000-00001C920000}"/>
    <cellStyle name="Accent5 155 3" xfId="37414" xr:uid="{00000000-0005-0000-0000-00001D920000}"/>
    <cellStyle name="Accent5 156" xfId="37415" xr:uid="{00000000-0005-0000-0000-00001E920000}"/>
    <cellStyle name="Accent5 156 2" xfId="37416" xr:uid="{00000000-0005-0000-0000-00001F920000}"/>
    <cellStyle name="Accent5 156 2 2" xfId="37417" xr:uid="{00000000-0005-0000-0000-000020920000}"/>
    <cellStyle name="Accent5 156 3" xfId="37418" xr:uid="{00000000-0005-0000-0000-000021920000}"/>
    <cellStyle name="Accent5 157" xfId="37419" xr:uid="{00000000-0005-0000-0000-000022920000}"/>
    <cellStyle name="Accent5 157 2" xfId="37420" xr:uid="{00000000-0005-0000-0000-000023920000}"/>
    <cellStyle name="Accent5 157 2 2" xfId="37421" xr:uid="{00000000-0005-0000-0000-000024920000}"/>
    <cellStyle name="Accent5 157 3" xfId="37422" xr:uid="{00000000-0005-0000-0000-000025920000}"/>
    <cellStyle name="Accent5 158" xfId="37423" xr:uid="{00000000-0005-0000-0000-000026920000}"/>
    <cellStyle name="Accent5 158 2" xfId="37424" xr:uid="{00000000-0005-0000-0000-000027920000}"/>
    <cellStyle name="Accent5 158 2 2" xfId="37425" xr:uid="{00000000-0005-0000-0000-000028920000}"/>
    <cellStyle name="Accent5 158 3" xfId="37426" xr:uid="{00000000-0005-0000-0000-000029920000}"/>
    <cellStyle name="Accent5 159" xfId="37427" xr:uid="{00000000-0005-0000-0000-00002A920000}"/>
    <cellStyle name="Accent5 159 2" xfId="37428" xr:uid="{00000000-0005-0000-0000-00002B920000}"/>
    <cellStyle name="Accent5 16" xfId="37429" xr:uid="{00000000-0005-0000-0000-00002C920000}"/>
    <cellStyle name="Accent5 16 2" xfId="37430" xr:uid="{00000000-0005-0000-0000-00002D920000}"/>
    <cellStyle name="Accent5 16 2 2" xfId="37431" xr:uid="{00000000-0005-0000-0000-00002E920000}"/>
    <cellStyle name="Accent5 16 3" xfId="37432" xr:uid="{00000000-0005-0000-0000-00002F920000}"/>
    <cellStyle name="Accent5 160" xfId="37433" xr:uid="{00000000-0005-0000-0000-000030920000}"/>
    <cellStyle name="Accent5 160 2" xfId="37434" xr:uid="{00000000-0005-0000-0000-000031920000}"/>
    <cellStyle name="Accent5 161" xfId="37435" xr:uid="{00000000-0005-0000-0000-000032920000}"/>
    <cellStyle name="Accent5 161 2" xfId="37436" xr:uid="{00000000-0005-0000-0000-000033920000}"/>
    <cellStyle name="Accent5 162" xfId="37437" xr:uid="{00000000-0005-0000-0000-000034920000}"/>
    <cellStyle name="Accent5 162 2" xfId="37438" xr:uid="{00000000-0005-0000-0000-000035920000}"/>
    <cellStyle name="Accent5 163" xfId="37439" xr:uid="{00000000-0005-0000-0000-000036920000}"/>
    <cellStyle name="Accent5 163 2" xfId="37440" xr:uid="{00000000-0005-0000-0000-000037920000}"/>
    <cellStyle name="Accent5 164" xfId="37441" xr:uid="{00000000-0005-0000-0000-000038920000}"/>
    <cellStyle name="Accent5 164 2" xfId="37442" xr:uid="{00000000-0005-0000-0000-000039920000}"/>
    <cellStyle name="Accent5 165" xfId="37443" xr:uid="{00000000-0005-0000-0000-00003A920000}"/>
    <cellStyle name="Accent5 165 2" xfId="37444" xr:uid="{00000000-0005-0000-0000-00003B920000}"/>
    <cellStyle name="Accent5 166" xfId="37445" xr:uid="{00000000-0005-0000-0000-00003C920000}"/>
    <cellStyle name="Accent5 166 2" xfId="37446" xr:uid="{00000000-0005-0000-0000-00003D920000}"/>
    <cellStyle name="Accent5 167" xfId="37447" xr:uid="{00000000-0005-0000-0000-00003E920000}"/>
    <cellStyle name="Accent5 167 2" xfId="37448" xr:uid="{00000000-0005-0000-0000-00003F920000}"/>
    <cellStyle name="Accent5 168" xfId="37449" xr:uid="{00000000-0005-0000-0000-000040920000}"/>
    <cellStyle name="Accent5 168 2" xfId="37450" xr:uid="{00000000-0005-0000-0000-000041920000}"/>
    <cellStyle name="Accent5 169" xfId="37451" xr:uid="{00000000-0005-0000-0000-000042920000}"/>
    <cellStyle name="Accent5 169 2" xfId="37452" xr:uid="{00000000-0005-0000-0000-000043920000}"/>
    <cellStyle name="Accent5 17" xfId="37453" xr:uid="{00000000-0005-0000-0000-000044920000}"/>
    <cellStyle name="Accent5 17 2" xfId="37454" xr:uid="{00000000-0005-0000-0000-000045920000}"/>
    <cellStyle name="Accent5 17 2 2" xfId="37455" xr:uid="{00000000-0005-0000-0000-000046920000}"/>
    <cellStyle name="Accent5 17 3" xfId="37456" xr:uid="{00000000-0005-0000-0000-000047920000}"/>
    <cellStyle name="Accent5 170" xfId="37457" xr:uid="{00000000-0005-0000-0000-000048920000}"/>
    <cellStyle name="Accent5 170 2" xfId="37458" xr:uid="{00000000-0005-0000-0000-000049920000}"/>
    <cellStyle name="Accent5 171" xfId="37459" xr:uid="{00000000-0005-0000-0000-00004A920000}"/>
    <cellStyle name="Accent5 171 2" xfId="37460" xr:uid="{00000000-0005-0000-0000-00004B920000}"/>
    <cellStyle name="Accent5 172" xfId="37461" xr:uid="{00000000-0005-0000-0000-00004C920000}"/>
    <cellStyle name="Accent5 172 2" xfId="37462" xr:uid="{00000000-0005-0000-0000-00004D920000}"/>
    <cellStyle name="Accent5 173" xfId="37463" xr:uid="{00000000-0005-0000-0000-00004E920000}"/>
    <cellStyle name="Accent5 173 2" xfId="37464" xr:uid="{00000000-0005-0000-0000-00004F920000}"/>
    <cellStyle name="Accent5 174" xfId="37465" xr:uid="{00000000-0005-0000-0000-000050920000}"/>
    <cellStyle name="Accent5 174 2" xfId="37466" xr:uid="{00000000-0005-0000-0000-000051920000}"/>
    <cellStyle name="Accent5 175" xfId="37467" xr:uid="{00000000-0005-0000-0000-000052920000}"/>
    <cellStyle name="Accent5 175 2" xfId="37468" xr:uid="{00000000-0005-0000-0000-000053920000}"/>
    <cellStyle name="Accent5 176" xfId="37469" xr:uid="{00000000-0005-0000-0000-000054920000}"/>
    <cellStyle name="Accent5 176 2" xfId="37470" xr:uid="{00000000-0005-0000-0000-000055920000}"/>
    <cellStyle name="Accent5 177" xfId="37471" xr:uid="{00000000-0005-0000-0000-000056920000}"/>
    <cellStyle name="Accent5 177 2" xfId="37472" xr:uid="{00000000-0005-0000-0000-000057920000}"/>
    <cellStyle name="Accent5 178" xfId="37473" xr:uid="{00000000-0005-0000-0000-000058920000}"/>
    <cellStyle name="Accent5 178 2" xfId="37474" xr:uid="{00000000-0005-0000-0000-000059920000}"/>
    <cellStyle name="Accent5 179" xfId="37475" xr:uid="{00000000-0005-0000-0000-00005A920000}"/>
    <cellStyle name="Accent5 179 2" xfId="37476" xr:uid="{00000000-0005-0000-0000-00005B920000}"/>
    <cellStyle name="Accent5 18" xfId="37477" xr:uid="{00000000-0005-0000-0000-00005C920000}"/>
    <cellStyle name="Accent5 18 2" xfId="37478" xr:uid="{00000000-0005-0000-0000-00005D920000}"/>
    <cellStyle name="Accent5 18 2 2" xfId="37479" xr:uid="{00000000-0005-0000-0000-00005E920000}"/>
    <cellStyle name="Accent5 18 3" xfId="37480" xr:uid="{00000000-0005-0000-0000-00005F920000}"/>
    <cellStyle name="Accent5 180" xfId="37481" xr:uid="{00000000-0005-0000-0000-000060920000}"/>
    <cellStyle name="Accent5 180 2" xfId="37482" xr:uid="{00000000-0005-0000-0000-000061920000}"/>
    <cellStyle name="Accent5 181" xfId="37483" xr:uid="{00000000-0005-0000-0000-000062920000}"/>
    <cellStyle name="Accent5 181 2" xfId="37484" xr:uid="{00000000-0005-0000-0000-000063920000}"/>
    <cellStyle name="Accent5 182" xfId="37485" xr:uid="{00000000-0005-0000-0000-000064920000}"/>
    <cellStyle name="Accent5 182 2" xfId="37486" xr:uid="{00000000-0005-0000-0000-000065920000}"/>
    <cellStyle name="Accent5 183" xfId="37487" xr:uid="{00000000-0005-0000-0000-000066920000}"/>
    <cellStyle name="Accent5 183 2" xfId="37488" xr:uid="{00000000-0005-0000-0000-000067920000}"/>
    <cellStyle name="Accent5 184" xfId="37489" xr:uid="{00000000-0005-0000-0000-000068920000}"/>
    <cellStyle name="Accent5 184 2" xfId="37490" xr:uid="{00000000-0005-0000-0000-000069920000}"/>
    <cellStyle name="Accent5 185" xfId="37491" xr:uid="{00000000-0005-0000-0000-00006A920000}"/>
    <cellStyle name="Accent5 185 2" xfId="37492" xr:uid="{00000000-0005-0000-0000-00006B920000}"/>
    <cellStyle name="Accent5 186" xfId="37493" xr:uid="{00000000-0005-0000-0000-00006C920000}"/>
    <cellStyle name="Accent5 186 2" xfId="37494" xr:uid="{00000000-0005-0000-0000-00006D920000}"/>
    <cellStyle name="Accent5 187" xfId="37495" xr:uid="{00000000-0005-0000-0000-00006E920000}"/>
    <cellStyle name="Accent5 187 2" xfId="37496" xr:uid="{00000000-0005-0000-0000-00006F920000}"/>
    <cellStyle name="Accent5 188" xfId="37497" xr:uid="{00000000-0005-0000-0000-000070920000}"/>
    <cellStyle name="Accent5 188 2" xfId="37498" xr:uid="{00000000-0005-0000-0000-000071920000}"/>
    <cellStyle name="Accent5 189" xfId="37499" xr:uid="{00000000-0005-0000-0000-000072920000}"/>
    <cellStyle name="Accent5 189 2" xfId="37500" xr:uid="{00000000-0005-0000-0000-000073920000}"/>
    <cellStyle name="Accent5 19" xfId="37501" xr:uid="{00000000-0005-0000-0000-000074920000}"/>
    <cellStyle name="Accent5 19 2" xfId="37502" xr:uid="{00000000-0005-0000-0000-000075920000}"/>
    <cellStyle name="Accent5 19 2 2" xfId="37503" xr:uid="{00000000-0005-0000-0000-000076920000}"/>
    <cellStyle name="Accent5 19 3" xfId="37504" xr:uid="{00000000-0005-0000-0000-000077920000}"/>
    <cellStyle name="Accent5 190" xfId="37505" xr:uid="{00000000-0005-0000-0000-000078920000}"/>
    <cellStyle name="Accent5 190 2" xfId="37506" xr:uid="{00000000-0005-0000-0000-000079920000}"/>
    <cellStyle name="Accent5 191" xfId="37507" xr:uid="{00000000-0005-0000-0000-00007A920000}"/>
    <cellStyle name="Accent5 191 2" xfId="37508" xr:uid="{00000000-0005-0000-0000-00007B920000}"/>
    <cellStyle name="Accent5 192" xfId="37509" xr:uid="{00000000-0005-0000-0000-00007C920000}"/>
    <cellStyle name="Accent5 192 2" xfId="37510" xr:uid="{00000000-0005-0000-0000-00007D920000}"/>
    <cellStyle name="Accent5 193" xfId="37511" xr:uid="{00000000-0005-0000-0000-00007E920000}"/>
    <cellStyle name="Accent5 193 2" xfId="37512" xr:uid="{00000000-0005-0000-0000-00007F920000}"/>
    <cellStyle name="Accent5 194" xfId="37513" xr:uid="{00000000-0005-0000-0000-000080920000}"/>
    <cellStyle name="Accent5 194 2" xfId="37514" xr:uid="{00000000-0005-0000-0000-000081920000}"/>
    <cellStyle name="Accent5 195" xfId="37515" xr:uid="{00000000-0005-0000-0000-000082920000}"/>
    <cellStyle name="Accent5 195 2" xfId="37516" xr:uid="{00000000-0005-0000-0000-000083920000}"/>
    <cellStyle name="Accent5 196" xfId="37517" xr:uid="{00000000-0005-0000-0000-000084920000}"/>
    <cellStyle name="Accent5 196 2" xfId="37518" xr:uid="{00000000-0005-0000-0000-000085920000}"/>
    <cellStyle name="Accent5 197" xfId="37519" xr:uid="{00000000-0005-0000-0000-000086920000}"/>
    <cellStyle name="Accent5 197 2" xfId="37520" xr:uid="{00000000-0005-0000-0000-000087920000}"/>
    <cellStyle name="Accent5 198" xfId="37521" xr:uid="{00000000-0005-0000-0000-000088920000}"/>
    <cellStyle name="Accent5 198 2" xfId="37522" xr:uid="{00000000-0005-0000-0000-000089920000}"/>
    <cellStyle name="Accent5 2" xfId="37523" xr:uid="{00000000-0005-0000-0000-00008A920000}"/>
    <cellStyle name="Accent5 2 2" xfId="37524" xr:uid="{00000000-0005-0000-0000-00008B920000}"/>
    <cellStyle name="Accent5 2 2 2" xfId="37525" xr:uid="{00000000-0005-0000-0000-00008C920000}"/>
    <cellStyle name="Accent5 2 2 2 2" xfId="37526" xr:uid="{00000000-0005-0000-0000-00008D920000}"/>
    <cellStyle name="Accent5 2 2 2 2 2" xfId="37527" xr:uid="{00000000-0005-0000-0000-00008E920000}"/>
    <cellStyle name="Accent5 2 2 2 2 2 2" xfId="37528" xr:uid="{00000000-0005-0000-0000-00008F920000}"/>
    <cellStyle name="Accent5 2 2 2 2 3" xfId="37529" xr:uid="{00000000-0005-0000-0000-000090920000}"/>
    <cellStyle name="Accent5 2 2 2 3" xfId="37530" xr:uid="{00000000-0005-0000-0000-000091920000}"/>
    <cellStyle name="Accent5 2 2 3" xfId="37531" xr:uid="{00000000-0005-0000-0000-000092920000}"/>
    <cellStyle name="Accent5 2 2 3 2" xfId="37532" xr:uid="{00000000-0005-0000-0000-000093920000}"/>
    <cellStyle name="Accent5 2 2 4" xfId="37533" xr:uid="{00000000-0005-0000-0000-000094920000}"/>
    <cellStyle name="Accent5 2 2 4 2" xfId="37534" xr:uid="{00000000-0005-0000-0000-000095920000}"/>
    <cellStyle name="Accent5 2 2 5" xfId="37535" xr:uid="{00000000-0005-0000-0000-000096920000}"/>
    <cellStyle name="Accent5 2 3" xfId="37536" xr:uid="{00000000-0005-0000-0000-000097920000}"/>
    <cellStyle name="Accent5 2 3 2" xfId="37537" xr:uid="{00000000-0005-0000-0000-000098920000}"/>
    <cellStyle name="Accent5 2 4" xfId="37538" xr:uid="{00000000-0005-0000-0000-000099920000}"/>
    <cellStyle name="Accent5 2 4 2" xfId="37539" xr:uid="{00000000-0005-0000-0000-00009A920000}"/>
    <cellStyle name="Accent5 2 5" xfId="37540" xr:uid="{00000000-0005-0000-0000-00009B920000}"/>
    <cellStyle name="Accent5 2 5 2" xfId="37541" xr:uid="{00000000-0005-0000-0000-00009C920000}"/>
    <cellStyle name="Accent5 2 6" xfId="37542" xr:uid="{00000000-0005-0000-0000-00009D920000}"/>
    <cellStyle name="Accent5 20" xfId="37543" xr:uid="{00000000-0005-0000-0000-00009E920000}"/>
    <cellStyle name="Accent5 20 2" xfId="37544" xr:uid="{00000000-0005-0000-0000-00009F920000}"/>
    <cellStyle name="Accent5 20 2 2" xfId="37545" xr:uid="{00000000-0005-0000-0000-0000A0920000}"/>
    <cellStyle name="Accent5 20 3" xfId="37546" xr:uid="{00000000-0005-0000-0000-0000A1920000}"/>
    <cellStyle name="Accent5 21" xfId="37547" xr:uid="{00000000-0005-0000-0000-0000A2920000}"/>
    <cellStyle name="Accent5 21 2" xfId="37548" xr:uid="{00000000-0005-0000-0000-0000A3920000}"/>
    <cellStyle name="Accent5 21 2 2" xfId="37549" xr:uid="{00000000-0005-0000-0000-0000A4920000}"/>
    <cellStyle name="Accent5 21 3" xfId="37550" xr:uid="{00000000-0005-0000-0000-0000A5920000}"/>
    <cellStyle name="Accent5 22" xfId="37551" xr:uid="{00000000-0005-0000-0000-0000A6920000}"/>
    <cellStyle name="Accent5 22 2" xfId="37552" xr:uid="{00000000-0005-0000-0000-0000A7920000}"/>
    <cellStyle name="Accent5 22 2 2" xfId="37553" xr:uid="{00000000-0005-0000-0000-0000A8920000}"/>
    <cellStyle name="Accent5 22 3" xfId="37554" xr:uid="{00000000-0005-0000-0000-0000A9920000}"/>
    <cellStyle name="Accent5 23" xfId="37555" xr:uid="{00000000-0005-0000-0000-0000AA920000}"/>
    <cellStyle name="Accent5 23 2" xfId="37556" xr:uid="{00000000-0005-0000-0000-0000AB920000}"/>
    <cellStyle name="Accent5 23 2 2" xfId="37557" xr:uid="{00000000-0005-0000-0000-0000AC920000}"/>
    <cellStyle name="Accent5 23 3" xfId="37558" xr:uid="{00000000-0005-0000-0000-0000AD920000}"/>
    <cellStyle name="Accent5 24" xfId="37559" xr:uid="{00000000-0005-0000-0000-0000AE920000}"/>
    <cellStyle name="Accent5 24 2" xfId="37560" xr:uid="{00000000-0005-0000-0000-0000AF920000}"/>
    <cellStyle name="Accent5 24 2 2" xfId="37561" xr:uid="{00000000-0005-0000-0000-0000B0920000}"/>
    <cellStyle name="Accent5 24 3" xfId="37562" xr:uid="{00000000-0005-0000-0000-0000B1920000}"/>
    <cellStyle name="Accent5 25" xfId="37563" xr:uid="{00000000-0005-0000-0000-0000B2920000}"/>
    <cellStyle name="Accent5 25 2" xfId="37564" xr:uid="{00000000-0005-0000-0000-0000B3920000}"/>
    <cellStyle name="Accent5 25 2 2" xfId="37565" xr:uid="{00000000-0005-0000-0000-0000B4920000}"/>
    <cellStyle name="Accent5 25 3" xfId="37566" xr:uid="{00000000-0005-0000-0000-0000B5920000}"/>
    <cellStyle name="Accent5 26" xfId="37567" xr:uid="{00000000-0005-0000-0000-0000B6920000}"/>
    <cellStyle name="Accent5 26 2" xfId="37568" xr:uid="{00000000-0005-0000-0000-0000B7920000}"/>
    <cellStyle name="Accent5 26 2 2" xfId="37569" xr:uid="{00000000-0005-0000-0000-0000B8920000}"/>
    <cellStyle name="Accent5 26 3" xfId="37570" xr:uid="{00000000-0005-0000-0000-0000B9920000}"/>
    <cellStyle name="Accent5 27" xfId="37571" xr:uid="{00000000-0005-0000-0000-0000BA920000}"/>
    <cellStyle name="Accent5 27 2" xfId="37572" xr:uid="{00000000-0005-0000-0000-0000BB920000}"/>
    <cellStyle name="Accent5 27 2 2" xfId="37573" xr:uid="{00000000-0005-0000-0000-0000BC920000}"/>
    <cellStyle name="Accent5 27 3" xfId="37574" xr:uid="{00000000-0005-0000-0000-0000BD920000}"/>
    <cellStyle name="Accent5 28" xfId="37575" xr:uid="{00000000-0005-0000-0000-0000BE920000}"/>
    <cellStyle name="Accent5 28 2" xfId="37576" xr:uid="{00000000-0005-0000-0000-0000BF920000}"/>
    <cellStyle name="Accent5 28 2 2" xfId="37577" xr:uid="{00000000-0005-0000-0000-0000C0920000}"/>
    <cellStyle name="Accent5 28 3" xfId="37578" xr:uid="{00000000-0005-0000-0000-0000C1920000}"/>
    <cellStyle name="Accent5 29" xfId="37579" xr:uid="{00000000-0005-0000-0000-0000C2920000}"/>
    <cellStyle name="Accent5 29 2" xfId="37580" xr:uid="{00000000-0005-0000-0000-0000C3920000}"/>
    <cellStyle name="Accent5 29 2 2" xfId="37581" xr:uid="{00000000-0005-0000-0000-0000C4920000}"/>
    <cellStyle name="Accent5 29 3" xfId="37582" xr:uid="{00000000-0005-0000-0000-0000C5920000}"/>
    <cellStyle name="Accent5 3" xfId="37583" xr:uid="{00000000-0005-0000-0000-0000C6920000}"/>
    <cellStyle name="Accent5 3 2" xfId="37584" xr:uid="{00000000-0005-0000-0000-0000C7920000}"/>
    <cellStyle name="Accent5 3 2 2" xfId="37585" xr:uid="{00000000-0005-0000-0000-0000C8920000}"/>
    <cellStyle name="Accent5 3 3" xfId="37586" xr:uid="{00000000-0005-0000-0000-0000C9920000}"/>
    <cellStyle name="Accent5 3 3 2" xfId="37587" xr:uid="{00000000-0005-0000-0000-0000CA920000}"/>
    <cellStyle name="Accent5 3 4" xfId="37588" xr:uid="{00000000-0005-0000-0000-0000CB920000}"/>
    <cellStyle name="Accent5 3 4 2" xfId="37589" xr:uid="{00000000-0005-0000-0000-0000CC920000}"/>
    <cellStyle name="Accent5 3 5" xfId="37590" xr:uid="{00000000-0005-0000-0000-0000CD920000}"/>
    <cellStyle name="Accent5 30" xfId="37591" xr:uid="{00000000-0005-0000-0000-0000CE920000}"/>
    <cellStyle name="Accent5 30 2" xfId="37592" xr:uid="{00000000-0005-0000-0000-0000CF920000}"/>
    <cellStyle name="Accent5 30 2 2" xfId="37593" xr:uid="{00000000-0005-0000-0000-0000D0920000}"/>
    <cellStyle name="Accent5 30 3" xfId="37594" xr:uid="{00000000-0005-0000-0000-0000D1920000}"/>
    <cellStyle name="Accent5 31" xfId="37595" xr:uid="{00000000-0005-0000-0000-0000D2920000}"/>
    <cellStyle name="Accent5 31 2" xfId="37596" xr:uid="{00000000-0005-0000-0000-0000D3920000}"/>
    <cellStyle name="Accent5 31 2 2" xfId="37597" xr:uid="{00000000-0005-0000-0000-0000D4920000}"/>
    <cellStyle name="Accent5 31 3" xfId="37598" xr:uid="{00000000-0005-0000-0000-0000D5920000}"/>
    <cellStyle name="Accent5 32" xfId="37599" xr:uid="{00000000-0005-0000-0000-0000D6920000}"/>
    <cellStyle name="Accent5 32 2" xfId="37600" xr:uid="{00000000-0005-0000-0000-0000D7920000}"/>
    <cellStyle name="Accent5 32 2 2" xfId="37601" xr:uid="{00000000-0005-0000-0000-0000D8920000}"/>
    <cellStyle name="Accent5 32 3" xfId="37602" xr:uid="{00000000-0005-0000-0000-0000D9920000}"/>
    <cellStyle name="Accent5 33" xfId="37603" xr:uid="{00000000-0005-0000-0000-0000DA920000}"/>
    <cellStyle name="Accent5 33 2" xfId="37604" xr:uid="{00000000-0005-0000-0000-0000DB920000}"/>
    <cellStyle name="Accent5 33 2 2" xfId="37605" xr:uid="{00000000-0005-0000-0000-0000DC920000}"/>
    <cellStyle name="Accent5 33 3" xfId="37606" xr:uid="{00000000-0005-0000-0000-0000DD920000}"/>
    <cellStyle name="Accent5 34" xfId="37607" xr:uid="{00000000-0005-0000-0000-0000DE920000}"/>
    <cellStyle name="Accent5 34 2" xfId="37608" xr:uid="{00000000-0005-0000-0000-0000DF920000}"/>
    <cellStyle name="Accent5 34 2 2" xfId="37609" xr:uid="{00000000-0005-0000-0000-0000E0920000}"/>
    <cellStyle name="Accent5 34 3" xfId="37610" xr:uid="{00000000-0005-0000-0000-0000E1920000}"/>
    <cellStyle name="Accent5 35" xfId="37611" xr:uid="{00000000-0005-0000-0000-0000E2920000}"/>
    <cellStyle name="Accent5 35 2" xfId="37612" xr:uid="{00000000-0005-0000-0000-0000E3920000}"/>
    <cellStyle name="Accent5 35 2 2" xfId="37613" xr:uid="{00000000-0005-0000-0000-0000E4920000}"/>
    <cellStyle name="Accent5 35 3" xfId="37614" xr:uid="{00000000-0005-0000-0000-0000E5920000}"/>
    <cellStyle name="Accent5 36" xfId="37615" xr:uid="{00000000-0005-0000-0000-0000E6920000}"/>
    <cellStyle name="Accent5 36 2" xfId="37616" xr:uid="{00000000-0005-0000-0000-0000E7920000}"/>
    <cellStyle name="Accent5 36 2 2" xfId="37617" xr:uid="{00000000-0005-0000-0000-0000E8920000}"/>
    <cellStyle name="Accent5 36 3" xfId="37618" xr:uid="{00000000-0005-0000-0000-0000E9920000}"/>
    <cellStyle name="Accent5 37" xfId="37619" xr:uid="{00000000-0005-0000-0000-0000EA920000}"/>
    <cellStyle name="Accent5 37 2" xfId="37620" xr:uid="{00000000-0005-0000-0000-0000EB920000}"/>
    <cellStyle name="Accent5 37 2 2" xfId="37621" xr:uid="{00000000-0005-0000-0000-0000EC920000}"/>
    <cellStyle name="Accent5 37 3" xfId="37622" xr:uid="{00000000-0005-0000-0000-0000ED920000}"/>
    <cellStyle name="Accent5 38" xfId="37623" xr:uid="{00000000-0005-0000-0000-0000EE920000}"/>
    <cellStyle name="Accent5 38 2" xfId="37624" xr:uid="{00000000-0005-0000-0000-0000EF920000}"/>
    <cellStyle name="Accent5 38 2 2" xfId="37625" xr:uid="{00000000-0005-0000-0000-0000F0920000}"/>
    <cellStyle name="Accent5 38 3" xfId="37626" xr:uid="{00000000-0005-0000-0000-0000F1920000}"/>
    <cellStyle name="Accent5 39" xfId="37627" xr:uid="{00000000-0005-0000-0000-0000F2920000}"/>
    <cellStyle name="Accent5 39 2" xfId="37628" xr:uid="{00000000-0005-0000-0000-0000F3920000}"/>
    <cellStyle name="Accent5 39 2 2" xfId="37629" xr:uid="{00000000-0005-0000-0000-0000F4920000}"/>
    <cellStyle name="Accent5 39 3" xfId="37630" xr:uid="{00000000-0005-0000-0000-0000F5920000}"/>
    <cellStyle name="Accent5 4" xfId="37631" xr:uid="{00000000-0005-0000-0000-0000F6920000}"/>
    <cellStyle name="Accent5 4 2" xfId="37632" xr:uid="{00000000-0005-0000-0000-0000F7920000}"/>
    <cellStyle name="Accent5 4 2 2" xfId="37633" xr:uid="{00000000-0005-0000-0000-0000F8920000}"/>
    <cellStyle name="Accent5 4 3" xfId="37634" xr:uid="{00000000-0005-0000-0000-0000F9920000}"/>
    <cellStyle name="Accent5 4 3 2" xfId="37635" xr:uid="{00000000-0005-0000-0000-0000FA920000}"/>
    <cellStyle name="Accent5 4 4" xfId="37636" xr:uid="{00000000-0005-0000-0000-0000FB920000}"/>
    <cellStyle name="Accent5 4 4 2" xfId="37637" xr:uid="{00000000-0005-0000-0000-0000FC920000}"/>
    <cellStyle name="Accent5 4 5" xfId="37638" xr:uid="{00000000-0005-0000-0000-0000FD920000}"/>
    <cellStyle name="Accent5 40" xfId="37639" xr:uid="{00000000-0005-0000-0000-0000FE920000}"/>
    <cellStyle name="Accent5 40 2" xfId="37640" xr:uid="{00000000-0005-0000-0000-0000FF920000}"/>
    <cellStyle name="Accent5 40 2 2" xfId="37641" xr:uid="{00000000-0005-0000-0000-000000930000}"/>
    <cellStyle name="Accent5 40 3" xfId="37642" xr:uid="{00000000-0005-0000-0000-000001930000}"/>
    <cellStyle name="Accent5 41" xfId="37643" xr:uid="{00000000-0005-0000-0000-000002930000}"/>
    <cellStyle name="Accent5 41 2" xfId="37644" xr:uid="{00000000-0005-0000-0000-000003930000}"/>
    <cellStyle name="Accent5 41 2 2" xfId="37645" xr:uid="{00000000-0005-0000-0000-000004930000}"/>
    <cellStyle name="Accent5 41 3" xfId="37646" xr:uid="{00000000-0005-0000-0000-000005930000}"/>
    <cellStyle name="Accent5 42" xfId="37647" xr:uid="{00000000-0005-0000-0000-000006930000}"/>
    <cellStyle name="Accent5 42 2" xfId="37648" xr:uid="{00000000-0005-0000-0000-000007930000}"/>
    <cellStyle name="Accent5 42 2 2" xfId="37649" xr:uid="{00000000-0005-0000-0000-000008930000}"/>
    <cellStyle name="Accent5 42 3" xfId="37650" xr:uid="{00000000-0005-0000-0000-000009930000}"/>
    <cellStyle name="Accent5 43" xfId="37651" xr:uid="{00000000-0005-0000-0000-00000A930000}"/>
    <cellStyle name="Accent5 43 2" xfId="37652" xr:uid="{00000000-0005-0000-0000-00000B930000}"/>
    <cellStyle name="Accent5 43 2 2" xfId="37653" xr:uid="{00000000-0005-0000-0000-00000C930000}"/>
    <cellStyle name="Accent5 43 3" xfId="37654" xr:uid="{00000000-0005-0000-0000-00000D930000}"/>
    <cellStyle name="Accent5 44" xfId="37655" xr:uid="{00000000-0005-0000-0000-00000E930000}"/>
    <cellStyle name="Accent5 44 2" xfId="37656" xr:uid="{00000000-0005-0000-0000-00000F930000}"/>
    <cellStyle name="Accent5 44 2 2" xfId="37657" xr:uid="{00000000-0005-0000-0000-000010930000}"/>
    <cellStyle name="Accent5 44 3" xfId="37658" xr:uid="{00000000-0005-0000-0000-000011930000}"/>
    <cellStyle name="Accent5 45" xfId="37659" xr:uid="{00000000-0005-0000-0000-000012930000}"/>
    <cellStyle name="Accent5 45 2" xfId="37660" xr:uid="{00000000-0005-0000-0000-000013930000}"/>
    <cellStyle name="Accent5 45 2 2" xfId="37661" xr:uid="{00000000-0005-0000-0000-000014930000}"/>
    <cellStyle name="Accent5 45 3" xfId="37662" xr:uid="{00000000-0005-0000-0000-000015930000}"/>
    <cellStyle name="Accent5 46" xfId="37663" xr:uid="{00000000-0005-0000-0000-000016930000}"/>
    <cellStyle name="Accent5 46 2" xfId="37664" xr:uid="{00000000-0005-0000-0000-000017930000}"/>
    <cellStyle name="Accent5 46 2 2" xfId="37665" xr:uid="{00000000-0005-0000-0000-000018930000}"/>
    <cellStyle name="Accent5 46 3" xfId="37666" xr:uid="{00000000-0005-0000-0000-000019930000}"/>
    <cellStyle name="Accent5 47" xfId="37667" xr:uid="{00000000-0005-0000-0000-00001A930000}"/>
    <cellStyle name="Accent5 47 2" xfId="37668" xr:uid="{00000000-0005-0000-0000-00001B930000}"/>
    <cellStyle name="Accent5 47 2 2" xfId="37669" xr:uid="{00000000-0005-0000-0000-00001C930000}"/>
    <cellStyle name="Accent5 47 3" xfId="37670" xr:uid="{00000000-0005-0000-0000-00001D930000}"/>
    <cellStyle name="Accent5 48" xfId="37671" xr:uid="{00000000-0005-0000-0000-00001E930000}"/>
    <cellStyle name="Accent5 48 2" xfId="37672" xr:uid="{00000000-0005-0000-0000-00001F930000}"/>
    <cellStyle name="Accent5 48 2 2" xfId="37673" xr:uid="{00000000-0005-0000-0000-000020930000}"/>
    <cellStyle name="Accent5 48 3" xfId="37674" xr:uid="{00000000-0005-0000-0000-000021930000}"/>
    <cellStyle name="Accent5 49" xfId="37675" xr:uid="{00000000-0005-0000-0000-000022930000}"/>
    <cellStyle name="Accent5 49 2" xfId="37676" xr:uid="{00000000-0005-0000-0000-000023930000}"/>
    <cellStyle name="Accent5 49 2 2" xfId="37677" xr:uid="{00000000-0005-0000-0000-000024930000}"/>
    <cellStyle name="Accent5 49 3" xfId="37678" xr:uid="{00000000-0005-0000-0000-000025930000}"/>
    <cellStyle name="Accent5 5" xfId="37679" xr:uid="{00000000-0005-0000-0000-000026930000}"/>
    <cellStyle name="Accent5 5 2" xfId="37680" xr:uid="{00000000-0005-0000-0000-000027930000}"/>
    <cellStyle name="Accent5 5 2 2" xfId="37681" xr:uid="{00000000-0005-0000-0000-000028930000}"/>
    <cellStyle name="Accent5 5 3" xfId="37682" xr:uid="{00000000-0005-0000-0000-000029930000}"/>
    <cellStyle name="Accent5 5 3 2" xfId="37683" xr:uid="{00000000-0005-0000-0000-00002A930000}"/>
    <cellStyle name="Accent5 5 4" xfId="37684" xr:uid="{00000000-0005-0000-0000-00002B930000}"/>
    <cellStyle name="Accent5 5 4 2" xfId="37685" xr:uid="{00000000-0005-0000-0000-00002C930000}"/>
    <cellStyle name="Accent5 5 5" xfId="37686" xr:uid="{00000000-0005-0000-0000-00002D930000}"/>
    <cellStyle name="Accent5 50" xfId="37687" xr:uid="{00000000-0005-0000-0000-00002E930000}"/>
    <cellStyle name="Accent5 50 2" xfId="37688" xr:uid="{00000000-0005-0000-0000-00002F930000}"/>
    <cellStyle name="Accent5 50 2 2" xfId="37689" xr:uid="{00000000-0005-0000-0000-000030930000}"/>
    <cellStyle name="Accent5 50 3" xfId="37690" xr:uid="{00000000-0005-0000-0000-000031930000}"/>
    <cellStyle name="Accent5 51" xfId="37691" xr:uid="{00000000-0005-0000-0000-000032930000}"/>
    <cellStyle name="Accent5 51 2" xfId="37692" xr:uid="{00000000-0005-0000-0000-000033930000}"/>
    <cellStyle name="Accent5 51 2 2" xfId="37693" xr:uid="{00000000-0005-0000-0000-000034930000}"/>
    <cellStyle name="Accent5 51 3" xfId="37694" xr:uid="{00000000-0005-0000-0000-000035930000}"/>
    <cellStyle name="Accent5 52" xfId="37695" xr:uid="{00000000-0005-0000-0000-000036930000}"/>
    <cellStyle name="Accent5 52 2" xfId="37696" xr:uid="{00000000-0005-0000-0000-000037930000}"/>
    <cellStyle name="Accent5 52 2 2" xfId="37697" xr:uid="{00000000-0005-0000-0000-000038930000}"/>
    <cellStyle name="Accent5 52 3" xfId="37698" xr:uid="{00000000-0005-0000-0000-000039930000}"/>
    <cellStyle name="Accent5 53" xfId="37699" xr:uid="{00000000-0005-0000-0000-00003A930000}"/>
    <cellStyle name="Accent5 53 2" xfId="37700" xr:uid="{00000000-0005-0000-0000-00003B930000}"/>
    <cellStyle name="Accent5 53 2 2" xfId="37701" xr:uid="{00000000-0005-0000-0000-00003C930000}"/>
    <cellStyle name="Accent5 53 3" xfId="37702" xr:uid="{00000000-0005-0000-0000-00003D930000}"/>
    <cellStyle name="Accent5 54" xfId="37703" xr:uid="{00000000-0005-0000-0000-00003E930000}"/>
    <cellStyle name="Accent5 54 2" xfId="37704" xr:uid="{00000000-0005-0000-0000-00003F930000}"/>
    <cellStyle name="Accent5 54 2 2" xfId="37705" xr:uid="{00000000-0005-0000-0000-000040930000}"/>
    <cellStyle name="Accent5 54 3" xfId="37706" xr:uid="{00000000-0005-0000-0000-000041930000}"/>
    <cellStyle name="Accent5 55" xfId="37707" xr:uid="{00000000-0005-0000-0000-000042930000}"/>
    <cellStyle name="Accent5 55 2" xfId="37708" xr:uid="{00000000-0005-0000-0000-000043930000}"/>
    <cellStyle name="Accent5 55 2 2" xfId="37709" xr:uid="{00000000-0005-0000-0000-000044930000}"/>
    <cellStyle name="Accent5 55 3" xfId="37710" xr:uid="{00000000-0005-0000-0000-000045930000}"/>
    <cellStyle name="Accent5 56" xfId="37711" xr:uid="{00000000-0005-0000-0000-000046930000}"/>
    <cellStyle name="Accent5 56 2" xfId="37712" xr:uid="{00000000-0005-0000-0000-000047930000}"/>
    <cellStyle name="Accent5 56 2 2" xfId="37713" xr:uid="{00000000-0005-0000-0000-000048930000}"/>
    <cellStyle name="Accent5 56 3" xfId="37714" xr:uid="{00000000-0005-0000-0000-000049930000}"/>
    <cellStyle name="Accent5 57" xfId="37715" xr:uid="{00000000-0005-0000-0000-00004A930000}"/>
    <cellStyle name="Accent5 57 2" xfId="37716" xr:uid="{00000000-0005-0000-0000-00004B930000}"/>
    <cellStyle name="Accent5 57 2 2" xfId="37717" xr:uid="{00000000-0005-0000-0000-00004C930000}"/>
    <cellStyle name="Accent5 57 3" xfId="37718" xr:uid="{00000000-0005-0000-0000-00004D930000}"/>
    <cellStyle name="Accent5 58" xfId="37719" xr:uid="{00000000-0005-0000-0000-00004E930000}"/>
    <cellStyle name="Accent5 58 2" xfId="37720" xr:uid="{00000000-0005-0000-0000-00004F930000}"/>
    <cellStyle name="Accent5 58 2 2" xfId="37721" xr:uid="{00000000-0005-0000-0000-000050930000}"/>
    <cellStyle name="Accent5 58 3" xfId="37722" xr:uid="{00000000-0005-0000-0000-000051930000}"/>
    <cellStyle name="Accent5 59" xfId="37723" xr:uid="{00000000-0005-0000-0000-000052930000}"/>
    <cellStyle name="Accent5 59 2" xfId="37724" xr:uid="{00000000-0005-0000-0000-000053930000}"/>
    <cellStyle name="Accent5 59 2 2" xfId="37725" xr:uid="{00000000-0005-0000-0000-000054930000}"/>
    <cellStyle name="Accent5 59 3" xfId="37726" xr:uid="{00000000-0005-0000-0000-000055930000}"/>
    <cellStyle name="Accent5 59 3 2" xfId="37727" xr:uid="{00000000-0005-0000-0000-000056930000}"/>
    <cellStyle name="Accent5 59 4" xfId="37728" xr:uid="{00000000-0005-0000-0000-000057930000}"/>
    <cellStyle name="Accent5 6" xfId="37729" xr:uid="{00000000-0005-0000-0000-000058930000}"/>
    <cellStyle name="Accent5 6 2" xfId="37730" xr:uid="{00000000-0005-0000-0000-000059930000}"/>
    <cellStyle name="Accent5 6 2 2" xfId="37731" xr:uid="{00000000-0005-0000-0000-00005A930000}"/>
    <cellStyle name="Accent5 6 3" xfId="37732" xr:uid="{00000000-0005-0000-0000-00005B930000}"/>
    <cellStyle name="Accent5 6 3 2" xfId="37733" xr:uid="{00000000-0005-0000-0000-00005C930000}"/>
    <cellStyle name="Accent5 6 4" xfId="37734" xr:uid="{00000000-0005-0000-0000-00005D930000}"/>
    <cellStyle name="Accent5 6 4 2" xfId="37735" xr:uid="{00000000-0005-0000-0000-00005E930000}"/>
    <cellStyle name="Accent5 6 5" xfId="37736" xr:uid="{00000000-0005-0000-0000-00005F930000}"/>
    <cellStyle name="Accent5 60" xfId="37737" xr:uid="{00000000-0005-0000-0000-000060930000}"/>
    <cellStyle name="Accent5 60 2" xfId="37738" xr:uid="{00000000-0005-0000-0000-000061930000}"/>
    <cellStyle name="Accent5 60 2 2" xfId="37739" xr:uid="{00000000-0005-0000-0000-000062930000}"/>
    <cellStyle name="Accent5 60 3" xfId="37740" xr:uid="{00000000-0005-0000-0000-000063930000}"/>
    <cellStyle name="Accent5 61" xfId="37741" xr:uid="{00000000-0005-0000-0000-000064930000}"/>
    <cellStyle name="Accent5 61 2" xfId="37742" xr:uid="{00000000-0005-0000-0000-000065930000}"/>
    <cellStyle name="Accent5 61 2 2" xfId="37743" xr:uid="{00000000-0005-0000-0000-000066930000}"/>
    <cellStyle name="Accent5 61 3" xfId="37744" xr:uid="{00000000-0005-0000-0000-000067930000}"/>
    <cellStyle name="Accent5 62" xfId="37745" xr:uid="{00000000-0005-0000-0000-000068930000}"/>
    <cellStyle name="Accent5 62 2" xfId="37746" xr:uid="{00000000-0005-0000-0000-000069930000}"/>
    <cellStyle name="Accent5 62 2 2" xfId="37747" xr:uid="{00000000-0005-0000-0000-00006A930000}"/>
    <cellStyle name="Accent5 62 3" xfId="37748" xr:uid="{00000000-0005-0000-0000-00006B930000}"/>
    <cellStyle name="Accent5 63" xfId="37749" xr:uid="{00000000-0005-0000-0000-00006C930000}"/>
    <cellStyle name="Accent5 63 2" xfId="37750" xr:uid="{00000000-0005-0000-0000-00006D930000}"/>
    <cellStyle name="Accent5 63 2 2" xfId="37751" xr:uid="{00000000-0005-0000-0000-00006E930000}"/>
    <cellStyle name="Accent5 63 3" xfId="37752" xr:uid="{00000000-0005-0000-0000-00006F930000}"/>
    <cellStyle name="Accent5 64" xfId="37753" xr:uid="{00000000-0005-0000-0000-000070930000}"/>
    <cellStyle name="Accent5 64 2" xfId="37754" xr:uid="{00000000-0005-0000-0000-000071930000}"/>
    <cellStyle name="Accent5 64 2 2" xfId="37755" xr:uid="{00000000-0005-0000-0000-000072930000}"/>
    <cellStyle name="Accent5 64 3" xfId="37756" xr:uid="{00000000-0005-0000-0000-000073930000}"/>
    <cellStyle name="Accent5 65" xfId="37757" xr:uid="{00000000-0005-0000-0000-000074930000}"/>
    <cellStyle name="Accent5 65 2" xfId="37758" xr:uid="{00000000-0005-0000-0000-000075930000}"/>
    <cellStyle name="Accent5 65 2 2" xfId="37759" xr:uid="{00000000-0005-0000-0000-000076930000}"/>
    <cellStyle name="Accent5 65 3" xfId="37760" xr:uid="{00000000-0005-0000-0000-000077930000}"/>
    <cellStyle name="Accent5 66" xfId="37761" xr:uid="{00000000-0005-0000-0000-000078930000}"/>
    <cellStyle name="Accent5 66 2" xfId="37762" xr:uid="{00000000-0005-0000-0000-000079930000}"/>
    <cellStyle name="Accent5 66 2 2" xfId="37763" xr:uid="{00000000-0005-0000-0000-00007A930000}"/>
    <cellStyle name="Accent5 66 3" xfId="37764" xr:uid="{00000000-0005-0000-0000-00007B930000}"/>
    <cellStyle name="Accent5 67" xfId="37765" xr:uid="{00000000-0005-0000-0000-00007C930000}"/>
    <cellStyle name="Accent5 67 2" xfId="37766" xr:uid="{00000000-0005-0000-0000-00007D930000}"/>
    <cellStyle name="Accent5 67 2 2" xfId="37767" xr:uid="{00000000-0005-0000-0000-00007E930000}"/>
    <cellStyle name="Accent5 67 3" xfId="37768" xr:uid="{00000000-0005-0000-0000-00007F930000}"/>
    <cellStyle name="Accent5 68" xfId="37769" xr:uid="{00000000-0005-0000-0000-000080930000}"/>
    <cellStyle name="Accent5 68 2" xfId="37770" xr:uid="{00000000-0005-0000-0000-000081930000}"/>
    <cellStyle name="Accent5 68 2 2" xfId="37771" xr:uid="{00000000-0005-0000-0000-000082930000}"/>
    <cellStyle name="Accent5 68 3" xfId="37772" xr:uid="{00000000-0005-0000-0000-000083930000}"/>
    <cellStyle name="Accent5 69" xfId="37773" xr:uid="{00000000-0005-0000-0000-000084930000}"/>
    <cellStyle name="Accent5 69 2" xfId="37774" xr:uid="{00000000-0005-0000-0000-000085930000}"/>
    <cellStyle name="Accent5 69 2 2" xfId="37775" xr:uid="{00000000-0005-0000-0000-000086930000}"/>
    <cellStyle name="Accent5 69 3" xfId="37776" xr:uid="{00000000-0005-0000-0000-000087930000}"/>
    <cellStyle name="Accent5 7" xfId="37777" xr:uid="{00000000-0005-0000-0000-000088930000}"/>
    <cellStyle name="Accent5 7 2" xfId="37778" xr:uid="{00000000-0005-0000-0000-000089930000}"/>
    <cellStyle name="Accent5 7 2 2" xfId="37779" xr:uid="{00000000-0005-0000-0000-00008A930000}"/>
    <cellStyle name="Accent5 7 3" xfId="37780" xr:uid="{00000000-0005-0000-0000-00008B930000}"/>
    <cellStyle name="Accent5 7 3 2" xfId="37781" xr:uid="{00000000-0005-0000-0000-00008C930000}"/>
    <cellStyle name="Accent5 7 4" xfId="37782" xr:uid="{00000000-0005-0000-0000-00008D930000}"/>
    <cellStyle name="Accent5 7 4 2" xfId="37783" xr:uid="{00000000-0005-0000-0000-00008E930000}"/>
    <cellStyle name="Accent5 7 5" xfId="37784" xr:uid="{00000000-0005-0000-0000-00008F930000}"/>
    <cellStyle name="Accent5 70" xfId="37785" xr:uid="{00000000-0005-0000-0000-000090930000}"/>
    <cellStyle name="Accent5 70 2" xfId="37786" xr:uid="{00000000-0005-0000-0000-000091930000}"/>
    <cellStyle name="Accent5 70 2 2" xfId="37787" xr:uid="{00000000-0005-0000-0000-000092930000}"/>
    <cellStyle name="Accent5 70 3" xfId="37788" xr:uid="{00000000-0005-0000-0000-000093930000}"/>
    <cellStyle name="Accent5 71" xfId="37789" xr:uid="{00000000-0005-0000-0000-000094930000}"/>
    <cellStyle name="Accent5 71 2" xfId="37790" xr:uid="{00000000-0005-0000-0000-000095930000}"/>
    <cellStyle name="Accent5 71 2 2" xfId="37791" xr:uid="{00000000-0005-0000-0000-000096930000}"/>
    <cellStyle name="Accent5 71 3" xfId="37792" xr:uid="{00000000-0005-0000-0000-000097930000}"/>
    <cellStyle name="Accent5 72" xfId="37793" xr:uid="{00000000-0005-0000-0000-000098930000}"/>
    <cellStyle name="Accent5 72 2" xfId="37794" xr:uid="{00000000-0005-0000-0000-000099930000}"/>
    <cellStyle name="Accent5 72 2 2" xfId="37795" xr:uid="{00000000-0005-0000-0000-00009A930000}"/>
    <cellStyle name="Accent5 72 3" xfId="37796" xr:uid="{00000000-0005-0000-0000-00009B930000}"/>
    <cellStyle name="Accent5 73" xfId="37797" xr:uid="{00000000-0005-0000-0000-00009C930000}"/>
    <cellStyle name="Accent5 73 2" xfId="37798" xr:uid="{00000000-0005-0000-0000-00009D930000}"/>
    <cellStyle name="Accent5 73 2 2" xfId="37799" xr:uid="{00000000-0005-0000-0000-00009E930000}"/>
    <cellStyle name="Accent5 73 3" xfId="37800" xr:uid="{00000000-0005-0000-0000-00009F930000}"/>
    <cellStyle name="Accent5 74" xfId="37801" xr:uid="{00000000-0005-0000-0000-0000A0930000}"/>
    <cellStyle name="Accent5 74 2" xfId="37802" xr:uid="{00000000-0005-0000-0000-0000A1930000}"/>
    <cellStyle name="Accent5 74 2 2" xfId="37803" xr:uid="{00000000-0005-0000-0000-0000A2930000}"/>
    <cellStyle name="Accent5 74 3" xfId="37804" xr:uid="{00000000-0005-0000-0000-0000A3930000}"/>
    <cellStyle name="Accent5 75" xfId="37805" xr:uid="{00000000-0005-0000-0000-0000A4930000}"/>
    <cellStyle name="Accent5 75 2" xfId="37806" xr:uid="{00000000-0005-0000-0000-0000A5930000}"/>
    <cellStyle name="Accent5 75 2 2" xfId="37807" xr:uid="{00000000-0005-0000-0000-0000A6930000}"/>
    <cellStyle name="Accent5 75 3" xfId="37808" xr:uid="{00000000-0005-0000-0000-0000A7930000}"/>
    <cellStyle name="Accent5 76" xfId="37809" xr:uid="{00000000-0005-0000-0000-0000A8930000}"/>
    <cellStyle name="Accent5 76 2" xfId="37810" xr:uid="{00000000-0005-0000-0000-0000A9930000}"/>
    <cellStyle name="Accent5 76 2 2" xfId="37811" xr:uid="{00000000-0005-0000-0000-0000AA930000}"/>
    <cellStyle name="Accent5 76 3" xfId="37812" xr:uid="{00000000-0005-0000-0000-0000AB930000}"/>
    <cellStyle name="Accent5 77" xfId="37813" xr:uid="{00000000-0005-0000-0000-0000AC930000}"/>
    <cellStyle name="Accent5 77 2" xfId="37814" xr:uid="{00000000-0005-0000-0000-0000AD930000}"/>
    <cellStyle name="Accent5 77 2 2" xfId="37815" xr:uid="{00000000-0005-0000-0000-0000AE930000}"/>
    <cellStyle name="Accent5 77 3" xfId="37816" xr:uid="{00000000-0005-0000-0000-0000AF930000}"/>
    <cellStyle name="Accent5 78" xfId="37817" xr:uid="{00000000-0005-0000-0000-0000B0930000}"/>
    <cellStyle name="Accent5 78 2" xfId="37818" xr:uid="{00000000-0005-0000-0000-0000B1930000}"/>
    <cellStyle name="Accent5 78 2 2" xfId="37819" xr:uid="{00000000-0005-0000-0000-0000B2930000}"/>
    <cellStyle name="Accent5 78 3" xfId="37820" xr:uid="{00000000-0005-0000-0000-0000B3930000}"/>
    <cellStyle name="Accent5 79" xfId="37821" xr:uid="{00000000-0005-0000-0000-0000B4930000}"/>
    <cellStyle name="Accent5 79 2" xfId="37822" xr:uid="{00000000-0005-0000-0000-0000B5930000}"/>
    <cellStyle name="Accent5 79 2 2" xfId="37823" xr:uid="{00000000-0005-0000-0000-0000B6930000}"/>
    <cellStyle name="Accent5 79 3" xfId="37824" xr:uid="{00000000-0005-0000-0000-0000B7930000}"/>
    <cellStyle name="Accent5 8" xfId="37825" xr:uid="{00000000-0005-0000-0000-0000B8930000}"/>
    <cellStyle name="Accent5 8 2" xfId="37826" xr:uid="{00000000-0005-0000-0000-0000B9930000}"/>
    <cellStyle name="Accent5 8 2 2" xfId="37827" xr:uid="{00000000-0005-0000-0000-0000BA930000}"/>
    <cellStyle name="Accent5 8 3" xfId="37828" xr:uid="{00000000-0005-0000-0000-0000BB930000}"/>
    <cellStyle name="Accent5 8 3 2" xfId="37829" xr:uid="{00000000-0005-0000-0000-0000BC930000}"/>
    <cellStyle name="Accent5 8 4" xfId="37830" xr:uid="{00000000-0005-0000-0000-0000BD930000}"/>
    <cellStyle name="Accent5 8 4 2" xfId="37831" xr:uid="{00000000-0005-0000-0000-0000BE930000}"/>
    <cellStyle name="Accent5 8 5" xfId="37832" xr:uid="{00000000-0005-0000-0000-0000BF930000}"/>
    <cellStyle name="Accent5 80" xfId="37833" xr:uid="{00000000-0005-0000-0000-0000C0930000}"/>
    <cellStyle name="Accent5 80 2" xfId="37834" xr:uid="{00000000-0005-0000-0000-0000C1930000}"/>
    <cellStyle name="Accent5 80 2 2" xfId="37835" xr:uid="{00000000-0005-0000-0000-0000C2930000}"/>
    <cellStyle name="Accent5 80 3" xfId="37836" xr:uid="{00000000-0005-0000-0000-0000C3930000}"/>
    <cellStyle name="Accent5 81" xfId="37837" xr:uid="{00000000-0005-0000-0000-0000C4930000}"/>
    <cellStyle name="Accent5 81 2" xfId="37838" xr:uid="{00000000-0005-0000-0000-0000C5930000}"/>
    <cellStyle name="Accent5 81 2 2" xfId="37839" xr:uid="{00000000-0005-0000-0000-0000C6930000}"/>
    <cellStyle name="Accent5 81 3" xfId="37840" xr:uid="{00000000-0005-0000-0000-0000C7930000}"/>
    <cellStyle name="Accent5 82" xfId="37841" xr:uid="{00000000-0005-0000-0000-0000C8930000}"/>
    <cellStyle name="Accent5 82 2" xfId="37842" xr:uid="{00000000-0005-0000-0000-0000C9930000}"/>
    <cellStyle name="Accent5 82 2 2" xfId="37843" xr:uid="{00000000-0005-0000-0000-0000CA930000}"/>
    <cellStyle name="Accent5 82 3" xfId="37844" xr:uid="{00000000-0005-0000-0000-0000CB930000}"/>
    <cellStyle name="Accent5 83" xfId="37845" xr:uid="{00000000-0005-0000-0000-0000CC930000}"/>
    <cellStyle name="Accent5 83 2" xfId="37846" xr:uid="{00000000-0005-0000-0000-0000CD930000}"/>
    <cellStyle name="Accent5 83 2 2" xfId="37847" xr:uid="{00000000-0005-0000-0000-0000CE930000}"/>
    <cellStyle name="Accent5 83 3" xfId="37848" xr:uid="{00000000-0005-0000-0000-0000CF930000}"/>
    <cellStyle name="Accent5 84" xfId="37849" xr:uid="{00000000-0005-0000-0000-0000D0930000}"/>
    <cellStyle name="Accent5 84 2" xfId="37850" xr:uid="{00000000-0005-0000-0000-0000D1930000}"/>
    <cellStyle name="Accent5 84 2 2" xfId="37851" xr:uid="{00000000-0005-0000-0000-0000D2930000}"/>
    <cellStyle name="Accent5 84 3" xfId="37852" xr:uid="{00000000-0005-0000-0000-0000D3930000}"/>
    <cellStyle name="Accent5 85" xfId="37853" xr:uid="{00000000-0005-0000-0000-0000D4930000}"/>
    <cellStyle name="Accent5 85 2" xfId="37854" xr:uid="{00000000-0005-0000-0000-0000D5930000}"/>
    <cellStyle name="Accent5 85 2 2" xfId="37855" xr:uid="{00000000-0005-0000-0000-0000D6930000}"/>
    <cellStyle name="Accent5 85 3" xfId="37856" xr:uid="{00000000-0005-0000-0000-0000D7930000}"/>
    <cellStyle name="Accent5 86" xfId="37857" xr:uid="{00000000-0005-0000-0000-0000D8930000}"/>
    <cellStyle name="Accent5 86 2" xfId="37858" xr:uid="{00000000-0005-0000-0000-0000D9930000}"/>
    <cellStyle name="Accent5 86 2 2" xfId="37859" xr:uid="{00000000-0005-0000-0000-0000DA930000}"/>
    <cellStyle name="Accent5 86 3" xfId="37860" xr:uid="{00000000-0005-0000-0000-0000DB930000}"/>
    <cellStyle name="Accent5 87" xfId="37861" xr:uid="{00000000-0005-0000-0000-0000DC930000}"/>
    <cellStyle name="Accent5 87 2" xfId="37862" xr:uid="{00000000-0005-0000-0000-0000DD930000}"/>
    <cellStyle name="Accent5 87 2 2" xfId="37863" xr:uid="{00000000-0005-0000-0000-0000DE930000}"/>
    <cellStyle name="Accent5 87 3" xfId="37864" xr:uid="{00000000-0005-0000-0000-0000DF930000}"/>
    <cellStyle name="Accent5 88" xfId="37865" xr:uid="{00000000-0005-0000-0000-0000E0930000}"/>
    <cellStyle name="Accent5 88 2" xfId="37866" xr:uid="{00000000-0005-0000-0000-0000E1930000}"/>
    <cellStyle name="Accent5 88 2 2" xfId="37867" xr:uid="{00000000-0005-0000-0000-0000E2930000}"/>
    <cellStyle name="Accent5 88 3" xfId="37868" xr:uid="{00000000-0005-0000-0000-0000E3930000}"/>
    <cellStyle name="Accent5 89" xfId="37869" xr:uid="{00000000-0005-0000-0000-0000E4930000}"/>
    <cellStyle name="Accent5 89 2" xfId="37870" xr:uid="{00000000-0005-0000-0000-0000E5930000}"/>
    <cellStyle name="Accent5 89 2 2" xfId="37871" xr:uid="{00000000-0005-0000-0000-0000E6930000}"/>
    <cellStyle name="Accent5 89 3" xfId="37872" xr:uid="{00000000-0005-0000-0000-0000E7930000}"/>
    <cellStyle name="Accent5 9" xfId="37873" xr:uid="{00000000-0005-0000-0000-0000E8930000}"/>
    <cellStyle name="Accent5 9 2" xfId="37874" xr:uid="{00000000-0005-0000-0000-0000E9930000}"/>
    <cellStyle name="Accent5 9 2 2" xfId="37875" xr:uid="{00000000-0005-0000-0000-0000EA930000}"/>
    <cellStyle name="Accent5 9 3" xfId="37876" xr:uid="{00000000-0005-0000-0000-0000EB930000}"/>
    <cellStyle name="Accent5 9 3 2" xfId="37877" xr:uid="{00000000-0005-0000-0000-0000EC930000}"/>
    <cellStyle name="Accent5 9 4" xfId="37878" xr:uid="{00000000-0005-0000-0000-0000ED930000}"/>
    <cellStyle name="Accent5 9 4 2" xfId="37879" xr:uid="{00000000-0005-0000-0000-0000EE930000}"/>
    <cellStyle name="Accent5 9 5" xfId="37880" xr:uid="{00000000-0005-0000-0000-0000EF930000}"/>
    <cellStyle name="Accent5 90" xfId="37881" xr:uid="{00000000-0005-0000-0000-0000F0930000}"/>
    <cellStyle name="Accent5 90 2" xfId="37882" xr:uid="{00000000-0005-0000-0000-0000F1930000}"/>
    <cellStyle name="Accent5 90 2 2" xfId="37883" xr:uid="{00000000-0005-0000-0000-0000F2930000}"/>
    <cellStyle name="Accent5 90 3" xfId="37884" xr:uid="{00000000-0005-0000-0000-0000F3930000}"/>
    <cellStyle name="Accent5 91" xfId="37885" xr:uid="{00000000-0005-0000-0000-0000F4930000}"/>
    <cellStyle name="Accent5 91 2" xfId="37886" xr:uid="{00000000-0005-0000-0000-0000F5930000}"/>
    <cellStyle name="Accent5 91 2 2" xfId="37887" xr:uid="{00000000-0005-0000-0000-0000F6930000}"/>
    <cellStyle name="Accent5 91 3" xfId="37888" xr:uid="{00000000-0005-0000-0000-0000F7930000}"/>
    <cellStyle name="Accent5 92" xfId="37889" xr:uid="{00000000-0005-0000-0000-0000F8930000}"/>
    <cellStyle name="Accent5 92 2" xfId="37890" xr:uid="{00000000-0005-0000-0000-0000F9930000}"/>
    <cellStyle name="Accent5 92 2 2" xfId="37891" xr:uid="{00000000-0005-0000-0000-0000FA930000}"/>
    <cellStyle name="Accent5 92 3" xfId="37892" xr:uid="{00000000-0005-0000-0000-0000FB930000}"/>
    <cellStyle name="Accent5 93" xfId="37893" xr:uid="{00000000-0005-0000-0000-0000FC930000}"/>
    <cellStyle name="Accent5 93 2" xfId="37894" xr:uid="{00000000-0005-0000-0000-0000FD930000}"/>
    <cellStyle name="Accent5 93 2 2" xfId="37895" xr:uid="{00000000-0005-0000-0000-0000FE930000}"/>
    <cellStyle name="Accent5 93 3" xfId="37896" xr:uid="{00000000-0005-0000-0000-0000FF930000}"/>
    <cellStyle name="Accent5 94" xfId="37897" xr:uid="{00000000-0005-0000-0000-000000940000}"/>
    <cellStyle name="Accent5 94 2" xfId="37898" xr:uid="{00000000-0005-0000-0000-000001940000}"/>
    <cellStyle name="Accent5 94 2 2" xfId="37899" xr:uid="{00000000-0005-0000-0000-000002940000}"/>
    <cellStyle name="Accent5 94 3" xfId="37900" xr:uid="{00000000-0005-0000-0000-000003940000}"/>
    <cellStyle name="Accent5 95" xfId="37901" xr:uid="{00000000-0005-0000-0000-000004940000}"/>
    <cellStyle name="Accent5 95 2" xfId="37902" xr:uid="{00000000-0005-0000-0000-000005940000}"/>
    <cellStyle name="Accent5 95 2 2" xfId="37903" xr:uid="{00000000-0005-0000-0000-000006940000}"/>
    <cellStyle name="Accent5 95 3" xfId="37904" xr:uid="{00000000-0005-0000-0000-000007940000}"/>
    <cellStyle name="Accent5 96" xfId="37905" xr:uid="{00000000-0005-0000-0000-000008940000}"/>
    <cellStyle name="Accent5 96 2" xfId="37906" xr:uid="{00000000-0005-0000-0000-000009940000}"/>
    <cellStyle name="Accent5 96 2 2" xfId="37907" xr:uid="{00000000-0005-0000-0000-00000A940000}"/>
    <cellStyle name="Accent5 96 3" xfId="37908" xr:uid="{00000000-0005-0000-0000-00000B940000}"/>
    <cellStyle name="Accent5 97" xfId="37909" xr:uid="{00000000-0005-0000-0000-00000C940000}"/>
    <cellStyle name="Accent5 97 2" xfId="37910" xr:uid="{00000000-0005-0000-0000-00000D940000}"/>
    <cellStyle name="Accent5 97 2 2" xfId="37911" xr:uid="{00000000-0005-0000-0000-00000E940000}"/>
    <cellStyle name="Accent5 97 3" xfId="37912" xr:uid="{00000000-0005-0000-0000-00000F940000}"/>
    <cellStyle name="Accent5 98" xfId="37913" xr:uid="{00000000-0005-0000-0000-000010940000}"/>
    <cellStyle name="Accent5 98 2" xfId="37914" xr:uid="{00000000-0005-0000-0000-000011940000}"/>
    <cellStyle name="Accent5 98 2 2" xfId="37915" xr:uid="{00000000-0005-0000-0000-000012940000}"/>
    <cellStyle name="Accent5 98 3" xfId="37916" xr:uid="{00000000-0005-0000-0000-000013940000}"/>
    <cellStyle name="Accent5 99" xfId="37917" xr:uid="{00000000-0005-0000-0000-000014940000}"/>
    <cellStyle name="Accent5 99 2" xfId="37918" xr:uid="{00000000-0005-0000-0000-000015940000}"/>
    <cellStyle name="Accent5 99 2 2" xfId="37919" xr:uid="{00000000-0005-0000-0000-000016940000}"/>
    <cellStyle name="Accent5 99 3" xfId="37920" xr:uid="{00000000-0005-0000-0000-000017940000}"/>
    <cellStyle name="Accent6 - 20%" xfId="37921" xr:uid="{00000000-0005-0000-0000-000018940000}"/>
    <cellStyle name="Accent6 - 20% 2" xfId="37922" xr:uid="{00000000-0005-0000-0000-000019940000}"/>
    <cellStyle name="Accent6 - 20% 2 2" xfId="37923" xr:uid="{00000000-0005-0000-0000-00001A940000}"/>
    <cellStyle name="Accent6 - 20% 3" xfId="37924" xr:uid="{00000000-0005-0000-0000-00001B940000}"/>
    <cellStyle name="Accent6 - 40%" xfId="37925" xr:uid="{00000000-0005-0000-0000-00001C940000}"/>
    <cellStyle name="Accent6 - 40% 2" xfId="37926" xr:uid="{00000000-0005-0000-0000-00001D940000}"/>
    <cellStyle name="Accent6 - 40% 2 2" xfId="37927" xr:uid="{00000000-0005-0000-0000-00001E940000}"/>
    <cellStyle name="Accent6 - 40% 3" xfId="37928" xr:uid="{00000000-0005-0000-0000-00001F940000}"/>
    <cellStyle name="Accent6 - 60%" xfId="37929" xr:uid="{00000000-0005-0000-0000-000020940000}"/>
    <cellStyle name="Accent6 - 60% 2" xfId="37930" xr:uid="{00000000-0005-0000-0000-000021940000}"/>
    <cellStyle name="Accent6 - 60% 2 2" xfId="37931" xr:uid="{00000000-0005-0000-0000-000022940000}"/>
    <cellStyle name="Accent6 - 60% 3" xfId="37932" xr:uid="{00000000-0005-0000-0000-000023940000}"/>
    <cellStyle name="Accent6 - 60% 3 2" xfId="37933" xr:uid="{00000000-0005-0000-0000-000024940000}"/>
    <cellStyle name="Accent6 - 60% 4" xfId="37934" xr:uid="{00000000-0005-0000-0000-000025940000}"/>
    <cellStyle name="Accent6 - 60% 4 2" xfId="37935" xr:uid="{00000000-0005-0000-0000-000026940000}"/>
    <cellStyle name="Accent6 - 60% 5" xfId="37936" xr:uid="{00000000-0005-0000-0000-000027940000}"/>
    <cellStyle name="Accent6 - 60% 5 2" xfId="37937" xr:uid="{00000000-0005-0000-0000-000028940000}"/>
    <cellStyle name="Accent6 - 60% 6" xfId="37938" xr:uid="{00000000-0005-0000-0000-000029940000}"/>
    <cellStyle name="Accent6 10" xfId="37939" xr:uid="{00000000-0005-0000-0000-00002A940000}"/>
    <cellStyle name="Accent6 10 2" xfId="37940" xr:uid="{00000000-0005-0000-0000-00002B940000}"/>
    <cellStyle name="Accent6 10 2 2" xfId="37941" xr:uid="{00000000-0005-0000-0000-00002C940000}"/>
    <cellStyle name="Accent6 10 3" xfId="37942" xr:uid="{00000000-0005-0000-0000-00002D940000}"/>
    <cellStyle name="Accent6 100" xfId="37943" xr:uid="{00000000-0005-0000-0000-00002E940000}"/>
    <cellStyle name="Accent6 100 2" xfId="37944" xr:uid="{00000000-0005-0000-0000-00002F940000}"/>
    <cellStyle name="Accent6 100 2 2" xfId="37945" xr:uid="{00000000-0005-0000-0000-000030940000}"/>
    <cellStyle name="Accent6 100 3" xfId="37946" xr:uid="{00000000-0005-0000-0000-000031940000}"/>
    <cellStyle name="Accent6 101" xfId="37947" xr:uid="{00000000-0005-0000-0000-000032940000}"/>
    <cellStyle name="Accent6 101 2" xfId="37948" xr:uid="{00000000-0005-0000-0000-000033940000}"/>
    <cellStyle name="Accent6 101 2 2" xfId="37949" xr:uid="{00000000-0005-0000-0000-000034940000}"/>
    <cellStyle name="Accent6 101 3" xfId="37950" xr:uid="{00000000-0005-0000-0000-000035940000}"/>
    <cellStyle name="Accent6 102" xfId="37951" xr:uid="{00000000-0005-0000-0000-000036940000}"/>
    <cellStyle name="Accent6 102 2" xfId="37952" xr:uid="{00000000-0005-0000-0000-000037940000}"/>
    <cellStyle name="Accent6 102 2 2" xfId="37953" xr:uid="{00000000-0005-0000-0000-000038940000}"/>
    <cellStyle name="Accent6 102 3" xfId="37954" xr:uid="{00000000-0005-0000-0000-000039940000}"/>
    <cellStyle name="Accent6 103" xfId="37955" xr:uid="{00000000-0005-0000-0000-00003A940000}"/>
    <cellStyle name="Accent6 103 2" xfId="37956" xr:uid="{00000000-0005-0000-0000-00003B940000}"/>
    <cellStyle name="Accent6 103 2 2" xfId="37957" xr:uid="{00000000-0005-0000-0000-00003C940000}"/>
    <cellStyle name="Accent6 103 3" xfId="37958" xr:uid="{00000000-0005-0000-0000-00003D940000}"/>
    <cellStyle name="Accent6 104" xfId="37959" xr:uid="{00000000-0005-0000-0000-00003E940000}"/>
    <cellStyle name="Accent6 104 2" xfId="37960" xr:uid="{00000000-0005-0000-0000-00003F940000}"/>
    <cellStyle name="Accent6 104 2 2" xfId="37961" xr:uid="{00000000-0005-0000-0000-000040940000}"/>
    <cellStyle name="Accent6 104 3" xfId="37962" xr:uid="{00000000-0005-0000-0000-000041940000}"/>
    <cellStyle name="Accent6 105" xfId="37963" xr:uid="{00000000-0005-0000-0000-000042940000}"/>
    <cellStyle name="Accent6 105 2" xfId="37964" xr:uid="{00000000-0005-0000-0000-000043940000}"/>
    <cellStyle name="Accent6 105 2 2" xfId="37965" xr:uid="{00000000-0005-0000-0000-000044940000}"/>
    <cellStyle name="Accent6 105 3" xfId="37966" xr:uid="{00000000-0005-0000-0000-000045940000}"/>
    <cellStyle name="Accent6 106" xfId="37967" xr:uid="{00000000-0005-0000-0000-000046940000}"/>
    <cellStyle name="Accent6 106 2" xfId="37968" xr:uid="{00000000-0005-0000-0000-000047940000}"/>
    <cellStyle name="Accent6 106 2 2" xfId="37969" xr:uid="{00000000-0005-0000-0000-000048940000}"/>
    <cellStyle name="Accent6 106 3" xfId="37970" xr:uid="{00000000-0005-0000-0000-000049940000}"/>
    <cellStyle name="Accent6 107" xfId="37971" xr:uid="{00000000-0005-0000-0000-00004A940000}"/>
    <cellStyle name="Accent6 107 2" xfId="37972" xr:uid="{00000000-0005-0000-0000-00004B940000}"/>
    <cellStyle name="Accent6 107 2 2" xfId="37973" xr:uid="{00000000-0005-0000-0000-00004C940000}"/>
    <cellStyle name="Accent6 107 3" xfId="37974" xr:uid="{00000000-0005-0000-0000-00004D940000}"/>
    <cellStyle name="Accent6 108" xfId="37975" xr:uid="{00000000-0005-0000-0000-00004E940000}"/>
    <cellStyle name="Accent6 108 2" xfId="37976" xr:uid="{00000000-0005-0000-0000-00004F940000}"/>
    <cellStyle name="Accent6 108 2 2" xfId="37977" xr:uid="{00000000-0005-0000-0000-000050940000}"/>
    <cellStyle name="Accent6 108 3" xfId="37978" xr:uid="{00000000-0005-0000-0000-000051940000}"/>
    <cellStyle name="Accent6 109" xfId="37979" xr:uid="{00000000-0005-0000-0000-000052940000}"/>
    <cellStyle name="Accent6 109 2" xfId="37980" xr:uid="{00000000-0005-0000-0000-000053940000}"/>
    <cellStyle name="Accent6 109 2 2" xfId="37981" xr:uid="{00000000-0005-0000-0000-000054940000}"/>
    <cellStyle name="Accent6 109 3" xfId="37982" xr:uid="{00000000-0005-0000-0000-000055940000}"/>
    <cellStyle name="Accent6 11" xfId="37983" xr:uid="{00000000-0005-0000-0000-000056940000}"/>
    <cellStyle name="Accent6 11 2" xfId="37984" xr:uid="{00000000-0005-0000-0000-000057940000}"/>
    <cellStyle name="Accent6 11 2 2" xfId="37985" xr:uid="{00000000-0005-0000-0000-000058940000}"/>
    <cellStyle name="Accent6 11 3" xfId="37986" xr:uid="{00000000-0005-0000-0000-000059940000}"/>
    <cellStyle name="Accent6 110" xfId="37987" xr:uid="{00000000-0005-0000-0000-00005A940000}"/>
    <cellStyle name="Accent6 110 2" xfId="37988" xr:uid="{00000000-0005-0000-0000-00005B940000}"/>
    <cellStyle name="Accent6 110 2 2" xfId="37989" xr:uid="{00000000-0005-0000-0000-00005C940000}"/>
    <cellStyle name="Accent6 110 3" xfId="37990" xr:uid="{00000000-0005-0000-0000-00005D940000}"/>
    <cellStyle name="Accent6 111" xfId="37991" xr:uid="{00000000-0005-0000-0000-00005E940000}"/>
    <cellStyle name="Accent6 111 2" xfId="37992" xr:uid="{00000000-0005-0000-0000-00005F940000}"/>
    <cellStyle name="Accent6 111 2 2" xfId="37993" xr:uid="{00000000-0005-0000-0000-000060940000}"/>
    <cellStyle name="Accent6 111 3" xfId="37994" xr:uid="{00000000-0005-0000-0000-000061940000}"/>
    <cellStyle name="Accent6 112" xfId="37995" xr:uid="{00000000-0005-0000-0000-000062940000}"/>
    <cellStyle name="Accent6 112 2" xfId="37996" xr:uid="{00000000-0005-0000-0000-000063940000}"/>
    <cellStyle name="Accent6 112 2 2" xfId="37997" xr:uid="{00000000-0005-0000-0000-000064940000}"/>
    <cellStyle name="Accent6 112 3" xfId="37998" xr:uid="{00000000-0005-0000-0000-000065940000}"/>
    <cellStyle name="Accent6 113" xfId="37999" xr:uid="{00000000-0005-0000-0000-000066940000}"/>
    <cellStyle name="Accent6 113 2" xfId="38000" xr:uid="{00000000-0005-0000-0000-000067940000}"/>
    <cellStyle name="Accent6 113 2 2" xfId="38001" xr:uid="{00000000-0005-0000-0000-000068940000}"/>
    <cellStyle name="Accent6 113 3" xfId="38002" xr:uid="{00000000-0005-0000-0000-000069940000}"/>
    <cellStyle name="Accent6 114" xfId="38003" xr:uid="{00000000-0005-0000-0000-00006A940000}"/>
    <cellStyle name="Accent6 114 2" xfId="38004" xr:uid="{00000000-0005-0000-0000-00006B940000}"/>
    <cellStyle name="Accent6 114 2 2" xfId="38005" xr:uid="{00000000-0005-0000-0000-00006C940000}"/>
    <cellStyle name="Accent6 114 3" xfId="38006" xr:uid="{00000000-0005-0000-0000-00006D940000}"/>
    <cellStyle name="Accent6 115" xfId="38007" xr:uid="{00000000-0005-0000-0000-00006E940000}"/>
    <cellStyle name="Accent6 115 2" xfId="38008" xr:uid="{00000000-0005-0000-0000-00006F940000}"/>
    <cellStyle name="Accent6 115 2 2" xfId="38009" xr:uid="{00000000-0005-0000-0000-000070940000}"/>
    <cellStyle name="Accent6 115 3" xfId="38010" xr:uid="{00000000-0005-0000-0000-000071940000}"/>
    <cellStyle name="Accent6 116" xfId="38011" xr:uid="{00000000-0005-0000-0000-000072940000}"/>
    <cellStyle name="Accent6 116 2" xfId="38012" xr:uid="{00000000-0005-0000-0000-000073940000}"/>
    <cellStyle name="Accent6 116 2 2" xfId="38013" xr:uid="{00000000-0005-0000-0000-000074940000}"/>
    <cellStyle name="Accent6 116 3" xfId="38014" xr:uid="{00000000-0005-0000-0000-000075940000}"/>
    <cellStyle name="Accent6 117" xfId="38015" xr:uid="{00000000-0005-0000-0000-000076940000}"/>
    <cellStyle name="Accent6 117 2" xfId="38016" xr:uid="{00000000-0005-0000-0000-000077940000}"/>
    <cellStyle name="Accent6 117 2 2" xfId="38017" xr:uid="{00000000-0005-0000-0000-000078940000}"/>
    <cellStyle name="Accent6 117 3" xfId="38018" xr:uid="{00000000-0005-0000-0000-000079940000}"/>
    <cellStyle name="Accent6 118" xfId="38019" xr:uid="{00000000-0005-0000-0000-00007A940000}"/>
    <cellStyle name="Accent6 118 2" xfId="38020" xr:uid="{00000000-0005-0000-0000-00007B940000}"/>
    <cellStyle name="Accent6 118 2 2" xfId="38021" xr:uid="{00000000-0005-0000-0000-00007C940000}"/>
    <cellStyle name="Accent6 118 3" xfId="38022" xr:uid="{00000000-0005-0000-0000-00007D940000}"/>
    <cellStyle name="Accent6 119" xfId="38023" xr:uid="{00000000-0005-0000-0000-00007E940000}"/>
    <cellStyle name="Accent6 119 2" xfId="38024" xr:uid="{00000000-0005-0000-0000-00007F940000}"/>
    <cellStyle name="Accent6 119 2 2" xfId="38025" xr:uid="{00000000-0005-0000-0000-000080940000}"/>
    <cellStyle name="Accent6 119 3" xfId="38026" xr:uid="{00000000-0005-0000-0000-000081940000}"/>
    <cellStyle name="Accent6 12" xfId="38027" xr:uid="{00000000-0005-0000-0000-000082940000}"/>
    <cellStyle name="Accent6 12 2" xfId="38028" xr:uid="{00000000-0005-0000-0000-000083940000}"/>
    <cellStyle name="Accent6 12 2 2" xfId="38029" xr:uid="{00000000-0005-0000-0000-000084940000}"/>
    <cellStyle name="Accent6 12 3" xfId="38030" xr:uid="{00000000-0005-0000-0000-000085940000}"/>
    <cellStyle name="Accent6 120" xfId="38031" xr:uid="{00000000-0005-0000-0000-000086940000}"/>
    <cellStyle name="Accent6 120 2" xfId="38032" xr:uid="{00000000-0005-0000-0000-000087940000}"/>
    <cellStyle name="Accent6 120 2 2" xfId="38033" xr:uid="{00000000-0005-0000-0000-000088940000}"/>
    <cellStyle name="Accent6 120 3" xfId="38034" xr:uid="{00000000-0005-0000-0000-000089940000}"/>
    <cellStyle name="Accent6 121" xfId="38035" xr:uid="{00000000-0005-0000-0000-00008A940000}"/>
    <cellStyle name="Accent6 121 2" xfId="38036" xr:uid="{00000000-0005-0000-0000-00008B940000}"/>
    <cellStyle name="Accent6 121 2 2" xfId="38037" xr:uid="{00000000-0005-0000-0000-00008C940000}"/>
    <cellStyle name="Accent6 121 3" xfId="38038" xr:uid="{00000000-0005-0000-0000-00008D940000}"/>
    <cellStyle name="Accent6 122" xfId="38039" xr:uid="{00000000-0005-0000-0000-00008E940000}"/>
    <cellStyle name="Accent6 122 2" xfId="38040" xr:uid="{00000000-0005-0000-0000-00008F940000}"/>
    <cellStyle name="Accent6 122 2 2" xfId="38041" xr:uid="{00000000-0005-0000-0000-000090940000}"/>
    <cellStyle name="Accent6 122 3" xfId="38042" xr:uid="{00000000-0005-0000-0000-000091940000}"/>
    <cellStyle name="Accent6 123" xfId="38043" xr:uid="{00000000-0005-0000-0000-000092940000}"/>
    <cellStyle name="Accent6 123 2" xfId="38044" xr:uid="{00000000-0005-0000-0000-000093940000}"/>
    <cellStyle name="Accent6 123 2 2" xfId="38045" xr:uid="{00000000-0005-0000-0000-000094940000}"/>
    <cellStyle name="Accent6 123 3" xfId="38046" xr:uid="{00000000-0005-0000-0000-000095940000}"/>
    <cellStyle name="Accent6 124" xfId="38047" xr:uid="{00000000-0005-0000-0000-000096940000}"/>
    <cellStyle name="Accent6 124 2" xfId="38048" xr:uid="{00000000-0005-0000-0000-000097940000}"/>
    <cellStyle name="Accent6 124 2 2" xfId="38049" xr:uid="{00000000-0005-0000-0000-000098940000}"/>
    <cellStyle name="Accent6 124 3" xfId="38050" xr:uid="{00000000-0005-0000-0000-000099940000}"/>
    <cellStyle name="Accent6 125" xfId="38051" xr:uid="{00000000-0005-0000-0000-00009A940000}"/>
    <cellStyle name="Accent6 125 2" xfId="38052" xr:uid="{00000000-0005-0000-0000-00009B940000}"/>
    <cellStyle name="Accent6 125 2 2" xfId="38053" xr:uid="{00000000-0005-0000-0000-00009C940000}"/>
    <cellStyle name="Accent6 125 3" xfId="38054" xr:uid="{00000000-0005-0000-0000-00009D940000}"/>
    <cellStyle name="Accent6 126" xfId="38055" xr:uid="{00000000-0005-0000-0000-00009E940000}"/>
    <cellStyle name="Accent6 126 2" xfId="38056" xr:uid="{00000000-0005-0000-0000-00009F940000}"/>
    <cellStyle name="Accent6 126 2 2" xfId="38057" xr:uid="{00000000-0005-0000-0000-0000A0940000}"/>
    <cellStyle name="Accent6 126 3" xfId="38058" xr:uid="{00000000-0005-0000-0000-0000A1940000}"/>
    <cellStyle name="Accent6 127" xfId="38059" xr:uid="{00000000-0005-0000-0000-0000A2940000}"/>
    <cellStyle name="Accent6 127 2" xfId="38060" xr:uid="{00000000-0005-0000-0000-0000A3940000}"/>
    <cellStyle name="Accent6 127 2 2" xfId="38061" xr:uid="{00000000-0005-0000-0000-0000A4940000}"/>
    <cellStyle name="Accent6 127 3" xfId="38062" xr:uid="{00000000-0005-0000-0000-0000A5940000}"/>
    <cellStyle name="Accent6 128" xfId="38063" xr:uid="{00000000-0005-0000-0000-0000A6940000}"/>
    <cellStyle name="Accent6 128 2" xfId="38064" xr:uid="{00000000-0005-0000-0000-0000A7940000}"/>
    <cellStyle name="Accent6 128 2 2" xfId="38065" xr:uid="{00000000-0005-0000-0000-0000A8940000}"/>
    <cellStyle name="Accent6 128 3" xfId="38066" xr:uid="{00000000-0005-0000-0000-0000A9940000}"/>
    <cellStyle name="Accent6 129" xfId="38067" xr:uid="{00000000-0005-0000-0000-0000AA940000}"/>
    <cellStyle name="Accent6 129 2" xfId="38068" xr:uid="{00000000-0005-0000-0000-0000AB940000}"/>
    <cellStyle name="Accent6 129 2 2" xfId="38069" xr:uid="{00000000-0005-0000-0000-0000AC940000}"/>
    <cellStyle name="Accent6 129 3" xfId="38070" xr:uid="{00000000-0005-0000-0000-0000AD940000}"/>
    <cellStyle name="Accent6 13" xfId="38071" xr:uid="{00000000-0005-0000-0000-0000AE940000}"/>
    <cellStyle name="Accent6 13 2" xfId="38072" xr:uid="{00000000-0005-0000-0000-0000AF940000}"/>
    <cellStyle name="Accent6 13 2 2" xfId="38073" xr:uid="{00000000-0005-0000-0000-0000B0940000}"/>
    <cellStyle name="Accent6 13 3" xfId="38074" xr:uid="{00000000-0005-0000-0000-0000B1940000}"/>
    <cellStyle name="Accent6 130" xfId="38075" xr:uid="{00000000-0005-0000-0000-0000B2940000}"/>
    <cellStyle name="Accent6 130 2" xfId="38076" xr:uid="{00000000-0005-0000-0000-0000B3940000}"/>
    <cellStyle name="Accent6 130 2 2" xfId="38077" xr:uid="{00000000-0005-0000-0000-0000B4940000}"/>
    <cellStyle name="Accent6 130 3" xfId="38078" xr:uid="{00000000-0005-0000-0000-0000B5940000}"/>
    <cellStyle name="Accent6 131" xfId="38079" xr:uid="{00000000-0005-0000-0000-0000B6940000}"/>
    <cellStyle name="Accent6 131 2" xfId="38080" xr:uid="{00000000-0005-0000-0000-0000B7940000}"/>
    <cellStyle name="Accent6 131 2 2" xfId="38081" xr:uid="{00000000-0005-0000-0000-0000B8940000}"/>
    <cellStyle name="Accent6 131 3" xfId="38082" xr:uid="{00000000-0005-0000-0000-0000B9940000}"/>
    <cellStyle name="Accent6 132" xfId="38083" xr:uid="{00000000-0005-0000-0000-0000BA940000}"/>
    <cellStyle name="Accent6 132 2" xfId="38084" xr:uid="{00000000-0005-0000-0000-0000BB940000}"/>
    <cellStyle name="Accent6 132 2 2" xfId="38085" xr:uid="{00000000-0005-0000-0000-0000BC940000}"/>
    <cellStyle name="Accent6 132 3" xfId="38086" xr:uid="{00000000-0005-0000-0000-0000BD940000}"/>
    <cellStyle name="Accent6 133" xfId="38087" xr:uid="{00000000-0005-0000-0000-0000BE940000}"/>
    <cellStyle name="Accent6 133 2" xfId="38088" xr:uid="{00000000-0005-0000-0000-0000BF940000}"/>
    <cellStyle name="Accent6 133 2 2" xfId="38089" xr:uid="{00000000-0005-0000-0000-0000C0940000}"/>
    <cellStyle name="Accent6 133 3" xfId="38090" xr:uid="{00000000-0005-0000-0000-0000C1940000}"/>
    <cellStyle name="Accent6 134" xfId="38091" xr:uid="{00000000-0005-0000-0000-0000C2940000}"/>
    <cellStyle name="Accent6 134 2" xfId="38092" xr:uid="{00000000-0005-0000-0000-0000C3940000}"/>
    <cellStyle name="Accent6 134 2 2" xfId="38093" xr:uid="{00000000-0005-0000-0000-0000C4940000}"/>
    <cellStyle name="Accent6 134 3" xfId="38094" xr:uid="{00000000-0005-0000-0000-0000C5940000}"/>
    <cellStyle name="Accent6 135" xfId="38095" xr:uid="{00000000-0005-0000-0000-0000C6940000}"/>
    <cellStyle name="Accent6 135 2" xfId="38096" xr:uid="{00000000-0005-0000-0000-0000C7940000}"/>
    <cellStyle name="Accent6 135 2 2" xfId="38097" xr:uid="{00000000-0005-0000-0000-0000C8940000}"/>
    <cellStyle name="Accent6 135 3" xfId="38098" xr:uid="{00000000-0005-0000-0000-0000C9940000}"/>
    <cellStyle name="Accent6 136" xfId="38099" xr:uid="{00000000-0005-0000-0000-0000CA940000}"/>
    <cellStyle name="Accent6 136 2" xfId="38100" xr:uid="{00000000-0005-0000-0000-0000CB940000}"/>
    <cellStyle name="Accent6 136 2 2" xfId="38101" xr:uid="{00000000-0005-0000-0000-0000CC940000}"/>
    <cellStyle name="Accent6 136 3" xfId="38102" xr:uid="{00000000-0005-0000-0000-0000CD940000}"/>
    <cellStyle name="Accent6 137" xfId="38103" xr:uid="{00000000-0005-0000-0000-0000CE940000}"/>
    <cellStyle name="Accent6 137 2" xfId="38104" xr:uid="{00000000-0005-0000-0000-0000CF940000}"/>
    <cellStyle name="Accent6 137 2 2" xfId="38105" xr:uid="{00000000-0005-0000-0000-0000D0940000}"/>
    <cellStyle name="Accent6 137 3" xfId="38106" xr:uid="{00000000-0005-0000-0000-0000D1940000}"/>
    <cellStyle name="Accent6 138" xfId="38107" xr:uid="{00000000-0005-0000-0000-0000D2940000}"/>
    <cellStyle name="Accent6 138 2" xfId="38108" xr:uid="{00000000-0005-0000-0000-0000D3940000}"/>
    <cellStyle name="Accent6 138 2 2" xfId="38109" xr:uid="{00000000-0005-0000-0000-0000D4940000}"/>
    <cellStyle name="Accent6 138 3" xfId="38110" xr:uid="{00000000-0005-0000-0000-0000D5940000}"/>
    <cellStyle name="Accent6 139" xfId="38111" xr:uid="{00000000-0005-0000-0000-0000D6940000}"/>
    <cellStyle name="Accent6 139 2" xfId="38112" xr:uid="{00000000-0005-0000-0000-0000D7940000}"/>
    <cellStyle name="Accent6 139 2 2" xfId="38113" xr:uid="{00000000-0005-0000-0000-0000D8940000}"/>
    <cellStyle name="Accent6 139 3" xfId="38114" xr:uid="{00000000-0005-0000-0000-0000D9940000}"/>
    <cellStyle name="Accent6 14" xfId="38115" xr:uid="{00000000-0005-0000-0000-0000DA940000}"/>
    <cellStyle name="Accent6 14 2" xfId="38116" xr:uid="{00000000-0005-0000-0000-0000DB940000}"/>
    <cellStyle name="Accent6 14 2 2" xfId="38117" xr:uid="{00000000-0005-0000-0000-0000DC940000}"/>
    <cellStyle name="Accent6 14 3" xfId="38118" xr:uid="{00000000-0005-0000-0000-0000DD940000}"/>
    <cellStyle name="Accent6 140" xfId="38119" xr:uid="{00000000-0005-0000-0000-0000DE940000}"/>
    <cellStyle name="Accent6 140 2" xfId="38120" xr:uid="{00000000-0005-0000-0000-0000DF940000}"/>
    <cellStyle name="Accent6 140 2 2" xfId="38121" xr:uid="{00000000-0005-0000-0000-0000E0940000}"/>
    <cellStyle name="Accent6 140 3" xfId="38122" xr:uid="{00000000-0005-0000-0000-0000E1940000}"/>
    <cellStyle name="Accent6 141" xfId="38123" xr:uid="{00000000-0005-0000-0000-0000E2940000}"/>
    <cellStyle name="Accent6 141 2" xfId="38124" xr:uid="{00000000-0005-0000-0000-0000E3940000}"/>
    <cellStyle name="Accent6 141 2 2" xfId="38125" xr:uid="{00000000-0005-0000-0000-0000E4940000}"/>
    <cellStyle name="Accent6 141 3" xfId="38126" xr:uid="{00000000-0005-0000-0000-0000E5940000}"/>
    <cellStyle name="Accent6 142" xfId="38127" xr:uid="{00000000-0005-0000-0000-0000E6940000}"/>
    <cellStyle name="Accent6 142 2" xfId="38128" xr:uid="{00000000-0005-0000-0000-0000E7940000}"/>
    <cellStyle name="Accent6 142 2 2" xfId="38129" xr:uid="{00000000-0005-0000-0000-0000E8940000}"/>
    <cellStyle name="Accent6 142 3" xfId="38130" xr:uid="{00000000-0005-0000-0000-0000E9940000}"/>
    <cellStyle name="Accent6 143" xfId="38131" xr:uid="{00000000-0005-0000-0000-0000EA940000}"/>
    <cellStyle name="Accent6 143 2" xfId="38132" xr:uid="{00000000-0005-0000-0000-0000EB940000}"/>
    <cellStyle name="Accent6 143 2 2" xfId="38133" xr:uid="{00000000-0005-0000-0000-0000EC940000}"/>
    <cellStyle name="Accent6 143 3" xfId="38134" xr:uid="{00000000-0005-0000-0000-0000ED940000}"/>
    <cellStyle name="Accent6 144" xfId="38135" xr:uid="{00000000-0005-0000-0000-0000EE940000}"/>
    <cellStyle name="Accent6 144 2" xfId="38136" xr:uid="{00000000-0005-0000-0000-0000EF940000}"/>
    <cellStyle name="Accent6 144 2 2" xfId="38137" xr:uid="{00000000-0005-0000-0000-0000F0940000}"/>
    <cellStyle name="Accent6 144 3" xfId="38138" xr:uid="{00000000-0005-0000-0000-0000F1940000}"/>
    <cellStyle name="Accent6 145" xfId="38139" xr:uid="{00000000-0005-0000-0000-0000F2940000}"/>
    <cellStyle name="Accent6 145 2" xfId="38140" xr:uid="{00000000-0005-0000-0000-0000F3940000}"/>
    <cellStyle name="Accent6 145 2 2" xfId="38141" xr:uid="{00000000-0005-0000-0000-0000F4940000}"/>
    <cellStyle name="Accent6 145 3" xfId="38142" xr:uid="{00000000-0005-0000-0000-0000F5940000}"/>
    <cellStyle name="Accent6 146" xfId="38143" xr:uid="{00000000-0005-0000-0000-0000F6940000}"/>
    <cellStyle name="Accent6 146 2" xfId="38144" xr:uid="{00000000-0005-0000-0000-0000F7940000}"/>
    <cellStyle name="Accent6 146 2 2" xfId="38145" xr:uid="{00000000-0005-0000-0000-0000F8940000}"/>
    <cellStyle name="Accent6 146 3" xfId="38146" xr:uid="{00000000-0005-0000-0000-0000F9940000}"/>
    <cellStyle name="Accent6 147" xfId="38147" xr:uid="{00000000-0005-0000-0000-0000FA940000}"/>
    <cellStyle name="Accent6 147 2" xfId="38148" xr:uid="{00000000-0005-0000-0000-0000FB940000}"/>
    <cellStyle name="Accent6 147 2 2" xfId="38149" xr:uid="{00000000-0005-0000-0000-0000FC940000}"/>
    <cellStyle name="Accent6 147 3" xfId="38150" xr:uid="{00000000-0005-0000-0000-0000FD940000}"/>
    <cellStyle name="Accent6 148" xfId="38151" xr:uid="{00000000-0005-0000-0000-0000FE940000}"/>
    <cellStyle name="Accent6 148 2" xfId="38152" xr:uid="{00000000-0005-0000-0000-0000FF940000}"/>
    <cellStyle name="Accent6 148 2 2" xfId="38153" xr:uid="{00000000-0005-0000-0000-000000950000}"/>
    <cellStyle name="Accent6 148 3" xfId="38154" xr:uid="{00000000-0005-0000-0000-000001950000}"/>
    <cellStyle name="Accent6 149" xfId="38155" xr:uid="{00000000-0005-0000-0000-000002950000}"/>
    <cellStyle name="Accent6 149 2" xfId="38156" xr:uid="{00000000-0005-0000-0000-000003950000}"/>
    <cellStyle name="Accent6 149 2 2" xfId="38157" xr:uid="{00000000-0005-0000-0000-000004950000}"/>
    <cellStyle name="Accent6 149 3" xfId="38158" xr:uid="{00000000-0005-0000-0000-000005950000}"/>
    <cellStyle name="Accent6 15" xfId="38159" xr:uid="{00000000-0005-0000-0000-000006950000}"/>
    <cellStyle name="Accent6 15 2" xfId="38160" xr:uid="{00000000-0005-0000-0000-000007950000}"/>
    <cellStyle name="Accent6 15 2 2" xfId="38161" xr:uid="{00000000-0005-0000-0000-000008950000}"/>
    <cellStyle name="Accent6 15 3" xfId="38162" xr:uid="{00000000-0005-0000-0000-000009950000}"/>
    <cellStyle name="Accent6 150" xfId="38163" xr:uid="{00000000-0005-0000-0000-00000A950000}"/>
    <cellStyle name="Accent6 150 2" xfId="38164" xr:uid="{00000000-0005-0000-0000-00000B950000}"/>
    <cellStyle name="Accent6 150 2 2" xfId="38165" xr:uid="{00000000-0005-0000-0000-00000C950000}"/>
    <cellStyle name="Accent6 150 3" xfId="38166" xr:uid="{00000000-0005-0000-0000-00000D950000}"/>
    <cellStyle name="Accent6 151" xfId="38167" xr:uid="{00000000-0005-0000-0000-00000E950000}"/>
    <cellStyle name="Accent6 151 2" xfId="38168" xr:uid="{00000000-0005-0000-0000-00000F950000}"/>
    <cellStyle name="Accent6 151 2 2" xfId="38169" xr:uid="{00000000-0005-0000-0000-000010950000}"/>
    <cellStyle name="Accent6 151 3" xfId="38170" xr:uid="{00000000-0005-0000-0000-000011950000}"/>
    <cellStyle name="Accent6 152" xfId="38171" xr:uid="{00000000-0005-0000-0000-000012950000}"/>
    <cellStyle name="Accent6 152 2" xfId="38172" xr:uid="{00000000-0005-0000-0000-000013950000}"/>
    <cellStyle name="Accent6 152 2 2" xfId="38173" xr:uid="{00000000-0005-0000-0000-000014950000}"/>
    <cellStyle name="Accent6 152 3" xfId="38174" xr:uid="{00000000-0005-0000-0000-000015950000}"/>
    <cellStyle name="Accent6 153" xfId="38175" xr:uid="{00000000-0005-0000-0000-000016950000}"/>
    <cellStyle name="Accent6 153 2" xfId="38176" xr:uid="{00000000-0005-0000-0000-000017950000}"/>
    <cellStyle name="Accent6 153 2 2" xfId="38177" xr:uid="{00000000-0005-0000-0000-000018950000}"/>
    <cellStyle name="Accent6 153 3" xfId="38178" xr:uid="{00000000-0005-0000-0000-000019950000}"/>
    <cellStyle name="Accent6 154" xfId="38179" xr:uid="{00000000-0005-0000-0000-00001A950000}"/>
    <cellStyle name="Accent6 154 2" xfId="38180" xr:uid="{00000000-0005-0000-0000-00001B950000}"/>
    <cellStyle name="Accent6 154 2 2" xfId="38181" xr:uid="{00000000-0005-0000-0000-00001C950000}"/>
    <cellStyle name="Accent6 154 3" xfId="38182" xr:uid="{00000000-0005-0000-0000-00001D950000}"/>
    <cellStyle name="Accent6 155" xfId="38183" xr:uid="{00000000-0005-0000-0000-00001E950000}"/>
    <cellStyle name="Accent6 155 2" xfId="38184" xr:uid="{00000000-0005-0000-0000-00001F950000}"/>
    <cellStyle name="Accent6 155 2 2" xfId="38185" xr:uid="{00000000-0005-0000-0000-000020950000}"/>
    <cellStyle name="Accent6 155 3" xfId="38186" xr:uid="{00000000-0005-0000-0000-000021950000}"/>
    <cellStyle name="Accent6 156" xfId="38187" xr:uid="{00000000-0005-0000-0000-000022950000}"/>
    <cellStyle name="Accent6 156 2" xfId="38188" xr:uid="{00000000-0005-0000-0000-000023950000}"/>
    <cellStyle name="Accent6 156 2 2" xfId="38189" xr:uid="{00000000-0005-0000-0000-000024950000}"/>
    <cellStyle name="Accent6 156 3" xfId="38190" xr:uid="{00000000-0005-0000-0000-000025950000}"/>
    <cellStyle name="Accent6 157" xfId="38191" xr:uid="{00000000-0005-0000-0000-000026950000}"/>
    <cellStyle name="Accent6 157 2" xfId="38192" xr:uid="{00000000-0005-0000-0000-000027950000}"/>
    <cellStyle name="Accent6 157 2 2" xfId="38193" xr:uid="{00000000-0005-0000-0000-000028950000}"/>
    <cellStyle name="Accent6 157 3" xfId="38194" xr:uid="{00000000-0005-0000-0000-000029950000}"/>
    <cellStyle name="Accent6 158" xfId="38195" xr:uid="{00000000-0005-0000-0000-00002A950000}"/>
    <cellStyle name="Accent6 158 2" xfId="38196" xr:uid="{00000000-0005-0000-0000-00002B950000}"/>
    <cellStyle name="Accent6 158 2 2" xfId="38197" xr:uid="{00000000-0005-0000-0000-00002C950000}"/>
    <cellStyle name="Accent6 158 3" xfId="38198" xr:uid="{00000000-0005-0000-0000-00002D950000}"/>
    <cellStyle name="Accent6 159" xfId="38199" xr:uid="{00000000-0005-0000-0000-00002E950000}"/>
    <cellStyle name="Accent6 159 2" xfId="38200" xr:uid="{00000000-0005-0000-0000-00002F950000}"/>
    <cellStyle name="Accent6 16" xfId="38201" xr:uid="{00000000-0005-0000-0000-000030950000}"/>
    <cellStyle name="Accent6 16 2" xfId="38202" xr:uid="{00000000-0005-0000-0000-000031950000}"/>
    <cellStyle name="Accent6 16 2 2" xfId="38203" xr:uid="{00000000-0005-0000-0000-000032950000}"/>
    <cellStyle name="Accent6 16 3" xfId="38204" xr:uid="{00000000-0005-0000-0000-000033950000}"/>
    <cellStyle name="Accent6 160" xfId="38205" xr:uid="{00000000-0005-0000-0000-000034950000}"/>
    <cellStyle name="Accent6 160 2" xfId="38206" xr:uid="{00000000-0005-0000-0000-000035950000}"/>
    <cellStyle name="Accent6 161" xfId="38207" xr:uid="{00000000-0005-0000-0000-000036950000}"/>
    <cellStyle name="Accent6 161 2" xfId="38208" xr:uid="{00000000-0005-0000-0000-000037950000}"/>
    <cellStyle name="Accent6 162" xfId="38209" xr:uid="{00000000-0005-0000-0000-000038950000}"/>
    <cellStyle name="Accent6 162 2" xfId="38210" xr:uid="{00000000-0005-0000-0000-000039950000}"/>
    <cellStyle name="Accent6 163" xfId="38211" xr:uid="{00000000-0005-0000-0000-00003A950000}"/>
    <cellStyle name="Accent6 163 2" xfId="38212" xr:uid="{00000000-0005-0000-0000-00003B950000}"/>
    <cellStyle name="Accent6 164" xfId="38213" xr:uid="{00000000-0005-0000-0000-00003C950000}"/>
    <cellStyle name="Accent6 164 2" xfId="38214" xr:uid="{00000000-0005-0000-0000-00003D950000}"/>
    <cellStyle name="Accent6 165" xfId="38215" xr:uid="{00000000-0005-0000-0000-00003E950000}"/>
    <cellStyle name="Accent6 165 2" xfId="38216" xr:uid="{00000000-0005-0000-0000-00003F950000}"/>
    <cellStyle name="Accent6 166" xfId="38217" xr:uid="{00000000-0005-0000-0000-000040950000}"/>
    <cellStyle name="Accent6 166 2" xfId="38218" xr:uid="{00000000-0005-0000-0000-000041950000}"/>
    <cellStyle name="Accent6 167" xfId="38219" xr:uid="{00000000-0005-0000-0000-000042950000}"/>
    <cellStyle name="Accent6 167 2" xfId="38220" xr:uid="{00000000-0005-0000-0000-000043950000}"/>
    <cellStyle name="Accent6 168" xfId="38221" xr:uid="{00000000-0005-0000-0000-000044950000}"/>
    <cellStyle name="Accent6 168 2" xfId="38222" xr:uid="{00000000-0005-0000-0000-000045950000}"/>
    <cellStyle name="Accent6 169" xfId="38223" xr:uid="{00000000-0005-0000-0000-000046950000}"/>
    <cellStyle name="Accent6 169 2" xfId="38224" xr:uid="{00000000-0005-0000-0000-000047950000}"/>
    <cellStyle name="Accent6 17" xfId="38225" xr:uid="{00000000-0005-0000-0000-000048950000}"/>
    <cellStyle name="Accent6 17 2" xfId="38226" xr:uid="{00000000-0005-0000-0000-000049950000}"/>
    <cellStyle name="Accent6 17 2 2" xfId="38227" xr:uid="{00000000-0005-0000-0000-00004A950000}"/>
    <cellStyle name="Accent6 17 3" xfId="38228" xr:uid="{00000000-0005-0000-0000-00004B950000}"/>
    <cellStyle name="Accent6 170" xfId="38229" xr:uid="{00000000-0005-0000-0000-00004C950000}"/>
    <cellStyle name="Accent6 170 2" xfId="38230" xr:uid="{00000000-0005-0000-0000-00004D950000}"/>
    <cellStyle name="Accent6 171" xfId="38231" xr:uid="{00000000-0005-0000-0000-00004E950000}"/>
    <cellStyle name="Accent6 171 2" xfId="38232" xr:uid="{00000000-0005-0000-0000-00004F950000}"/>
    <cellStyle name="Accent6 172" xfId="38233" xr:uid="{00000000-0005-0000-0000-000050950000}"/>
    <cellStyle name="Accent6 172 2" xfId="38234" xr:uid="{00000000-0005-0000-0000-000051950000}"/>
    <cellStyle name="Accent6 173" xfId="38235" xr:uid="{00000000-0005-0000-0000-000052950000}"/>
    <cellStyle name="Accent6 173 2" xfId="38236" xr:uid="{00000000-0005-0000-0000-000053950000}"/>
    <cellStyle name="Accent6 174" xfId="38237" xr:uid="{00000000-0005-0000-0000-000054950000}"/>
    <cellStyle name="Accent6 174 2" xfId="38238" xr:uid="{00000000-0005-0000-0000-000055950000}"/>
    <cellStyle name="Accent6 175" xfId="38239" xr:uid="{00000000-0005-0000-0000-000056950000}"/>
    <cellStyle name="Accent6 175 2" xfId="38240" xr:uid="{00000000-0005-0000-0000-000057950000}"/>
    <cellStyle name="Accent6 176" xfId="38241" xr:uid="{00000000-0005-0000-0000-000058950000}"/>
    <cellStyle name="Accent6 176 2" xfId="38242" xr:uid="{00000000-0005-0000-0000-000059950000}"/>
    <cellStyle name="Accent6 177" xfId="38243" xr:uid="{00000000-0005-0000-0000-00005A950000}"/>
    <cellStyle name="Accent6 177 2" xfId="38244" xr:uid="{00000000-0005-0000-0000-00005B950000}"/>
    <cellStyle name="Accent6 178" xfId="38245" xr:uid="{00000000-0005-0000-0000-00005C950000}"/>
    <cellStyle name="Accent6 178 2" xfId="38246" xr:uid="{00000000-0005-0000-0000-00005D950000}"/>
    <cellStyle name="Accent6 179" xfId="38247" xr:uid="{00000000-0005-0000-0000-00005E950000}"/>
    <cellStyle name="Accent6 179 2" xfId="38248" xr:uid="{00000000-0005-0000-0000-00005F950000}"/>
    <cellStyle name="Accent6 18" xfId="38249" xr:uid="{00000000-0005-0000-0000-000060950000}"/>
    <cellStyle name="Accent6 18 2" xfId="38250" xr:uid="{00000000-0005-0000-0000-000061950000}"/>
    <cellStyle name="Accent6 18 2 2" xfId="38251" xr:uid="{00000000-0005-0000-0000-000062950000}"/>
    <cellStyle name="Accent6 18 3" xfId="38252" xr:uid="{00000000-0005-0000-0000-000063950000}"/>
    <cellStyle name="Accent6 180" xfId="38253" xr:uid="{00000000-0005-0000-0000-000064950000}"/>
    <cellStyle name="Accent6 180 2" xfId="38254" xr:uid="{00000000-0005-0000-0000-000065950000}"/>
    <cellStyle name="Accent6 181" xfId="38255" xr:uid="{00000000-0005-0000-0000-000066950000}"/>
    <cellStyle name="Accent6 181 2" xfId="38256" xr:uid="{00000000-0005-0000-0000-000067950000}"/>
    <cellStyle name="Accent6 182" xfId="38257" xr:uid="{00000000-0005-0000-0000-000068950000}"/>
    <cellStyle name="Accent6 182 2" xfId="38258" xr:uid="{00000000-0005-0000-0000-000069950000}"/>
    <cellStyle name="Accent6 183" xfId="38259" xr:uid="{00000000-0005-0000-0000-00006A950000}"/>
    <cellStyle name="Accent6 183 2" xfId="38260" xr:uid="{00000000-0005-0000-0000-00006B950000}"/>
    <cellStyle name="Accent6 184" xfId="38261" xr:uid="{00000000-0005-0000-0000-00006C950000}"/>
    <cellStyle name="Accent6 184 2" xfId="38262" xr:uid="{00000000-0005-0000-0000-00006D950000}"/>
    <cellStyle name="Accent6 185" xfId="38263" xr:uid="{00000000-0005-0000-0000-00006E950000}"/>
    <cellStyle name="Accent6 185 2" xfId="38264" xr:uid="{00000000-0005-0000-0000-00006F950000}"/>
    <cellStyle name="Accent6 186" xfId="38265" xr:uid="{00000000-0005-0000-0000-000070950000}"/>
    <cellStyle name="Accent6 186 2" xfId="38266" xr:uid="{00000000-0005-0000-0000-000071950000}"/>
    <cellStyle name="Accent6 187" xfId="38267" xr:uid="{00000000-0005-0000-0000-000072950000}"/>
    <cellStyle name="Accent6 187 2" xfId="38268" xr:uid="{00000000-0005-0000-0000-000073950000}"/>
    <cellStyle name="Accent6 188" xfId="38269" xr:uid="{00000000-0005-0000-0000-000074950000}"/>
    <cellStyle name="Accent6 188 2" xfId="38270" xr:uid="{00000000-0005-0000-0000-000075950000}"/>
    <cellStyle name="Accent6 189" xfId="38271" xr:uid="{00000000-0005-0000-0000-000076950000}"/>
    <cellStyle name="Accent6 189 2" xfId="38272" xr:uid="{00000000-0005-0000-0000-000077950000}"/>
    <cellStyle name="Accent6 19" xfId="38273" xr:uid="{00000000-0005-0000-0000-000078950000}"/>
    <cellStyle name="Accent6 19 2" xfId="38274" xr:uid="{00000000-0005-0000-0000-000079950000}"/>
    <cellStyle name="Accent6 19 2 2" xfId="38275" xr:uid="{00000000-0005-0000-0000-00007A950000}"/>
    <cellStyle name="Accent6 19 3" xfId="38276" xr:uid="{00000000-0005-0000-0000-00007B950000}"/>
    <cellStyle name="Accent6 190" xfId="38277" xr:uid="{00000000-0005-0000-0000-00007C950000}"/>
    <cellStyle name="Accent6 190 2" xfId="38278" xr:uid="{00000000-0005-0000-0000-00007D950000}"/>
    <cellStyle name="Accent6 191" xfId="38279" xr:uid="{00000000-0005-0000-0000-00007E950000}"/>
    <cellStyle name="Accent6 191 2" xfId="38280" xr:uid="{00000000-0005-0000-0000-00007F950000}"/>
    <cellStyle name="Accent6 192" xfId="38281" xr:uid="{00000000-0005-0000-0000-000080950000}"/>
    <cellStyle name="Accent6 192 2" xfId="38282" xr:uid="{00000000-0005-0000-0000-000081950000}"/>
    <cellStyle name="Accent6 193" xfId="38283" xr:uid="{00000000-0005-0000-0000-000082950000}"/>
    <cellStyle name="Accent6 193 2" xfId="38284" xr:uid="{00000000-0005-0000-0000-000083950000}"/>
    <cellStyle name="Accent6 194" xfId="38285" xr:uid="{00000000-0005-0000-0000-000084950000}"/>
    <cellStyle name="Accent6 194 2" xfId="38286" xr:uid="{00000000-0005-0000-0000-000085950000}"/>
    <cellStyle name="Accent6 195" xfId="38287" xr:uid="{00000000-0005-0000-0000-000086950000}"/>
    <cellStyle name="Accent6 195 2" xfId="38288" xr:uid="{00000000-0005-0000-0000-000087950000}"/>
    <cellStyle name="Accent6 196" xfId="38289" xr:uid="{00000000-0005-0000-0000-000088950000}"/>
    <cellStyle name="Accent6 196 2" xfId="38290" xr:uid="{00000000-0005-0000-0000-000089950000}"/>
    <cellStyle name="Accent6 197" xfId="38291" xr:uid="{00000000-0005-0000-0000-00008A950000}"/>
    <cellStyle name="Accent6 197 2" xfId="38292" xr:uid="{00000000-0005-0000-0000-00008B950000}"/>
    <cellStyle name="Accent6 198" xfId="38293" xr:uid="{00000000-0005-0000-0000-00008C950000}"/>
    <cellStyle name="Accent6 198 2" xfId="38294" xr:uid="{00000000-0005-0000-0000-00008D950000}"/>
    <cellStyle name="Accent6 2" xfId="38295" xr:uid="{00000000-0005-0000-0000-00008E950000}"/>
    <cellStyle name="Accent6 2 2" xfId="38296" xr:uid="{00000000-0005-0000-0000-00008F950000}"/>
    <cellStyle name="Accent6 2 2 2" xfId="38297" xr:uid="{00000000-0005-0000-0000-000090950000}"/>
    <cellStyle name="Accent6 2 2 2 2" xfId="38298" xr:uid="{00000000-0005-0000-0000-000091950000}"/>
    <cellStyle name="Accent6 2 2 2 2 2" xfId="38299" xr:uid="{00000000-0005-0000-0000-000092950000}"/>
    <cellStyle name="Accent6 2 2 2 2 2 2" xfId="38300" xr:uid="{00000000-0005-0000-0000-000093950000}"/>
    <cellStyle name="Accent6 2 2 2 2 3" xfId="38301" xr:uid="{00000000-0005-0000-0000-000094950000}"/>
    <cellStyle name="Accent6 2 2 2 3" xfId="38302" xr:uid="{00000000-0005-0000-0000-000095950000}"/>
    <cellStyle name="Accent6 2 2 3" xfId="38303" xr:uid="{00000000-0005-0000-0000-000096950000}"/>
    <cellStyle name="Accent6 2 2 3 2" xfId="38304" xr:uid="{00000000-0005-0000-0000-000097950000}"/>
    <cellStyle name="Accent6 2 2 4" xfId="38305" xr:uid="{00000000-0005-0000-0000-000098950000}"/>
    <cellStyle name="Accent6 2 2 4 2" xfId="38306" xr:uid="{00000000-0005-0000-0000-000099950000}"/>
    <cellStyle name="Accent6 2 2 5" xfId="38307" xr:uid="{00000000-0005-0000-0000-00009A950000}"/>
    <cellStyle name="Accent6 2 3" xfId="38308" xr:uid="{00000000-0005-0000-0000-00009B950000}"/>
    <cellStyle name="Accent6 2 3 2" xfId="38309" xr:uid="{00000000-0005-0000-0000-00009C950000}"/>
    <cellStyle name="Accent6 2 4" xfId="38310" xr:uid="{00000000-0005-0000-0000-00009D950000}"/>
    <cellStyle name="Accent6 2 4 2" xfId="38311" xr:uid="{00000000-0005-0000-0000-00009E950000}"/>
    <cellStyle name="Accent6 2 5" xfId="38312" xr:uid="{00000000-0005-0000-0000-00009F950000}"/>
    <cellStyle name="Accent6 2 5 2" xfId="38313" xr:uid="{00000000-0005-0000-0000-0000A0950000}"/>
    <cellStyle name="Accent6 2 6" xfId="38314" xr:uid="{00000000-0005-0000-0000-0000A1950000}"/>
    <cellStyle name="Accent6 20" xfId="38315" xr:uid="{00000000-0005-0000-0000-0000A2950000}"/>
    <cellStyle name="Accent6 20 2" xfId="38316" xr:uid="{00000000-0005-0000-0000-0000A3950000}"/>
    <cellStyle name="Accent6 20 2 2" xfId="38317" xr:uid="{00000000-0005-0000-0000-0000A4950000}"/>
    <cellStyle name="Accent6 20 3" xfId="38318" xr:uid="{00000000-0005-0000-0000-0000A5950000}"/>
    <cellStyle name="Accent6 21" xfId="38319" xr:uid="{00000000-0005-0000-0000-0000A6950000}"/>
    <cellStyle name="Accent6 21 2" xfId="38320" xr:uid="{00000000-0005-0000-0000-0000A7950000}"/>
    <cellStyle name="Accent6 21 2 2" xfId="38321" xr:uid="{00000000-0005-0000-0000-0000A8950000}"/>
    <cellStyle name="Accent6 21 3" xfId="38322" xr:uid="{00000000-0005-0000-0000-0000A9950000}"/>
    <cellStyle name="Accent6 22" xfId="38323" xr:uid="{00000000-0005-0000-0000-0000AA950000}"/>
    <cellStyle name="Accent6 22 2" xfId="38324" xr:uid="{00000000-0005-0000-0000-0000AB950000}"/>
    <cellStyle name="Accent6 22 2 2" xfId="38325" xr:uid="{00000000-0005-0000-0000-0000AC950000}"/>
    <cellStyle name="Accent6 22 3" xfId="38326" xr:uid="{00000000-0005-0000-0000-0000AD950000}"/>
    <cellStyle name="Accent6 23" xfId="38327" xr:uid="{00000000-0005-0000-0000-0000AE950000}"/>
    <cellStyle name="Accent6 23 2" xfId="38328" xr:uid="{00000000-0005-0000-0000-0000AF950000}"/>
    <cellStyle name="Accent6 23 2 2" xfId="38329" xr:uid="{00000000-0005-0000-0000-0000B0950000}"/>
    <cellStyle name="Accent6 23 3" xfId="38330" xr:uid="{00000000-0005-0000-0000-0000B1950000}"/>
    <cellStyle name="Accent6 24" xfId="38331" xr:uid="{00000000-0005-0000-0000-0000B2950000}"/>
    <cellStyle name="Accent6 24 2" xfId="38332" xr:uid="{00000000-0005-0000-0000-0000B3950000}"/>
    <cellStyle name="Accent6 24 2 2" xfId="38333" xr:uid="{00000000-0005-0000-0000-0000B4950000}"/>
    <cellStyle name="Accent6 24 3" xfId="38334" xr:uid="{00000000-0005-0000-0000-0000B5950000}"/>
    <cellStyle name="Accent6 25" xfId="38335" xr:uid="{00000000-0005-0000-0000-0000B6950000}"/>
    <cellStyle name="Accent6 25 2" xfId="38336" xr:uid="{00000000-0005-0000-0000-0000B7950000}"/>
    <cellStyle name="Accent6 25 2 2" xfId="38337" xr:uid="{00000000-0005-0000-0000-0000B8950000}"/>
    <cellStyle name="Accent6 25 3" xfId="38338" xr:uid="{00000000-0005-0000-0000-0000B9950000}"/>
    <cellStyle name="Accent6 26" xfId="38339" xr:uid="{00000000-0005-0000-0000-0000BA950000}"/>
    <cellStyle name="Accent6 26 2" xfId="38340" xr:uid="{00000000-0005-0000-0000-0000BB950000}"/>
    <cellStyle name="Accent6 26 2 2" xfId="38341" xr:uid="{00000000-0005-0000-0000-0000BC950000}"/>
    <cellStyle name="Accent6 26 3" xfId="38342" xr:uid="{00000000-0005-0000-0000-0000BD950000}"/>
    <cellStyle name="Accent6 27" xfId="38343" xr:uid="{00000000-0005-0000-0000-0000BE950000}"/>
    <cellStyle name="Accent6 27 2" xfId="38344" xr:uid="{00000000-0005-0000-0000-0000BF950000}"/>
    <cellStyle name="Accent6 27 2 2" xfId="38345" xr:uid="{00000000-0005-0000-0000-0000C0950000}"/>
    <cellStyle name="Accent6 27 3" xfId="38346" xr:uid="{00000000-0005-0000-0000-0000C1950000}"/>
    <cellStyle name="Accent6 28" xfId="38347" xr:uid="{00000000-0005-0000-0000-0000C2950000}"/>
    <cellStyle name="Accent6 28 2" xfId="38348" xr:uid="{00000000-0005-0000-0000-0000C3950000}"/>
    <cellStyle name="Accent6 28 2 2" xfId="38349" xr:uid="{00000000-0005-0000-0000-0000C4950000}"/>
    <cellStyle name="Accent6 28 3" xfId="38350" xr:uid="{00000000-0005-0000-0000-0000C5950000}"/>
    <cellStyle name="Accent6 29" xfId="38351" xr:uid="{00000000-0005-0000-0000-0000C6950000}"/>
    <cellStyle name="Accent6 29 2" xfId="38352" xr:uid="{00000000-0005-0000-0000-0000C7950000}"/>
    <cellStyle name="Accent6 29 2 2" xfId="38353" xr:uid="{00000000-0005-0000-0000-0000C8950000}"/>
    <cellStyle name="Accent6 29 3" xfId="38354" xr:uid="{00000000-0005-0000-0000-0000C9950000}"/>
    <cellStyle name="Accent6 3" xfId="38355" xr:uid="{00000000-0005-0000-0000-0000CA950000}"/>
    <cellStyle name="Accent6 3 2" xfId="38356" xr:uid="{00000000-0005-0000-0000-0000CB950000}"/>
    <cellStyle name="Accent6 3 2 2" xfId="38357" xr:uid="{00000000-0005-0000-0000-0000CC950000}"/>
    <cellStyle name="Accent6 3 3" xfId="38358" xr:uid="{00000000-0005-0000-0000-0000CD950000}"/>
    <cellStyle name="Accent6 3 3 2" xfId="38359" xr:uid="{00000000-0005-0000-0000-0000CE950000}"/>
    <cellStyle name="Accent6 3 4" xfId="38360" xr:uid="{00000000-0005-0000-0000-0000CF950000}"/>
    <cellStyle name="Accent6 3 4 2" xfId="38361" xr:uid="{00000000-0005-0000-0000-0000D0950000}"/>
    <cellStyle name="Accent6 3 5" xfId="38362" xr:uid="{00000000-0005-0000-0000-0000D1950000}"/>
    <cellStyle name="Accent6 30" xfId="38363" xr:uid="{00000000-0005-0000-0000-0000D2950000}"/>
    <cellStyle name="Accent6 30 2" xfId="38364" xr:uid="{00000000-0005-0000-0000-0000D3950000}"/>
    <cellStyle name="Accent6 30 2 2" xfId="38365" xr:uid="{00000000-0005-0000-0000-0000D4950000}"/>
    <cellStyle name="Accent6 30 3" xfId="38366" xr:uid="{00000000-0005-0000-0000-0000D5950000}"/>
    <cellStyle name="Accent6 31" xfId="38367" xr:uid="{00000000-0005-0000-0000-0000D6950000}"/>
    <cellStyle name="Accent6 31 2" xfId="38368" xr:uid="{00000000-0005-0000-0000-0000D7950000}"/>
    <cellStyle name="Accent6 31 2 2" xfId="38369" xr:uid="{00000000-0005-0000-0000-0000D8950000}"/>
    <cellStyle name="Accent6 31 3" xfId="38370" xr:uid="{00000000-0005-0000-0000-0000D9950000}"/>
    <cellStyle name="Accent6 32" xfId="38371" xr:uid="{00000000-0005-0000-0000-0000DA950000}"/>
    <cellStyle name="Accent6 32 2" xfId="38372" xr:uid="{00000000-0005-0000-0000-0000DB950000}"/>
    <cellStyle name="Accent6 32 2 2" xfId="38373" xr:uid="{00000000-0005-0000-0000-0000DC950000}"/>
    <cellStyle name="Accent6 32 3" xfId="38374" xr:uid="{00000000-0005-0000-0000-0000DD950000}"/>
    <cellStyle name="Accent6 33" xfId="38375" xr:uid="{00000000-0005-0000-0000-0000DE950000}"/>
    <cellStyle name="Accent6 33 2" xfId="38376" xr:uid="{00000000-0005-0000-0000-0000DF950000}"/>
    <cellStyle name="Accent6 33 2 2" xfId="38377" xr:uid="{00000000-0005-0000-0000-0000E0950000}"/>
    <cellStyle name="Accent6 33 3" xfId="38378" xr:uid="{00000000-0005-0000-0000-0000E1950000}"/>
    <cellStyle name="Accent6 34" xfId="38379" xr:uid="{00000000-0005-0000-0000-0000E2950000}"/>
    <cellStyle name="Accent6 34 2" xfId="38380" xr:uid="{00000000-0005-0000-0000-0000E3950000}"/>
    <cellStyle name="Accent6 34 2 2" xfId="38381" xr:uid="{00000000-0005-0000-0000-0000E4950000}"/>
    <cellStyle name="Accent6 34 3" xfId="38382" xr:uid="{00000000-0005-0000-0000-0000E5950000}"/>
    <cellStyle name="Accent6 35" xfId="38383" xr:uid="{00000000-0005-0000-0000-0000E6950000}"/>
    <cellStyle name="Accent6 35 2" xfId="38384" xr:uid="{00000000-0005-0000-0000-0000E7950000}"/>
    <cellStyle name="Accent6 35 2 2" xfId="38385" xr:uid="{00000000-0005-0000-0000-0000E8950000}"/>
    <cellStyle name="Accent6 35 3" xfId="38386" xr:uid="{00000000-0005-0000-0000-0000E9950000}"/>
    <cellStyle name="Accent6 36" xfId="38387" xr:uid="{00000000-0005-0000-0000-0000EA950000}"/>
    <cellStyle name="Accent6 36 2" xfId="38388" xr:uid="{00000000-0005-0000-0000-0000EB950000}"/>
    <cellStyle name="Accent6 36 2 2" xfId="38389" xr:uid="{00000000-0005-0000-0000-0000EC950000}"/>
    <cellStyle name="Accent6 36 3" xfId="38390" xr:uid="{00000000-0005-0000-0000-0000ED950000}"/>
    <cellStyle name="Accent6 37" xfId="38391" xr:uid="{00000000-0005-0000-0000-0000EE950000}"/>
    <cellStyle name="Accent6 37 2" xfId="38392" xr:uid="{00000000-0005-0000-0000-0000EF950000}"/>
    <cellStyle name="Accent6 37 2 2" xfId="38393" xr:uid="{00000000-0005-0000-0000-0000F0950000}"/>
    <cellStyle name="Accent6 37 3" xfId="38394" xr:uid="{00000000-0005-0000-0000-0000F1950000}"/>
    <cellStyle name="Accent6 38" xfId="38395" xr:uid="{00000000-0005-0000-0000-0000F2950000}"/>
    <cellStyle name="Accent6 38 2" xfId="38396" xr:uid="{00000000-0005-0000-0000-0000F3950000}"/>
    <cellStyle name="Accent6 38 2 2" xfId="38397" xr:uid="{00000000-0005-0000-0000-0000F4950000}"/>
    <cellStyle name="Accent6 38 3" xfId="38398" xr:uid="{00000000-0005-0000-0000-0000F5950000}"/>
    <cellStyle name="Accent6 39" xfId="38399" xr:uid="{00000000-0005-0000-0000-0000F6950000}"/>
    <cellStyle name="Accent6 39 2" xfId="38400" xr:uid="{00000000-0005-0000-0000-0000F7950000}"/>
    <cellStyle name="Accent6 39 2 2" xfId="38401" xr:uid="{00000000-0005-0000-0000-0000F8950000}"/>
    <cellStyle name="Accent6 39 3" xfId="38402" xr:uid="{00000000-0005-0000-0000-0000F9950000}"/>
    <cellStyle name="Accent6 4" xfId="38403" xr:uid="{00000000-0005-0000-0000-0000FA950000}"/>
    <cellStyle name="Accent6 4 2" xfId="38404" xr:uid="{00000000-0005-0000-0000-0000FB950000}"/>
    <cellStyle name="Accent6 4 2 2" xfId="38405" xr:uid="{00000000-0005-0000-0000-0000FC950000}"/>
    <cellStyle name="Accent6 4 3" xfId="38406" xr:uid="{00000000-0005-0000-0000-0000FD950000}"/>
    <cellStyle name="Accent6 4 3 2" xfId="38407" xr:uid="{00000000-0005-0000-0000-0000FE950000}"/>
    <cellStyle name="Accent6 4 4" xfId="38408" xr:uid="{00000000-0005-0000-0000-0000FF950000}"/>
    <cellStyle name="Accent6 4 4 2" xfId="38409" xr:uid="{00000000-0005-0000-0000-000000960000}"/>
    <cellStyle name="Accent6 4 5" xfId="38410" xr:uid="{00000000-0005-0000-0000-000001960000}"/>
    <cellStyle name="Accent6 40" xfId="38411" xr:uid="{00000000-0005-0000-0000-000002960000}"/>
    <cellStyle name="Accent6 40 2" xfId="38412" xr:uid="{00000000-0005-0000-0000-000003960000}"/>
    <cellStyle name="Accent6 40 2 2" xfId="38413" xr:uid="{00000000-0005-0000-0000-000004960000}"/>
    <cellStyle name="Accent6 40 3" xfId="38414" xr:uid="{00000000-0005-0000-0000-000005960000}"/>
    <cellStyle name="Accent6 41" xfId="38415" xr:uid="{00000000-0005-0000-0000-000006960000}"/>
    <cellStyle name="Accent6 41 2" xfId="38416" xr:uid="{00000000-0005-0000-0000-000007960000}"/>
    <cellStyle name="Accent6 41 2 2" xfId="38417" xr:uid="{00000000-0005-0000-0000-000008960000}"/>
    <cellStyle name="Accent6 41 3" xfId="38418" xr:uid="{00000000-0005-0000-0000-000009960000}"/>
    <cellStyle name="Accent6 42" xfId="38419" xr:uid="{00000000-0005-0000-0000-00000A960000}"/>
    <cellStyle name="Accent6 42 2" xfId="38420" xr:uid="{00000000-0005-0000-0000-00000B960000}"/>
    <cellStyle name="Accent6 42 2 2" xfId="38421" xr:uid="{00000000-0005-0000-0000-00000C960000}"/>
    <cellStyle name="Accent6 42 3" xfId="38422" xr:uid="{00000000-0005-0000-0000-00000D960000}"/>
    <cellStyle name="Accent6 43" xfId="38423" xr:uid="{00000000-0005-0000-0000-00000E960000}"/>
    <cellStyle name="Accent6 43 2" xfId="38424" xr:uid="{00000000-0005-0000-0000-00000F960000}"/>
    <cellStyle name="Accent6 43 2 2" xfId="38425" xr:uid="{00000000-0005-0000-0000-000010960000}"/>
    <cellStyle name="Accent6 43 3" xfId="38426" xr:uid="{00000000-0005-0000-0000-000011960000}"/>
    <cellStyle name="Accent6 44" xfId="38427" xr:uid="{00000000-0005-0000-0000-000012960000}"/>
    <cellStyle name="Accent6 44 2" xfId="38428" xr:uid="{00000000-0005-0000-0000-000013960000}"/>
    <cellStyle name="Accent6 44 2 2" xfId="38429" xr:uid="{00000000-0005-0000-0000-000014960000}"/>
    <cellStyle name="Accent6 44 3" xfId="38430" xr:uid="{00000000-0005-0000-0000-000015960000}"/>
    <cellStyle name="Accent6 45" xfId="38431" xr:uid="{00000000-0005-0000-0000-000016960000}"/>
    <cellStyle name="Accent6 45 2" xfId="38432" xr:uid="{00000000-0005-0000-0000-000017960000}"/>
    <cellStyle name="Accent6 45 2 2" xfId="38433" xr:uid="{00000000-0005-0000-0000-000018960000}"/>
    <cellStyle name="Accent6 45 3" xfId="38434" xr:uid="{00000000-0005-0000-0000-000019960000}"/>
    <cellStyle name="Accent6 46" xfId="38435" xr:uid="{00000000-0005-0000-0000-00001A960000}"/>
    <cellStyle name="Accent6 46 2" xfId="38436" xr:uid="{00000000-0005-0000-0000-00001B960000}"/>
    <cellStyle name="Accent6 46 2 2" xfId="38437" xr:uid="{00000000-0005-0000-0000-00001C960000}"/>
    <cellStyle name="Accent6 46 3" xfId="38438" xr:uid="{00000000-0005-0000-0000-00001D960000}"/>
    <cellStyle name="Accent6 47" xfId="38439" xr:uid="{00000000-0005-0000-0000-00001E960000}"/>
    <cellStyle name="Accent6 47 2" xfId="38440" xr:uid="{00000000-0005-0000-0000-00001F960000}"/>
    <cellStyle name="Accent6 47 2 2" xfId="38441" xr:uid="{00000000-0005-0000-0000-000020960000}"/>
    <cellStyle name="Accent6 47 3" xfId="38442" xr:uid="{00000000-0005-0000-0000-000021960000}"/>
    <cellStyle name="Accent6 48" xfId="38443" xr:uid="{00000000-0005-0000-0000-000022960000}"/>
    <cellStyle name="Accent6 48 2" xfId="38444" xr:uid="{00000000-0005-0000-0000-000023960000}"/>
    <cellStyle name="Accent6 48 2 2" xfId="38445" xr:uid="{00000000-0005-0000-0000-000024960000}"/>
    <cellStyle name="Accent6 48 3" xfId="38446" xr:uid="{00000000-0005-0000-0000-000025960000}"/>
    <cellStyle name="Accent6 49" xfId="38447" xr:uid="{00000000-0005-0000-0000-000026960000}"/>
    <cellStyle name="Accent6 49 2" xfId="38448" xr:uid="{00000000-0005-0000-0000-000027960000}"/>
    <cellStyle name="Accent6 49 2 2" xfId="38449" xr:uid="{00000000-0005-0000-0000-000028960000}"/>
    <cellStyle name="Accent6 49 3" xfId="38450" xr:uid="{00000000-0005-0000-0000-000029960000}"/>
    <cellStyle name="Accent6 5" xfId="38451" xr:uid="{00000000-0005-0000-0000-00002A960000}"/>
    <cellStyle name="Accent6 5 2" xfId="38452" xr:uid="{00000000-0005-0000-0000-00002B960000}"/>
    <cellStyle name="Accent6 5 2 2" xfId="38453" xr:uid="{00000000-0005-0000-0000-00002C960000}"/>
    <cellStyle name="Accent6 5 3" xfId="38454" xr:uid="{00000000-0005-0000-0000-00002D960000}"/>
    <cellStyle name="Accent6 5 3 2" xfId="38455" xr:uid="{00000000-0005-0000-0000-00002E960000}"/>
    <cellStyle name="Accent6 5 4" xfId="38456" xr:uid="{00000000-0005-0000-0000-00002F960000}"/>
    <cellStyle name="Accent6 5 4 2" xfId="38457" xr:uid="{00000000-0005-0000-0000-000030960000}"/>
    <cellStyle name="Accent6 5 5" xfId="38458" xr:uid="{00000000-0005-0000-0000-000031960000}"/>
    <cellStyle name="Accent6 50" xfId="38459" xr:uid="{00000000-0005-0000-0000-000032960000}"/>
    <cellStyle name="Accent6 50 2" xfId="38460" xr:uid="{00000000-0005-0000-0000-000033960000}"/>
    <cellStyle name="Accent6 50 2 2" xfId="38461" xr:uid="{00000000-0005-0000-0000-000034960000}"/>
    <cellStyle name="Accent6 50 3" xfId="38462" xr:uid="{00000000-0005-0000-0000-000035960000}"/>
    <cellStyle name="Accent6 51" xfId="38463" xr:uid="{00000000-0005-0000-0000-000036960000}"/>
    <cellStyle name="Accent6 51 2" xfId="38464" xr:uid="{00000000-0005-0000-0000-000037960000}"/>
    <cellStyle name="Accent6 51 2 2" xfId="38465" xr:uid="{00000000-0005-0000-0000-000038960000}"/>
    <cellStyle name="Accent6 51 3" xfId="38466" xr:uid="{00000000-0005-0000-0000-000039960000}"/>
    <cellStyle name="Accent6 52" xfId="38467" xr:uid="{00000000-0005-0000-0000-00003A960000}"/>
    <cellStyle name="Accent6 52 2" xfId="38468" xr:uid="{00000000-0005-0000-0000-00003B960000}"/>
    <cellStyle name="Accent6 52 2 2" xfId="38469" xr:uid="{00000000-0005-0000-0000-00003C960000}"/>
    <cellStyle name="Accent6 52 3" xfId="38470" xr:uid="{00000000-0005-0000-0000-00003D960000}"/>
    <cellStyle name="Accent6 53" xfId="38471" xr:uid="{00000000-0005-0000-0000-00003E960000}"/>
    <cellStyle name="Accent6 53 2" xfId="38472" xr:uid="{00000000-0005-0000-0000-00003F960000}"/>
    <cellStyle name="Accent6 53 2 2" xfId="38473" xr:uid="{00000000-0005-0000-0000-000040960000}"/>
    <cellStyle name="Accent6 53 3" xfId="38474" xr:uid="{00000000-0005-0000-0000-000041960000}"/>
    <cellStyle name="Accent6 54" xfId="38475" xr:uid="{00000000-0005-0000-0000-000042960000}"/>
    <cellStyle name="Accent6 54 2" xfId="38476" xr:uid="{00000000-0005-0000-0000-000043960000}"/>
    <cellStyle name="Accent6 54 2 2" xfId="38477" xr:uid="{00000000-0005-0000-0000-000044960000}"/>
    <cellStyle name="Accent6 54 3" xfId="38478" xr:uid="{00000000-0005-0000-0000-000045960000}"/>
    <cellStyle name="Accent6 55" xfId="38479" xr:uid="{00000000-0005-0000-0000-000046960000}"/>
    <cellStyle name="Accent6 55 2" xfId="38480" xr:uid="{00000000-0005-0000-0000-000047960000}"/>
    <cellStyle name="Accent6 55 2 2" xfId="38481" xr:uid="{00000000-0005-0000-0000-000048960000}"/>
    <cellStyle name="Accent6 55 3" xfId="38482" xr:uid="{00000000-0005-0000-0000-000049960000}"/>
    <cellStyle name="Accent6 56" xfId="38483" xr:uid="{00000000-0005-0000-0000-00004A960000}"/>
    <cellStyle name="Accent6 56 2" xfId="38484" xr:uid="{00000000-0005-0000-0000-00004B960000}"/>
    <cellStyle name="Accent6 56 2 2" xfId="38485" xr:uid="{00000000-0005-0000-0000-00004C960000}"/>
    <cellStyle name="Accent6 56 3" xfId="38486" xr:uid="{00000000-0005-0000-0000-00004D960000}"/>
    <cellStyle name="Accent6 57" xfId="38487" xr:uid="{00000000-0005-0000-0000-00004E960000}"/>
    <cellStyle name="Accent6 57 2" xfId="38488" xr:uid="{00000000-0005-0000-0000-00004F960000}"/>
    <cellStyle name="Accent6 57 2 2" xfId="38489" xr:uid="{00000000-0005-0000-0000-000050960000}"/>
    <cellStyle name="Accent6 57 3" xfId="38490" xr:uid="{00000000-0005-0000-0000-000051960000}"/>
    <cellStyle name="Accent6 58" xfId="38491" xr:uid="{00000000-0005-0000-0000-000052960000}"/>
    <cellStyle name="Accent6 58 2" xfId="38492" xr:uid="{00000000-0005-0000-0000-000053960000}"/>
    <cellStyle name="Accent6 58 2 2" xfId="38493" xr:uid="{00000000-0005-0000-0000-000054960000}"/>
    <cellStyle name="Accent6 58 3" xfId="38494" xr:uid="{00000000-0005-0000-0000-000055960000}"/>
    <cellStyle name="Accent6 59" xfId="38495" xr:uid="{00000000-0005-0000-0000-000056960000}"/>
    <cellStyle name="Accent6 59 2" xfId="38496" xr:uid="{00000000-0005-0000-0000-000057960000}"/>
    <cellStyle name="Accent6 59 2 2" xfId="38497" xr:uid="{00000000-0005-0000-0000-000058960000}"/>
    <cellStyle name="Accent6 59 3" xfId="38498" xr:uid="{00000000-0005-0000-0000-000059960000}"/>
    <cellStyle name="Accent6 59 3 2" xfId="38499" xr:uid="{00000000-0005-0000-0000-00005A960000}"/>
    <cellStyle name="Accent6 59 4" xfId="38500" xr:uid="{00000000-0005-0000-0000-00005B960000}"/>
    <cellStyle name="Accent6 6" xfId="38501" xr:uid="{00000000-0005-0000-0000-00005C960000}"/>
    <cellStyle name="Accent6 6 2" xfId="38502" xr:uid="{00000000-0005-0000-0000-00005D960000}"/>
    <cellStyle name="Accent6 6 2 2" xfId="38503" xr:uid="{00000000-0005-0000-0000-00005E960000}"/>
    <cellStyle name="Accent6 6 3" xfId="38504" xr:uid="{00000000-0005-0000-0000-00005F960000}"/>
    <cellStyle name="Accent6 6 3 2" xfId="38505" xr:uid="{00000000-0005-0000-0000-000060960000}"/>
    <cellStyle name="Accent6 6 4" xfId="38506" xr:uid="{00000000-0005-0000-0000-000061960000}"/>
    <cellStyle name="Accent6 6 4 2" xfId="38507" xr:uid="{00000000-0005-0000-0000-000062960000}"/>
    <cellStyle name="Accent6 6 5" xfId="38508" xr:uid="{00000000-0005-0000-0000-000063960000}"/>
    <cellStyle name="Accent6 60" xfId="38509" xr:uid="{00000000-0005-0000-0000-000064960000}"/>
    <cellStyle name="Accent6 60 2" xfId="38510" xr:uid="{00000000-0005-0000-0000-000065960000}"/>
    <cellStyle name="Accent6 60 2 2" xfId="38511" xr:uid="{00000000-0005-0000-0000-000066960000}"/>
    <cellStyle name="Accent6 60 3" xfId="38512" xr:uid="{00000000-0005-0000-0000-000067960000}"/>
    <cellStyle name="Accent6 61" xfId="38513" xr:uid="{00000000-0005-0000-0000-000068960000}"/>
    <cellStyle name="Accent6 61 2" xfId="38514" xr:uid="{00000000-0005-0000-0000-000069960000}"/>
    <cellStyle name="Accent6 61 2 2" xfId="38515" xr:uid="{00000000-0005-0000-0000-00006A960000}"/>
    <cellStyle name="Accent6 61 3" xfId="38516" xr:uid="{00000000-0005-0000-0000-00006B960000}"/>
    <cellStyle name="Accent6 62" xfId="38517" xr:uid="{00000000-0005-0000-0000-00006C960000}"/>
    <cellStyle name="Accent6 62 2" xfId="38518" xr:uid="{00000000-0005-0000-0000-00006D960000}"/>
    <cellStyle name="Accent6 62 2 2" xfId="38519" xr:uid="{00000000-0005-0000-0000-00006E960000}"/>
    <cellStyle name="Accent6 62 3" xfId="38520" xr:uid="{00000000-0005-0000-0000-00006F960000}"/>
    <cellStyle name="Accent6 63" xfId="38521" xr:uid="{00000000-0005-0000-0000-000070960000}"/>
    <cellStyle name="Accent6 63 2" xfId="38522" xr:uid="{00000000-0005-0000-0000-000071960000}"/>
    <cellStyle name="Accent6 63 2 2" xfId="38523" xr:uid="{00000000-0005-0000-0000-000072960000}"/>
    <cellStyle name="Accent6 63 3" xfId="38524" xr:uid="{00000000-0005-0000-0000-000073960000}"/>
    <cellStyle name="Accent6 64" xfId="38525" xr:uid="{00000000-0005-0000-0000-000074960000}"/>
    <cellStyle name="Accent6 64 2" xfId="38526" xr:uid="{00000000-0005-0000-0000-000075960000}"/>
    <cellStyle name="Accent6 64 2 2" xfId="38527" xr:uid="{00000000-0005-0000-0000-000076960000}"/>
    <cellStyle name="Accent6 64 3" xfId="38528" xr:uid="{00000000-0005-0000-0000-000077960000}"/>
    <cellStyle name="Accent6 65" xfId="38529" xr:uid="{00000000-0005-0000-0000-000078960000}"/>
    <cellStyle name="Accent6 65 2" xfId="38530" xr:uid="{00000000-0005-0000-0000-000079960000}"/>
    <cellStyle name="Accent6 65 2 2" xfId="38531" xr:uid="{00000000-0005-0000-0000-00007A960000}"/>
    <cellStyle name="Accent6 65 3" xfId="38532" xr:uid="{00000000-0005-0000-0000-00007B960000}"/>
    <cellStyle name="Accent6 66" xfId="38533" xr:uid="{00000000-0005-0000-0000-00007C960000}"/>
    <cellStyle name="Accent6 66 2" xfId="38534" xr:uid="{00000000-0005-0000-0000-00007D960000}"/>
    <cellStyle name="Accent6 66 2 2" xfId="38535" xr:uid="{00000000-0005-0000-0000-00007E960000}"/>
    <cellStyle name="Accent6 66 3" xfId="38536" xr:uid="{00000000-0005-0000-0000-00007F960000}"/>
    <cellStyle name="Accent6 67" xfId="38537" xr:uid="{00000000-0005-0000-0000-000080960000}"/>
    <cellStyle name="Accent6 67 2" xfId="38538" xr:uid="{00000000-0005-0000-0000-000081960000}"/>
    <cellStyle name="Accent6 67 2 2" xfId="38539" xr:uid="{00000000-0005-0000-0000-000082960000}"/>
    <cellStyle name="Accent6 67 3" xfId="38540" xr:uid="{00000000-0005-0000-0000-000083960000}"/>
    <cellStyle name="Accent6 68" xfId="38541" xr:uid="{00000000-0005-0000-0000-000084960000}"/>
    <cellStyle name="Accent6 68 2" xfId="38542" xr:uid="{00000000-0005-0000-0000-000085960000}"/>
    <cellStyle name="Accent6 68 2 2" xfId="38543" xr:uid="{00000000-0005-0000-0000-000086960000}"/>
    <cellStyle name="Accent6 68 3" xfId="38544" xr:uid="{00000000-0005-0000-0000-000087960000}"/>
    <cellStyle name="Accent6 69" xfId="38545" xr:uid="{00000000-0005-0000-0000-000088960000}"/>
    <cellStyle name="Accent6 69 2" xfId="38546" xr:uid="{00000000-0005-0000-0000-000089960000}"/>
    <cellStyle name="Accent6 69 2 2" xfId="38547" xr:uid="{00000000-0005-0000-0000-00008A960000}"/>
    <cellStyle name="Accent6 69 3" xfId="38548" xr:uid="{00000000-0005-0000-0000-00008B960000}"/>
    <cellStyle name="Accent6 7" xfId="38549" xr:uid="{00000000-0005-0000-0000-00008C960000}"/>
    <cellStyle name="Accent6 7 2" xfId="38550" xr:uid="{00000000-0005-0000-0000-00008D960000}"/>
    <cellStyle name="Accent6 7 2 2" xfId="38551" xr:uid="{00000000-0005-0000-0000-00008E960000}"/>
    <cellStyle name="Accent6 7 3" xfId="38552" xr:uid="{00000000-0005-0000-0000-00008F960000}"/>
    <cellStyle name="Accent6 7 3 2" xfId="38553" xr:uid="{00000000-0005-0000-0000-000090960000}"/>
    <cellStyle name="Accent6 7 4" xfId="38554" xr:uid="{00000000-0005-0000-0000-000091960000}"/>
    <cellStyle name="Accent6 7 4 2" xfId="38555" xr:uid="{00000000-0005-0000-0000-000092960000}"/>
    <cellStyle name="Accent6 7 5" xfId="38556" xr:uid="{00000000-0005-0000-0000-000093960000}"/>
    <cellStyle name="Accent6 70" xfId="38557" xr:uid="{00000000-0005-0000-0000-000094960000}"/>
    <cellStyle name="Accent6 70 2" xfId="38558" xr:uid="{00000000-0005-0000-0000-000095960000}"/>
    <cellStyle name="Accent6 70 2 2" xfId="38559" xr:uid="{00000000-0005-0000-0000-000096960000}"/>
    <cellStyle name="Accent6 70 3" xfId="38560" xr:uid="{00000000-0005-0000-0000-000097960000}"/>
    <cellStyle name="Accent6 71" xfId="38561" xr:uid="{00000000-0005-0000-0000-000098960000}"/>
    <cellStyle name="Accent6 71 2" xfId="38562" xr:uid="{00000000-0005-0000-0000-000099960000}"/>
    <cellStyle name="Accent6 71 2 2" xfId="38563" xr:uid="{00000000-0005-0000-0000-00009A960000}"/>
    <cellStyle name="Accent6 71 3" xfId="38564" xr:uid="{00000000-0005-0000-0000-00009B960000}"/>
    <cellStyle name="Accent6 72" xfId="38565" xr:uid="{00000000-0005-0000-0000-00009C960000}"/>
    <cellStyle name="Accent6 72 2" xfId="38566" xr:uid="{00000000-0005-0000-0000-00009D960000}"/>
    <cellStyle name="Accent6 72 2 2" xfId="38567" xr:uid="{00000000-0005-0000-0000-00009E960000}"/>
    <cellStyle name="Accent6 72 3" xfId="38568" xr:uid="{00000000-0005-0000-0000-00009F960000}"/>
    <cellStyle name="Accent6 73" xfId="38569" xr:uid="{00000000-0005-0000-0000-0000A0960000}"/>
    <cellStyle name="Accent6 73 2" xfId="38570" xr:uid="{00000000-0005-0000-0000-0000A1960000}"/>
    <cellStyle name="Accent6 73 2 2" xfId="38571" xr:uid="{00000000-0005-0000-0000-0000A2960000}"/>
    <cellStyle name="Accent6 73 3" xfId="38572" xr:uid="{00000000-0005-0000-0000-0000A3960000}"/>
    <cellStyle name="Accent6 74" xfId="38573" xr:uid="{00000000-0005-0000-0000-0000A4960000}"/>
    <cellStyle name="Accent6 74 2" xfId="38574" xr:uid="{00000000-0005-0000-0000-0000A5960000}"/>
    <cellStyle name="Accent6 74 2 2" xfId="38575" xr:uid="{00000000-0005-0000-0000-0000A6960000}"/>
    <cellStyle name="Accent6 74 3" xfId="38576" xr:uid="{00000000-0005-0000-0000-0000A7960000}"/>
    <cellStyle name="Accent6 75" xfId="38577" xr:uid="{00000000-0005-0000-0000-0000A8960000}"/>
    <cellStyle name="Accent6 75 2" xfId="38578" xr:uid="{00000000-0005-0000-0000-0000A9960000}"/>
    <cellStyle name="Accent6 75 2 2" xfId="38579" xr:uid="{00000000-0005-0000-0000-0000AA960000}"/>
    <cellStyle name="Accent6 75 3" xfId="38580" xr:uid="{00000000-0005-0000-0000-0000AB960000}"/>
    <cellStyle name="Accent6 76" xfId="38581" xr:uid="{00000000-0005-0000-0000-0000AC960000}"/>
    <cellStyle name="Accent6 76 2" xfId="38582" xr:uid="{00000000-0005-0000-0000-0000AD960000}"/>
    <cellStyle name="Accent6 76 2 2" xfId="38583" xr:uid="{00000000-0005-0000-0000-0000AE960000}"/>
    <cellStyle name="Accent6 76 3" xfId="38584" xr:uid="{00000000-0005-0000-0000-0000AF960000}"/>
    <cellStyle name="Accent6 77" xfId="38585" xr:uid="{00000000-0005-0000-0000-0000B0960000}"/>
    <cellStyle name="Accent6 77 2" xfId="38586" xr:uid="{00000000-0005-0000-0000-0000B1960000}"/>
    <cellStyle name="Accent6 77 2 2" xfId="38587" xr:uid="{00000000-0005-0000-0000-0000B2960000}"/>
    <cellStyle name="Accent6 77 3" xfId="38588" xr:uid="{00000000-0005-0000-0000-0000B3960000}"/>
    <cellStyle name="Accent6 78" xfId="38589" xr:uid="{00000000-0005-0000-0000-0000B4960000}"/>
    <cellStyle name="Accent6 78 2" xfId="38590" xr:uid="{00000000-0005-0000-0000-0000B5960000}"/>
    <cellStyle name="Accent6 78 2 2" xfId="38591" xr:uid="{00000000-0005-0000-0000-0000B6960000}"/>
    <cellStyle name="Accent6 78 3" xfId="38592" xr:uid="{00000000-0005-0000-0000-0000B7960000}"/>
    <cellStyle name="Accent6 79" xfId="38593" xr:uid="{00000000-0005-0000-0000-0000B8960000}"/>
    <cellStyle name="Accent6 79 2" xfId="38594" xr:uid="{00000000-0005-0000-0000-0000B9960000}"/>
    <cellStyle name="Accent6 79 2 2" xfId="38595" xr:uid="{00000000-0005-0000-0000-0000BA960000}"/>
    <cellStyle name="Accent6 79 3" xfId="38596" xr:uid="{00000000-0005-0000-0000-0000BB960000}"/>
    <cellStyle name="Accent6 8" xfId="38597" xr:uid="{00000000-0005-0000-0000-0000BC960000}"/>
    <cellStyle name="Accent6 8 2" xfId="38598" xr:uid="{00000000-0005-0000-0000-0000BD960000}"/>
    <cellStyle name="Accent6 8 2 2" xfId="38599" xr:uid="{00000000-0005-0000-0000-0000BE960000}"/>
    <cellStyle name="Accent6 8 3" xfId="38600" xr:uid="{00000000-0005-0000-0000-0000BF960000}"/>
    <cellStyle name="Accent6 8 3 2" xfId="38601" xr:uid="{00000000-0005-0000-0000-0000C0960000}"/>
    <cellStyle name="Accent6 8 4" xfId="38602" xr:uid="{00000000-0005-0000-0000-0000C1960000}"/>
    <cellStyle name="Accent6 8 4 2" xfId="38603" xr:uid="{00000000-0005-0000-0000-0000C2960000}"/>
    <cellStyle name="Accent6 8 5" xfId="38604" xr:uid="{00000000-0005-0000-0000-0000C3960000}"/>
    <cellStyle name="Accent6 80" xfId="38605" xr:uid="{00000000-0005-0000-0000-0000C4960000}"/>
    <cellStyle name="Accent6 80 2" xfId="38606" xr:uid="{00000000-0005-0000-0000-0000C5960000}"/>
    <cellStyle name="Accent6 80 2 2" xfId="38607" xr:uid="{00000000-0005-0000-0000-0000C6960000}"/>
    <cellStyle name="Accent6 80 3" xfId="38608" xr:uid="{00000000-0005-0000-0000-0000C7960000}"/>
    <cellStyle name="Accent6 81" xfId="38609" xr:uid="{00000000-0005-0000-0000-0000C8960000}"/>
    <cellStyle name="Accent6 81 2" xfId="38610" xr:uid="{00000000-0005-0000-0000-0000C9960000}"/>
    <cellStyle name="Accent6 81 2 2" xfId="38611" xr:uid="{00000000-0005-0000-0000-0000CA960000}"/>
    <cellStyle name="Accent6 81 3" xfId="38612" xr:uid="{00000000-0005-0000-0000-0000CB960000}"/>
    <cellStyle name="Accent6 82" xfId="38613" xr:uid="{00000000-0005-0000-0000-0000CC960000}"/>
    <cellStyle name="Accent6 82 2" xfId="38614" xr:uid="{00000000-0005-0000-0000-0000CD960000}"/>
    <cellStyle name="Accent6 82 2 2" xfId="38615" xr:uid="{00000000-0005-0000-0000-0000CE960000}"/>
    <cellStyle name="Accent6 82 3" xfId="38616" xr:uid="{00000000-0005-0000-0000-0000CF960000}"/>
    <cellStyle name="Accent6 83" xfId="38617" xr:uid="{00000000-0005-0000-0000-0000D0960000}"/>
    <cellStyle name="Accent6 83 2" xfId="38618" xr:uid="{00000000-0005-0000-0000-0000D1960000}"/>
    <cellStyle name="Accent6 83 2 2" xfId="38619" xr:uid="{00000000-0005-0000-0000-0000D2960000}"/>
    <cellStyle name="Accent6 83 3" xfId="38620" xr:uid="{00000000-0005-0000-0000-0000D3960000}"/>
    <cellStyle name="Accent6 84" xfId="38621" xr:uid="{00000000-0005-0000-0000-0000D4960000}"/>
    <cellStyle name="Accent6 84 2" xfId="38622" xr:uid="{00000000-0005-0000-0000-0000D5960000}"/>
    <cellStyle name="Accent6 84 2 2" xfId="38623" xr:uid="{00000000-0005-0000-0000-0000D6960000}"/>
    <cellStyle name="Accent6 84 3" xfId="38624" xr:uid="{00000000-0005-0000-0000-0000D7960000}"/>
    <cellStyle name="Accent6 85" xfId="38625" xr:uid="{00000000-0005-0000-0000-0000D8960000}"/>
    <cellStyle name="Accent6 85 2" xfId="38626" xr:uid="{00000000-0005-0000-0000-0000D9960000}"/>
    <cellStyle name="Accent6 85 2 2" xfId="38627" xr:uid="{00000000-0005-0000-0000-0000DA960000}"/>
    <cellStyle name="Accent6 85 3" xfId="38628" xr:uid="{00000000-0005-0000-0000-0000DB960000}"/>
    <cellStyle name="Accent6 86" xfId="38629" xr:uid="{00000000-0005-0000-0000-0000DC960000}"/>
    <cellStyle name="Accent6 86 2" xfId="38630" xr:uid="{00000000-0005-0000-0000-0000DD960000}"/>
    <cellStyle name="Accent6 86 2 2" xfId="38631" xr:uid="{00000000-0005-0000-0000-0000DE960000}"/>
    <cellStyle name="Accent6 86 3" xfId="38632" xr:uid="{00000000-0005-0000-0000-0000DF960000}"/>
    <cellStyle name="Accent6 87" xfId="38633" xr:uid="{00000000-0005-0000-0000-0000E0960000}"/>
    <cellStyle name="Accent6 87 2" xfId="38634" xr:uid="{00000000-0005-0000-0000-0000E1960000}"/>
    <cellStyle name="Accent6 87 2 2" xfId="38635" xr:uid="{00000000-0005-0000-0000-0000E2960000}"/>
    <cellStyle name="Accent6 87 3" xfId="38636" xr:uid="{00000000-0005-0000-0000-0000E3960000}"/>
    <cellStyle name="Accent6 88" xfId="38637" xr:uid="{00000000-0005-0000-0000-0000E4960000}"/>
    <cellStyle name="Accent6 88 2" xfId="38638" xr:uid="{00000000-0005-0000-0000-0000E5960000}"/>
    <cellStyle name="Accent6 88 2 2" xfId="38639" xr:uid="{00000000-0005-0000-0000-0000E6960000}"/>
    <cellStyle name="Accent6 88 3" xfId="38640" xr:uid="{00000000-0005-0000-0000-0000E7960000}"/>
    <cellStyle name="Accent6 89" xfId="38641" xr:uid="{00000000-0005-0000-0000-0000E8960000}"/>
    <cellStyle name="Accent6 89 2" xfId="38642" xr:uid="{00000000-0005-0000-0000-0000E9960000}"/>
    <cellStyle name="Accent6 89 2 2" xfId="38643" xr:uid="{00000000-0005-0000-0000-0000EA960000}"/>
    <cellStyle name="Accent6 89 3" xfId="38644" xr:uid="{00000000-0005-0000-0000-0000EB960000}"/>
    <cellStyle name="Accent6 9" xfId="38645" xr:uid="{00000000-0005-0000-0000-0000EC960000}"/>
    <cellStyle name="Accent6 9 2" xfId="38646" xr:uid="{00000000-0005-0000-0000-0000ED960000}"/>
    <cellStyle name="Accent6 9 2 2" xfId="38647" xr:uid="{00000000-0005-0000-0000-0000EE960000}"/>
    <cellStyle name="Accent6 9 3" xfId="38648" xr:uid="{00000000-0005-0000-0000-0000EF960000}"/>
    <cellStyle name="Accent6 9 3 2" xfId="38649" xr:uid="{00000000-0005-0000-0000-0000F0960000}"/>
    <cellStyle name="Accent6 9 4" xfId="38650" xr:uid="{00000000-0005-0000-0000-0000F1960000}"/>
    <cellStyle name="Accent6 9 4 2" xfId="38651" xr:uid="{00000000-0005-0000-0000-0000F2960000}"/>
    <cellStyle name="Accent6 9 5" xfId="38652" xr:uid="{00000000-0005-0000-0000-0000F3960000}"/>
    <cellStyle name="Accent6 90" xfId="38653" xr:uid="{00000000-0005-0000-0000-0000F4960000}"/>
    <cellStyle name="Accent6 90 2" xfId="38654" xr:uid="{00000000-0005-0000-0000-0000F5960000}"/>
    <cellStyle name="Accent6 90 2 2" xfId="38655" xr:uid="{00000000-0005-0000-0000-0000F6960000}"/>
    <cellStyle name="Accent6 90 3" xfId="38656" xr:uid="{00000000-0005-0000-0000-0000F7960000}"/>
    <cellStyle name="Accent6 91" xfId="38657" xr:uid="{00000000-0005-0000-0000-0000F8960000}"/>
    <cellStyle name="Accent6 91 2" xfId="38658" xr:uid="{00000000-0005-0000-0000-0000F9960000}"/>
    <cellStyle name="Accent6 91 2 2" xfId="38659" xr:uid="{00000000-0005-0000-0000-0000FA960000}"/>
    <cellStyle name="Accent6 91 3" xfId="38660" xr:uid="{00000000-0005-0000-0000-0000FB960000}"/>
    <cellStyle name="Accent6 92" xfId="38661" xr:uid="{00000000-0005-0000-0000-0000FC960000}"/>
    <cellStyle name="Accent6 92 2" xfId="38662" xr:uid="{00000000-0005-0000-0000-0000FD960000}"/>
    <cellStyle name="Accent6 92 2 2" xfId="38663" xr:uid="{00000000-0005-0000-0000-0000FE960000}"/>
    <cellStyle name="Accent6 92 3" xfId="38664" xr:uid="{00000000-0005-0000-0000-0000FF960000}"/>
    <cellStyle name="Accent6 93" xfId="38665" xr:uid="{00000000-0005-0000-0000-000000970000}"/>
    <cellStyle name="Accent6 93 2" xfId="38666" xr:uid="{00000000-0005-0000-0000-000001970000}"/>
    <cellStyle name="Accent6 93 2 2" xfId="38667" xr:uid="{00000000-0005-0000-0000-000002970000}"/>
    <cellStyle name="Accent6 93 3" xfId="38668" xr:uid="{00000000-0005-0000-0000-000003970000}"/>
    <cellStyle name="Accent6 94" xfId="38669" xr:uid="{00000000-0005-0000-0000-000004970000}"/>
    <cellStyle name="Accent6 94 2" xfId="38670" xr:uid="{00000000-0005-0000-0000-000005970000}"/>
    <cellStyle name="Accent6 94 2 2" xfId="38671" xr:uid="{00000000-0005-0000-0000-000006970000}"/>
    <cellStyle name="Accent6 94 3" xfId="38672" xr:uid="{00000000-0005-0000-0000-000007970000}"/>
    <cellStyle name="Accent6 95" xfId="38673" xr:uid="{00000000-0005-0000-0000-000008970000}"/>
    <cellStyle name="Accent6 95 2" xfId="38674" xr:uid="{00000000-0005-0000-0000-000009970000}"/>
    <cellStyle name="Accent6 95 2 2" xfId="38675" xr:uid="{00000000-0005-0000-0000-00000A970000}"/>
    <cellStyle name="Accent6 95 3" xfId="38676" xr:uid="{00000000-0005-0000-0000-00000B970000}"/>
    <cellStyle name="Accent6 96" xfId="38677" xr:uid="{00000000-0005-0000-0000-00000C970000}"/>
    <cellStyle name="Accent6 96 2" xfId="38678" xr:uid="{00000000-0005-0000-0000-00000D970000}"/>
    <cellStyle name="Accent6 96 2 2" xfId="38679" xr:uid="{00000000-0005-0000-0000-00000E970000}"/>
    <cellStyle name="Accent6 96 3" xfId="38680" xr:uid="{00000000-0005-0000-0000-00000F970000}"/>
    <cellStyle name="Accent6 97" xfId="38681" xr:uid="{00000000-0005-0000-0000-000010970000}"/>
    <cellStyle name="Accent6 97 2" xfId="38682" xr:uid="{00000000-0005-0000-0000-000011970000}"/>
    <cellStyle name="Accent6 97 2 2" xfId="38683" xr:uid="{00000000-0005-0000-0000-000012970000}"/>
    <cellStyle name="Accent6 97 3" xfId="38684" xr:uid="{00000000-0005-0000-0000-000013970000}"/>
    <cellStyle name="Accent6 98" xfId="38685" xr:uid="{00000000-0005-0000-0000-000014970000}"/>
    <cellStyle name="Accent6 98 2" xfId="38686" xr:uid="{00000000-0005-0000-0000-000015970000}"/>
    <cellStyle name="Accent6 98 2 2" xfId="38687" xr:uid="{00000000-0005-0000-0000-000016970000}"/>
    <cellStyle name="Accent6 98 3" xfId="38688" xr:uid="{00000000-0005-0000-0000-000017970000}"/>
    <cellStyle name="Accent6 99" xfId="38689" xr:uid="{00000000-0005-0000-0000-000018970000}"/>
    <cellStyle name="Accent6 99 2" xfId="38690" xr:uid="{00000000-0005-0000-0000-000019970000}"/>
    <cellStyle name="Accent6 99 2 2" xfId="38691" xr:uid="{00000000-0005-0000-0000-00001A970000}"/>
    <cellStyle name="Accent6 99 3" xfId="38692" xr:uid="{00000000-0005-0000-0000-00001B970000}"/>
    <cellStyle name="acct" xfId="38693" xr:uid="{00000000-0005-0000-0000-00001C970000}"/>
    <cellStyle name="acct 2" xfId="38694" xr:uid="{00000000-0005-0000-0000-00001D970000}"/>
    <cellStyle name="adj" xfId="38695" xr:uid="{00000000-0005-0000-0000-00001E970000}"/>
    <cellStyle name="Adjusted" xfId="38696" xr:uid="{00000000-0005-0000-0000-00001F970000}"/>
    <cellStyle name="Adjusted &quot; X&quot;" xfId="38697" xr:uid="{00000000-0005-0000-0000-000020970000}"/>
    <cellStyle name="Adjusted &quot; X&quot; 2" xfId="38698" xr:uid="{00000000-0005-0000-0000-000021970000}"/>
    <cellStyle name="Adjusted &quot; X&quot; 2 2" xfId="38699" xr:uid="{00000000-0005-0000-0000-000022970000}"/>
    <cellStyle name="Adjusted &quot; X&quot; 3" xfId="38700" xr:uid="{00000000-0005-0000-0000-000023970000}"/>
    <cellStyle name="Adjusted for X" xfId="38701" xr:uid="{00000000-0005-0000-0000-000024970000}"/>
    <cellStyle name="adjusted_accretion.temp" xfId="38702" xr:uid="{00000000-0005-0000-0000-000025970000}"/>
    <cellStyle name="AeE­ [0]_?A°??µAoC?" xfId="38703" xr:uid="{00000000-0005-0000-0000-000026970000}"/>
    <cellStyle name="AeE­_?A°??µAoC?" xfId="38704" xr:uid="{00000000-0005-0000-0000-000027970000}"/>
    <cellStyle name="AFE" xfId="38705" xr:uid="{00000000-0005-0000-0000-000028970000}"/>
    <cellStyle name="AFE 2" xfId="38706" xr:uid="{00000000-0005-0000-0000-000029970000}"/>
    <cellStyle name="AFE 2 2" xfId="38707" xr:uid="{00000000-0005-0000-0000-00002A970000}"/>
    <cellStyle name="AFE 3" xfId="38708" xr:uid="{00000000-0005-0000-0000-00002B970000}"/>
    <cellStyle name="Afjusted" xfId="38709" xr:uid="{00000000-0005-0000-0000-00002C970000}"/>
    <cellStyle name="ah" xfId="38710" xr:uid="{00000000-0005-0000-0000-00002D970000}"/>
    <cellStyle name="ah 2" xfId="38711" xr:uid="{00000000-0005-0000-0000-00002E970000}"/>
    <cellStyle name="ah 2 2" xfId="38712" xr:uid="{00000000-0005-0000-0000-00002F970000}"/>
    <cellStyle name="ah 3" xfId="38713" xr:uid="{00000000-0005-0000-0000-000030970000}"/>
    <cellStyle name="Aign" xfId="38714" xr:uid="{00000000-0005-0000-0000-000031970000}"/>
    <cellStyle name="alex" xfId="38715" xr:uid="{00000000-0005-0000-0000-000032970000}"/>
    <cellStyle name="align" xfId="38716" xr:uid="{00000000-0005-0000-0000-000033970000}"/>
    <cellStyle name="AMBEV" xfId="38717" xr:uid="{00000000-0005-0000-0000-000034970000}"/>
    <cellStyle name="AMBEV 2" xfId="38718" xr:uid="{00000000-0005-0000-0000-000035970000}"/>
    <cellStyle name="AMBEV 2 2" xfId="38719" xr:uid="{00000000-0005-0000-0000-000036970000}"/>
    <cellStyle name="AMBEV 2 2 2" xfId="38720" xr:uid="{00000000-0005-0000-0000-000037970000}"/>
    <cellStyle name="AMBEV 2 3" xfId="38721" xr:uid="{00000000-0005-0000-0000-000038970000}"/>
    <cellStyle name="AMBEV 2 3 2" xfId="38722" xr:uid="{00000000-0005-0000-0000-000039970000}"/>
    <cellStyle name="AMBEV 2 3 3" xfId="38723" xr:uid="{00000000-0005-0000-0000-00003A970000}"/>
    <cellStyle name="AMBEV 2 4" xfId="38724" xr:uid="{00000000-0005-0000-0000-00003B970000}"/>
    <cellStyle name="AMBEV 2 5" xfId="38725" xr:uid="{00000000-0005-0000-0000-00003C970000}"/>
    <cellStyle name="AMBEV 3" xfId="38726" xr:uid="{00000000-0005-0000-0000-00003D970000}"/>
    <cellStyle name="AMBEV 3 2" xfId="38727" xr:uid="{00000000-0005-0000-0000-00003E970000}"/>
    <cellStyle name="AMBEV 3 2 2" xfId="38728" xr:uid="{00000000-0005-0000-0000-00003F970000}"/>
    <cellStyle name="AMBEV 3 3" xfId="38729" xr:uid="{00000000-0005-0000-0000-000040970000}"/>
    <cellStyle name="AMBEV 3 3 2" xfId="38730" xr:uid="{00000000-0005-0000-0000-000041970000}"/>
    <cellStyle name="AMBEV 3 3 3" xfId="38731" xr:uid="{00000000-0005-0000-0000-000042970000}"/>
    <cellStyle name="AMBEV 3 4" xfId="38732" xr:uid="{00000000-0005-0000-0000-000043970000}"/>
    <cellStyle name="AMBEV 3 5" xfId="38733" xr:uid="{00000000-0005-0000-0000-000044970000}"/>
    <cellStyle name="AMBEV 4" xfId="38734" xr:uid="{00000000-0005-0000-0000-000045970000}"/>
    <cellStyle name="AMBEV 4 2" xfId="38735" xr:uid="{00000000-0005-0000-0000-000046970000}"/>
    <cellStyle name="AMBEV 4 3" xfId="38736" xr:uid="{00000000-0005-0000-0000-000047970000}"/>
    <cellStyle name="AMBEV 5" xfId="38737" xr:uid="{00000000-0005-0000-0000-000048970000}"/>
    <cellStyle name="AMBEV 6" xfId="38738" xr:uid="{00000000-0005-0000-0000-000049970000}"/>
    <cellStyle name="args.style" xfId="38739" xr:uid="{00000000-0005-0000-0000-00004A970000}"/>
    <cellStyle name="args.style 2" xfId="38740" xr:uid="{00000000-0005-0000-0000-00004B970000}"/>
    <cellStyle name="args.style 2 2" xfId="38741" xr:uid="{00000000-0005-0000-0000-00004C970000}"/>
    <cellStyle name="args.style 3" xfId="38742" xr:uid="{00000000-0005-0000-0000-00004D970000}"/>
    <cellStyle name="Arial 10" xfId="38743" xr:uid="{00000000-0005-0000-0000-00004E970000}"/>
    <cellStyle name="Arial 10 2" xfId="38744" xr:uid="{00000000-0005-0000-0000-00004F970000}"/>
    <cellStyle name="Arial 10 2 2" xfId="38745" xr:uid="{00000000-0005-0000-0000-000050970000}"/>
    <cellStyle name="Arial 10 3" xfId="38746" xr:uid="{00000000-0005-0000-0000-000051970000}"/>
    <cellStyle name="Arial 12" xfId="38747" xr:uid="{00000000-0005-0000-0000-000052970000}"/>
    <cellStyle name="Arial 12 2" xfId="38748" xr:uid="{00000000-0005-0000-0000-000053970000}"/>
    <cellStyle name="Arial 12 2 2" xfId="38749" xr:uid="{00000000-0005-0000-0000-000054970000}"/>
    <cellStyle name="Arial 12 2 2 2" xfId="38750" xr:uid="{00000000-0005-0000-0000-000055970000}"/>
    <cellStyle name="Arial 12 2 3" xfId="38751" xr:uid="{00000000-0005-0000-0000-000056970000}"/>
    <cellStyle name="Arial 12 3" xfId="38752" xr:uid="{00000000-0005-0000-0000-000057970000}"/>
    <cellStyle name="Arial 12 3 2" xfId="38753" xr:uid="{00000000-0005-0000-0000-000058970000}"/>
    <cellStyle name="Arial 12 4" xfId="38754" xr:uid="{00000000-0005-0000-0000-000059970000}"/>
    <cellStyle name="Array" xfId="38755" xr:uid="{00000000-0005-0000-0000-00005A970000}"/>
    <cellStyle name="Array 2" xfId="38756" xr:uid="{00000000-0005-0000-0000-00005B970000}"/>
    <cellStyle name="Array 2 2" xfId="38757" xr:uid="{00000000-0005-0000-0000-00005C970000}"/>
    <cellStyle name="Array 3" xfId="38758" xr:uid="{00000000-0005-0000-0000-00005D970000}"/>
    <cellStyle name="Array Enter" xfId="38759" xr:uid="{00000000-0005-0000-0000-00005E970000}"/>
    <cellStyle name="Array Enter 2" xfId="38760" xr:uid="{00000000-0005-0000-0000-00005F970000}"/>
    <cellStyle name="Array Enter 2 2" xfId="38761" xr:uid="{00000000-0005-0000-0000-000060970000}"/>
    <cellStyle name="Array Enter 3" xfId="38762" xr:uid="{00000000-0005-0000-0000-000061970000}"/>
    <cellStyle name="Assumptions" xfId="38763" xr:uid="{00000000-0005-0000-0000-000062970000}"/>
    <cellStyle name="Assumptions 2" xfId="38764" xr:uid="{00000000-0005-0000-0000-000063970000}"/>
    <cellStyle name="AST_REP.XLS]S_SQL_Parse" xfId="38765" xr:uid="{00000000-0005-0000-0000-000064970000}"/>
    <cellStyle name="AÞ¸¶ [0]_laroux" xfId="38766" xr:uid="{00000000-0005-0000-0000-000065970000}"/>
    <cellStyle name="AÞ¸¶_laroux" xfId="38767" xr:uid="{00000000-0005-0000-0000-000066970000}"/>
    <cellStyle name="Austral." xfId="38768" xr:uid="{00000000-0005-0000-0000-000067970000}"/>
    <cellStyle name="AutoFormat Options" xfId="38769" xr:uid="{00000000-0005-0000-0000-000068970000}"/>
    <cellStyle name="AutoFormat Options 2" xfId="38770" xr:uid="{00000000-0005-0000-0000-000069970000}"/>
    <cellStyle name="AutoFormat Options 2 2" xfId="38771" xr:uid="{00000000-0005-0000-0000-00006A970000}"/>
    <cellStyle name="AutoFormat Options 3" xfId="38772" xr:uid="{00000000-0005-0000-0000-00006B970000}"/>
    <cellStyle name="Avertissement" xfId="38773" xr:uid="{00000000-0005-0000-0000-00006C970000}"/>
    <cellStyle name="Avertissement 2" xfId="38774" xr:uid="{00000000-0005-0000-0000-00006D970000}"/>
    <cellStyle name="Avertissement 2 2" xfId="38775" xr:uid="{00000000-0005-0000-0000-00006E970000}"/>
    <cellStyle name="Avertissement 3" xfId="38776" xr:uid="{00000000-0005-0000-0000-00006F970000}"/>
    <cellStyle name="b" xfId="38777" xr:uid="{00000000-0005-0000-0000-000070970000}"/>
    <cellStyle name="b_Operational model_inc_WACC" xfId="38778" xr:uid="{00000000-0005-0000-0000-000071970000}"/>
    <cellStyle name="b_Sara Lee Europe (US model)" xfId="38779" xr:uid="{00000000-0005-0000-0000-000072970000}"/>
    <cellStyle name="Bad 10" xfId="38780" xr:uid="{00000000-0005-0000-0000-000073970000}"/>
    <cellStyle name="Bad 10 2" xfId="38781" xr:uid="{00000000-0005-0000-0000-000074970000}"/>
    <cellStyle name="Bad 10 2 2" xfId="38782" xr:uid="{00000000-0005-0000-0000-000075970000}"/>
    <cellStyle name="Bad 10 3" xfId="38783" xr:uid="{00000000-0005-0000-0000-000076970000}"/>
    <cellStyle name="Bad 100" xfId="38784" xr:uid="{00000000-0005-0000-0000-000077970000}"/>
    <cellStyle name="Bad 100 2" xfId="38785" xr:uid="{00000000-0005-0000-0000-000078970000}"/>
    <cellStyle name="Bad 100 2 2" xfId="38786" xr:uid="{00000000-0005-0000-0000-000079970000}"/>
    <cellStyle name="Bad 100 3" xfId="38787" xr:uid="{00000000-0005-0000-0000-00007A970000}"/>
    <cellStyle name="Bad 101" xfId="38788" xr:uid="{00000000-0005-0000-0000-00007B970000}"/>
    <cellStyle name="Bad 101 2" xfId="38789" xr:uid="{00000000-0005-0000-0000-00007C970000}"/>
    <cellStyle name="Bad 101 2 2" xfId="38790" xr:uid="{00000000-0005-0000-0000-00007D970000}"/>
    <cellStyle name="Bad 101 3" xfId="38791" xr:uid="{00000000-0005-0000-0000-00007E970000}"/>
    <cellStyle name="Bad 102" xfId="38792" xr:uid="{00000000-0005-0000-0000-00007F970000}"/>
    <cellStyle name="Bad 102 2" xfId="38793" xr:uid="{00000000-0005-0000-0000-000080970000}"/>
    <cellStyle name="Bad 102 2 2" xfId="38794" xr:uid="{00000000-0005-0000-0000-000081970000}"/>
    <cellStyle name="Bad 102 3" xfId="38795" xr:uid="{00000000-0005-0000-0000-000082970000}"/>
    <cellStyle name="Bad 103" xfId="38796" xr:uid="{00000000-0005-0000-0000-000083970000}"/>
    <cellStyle name="Bad 103 2" xfId="38797" xr:uid="{00000000-0005-0000-0000-000084970000}"/>
    <cellStyle name="Bad 103 2 2" xfId="38798" xr:uid="{00000000-0005-0000-0000-000085970000}"/>
    <cellStyle name="Bad 103 3" xfId="38799" xr:uid="{00000000-0005-0000-0000-000086970000}"/>
    <cellStyle name="Bad 104" xfId="38800" xr:uid="{00000000-0005-0000-0000-000087970000}"/>
    <cellStyle name="Bad 104 2" xfId="38801" xr:uid="{00000000-0005-0000-0000-000088970000}"/>
    <cellStyle name="Bad 104 2 2" xfId="38802" xr:uid="{00000000-0005-0000-0000-000089970000}"/>
    <cellStyle name="Bad 104 3" xfId="38803" xr:uid="{00000000-0005-0000-0000-00008A970000}"/>
    <cellStyle name="Bad 105" xfId="38804" xr:uid="{00000000-0005-0000-0000-00008B970000}"/>
    <cellStyle name="Bad 105 2" xfId="38805" xr:uid="{00000000-0005-0000-0000-00008C970000}"/>
    <cellStyle name="Bad 105 2 2" xfId="38806" xr:uid="{00000000-0005-0000-0000-00008D970000}"/>
    <cellStyle name="Bad 105 3" xfId="38807" xr:uid="{00000000-0005-0000-0000-00008E970000}"/>
    <cellStyle name="Bad 106" xfId="38808" xr:uid="{00000000-0005-0000-0000-00008F970000}"/>
    <cellStyle name="Bad 106 2" xfId="38809" xr:uid="{00000000-0005-0000-0000-000090970000}"/>
    <cellStyle name="Bad 106 2 2" xfId="38810" xr:uid="{00000000-0005-0000-0000-000091970000}"/>
    <cellStyle name="Bad 106 3" xfId="38811" xr:uid="{00000000-0005-0000-0000-000092970000}"/>
    <cellStyle name="Bad 107" xfId="38812" xr:uid="{00000000-0005-0000-0000-000093970000}"/>
    <cellStyle name="Bad 107 2" xfId="38813" xr:uid="{00000000-0005-0000-0000-000094970000}"/>
    <cellStyle name="Bad 107 2 2" xfId="38814" xr:uid="{00000000-0005-0000-0000-000095970000}"/>
    <cellStyle name="Bad 107 3" xfId="38815" xr:uid="{00000000-0005-0000-0000-000096970000}"/>
    <cellStyle name="Bad 108" xfId="38816" xr:uid="{00000000-0005-0000-0000-000097970000}"/>
    <cellStyle name="Bad 108 2" xfId="38817" xr:uid="{00000000-0005-0000-0000-000098970000}"/>
    <cellStyle name="Bad 108 2 2" xfId="38818" xr:uid="{00000000-0005-0000-0000-000099970000}"/>
    <cellStyle name="Bad 108 3" xfId="38819" xr:uid="{00000000-0005-0000-0000-00009A970000}"/>
    <cellStyle name="Bad 109" xfId="38820" xr:uid="{00000000-0005-0000-0000-00009B970000}"/>
    <cellStyle name="Bad 109 2" xfId="38821" xr:uid="{00000000-0005-0000-0000-00009C970000}"/>
    <cellStyle name="Bad 109 2 2" xfId="38822" xr:uid="{00000000-0005-0000-0000-00009D970000}"/>
    <cellStyle name="Bad 109 3" xfId="38823" xr:uid="{00000000-0005-0000-0000-00009E970000}"/>
    <cellStyle name="Bad 11" xfId="38824" xr:uid="{00000000-0005-0000-0000-00009F970000}"/>
    <cellStyle name="Bad 11 2" xfId="38825" xr:uid="{00000000-0005-0000-0000-0000A0970000}"/>
    <cellStyle name="Bad 11 2 2" xfId="38826" xr:uid="{00000000-0005-0000-0000-0000A1970000}"/>
    <cellStyle name="Bad 11 3" xfId="38827" xr:uid="{00000000-0005-0000-0000-0000A2970000}"/>
    <cellStyle name="Bad 110" xfId="38828" xr:uid="{00000000-0005-0000-0000-0000A3970000}"/>
    <cellStyle name="Bad 110 2" xfId="38829" xr:uid="{00000000-0005-0000-0000-0000A4970000}"/>
    <cellStyle name="Bad 110 2 2" xfId="38830" xr:uid="{00000000-0005-0000-0000-0000A5970000}"/>
    <cellStyle name="Bad 110 3" xfId="38831" xr:uid="{00000000-0005-0000-0000-0000A6970000}"/>
    <cellStyle name="Bad 111" xfId="38832" xr:uid="{00000000-0005-0000-0000-0000A7970000}"/>
    <cellStyle name="Bad 111 2" xfId="38833" xr:uid="{00000000-0005-0000-0000-0000A8970000}"/>
    <cellStyle name="Bad 111 2 2" xfId="38834" xr:uid="{00000000-0005-0000-0000-0000A9970000}"/>
    <cellStyle name="Bad 111 3" xfId="38835" xr:uid="{00000000-0005-0000-0000-0000AA970000}"/>
    <cellStyle name="Bad 112" xfId="38836" xr:uid="{00000000-0005-0000-0000-0000AB970000}"/>
    <cellStyle name="Bad 112 2" xfId="38837" xr:uid="{00000000-0005-0000-0000-0000AC970000}"/>
    <cellStyle name="Bad 112 2 2" xfId="38838" xr:uid="{00000000-0005-0000-0000-0000AD970000}"/>
    <cellStyle name="Bad 112 3" xfId="38839" xr:uid="{00000000-0005-0000-0000-0000AE970000}"/>
    <cellStyle name="Bad 113" xfId="38840" xr:uid="{00000000-0005-0000-0000-0000AF970000}"/>
    <cellStyle name="Bad 113 2" xfId="38841" xr:uid="{00000000-0005-0000-0000-0000B0970000}"/>
    <cellStyle name="Bad 113 2 2" xfId="38842" xr:uid="{00000000-0005-0000-0000-0000B1970000}"/>
    <cellStyle name="Bad 113 3" xfId="38843" xr:uid="{00000000-0005-0000-0000-0000B2970000}"/>
    <cellStyle name="Bad 114" xfId="38844" xr:uid="{00000000-0005-0000-0000-0000B3970000}"/>
    <cellStyle name="Bad 114 2" xfId="38845" xr:uid="{00000000-0005-0000-0000-0000B4970000}"/>
    <cellStyle name="Bad 114 2 2" xfId="38846" xr:uid="{00000000-0005-0000-0000-0000B5970000}"/>
    <cellStyle name="Bad 114 3" xfId="38847" xr:uid="{00000000-0005-0000-0000-0000B6970000}"/>
    <cellStyle name="Bad 115" xfId="38848" xr:uid="{00000000-0005-0000-0000-0000B7970000}"/>
    <cellStyle name="Bad 115 2" xfId="38849" xr:uid="{00000000-0005-0000-0000-0000B8970000}"/>
    <cellStyle name="Bad 115 2 2" xfId="38850" xr:uid="{00000000-0005-0000-0000-0000B9970000}"/>
    <cellStyle name="Bad 115 3" xfId="38851" xr:uid="{00000000-0005-0000-0000-0000BA970000}"/>
    <cellStyle name="Bad 116" xfId="38852" xr:uid="{00000000-0005-0000-0000-0000BB970000}"/>
    <cellStyle name="Bad 116 2" xfId="38853" xr:uid="{00000000-0005-0000-0000-0000BC970000}"/>
    <cellStyle name="Bad 116 2 2" xfId="38854" xr:uid="{00000000-0005-0000-0000-0000BD970000}"/>
    <cellStyle name="Bad 116 3" xfId="38855" xr:uid="{00000000-0005-0000-0000-0000BE970000}"/>
    <cellStyle name="Bad 117" xfId="38856" xr:uid="{00000000-0005-0000-0000-0000BF970000}"/>
    <cellStyle name="Bad 117 2" xfId="38857" xr:uid="{00000000-0005-0000-0000-0000C0970000}"/>
    <cellStyle name="Bad 117 2 2" xfId="38858" xr:uid="{00000000-0005-0000-0000-0000C1970000}"/>
    <cellStyle name="Bad 117 3" xfId="38859" xr:uid="{00000000-0005-0000-0000-0000C2970000}"/>
    <cellStyle name="Bad 118" xfId="38860" xr:uid="{00000000-0005-0000-0000-0000C3970000}"/>
    <cellStyle name="Bad 118 2" xfId="38861" xr:uid="{00000000-0005-0000-0000-0000C4970000}"/>
    <cellStyle name="Bad 118 2 2" xfId="38862" xr:uid="{00000000-0005-0000-0000-0000C5970000}"/>
    <cellStyle name="Bad 118 3" xfId="38863" xr:uid="{00000000-0005-0000-0000-0000C6970000}"/>
    <cellStyle name="Bad 119" xfId="38864" xr:uid="{00000000-0005-0000-0000-0000C7970000}"/>
    <cellStyle name="Bad 119 2" xfId="38865" xr:uid="{00000000-0005-0000-0000-0000C8970000}"/>
    <cellStyle name="Bad 119 2 2" xfId="38866" xr:uid="{00000000-0005-0000-0000-0000C9970000}"/>
    <cellStyle name="Bad 119 3" xfId="38867" xr:uid="{00000000-0005-0000-0000-0000CA970000}"/>
    <cellStyle name="Bad 12" xfId="38868" xr:uid="{00000000-0005-0000-0000-0000CB970000}"/>
    <cellStyle name="Bad 12 2" xfId="38869" xr:uid="{00000000-0005-0000-0000-0000CC970000}"/>
    <cellStyle name="Bad 12 2 2" xfId="38870" xr:uid="{00000000-0005-0000-0000-0000CD970000}"/>
    <cellStyle name="Bad 12 3" xfId="38871" xr:uid="{00000000-0005-0000-0000-0000CE970000}"/>
    <cellStyle name="Bad 120" xfId="38872" xr:uid="{00000000-0005-0000-0000-0000CF970000}"/>
    <cellStyle name="Bad 120 2" xfId="38873" xr:uid="{00000000-0005-0000-0000-0000D0970000}"/>
    <cellStyle name="Bad 120 2 2" xfId="38874" xr:uid="{00000000-0005-0000-0000-0000D1970000}"/>
    <cellStyle name="Bad 120 3" xfId="38875" xr:uid="{00000000-0005-0000-0000-0000D2970000}"/>
    <cellStyle name="Bad 121" xfId="38876" xr:uid="{00000000-0005-0000-0000-0000D3970000}"/>
    <cellStyle name="Bad 121 2" xfId="38877" xr:uid="{00000000-0005-0000-0000-0000D4970000}"/>
    <cellStyle name="Bad 121 2 2" xfId="38878" xr:uid="{00000000-0005-0000-0000-0000D5970000}"/>
    <cellStyle name="Bad 121 3" xfId="38879" xr:uid="{00000000-0005-0000-0000-0000D6970000}"/>
    <cellStyle name="Bad 122" xfId="38880" xr:uid="{00000000-0005-0000-0000-0000D7970000}"/>
    <cellStyle name="Bad 122 2" xfId="38881" xr:uid="{00000000-0005-0000-0000-0000D8970000}"/>
    <cellStyle name="Bad 122 2 2" xfId="38882" xr:uid="{00000000-0005-0000-0000-0000D9970000}"/>
    <cellStyle name="Bad 122 3" xfId="38883" xr:uid="{00000000-0005-0000-0000-0000DA970000}"/>
    <cellStyle name="Bad 123" xfId="38884" xr:uid="{00000000-0005-0000-0000-0000DB970000}"/>
    <cellStyle name="Bad 123 2" xfId="38885" xr:uid="{00000000-0005-0000-0000-0000DC970000}"/>
    <cellStyle name="Bad 123 2 2" xfId="38886" xr:uid="{00000000-0005-0000-0000-0000DD970000}"/>
    <cellStyle name="Bad 123 3" xfId="38887" xr:uid="{00000000-0005-0000-0000-0000DE970000}"/>
    <cellStyle name="Bad 124" xfId="38888" xr:uid="{00000000-0005-0000-0000-0000DF970000}"/>
    <cellStyle name="Bad 124 2" xfId="38889" xr:uid="{00000000-0005-0000-0000-0000E0970000}"/>
    <cellStyle name="Bad 124 2 2" xfId="38890" xr:uid="{00000000-0005-0000-0000-0000E1970000}"/>
    <cellStyle name="Bad 124 3" xfId="38891" xr:uid="{00000000-0005-0000-0000-0000E2970000}"/>
    <cellStyle name="Bad 125" xfId="38892" xr:uid="{00000000-0005-0000-0000-0000E3970000}"/>
    <cellStyle name="Bad 125 2" xfId="38893" xr:uid="{00000000-0005-0000-0000-0000E4970000}"/>
    <cellStyle name="Bad 125 2 2" xfId="38894" xr:uid="{00000000-0005-0000-0000-0000E5970000}"/>
    <cellStyle name="Bad 125 3" xfId="38895" xr:uid="{00000000-0005-0000-0000-0000E6970000}"/>
    <cellStyle name="Bad 126" xfId="38896" xr:uid="{00000000-0005-0000-0000-0000E7970000}"/>
    <cellStyle name="Bad 126 2" xfId="38897" xr:uid="{00000000-0005-0000-0000-0000E8970000}"/>
    <cellStyle name="Bad 126 2 2" xfId="38898" xr:uid="{00000000-0005-0000-0000-0000E9970000}"/>
    <cellStyle name="Bad 126 3" xfId="38899" xr:uid="{00000000-0005-0000-0000-0000EA970000}"/>
    <cellStyle name="Bad 127" xfId="38900" xr:uid="{00000000-0005-0000-0000-0000EB970000}"/>
    <cellStyle name="Bad 127 2" xfId="38901" xr:uid="{00000000-0005-0000-0000-0000EC970000}"/>
    <cellStyle name="Bad 127 2 2" xfId="38902" xr:uid="{00000000-0005-0000-0000-0000ED970000}"/>
    <cellStyle name="Bad 127 3" xfId="38903" xr:uid="{00000000-0005-0000-0000-0000EE970000}"/>
    <cellStyle name="Bad 128" xfId="38904" xr:uid="{00000000-0005-0000-0000-0000EF970000}"/>
    <cellStyle name="Bad 128 2" xfId="38905" xr:uid="{00000000-0005-0000-0000-0000F0970000}"/>
    <cellStyle name="Bad 128 2 2" xfId="38906" xr:uid="{00000000-0005-0000-0000-0000F1970000}"/>
    <cellStyle name="Bad 128 3" xfId="38907" xr:uid="{00000000-0005-0000-0000-0000F2970000}"/>
    <cellStyle name="Bad 129" xfId="38908" xr:uid="{00000000-0005-0000-0000-0000F3970000}"/>
    <cellStyle name="Bad 129 2" xfId="38909" xr:uid="{00000000-0005-0000-0000-0000F4970000}"/>
    <cellStyle name="Bad 129 2 2" xfId="38910" xr:uid="{00000000-0005-0000-0000-0000F5970000}"/>
    <cellStyle name="Bad 129 3" xfId="38911" xr:uid="{00000000-0005-0000-0000-0000F6970000}"/>
    <cellStyle name="Bad 13" xfId="38912" xr:uid="{00000000-0005-0000-0000-0000F7970000}"/>
    <cellStyle name="Bad 13 2" xfId="38913" xr:uid="{00000000-0005-0000-0000-0000F8970000}"/>
    <cellStyle name="Bad 13 2 2" xfId="38914" xr:uid="{00000000-0005-0000-0000-0000F9970000}"/>
    <cellStyle name="Bad 13 3" xfId="38915" xr:uid="{00000000-0005-0000-0000-0000FA970000}"/>
    <cellStyle name="Bad 130" xfId="38916" xr:uid="{00000000-0005-0000-0000-0000FB970000}"/>
    <cellStyle name="Bad 130 2" xfId="38917" xr:uid="{00000000-0005-0000-0000-0000FC970000}"/>
    <cellStyle name="Bad 130 2 2" xfId="38918" xr:uid="{00000000-0005-0000-0000-0000FD970000}"/>
    <cellStyle name="Bad 130 3" xfId="38919" xr:uid="{00000000-0005-0000-0000-0000FE970000}"/>
    <cellStyle name="Bad 131" xfId="38920" xr:uid="{00000000-0005-0000-0000-0000FF970000}"/>
    <cellStyle name="Bad 131 2" xfId="38921" xr:uid="{00000000-0005-0000-0000-000000980000}"/>
    <cellStyle name="Bad 131 2 2" xfId="38922" xr:uid="{00000000-0005-0000-0000-000001980000}"/>
    <cellStyle name="Bad 131 3" xfId="38923" xr:uid="{00000000-0005-0000-0000-000002980000}"/>
    <cellStyle name="Bad 132" xfId="38924" xr:uid="{00000000-0005-0000-0000-000003980000}"/>
    <cellStyle name="Bad 132 2" xfId="38925" xr:uid="{00000000-0005-0000-0000-000004980000}"/>
    <cellStyle name="Bad 132 2 2" xfId="38926" xr:uid="{00000000-0005-0000-0000-000005980000}"/>
    <cellStyle name="Bad 132 3" xfId="38927" xr:uid="{00000000-0005-0000-0000-000006980000}"/>
    <cellStyle name="Bad 133" xfId="38928" xr:uid="{00000000-0005-0000-0000-000007980000}"/>
    <cellStyle name="Bad 133 2" xfId="38929" xr:uid="{00000000-0005-0000-0000-000008980000}"/>
    <cellStyle name="Bad 133 2 2" xfId="38930" xr:uid="{00000000-0005-0000-0000-000009980000}"/>
    <cellStyle name="Bad 133 3" xfId="38931" xr:uid="{00000000-0005-0000-0000-00000A980000}"/>
    <cellStyle name="Bad 134" xfId="38932" xr:uid="{00000000-0005-0000-0000-00000B980000}"/>
    <cellStyle name="Bad 134 2" xfId="38933" xr:uid="{00000000-0005-0000-0000-00000C980000}"/>
    <cellStyle name="Bad 134 2 2" xfId="38934" xr:uid="{00000000-0005-0000-0000-00000D980000}"/>
    <cellStyle name="Bad 134 3" xfId="38935" xr:uid="{00000000-0005-0000-0000-00000E980000}"/>
    <cellStyle name="Bad 135" xfId="38936" xr:uid="{00000000-0005-0000-0000-00000F980000}"/>
    <cellStyle name="Bad 135 2" xfId="38937" xr:uid="{00000000-0005-0000-0000-000010980000}"/>
    <cellStyle name="Bad 135 2 2" xfId="38938" xr:uid="{00000000-0005-0000-0000-000011980000}"/>
    <cellStyle name="Bad 135 3" xfId="38939" xr:uid="{00000000-0005-0000-0000-000012980000}"/>
    <cellStyle name="Bad 136" xfId="38940" xr:uid="{00000000-0005-0000-0000-000013980000}"/>
    <cellStyle name="Bad 136 2" xfId="38941" xr:uid="{00000000-0005-0000-0000-000014980000}"/>
    <cellStyle name="Bad 136 2 2" xfId="38942" xr:uid="{00000000-0005-0000-0000-000015980000}"/>
    <cellStyle name="Bad 136 3" xfId="38943" xr:uid="{00000000-0005-0000-0000-000016980000}"/>
    <cellStyle name="Bad 137" xfId="38944" xr:uid="{00000000-0005-0000-0000-000017980000}"/>
    <cellStyle name="Bad 137 2" xfId="38945" xr:uid="{00000000-0005-0000-0000-000018980000}"/>
    <cellStyle name="Bad 137 2 2" xfId="38946" xr:uid="{00000000-0005-0000-0000-000019980000}"/>
    <cellStyle name="Bad 137 3" xfId="38947" xr:uid="{00000000-0005-0000-0000-00001A980000}"/>
    <cellStyle name="Bad 138" xfId="38948" xr:uid="{00000000-0005-0000-0000-00001B980000}"/>
    <cellStyle name="Bad 138 2" xfId="38949" xr:uid="{00000000-0005-0000-0000-00001C980000}"/>
    <cellStyle name="Bad 138 2 2" xfId="38950" xr:uid="{00000000-0005-0000-0000-00001D980000}"/>
    <cellStyle name="Bad 138 3" xfId="38951" xr:uid="{00000000-0005-0000-0000-00001E980000}"/>
    <cellStyle name="Bad 139" xfId="38952" xr:uid="{00000000-0005-0000-0000-00001F980000}"/>
    <cellStyle name="Bad 139 2" xfId="38953" xr:uid="{00000000-0005-0000-0000-000020980000}"/>
    <cellStyle name="Bad 139 2 2" xfId="38954" xr:uid="{00000000-0005-0000-0000-000021980000}"/>
    <cellStyle name="Bad 139 3" xfId="38955" xr:uid="{00000000-0005-0000-0000-000022980000}"/>
    <cellStyle name="Bad 14" xfId="38956" xr:uid="{00000000-0005-0000-0000-000023980000}"/>
    <cellStyle name="Bad 14 2" xfId="38957" xr:uid="{00000000-0005-0000-0000-000024980000}"/>
    <cellStyle name="Bad 14 2 2" xfId="38958" xr:uid="{00000000-0005-0000-0000-000025980000}"/>
    <cellStyle name="Bad 14 3" xfId="38959" xr:uid="{00000000-0005-0000-0000-000026980000}"/>
    <cellStyle name="Bad 140" xfId="38960" xr:uid="{00000000-0005-0000-0000-000027980000}"/>
    <cellStyle name="Bad 140 2" xfId="38961" xr:uid="{00000000-0005-0000-0000-000028980000}"/>
    <cellStyle name="Bad 140 2 2" xfId="38962" xr:uid="{00000000-0005-0000-0000-000029980000}"/>
    <cellStyle name="Bad 140 3" xfId="38963" xr:uid="{00000000-0005-0000-0000-00002A980000}"/>
    <cellStyle name="Bad 141" xfId="38964" xr:uid="{00000000-0005-0000-0000-00002B980000}"/>
    <cellStyle name="Bad 141 2" xfId="38965" xr:uid="{00000000-0005-0000-0000-00002C980000}"/>
    <cellStyle name="Bad 141 2 2" xfId="38966" xr:uid="{00000000-0005-0000-0000-00002D980000}"/>
    <cellStyle name="Bad 141 3" xfId="38967" xr:uid="{00000000-0005-0000-0000-00002E980000}"/>
    <cellStyle name="Bad 142" xfId="38968" xr:uid="{00000000-0005-0000-0000-00002F980000}"/>
    <cellStyle name="Bad 142 2" xfId="38969" xr:uid="{00000000-0005-0000-0000-000030980000}"/>
    <cellStyle name="Bad 142 2 2" xfId="38970" xr:uid="{00000000-0005-0000-0000-000031980000}"/>
    <cellStyle name="Bad 142 3" xfId="38971" xr:uid="{00000000-0005-0000-0000-000032980000}"/>
    <cellStyle name="Bad 143" xfId="38972" xr:uid="{00000000-0005-0000-0000-000033980000}"/>
    <cellStyle name="Bad 143 2" xfId="38973" xr:uid="{00000000-0005-0000-0000-000034980000}"/>
    <cellStyle name="Bad 143 2 2" xfId="38974" xr:uid="{00000000-0005-0000-0000-000035980000}"/>
    <cellStyle name="Bad 143 3" xfId="38975" xr:uid="{00000000-0005-0000-0000-000036980000}"/>
    <cellStyle name="Bad 144" xfId="38976" xr:uid="{00000000-0005-0000-0000-000037980000}"/>
    <cellStyle name="Bad 144 2" xfId="38977" xr:uid="{00000000-0005-0000-0000-000038980000}"/>
    <cellStyle name="Bad 144 2 2" xfId="38978" xr:uid="{00000000-0005-0000-0000-000039980000}"/>
    <cellStyle name="Bad 144 3" xfId="38979" xr:uid="{00000000-0005-0000-0000-00003A980000}"/>
    <cellStyle name="Bad 145" xfId="38980" xr:uid="{00000000-0005-0000-0000-00003B980000}"/>
    <cellStyle name="Bad 145 2" xfId="38981" xr:uid="{00000000-0005-0000-0000-00003C980000}"/>
    <cellStyle name="Bad 145 2 2" xfId="38982" xr:uid="{00000000-0005-0000-0000-00003D980000}"/>
    <cellStyle name="Bad 145 3" xfId="38983" xr:uid="{00000000-0005-0000-0000-00003E980000}"/>
    <cellStyle name="Bad 146" xfId="38984" xr:uid="{00000000-0005-0000-0000-00003F980000}"/>
    <cellStyle name="Bad 146 2" xfId="38985" xr:uid="{00000000-0005-0000-0000-000040980000}"/>
    <cellStyle name="Bad 146 2 2" xfId="38986" xr:uid="{00000000-0005-0000-0000-000041980000}"/>
    <cellStyle name="Bad 146 3" xfId="38987" xr:uid="{00000000-0005-0000-0000-000042980000}"/>
    <cellStyle name="Bad 147" xfId="38988" xr:uid="{00000000-0005-0000-0000-000043980000}"/>
    <cellStyle name="Bad 147 2" xfId="38989" xr:uid="{00000000-0005-0000-0000-000044980000}"/>
    <cellStyle name="Bad 147 2 2" xfId="38990" xr:uid="{00000000-0005-0000-0000-000045980000}"/>
    <cellStyle name="Bad 147 3" xfId="38991" xr:uid="{00000000-0005-0000-0000-000046980000}"/>
    <cellStyle name="Bad 148" xfId="38992" xr:uid="{00000000-0005-0000-0000-000047980000}"/>
    <cellStyle name="Bad 148 2" xfId="38993" xr:uid="{00000000-0005-0000-0000-000048980000}"/>
    <cellStyle name="Bad 148 2 2" xfId="38994" xr:uid="{00000000-0005-0000-0000-000049980000}"/>
    <cellStyle name="Bad 148 3" xfId="38995" xr:uid="{00000000-0005-0000-0000-00004A980000}"/>
    <cellStyle name="Bad 149" xfId="38996" xr:uid="{00000000-0005-0000-0000-00004B980000}"/>
    <cellStyle name="Bad 149 2" xfId="38997" xr:uid="{00000000-0005-0000-0000-00004C980000}"/>
    <cellStyle name="Bad 149 2 2" xfId="38998" xr:uid="{00000000-0005-0000-0000-00004D980000}"/>
    <cellStyle name="Bad 149 3" xfId="38999" xr:uid="{00000000-0005-0000-0000-00004E980000}"/>
    <cellStyle name="Bad 15" xfId="39000" xr:uid="{00000000-0005-0000-0000-00004F980000}"/>
    <cellStyle name="Bad 15 2" xfId="39001" xr:uid="{00000000-0005-0000-0000-000050980000}"/>
    <cellStyle name="Bad 15 2 2" xfId="39002" xr:uid="{00000000-0005-0000-0000-000051980000}"/>
    <cellStyle name="Bad 15 3" xfId="39003" xr:uid="{00000000-0005-0000-0000-000052980000}"/>
    <cellStyle name="Bad 150" xfId="39004" xr:uid="{00000000-0005-0000-0000-000053980000}"/>
    <cellStyle name="Bad 150 2" xfId="39005" xr:uid="{00000000-0005-0000-0000-000054980000}"/>
    <cellStyle name="Bad 150 2 2" xfId="39006" xr:uid="{00000000-0005-0000-0000-000055980000}"/>
    <cellStyle name="Bad 150 3" xfId="39007" xr:uid="{00000000-0005-0000-0000-000056980000}"/>
    <cellStyle name="Bad 151" xfId="39008" xr:uid="{00000000-0005-0000-0000-000057980000}"/>
    <cellStyle name="Bad 151 2" xfId="39009" xr:uid="{00000000-0005-0000-0000-000058980000}"/>
    <cellStyle name="Bad 151 2 2" xfId="39010" xr:uid="{00000000-0005-0000-0000-000059980000}"/>
    <cellStyle name="Bad 151 3" xfId="39011" xr:uid="{00000000-0005-0000-0000-00005A980000}"/>
    <cellStyle name="Bad 152" xfId="39012" xr:uid="{00000000-0005-0000-0000-00005B980000}"/>
    <cellStyle name="Bad 152 2" xfId="39013" xr:uid="{00000000-0005-0000-0000-00005C980000}"/>
    <cellStyle name="Bad 152 2 2" xfId="39014" xr:uid="{00000000-0005-0000-0000-00005D980000}"/>
    <cellStyle name="Bad 152 3" xfId="39015" xr:uid="{00000000-0005-0000-0000-00005E980000}"/>
    <cellStyle name="Bad 153" xfId="39016" xr:uid="{00000000-0005-0000-0000-00005F980000}"/>
    <cellStyle name="Bad 153 2" xfId="39017" xr:uid="{00000000-0005-0000-0000-000060980000}"/>
    <cellStyle name="Bad 153 2 2" xfId="39018" xr:uid="{00000000-0005-0000-0000-000061980000}"/>
    <cellStyle name="Bad 153 3" xfId="39019" xr:uid="{00000000-0005-0000-0000-000062980000}"/>
    <cellStyle name="Bad 154" xfId="39020" xr:uid="{00000000-0005-0000-0000-000063980000}"/>
    <cellStyle name="Bad 154 2" xfId="39021" xr:uid="{00000000-0005-0000-0000-000064980000}"/>
    <cellStyle name="Bad 154 2 2" xfId="39022" xr:uid="{00000000-0005-0000-0000-000065980000}"/>
    <cellStyle name="Bad 154 3" xfId="39023" xr:uid="{00000000-0005-0000-0000-000066980000}"/>
    <cellStyle name="Bad 155" xfId="39024" xr:uid="{00000000-0005-0000-0000-000067980000}"/>
    <cellStyle name="Bad 155 2" xfId="39025" xr:uid="{00000000-0005-0000-0000-000068980000}"/>
    <cellStyle name="Bad 155 2 2" xfId="39026" xr:uid="{00000000-0005-0000-0000-000069980000}"/>
    <cellStyle name="Bad 155 3" xfId="39027" xr:uid="{00000000-0005-0000-0000-00006A980000}"/>
    <cellStyle name="Bad 156" xfId="39028" xr:uid="{00000000-0005-0000-0000-00006B980000}"/>
    <cellStyle name="Bad 156 2" xfId="39029" xr:uid="{00000000-0005-0000-0000-00006C980000}"/>
    <cellStyle name="Bad 156 2 2" xfId="39030" xr:uid="{00000000-0005-0000-0000-00006D980000}"/>
    <cellStyle name="Bad 156 3" xfId="39031" xr:uid="{00000000-0005-0000-0000-00006E980000}"/>
    <cellStyle name="Bad 157" xfId="39032" xr:uid="{00000000-0005-0000-0000-00006F980000}"/>
    <cellStyle name="Bad 157 2" xfId="39033" xr:uid="{00000000-0005-0000-0000-000070980000}"/>
    <cellStyle name="Bad 157 2 2" xfId="39034" xr:uid="{00000000-0005-0000-0000-000071980000}"/>
    <cellStyle name="Bad 157 3" xfId="39035" xr:uid="{00000000-0005-0000-0000-000072980000}"/>
    <cellStyle name="Bad 158" xfId="39036" xr:uid="{00000000-0005-0000-0000-000073980000}"/>
    <cellStyle name="Bad 158 2" xfId="39037" xr:uid="{00000000-0005-0000-0000-000074980000}"/>
    <cellStyle name="Bad 158 2 2" xfId="39038" xr:uid="{00000000-0005-0000-0000-000075980000}"/>
    <cellStyle name="Bad 158 3" xfId="39039" xr:uid="{00000000-0005-0000-0000-000076980000}"/>
    <cellStyle name="Bad 159" xfId="39040" xr:uid="{00000000-0005-0000-0000-000077980000}"/>
    <cellStyle name="Bad 159 2" xfId="39041" xr:uid="{00000000-0005-0000-0000-000078980000}"/>
    <cellStyle name="Bad 16" xfId="39042" xr:uid="{00000000-0005-0000-0000-000079980000}"/>
    <cellStyle name="Bad 16 2" xfId="39043" xr:uid="{00000000-0005-0000-0000-00007A980000}"/>
    <cellStyle name="Bad 16 2 2" xfId="39044" xr:uid="{00000000-0005-0000-0000-00007B980000}"/>
    <cellStyle name="Bad 16 3" xfId="39045" xr:uid="{00000000-0005-0000-0000-00007C980000}"/>
    <cellStyle name="Bad 160" xfId="39046" xr:uid="{00000000-0005-0000-0000-00007D980000}"/>
    <cellStyle name="Bad 160 2" xfId="39047" xr:uid="{00000000-0005-0000-0000-00007E980000}"/>
    <cellStyle name="Bad 161" xfId="39048" xr:uid="{00000000-0005-0000-0000-00007F980000}"/>
    <cellStyle name="Bad 161 2" xfId="39049" xr:uid="{00000000-0005-0000-0000-000080980000}"/>
    <cellStyle name="Bad 162" xfId="39050" xr:uid="{00000000-0005-0000-0000-000081980000}"/>
    <cellStyle name="Bad 162 2" xfId="39051" xr:uid="{00000000-0005-0000-0000-000082980000}"/>
    <cellStyle name="Bad 163" xfId="39052" xr:uid="{00000000-0005-0000-0000-000083980000}"/>
    <cellStyle name="Bad 163 2" xfId="39053" xr:uid="{00000000-0005-0000-0000-000084980000}"/>
    <cellStyle name="Bad 164" xfId="39054" xr:uid="{00000000-0005-0000-0000-000085980000}"/>
    <cellStyle name="Bad 164 2" xfId="39055" xr:uid="{00000000-0005-0000-0000-000086980000}"/>
    <cellStyle name="Bad 165" xfId="39056" xr:uid="{00000000-0005-0000-0000-000087980000}"/>
    <cellStyle name="Bad 165 2" xfId="39057" xr:uid="{00000000-0005-0000-0000-000088980000}"/>
    <cellStyle name="Bad 166" xfId="39058" xr:uid="{00000000-0005-0000-0000-000089980000}"/>
    <cellStyle name="Bad 166 2" xfId="39059" xr:uid="{00000000-0005-0000-0000-00008A980000}"/>
    <cellStyle name="Bad 167" xfId="39060" xr:uid="{00000000-0005-0000-0000-00008B980000}"/>
    <cellStyle name="Bad 167 2" xfId="39061" xr:uid="{00000000-0005-0000-0000-00008C980000}"/>
    <cellStyle name="Bad 168" xfId="39062" xr:uid="{00000000-0005-0000-0000-00008D980000}"/>
    <cellStyle name="Bad 168 2" xfId="39063" xr:uid="{00000000-0005-0000-0000-00008E980000}"/>
    <cellStyle name="Bad 169" xfId="39064" xr:uid="{00000000-0005-0000-0000-00008F980000}"/>
    <cellStyle name="Bad 169 2" xfId="39065" xr:uid="{00000000-0005-0000-0000-000090980000}"/>
    <cellStyle name="Bad 17" xfId="39066" xr:uid="{00000000-0005-0000-0000-000091980000}"/>
    <cellStyle name="Bad 17 2" xfId="39067" xr:uid="{00000000-0005-0000-0000-000092980000}"/>
    <cellStyle name="Bad 17 2 2" xfId="39068" xr:uid="{00000000-0005-0000-0000-000093980000}"/>
    <cellStyle name="Bad 17 3" xfId="39069" xr:uid="{00000000-0005-0000-0000-000094980000}"/>
    <cellStyle name="Bad 170" xfId="39070" xr:uid="{00000000-0005-0000-0000-000095980000}"/>
    <cellStyle name="Bad 170 2" xfId="39071" xr:uid="{00000000-0005-0000-0000-000096980000}"/>
    <cellStyle name="Bad 171" xfId="39072" xr:uid="{00000000-0005-0000-0000-000097980000}"/>
    <cellStyle name="Bad 171 2" xfId="39073" xr:uid="{00000000-0005-0000-0000-000098980000}"/>
    <cellStyle name="Bad 172" xfId="39074" xr:uid="{00000000-0005-0000-0000-000099980000}"/>
    <cellStyle name="Bad 172 2" xfId="39075" xr:uid="{00000000-0005-0000-0000-00009A980000}"/>
    <cellStyle name="Bad 173" xfId="39076" xr:uid="{00000000-0005-0000-0000-00009B980000}"/>
    <cellStyle name="Bad 173 2" xfId="39077" xr:uid="{00000000-0005-0000-0000-00009C980000}"/>
    <cellStyle name="Bad 174" xfId="39078" xr:uid="{00000000-0005-0000-0000-00009D980000}"/>
    <cellStyle name="Bad 174 2" xfId="39079" xr:uid="{00000000-0005-0000-0000-00009E980000}"/>
    <cellStyle name="Bad 175" xfId="39080" xr:uid="{00000000-0005-0000-0000-00009F980000}"/>
    <cellStyle name="Bad 175 2" xfId="39081" xr:uid="{00000000-0005-0000-0000-0000A0980000}"/>
    <cellStyle name="Bad 176" xfId="39082" xr:uid="{00000000-0005-0000-0000-0000A1980000}"/>
    <cellStyle name="Bad 176 2" xfId="39083" xr:uid="{00000000-0005-0000-0000-0000A2980000}"/>
    <cellStyle name="Bad 177" xfId="39084" xr:uid="{00000000-0005-0000-0000-0000A3980000}"/>
    <cellStyle name="Bad 177 2" xfId="39085" xr:uid="{00000000-0005-0000-0000-0000A4980000}"/>
    <cellStyle name="Bad 178" xfId="39086" xr:uid="{00000000-0005-0000-0000-0000A5980000}"/>
    <cellStyle name="Bad 178 2" xfId="39087" xr:uid="{00000000-0005-0000-0000-0000A6980000}"/>
    <cellStyle name="Bad 179" xfId="39088" xr:uid="{00000000-0005-0000-0000-0000A7980000}"/>
    <cellStyle name="Bad 179 2" xfId="39089" xr:uid="{00000000-0005-0000-0000-0000A8980000}"/>
    <cellStyle name="Bad 18" xfId="39090" xr:uid="{00000000-0005-0000-0000-0000A9980000}"/>
    <cellStyle name="Bad 18 2" xfId="39091" xr:uid="{00000000-0005-0000-0000-0000AA980000}"/>
    <cellStyle name="Bad 18 2 2" xfId="39092" xr:uid="{00000000-0005-0000-0000-0000AB980000}"/>
    <cellStyle name="Bad 18 3" xfId="39093" xr:uid="{00000000-0005-0000-0000-0000AC980000}"/>
    <cellStyle name="Bad 180" xfId="39094" xr:uid="{00000000-0005-0000-0000-0000AD980000}"/>
    <cellStyle name="Bad 180 2" xfId="39095" xr:uid="{00000000-0005-0000-0000-0000AE980000}"/>
    <cellStyle name="Bad 181" xfId="39096" xr:uid="{00000000-0005-0000-0000-0000AF980000}"/>
    <cellStyle name="Bad 181 2" xfId="39097" xr:uid="{00000000-0005-0000-0000-0000B0980000}"/>
    <cellStyle name="Bad 182" xfId="39098" xr:uid="{00000000-0005-0000-0000-0000B1980000}"/>
    <cellStyle name="Bad 182 2" xfId="39099" xr:uid="{00000000-0005-0000-0000-0000B2980000}"/>
    <cellStyle name="Bad 183" xfId="39100" xr:uid="{00000000-0005-0000-0000-0000B3980000}"/>
    <cellStyle name="Bad 183 2" xfId="39101" xr:uid="{00000000-0005-0000-0000-0000B4980000}"/>
    <cellStyle name="Bad 184" xfId="39102" xr:uid="{00000000-0005-0000-0000-0000B5980000}"/>
    <cellStyle name="Bad 184 2" xfId="39103" xr:uid="{00000000-0005-0000-0000-0000B6980000}"/>
    <cellStyle name="Bad 185" xfId="39104" xr:uid="{00000000-0005-0000-0000-0000B7980000}"/>
    <cellStyle name="Bad 185 2" xfId="39105" xr:uid="{00000000-0005-0000-0000-0000B8980000}"/>
    <cellStyle name="Bad 186" xfId="39106" xr:uid="{00000000-0005-0000-0000-0000B9980000}"/>
    <cellStyle name="Bad 186 2" xfId="39107" xr:uid="{00000000-0005-0000-0000-0000BA980000}"/>
    <cellStyle name="Bad 187" xfId="39108" xr:uid="{00000000-0005-0000-0000-0000BB980000}"/>
    <cellStyle name="Bad 187 2" xfId="39109" xr:uid="{00000000-0005-0000-0000-0000BC980000}"/>
    <cellStyle name="Bad 188" xfId="39110" xr:uid="{00000000-0005-0000-0000-0000BD980000}"/>
    <cellStyle name="Bad 188 2" xfId="39111" xr:uid="{00000000-0005-0000-0000-0000BE980000}"/>
    <cellStyle name="Bad 189" xfId="39112" xr:uid="{00000000-0005-0000-0000-0000BF980000}"/>
    <cellStyle name="Bad 189 2" xfId="39113" xr:uid="{00000000-0005-0000-0000-0000C0980000}"/>
    <cellStyle name="Bad 19" xfId="39114" xr:uid="{00000000-0005-0000-0000-0000C1980000}"/>
    <cellStyle name="Bad 19 2" xfId="39115" xr:uid="{00000000-0005-0000-0000-0000C2980000}"/>
    <cellStyle name="Bad 19 2 2" xfId="39116" xr:uid="{00000000-0005-0000-0000-0000C3980000}"/>
    <cellStyle name="Bad 19 3" xfId="39117" xr:uid="{00000000-0005-0000-0000-0000C4980000}"/>
    <cellStyle name="Bad 190" xfId="39118" xr:uid="{00000000-0005-0000-0000-0000C5980000}"/>
    <cellStyle name="Bad 190 2" xfId="39119" xr:uid="{00000000-0005-0000-0000-0000C6980000}"/>
    <cellStyle name="Bad 191" xfId="39120" xr:uid="{00000000-0005-0000-0000-0000C7980000}"/>
    <cellStyle name="Bad 191 2" xfId="39121" xr:uid="{00000000-0005-0000-0000-0000C8980000}"/>
    <cellStyle name="Bad 192" xfId="39122" xr:uid="{00000000-0005-0000-0000-0000C9980000}"/>
    <cellStyle name="Bad 192 2" xfId="39123" xr:uid="{00000000-0005-0000-0000-0000CA980000}"/>
    <cellStyle name="Bad 193" xfId="39124" xr:uid="{00000000-0005-0000-0000-0000CB980000}"/>
    <cellStyle name="Bad 193 2" xfId="39125" xr:uid="{00000000-0005-0000-0000-0000CC980000}"/>
    <cellStyle name="Bad 194" xfId="39126" xr:uid="{00000000-0005-0000-0000-0000CD980000}"/>
    <cellStyle name="Bad 194 2" xfId="39127" xr:uid="{00000000-0005-0000-0000-0000CE980000}"/>
    <cellStyle name="Bad 195" xfId="39128" xr:uid="{00000000-0005-0000-0000-0000CF980000}"/>
    <cellStyle name="Bad 195 2" xfId="39129" xr:uid="{00000000-0005-0000-0000-0000D0980000}"/>
    <cellStyle name="Bad 196" xfId="39130" xr:uid="{00000000-0005-0000-0000-0000D1980000}"/>
    <cellStyle name="Bad 196 2" xfId="39131" xr:uid="{00000000-0005-0000-0000-0000D2980000}"/>
    <cellStyle name="Bad 197" xfId="39132" xr:uid="{00000000-0005-0000-0000-0000D3980000}"/>
    <cellStyle name="Bad 197 2" xfId="39133" xr:uid="{00000000-0005-0000-0000-0000D4980000}"/>
    <cellStyle name="Bad 198" xfId="39134" xr:uid="{00000000-0005-0000-0000-0000D5980000}"/>
    <cellStyle name="Bad 198 2" xfId="39135" xr:uid="{00000000-0005-0000-0000-0000D6980000}"/>
    <cellStyle name="Bad 2" xfId="39136" xr:uid="{00000000-0005-0000-0000-0000D7980000}"/>
    <cellStyle name="Bad 2 2" xfId="39137" xr:uid="{00000000-0005-0000-0000-0000D8980000}"/>
    <cellStyle name="Bad 2 2 2" xfId="39138" xr:uid="{00000000-0005-0000-0000-0000D9980000}"/>
    <cellStyle name="Bad 2 2 2 2" xfId="39139" xr:uid="{00000000-0005-0000-0000-0000DA980000}"/>
    <cellStyle name="Bad 2 2 2 2 2" xfId="39140" xr:uid="{00000000-0005-0000-0000-0000DB980000}"/>
    <cellStyle name="Bad 2 2 2 2 2 2" xfId="39141" xr:uid="{00000000-0005-0000-0000-0000DC980000}"/>
    <cellStyle name="Bad 2 2 2 2 3" xfId="39142" xr:uid="{00000000-0005-0000-0000-0000DD980000}"/>
    <cellStyle name="Bad 2 2 2 3" xfId="39143" xr:uid="{00000000-0005-0000-0000-0000DE980000}"/>
    <cellStyle name="Bad 2 2 3" xfId="39144" xr:uid="{00000000-0005-0000-0000-0000DF980000}"/>
    <cellStyle name="Bad 2 2 3 2" xfId="39145" xr:uid="{00000000-0005-0000-0000-0000E0980000}"/>
    <cellStyle name="Bad 2 2 4" xfId="39146" xr:uid="{00000000-0005-0000-0000-0000E1980000}"/>
    <cellStyle name="Bad 2 2 4 2" xfId="39147" xr:uid="{00000000-0005-0000-0000-0000E2980000}"/>
    <cellStyle name="Bad 2 2 5" xfId="39148" xr:uid="{00000000-0005-0000-0000-0000E3980000}"/>
    <cellStyle name="Bad 2 3" xfId="39149" xr:uid="{00000000-0005-0000-0000-0000E4980000}"/>
    <cellStyle name="Bad 2 3 2" xfId="39150" xr:uid="{00000000-0005-0000-0000-0000E5980000}"/>
    <cellStyle name="Bad 2 4" xfId="39151" xr:uid="{00000000-0005-0000-0000-0000E6980000}"/>
    <cellStyle name="Bad 2 4 2" xfId="39152" xr:uid="{00000000-0005-0000-0000-0000E7980000}"/>
    <cellStyle name="Bad 2 5" xfId="39153" xr:uid="{00000000-0005-0000-0000-0000E8980000}"/>
    <cellStyle name="Bad 2 5 2" xfId="39154" xr:uid="{00000000-0005-0000-0000-0000E9980000}"/>
    <cellStyle name="Bad 2 6" xfId="39155" xr:uid="{00000000-0005-0000-0000-0000EA980000}"/>
    <cellStyle name="Bad 20" xfId="39156" xr:uid="{00000000-0005-0000-0000-0000EB980000}"/>
    <cellStyle name="Bad 20 2" xfId="39157" xr:uid="{00000000-0005-0000-0000-0000EC980000}"/>
    <cellStyle name="Bad 20 2 2" xfId="39158" xr:uid="{00000000-0005-0000-0000-0000ED980000}"/>
    <cellStyle name="Bad 20 3" xfId="39159" xr:uid="{00000000-0005-0000-0000-0000EE980000}"/>
    <cellStyle name="Bad 21" xfId="39160" xr:uid="{00000000-0005-0000-0000-0000EF980000}"/>
    <cellStyle name="Bad 21 2" xfId="39161" xr:uid="{00000000-0005-0000-0000-0000F0980000}"/>
    <cellStyle name="Bad 21 2 2" xfId="39162" xr:uid="{00000000-0005-0000-0000-0000F1980000}"/>
    <cellStyle name="Bad 21 3" xfId="39163" xr:uid="{00000000-0005-0000-0000-0000F2980000}"/>
    <cellStyle name="Bad 22" xfId="39164" xr:uid="{00000000-0005-0000-0000-0000F3980000}"/>
    <cellStyle name="Bad 22 2" xfId="39165" xr:uid="{00000000-0005-0000-0000-0000F4980000}"/>
    <cellStyle name="Bad 22 2 2" xfId="39166" xr:uid="{00000000-0005-0000-0000-0000F5980000}"/>
    <cellStyle name="Bad 22 3" xfId="39167" xr:uid="{00000000-0005-0000-0000-0000F6980000}"/>
    <cellStyle name="Bad 23" xfId="39168" xr:uid="{00000000-0005-0000-0000-0000F7980000}"/>
    <cellStyle name="Bad 23 2" xfId="39169" xr:uid="{00000000-0005-0000-0000-0000F8980000}"/>
    <cellStyle name="Bad 23 2 2" xfId="39170" xr:uid="{00000000-0005-0000-0000-0000F9980000}"/>
    <cellStyle name="Bad 23 3" xfId="39171" xr:uid="{00000000-0005-0000-0000-0000FA980000}"/>
    <cellStyle name="Bad 24" xfId="39172" xr:uid="{00000000-0005-0000-0000-0000FB980000}"/>
    <cellStyle name="Bad 24 2" xfId="39173" xr:uid="{00000000-0005-0000-0000-0000FC980000}"/>
    <cellStyle name="Bad 24 2 2" xfId="39174" xr:uid="{00000000-0005-0000-0000-0000FD980000}"/>
    <cellStyle name="Bad 24 3" xfId="39175" xr:uid="{00000000-0005-0000-0000-0000FE980000}"/>
    <cellStyle name="Bad 25" xfId="39176" xr:uid="{00000000-0005-0000-0000-0000FF980000}"/>
    <cellStyle name="Bad 25 2" xfId="39177" xr:uid="{00000000-0005-0000-0000-000000990000}"/>
    <cellStyle name="Bad 25 2 2" xfId="39178" xr:uid="{00000000-0005-0000-0000-000001990000}"/>
    <cellStyle name="Bad 25 3" xfId="39179" xr:uid="{00000000-0005-0000-0000-000002990000}"/>
    <cellStyle name="Bad 26" xfId="39180" xr:uid="{00000000-0005-0000-0000-000003990000}"/>
    <cellStyle name="Bad 26 2" xfId="39181" xr:uid="{00000000-0005-0000-0000-000004990000}"/>
    <cellStyle name="Bad 26 2 2" xfId="39182" xr:uid="{00000000-0005-0000-0000-000005990000}"/>
    <cellStyle name="Bad 26 3" xfId="39183" xr:uid="{00000000-0005-0000-0000-000006990000}"/>
    <cellStyle name="Bad 27" xfId="39184" xr:uid="{00000000-0005-0000-0000-000007990000}"/>
    <cellStyle name="Bad 27 2" xfId="39185" xr:uid="{00000000-0005-0000-0000-000008990000}"/>
    <cellStyle name="Bad 27 2 2" xfId="39186" xr:uid="{00000000-0005-0000-0000-000009990000}"/>
    <cellStyle name="Bad 27 3" xfId="39187" xr:uid="{00000000-0005-0000-0000-00000A990000}"/>
    <cellStyle name="Bad 28" xfId="39188" xr:uid="{00000000-0005-0000-0000-00000B990000}"/>
    <cellStyle name="Bad 28 2" xfId="39189" xr:uid="{00000000-0005-0000-0000-00000C990000}"/>
    <cellStyle name="Bad 28 2 2" xfId="39190" xr:uid="{00000000-0005-0000-0000-00000D990000}"/>
    <cellStyle name="Bad 28 3" xfId="39191" xr:uid="{00000000-0005-0000-0000-00000E990000}"/>
    <cellStyle name="Bad 29" xfId="39192" xr:uid="{00000000-0005-0000-0000-00000F990000}"/>
    <cellStyle name="Bad 29 2" xfId="39193" xr:uid="{00000000-0005-0000-0000-000010990000}"/>
    <cellStyle name="Bad 29 2 2" xfId="39194" xr:uid="{00000000-0005-0000-0000-000011990000}"/>
    <cellStyle name="Bad 29 3" xfId="39195" xr:uid="{00000000-0005-0000-0000-000012990000}"/>
    <cellStyle name="Bad 3" xfId="39196" xr:uid="{00000000-0005-0000-0000-000013990000}"/>
    <cellStyle name="Bad 3 2" xfId="39197" xr:uid="{00000000-0005-0000-0000-000014990000}"/>
    <cellStyle name="Bad 3 2 2" xfId="39198" xr:uid="{00000000-0005-0000-0000-000015990000}"/>
    <cellStyle name="Bad 3 3" xfId="39199" xr:uid="{00000000-0005-0000-0000-000016990000}"/>
    <cellStyle name="Bad 3 3 2" xfId="39200" xr:uid="{00000000-0005-0000-0000-000017990000}"/>
    <cellStyle name="Bad 3 4" xfId="39201" xr:uid="{00000000-0005-0000-0000-000018990000}"/>
    <cellStyle name="Bad 3 4 2" xfId="39202" xr:uid="{00000000-0005-0000-0000-000019990000}"/>
    <cellStyle name="Bad 3 5" xfId="39203" xr:uid="{00000000-0005-0000-0000-00001A990000}"/>
    <cellStyle name="Bad 30" xfId="39204" xr:uid="{00000000-0005-0000-0000-00001B990000}"/>
    <cellStyle name="Bad 30 2" xfId="39205" xr:uid="{00000000-0005-0000-0000-00001C990000}"/>
    <cellStyle name="Bad 30 2 2" xfId="39206" xr:uid="{00000000-0005-0000-0000-00001D990000}"/>
    <cellStyle name="Bad 30 3" xfId="39207" xr:uid="{00000000-0005-0000-0000-00001E990000}"/>
    <cellStyle name="Bad 31" xfId="39208" xr:uid="{00000000-0005-0000-0000-00001F990000}"/>
    <cellStyle name="Bad 31 2" xfId="39209" xr:uid="{00000000-0005-0000-0000-000020990000}"/>
    <cellStyle name="Bad 31 2 2" xfId="39210" xr:uid="{00000000-0005-0000-0000-000021990000}"/>
    <cellStyle name="Bad 31 3" xfId="39211" xr:uid="{00000000-0005-0000-0000-000022990000}"/>
    <cellStyle name="Bad 32" xfId="39212" xr:uid="{00000000-0005-0000-0000-000023990000}"/>
    <cellStyle name="Bad 32 2" xfId="39213" xr:uid="{00000000-0005-0000-0000-000024990000}"/>
    <cellStyle name="Bad 32 2 2" xfId="39214" xr:uid="{00000000-0005-0000-0000-000025990000}"/>
    <cellStyle name="Bad 32 3" xfId="39215" xr:uid="{00000000-0005-0000-0000-000026990000}"/>
    <cellStyle name="Bad 33" xfId="39216" xr:uid="{00000000-0005-0000-0000-000027990000}"/>
    <cellStyle name="Bad 33 2" xfId="39217" xr:uid="{00000000-0005-0000-0000-000028990000}"/>
    <cellStyle name="Bad 33 2 2" xfId="39218" xr:uid="{00000000-0005-0000-0000-000029990000}"/>
    <cellStyle name="Bad 33 3" xfId="39219" xr:uid="{00000000-0005-0000-0000-00002A990000}"/>
    <cellStyle name="Bad 34" xfId="39220" xr:uid="{00000000-0005-0000-0000-00002B990000}"/>
    <cellStyle name="Bad 34 2" xfId="39221" xr:uid="{00000000-0005-0000-0000-00002C990000}"/>
    <cellStyle name="Bad 34 2 2" xfId="39222" xr:uid="{00000000-0005-0000-0000-00002D990000}"/>
    <cellStyle name="Bad 34 3" xfId="39223" xr:uid="{00000000-0005-0000-0000-00002E990000}"/>
    <cellStyle name="Bad 35" xfId="39224" xr:uid="{00000000-0005-0000-0000-00002F990000}"/>
    <cellStyle name="Bad 35 2" xfId="39225" xr:uid="{00000000-0005-0000-0000-000030990000}"/>
    <cellStyle name="Bad 35 2 2" xfId="39226" xr:uid="{00000000-0005-0000-0000-000031990000}"/>
    <cellStyle name="Bad 35 3" xfId="39227" xr:uid="{00000000-0005-0000-0000-000032990000}"/>
    <cellStyle name="Bad 36" xfId="39228" xr:uid="{00000000-0005-0000-0000-000033990000}"/>
    <cellStyle name="Bad 36 2" xfId="39229" xr:uid="{00000000-0005-0000-0000-000034990000}"/>
    <cellStyle name="Bad 36 2 2" xfId="39230" xr:uid="{00000000-0005-0000-0000-000035990000}"/>
    <cellStyle name="Bad 36 3" xfId="39231" xr:uid="{00000000-0005-0000-0000-000036990000}"/>
    <cellStyle name="Bad 37" xfId="39232" xr:uid="{00000000-0005-0000-0000-000037990000}"/>
    <cellStyle name="Bad 37 2" xfId="39233" xr:uid="{00000000-0005-0000-0000-000038990000}"/>
    <cellStyle name="Bad 37 2 2" xfId="39234" xr:uid="{00000000-0005-0000-0000-000039990000}"/>
    <cellStyle name="Bad 37 3" xfId="39235" xr:uid="{00000000-0005-0000-0000-00003A990000}"/>
    <cellStyle name="Bad 38" xfId="39236" xr:uid="{00000000-0005-0000-0000-00003B990000}"/>
    <cellStyle name="Bad 38 2" xfId="39237" xr:uid="{00000000-0005-0000-0000-00003C990000}"/>
    <cellStyle name="Bad 38 2 2" xfId="39238" xr:uid="{00000000-0005-0000-0000-00003D990000}"/>
    <cellStyle name="Bad 38 3" xfId="39239" xr:uid="{00000000-0005-0000-0000-00003E990000}"/>
    <cellStyle name="Bad 39" xfId="39240" xr:uid="{00000000-0005-0000-0000-00003F990000}"/>
    <cellStyle name="Bad 39 2" xfId="39241" xr:uid="{00000000-0005-0000-0000-000040990000}"/>
    <cellStyle name="Bad 39 2 2" xfId="39242" xr:uid="{00000000-0005-0000-0000-000041990000}"/>
    <cellStyle name="Bad 39 3" xfId="39243" xr:uid="{00000000-0005-0000-0000-000042990000}"/>
    <cellStyle name="Bad 4" xfId="39244" xr:uid="{00000000-0005-0000-0000-000043990000}"/>
    <cellStyle name="Bad 4 2" xfId="39245" xr:uid="{00000000-0005-0000-0000-000044990000}"/>
    <cellStyle name="Bad 4 2 2" xfId="39246" xr:uid="{00000000-0005-0000-0000-000045990000}"/>
    <cellStyle name="Bad 4 3" xfId="39247" xr:uid="{00000000-0005-0000-0000-000046990000}"/>
    <cellStyle name="Bad 4 3 2" xfId="39248" xr:uid="{00000000-0005-0000-0000-000047990000}"/>
    <cellStyle name="Bad 4 4" xfId="39249" xr:uid="{00000000-0005-0000-0000-000048990000}"/>
    <cellStyle name="Bad 4 4 2" xfId="39250" xr:uid="{00000000-0005-0000-0000-000049990000}"/>
    <cellStyle name="Bad 4 5" xfId="39251" xr:uid="{00000000-0005-0000-0000-00004A990000}"/>
    <cellStyle name="Bad 40" xfId="39252" xr:uid="{00000000-0005-0000-0000-00004B990000}"/>
    <cellStyle name="Bad 40 2" xfId="39253" xr:uid="{00000000-0005-0000-0000-00004C990000}"/>
    <cellStyle name="Bad 40 2 2" xfId="39254" xr:uid="{00000000-0005-0000-0000-00004D990000}"/>
    <cellStyle name="Bad 40 3" xfId="39255" xr:uid="{00000000-0005-0000-0000-00004E990000}"/>
    <cellStyle name="Bad 41" xfId="39256" xr:uid="{00000000-0005-0000-0000-00004F990000}"/>
    <cellStyle name="Bad 41 2" xfId="39257" xr:uid="{00000000-0005-0000-0000-000050990000}"/>
    <cellStyle name="Bad 41 2 2" xfId="39258" xr:uid="{00000000-0005-0000-0000-000051990000}"/>
    <cellStyle name="Bad 41 3" xfId="39259" xr:uid="{00000000-0005-0000-0000-000052990000}"/>
    <cellStyle name="Bad 42" xfId="39260" xr:uid="{00000000-0005-0000-0000-000053990000}"/>
    <cellStyle name="Bad 42 2" xfId="39261" xr:uid="{00000000-0005-0000-0000-000054990000}"/>
    <cellStyle name="Bad 42 2 2" xfId="39262" xr:uid="{00000000-0005-0000-0000-000055990000}"/>
    <cellStyle name="Bad 42 3" xfId="39263" xr:uid="{00000000-0005-0000-0000-000056990000}"/>
    <cellStyle name="Bad 43" xfId="39264" xr:uid="{00000000-0005-0000-0000-000057990000}"/>
    <cellStyle name="Bad 43 2" xfId="39265" xr:uid="{00000000-0005-0000-0000-000058990000}"/>
    <cellStyle name="Bad 43 2 2" xfId="39266" xr:uid="{00000000-0005-0000-0000-000059990000}"/>
    <cellStyle name="Bad 43 3" xfId="39267" xr:uid="{00000000-0005-0000-0000-00005A990000}"/>
    <cellStyle name="Bad 44" xfId="39268" xr:uid="{00000000-0005-0000-0000-00005B990000}"/>
    <cellStyle name="Bad 44 2" xfId="39269" xr:uid="{00000000-0005-0000-0000-00005C990000}"/>
    <cellStyle name="Bad 44 2 2" xfId="39270" xr:uid="{00000000-0005-0000-0000-00005D990000}"/>
    <cellStyle name="Bad 44 3" xfId="39271" xr:uid="{00000000-0005-0000-0000-00005E990000}"/>
    <cellStyle name="Bad 45" xfId="39272" xr:uid="{00000000-0005-0000-0000-00005F990000}"/>
    <cellStyle name="Bad 45 2" xfId="39273" xr:uid="{00000000-0005-0000-0000-000060990000}"/>
    <cellStyle name="Bad 45 2 2" xfId="39274" xr:uid="{00000000-0005-0000-0000-000061990000}"/>
    <cellStyle name="Bad 45 3" xfId="39275" xr:uid="{00000000-0005-0000-0000-000062990000}"/>
    <cellStyle name="Bad 46" xfId="39276" xr:uid="{00000000-0005-0000-0000-000063990000}"/>
    <cellStyle name="Bad 46 2" xfId="39277" xr:uid="{00000000-0005-0000-0000-000064990000}"/>
    <cellStyle name="Bad 46 2 2" xfId="39278" xr:uid="{00000000-0005-0000-0000-000065990000}"/>
    <cellStyle name="Bad 46 3" xfId="39279" xr:uid="{00000000-0005-0000-0000-000066990000}"/>
    <cellStyle name="Bad 47" xfId="39280" xr:uid="{00000000-0005-0000-0000-000067990000}"/>
    <cellStyle name="Bad 47 2" xfId="39281" xr:uid="{00000000-0005-0000-0000-000068990000}"/>
    <cellStyle name="Bad 47 2 2" xfId="39282" xr:uid="{00000000-0005-0000-0000-000069990000}"/>
    <cellStyle name="Bad 47 3" xfId="39283" xr:uid="{00000000-0005-0000-0000-00006A990000}"/>
    <cellStyle name="Bad 48" xfId="39284" xr:uid="{00000000-0005-0000-0000-00006B990000}"/>
    <cellStyle name="Bad 48 2" xfId="39285" xr:uid="{00000000-0005-0000-0000-00006C990000}"/>
    <cellStyle name="Bad 48 2 2" xfId="39286" xr:uid="{00000000-0005-0000-0000-00006D990000}"/>
    <cellStyle name="Bad 48 3" xfId="39287" xr:uid="{00000000-0005-0000-0000-00006E990000}"/>
    <cellStyle name="Bad 49" xfId="39288" xr:uid="{00000000-0005-0000-0000-00006F990000}"/>
    <cellStyle name="Bad 49 2" xfId="39289" xr:uid="{00000000-0005-0000-0000-000070990000}"/>
    <cellStyle name="Bad 49 2 2" xfId="39290" xr:uid="{00000000-0005-0000-0000-000071990000}"/>
    <cellStyle name="Bad 49 3" xfId="39291" xr:uid="{00000000-0005-0000-0000-000072990000}"/>
    <cellStyle name="Bad 5" xfId="39292" xr:uid="{00000000-0005-0000-0000-000073990000}"/>
    <cellStyle name="Bad 5 2" xfId="39293" xr:uid="{00000000-0005-0000-0000-000074990000}"/>
    <cellStyle name="Bad 5 2 2" xfId="39294" xr:uid="{00000000-0005-0000-0000-000075990000}"/>
    <cellStyle name="Bad 5 3" xfId="39295" xr:uid="{00000000-0005-0000-0000-000076990000}"/>
    <cellStyle name="Bad 5 3 2" xfId="39296" xr:uid="{00000000-0005-0000-0000-000077990000}"/>
    <cellStyle name="Bad 5 4" xfId="39297" xr:uid="{00000000-0005-0000-0000-000078990000}"/>
    <cellStyle name="Bad 5 4 2" xfId="39298" xr:uid="{00000000-0005-0000-0000-000079990000}"/>
    <cellStyle name="Bad 5 5" xfId="39299" xr:uid="{00000000-0005-0000-0000-00007A990000}"/>
    <cellStyle name="Bad 50" xfId="39300" xr:uid="{00000000-0005-0000-0000-00007B990000}"/>
    <cellStyle name="Bad 50 2" xfId="39301" xr:uid="{00000000-0005-0000-0000-00007C990000}"/>
    <cellStyle name="Bad 50 2 2" xfId="39302" xr:uid="{00000000-0005-0000-0000-00007D990000}"/>
    <cellStyle name="Bad 50 3" xfId="39303" xr:uid="{00000000-0005-0000-0000-00007E990000}"/>
    <cellStyle name="Bad 51" xfId="39304" xr:uid="{00000000-0005-0000-0000-00007F990000}"/>
    <cellStyle name="Bad 51 2" xfId="39305" xr:uid="{00000000-0005-0000-0000-000080990000}"/>
    <cellStyle name="Bad 51 2 2" xfId="39306" xr:uid="{00000000-0005-0000-0000-000081990000}"/>
    <cellStyle name="Bad 51 3" xfId="39307" xr:uid="{00000000-0005-0000-0000-000082990000}"/>
    <cellStyle name="Bad 52" xfId="39308" xr:uid="{00000000-0005-0000-0000-000083990000}"/>
    <cellStyle name="Bad 52 2" xfId="39309" xr:uid="{00000000-0005-0000-0000-000084990000}"/>
    <cellStyle name="Bad 52 2 2" xfId="39310" xr:uid="{00000000-0005-0000-0000-000085990000}"/>
    <cellStyle name="Bad 52 3" xfId="39311" xr:uid="{00000000-0005-0000-0000-000086990000}"/>
    <cellStyle name="Bad 53" xfId="39312" xr:uid="{00000000-0005-0000-0000-000087990000}"/>
    <cellStyle name="Bad 53 2" xfId="39313" xr:uid="{00000000-0005-0000-0000-000088990000}"/>
    <cellStyle name="Bad 53 2 2" xfId="39314" xr:uid="{00000000-0005-0000-0000-000089990000}"/>
    <cellStyle name="Bad 53 3" xfId="39315" xr:uid="{00000000-0005-0000-0000-00008A990000}"/>
    <cellStyle name="Bad 54" xfId="39316" xr:uid="{00000000-0005-0000-0000-00008B990000}"/>
    <cellStyle name="Bad 54 2" xfId="39317" xr:uid="{00000000-0005-0000-0000-00008C990000}"/>
    <cellStyle name="Bad 54 2 2" xfId="39318" xr:uid="{00000000-0005-0000-0000-00008D990000}"/>
    <cellStyle name="Bad 54 3" xfId="39319" xr:uid="{00000000-0005-0000-0000-00008E990000}"/>
    <cellStyle name="Bad 55" xfId="39320" xr:uid="{00000000-0005-0000-0000-00008F990000}"/>
    <cellStyle name="Bad 55 2" xfId="39321" xr:uid="{00000000-0005-0000-0000-000090990000}"/>
    <cellStyle name="Bad 55 2 2" xfId="39322" xr:uid="{00000000-0005-0000-0000-000091990000}"/>
    <cellStyle name="Bad 55 3" xfId="39323" xr:uid="{00000000-0005-0000-0000-000092990000}"/>
    <cellStyle name="Bad 56" xfId="39324" xr:uid="{00000000-0005-0000-0000-000093990000}"/>
    <cellStyle name="Bad 56 2" xfId="39325" xr:uid="{00000000-0005-0000-0000-000094990000}"/>
    <cellStyle name="Bad 56 2 2" xfId="39326" xr:uid="{00000000-0005-0000-0000-000095990000}"/>
    <cellStyle name="Bad 56 3" xfId="39327" xr:uid="{00000000-0005-0000-0000-000096990000}"/>
    <cellStyle name="Bad 57" xfId="39328" xr:uid="{00000000-0005-0000-0000-000097990000}"/>
    <cellStyle name="Bad 57 2" xfId="39329" xr:uid="{00000000-0005-0000-0000-000098990000}"/>
    <cellStyle name="Bad 57 2 2" xfId="39330" xr:uid="{00000000-0005-0000-0000-000099990000}"/>
    <cellStyle name="Bad 57 3" xfId="39331" xr:uid="{00000000-0005-0000-0000-00009A990000}"/>
    <cellStyle name="Bad 58" xfId="39332" xr:uid="{00000000-0005-0000-0000-00009B990000}"/>
    <cellStyle name="Bad 58 2" xfId="39333" xr:uid="{00000000-0005-0000-0000-00009C990000}"/>
    <cellStyle name="Bad 58 2 2" xfId="39334" xr:uid="{00000000-0005-0000-0000-00009D990000}"/>
    <cellStyle name="Bad 58 3" xfId="39335" xr:uid="{00000000-0005-0000-0000-00009E990000}"/>
    <cellStyle name="Bad 59" xfId="39336" xr:uid="{00000000-0005-0000-0000-00009F990000}"/>
    <cellStyle name="Bad 59 2" xfId="39337" xr:uid="{00000000-0005-0000-0000-0000A0990000}"/>
    <cellStyle name="Bad 59 2 2" xfId="39338" xr:uid="{00000000-0005-0000-0000-0000A1990000}"/>
    <cellStyle name="Bad 59 3" xfId="39339" xr:uid="{00000000-0005-0000-0000-0000A2990000}"/>
    <cellStyle name="Bad 59 3 2" xfId="39340" xr:uid="{00000000-0005-0000-0000-0000A3990000}"/>
    <cellStyle name="Bad 59 4" xfId="39341" xr:uid="{00000000-0005-0000-0000-0000A4990000}"/>
    <cellStyle name="Bad 6" xfId="39342" xr:uid="{00000000-0005-0000-0000-0000A5990000}"/>
    <cellStyle name="Bad 6 2" xfId="39343" xr:uid="{00000000-0005-0000-0000-0000A6990000}"/>
    <cellStyle name="Bad 6 2 2" xfId="39344" xr:uid="{00000000-0005-0000-0000-0000A7990000}"/>
    <cellStyle name="Bad 6 3" xfId="39345" xr:uid="{00000000-0005-0000-0000-0000A8990000}"/>
    <cellStyle name="Bad 6 3 2" xfId="39346" xr:uid="{00000000-0005-0000-0000-0000A9990000}"/>
    <cellStyle name="Bad 6 4" xfId="39347" xr:uid="{00000000-0005-0000-0000-0000AA990000}"/>
    <cellStyle name="Bad 6 4 2" xfId="39348" xr:uid="{00000000-0005-0000-0000-0000AB990000}"/>
    <cellStyle name="Bad 6 5" xfId="39349" xr:uid="{00000000-0005-0000-0000-0000AC990000}"/>
    <cellStyle name="Bad 60" xfId="39350" xr:uid="{00000000-0005-0000-0000-0000AD990000}"/>
    <cellStyle name="Bad 60 2" xfId="39351" xr:uid="{00000000-0005-0000-0000-0000AE990000}"/>
    <cellStyle name="Bad 60 2 2" xfId="39352" xr:uid="{00000000-0005-0000-0000-0000AF990000}"/>
    <cellStyle name="Bad 60 3" xfId="39353" xr:uid="{00000000-0005-0000-0000-0000B0990000}"/>
    <cellStyle name="Bad 61" xfId="39354" xr:uid="{00000000-0005-0000-0000-0000B1990000}"/>
    <cellStyle name="Bad 61 2" xfId="39355" xr:uid="{00000000-0005-0000-0000-0000B2990000}"/>
    <cellStyle name="Bad 61 2 2" xfId="39356" xr:uid="{00000000-0005-0000-0000-0000B3990000}"/>
    <cellStyle name="Bad 61 3" xfId="39357" xr:uid="{00000000-0005-0000-0000-0000B4990000}"/>
    <cellStyle name="Bad 62" xfId="39358" xr:uid="{00000000-0005-0000-0000-0000B5990000}"/>
    <cellStyle name="Bad 62 2" xfId="39359" xr:uid="{00000000-0005-0000-0000-0000B6990000}"/>
    <cellStyle name="Bad 62 2 2" xfId="39360" xr:uid="{00000000-0005-0000-0000-0000B7990000}"/>
    <cellStyle name="Bad 62 3" xfId="39361" xr:uid="{00000000-0005-0000-0000-0000B8990000}"/>
    <cellStyle name="Bad 63" xfId="39362" xr:uid="{00000000-0005-0000-0000-0000B9990000}"/>
    <cellStyle name="Bad 63 2" xfId="39363" xr:uid="{00000000-0005-0000-0000-0000BA990000}"/>
    <cellStyle name="Bad 63 2 2" xfId="39364" xr:uid="{00000000-0005-0000-0000-0000BB990000}"/>
    <cellStyle name="Bad 63 3" xfId="39365" xr:uid="{00000000-0005-0000-0000-0000BC990000}"/>
    <cellStyle name="Bad 64" xfId="39366" xr:uid="{00000000-0005-0000-0000-0000BD990000}"/>
    <cellStyle name="Bad 64 2" xfId="39367" xr:uid="{00000000-0005-0000-0000-0000BE990000}"/>
    <cellStyle name="Bad 64 2 2" xfId="39368" xr:uid="{00000000-0005-0000-0000-0000BF990000}"/>
    <cellStyle name="Bad 64 3" xfId="39369" xr:uid="{00000000-0005-0000-0000-0000C0990000}"/>
    <cellStyle name="Bad 65" xfId="39370" xr:uid="{00000000-0005-0000-0000-0000C1990000}"/>
    <cellStyle name="Bad 65 2" xfId="39371" xr:uid="{00000000-0005-0000-0000-0000C2990000}"/>
    <cellStyle name="Bad 65 2 2" xfId="39372" xr:uid="{00000000-0005-0000-0000-0000C3990000}"/>
    <cellStyle name="Bad 65 3" xfId="39373" xr:uid="{00000000-0005-0000-0000-0000C4990000}"/>
    <cellStyle name="Bad 66" xfId="39374" xr:uid="{00000000-0005-0000-0000-0000C5990000}"/>
    <cellStyle name="Bad 66 2" xfId="39375" xr:uid="{00000000-0005-0000-0000-0000C6990000}"/>
    <cellStyle name="Bad 66 2 2" xfId="39376" xr:uid="{00000000-0005-0000-0000-0000C7990000}"/>
    <cellStyle name="Bad 66 3" xfId="39377" xr:uid="{00000000-0005-0000-0000-0000C8990000}"/>
    <cellStyle name="Bad 67" xfId="39378" xr:uid="{00000000-0005-0000-0000-0000C9990000}"/>
    <cellStyle name="Bad 67 2" xfId="39379" xr:uid="{00000000-0005-0000-0000-0000CA990000}"/>
    <cellStyle name="Bad 67 2 2" xfId="39380" xr:uid="{00000000-0005-0000-0000-0000CB990000}"/>
    <cellStyle name="Bad 67 3" xfId="39381" xr:uid="{00000000-0005-0000-0000-0000CC990000}"/>
    <cellStyle name="Bad 68" xfId="39382" xr:uid="{00000000-0005-0000-0000-0000CD990000}"/>
    <cellStyle name="Bad 68 2" xfId="39383" xr:uid="{00000000-0005-0000-0000-0000CE990000}"/>
    <cellStyle name="Bad 68 2 2" xfId="39384" xr:uid="{00000000-0005-0000-0000-0000CF990000}"/>
    <cellStyle name="Bad 68 3" xfId="39385" xr:uid="{00000000-0005-0000-0000-0000D0990000}"/>
    <cellStyle name="Bad 69" xfId="39386" xr:uid="{00000000-0005-0000-0000-0000D1990000}"/>
    <cellStyle name="Bad 69 2" xfId="39387" xr:uid="{00000000-0005-0000-0000-0000D2990000}"/>
    <cellStyle name="Bad 69 2 2" xfId="39388" xr:uid="{00000000-0005-0000-0000-0000D3990000}"/>
    <cellStyle name="Bad 69 3" xfId="39389" xr:uid="{00000000-0005-0000-0000-0000D4990000}"/>
    <cellStyle name="Bad 7" xfId="39390" xr:uid="{00000000-0005-0000-0000-0000D5990000}"/>
    <cellStyle name="Bad 7 2" xfId="39391" xr:uid="{00000000-0005-0000-0000-0000D6990000}"/>
    <cellStyle name="Bad 7 2 2" xfId="39392" xr:uid="{00000000-0005-0000-0000-0000D7990000}"/>
    <cellStyle name="Bad 7 3" xfId="39393" xr:uid="{00000000-0005-0000-0000-0000D8990000}"/>
    <cellStyle name="Bad 7 3 2" xfId="39394" xr:uid="{00000000-0005-0000-0000-0000D9990000}"/>
    <cellStyle name="Bad 7 4" xfId="39395" xr:uid="{00000000-0005-0000-0000-0000DA990000}"/>
    <cellStyle name="Bad 7 4 2" xfId="39396" xr:uid="{00000000-0005-0000-0000-0000DB990000}"/>
    <cellStyle name="Bad 7 5" xfId="39397" xr:uid="{00000000-0005-0000-0000-0000DC990000}"/>
    <cellStyle name="Bad 70" xfId="39398" xr:uid="{00000000-0005-0000-0000-0000DD990000}"/>
    <cellStyle name="Bad 70 2" xfId="39399" xr:uid="{00000000-0005-0000-0000-0000DE990000}"/>
    <cellStyle name="Bad 70 2 2" xfId="39400" xr:uid="{00000000-0005-0000-0000-0000DF990000}"/>
    <cellStyle name="Bad 70 3" xfId="39401" xr:uid="{00000000-0005-0000-0000-0000E0990000}"/>
    <cellStyle name="Bad 71" xfId="39402" xr:uid="{00000000-0005-0000-0000-0000E1990000}"/>
    <cellStyle name="Bad 71 2" xfId="39403" xr:uid="{00000000-0005-0000-0000-0000E2990000}"/>
    <cellStyle name="Bad 71 2 2" xfId="39404" xr:uid="{00000000-0005-0000-0000-0000E3990000}"/>
    <cellStyle name="Bad 71 3" xfId="39405" xr:uid="{00000000-0005-0000-0000-0000E4990000}"/>
    <cellStyle name="Bad 72" xfId="39406" xr:uid="{00000000-0005-0000-0000-0000E5990000}"/>
    <cellStyle name="Bad 72 2" xfId="39407" xr:uid="{00000000-0005-0000-0000-0000E6990000}"/>
    <cellStyle name="Bad 72 2 2" xfId="39408" xr:uid="{00000000-0005-0000-0000-0000E7990000}"/>
    <cellStyle name="Bad 72 3" xfId="39409" xr:uid="{00000000-0005-0000-0000-0000E8990000}"/>
    <cellStyle name="Bad 73" xfId="39410" xr:uid="{00000000-0005-0000-0000-0000E9990000}"/>
    <cellStyle name="Bad 73 2" xfId="39411" xr:uid="{00000000-0005-0000-0000-0000EA990000}"/>
    <cellStyle name="Bad 73 2 2" xfId="39412" xr:uid="{00000000-0005-0000-0000-0000EB990000}"/>
    <cellStyle name="Bad 73 3" xfId="39413" xr:uid="{00000000-0005-0000-0000-0000EC990000}"/>
    <cellStyle name="Bad 74" xfId="39414" xr:uid="{00000000-0005-0000-0000-0000ED990000}"/>
    <cellStyle name="Bad 74 2" xfId="39415" xr:uid="{00000000-0005-0000-0000-0000EE990000}"/>
    <cellStyle name="Bad 74 2 2" xfId="39416" xr:uid="{00000000-0005-0000-0000-0000EF990000}"/>
    <cellStyle name="Bad 74 3" xfId="39417" xr:uid="{00000000-0005-0000-0000-0000F0990000}"/>
    <cellStyle name="Bad 75" xfId="39418" xr:uid="{00000000-0005-0000-0000-0000F1990000}"/>
    <cellStyle name="Bad 75 2" xfId="39419" xr:uid="{00000000-0005-0000-0000-0000F2990000}"/>
    <cellStyle name="Bad 75 2 2" xfId="39420" xr:uid="{00000000-0005-0000-0000-0000F3990000}"/>
    <cellStyle name="Bad 75 3" xfId="39421" xr:uid="{00000000-0005-0000-0000-0000F4990000}"/>
    <cellStyle name="Bad 76" xfId="39422" xr:uid="{00000000-0005-0000-0000-0000F5990000}"/>
    <cellStyle name="Bad 76 2" xfId="39423" xr:uid="{00000000-0005-0000-0000-0000F6990000}"/>
    <cellStyle name="Bad 76 2 2" xfId="39424" xr:uid="{00000000-0005-0000-0000-0000F7990000}"/>
    <cellStyle name="Bad 76 3" xfId="39425" xr:uid="{00000000-0005-0000-0000-0000F8990000}"/>
    <cellStyle name="Bad 77" xfId="39426" xr:uid="{00000000-0005-0000-0000-0000F9990000}"/>
    <cellStyle name="Bad 77 2" xfId="39427" xr:uid="{00000000-0005-0000-0000-0000FA990000}"/>
    <cellStyle name="Bad 77 2 2" xfId="39428" xr:uid="{00000000-0005-0000-0000-0000FB990000}"/>
    <cellStyle name="Bad 77 3" xfId="39429" xr:uid="{00000000-0005-0000-0000-0000FC990000}"/>
    <cellStyle name="Bad 78" xfId="39430" xr:uid="{00000000-0005-0000-0000-0000FD990000}"/>
    <cellStyle name="Bad 78 2" xfId="39431" xr:uid="{00000000-0005-0000-0000-0000FE990000}"/>
    <cellStyle name="Bad 78 2 2" xfId="39432" xr:uid="{00000000-0005-0000-0000-0000FF990000}"/>
    <cellStyle name="Bad 78 3" xfId="39433" xr:uid="{00000000-0005-0000-0000-0000009A0000}"/>
    <cellStyle name="Bad 79" xfId="39434" xr:uid="{00000000-0005-0000-0000-0000019A0000}"/>
    <cellStyle name="Bad 79 2" xfId="39435" xr:uid="{00000000-0005-0000-0000-0000029A0000}"/>
    <cellStyle name="Bad 79 2 2" xfId="39436" xr:uid="{00000000-0005-0000-0000-0000039A0000}"/>
    <cellStyle name="Bad 79 3" xfId="39437" xr:uid="{00000000-0005-0000-0000-0000049A0000}"/>
    <cellStyle name="Bad 8" xfId="39438" xr:uid="{00000000-0005-0000-0000-0000059A0000}"/>
    <cellStyle name="Bad 8 2" xfId="39439" xr:uid="{00000000-0005-0000-0000-0000069A0000}"/>
    <cellStyle name="Bad 8 2 2" xfId="39440" xr:uid="{00000000-0005-0000-0000-0000079A0000}"/>
    <cellStyle name="Bad 8 3" xfId="39441" xr:uid="{00000000-0005-0000-0000-0000089A0000}"/>
    <cellStyle name="Bad 8 3 2" xfId="39442" xr:uid="{00000000-0005-0000-0000-0000099A0000}"/>
    <cellStyle name="Bad 8 4" xfId="39443" xr:uid="{00000000-0005-0000-0000-00000A9A0000}"/>
    <cellStyle name="Bad 8 4 2" xfId="39444" xr:uid="{00000000-0005-0000-0000-00000B9A0000}"/>
    <cellStyle name="Bad 8 5" xfId="39445" xr:uid="{00000000-0005-0000-0000-00000C9A0000}"/>
    <cellStyle name="Bad 80" xfId="39446" xr:uid="{00000000-0005-0000-0000-00000D9A0000}"/>
    <cellStyle name="Bad 80 2" xfId="39447" xr:uid="{00000000-0005-0000-0000-00000E9A0000}"/>
    <cellStyle name="Bad 80 2 2" xfId="39448" xr:uid="{00000000-0005-0000-0000-00000F9A0000}"/>
    <cellStyle name="Bad 80 3" xfId="39449" xr:uid="{00000000-0005-0000-0000-0000109A0000}"/>
    <cellStyle name="Bad 81" xfId="39450" xr:uid="{00000000-0005-0000-0000-0000119A0000}"/>
    <cellStyle name="Bad 81 2" xfId="39451" xr:uid="{00000000-0005-0000-0000-0000129A0000}"/>
    <cellStyle name="Bad 81 2 2" xfId="39452" xr:uid="{00000000-0005-0000-0000-0000139A0000}"/>
    <cellStyle name="Bad 81 3" xfId="39453" xr:uid="{00000000-0005-0000-0000-0000149A0000}"/>
    <cellStyle name="Bad 82" xfId="39454" xr:uid="{00000000-0005-0000-0000-0000159A0000}"/>
    <cellStyle name="Bad 82 2" xfId="39455" xr:uid="{00000000-0005-0000-0000-0000169A0000}"/>
    <cellStyle name="Bad 82 2 2" xfId="39456" xr:uid="{00000000-0005-0000-0000-0000179A0000}"/>
    <cellStyle name="Bad 82 3" xfId="39457" xr:uid="{00000000-0005-0000-0000-0000189A0000}"/>
    <cellStyle name="Bad 83" xfId="39458" xr:uid="{00000000-0005-0000-0000-0000199A0000}"/>
    <cellStyle name="Bad 83 2" xfId="39459" xr:uid="{00000000-0005-0000-0000-00001A9A0000}"/>
    <cellStyle name="Bad 83 2 2" xfId="39460" xr:uid="{00000000-0005-0000-0000-00001B9A0000}"/>
    <cellStyle name="Bad 83 3" xfId="39461" xr:uid="{00000000-0005-0000-0000-00001C9A0000}"/>
    <cellStyle name="Bad 84" xfId="39462" xr:uid="{00000000-0005-0000-0000-00001D9A0000}"/>
    <cellStyle name="Bad 84 2" xfId="39463" xr:uid="{00000000-0005-0000-0000-00001E9A0000}"/>
    <cellStyle name="Bad 84 2 2" xfId="39464" xr:uid="{00000000-0005-0000-0000-00001F9A0000}"/>
    <cellStyle name="Bad 84 3" xfId="39465" xr:uid="{00000000-0005-0000-0000-0000209A0000}"/>
    <cellStyle name="Bad 85" xfId="39466" xr:uid="{00000000-0005-0000-0000-0000219A0000}"/>
    <cellStyle name="Bad 85 2" xfId="39467" xr:uid="{00000000-0005-0000-0000-0000229A0000}"/>
    <cellStyle name="Bad 85 2 2" xfId="39468" xr:uid="{00000000-0005-0000-0000-0000239A0000}"/>
    <cellStyle name="Bad 85 3" xfId="39469" xr:uid="{00000000-0005-0000-0000-0000249A0000}"/>
    <cellStyle name="Bad 86" xfId="39470" xr:uid="{00000000-0005-0000-0000-0000259A0000}"/>
    <cellStyle name="Bad 86 2" xfId="39471" xr:uid="{00000000-0005-0000-0000-0000269A0000}"/>
    <cellStyle name="Bad 86 2 2" xfId="39472" xr:uid="{00000000-0005-0000-0000-0000279A0000}"/>
    <cellStyle name="Bad 86 3" xfId="39473" xr:uid="{00000000-0005-0000-0000-0000289A0000}"/>
    <cellStyle name="Bad 87" xfId="39474" xr:uid="{00000000-0005-0000-0000-0000299A0000}"/>
    <cellStyle name="Bad 87 2" xfId="39475" xr:uid="{00000000-0005-0000-0000-00002A9A0000}"/>
    <cellStyle name="Bad 87 2 2" xfId="39476" xr:uid="{00000000-0005-0000-0000-00002B9A0000}"/>
    <cellStyle name="Bad 87 3" xfId="39477" xr:uid="{00000000-0005-0000-0000-00002C9A0000}"/>
    <cellStyle name="Bad 88" xfId="39478" xr:uid="{00000000-0005-0000-0000-00002D9A0000}"/>
    <cellStyle name="Bad 88 2" xfId="39479" xr:uid="{00000000-0005-0000-0000-00002E9A0000}"/>
    <cellStyle name="Bad 88 2 2" xfId="39480" xr:uid="{00000000-0005-0000-0000-00002F9A0000}"/>
    <cellStyle name="Bad 88 3" xfId="39481" xr:uid="{00000000-0005-0000-0000-0000309A0000}"/>
    <cellStyle name="Bad 89" xfId="39482" xr:uid="{00000000-0005-0000-0000-0000319A0000}"/>
    <cellStyle name="Bad 89 2" xfId="39483" xr:uid="{00000000-0005-0000-0000-0000329A0000}"/>
    <cellStyle name="Bad 89 2 2" xfId="39484" xr:uid="{00000000-0005-0000-0000-0000339A0000}"/>
    <cellStyle name="Bad 89 3" xfId="39485" xr:uid="{00000000-0005-0000-0000-0000349A0000}"/>
    <cellStyle name="Bad 9" xfId="39486" xr:uid="{00000000-0005-0000-0000-0000359A0000}"/>
    <cellStyle name="Bad 9 2" xfId="39487" xr:uid="{00000000-0005-0000-0000-0000369A0000}"/>
    <cellStyle name="Bad 9 2 2" xfId="39488" xr:uid="{00000000-0005-0000-0000-0000379A0000}"/>
    <cellStyle name="Bad 9 3" xfId="39489" xr:uid="{00000000-0005-0000-0000-0000389A0000}"/>
    <cellStyle name="Bad 9 3 2" xfId="39490" xr:uid="{00000000-0005-0000-0000-0000399A0000}"/>
    <cellStyle name="Bad 9 4" xfId="39491" xr:uid="{00000000-0005-0000-0000-00003A9A0000}"/>
    <cellStyle name="Bad 9 4 2" xfId="39492" xr:uid="{00000000-0005-0000-0000-00003B9A0000}"/>
    <cellStyle name="Bad 9 5" xfId="39493" xr:uid="{00000000-0005-0000-0000-00003C9A0000}"/>
    <cellStyle name="Bad 90" xfId="39494" xr:uid="{00000000-0005-0000-0000-00003D9A0000}"/>
    <cellStyle name="Bad 90 2" xfId="39495" xr:uid="{00000000-0005-0000-0000-00003E9A0000}"/>
    <cellStyle name="Bad 90 2 2" xfId="39496" xr:uid="{00000000-0005-0000-0000-00003F9A0000}"/>
    <cellStyle name="Bad 90 3" xfId="39497" xr:uid="{00000000-0005-0000-0000-0000409A0000}"/>
    <cellStyle name="Bad 91" xfId="39498" xr:uid="{00000000-0005-0000-0000-0000419A0000}"/>
    <cellStyle name="Bad 91 2" xfId="39499" xr:uid="{00000000-0005-0000-0000-0000429A0000}"/>
    <cellStyle name="Bad 91 2 2" xfId="39500" xr:uid="{00000000-0005-0000-0000-0000439A0000}"/>
    <cellStyle name="Bad 91 3" xfId="39501" xr:uid="{00000000-0005-0000-0000-0000449A0000}"/>
    <cellStyle name="Bad 92" xfId="39502" xr:uid="{00000000-0005-0000-0000-0000459A0000}"/>
    <cellStyle name="Bad 92 2" xfId="39503" xr:uid="{00000000-0005-0000-0000-0000469A0000}"/>
    <cellStyle name="Bad 92 2 2" xfId="39504" xr:uid="{00000000-0005-0000-0000-0000479A0000}"/>
    <cellStyle name="Bad 92 3" xfId="39505" xr:uid="{00000000-0005-0000-0000-0000489A0000}"/>
    <cellStyle name="Bad 93" xfId="39506" xr:uid="{00000000-0005-0000-0000-0000499A0000}"/>
    <cellStyle name="Bad 93 2" xfId="39507" xr:uid="{00000000-0005-0000-0000-00004A9A0000}"/>
    <cellStyle name="Bad 93 2 2" xfId="39508" xr:uid="{00000000-0005-0000-0000-00004B9A0000}"/>
    <cellStyle name="Bad 93 3" xfId="39509" xr:uid="{00000000-0005-0000-0000-00004C9A0000}"/>
    <cellStyle name="Bad 94" xfId="39510" xr:uid="{00000000-0005-0000-0000-00004D9A0000}"/>
    <cellStyle name="Bad 94 2" xfId="39511" xr:uid="{00000000-0005-0000-0000-00004E9A0000}"/>
    <cellStyle name="Bad 94 2 2" xfId="39512" xr:uid="{00000000-0005-0000-0000-00004F9A0000}"/>
    <cellStyle name="Bad 94 3" xfId="39513" xr:uid="{00000000-0005-0000-0000-0000509A0000}"/>
    <cellStyle name="Bad 95" xfId="39514" xr:uid="{00000000-0005-0000-0000-0000519A0000}"/>
    <cellStyle name="Bad 95 2" xfId="39515" xr:uid="{00000000-0005-0000-0000-0000529A0000}"/>
    <cellStyle name="Bad 95 2 2" xfId="39516" xr:uid="{00000000-0005-0000-0000-0000539A0000}"/>
    <cellStyle name="Bad 95 3" xfId="39517" xr:uid="{00000000-0005-0000-0000-0000549A0000}"/>
    <cellStyle name="Bad 96" xfId="39518" xr:uid="{00000000-0005-0000-0000-0000559A0000}"/>
    <cellStyle name="Bad 96 2" xfId="39519" xr:uid="{00000000-0005-0000-0000-0000569A0000}"/>
    <cellStyle name="Bad 96 2 2" xfId="39520" xr:uid="{00000000-0005-0000-0000-0000579A0000}"/>
    <cellStyle name="Bad 96 3" xfId="39521" xr:uid="{00000000-0005-0000-0000-0000589A0000}"/>
    <cellStyle name="Bad 97" xfId="39522" xr:uid="{00000000-0005-0000-0000-0000599A0000}"/>
    <cellStyle name="Bad 97 2" xfId="39523" xr:uid="{00000000-0005-0000-0000-00005A9A0000}"/>
    <cellStyle name="Bad 97 2 2" xfId="39524" xr:uid="{00000000-0005-0000-0000-00005B9A0000}"/>
    <cellStyle name="Bad 97 3" xfId="39525" xr:uid="{00000000-0005-0000-0000-00005C9A0000}"/>
    <cellStyle name="Bad 98" xfId="39526" xr:uid="{00000000-0005-0000-0000-00005D9A0000}"/>
    <cellStyle name="Bad 98 2" xfId="39527" xr:uid="{00000000-0005-0000-0000-00005E9A0000}"/>
    <cellStyle name="Bad 98 2 2" xfId="39528" xr:uid="{00000000-0005-0000-0000-00005F9A0000}"/>
    <cellStyle name="Bad 98 3" xfId="39529" xr:uid="{00000000-0005-0000-0000-0000609A0000}"/>
    <cellStyle name="Bad 99" xfId="39530" xr:uid="{00000000-0005-0000-0000-0000619A0000}"/>
    <cellStyle name="Bad 99 2" xfId="39531" xr:uid="{00000000-0005-0000-0000-0000629A0000}"/>
    <cellStyle name="Bad 99 2 2" xfId="39532" xr:uid="{00000000-0005-0000-0000-0000639A0000}"/>
    <cellStyle name="Bad 99 3" xfId="39533" xr:uid="{00000000-0005-0000-0000-0000649A0000}"/>
    <cellStyle name="Balance" xfId="39534" xr:uid="{00000000-0005-0000-0000-0000659A0000}"/>
    <cellStyle name="Balance 2" xfId="39535" xr:uid="{00000000-0005-0000-0000-0000669A0000}"/>
    <cellStyle name="Balance 2 2" xfId="39536" xr:uid="{00000000-0005-0000-0000-0000679A0000}"/>
    <cellStyle name="Balance 3" xfId="39537" xr:uid="{00000000-0005-0000-0000-0000689A0000}"/>
    <cellStyle name="BalanceBold" xfId="39538" xr:uid="{00000000-0005-0000-0000-0000699A0000}"/>
    <cellStyle name="BalanceBold 2" xfId="39539" xr:uid="{00000000-0005-0000-0000-00006A9A0000}"/>
    <cellStyle name="BalanceBold 2 2" xfId="39540" xr:uid="{00000000-0005-0000-0000-00006B9A0000}"/>
    <cellStyle name="BalanceBold 3" xfId="39541" xr:uid="{00000000-0005-0000-0000-00006C9A0000}"/>
    <cellStyle name="Banner" xfId="39542" xr:uid="{00000000-0005-0000-0000-00006D9A0000}"/>
    <cellStyle name="Banner 2" xfId="39543" xr:uid="{00000000-0005-0000-0000-00006E9A0000}"/>
    <cellStyle name="Banner 2 2" xfId="39544" xr:uid="{00000000-0005-0000-0000-00006F9A0000}"/>
    <cellStyle name="Banner 3" xfId="39545" xr:uid="{00000000-0005-0000-0000-0000709A0000}"/>
    <cellStyle name="Base Num" xfId="39546" xr:uid="{00000000-0005-0000-0000-0000719A0000}"/>
    <cellStyle name="Base Num 2" xfId="39547" xr:uid="{00000000-0005-0000-0000-0000729A0000}"/>
    <cellStyle name="Base Num 2 2" xfId="39548" xr:uid="{00000000-0005-0000-0000-0000739A0000}"/>
    <cellStyle name="Base Num 3" xfId="39549" xr:uid="{00000000-0005-0000-0000-0000749A0000}"/>
    <cellStyle name="Base Num 3 2" xfId="39550" xr:uid="{00000000-0005-0000-0000-0000759A0000}"/>
    <cellStyle name="Base Num 4" xfId="39551" xr:uid="{00000000-0005-0000-0000-0000769A0000}"/>
    <cellStyle name="Base Tit" xfId="39552" xr:uid="{00000000-0005-0000-0000-0000779A0000}"/>
    <cellStyle name="Base Tit 2" xfId="39553" xr:uid="{00000000-0005-0000-0000-0000789A0000}"/>
    <cellStyle name="Base Tit 2 2" xfId="39554" xr:uid="{00000000-0005-0000-0000-0000799A0000}"/>
    <cellStyle name="Base Tit 3" xfId="39555" xr:uid="{00000000-0005-0000-0000-00007A9A0000}"/>
    <cellStyle name="Baseline data" xfId="39556" xr:uid="{00000000-0005-0000-0000-00007B9A0000}"/>
    <cellStyle name="Baseline data 2" xfId="39557" xr:uid="{00000000-0005-0000-0000-00007C9A0000}"/>
    <cellStyle name="BASIC" xfId="39558" xr:uid="{00000000-0005-0000-0000-00007D9A0000}"/>
    <cellStyle name="BASIC 2" xfId="39559" xr:uid="{00000000-0005-0000-0000-00007E9A0000}"/>
    <cellStyle name="BASIC 2 2" xfId="39560" xr:uid="{00000000-0005-0000-0000-00007F9A0000}"/>
    <cellStyle name="BASIC 3" xfId="39561" xr:uid="{00000000-0005-0000-0000-0000809A0000}"/>
    <cellStyle name="Beschreibung" xfId="39562" xr:uid="{00000000-0005-0000-0000-0000819A0000}"/>
    <cellStyle name="Besuchter Hyperlink_INCOME_STATEMENT_LRP2003-2005_diebels" xfId="39563" xr:uid="{00000000-0005-0000-0000-0000829A0000}"/>
    <cellStyle name="BLACK" xfId="39564" xr:uid="{00000000-0005-0000-0000-0000839A0000}"/>
    <cellStyle name="BLACK 2" xfId="39565" xr:uid="{00000000-0005-0000-0000-0000849A0000}"/>
    <cellStyle name="BLACK 2 2" xfId="39566" xr:uid="{00000000-0005-0000-0000-0000859A0000}"/>
    <cellStyle name="BLACK 2 2 2" xfId="39567" xr:uid="{00000000-0005-0000-0000-0000869A0000}"/>
    <cellStyle name="BLACK 2 3" xfId="39568" xr:uid="{00000000-0005-0000-0000-0000879A0000}"/>
    <cellStyle name="BLACK 3" xfId="39569" xr:uid="{00000000-0005-0000-0000-0000889A0000}"/>
    <cellStyle name="BLACK 3 2" xfId="39570" xr:uid="{00000000-0005-0000-0000-0000899A0000}"/>
    <cellStyle name="BLACK 4" xfId="39571" xr:uid="{00000000-0005-0000-0000-00008A9A0000}"/>
    <cellStyle name="Blue" xfId="39572" xr:uid="{00000000-0005-0000-0000-00008B9A0000}"/>
    <cellStyle name="Blue 2" xfId="39573" xr:uid="{00000000-0005-0000-0000-00008C9A0000}"/>
    <cellStyle name="Body" xfId="39574" xr:uid="{00000000-0005-0000-0000-00008D9A0000}"/>
    <cellStyle name="Body 2" xfId="39575" xr:uid="{00000000-0005-0000-0000-00008E9A0000}"/>
    <cellStyle name="Body 2 2" xfId="39576" xr:uid="{00000000-0005-0000-0000-00008F9A0000}"/>
    <cellStyle name="Body 2 2 2" xfId="39577" xr:uid="{00000000-0005-0000-0000-0000909A0000}"/>
    <cellStyle name="Body 2 3" xfId="39578" xr:uid="{00000000-0005-0000-0000-0000919A0000}"/>
    <cellStyle name="body 3" xfId="39579" xr:uid="{00000000-0005-0000-0000-0000929A0000}"/>
    <cellStyle name="body 3 2" xfId="39580" xr:uid="{00000000-0005-0000-0000-0000939A0000}"/>
    <cellStyle name="body 4" xfId="39581" xr:uid="{00000000-0005-0000-0000-0000949A0000}"/>
    <cellStyle name="body 4 2" xfId="39582" xr:uid="{00000000-0005-0000-0000-0000959A0000}"/>
    <cellStyle name="body 5" xfId="39583" xr:uid="{00000000-0005-0000-0000-0000969A0000}"/>
    <cellStyle name="body 6" xfId="39584" xr:uid="{00000000-0005-0000-0000-0000979A0000}"/>
    <cellStyle name="Bold/Border" xfId="39585" xr:uid="{00000000-0005-0000-0000-0000989A0000}"/>
    <cellStyle name="Bold/Border 2" xfId="39586" xr:uid="{00000000-0005-0000-0000-0000999A0000}"/>
    <cellStyle name="Bold/Border 2 2" xfId="39587" xr:uid="{00000000-0005-0000-0000-00009A9A0000}"/>
    <cellStyle name="Bold/Border 3" xfId="39588" xr:uid="{00000000-0005-0000-0000-00009B9A0000}"/>
    <cellStyle name="Bom 2" xfId="39589" xr:uid="{00000000-0005-0000-0000-00009C9A0000}"/>
    <cellStyle name="Bom 2 2" xfId="39590" xr:uid="{00000000-0005-0000-0000-00009D9A0000}"/>
    <cellStyle name="Bom 3" xfId="39591" xr:uid="{00000000-0005-0000-0000-00009E9A0000}"/>
    <cellStyle name="Border" xfId="39592" xr:uid="{00000000-0005-0000-0000-00009F9A0000}"/>
    <cellStyle name="Border 2" xfId="39593" xr:uid="{00000000-0005-0000-0000-0000A09A0000}"/>
    <cellStyle name="Border 2 2" xfId="39594" xr:uid="{00000000-0005-0000-0000-0000A19A0000}"/>
    <cellStyle name="Border 2 3" xfId="39595" xr:uid="{00000000-0005-0000-0000-0000A29A0000}"/>
    <cellStyle name="Border 2 3 2" xfId="39596" xr:uid="{00000000-0005-0000-0000-0000A39A0000}"/>
    <cellStyle name="Border 3" xfId="39597" xr:uid="{00000000-0005-0000-0000-0000A49A0000}"/>
    <cellStyle name="Border 3 2" xfId="39598" xr:uid="{00000000-0005-0000-0000-0000A59A0000}"/>
    <cellStyle name="Border 3 3" xfId="39599" xr:uid="{00000000-0005-0000-0000-0000A69A0000}"/>
    <cellStyle name="Border 3 3 2" xfId="39600" xr:uid="{00000000-0005-0000-0000-0000A79A0000}"/>
    <cellStyle name="Border 4" xfId="39601" xr:uid="{00000000-0005-0000-0000-0000A89A0000}"/>
    <cellStyle name="Border 4 2" xfId="39602" xr:uid="{00000000-0005-0000-0000-0000A99A0000}"/>
    <cellStyle name="Border 4 3" xfId="39603" xr:uid="{00000000-0005-0000-0000-0000AA9A0000}"/>
    <cellStyle name="Border 4 3 2" xfId="39604" xr:uid="{00000000-0005-0000-0000-0000AB9A0000}"/>
    <cellStyle name="Border 5" xfId="39605" xr:uid="{00000000-0005-0000-0000-0000AC9A0000}"/>
    <cellStyle name="Border 6" xfId="39606" xr:uid="{00000000-0005-0000-0000-0000AD9A0000}"/>
    <cellStyle name="Border Heavy" xfId="39607" xr:uid="{00000000-0005-0000-0000-0000AE9A0000}"/>
    <cellStyle name="Border Heavy 2" xfId="39608" xr:uid="{00000000-0005-0000-0000-0000AF9A0000}"/>
    <cellStyle name="Border Heavy 2 2" xfId="39609" xr:uid="{00000000-0005-0000-0000-0000B09A0000}"/>
    <cellStyle name="Border Heavy 2 2 2" xfId="39610" xr:uid="{00000000-0005-0000-0000-0000B19A0000}"/>
    <cellStyle name="Border Heavy 2 2 3" xfId="39611" xr:uid="{00000000-0005-0000-0000-0000B29A0000}"/>
    <cellStyle name="Border Heavy 2 3" xfId="39612" xr:uid="{00000000-0005-0000-0000-0000B39A0000}"/>
    <cellStyle name="Border Heavy 2 3 2" xfId="39613" xr:uid="{00000000-0005-0000-0000-0000B49A0000}"/>
    <cellStyle name="Border Heavy 2 4" xfId="39614" xr:uid="{00000000-0005-0000-0000-0000B59A0000}"/>
    <cellStyle name="Border Heavy 2 5" xfId="39615" xr:uid="{00000000-0005-0000-0000-0000B69A0000}"/>
    <cellStyle name="Border Heavy 3" xfId="39616" xr:uid="{00000000-0005-0000-0000-0000B79A0000}"/>
    <cellStyle name="Border Heavy 3 2" xfId="39617" xr:uid="{00000000-0005-0000-0000-0000B89A0000}"/>
    <cellStyle name="Border Heavy 4" xfId="39618" xr:uid="{00000000-0005-0000-0000-0000B99A0000}"/>
    <cellStyle name="Border Heavy 5" xfId="39619" xr:uid="{00000000-0005-0000-0000-0000BA9A0000}"/>
    <cellStyle name="Border Thin" xfId="39620" xr:uid="{00000000-0005-0000-0000-0000BB9A0000}"/>
    <cellStyle name="Border Thin 2" xfId="39621" xr:uid="{00000000-0005-0000-0000-0000BC9A0000}"/>
    <cellStyle name="Border Thin 2 2" xfId="39622" xr:uid="{00000000-0005-0000-0000-0000BD9A0000}"/>
    <cellStyle name="Border Thin 3" xfId="39623" xr:uid="{00000000-0005-0000-0000-0000BE9A0000}"/>
    <cellStyle name="Border_WF Ebitda RD Abr-10" xfId="39624" xr:uid="{00000000-0005-0000-0000-0000BF9A0000}"/>
    <cellStyle name="BottomBorder" xfId="39625" xr:uid="{00000000-0005-0000-0000-0000C09A0000}"/>
    <cellStyle name="BottomBorder 2" xfId="39626" xr:uid="{00000000-0005-0000-0000-0000C19A0000}"/>
    <cellStyle name="BottomBorder 2 2" xfId="39627" xr:uid="{00000000-0005-0000-0000-0000C29A0000}"/>
    <cellStyle name="BottomBorder 3" xfId="39628" xr:uid="{00000000-0005-0000-0000-0000C39A0000}"/>
    <cellStyle name="Brackets" xfId="39629" xr:uid="{00000000-0005-0000-0000-0000C49A0000}"/>
    <cellStyle name="British Pound" xfId="39630" xr:uid="{00000000-0005-0000-0000-0000C59A0000}"/>
    <cellStyle name="British Pound 2" xfId="39631" xr:uid="{00000000-0005-0000-0000-0000C69A0000}"/>
    <cellStyle name="British Pound 2 2" xfId="39632" xr:uid="{00000000-0005-0000-0000-0000C79A0000}"/>
    <cellStyle name="British Pound 2 2 2" xfId="39633" xr:uid="{00000000-0005-0000-0000-0000C89A0000}"/>
    <cellStyle name="British Pound 2 3" xfId="39634" xr:uid="{00000000-0005-0000-0000-0000C99A0000}"/>
    <cellStyle name="Buena" xfId="39635" xr:uid="{00000000-0005-0000-0000-0000CA9A0000}"/>
    <cellStyle name="Buena 2" xfId="39636" xr:uid="{00000000-0005-0000-0000-0000CB9A0000}"/>
    <cellStyle name="Buena 2 2" xfId="39637" xr:uid="{00000000-0005-0000-0000-0000CC9A0000}"/>
    <cellStyle name="Buena 3" xfId="39638" xr:uid="{00000000-0005-0000-0000-0000CD9A0000}"/>
    <cellStyle name="Bullet" xfId="39639" xr:uid="{00000000-0005-0000-0000-0000CE9A0000}"/>
    <cellStyle name="C?AØ_ AuA¡AS" xfId="39640" xr:uid="{00000000-0005-0000-0000-0000CF9A0000}"/>
    <cellStyle name="C?AO_?A°??µAoC?" xfId="39641" xr:uid="{00000000-0005-0000-0000-0000D09A0000}"/>
    <cellStyle name="C￥AØ_ AuA¡AS" xfId="39642" xr:uid="{00000000-0005-0000-0000-0000D19A0000}"/>
    <cellStyle name="CABECALHO" xfId="39643" xr:uid="{00000000-0005-0000-0000-0000D29A0000}"/>
    <cellStyle name="CABECALHO 2" xfId="39644" xr:uid="{00000000-0005-0000-0000-0000D39A0000}"/>
    <cellStyle name="CABECALHO 2 2" xfId="39645" xr:uid="{00000000-0005-0000-0000-0000D49A0000}"/>
    <cellStyle name="CABECALHO 3" xfId="39646" xr:uid="{00000000-0005-0000-0000-0000D59A0000}"/>
    <cellStyle name="Cabecera 1" xfId="39647" xr:uid="{00000000-0005-0000-0000-0000D69A0000}"/>
    <cellStyle name="Cabecera 2" xfId="39648" xr:uid="{00000000-0005-0000-0000-0000D79A0000}"/>
    <cellStyle name="Calc Currency (0)" xfId="39649" xr:uid="{00000000-0005-0000-0000-0000D89A0000}"/>
    <cellStyle name="Calc Currency (0) 2" xfId="39650" xr:uid="{00000000-0005-0000-0000-0000D99A0000}"/>
    <cellStyle name="Calc Currency (0) 2 2" xfId="39651" xr:uid="{00000000-0005-0000-0000-0000DA9A0000}"/>
    <cellStyle name="Calc Currency (2)" xfId="39652" xr:uid="{00000000-0005-0000-0000-0000DB9A0000}"/>
    <cellStyle name="Calc Currency (2) 2" xfId="39653" xr:uid="{00000000-0005-0000-0000-0000DC9A0000}"/>
    <cellStyle name="Calc Currency (2) 2 2" xfId="39654" xr:uid="{00000000-0005-0000-0000-0000DD9A0000}"/>
    <cellStyle name="Calc Currency (2) 3" xfId="39655" xr:uid="{00000000-0005-0000-0000-0000DE9A0000}"/>
    <cellStyle name="Calc Percent (0)" xfId="39656" xr:uid="{00000000-0005-0000-0000-0000DF9A0000}"/>
    <cellStyle name="Calc Percent (0) 2" xfId="39657" xr:uid="{00000000-0005-0000-0000-0000E09A0000}"/>
    <cellStyle name="Calc Percent (0) 2 2" xfId="39658" xr:uid="{00000000-0005-0000-0000-0000E19A0000}"/>
    <cellStyle name="Calc Percent (0) 3" xfId="39659" xr:uid="{00000000-0005-0000-0000-0000E29A0000}"/>
    <cellStyle name="Calc Percent (1)" xfId="39660" xr:uid="{00000000-0005-0000-0000-0000E39A0000}"/>
    <cellStyle name="Calc Percent (1) 2" xfId="39661" xr:uid="{00000000-0005-0000-0000-0000E49A0000}"/>
    <cellStyle name="Calc Percent (1) 3" xfId="39662" xr:uid="{00000000-0005-0000-0000-0000E59A0000}"/>
    <cellStyle name="Calc Percent (1) 4" xfId="39663" xr:uid="{00000000-0005-0000-0000-0000E69A0000}"/>
    <cellStyle name="Calc Percent (1) 5" xfId="39664" xr:uid="{00000000-0005-0000-0000-0000E79A0000}"/>
    <cellStyle name="Calc Percent (1) 5 2" xfId="39665" xr:uid="{00000000-0005-0000-0000-0000E89A0000}"/>
    <cellStyle name="Calc Percent (1) 6" xfId="39666" xr:uid="{00000000-0005-0000-0000-0000E99A0000}"/>
    <cellStyle name="Calc Percent (2)" xfId="39667" xr:uid="{00000000-0005-0000-0000-0000EA9A0000}"/>
    <cellStyle name="Calc Percent (2) 2" xfId="39668" xr:uid="{00000000-0005-0000-0000-0000EB9A0000}"/>
    <cellStyle name="Calc Percent (2) 2 2" xfId="39669" xr:uid="{00000000-0005-0000-0000-0000EC9A0000}"/>
    <cellStyle name="Calc Percent (2) 3" xfId="39670" xr:uid="{00000000-0005-0000-0000-0000ED9A0000}"/>
    <cellStyle name="Calc Units (0)" xfId="39671" xr:uid="{00000000-0005-0000-0000-0000EE9A0000}"/>
    <cellStyle name="Calc Units (0) 2" xfId="39672" xr:uid="{00000000-0005-0000-0000-0000EF9A0000}"/>
    <cellStyle name="Calc Units (0) 2 2" xfId="39673" xr:uid="{00000000-0005-0000-0000-0000F09A0000}"/>
    <cellStyle name="Calc Units (0) 3" xfId="39674" xr:uid="{00000000-0005-0000-0000-0000F19A0000}"/>
    <cellStyle name="Calc Units (1)" xfId="39675" xr:uid="{00000000-0005-0000-0000-0000F29A0000}"/>
    <cellStyle name="Calc Units (1) 2" xfId="39676" xr:uid="{00000000-0005-0000-0000-0000F39A0000}"/>
    <cellStyle name="Calc Units (1) 2 2" xfId="39677" xr:uid="{00000000-0005-0000-0000-0000F49A0000}"/>
    <cellStyle name="Calc Units (1) 3" xfId="39678" xr:uid="{00000000-0005-0000-0000-0000F59A0000}"/>
    <cellStyle name="Calc Units (2)" xfId="39679" xr:uid="{00000000-0005-0000-0000-0000F69A0000}"/>
    <cellStyle name="Calc Units (2) 2" xfId="39680" xr:uid="{00000000-0005-0000-0000-0000F79A0000}"/>
    <cellStyle name="Calc Units (2) 2 2" xfId="39681" xr:uid="{00000000-0005-0000-0000-0000F89A0000}"/>
    <cellStyle name="Calc Units (2) 3" xfId="39682" xr:uid="{00000000-0005-0000-0000-0000F99A0000}"/>
    <cellStyle name="Calcul" xfId="39683" xr:uid="{00000000-0005-0000-0000-0000FA9A0000}"/>
    <cellStyle name="Calcul 2" xfId="39684" xr:uid="{00000000-0005-0000-0000-0000FB9A0000}"/>
    <cellStyle name="Calcul 2 2" xfId="39685" xr:uid="{00000000-0005-0000-0000-0000FC9A0000}"/>
    <cellStyle name="Calcul 2 2 2" xfId="39686" xr:uid="{00000000-0005-0000-0000-0000FD9A0000}"/>
    <cellStyle name="Calcul 2 3" xfId="39687" xr:uid="{00000000-0005-0000-0000-0000FE9A0000}"/>
    <cellStyle name="Calcul 2 3 2" xfId="39688" xr:uid="{00000000-0005-0000-0000-0000FF9A0000}"/>
    <cellStyle name="Calcul 2 3 3" xfId="39689" xr:uid="{00000000-0005-0000-0000-0000009B0000}"/>
    <cellStyle name="Calcul 2 4" xfId="39690" xr:uid="{00000000-0005-0000-0000-0000019B0000}"/>
    <cellStyle name="Calcul 2 5" xfId="39691" xr:uid="{00000000-0005-0000-0000-0000029B0000}"/>
    <cellStyle name="Calcul 3" xfId="39692" xr:uid="{00000000-0005-0000-0000-0000039B0000}"/>
    <cellStyle name="Calcul 3 2" xfId="39693" xr:uid="{00000000-0005-0000-0000-0000049B0000}"/>
    <cellStyle name="Calcul 4" xfId="39694" xr:uid="{00000000-0005-0000-0000-0000059B0000}"/>
    <cellStyle name="Calcul 4 2" xfId="39695" xr:uid="{00000000-0005-0000-0000-0000069B0000}"/>
    <cellStyle name="Calcul 4 3" xfId="39696" xr:uid="{00000000-0005-0000-0000-0000079B0000}"/>
    <cellStyle name="Calcul 5" xfId="39697" xr:uid="{00000000-0005-0000-0000-0000089B0000}"/>
    <cellStyle name="Calcul 6" xfId="39698" xr:uid="{00000000-0005-0000-0000-0000099B0000}"/>
    <cellStyle name="Calculation 10" xfId="39699" xr:uid="{00000000-0005-0000-0000-00000A9B0000}"/>
    <cellStyle name="Calculation 10 2" xfId="39700" xr:uid="{00000000-0005-0000-0000-00000B9B0000}"/>
    <cellStyle name="Calculation 10 2 2" xfId="39701" xr:uid="{00000000-0005-0000-0000-00000C9B0000}"/>
    <cellStyle name="Calculation 10 2 2 2" xfId="39702" xr:uid="{00000000-0005-0000-0000-00000D9B0000}"/>
    <cellStyle name="Calculation 10 2 3" xfId="39703" xr:uid="{00000000-0005-0000-0000-00000E9B0000}"/>
    <cellStyle name="Calculation 10 2 3 2" xfId="39704" xr:uid="{00000000-0005-0000-0000-00000F9B0000}"/>
    <cellStyle name="Calculation 10 2 3 3" xfId="39705" xr:uid="{00000000-0005-0000-0000-0000109B0000}"/>
    <cellStyle name="Calculation 10 2 4" xfId="39706" xr:uid="{00000000-0005-0000-0000-0000119B0000}"/>
    <cellStyle name="Calculation 10 2 5" xfId="39707" xr:uid="{00000000-0005-0000-0000-0000129B0000}"/>
    <cellStyle name="Calculation 10 3" xfId="39708" xr:uid="{00000000-0005-0000-0000-0000139B0000}"/>
    <cellStyle name="Calculation 10 3 2" xfId="39709" xr:uid="{00000000-0005-0000-0000-0000149B0000}"/>
    <cellStyle name="Calculation 10 3 3" xfId="39710" xr:uid="{00000000-0005-0000-0000-0000159B0000}"/>
    <cellStyle name="Calculation 10 4" xfId="39711" xr:uid="{00000000-0005-0000-0000-0000169B0000}"/>
    <cellStyle name="Calculation 10 5" xfId="39712" xr:uid="{00000000-0005-0000-0000-0000179B0000}"/>
    <cellStyle name="Calculation 100" xfId="39713" xr:uid="{00000000-0005-0000-0000-0000189B0000}"/>
    <cellStyle name="Calculation 100 2" xfId="39714" xr:uid="{00000000-0005-0000-0000-0000199B0000}"/>
    <cellStyle name="Calculation 100 2 2" xfId="39715" xr:uid="{00000000-0005-0000-0000-00001A9B0000}"/>
    <cellStyle name="Calculation 100 2 2 2" xfId="39716" xr:uid="{00000000-0005-0000-0000-00001B9B0000}"/>
    <cellStyle name="Calculation 100 2 3" xfId="39717" xr:uid="{00000000-0005-0000-0000-00001C9B0000}"/>
    <cellStyle name="Calculation 100 2 3 2" xfId="39718" xr:uid="{00000000-0005-0000-0000-00001D9B0000}"/>
    <cellStyle name="Calculation 100 2 3 3" xfId="39719" xr:uid="{00000000-0005-0000-0000-00001E9B0000}"/>
    <cellStyle name="Calculation 100 2 4" xfId="39720" xr:uid="{00000000-0005-0000-0000-00001F9B0000}"/>
    <cellStyle name="Calculation 100 2 5" xfId="39721" xr:uid="{00000000-0005-0000-0000-0000209B0000}"/>
    <cellStyle name="Calculation 100 3" xfId="39722" xr:uid="{00000000-0005-0000-0000-0000219B0000}"/>
    <cellStyle name="Calculation 100 3 2" xfId="39723" xr:uid="{00000000-0005-0000-0000-0000229B0000}"/>
    <cellStyle name="Calculation 100 3 3" xfId="39724" xr:uid="{00000000-0005-0000-0000-0000239B0000}"/>
    <cellStyle name="Calculation 100 4" xfId="39725" xr:uid="{00000000-0005-0000-0000-0000249B0000}"/>
    <cellStyle name="Calculation 100 5" xfId="39726" xr:uid="{00000000-0005-0000-0000-0000259B0000}"/>
    <cellStyle name="Calculation 101" xfId="39727" xr:uid="{00000000-0005-0000-0000-0000269B0000}"/>
    <cellStyle name="Calculation 101 2" xfId="39728" xr:uid="{00000000-0005-0000-0000-0000279B0000}"/>
    <cellStyle name="Calculation 101 2 2" xfId="39729" xr:uid="{00000000-0005-0000-0000-0000289B0000}"/>
    <cellStyle name="Calculation 101 2 2 2" xfId="39730" xr:uid="{00000000-0005-0000-0000-0000299B0000}"/>
    <cellStyle name="Calculation 101 2 3" xfId="39731" xr:uid="{00000000-0005-0000-0000-00002A9B0000}"/>
    <cellStyle name="Calculation 101 2 3 2" xfId="39732" xr:uid="{00000000-0005-0000-0000-00002B9B0000}"/>
    <cellStyle name="Calculation 101 2 3 3" xfId="39733" xr:uid="{00000000-0005-0000-0000-00002C9B0000}"/>
    <cellStyle name="Calculation 101 2 4" xfId="39734" xr:uid="{00000000-0005-0000-0000-00002D9B0000}"/>
    <cellStyle name="Calculation 101 2 5" xfId="39735" xr:uid="{00000000-0005-0000-0000-00002E9B0000}"/>
    <cellStyle name="Calculation 101 3" xfId="39736" xr:uid="{00000000-0005-0000-0000-00002F9B0000}"/>
    <cellStyle name="Calculation 101 3 2" xfId="39737" xr:uid="{00000000-0005-0000-0000-0000309B0000}"/>
    <cellStyle name="Calculation 101 3 3" xfId="39738" xr:uid="{00000000-0005-0000-0000-0000319B0000}"/>
    <cellStyle name="Calculation 101 4" xfId="39739" xr:uid="{00000000-0005-0000-0000-0000329B0000}"/>
    <cellStyle name="Calculation 101 5" xfId="39740" xr:uid="{00000000-0005-0000-0000-0000339B0000}"/>
    <cellStyle name="Calculation 102" xfId="39741" xr:uid="{00000000-0005-0000-0000-0000349B0000}"/>
    <cellStyle name="Calculation 102 2" xfId="39742" xr:uid="{00000000-0005-0000-0000-0000359B0000}"/>
    <cellStyle name="Calculation 102 2 2" xfId="39743" xr:uid="{00000000-0005-0000-0000-0000369B0000}"/>
    <cellStyle name="Calculation 102 2 2 2" xfId="39744" xr:uid="{00000000-0005-0000-0000-0000379B0000}"/>
    <cellStyle name="Calculation 102 2 3" xfId="39745" xr:uid="{00000000-0005-0000-0000-0000389B0000}"/>
    <cellStyle name="Calculation 102 2 3 2" xfId="39746" xr:uid="{00000000-0005-0000-0000-0000399B0000}"/>
    <cellStyle name="Calculation 102 2 3 3" xfId="39747" xr:uid="{00000000-0005-0000-0000-00003A9B0000}"/>
    <cellStyle name="Calculation 102 2 4" xfId="39748" xr:uid="{00000000-0005-0000-0000-00003B9B0000}"/>
    <cellStyle name="Calculation 102 2 5" xfId="39749" xr:uid="{00000000-0005-0000-0000-00003C9B0000}"/>
    <cellStyle name="Calculation 102 3" xfId="39750" xr:uid="{00000000-0005-0000-0000-00003D9B0000}"/>
    <cellStyle name="Calculation 102 3 2" xfId="39751" xr:uid="{00000000-0005-0000-0000-00003E9B0000}"/>
    <cellStyle name="Calculation 102 3 3" xfId="39752" xr:uid="{00000000-0005-0000-0000-00003F9B0000}"/>
    <cellStyle name="Calculation 102 4" xfId="39753" xr:uid="{00000000-0005-0000-0000-0000409B0000}"/>
    <cellStyle name="Calculation 102 5" xfId="39754" xr:uid="{00000000-0005-0000-0000-0000419B0000}"/>
    <cellStyle name="Calculation 103" xfId="39755" xr:uid="{00000000-0005-0000-0000-0000429B0000}"/>
    <cellStyle name="Calculation 103 2" xfId="39756" xr:uid="{00000000-0005-0000-0000-0000439B0000}"/>
    <cellStyle name="Calculation 103 2 2" xfId="39757" xr:uid="{00000000-0005-0000-0000-0000449B0000}"/>
    <cellStyle name="Calculation 103 2 2 2" xfId="39758" xr:uid="{00000000-0005-0000-0000-0000459B0000}"/>
    <cellStyle name="Calculation 103 2 3" xfId="39759" xr:uid="{00000000-0005-0000-0000-0000469B0000}"/>
    <cellStyle name="Calculation 103 2 3 2" xfId="39760" xr:uid="{00000000-0005-0000-0000-0000479B0000}"/>
    <cellStyle name="Calculation 103 2 3 3" xfId="39761" xr:uid="{00000000-0005-0000-0000-0000489B0000}"/>
    <cellStyle name="Calculation 103 2 4" xfId="39762" xr:uid="{00000000-0005-0000-0000-0000499B0000}"/>
    <cellStyle name="Calculation 103 2 5" xfId="39763" xr:uid="{00000000-0005-0000-0000-00004A9B0000}"/>
    <cellStyle name="Calculation 103 3" xfId="39764" xr:uid="{00000000-0005-0000-0000-00004B9B0000}"/>
    <cellStyle name="Calculation 103 3 2" xfId="39765" xr:uid="{00000000-0005-0000-0000-00004C9B0000}"/>
    <cellStyle name="Calculation 103 3 3" xfId="39766" xr:uid="{00000000-0005-0000-0000-00004D9B0000}"/>
    <cellStyle name="Calculation 103 4" xfId="39767" xr:uid="{00000000-0005-0000-0000-00004E9B0000}"/>
    <cellStyle name="Calculation 103 5" xfId="39768" xr:uid="{00000000-0005-0000-0000-00004F9B0000}"/>
    <cellStyle name="Calculation 104" xfId="39769" xr:uid="{00000000-0005-0000-0000-0000509B0000}"/>
    <cellStyle name="Calculation 104 2" xfId="39770" xr:uid="{00000000-0005-0000-0000-0000519B0000}"/>
    <cellStyle name="Calculation 104 2 2" xfId="39771" xr:uid="{00000000-0005-0000-0000-0000529B0000}"/>
    <cellStyle name="Calculation 104 2 2 2" xfId="39772" xr:uid="{00000000-0005-0000-0000-0000539B0000}"/>
    <cellStyle name="Calculation 104 2 3" xfId="39773" xr:uid="{00000000-0005-0000-0000-0000549B0000}"/>
    <cellStyle name="Calculation 104 2 3 2" xfId="39774" xr:uid="{00000000-0005-0000-0000-0000559B0000}"/>
    <cellStyle name="Calculation 104 2 3 3" xfId="39775" xr:uid="{00000000-0005-0000-0000-0000569B0000}"/>
    <cellStyle name="Calculation 104 2 4" xfId="39776" xr:uid="{00000000-0005-0000-0000-0000579B0000}"/>
    <cellStyle name="Calculation 104 2 5" xfId="39777" xr:uid="{00000000-0005-0000-0000-0000589B0000}"/>
    <cellStyle name="Calculation 104 3" xfId="39778" xr:uid="{00000000-0005-0000-0000-0000599B0000}"/>
    <cellStyle name="Calculation 104 3 2" xfId="39779" xr:uid="{00000000-0005-0000-0000-00005A9B0000}"/>
    <cellStyle name="Calculation 104 3 3" xfId="39780" xr:uid="{00000000-0005-0000-0000-00005B9B0000}"/>
    <cellStyle name="Calculation 104 4" xfId="39781" xr:uid="{00000000-0005-0000-0000-00005C9B0000}"/>
    <cellStyle name="Calculation 104 5" xfId="39782" xr:uid="{00000000-0005-0000-0000-00005D9B0000}"/>
    <cellStyle name="Calculation 105" xfId="39783" xr:uid="{00000000-0005-0000-0000-00005E9B0000}"/>
    <cellStyle name="Calculation 105 2" xfId="39784" xr:uid="{00000000-0005-0000-0000-00005F9B0000}"/>
    <cellStyle name="Calculation 105 2 2" xfId="39785" xr:uid="{00000000-0005-0000-0000-0000609B0000}"/>
    <cellStyle name="Calculation 105 2 2 2" xfId="39786" xr:uid="{00000000-0005-0000-0000-0000619B0000}"/>
    <cellStyle name="Calculation 105 2 3" xfId="39787" xr:uid="{00000000-0005-0000-0000-0000629B0000}"/>
    <cellStyle name="Calculation 105 2 3 2" xfId="39788" xr:uid="{00000000-0005-0000-0000-0000639B0000}"/>
    <cellStyle name="Calculation 105 2 3 3" xfId="39789" xr:uid="{00000000-0005-0000-0000-0000649B0000}"/>
    <cellStyle name="Calculation 105 2 4" xfId="39790" xr:uid="{00000000-0005-0000-0000-0000659B0000}"/>
    <cellStyle name="Calculation 105 2 5" xfId="39791" xr:uid="{00000000-0005-0000-0000-0000669B0000}"/>
    <cellStyle name="Calculation 105 3" xfId="39792" xr:uid="{00000000-0005-0000-0000-0000679B0000}"/>
    <cellStyle name="Calculation 105 3 2" xfId="39793" xr:uid="{00000000-0005-0000-0000-0000689B0000}"/>
    <cellStyle name="Calculation 105 3 3" xfId="39794" xr:uid="{00000000-0005-0000-0000-0000699B0000}"/>
    <cellStyle name="Calculation 105 4" xfId="39795" xr:uid="{00000000-0005-0000-0000-00006A9B0000}"/>
    <cellStyle name="Calculation 105 5" xfId="39796" xr:uid="{00000000-0005-0000-0000-00006B9B0000}"/>
    <cellStyle name="Calculation 106" xfId="39797" xr:uid="{00000000-0005-0000-0000-00006C9B0000}"/>
    <cellStyle name="Calculation 106 2" xfId="39798" xr:uid="{00000000-0005-0000-0000-00006D9B0000}"/>
    <cellStyle name="Calculation 106 2 2" xfId="39799" xr:uid="{00000000-0005-0000-0000-00006E9B0000}"/>
    <cellStyle name="Calculation 106 2 2 2" xfId="39800" xr:uid="{00000000-0005-0000-0000-00006F9B0000}"/>
    <cellStyle name="Calculation 106 2 3" xfId="39801" xr:uid="{00000000-0005-0000-0000-0000709B0000}"/>
    <cellStyle name="Calculation 106 2 3 2" xfId="39802" xr:uid="{00000000-0005-0000-0000-0000719B0000}"/>
    <cellStyle name="Calculation 106 2 3 3" xfId="39803" xr:uid="{00000000-0005-0000-0000-0000729B0000}"/>
    <cellStyle name="Calculation 106 2 4" xfId="39804" xr:uid="{00000000-0005-0000-0000-0000739B0000}"/>
    <cellStyle name="Calculation 106 2 5" xfId="39805" xr:uid="{00000000-0005-0000-0000-0000749B0000}"/>
    <cellStyle name="Calculation 106 3" xfId="39806" xr:uid="{00000000-0005-0000-0000-0000759B0000}"/>
    <cellStyle name="Calculation 106 3 2" xfId="39807" xr:uid="{00000000-0005-0000-0000-0000769B0000}"/>
    <cellStyle name="Calculation 106 3 3" xfId="39808" xr:uid="{00000000-0005-0000-0000-0000779B0000}"/>
    <cellStyle name="Calculation 106 4" xfId="39809" xr:uid="{00000000-0005-0000-0000-0000789B0000}"/>
    <cellStyle name="Calculation 106 5" xfId="39810" xr:uid="{00000000-0005-0000-0000-0000799B0000}"/>
    <cellStyle name="Calculation 107" xfId="39811" xr:uid="{00000000-0005-0000-0000-00007A9B0000}"/>
    <cellStyle name="Calculation 107 2" xfId="39812" xr:uid="{00000000-0005-0000-0000-00007B9B0000}"/>
    <cellStyle name="Calculation 107 2 2" xfId="39813" xr:uid="{00000000-0005-0000-0000-00007C9B0000}"/>
    <cellStyle name="Calculation 107 2 2 2" xfId="39814" xr:uid="{00000000-0005-0000-0000-00007D9B0000}"/>
    <cellStyle name="Calculation 107 2 3" xfId="39815" xr:uid="{00000000-0005-0000-0000-00007E9B0000}"/>
    <cellStyle name="Calculation 107 2 3 2" xfId="39816" xr:uid="{00000000-0005-0000-0000-00007F9B0000}"/>
    <cellStyle name="Calculation 107 2 3 3" xfId="39817" xr:uid="{00000000-0005-0000-0000-0000809B0000}"/>
    <cellStyle name="Calculation 107 2 4" xfId="39818" xr:uid="{00000000-0005-0000-0000-0000819B0000}"/>
    <cellStyle name="Calculation 107 2 5" xfId="39819" xr:uid="{00000000-0005-0000-0000-0000829B0000}"/>
    <cellStyle name="Calculation 107 3" xfId="39820" xr:uid="{00000000-0005-0000-0000-0000839B0000}"/>
    <cellStyle name="Calculation 107 3 2" xfId="39821" xr:uid="{00000000-0005-0000-0000-0000849B0000}"/>
    <cellStyle name="Calculation 107 3 3" xfId="39822" xr:uid="{00000000-0005-0000-0000-0000859B0000}"/>
    <cellStyle name="Calculation 107 4" xfId="39823" xr:uid="{00000000-0005-0000-0000-0000869B0000}"/>
    <cellStyle name="Calculation 107 5" xfId="39824" xr:uid="{00000000-0005-0000-0000-0000879B0000}"/>
    <cellStyle name="Calculation 108" xfId="39825" xr:uid="{00000000-0005-0000-0000-0000889B0000}"/>
    <cellStyle name="Calculation 108 2" xfId="39826" xr:uid="{00000000-0005-0000-0000-0000899B0000}"/>
    <cellStyle name="Calculation 108 2 2" xfId="39827" xr:uid="{00000000-0005-0000-0000-00008A9B0000}"/>
    <cellStyle name="Calculation 108 2 2 2" xfId="39828" xr:uid="{00000000-0005-0000-0000-00008B9B0000}"/>
    <cellStyle name="Calculation 108 2 3" xfId="39829" xr:uid="{00000000-0005-0000-0000-00008C9B0000}"/>
    <cellStyle name="Calculation 108 2 3 2" xfId="39830" xr:uid="{00000000-0005-0000-0000-00008D9B0000}"/>
    <cellStyle name="Calculation 108 2 3 3" xfId="39831" xr:uid="{00000000-0005-0000-0000-00008E9B0000}"/>
    <cellStyle name="Calculation 108 2 4" xfId="39832" xr:uid="{00000000-0005-0000-0000-00008F9B0000}"/>
    <cellStyle name="Calculation 108 2 5" xfId="39833" xr:uid="{00000000-0005-0000-0000-0000909B0000}"/>
    <cellStyle name="Calculation 108 3" xfId="39834" xr:uid="{00000000-0005-0000-0000-0000919B0000}"/>
    <cellStyle name="Calculation 108 3 2" xfId="39835" xr:uid="{00000000-0005-0000-0000-0000929B0000}"/>
    <cellStyle name="Calculation 108 3 3" xfId="39836" xr:uid="{00000000-0005-0000-0000-0000939B0000}"/>
    <cellStyle name="Calculation 108 4" xfId="39837" xr:uid="{00000000-0005-0000-0000-0000949B0000}"/>
    <cellStyle name="Calculation 108 5" xfId="39838" xr:uid="{00000000-0005-0000-0000-0000959B0000}"/>
    <cellStyle name="Calculation 109" xfId="39839" xr:uid="{00000000-0005-0000-0000-0000969B0000}"/>
    <cellStyle name="Calculation 109 2" xfId="39840" xr:uid="{00000000-0005-0000-0000-0000979B0000}"/>
    <cellStyle name="Calculation 109 2 2" xfId="39841" xr:uid="{00000000-0005-0000-0000-0000989B0000}"/>
    <cellStyle name="Calculation 109 2 2 2" xfId="39842" xr:uid="{00000000-0005-0000-0000-0000999B0000}"/>
    <cellStyle name="Calculation 109 2 3" xfId="39843" xr:uid="{00000000-0005-0000-0000-00009A9B0000}"/>
    <cellStyle name="Calculation 109 2 3 2" xfId="39844" xr:uid="{00000000-0005-0000-0000-00009B9B0000}"/>
    <cellStyle name="Calculation 109 2 3 3" xfId="39845" xr:uid="{00000000-0005-0000-0000-00009C9B0000}"/>
    <cellStyle name="Calculation 109 2 4" xfId="39846" xr:uid="{00000000-0005-0000-0000-00009D9B0000}"/>
    <cellStyle name="Calculation 109 2 5" xfId="39847" xr:uid="{00000000-0005-0000-0000-00009E9B0000}"/>
    <cellStyle name="Calculation 109 3" xfId="39848" xr:uid="{00000000-0005-0000-0000-00009F9B0000}"/>
    <cellStyle name="Calculation 109 3 2" xfId="39849" xr:uid="{00000000-0005-0000-0000-0000A09B0000}"/>
    <cellStyle name="Calculation 109 3 3" xfId="39850" xr:uid="{00000000-0005-0000-0000-0000A19B0000}"/>
    <cellStyle name="Calculation 109 4" xfId="39851" xr:uid="{00000000-0005-0000-0000-0000A29B0000}"/>
    <cellStyle name="Calculation 109 5" xfId="39852" xr:uid="{00000000-0005-0000-0000-0000A39B0000}"/>
    <cellStyle name="Calculation 11" xfId="39853" xr:uid="{00000000-0005-0000-0000-0000A49B0000}"/>
    <cellStyle name="Calculation 11 2" xfId="39854" xr:uid="{00000000-0005-0000-0000-0000A59B0000}"/>
    <cellStyle name="Calculation 11 2 2" xfId="39855" xr:uid="{00000000-0005-0000-0000-0000A69B0000}"/>
    <cellStyle name="Calculation 11 2 2 2" xfId="39856" xr:uid="{00000000-0005-0000-0000-0000A79B0000}"/>
    <cellStyle name="Calculation 11 2 3" xfId="39857" xr:uid="{00000000-0005-0000-0000-0000A89B0000}"/>
    <cellStyle name="Calculation 11 2 3 2" xfId="39858" xr:uid="{00000000-0005-0000-0000-0000A99B0000}"/>
    <cellStyle name="Calculation 11 2 3 3" xfId="39859" xr:uid="{00000000-0005-0000-0000-0000AA9B0000}"/>
    <cellStyle name="Calculation 11 2 4" xfId="39860" xr:uid="{00000000-0005-0000-0000-0000AB9B0000}"/>
    <cellStyle name="Calculation 11 2 5" xfId="39861" xr:uid="{00000000-0005-0000-0000-0000AC9B0000}"/>
    <cellStyle name="Calculation 11 3" xfId="39862" xr:uid="{00000000-0005-0000-0000-0000AD9B0000}"/>
    <cellStyle name="Calculation 11 3 2" xfId="39863" xr:uid="{00000000-0005-0000-0000-0000AE9B0000}"/>
    <cellStyle name="Calculation 11 3 3" xfId="39864" xr:uid="{00000000-0005-0000-0000-0000AF9B0000}"/>
    <cellStyle name="Calculation 11 4" xfId="39865" xr:uid="{00000000-0005-0000-0000-0000B09B0000}"/>
    <cellStyle name="Calculation 11 5" xfId="39866" xr:uid="{00000000-0005-0000-0000-0000B19B0000}"/>
    <cellStyle name="Calculation 110" xfId="39867" xr:uid="{00000000-0005-0000-0000-0000B29B0000}"/>
    <cellStyle name="Calculation 110 2" xfId="39868" xr:uid="{00000000-0005-0000-0000-0000B39B0000}"/>
    <cellStyle name="Calculation 110 2 2" xfId="39869" xr:uid="{00000000-0005-0000-0000-0000B49B0000}"/>
    <cellStyle name="Calculation 110 2 2 2" xfId="39870" xr:uid="{00000000-0005-0000-0000-0000B59B0000}"/>
    <cellStyle name="Calculation 110 2 3" xfId="39871" xr:uid="{00000000-0005-0000-0000-0000B69B0000}"/>
    <cellStyle name="Calculation 110 2 3 2" xfId="39872" xr:uid="{00000000-0005-0000-0000-0000B79B0000}"/>
    <cellStyle name="Calculation 110 2 3 3" xfId="39873" xr:uid="{00000000-0005-0000-0000-0000B89B0000}"/>
    <cellStyle name="Calculation 110 2 4" xfId="39874" xr:uid="{00000000-0005-0000-0000-0000B99B0000}"/>
    <cellStyle name="Calculation 110 2 5" xfId="39875" xr:uid="{00000000-0005-0000-0000-0000BA9B0000}"/>
    <cellStyle name="Calculation 110 3" xfId="39876" xr:uid="{00000000-0005-0000-0000-0000BB9B0000}"/>
    <cellStyle name="Calculation 110 3 2" xfId="39877" xr:uid="{00000000-0005-0000-0000-0000BC9B0000}"/>
    <cellStyle name="Calculation 110 3 3" xfId="39878" xr:uid="{00000000-0005-0000-0000-0000BD9B0000}"/>
    <cellStyle name="Calculation 110 4" xfId="39879" xr:uid="{00000000-0005-0000-0000-0000BE9B0000}"/>
    <cellStyle name="Calculation 110 5" xfId="39880" xr:uid="{00000000-0005-0000-0000-0000BF9B0000}"/>
    <cellStyle name="Calculation 111" xfId="39881" xr:uid="{00000000-0005-0000-0000-0000C09B0000}"/>
    <cellStyle name="Calculation 111 2" xfId="39882" xr:uid="{00000000-0005-0000-0000-0000C19B0000}"/>
    <cellStyle name="Calculation 111 2 2" xfId="39883" xr:uid="{00000000-0005-0000-0000-0000C29B0000}"/>
    <cellStyle name="Calculation 111 2 2 2" xfId="39884" xr:uid="{00000000-0005-0000-0000-0000C39B0000}"/>
    <cellStyle name="Calculation 111 2 3" xfId="39885" xr:uid="{00000000-0005-0000-0000-0000C49B0000}"/>
    <cellStyle name="Calculation 111 2 3 2" xfId="39886" xr:uid="{00000000-0005-0000-0000-0000C59B0000}"/>
    <cellStyle name="Calculation 111 2 3 3" xfId="39887" xr:uid="{00000000-0005-0000-0000-0000C69B0000}"/>
    <cellStyle name="Calculation 111 2 4" xfId="39888" xr:uid="{00000000-0005-0000-0000-0000C79B0000}"/>
    <cellStyle name="Calculation 111 2 5" xfId="39889" xr:uid="{00000000-0005-0000-0000-0000C89B0000}"/>
    <cellStyle name="Calculation 111 3" xfId="39890" xr:uid="{00000000-0005-0000-0000-0000C99B0000}"/>
    <cellStyle name="Calculation 111 3 2" xfId="39891" xr:uid="{00000000-0005-0000-0000-0000CA9B0000}"/>
    <cellStyle name="Calculation 111 3 3" xfId="39892" xr:uid="{00000000-0005-0000-0000-0000CB9B0000}"/>
    <cellStyle name="Calculation 111 4" xfId="39893" xr:uid="{00000000-0005-0000-0000-0000CC9B0000}"/>
    <cellStyle name="Calculation 111 5" xfId="39894" xr:uid="{00000000-0005-0000-0000-0000CD9B0000}"/>
    <cellStyle name="Calculation 112" xfId="39895" xr:uid="{00000000-0005-0000-0000-0000CE9B0000}"/>
    <cellStyle name="Calculation 112 2" xfId="39896" xr:uid="{00000000-0005-0000-0000-0000CF9B0000}"/>
    <cellStyle name="Calculation 112 2 2" xfId="39897" xr:uid="{00000000-0005-0000-0000-0000D09B0000}"/>
    <cellStyle name="Calculation 112 2 2 2" xfId="39898" xr:uid="{00000000-0005-0000-0000-0000D19B0000}"/>
    <cellStyle name="Calculation 112 2 3" xfId="39899" xr:uid="{00000000-0005-0000-0000-0000D29B0000}"/>
    <cellStyle name="Calculation 112 2 3 2" xfId="39900" xr:uid="{00000000-0005-0000-0000-0000D39B0000}"/>
    <cellStyle name="Calculation 112 2 3 3" xfId="39901" xr:uid="{00000000-0005-0000-0000-0000D49B0000}"/>
    <cellStyle name="Calculation 112 2 4" xfId="39902" xr:uid="{00000000-0005-0000-0000-0000D59B0000}"/>
    <cellStyle name="Calculation 112 2 5" xfId="39903" xr:uid="{00000000-0005-0000-0000-0000D69B0000}"/>
    <cellStyle name="Calculation 112 3" xfId="39904" xr:uid="{00000000-0005-0000-0000-0000D79B0000}"/>
    <cellStyle name="Calculation 112 3 2" xfId="39905" xr:uid="{00000000-0005-0000-0000-0000D89B0000}"/>
    <cellStyle name="Calculation 112 3 3" xfId="39906" xr:uid="{00000000-0005-0000-0000-0000D99B0000}"/>
    <cellStyle name="Calculation 112 4" xfId="39907" xr:uid="{00000000-0005-0000-0000-0000DA9B0000}"/>
    <cellStyle name="Calculation 112 5" xfId="39908" xr:uid="{00000000-0005-0000-0000-0000DB9B0000}"/>
    <cellStyle name="Calculation 113" xfId="39909" xr:uid="{00000000-0005-0000-0000-0000DC9B0000}"/>
    <cellStyle name="Calculation 113 2" xfId="39910" xr:uid="{00000000-0005-0000-0000-0000DD9B0000}"/>
    <cellStyle name="Calculation 113 2 2" xfId="39911" xr:uid="{00000000-0005-0000-0000-0000DE9B0000}"/>
    <cellStyle name="Calculation 113 2 2 2" xfId="39912" xr:uid="{00000000-0005-0000-0000-0000DF9B0000}"/>
    <cellStyle name="Calculation 113 2 3" xfId="39913" xr:uid="{00000000-0005-0000-0000-0000E09B0000}"/>
    <cellStyle name="Calculation 113 2 3 2" xfId="39914" xr:uid="{00000000-0005-0000-0000-0000E19B0000}"/>
    <cellStyle name="Calculation 113 2 3 3" xfId="39915" xr:uid="{00000000-0005-0000-0000-0000E29B0000}"/>
    <cellStyle name="Calculation 113 2 4" xfId="39916" xr:uid="{00000000-0005-0000-0000-0000E39B0000}"/>
    <cellStyle name="Calculation 113 2 5" xfId="39917" xr:uid="{00000000-0005-0000-0000-0000E49B0000}"/>
    <cellStyle name="Calculation 113 3" xfId="39918" xr:uid="{00000000-0005-0000-0000-0000E59B0000}"/>
    <cellStyle name="Calculation 113 3 2" xfId="39919" xr:uid="{00000000-0005-0000-0000-0000E69B0000}"/>
    <cellStyle name="Calculation 113 3 3" xfId="39920" xr:uid="{00000000-0005-0000-0000-0000E79B0000}"/>
    <cellStyle name="Calculation 113 4" xfId="39921" xr:uid="{00000000-0005-0000-0000-0000E89B0000}"/>
    <cellStyle name="Calculation 113 5" xfId="39922" xr:uid="{00000000-0005-0000-0000-0000E99B0000}"/>
    <cellStyle name="Calculation 114" xfId="39923" xr:uid="{00000000-0005-0000-0000-0000EA9B0000}"/>
    <cellStyle name="Calculation 114 2" xfId="39924" xr:uid="{00000000-0005-0000-0000-0000EB9B0000}"/>
    <cellStyle name="Calculation 114 2 2" xfId="39925" xr:uid="{00000000-0005-0000-0000-0000EC9B0000}"/>
    <cellStyle name="Calculation 114 2 2 2" xfId="39926" xr:uid="{00000000-0005-0000-0000-0000ED9B0000}"/>
    <cellStyle name="Calculation 114 2 3" xfId="39927" xr:uid="{00000000-0005-0000-0000-0000EE9B0000}"/>
    <cellStyle name="Calculation 114 2 3 2" xfId="39928" xr:uid="{00000000-0005-0000-0000-0000EF9B0000}"/>
    <cellStyle name="Calculation 114 2 3 3" xfId="39929" xr:uid="{00000000-0005-0000-0000-0000F09B0000}"/>
    <cellStyle name="Calculation 114 2 4" xfId="39930" xr:uid="{00000000-0005-0000-0000-0000F19B0000}"/>
    <cellStyle name="Calculation 114 2 5" xfId="39931" xr:uid="{00000000-0005-0000-0000-0000F29B0000}"/>
    <cellStyle name="Calculation 114 3" xfId="39932" xr:uid="{00000000-0005-0000-0000-0000F39B0000}"/>
    <cellStyle name="Calculation 114 3 2" xfId="39933" xr:uid="{00000000-0005-0000-0000-0000F49B0000}"/>
    <cellStyle name="Calculation 114 3 3" xfId="39934" xr:uid="{00000000-0005-0000-0000-0000F59B0000}"/>
    <cellStyle name="Calculation 114 4" xfId="39935" xr:uid="{00000000-0005-0000-0000-0000F69B0000}"/>
    <cellStyle name="Calculation 114 5" xfId="39936" xr:uid="{00000000-0005-0000-0000-0000F79B0000}"/>
    <cellStyle name="Calculation 115" xfId="39937" xr:uid="{00000000-0005-0000-0000-0000F89B0000}"/>
    <cellStyle name="Calculation 115 2" xfId="39938" xr:uid="{00000000-0005-0000-0000-0000F99B0000}"/>
    <cellStyle name="Calculation 115 2 2" xfId="39939" xr:uid="{00000000-0005-0000-0000-0000FA9B0000}"/>
    <cellStyle name="Calculation 115 2 2 2" xfId="39940" xr:uid="{00000000-0005-0000-0000-0000FB9B0000}"/>
    <cellStyle name="Calculation 115 2 3" xfId="39941" xr:uid="{00000000-0005-0000-0000-0000FC9B0000}"/>
    <cellStyle name="Calculation 115 2 3 2" xfId="39942" xr:uid="{00000000-0005-0000-0000-0000FD9B0000}"/>
    <cellStyle name="Calculation 115 2 3 3" xfId="39943" xr:uid="{00000000-0005-0000-0000-0000FE9B0000}"/>
    <cellStyle name="Calculation 115 2 4" xfId="39944" xr:uid="{00000000-0005-0000-0000-0000FF9B0000}"/>
    <cellStyle name="Calculation 115 2 5" xfId="39945" xr:uid="{00000000-0005-0000-0000-0000009C0000}"/>
    <cellStyle name="Calculation 115 3" xfId="39946" xr:uid="{00000000-0005-0000-0000-0000019C0000}"/>
    <cellStyle name="Calculation 115 3 2" xfId="39947" xr:uid="{00000000-0005-0000-0000-0000029C0000}"/>
    <cellStyle name="Calculation 115 3 3" xfId="39948" xr:uid="{00000000-0005-0000-0000-0000039C0000}"/>
    <cellStyle name="Calculation 115 4" xfId="39949" xr:uid="{00000000-0005-0000-0000-0000049C0000}"/>
    <cellStyle name="Calculation 115 5" xfId="39950" xr:uid="{00000000-0005-0000-0000-0000059C0000}"/>
    <cellStyle name="Calculation 116" xfId="39951" xr:uid="{00000000-0005-0000-0000-0000069C0000}"/>
    <cellStyle name="Calculation 116 2" xfId="39952" xr:uid="{00000000-0005-0000-0000-0000079C0000}"/>
    <cellStyle name="Calculation 116 2 2" xfId="39953" xr:uid="{00000000-0005-0000-0000-0000089C0000}"/>
    <cellStyle name="Calculation 116 2 2 2" xfId="39954" xr:uid="{00000000-0005-0000-0000-0000099C0000}"/>
    <cellStyle name="Calculation 116 2 3" xfId="39955" xr:uid="{00000000-0005-0000-0000-00000A9C0000}"/>
    <cellStyle name="Calculation 116 2 3 2" xfId="39956" xr:uid="{00000000-0005-0000-0000-00000B9C0000}"/>
    <cellStyle name="Calculation 116 2 3 3" xfId="39957" xr:uid="{00000000-0005-0000-0000-00000C9C0000}"/>
    <cellStyle name="Calculation 116 2 4" xfId="39958" xr:uid="{00000000-0005-0000-0000-00000D9C0000}"/>
    <cellStyle name="Calculation 116 2 5" xfId="39959" xr:uid="{00000000-0005-0000-0000-00000E9C0000}"/>
    <cellStyle name="Calculation 116 3" xfId="39960" xr:uid="{00000000-0005-0000-0000-00000F9C0000}"/>
    <cellStyle name="Calculation 116 3 2" xfId="39961" xr:uid="{00000000-0005-0000-0000-0000109C0000}"/>
    <cellStyle name="Calculation 116 3 3" xfId="39962" xr:uid="{00000000-0005-0000-0000-0000119C0000}"/>
    <cellStyle name="Calculation 116 4" xfId="39963" xr:uid="{00000000-0005-0000-0000-0000129C0000}"/>
    <cellStyle name="Calculation 116 5" xfId="39964" xr:uid="{00000000-0005-0000-0000-0000139C0000}"/>
    <cellStyle name="Calculation 117" xfId="39965" xr:uid="{00000000-0005-0000-0000-0000149C0000}"/>
    <cellStyle name="Calculation 117 2" xfId="39966" xr:uid="{00000000-0005-0000-0000-0000159C0000}"/>
    <cellStyle name="Calculation 117 2 2" xfId="39967" xr:uid="{00000000-0005-0000-0000-0000169C0000}"/>
    <cellStyle name="Calculation 117 2 2 2" xfId="39968" xr:uid="{00000000-0005-0000-0000-0000179C0000}"/>
    <cellStyle name="Calculation 117 2 3" xfId="39969" xr:uid="{00000000-0005-0000-0000-0000189C0000}"/>
    <cellStyle name="Calculation 117 2 3 2" xfId="39970" xr:uid="{00000000-0005-0000-0000-0000199C0000}"/>
    <cellStyle name="Calculation 117 2 3 3" xfId="39971" xr:uid="{00000000-0005-0000-0000-00001A9C0000}"/>
    <cellStyle name="Calculation 117 2 4" xfId="39972" xr:uid="{00000000-0005-0000-0000-00001B9C0000}"/>
    <cellStyle name="Calculation 117 2 5" xfId="39973" xr:uid="{00000000-0005-0000-0000-00001C9C0000}"/>
    <cellStyle name="Calculation 117 3" xfId="39974" xr:uid="{00000000-0005-0000-0000-00001D9C0000}"/>
    <cellStyle name="Calculation 117 3 2" xfId="39975" xr:uid="{00000000-0005-0000-0000-00001E9C0000}"/>
    <cellStyle name="Calculation 117 3 3" xfId="39976" xr:uid="{00000000-0005-0000-0000-00001F9C0000}"/>
    <cellStyle name="Calculation 117 4" xfId="39977" xr:uid="{00000000-0005-0000-0000-0000209C0000}"/>
    <cellStyle name="Calculation 117 5" xfId="39978" xr:uid="{00000000-0005-0000-0000-0000219C0000}"/>
    <cellStyle name="Calculation 118" xfId="39979" xr:uid="{00000000-0005-0000-0000-0000229C0000}"/>
    <cellStyle name="Calculation 118 2" xfId="39980" xr:uid="{00000000-0005-0000-0000-0000239C0000}"/>
    <cellStyle name="Calculation 118 2 2" xfId="39981" xr:uid="{00000000-0005-0000-0000-0000249C0000}"/>
    <cellStyle name="Calculation 118 2 2 2" xfId="39982" xr:uid="{00000000-0005-0000-0000-0000259C0000}"/>
    <cellStyle name="Calculation 118 2 3" xfId="39983" xr:uid="{00000000-0005-0000-0000-0000269C0000}"/>
    <cellStyle name="Calculation 118 2 3 2" xfId="39984" xr:uid="{00000000-0005-0000-0000-0000279C0000}"/>
    <cellStyle name="Calculation 118 2 3 3" xfId="39985" xr:uid="{00000000-0005-0000-0000-0000289C0000}"/>
    <cellStyle name="Calculation 118 2 4" xfId="39986" xr:uid="{00000000-0005-0000-0000-0000299C0000}"/>
    <cellStyle name="Calculation 118 2 5" xfId="39987" xr:uid="{00000000-0005-0000-0000-00002A9C0000}"/>
    <cellStyle name="Calculation 118 3" xfId="39988" xr:uid="{00000000-0005-0000-0000-00002B9C0000}"/>
    <cellStyle name="Calculation 118 3 2" xfId="39989" xr:uid="{00000000-0005-0000-0000-00002C9C0000}"/>
    <cellStyle name="Calculation 118 3 3" xfId="39990" xr:uid="{00000000-0005-0000-0000-00002D9C0000}"/>
    <cellStyle name="Calculation 118 4" xfId="39991" xr:uid="{00000000-0005-0000-0000-00002E9C0000}"/>
    <cellStyle name="Calculation 118 5" xfId="39992" xr:uid="{00000000-0005-0000-0000-00002F9C0000}"/>
    <cellStyle name="Calculation 119" xfId="39993" xr:uid="{00000000-0005-0000-0000-0000309C0000}"/>
    <cellStyle name="Calculation 119 2" xfId="39994" xr:uid="{00000000-0005-0000-0000-0000319C0000}"/>
    <cellStyle name="Calculation 119 2 2" xfId="39995" xr:uid="{00000000-0005-0000-0000-0000329C0000}"/>
    <cellStyle name="Calculation 119 2 2 2" xfId="39996" xr:uid="{00000000-0005-0000-0000-0000339C0000}"/>
    <cellStyle name="Calculation 119 2 3" xfId="39997" xr:uid="{00000000-0005-0000-0000-0000349C0000}"/>
    <cellStyle name="Calculation 119 2 3 2" xfId="39998" xr:uid="{00000000-0005-0000-0000-0000359C0000}"/>
    <cellStyle name="Calculation 119 2 3 3" xfId="39999" xr:uid="{00000000-0005-0000-0000-0000369C0000}"/>
    <cellStyle name="Calculation 119 2 4" xfId="40000" xr:uid="{00000000-0005-0000-0000-0000379C0000}"/>
    <cellStyle name="Calculation 119 2 5" xfId="40001" xr:uid="{00000000-0005-0000-0000-0000389C0000}"/>
    <cellStyle name="Calculation 119 3" xfId="40002" xr:uid="{00000000-0005-0000-0000-0000399C0000}"/>
    <cellStyle name="Calculation 119 3 2" xfId="40003" xr:uid="{00000000-0005-0000-0000-00003A9C0000}"/>
    <cellStyle name="Calculation 119 3 3" xfId="40004" xr:uid="{00000000-0005-0000-0000-00003B9C0000}"/>
    <cellStyle name="Calculation 119 4" xfId="40005" xr:uid="{00000000-0005-0000-0000-00003C9C0000}"/>
    <cellStyle name="Calculation 119 5" xfId="40006" xr:uid="{00000000-0005-0000-0000-00003D9C0000}"/>
    <cellStyle name="Calculation 12" xfId="40007" xr:uid="{00000000-0005-0000-0000-00003E9C0000}"/>
    <cellStyle name="Calculation 12 2" xfId="40008" xr:uid="{00000000-0005-0000-0000-00003F9C0000}"/>
    <cellStyle name="Calculation 12 2 2" xfId="40009" xr:uid="{00000000-0005-0000-0000-0000409C0000}"/>
    <cellStyle name="Calculation 12 2 2 2" xfId="40010" xr:uid="{00000000-0005-0000-0000-0000419C0000}"/>
    <cellStyle name="Calculation 12 2 3" xfId="40011" xr:uid="{00000000-0005-0000-0000-0000429C0000}"/>
    <cellStyle name="Calculation 12 2 3 2" xfId="40012" xr:uid="{00000000-0005-0000-0000-0000439C0000}"/>
    <cellStyle name="Calculation 12 2 3 3" xfId="40013" xr:uid="{00000000-0005-0000-0000-0000449C0000}"/>
    <cellStyle name="Calculation 12 2 4" xfId="40014" xr:uid="{00000000-0005-0000-0000-0000459C0000}"/>
    <cellStyle name="Calculation 12 2 5" xfId="40015" xr:uid="{00000000-0005-0000-0000-0000469C0000}"/>
    <cellStyle name="Calculation 12 3" xfId="40016" xr:uid="{00000000-0005-0000-0000-0000479C0000}"/>
    <cellStyle name="Calculation 12 3 2" xfId="40017" xr:uid="{00000000-0005-0000-0000-0000489C0000}"/>
    <cellStyle name="Calculation 12 3 3" xfId="40018" xr:uid="{00000000-0005-0000-0000-0000499C0000}"/>
    <cellStyle name="Calculation 12 4" xfId="40019" xr:uid="{00000000-0005-0000-0000-00004A9C0000}"/>
    <cellStyle name="Calculation 12 5" xfId="40020" xr:uid="{00000000-0005-0000-0000-00004B9C0000}"/>
    <cellStyle name="Calculation 120" xfId="40021" xr:uid="{00000000-0005-0000-0000-00004C9C0000}"/>
    <cellStyle name="Calculation 120 2" xfId="40022" xr:uid="{00000000-0005-0000-0000-00004D9C0000}"/>
    <cellStyle name="Calculation 120 2 2" xfId="40023" xr:uid="{00000000-0005-0000-0000-00004E9C0000}"/>
    <cellStyle name="Calculation 120 2 2 2" xfId="40024" xr:uid="{00000000-0005-0000-0000-00004F9C0000}"/>
    <cellStyle name="Calculation 120 2 3" xfId="40025" xr:uid="{00000000-0005-0000-0000-0000509C0000}"/>
    <cellStyle name="Calculation 120 2 3 2" xfId="40026" xr:uid="{00000000-0005-0000-0000-0000519C0000}"/>
    <cellStyle name="Calculation 120 2 3 3" xfId="40027" xr:uid="{00000000-0005-0000-0000-0000529C0000}"/>
    <cellStyle name="Calculation 120 2 4" xfId="40028" xr:uid="{00000000-0005-0000-0000-0000539C0000}"/>
    <cellStyle name="Calculation 120 2 5" xfId="40029" xr:uid="{00000000-0005-0000-0000-0000549C0000}"/>
    <cellStyle name="Calculation 120 3" xfId="40030" xr:uid="{00000000-0005-0000-0000-0000559C0000}"/>
    <cellStyle name="Calculation 120 3 2" xfId="40031" xr:uid="{00000000-0005-0000-0000-0000569C0000}"/>
    <cellStyle name="Calculation 120 3 3" xfId="40032" xr:uid="{00000000-0005-0000-0000-0000579C0000}"/>
    <cellStyle name="Calculation 120 4" xfId="40033" xr:uid="{00000000-0005-0000-0000-0000589C0000}"/>
    <cellStyle name="Calculation 120 5" xfId="40034" xr:uid="{00000000-0005-0000-0000-0000599C0000}"/>
    <cellStyle name="Calculation 121" xfId="40035" xr:uid="{00000000-0005-0000-0000-00005A9C0000}"/>
    <cellStyle name="Calculation 121 2" xfId="40036" xr:uid="{00000000-0005-0000-0000-00005B9C0000}"/>
    <cellStyle name="Calculation 121 2 2" xfId="40037" xr:uid="{00000000-0005-0000-0000-00005C9C0000}"/>
    <cellStyle name="Calculation 121 2 2 2" xfId="40038" xr:uid="{00000000-0005-0000-0000-00005D9C0000}"/>
    <cellStyle name="Calculation 121 2 3" xfId="40039" xr:uid="{00000000-0005-0000-0000-00005E9C0000}"/>
    <cellStyle name="Calculation 121 2 3 2" xfId="40040" xr:uid="{00000000-0005-0000-0000-00005F9C0000}"/>
    <cellStyle name="Calculation 121 2 3 3" xfId="40041" xr:uid="{00000000-0005-0000-0000-0000609C0000}"/>
    <cellStyle name="Calculation 121 2 4" xfId="40042" xr:uid="{00000000-0005-0000-0000-0000619C0000}"/>
    <cellStyle name="Calculation 121 2 5" xfId="40043" xr:uid="{00000000-0005-0000-0000-0000629C0000}"/>
    <cellStyle name="Calculation 121 3" xfId="40044" xr:uid="{00000000-0005-0000-0000-0000639C0000}"/>
    <cellStyle name="Calculation 121 3 2" xfId="40045" xr:uid="{00000000-0005-0000-0000-0000649C0000}"/>
    <cellStyle name="Calculation 121 3 3" xfId="40046" xr:uid="{00000000-0005-0000-0000-0000659C0000}"/>
    <cellStyle name="Calculation 121 4" xfId="40047" xr:uid="{00000000-0005-0000-0000-0000669C0000}"/>
    <cellStyle name="Calculation 121 5" xfId="40048" xr:uid="{00000000-0005-0000-0000-0000679C0000}"/>
    <cellStyle name="Calculation 122" xfId="40049" xr:uid="{00000000-0005-0000-0000-0000689C0000}"/>
    <cellStyle name="Calculation 122 2" xfId="40050" xr:uid="{00000000-0005-0000-0000-0000699C0000}"/>
    <cellStyle name="Calculation 122 2 2" xfId="40051" xr:uid="{00000000-0005-0000-0000-00006A9C0000}"/>
    <cellStyle name="Calculation 122 2 2 2" xfId="40052" xr:uid="{00000000-0005-0000-0000-00006B9C0000}"/>
    <cellStyle name="Calculation 122 2 3" xfId="40053" xr:uid="{00000000-0005-0000-0000-00006C9C0000}"/>
    <cellStyle name="Calculation 122 2 3 2" xfId="40054" xr:uid="{00000000-0005-0000-0000-00006D9C0000}"/>
    <cellStyle name="Calculation 122 2 3 3" xfId="40055" xr:uid="{00000000-0005-0000-0000-00006E9C0000}"/>
    <cellStyle name="Calculation 122 2 4" xfId="40056" xr:uid="{00000000-0005-0000-0000-00006F9C0000}"/>
    <cellStyle name="Calculation 122 2 5" xfId="40057" xr:uid="{00000000-0005-0000-0000-0000709C0000}"/>
    <cellStyle name="Calculation 122 3" xfId="40058" xr:uid="{00000000-0005-0000-0000-0000719C0000}"/>
    <cellStyle name="Calculation 122 3 2" xfId="40059" xr:uid="{00000000-0005-0000-0000-0000729C0000}"/>
    <cellStyle name="Calculation 122 3 3" xfId="40060" xr:uid="{00000000-0005-0000-0000-0000739C0000}"/>
    <cellStyle name="Calculation 122 4" xfId="40061" xr:uid="{00000000-0005-0000-0000-0000749C0000}"/>
    <cellStyle name="Calculation 122 5" xfId="40062" xr:uid="{00000000-0005-0000-0000-0000759C0000}"/>
    <cellStyle name="Calculation 123" xfId="40063" xr:uid="{00000000-0005-0000-0000-0000769C0000}"/>
    <cellStyle name="Calculation 123 2" xfId="40064" xr:uid="{00000000-0005-0000-0000-0000779C0000}"/>
    <cellStyle name="Calculation 123 2 2" xfId="40065" xr:uid="{00000000-0005-0000-0000-0000789C0000}"/>
    <cellStyle name="Calculation 123 2 2 2" xfId="40066" xr:uid="{00000000-0005-0000-0000-0000799C0000}"/>
    <cellStyle name="Calculation 123 2 3" xfId="40067" xr:uid="{00000000-0005-0000-0000-00007A9C0000}"/>
    <cellStyle name="Calculation 123 2 3 2" xfId="40068" xr:uid="{00000000-0005-0000-0000-00007B9C0000}"/>
    <cellStyle name="Calculation 123 2 3 3" xfId="40069" xr:uid="{00000000-0005-0000-0000-00007C9C0000}"/>
    <cellStyle name="Calculation 123 2 4" xfId="40070" xr:uid="{00000000-0005-0000-0000-00007D9C0000}"/>
    <cellStyle name="Calculation 123 2 5" xfId="40071" xr:uid="{00000000-0005-0000-0000-00007E9C0000}"/>
    <cellStyle name="Calculation 123 3" xfId="40072" xr:uid="{00000000-0005-0000-0000-00007F9C0000}"/>
    <cellStyle name="Calculation 123 3 2" xfId="40073" xr:uid="{00000000-0005-0000-0000-0000809C0000}"/>
    <cellStyle name="Calculation 123 3 3" xfId="40074" xr:uid="{00000000-0005-0000-0000-0000819C0000}"/>
    <cellStyle name="Calculation 123 4" xfId="40075" xr:uid="{00000000-0005-0000-0000-0000829C0000}"/>
    <cellStyle name="Calculation 123 5" xfId="40076" xr:uid="{00000000-0005-0000-0000-0000839C0000}"/>
    <cellStyle name="Calculation 124" xfId="40077" xr:uid="{00000000-0005-0000-0000-0000849C0000}"/>
    <cellStyle name="Calculation 124 2" xfId="40078" xr:uid="{00000000-0005-0000-0000-0000859C0000}"/>
    <cellStyle name="Calculation 124 2 2" xfId="40079" xr:uid="{00000000-0005-0000-0000-0000869C0000}"/>
    <cellStyle name="Calculation 124 2 2 2" xfId="40080" xr:uid="{00000000-0005-0000-0000-0000879C0000}"/>
    <cellStyle name="Calculation 124 2 3" xfId="40081" xr:uid="{00000000-0005-0000-0000-0000889C0000}"/>
    <cellStyle name="Calculation 124 2 3 2" xfId="40082" xr:uid="{00000000-0005-0000-0000-0000899C0000}"/>
    <cellStyle name="Calculation 124 2 3 3" xfId="40083" xr:uid="{00000000-0005-0000-0000-00008A9C0000}"/>
    <cellStyle name="Calculation 124 2 4" xfId="40084" xr:uid="{00000000-0005-0000-0000-00008B9C0000}"/>
    <cellStyle name="Calculation 124 2 5" xfId="40085" xr:uid="{00000000-0005-0000-0000-00008C9C0000}"/>
    <cellStyle name="Calculation 124 3" xfId="40086" xr:uid="{00000000-0005-0000-0000-00008D9C0000}"/>
    <cellStyle name="Calculation 124 3 2" xfId="40087" xr:uid="{00000000-0005-0000-0000-00008E9C0000}"/>
    <cellStyle name="Calculation 124 3 3" xfId="40088" xr:uid="{00000000-0005-0000-0000-00008F9C0000}"/>
    <cellStyle name="Calculation 124 4" xfId="40089" xr:uid="{00000000-0005-0000-0000-0000909C0000}"/>
    <cellStyle name="Calculation 124 5" xfId="40090" xr:uid="{00000000-0005-0000-0000-0000919C0000}"/>
    <cellStyle name="Calculation 125" xfId="40091" xr:uid="{00000000-0005-0000-0000-0000929C0000}"/>
    <cellStyle name="Calculation 125 2" xfId="40092" xr:uid="{00000000-0005-0000-0000-0000939C0000}"/>
    <cellStyle name="Calculation 125 2 2" xfId="40093" xr:uid="{00000000-0005-0000-0000-0000949C0000}"/>
    <cellStyle name="Calculation 125 2 2 2" xfId="40094" xr:uid="{00000000-0005-0000-0000-0000959C0000}"/>
    <cellStyle name="Calculation 125 2 3" xfId="40095" xr:uid="{00000000-0005-0000-0000-0000969C0000}"/>
    <cellStyle name="Calculation 125 2 3 2" xfId="40096" xr:uid="{00000000-0005-0000-0000-0000979C0000}"/>
    <cellStyle name="Calculation 125 2 3 3" xfId="40097" xr:uid="{00000000-0005-0000-0000-0000989C0000}"/>
    <cellStyle name="Calculation 125 2 4" xfId="40098" xr:uid="{00000000-0005-0000-0000-0000999C0000}"/>
    <cellStyle name="Calculation 125 2 5" xfId="40099" xr:uid="{00000000-0005-0000-0000-00009A9C0000}"/>
    <cellStyle name="Calculation 125 3" xfId="40100" xr:uid="{00000000-0005-0000-0000-00009B9C0000}"/>
    <cellStyle name="Calculation 125 3 2" xfId="40101" xr:uid="{00000000-0005-0000-0000-00009C9C0000}"/>
    <cellStyle name="Calculation 125 3 3" xfId="40102" xr:uid="{00000000-0005-0000-0000-00009D9C0000}"/>
    <cellStyle name="Calculation 125 4" xfId="40103" xr:uid="{00000000-0005-0000-0000-00009E9C0000}"/>
    <cellStyle name="Calculation 125 5" xfId="40104" xr:uid="{00000000-0005-0000-0000-00009F9C0000}"/>
    <cellStyle name="Calculation 126" xfId="40105" xr:uid="{00000000-0005-0000-0000-0000A09C0000}"/>
    <cellStyle name="Calculation 126 2" xfId="40106" xr:uid="{00000000-0005-0000-0000-0000A19C0000}"/>
    <cellStyle name="Calculation 126 2 2" xfId="40107" xr:uid="{00000000-0005-0000-0000-0000A29C0000}"/>
    <cellStyle name="Calculation 126 2 2 2" xfId="40108" xr:uid="{00000000-0005-0000-0000-0000A39C0000}"/>
    <cellStyle name="Calculation 126 2 3" xfId="40109" xr:uid="{00000000-0005-0000-0000-0000A49C0000}"/>
    <cellStyle name="Calculation 126 2 3 2" xfId="40110" xr:uid="{00000000-0005-0000-0000-0000A59C0000}"/>
    <cellStyle name="Calculation 126 2 3 3" xfId="40111" xr:uid="{00000000-0005-0000-0000-0000A69C0000}"/>
    <cellStyle name="Calculation 126 2 4" xfId="40112" xr:uid="{00000000-0005-0000-0000-0000A79C0000}"/>
    <cellStyle name="Calculation 126 2 5" xfId="40113" xr:uid="{00000000-0005-0000-0000-0000A89C0000}"/>
    <cellStyle name="Calculation 126 3" xfId="40114" xr:uid="{00000000-0005-0000-0000-0000A99C0000}"/>
    <cellStyle name="Calculation 126 3 2" xfId="40115" xr:uid="{00000000-0005-0000-0000-0000AA9C0000}"/>
    <cellStyle name="Calculation 126 3 3" xfId="40116" xr:uid="{00000000-0005-0000-0000-0000AB9C0000}"/>
    <cellStyle name="Calculation 126 4" xfId="40117" xr:uid="{00000000-0005-0000-0000-0000AC9C0000}"/>
    <cellStyle name="Calculation 126 5" xfId="40118" xr:uid="{00000000-0005-0000-0000-0000AD9C0000}"/>
    <cellStyle name="Calculation 127" xfId="40119" xr:uid="{00000000-0005-0000-0000-0000AE9C0000}"/>
    <cellStyle name="Calculation 127 2" xfId="40120" xr:uid="{00000000-0005-0000-0000-0000AF9C0000}"/>
    <cellStyle name="Calculation 127 2 2" xfId="40121" xr:uid="{00000000-0005-0000-0000-0000B09C0000}"/>
    <cellStyle name="Calculation 127 2 2 2" xfId="40122" xr:uid="{00000000-0005-0000-0000-0000B19C0000}"/>
    <cellStyle name="Calculation 127 2 3" xfId="40123" xr:uid="{00000000-0005-0000-0000-0000B29C0000}"/>
    <cellStyle name="Calculation 127 2 3 2" xfId="40124" xr:uid="{00000000-0005-0000-0000-0000B39C0000}"/>
    <cellStyle name="Calculation 127 2 3 3" xfId="40125" xr:uid="{00000000-0005-0000-0000-0000B49C0000}"/>
    <cellStyle name="Calculation 127 2 4" xfId="40126" xr:uid="{00000000-0005-0000-0000-0000B59C0000}"/>
    <cellStyle name="Calculation 127 2 5" xfId="40127" xr:uid="{00000000-0005-0000-0000-0000B69C0000}"/>
    <cellStyle name="Calculation 127 3" xfId="40128" xr:uid="{00000000-0005-0000-0000-0000B79C0000}"/>
    <cellStyle name="Calculation 127 3 2" xfId="40129" xr:uid="{00000000-0005-0000-0000-0000B89C0000}"/>
    <cellStyle name="Calculation 127 3 3" xfId="40130" xr:uid="{00000000-0005-0000-0000-0000B99C0000}"/>
    <cellStyle name="Calculation 127 4" xfId="40131" xr:uid="{00000000-0005-0000-0000-0000BA9C0000}"/>
    <cellStyle name="Calculation 127 5" xfId="40132" xr:uid="{00000000-0005-0000-0000-0000BB9C0000}"/>
    <cellStyle name="Calculation 128" xfId="40133" xr:uid="{00000000-0005-0000-0000-0000BC9C0000}"/>
    <cellStyle name="Calculation 128 2" xfId="40134" xr:uid="{00000000-0005-0000-0000-0000BD9C0000}"/>
    <cellStyle name="Calculation 128 2 2" xfId="40135" xr:uid="{00000000-0005-0000-0000-0000BE9C0000}"/>
    <cellStyle name="Calculation 128 2 2 2" xfId="40136" xr:uid="{00000000-0005-0000-0000-0000BF9C0000}"/>
    <cellStyle name="Calculation 128 2 3" xfId="40137" xr:uid="{00000000-0005-0000-0000-0000C09C0000}"/>
    <cellStyle name="Calculation 128 2 3 2" xfId="40138" xr:uid="{00000000-0005-0000-0000-0000C19C0000}"/>
    <cellStyle name="Calculation 128 2 3 3" xfId="40139" xr:uid="{00000000-0005-0000-0000-0000C29C0000}"/>
    <cellStyle name="Calculation 128 2 4" xfId="40140" xr:uid="{00000000-0005-0000-0000-0000C39C0000}"/>
    <cellStyle name="Calculation 128 2 5" xfId="40141" xr:uid="{00000000-0005-0000-0000-0000C49C0000}"/>
    <cellStyle name="Calculation 128 3" xfId="40142" xr:uid="{00000000-0005-0000-0000-0000C59C0000}"/>
    <cellStyle name="Calculation 128 3 2" xfId="40143" xr:uid="{00000000-0005-0000-0000-0000C69C0000}"/>
    <cellStyle name="Calculation 128 3 3" xfId="40144" xr:uid="{00000000-0005-0000-0000-0000C79C0000}"/>
    <cellStyle name="Calculation 128 4" xfId="40145" xr:uid="{00000000-0005-0000-0000-0000C89C0000}"/>
    <cellStyle name="Calculation 128 5" xfId="40146" xr:uid="{00000000-0005-0000-0000-0000C99C0000}"/>
    <cellStyle name="Calculation 129" xfId="40147" xr:uid="{00000000-0005-0000-0000-0000CA9C0000}"/>
    <cellStyle name="Calculation 129 2" xfId="40148" xr:uid="{00000000-0005-0000-0000-0000CB9C0000}"/>
    <cellStyle name="Calculation 129 2 2" xfId="40149" xr:uid="{00000000-0005-0000-0000-0000CC9C0000}"/>
    <cellStyle name="Calculation 129 2 2 2" xfId="40150" xr:uid="{00000000-0005-0000-0000-0000CD9C0000}"/>
    <cellStyle name="Calculation 129 2 3" xfId="40151" xr:uid="{00000000-0005-0000-0000-0000CE9C0000}"/>
    <cellStyle name="Calculation 129 2 3 2" xfId="40152" xr:uid="{00000000-0005-0000-0000-0000CF9C0000}"/>
    <cellStyle name="Calculation 129 2 3 3" xfId="40153" xr:uid="{00000000-0005-0000-0000-0000D09C0000}"/>
    <cellStyle name="Calculation 129 2 4" xfId="40154" xr:uid="{00000000-0005-0000-0000-0000D19C0000}"/>
    <cellStyle name="Calculation 129 2 5" xfId="40155" xr:uid="{00000000-0005-0000-0000-0000D29C0000}"/>
    <cellStyle name="Calculation 129 3" xfId="40156" xr:uid="{00000000-0005-0000-0000-0000D39C0000}"/>
    <cellStyle name="Calculation 129 3 2" xfId="40157" xr:uid="{00000000-0005-0000-0000-0000D49C0000}"/>
    <cellStyle name="Calculation 129 3 3" xfId="40158" xr:uid="{00000000-0005-0000-0000-0000D59C0000}"/>
    <cellStyle name="Calculation 129 4" xfId="40159" xr:uid="{00000000-0005-0000-0000-0000D69C0000}"/>
    <cellStyle name="Calculation 129 5" xfId="40160" xr:uid="{00000000-0005-0000-0000-0000D79C0000}"/>
    <cellStyle name="Calculation 13" xfId="40161" xr:uid="{00000000-0005-0000-0000-0000D89C0000}"/>
    <cellStyle name="Calculation 13 2" xfId="40162" xr:uid="{00000000-0005-0000-0000-0000D99C0000}"/>
    <cellStyle name="Calculation 13 2 2" xfId="40163" xr:uid="{00000000-0005-0000-0000-0000DA9C0000}"/>
    <cellStyle name="Calculation 13 2 2 2" xfId="40164" xr:uid="{00000000-0005-0000-0000-0000DB9C0000}"/>
    <cellStyle name="Calculation 13 2 3" xfId="40165" xr:uid="{00000000-0005-0000-0000-0000DC9C0000}"/>
    <cellStyle name="Calculation 13 2 3 2" xfId="40166" xr:uid="{00000000-0005-0000-0000-0000DD9C0000}"/>
    <cellStyle name="Calculation 13 2 3 3" xfId="40167" xr:uid="{00000000-0005-0000-0000-0000DE9C0000}"/>
    <cellStyle name="Calculation 13 2 4" xfId="40168" xr:uid="{00000000-0005-0000-0000-0000DF9C0000}"/>
    <cellStyle name="Calculation 13 2 5" xfId="40169" xr:uid="{00000000-0005-0000-0000-0000E09C0000}"/>
    <cellStyle name="Calculation 13 3" xfId="40170" xr:uid="{00000000-0005-0000-0000-0000E19C0000}"/>
    <cellStyle name="Calculation 13 3 2" xfId="40171" xr:uid="{00000000-0005-0000-0000-0000E29C0000}"/>
    <cellStyle name="Calculation 13 3 3" xfId="40172" xr:uid="{00000000-0005-0000-0000-0000E39C0000}"/>
    <cellStyle name="Calculation 13 4" xfId="40173" xr:uid="{00000000-0005-0000-0000-0000E49C0000}"/>
    <cellStyle name="Calculation 13 5" xfId="40174" xr:uid="{00000000-0005-0000-0000-0000E59C0000}"/>
    <cellStyle name="Calculation 130" xfId="40175" xr:uid="{00000000-0005-0000-0000-0000E69C0000}"/>
    <cellStyle name="Calculation 130 2" xfId="40176" xr:uid="{00000000-0005-0000-0000-0000E79C0000}"/>
    <cellStyle name="Calculation 130 2 2" xfId="40177" xr:uid="{00000000-0005-0000-0000-0000E89C0000}"/>
    <cellStyle name="Calculation 130 2 2 2" xfId="40178" xr:uid="{00000000-0005-0000-0000-0000E99C0000}"/>
    <cellStyle name="Calculation 130 2 3" xfId="40179" xr:uid="{00000000-0005-0000-0000-0000EA9C0000}"/>
    <cellStyle name="Calculation 130 2 3 2" xfId="40180" xr:uid="{00000000-0005-0000-0000-0000EB9C0000}"/>
    <cellStyle name="Calculation 130 2 3 3" xfId="40181" xr:uid="{00000000-0005-0000-0000-0000EC9C0000}"/>
    <cellStyle name="Calculation 130 2 4" xfId="40182" xr:uid="{00000000-0005-0000-0000-0000ED9C0000}"/>
    <cellStyle name="Calculation 130 2 5" xfId="40183" xr:uid="{00000000-0005-0000-0000-0000EE9C0000}"/>
    <cellStyle name="Calculation 130 3" xfId="40184" xr:uid="{00000000-0005-0000-0000-0000EF9C0000}"/>
    <cellStyle name="Calculation 130 3 2" xfId="40185" xr:uid="{00000000-0005-0000-0000-0000F09C0000}"/>
    <cellStyle name="Calculation 130 3 3" xfId="40186" xr:uid="{00000000-0005-0000-0000-0000F19C0000}"/>
    <cellStyle name="Calculation 130 4" xfId="40187" xr:uid="{00000000-0005-0000-0000-0000F29C0000}"/>
    <cellStyle name="Calculation 130 5" xfId="40188" xr:uid="{00000000-0005-0000-0000-0000F39C0000}"/>
    <cellStyle name="Calculation 131" xfId="40189" xr:uid="{00000000-0005-0000-0000-0000F49C0000}"/>
    <cellStyle name="Calculation 131 2" xfId="40190" xr:uid="{00000000-0005-0000-0000-0000F59C0000}"/>
    <cellStyle name="Calculation 131 2 2" xfId="40191" xr:uid="{00000000-0005-0000-0000-0000F69C0000}"/>
    <cellStyle name="Calculation 131 2 2 2" xfId="40192" xr:uid="{00000000-0005-0000-0000-0000F79C0000}"/>
    <cellStyle name="Calculation 131 2 3" xfId="40193" xr:uid="{00000000-0005-0000-0000-0000F89C0000}"/>
    <cellStyle name="Calculation 131 2 3 2" xfId="40194" xr:uid="{00000000-0005-0000-0000-0000F99C0000}"/>
    <cellStyle name="Calculation 131 2 3 3" xfId="40195" xr:uid="{00000000-0005-0000-0000-0000FA9C0000}"/>
    <cellStyle name="Calculation 131 2 4" xfId="40196" xr:uid="{00000000-0005-0000-0000-0000FB9C0000}"/>
    <cellStyle name="Calculation 131 2 5" xfId="40197" xr:uid="{00000000-0005-0000-0000-0000FC9C0000}"/>
    <cellStyle name="Calculation 131 3" xfId="40198" xr:uid="{00000000-0005-0000-0000-0000FD9C0000}"/>
    <cellStyle name="Calculation 131 3 2" xfId="40199" xr:uid="{00000000-0005-0000-0000-0000FE9C0000}"/>
    <cellStyle name="Calculation 131 3 3" xfId="40200" xr:uid="{00000000-0005-0000-0000-0000FF9C0000}"/>
    <cellStyle name="Calculation 131 4" xfId="40201" xr:uid="{00000000-0005-0000-0000-0000009D0000}"/>
    <cellStyle name="Calculation 131 5" xfId="40202" xr:uid="{00000000-0005-0000-0000-0000019D0000}"/>
    <cellStyle name="Calculation 132" xfId="40203" xr:uid="{00000000-0005-0000-0000-0000029D0000}"/>
    <cellStyle name="Calculation 132 2" xfId="40204" xr:uid="{00000000-0005-0000-0000-0000039D0000}"/>
    <cellStyle name="Calculation 132 2 2" xfId="40205" xr:uid="{00000000-0005-0000-0000-0000049D0000}"/>
    <cellStyle name="Calculation 132 2 2 2" xfId="40206" xr:uid="{00000000-0005-0000-0000-0000059D0000}"/>
    <cellStyle name="Calculation 132 2 3" xfId="40207" xr:uid="{00000000-0005-0000-0000-0000069D0000}"/>
    <cellStyle name="Calculation 132 2 3 2" xfId="40208" xr:uid="{00000000-0005-0000-0000-0000079D0000}"/>
    <cellStyle name="Calculation 132 2 3 3" xfId="40209" xr:uid="{00000000-0005-0000-0000-0000089D0000}"/>
    <cellStyle name="Calculation 132 2 4" xfId="40210" xr:uid="{00000000-0005-0000-0000-0000099D0000}"/>
    <cellStyle name="Calculation 132 2 5" xfId="40211" xr:uid="{00000000-0005-0000-0000-00000A9D0000}"/>
    <cellStyle name="Calculation 132 3" xfId="40212" xr:uid="{00000000-0005-0000-0000-00000B9D0000}"/>
    <cellStyle name="Calculation 132 3 2" xfId="40213" xr:uid="{00000000-0005-0000-0000-00000C9D0000}"/>
    <cellStyle name="Calculation 132 3 3" xfId="40214" xr:uid="{00000000-0005-0000-0000-00000D9D0000}"/>
    <cellStyle name="Calculation 132 4" xfId="40215" xr:uid="{00000000-0005-0000-0000-00000E9D0000}"/>
    <cellStyle name="Calculation 132 5" xfId="40216" xr:uid="{00000000-0005-0000-0000-00000F9D0000}"/>
    <cellStyle name="Calculation 133" xfId="40217" xr:uid="{00000000-0005-0000-0000-0000109D0000}"/>
    <cellStyle name="Calculation 133 2" xfId="40218" xr:uid="{00000000-0005-0000-0000-0000119D0000}"/>
    <cellStyle name="Calculation 133 2 2" xfId="40219" xr:uid="{00000000-0005-0000-0000-0000129D0000}"/>
    <cellStyle name="Calculation 133 2 2 2" xfId="40220" xr:uid="{00000000-0005-0000-0000-0000139D0000}"/>
    <cellStyle name="Calculation 133 2 3" xfId="40221" xr:uid="{00000000-0005-0000-0000-0000149D0000}"/>
    <cellStyle name="Calculation 133 2 3 2" xfId="40222" xr:uid="{00000000-0005-0000-0000-0000159D0000}"/>
    <cellStyle name="Calculation 133 2 3 3" xfId="40223" xr:uid="{00000000-0005-0000-0000-0000169D0000}"/>
    <cellStyle name="Calculation 133 2 4" xfId="40224" xr:uid="{00000000-0005-0000-0000-0000179D0000}"/>
    <cellStyle name="Calculation 133 2 5" xfId="40225" xr:uid="{00000000-0005-0000-0000-0000189D0000}"/>
    <cellStyle name="Calculation 133 3" xfId="40226" xr:uid="{00000000-0005-0000-0000-0000199D0000}"/>
    <cellStyle name="Calculation 133 3 2" xfId="40227" xr:uid="{00000000-0005-0000-0000-00001A9D0000}"/>
    <cellStyle name="Calculation 133 3 3" xfId="40228" xr:uid="{00000000-0005-0000-0000-00001B9D0000}"/>
    <cellStyle name="Calculation 133 4" xfId="40229" xr:uid="{00000000-0005-0000-0000-00001C9D0000}"/>
    <cellStyle name="Calculation 133 5" xfId="40230" xr:uid="{00000000-0005-0000-0000-00001D9D0000}"/>
    <cellStyle name="Calculation 134" xfId="40231" xr:uid="{00000000-0005-0000-0000-00001E9D0000}"/>
    <cellStyle name="Calculation 134 2" xfId="40232" xr:uid="{00000000-0005-0000-0000-00001F9D0000}"/>
    <cellStyle name="Calculation 134 2 2" xfId="40233" xr:uid="{00000000-0005-0000-0000-0000209D0000}"/>
    <cellStyle name="Calculation 134 2 2 2" xfId="40234" xr:uid="{00000000-0005-0000-0000-0000219D0000}"/>
    <cellStyle name="Calculation 134 2 3" xfId="40235" xr:uid="{00000000-0005-0000-0000-0000229D0000}"/>
    <cellStyle name="Calculation 134 2 3 2" xfId="40236" xr:uid="{00000000-0005-0000-0000-0000239D0000}"/>
    <cellStyle name="Calculation 134 2 3 3" xfId="40237" xr:uid="{00000000-0005-0000-0000-0000249D0000}"/>
    <cellStyle name="Calculation 134 2 4" xfId="40238" xr:uid="{00000000-0005-0000-0000-0000259D0000}"/>
    <cellStyle name="Calculation 134 2 5" xfId="40239" xr:uid="{00000000-0005-0000-0000-0000269D0000}"/>
    <cellStyle name="Calculation 134 3" xfId="40240" xr:uid="{00000000-0005-0000-0000-0000279D0000}"/>
    <cellStyle name="Calculation 134 3 2" xfId="40241" xr:uid="{00000000-0005-0000-0000-0000289D0000}"/>
    <cellStyle name="Calculation 134 3 3" xfId="40242" xr:uid="{00000000-0005-0000-0000-0000299D0000}"/>
    <cellStyle name="Calculation 134 4" xfId="40243" xr:uid="{00000000-0005-0000-0000-00002A9D0000}"/>
    <cellStyle name="Calculation 134 5" xfId="40244" xr:uid="{00000000-0005-0000-0000-00002B9D0000}"/>
    <cellStyle name="Calculation 135" xfId="40245" xr:uid="{00000000-0005-0000-0000-00002C9D0000}"/>
    <cellStyle name="Calculation 135 2" xfId="40246" xr:uid="{00000000-0005-0000-0000-00002D9D0000}"/>
    <cellStyle name="Calculation 135 2 2" xfId="40247" xr:uid="{00000000-0005-0000-0000-00002E9D0000}"/>
    <cellStyle name="Calculation 135 2 2 2" xfId="40248" xr:uid="{00000000-0005-0000-0000-00002F9D0000}"/>
    <cellStyle name="Calculation 135 2 3" xfId="40249" xr:uid="{00000000-0005-0000-0000-0000309D0000}"/>
    <cellStyle name="Calculation 135 2 3 2" xfId="40250" xr:uid="{00000000-0005-0000-0000-0000319D0000}"/>
    <cellStyle name="Calculation 135 2 3 3" xfId="40251" xr:uid="{00000000-0005-0000-0000-0000329D0000}"/>
    <cellStyle name="Calculation 135 2 4" xfId="40252" xr:uid="{00000000-0005-0000-0000-0000339D0000}"/>
    <cellStyle name="Calculation 135 2 5" xfId="40253" xr:uid="{00000000-0005-0000-0000-0000349D0000}"/>
    <cellStyle name="Calculation 135 3" xfId="40254" xr:uid="{00000000-0005-0000-0000-0000359D0000}"/>
    <cellStyle name="Calculation 135 3 2" xfId="40255" xr:uid="{00000000-0005-0000-0000-0000369D0000}"/>
    <cellStyle name="Calculation 135 3 3" xfId="40256" xr:uid="{00000000-0005-0000-0000-0000379D0000}"/>
    <cellStyle name="Calculation 135 4" xfId="40257" xr:uid="{00000000-0005-0000-0000-0000389D0000}"/>
    <cellStyle name="Calculation 135 5" xfId="40258" xr:uid="{00000000-0005-0000-0000-0000399D0000}"/>
    <cellStyle name="Calculation 136" xfId="40259" xr:uid="{00000000-0005-0000-0000-00003A9D0000}"/>
    <cellStyle name="Calculation 136 2" xfId="40260" xr:uid="{00000000-0005-0000-0000-00003B9D0000}"/>
    <cellStyle name="Calculation 136 2 2" xfId="40261" xr:uid="{00000000-0005-0000-0000-00003C9D0000}"/>
    <cellStyle name="Calculation 136 2 2 2" xfId="40262" xr:uid="{00000000-0005-0000-0000-00003D9D0000}"/>
    <cellStyle name="Calculation 136 2 3" xfId="40263" xr:uid="{00000000-0005-0000-0000-00003E9D0000}"/>
    <cellStyle name="Calculation 136 2 3 2" xfId="40264" xr:uid="{00000000-0005-0000-0000-00003F9D0000}"/>
    <cellStyle name="Calculation 136 2 3 3" xfId="40265" xr:uid="{00000000-0005-0000-0000-0000409D0000}"/>
    <cellStyle name="Calculation 136 2 4" xfId="40266" xr:uid="{00000000-0005-0000-0000-0000419D0000}"/>
    <cellStyle name="Calculation 136 2 5" xfId="40267" xr:uid="{00000000-0005-0000-0000-0000429D0000}"/>
    <cellStyle name="Calculation 136 3" xfId="40268" xr:uid="{00000000-0005-0000-0000-0000439D0000}"/>
    <cellStyle name="Calculation 136 3 2" xfId="40269" xr:uid="{00000000-0005-0000-0000-0000449D0000}"/>
    <cellStyle name="Calculation 136 3 3" xfId="40270" xr:uid="{00000000-0005-0000-0000-0000459D0000}"/>
    <cellStyle name="Calculation 136 4" xfId="40271" xr:uid="{00000000-0005-0000-0000-0000469D0000}"/>
    <cellStyle name="Calculation 136 5" xfId="40272" xr:uid="{00000000-0005-0000-0000-0000479D0000}"/>
    <cellStyle name="Calculation 137" xfId="40273" xr:uid="{00000000-0005-0000-0000-0000489D0000}"/>
    <cellStyle name="Calculation 137 2" xfId="40274" xr:uid="{00000000-0005-0000-0000-0000499D0000}"/>
    <cellStyle name="Calculation 137 2 2" xfId="40275" xr:uid="{00000000-0005-0000-0000-00004A9D0000}"/>
    <cellStyle name="Calculation 137 3" xfId="40276" xr:uid="{00000000-0005-0000-0000-00004B9D0000}"/>
    <cellStyle name="Calculation 137 3 2" xfId="40277" xr:uid="{00000000-0005-0000-0000-00004C9D0000}"/>
    <cellStyle name="Calculation 137 3 3" xfId="40278" xr:uid="{00000000-0005-0000-0000-00004D9D0000}"/>
    <cellStyle name="Calculation 137 4" xfId="40279" xr:uid="{00000000-0005-0000-0000-00004E9D0000}"/>
    <cellStyle name="Calculation 138" xfId="40280" xr:uid="{00000000-0005-0000-0000-00004F9D0000}"/>
    <cellStyle name="Calculation 138 2" xfId="40281" xr:uid="{00000000-0005-0000-0000-0000509D0000}"/>
    <cellStyle name="Calculation 138 2 2" xfId="40282" xr:uid="{00000000-0005-0000-0000-0000519D0000}"/>
    <cellStyle name="Calculation 138 3" xfId="40283" xr:uid="{00000000-0005-0000-0000-0000529D0000}"/>
    <cellStyle name="Calculation 138 3 2" xfId="40284" xr:uid="{00000000-0005-0000-0000-0000539D0000}"/>
    <cellStyle name="Calculation 138 3 3" xfId="40285" xr:uid="{00000000-0005-0000-0000-0000549D0000}"/>
    <cellStyle name="Calculation 138 4" xfId="40286" xr:uid="{00000000-0005-0000-0000-0000559D0000}"/>
    <cellStyle name="Calculation 139" xfId="40287" xr:uid="{00000000-0005-0000-0000-0000569D0000}"/>
    <cellStyle name="Calculation 139 2" xfId="40288" xr:uid="{00000000-0005-0000-0000-0000579D0000}"/>
    <cellStyle name="Calculation 139 2 2" xfId="40289" xr:uid="{00000000-0005-0000-0000-0000589D0000}"/>
    <cellStyle name="Calculation 139 3" xfId="40290" xr:uid="{00000000-0005-0000-0000-0000599D0000}"/>
    <cellStyle name="Calculation 139 3 2" xfId="40291" xr:uid="{00000000-0005-0000-0000-00005A9D0000}"/>
    <cellStyle name="Calculation 139 3 3" xfId="40292" xr:uid="{00000000-0005-0000-0000-00005B9D0000}"/>
    <cellStyle name="Calculation 139 4" xfId="40293" xr:uid="{00000000-0005-0000-0000-00005C9D0000}"/>
    <cellStyle name="Calculation 14" xfId="40294" xr:uid="{00000000-0005-0000-0000-00005D9D0000}"/>
    <cellStyle name="Calculation 14 2" xfId="40295" xr:uid="{00000000-0005-0000-0000-00005E9D0000}"/>
    <cellStyle name="Calculation 14 2 2" xfId="40296" xr:uid="{00000000-0005-0000-0000-00005F9D0000}"/>
    <cellStyle name="Calculation 14 2 2 2" xfId="40297" xr:uid="{00000000-0005-0000-0000-0000609D0000}"/>
    <cellStyle name="Calculation 14 2 3" xfId="40298" xr:uid="{00000000-0005-0000-0000-0000619D0000}"/>
    <cellStyle name="Calculation 14 2 3 2" xfId="40299" xr:uid="{00000000-0005-0000-0000-0000629D0000}"/>
    <cellStyle name="Calculation 14 2 3 3" xfId="40300" xr:uid="{00000000-0005-0000-0000-0000639D0000}"/>
    <cellStyle name="Calculation 14 2 4" xfId="40301" xr:uid="{00000000-0005-0000-0000-0000649D0000}"/>
    <cellStyle name="Calculation 14 2 5" xfId="40302" xr:uid="{00000000-0005-0000-0000-0000659D0000}"/>
    <cellStyle name="Calculation 14 3" xfId="40303" xr:uid="{00000000-0005-0000-0000-0000669D0000}"/>
    <cellStyle name="Calculation 14 3 2" xfId="40304" xr:uid="{00000000-0005-0000-0000-0000679D0000}"/>
    <cellStyle name="Calculation 14 3 3" xfId="40305" xr:uid="{00000000-0005-0000-0000-0000689D0000}"/>
    <cellStyle name="Calculation 14 4" xfId="40306" xr:uid="{00000000-0005-0000-0000-0000699D0000}"/>
    <cellStyle name="Calculation 14 5" xfId="40307" xr:uid="{00000000-0005-0000-0000-00006A9D0000}"/>
    <cellStyle name="Calculation 140" xfId="40308" xr:uid="{00000000-0005-0000-0000-00006B9D0000}"/>
    <cellStyle name="Calculation 140 2" xfId="40309" xr:uid="{00000000-0005-0000-0000-00006C9D0000}"/>
    <cellStyle name="Calculation 140 2 2" xfId="40310" xr:uid="{00000000-0005-0000-0000-00006D9D0000}"/>
    <cellStyle name="Calculation 140 3" xfId="40311" xr:uid="{00000000-0005-0000-0000-00006E9D0000}"/>
    <cellStyle name="Calculation 140 3 2" xfId="40312" xr:uid="{00000000-0005-0000-0000-00006F9D0000}"/>
    <cellStyle name="Calculation 140 3 3" xfId="40313" xr:uid="{00000000-0005-0000-0000-0000709D0000}"/>
    <cellStyle name="Calculation 140 4" xfId="40314" xr:uid="{00000000-0005-0000-0000-0000719D0000}"/>
    <cellStyle name="Calculation 141" xfId="40315" xr:uid="{00000000-0005-0000-0000-0000729D0000}"/>
    <cellStyle name="Calculation 141 2" xfId="40316" xr:uid="{00000000-0005-0000-0000-0000739D0000}"/>
    <cellStyle name="Calculation 141 2 2" xfId="40317" xr:uid="{00000000-0005-0000-0000-0000749D0000}"/>
    <cellStyle name="Calculation 141 3" xfId="40318" xr:uid="{00000000-0005-0000-0000-0000759D0000}"/>
    <cellStyle name="Calculation 141 3 2" xfId="40319" xr:uid="{00000000-0005-0000-0000-0000769D0000}"/>
    <cellStyle name="Calculation 141 3 3" xfId="40320" xr:uid="{00000000-0005-0000-0000-0000779D0000}"/>
    <cellStyle name="Calculation 141 4" xfId="40321" xr:uid="{00000000-0005-0000-0000-0000789D0000}"/>
    <cellStyle name="Calculation 142" xfId="40322" xr:uid="{00000000-0005-0000-0000-0000799D0000}"/>
    <cellStyle name="Calculation 142 2" xfId="40323" xr:uid="{00000000-0005-0000-0000-00007A9D0000}"/>
    <cellStyle name="Calculation 142 2 2" xfId="40324" xr:uid="{00000000-0005-0000-0000-00007B9D0000}"/>
    <cellStyle name="Calculation 142 3" xfId="40325" xr:uid="{00000000-0005-0000-0000-00007C9D0000}"/>
    <cellStyle name="Calculation 142 3 2" xfId="40326" xr:uid="{00000000-0005-0000-0000-00007D9D0000}"/>
    <cellStyle name="Calculation 142 3 3" xfId="40327" xr:uid="{00000000-0005-0000-0000-00007E9D0000}"/>
    <cellStyle name="Calculation 142 4" xfId="40328" xr:uid="{00000000-0005-0000-0000-00007F9D0000}"/>
    <cellStyle name="Calculation 143" xfId="40329" xr:uid="{00000000-0005-0000-0000-0000809D0000}"/>
    <cellStyle name="Calculation 143 2" xfId="40330" xr:uid="{00000000-0005-0000-0000-0000819D0000}"/>
    <cellStyle name="Calculation 143 2 2" xfId="40331" xr:uid="{00000000-0005-0000-0000-0000829D0000}"/>
    <cellStyle name="Calculation 143 3" xfId="40332" xr:uid="{00000000-0005-0000-0000-0000839D0000}"/>
    <cellStyle name="Calculation 143 3 2" xfId="40333" xr:uid="{00000000-0005-0000-0000-0000849D0000}"/>
    <cellStyle name="Calculation 143 3 3" xfId="40334" xr:uid="{00000000-0005-0000-0000-0000859D0000}"/>
    <cellStyle name="Calculation 143 4" xfId="40335" xr:uid="{00000000-0005-0000-0000-0000869D0000}"/>
    <cellStyle name="Calculation 144" xfId="40336" xr:uid="{00000000-0005-0000-0000-0000879D0000}"/>
    <cellStyle name="Calculation 144 2" xfId="40337" xr:uid="{00000000-0005-0000-0000-0000889D0000}"/>
    <cellStyle name="Calculation 144 2 2" xfId="40338" xr:uid="{00000000-0005-0000-0000-0000899D0000}"/>
    <cellStyle name="Calculation 144 3" xfId="40339" xr:uid="{00000000-0005-0000-0000-00008A9D0000}"/>
    <cellStyle name="Calculation 144 3 2" xfId="40340" xr:uid="{00000000-0005-0000-0000-00008B9D0000}"/>
    <cellStyle name="Calculation 144 3 3" xfId="40341" xr:uid="{00000000-0005-0000-0000-00008C9D0000}"/>
    <cellStyle name="Calculation 144 4" xfId="40342" xr:uid="{00000000-0005-0000-0000-00008D9D0000}"/>
    <cellStyle name="Calculation 145" xfId="40343" xr:uid="{00000000-0005-0000-0000-00008E9D0000}"/>
    <cellStyle name="Calculation 145 2" xfId="40344" xr:uid="{00000000-0005-0000-0000-00008F9D0000}"/>
    <cellStyle name="Calculation 145 2 2" xfId="40345" xr:uid="{00000000-0005-0000-0000-0000909D0000}"/>
    <cellStyle name="Calculation 145 3" xfId="40346" xr:uid="{00000000-0005-0000-0000-0000919D0000}"/>
    <cellStyle name="Calculation 145 3 2" xfId="40347" xr:uid="{00000000-0005-0000-0000-0000929D0000}"/>
    <cellStyle name="Calculation 145 3 3" xfId="40348" xr:uid="{00000000-0005-0000-0000-0000939D0000}"/>
    <cellStyle name="Calculation 145 4" xfId="40349" xr:uid="{00000000-0005-0000-0000-0000949D0000}"/>
    <cellStyle name="Calculation 146" xfId="40350" xr:uid="{00000000-0005-0000-0000-0000959D0000}"/>
    <cellStyle name="Calculation 146 2" xfId="40351" xr:uid="{00000000-0005-0000-0000-0000969D0000}"/>
    <cellStyle name="Calculation 146 2 2" xfId="40352" xr:uid="{00000000-0005-0000-0000-0000979D0000}"/>
    <cellStyle name="Calculation 146 3" xfId="40353" xr:uid="{00000000-0005-0000-0000-0000989D0000}"/>
    <cellStyle name="Calculation 146 3 2" xfId="40354" xr:uid="{00000000-0005-0000-0000-0000999D0000}"/>
    <cellStyle name="Calculation 146 3 3" xfId="40355" xr:uid="{00000000-0005-0000-0000-00009A9D0000}"/>
    <cellStyle name="Calculation 146 4" xfId="40356" xr:uid="{00000000-0005-0000-0000-00009B9D0000}"/>
    <cellStyle name="Calculation 147" xfId="40357" xr:uid="{00000000-0005-0000-0000-00009C9D0000}"/>
    <cellStyle name="Calculation 147 2" xfId="40358" xr:uid="{00000000-0005-0000-0000-00009D9D0000}"/>
    <cellStyle name="Calculation 147 2 2" xfId="40359" xr:uid="{00000000-0005-0000-0000-00009E9D0000}"/>
    <cellStyle name="Calculation 147 3" xfId="40360" xr:uid="{00000000-0005-0000-0000-00009F9D0000}"/>
    <cellStyle name="Calculation 147 3 2" xfId="40361" xr:uid="{00000000-0005-0000-0000-0000A09D0000}"/>
    <cellStyle name="Calculation 147 3 3" xfId="40362" xr:uid="{00000000-0005-0000-0000-0000A19D0000}"/>
    <cellStyle name="Calculation 147 4" xfId="40363" xr:uid="{00000000-0005-0000-0000-0000A29D0000}"/>
    <cellStyle name="Calculation 148" xfId="40364" xr:uid="{00000000-0005-0000-0000-0000A39D0000}"/>
    <cellStyle name="Calculation 148 2" xfId="40365" xr:uid="{00000000-0005-0000-0000-0000A49D0000}"/>
    <cellStyle name="Calculation 148 2 2" xfId="40366" xr:uid="{00000000-0005-0000-0000-0000A59D0000}"/>
    <cellStyle name="Calculation 148 3" xfId="40367" xr:uid="{00000000-0005-0000-0000-0000A69D0000}"/>
    <cellStyle name="Calculation 148 3 2" xfId="40368" xr:uid="{00000000-0005-0000-0000-0000A79D0000}"/>
    <cellStyle name="Calculation 148 3 3" xfId="40369" xr:uid="{00000000-0005-0000-0000-0000A89D0000}"/>
    <cellStyle name="Calculation 148 4" xfId="40370" xr:uid="{00000000-0005-0000-0000-0000A99D0000}"/>
    <cellStyle name="Calculation 149" xfId="40371" xr:uid="{00000000-0005-0000-0000-0000AA9D0000}"/>
    <cellStyle name="Calculation 149 2" xfId="40372" xr:uid="{00000000-0005-0000-0000-0000AB9D0000}"/>
    <cellStyle name="Calculation 149 2 2" xfId="40373" xr:uid="{00000000-0005-0000-0000-0000AC9D0000}"/>
    <cellStyle name="Calculation 149 3" xfId="40374" xr:uid="{00000000-0005-0000-0000-0000AD9D0000}"/>
    <cellStyle name="Calculation 149 3 2" xfId="40375" xr:uid="{00000000-0005-0000-0000-0000AE9D0000}"/>
    <cellStyle name="Calculation 149 3 3" xfId="40376" xr:uid="{00000000-0005-0000-0000-0000AF9D0000}"/>
    <cellStyle name="Calculation 149 4" xfId="40377" xr:uid="{00000000-0005-0000-0000-0000B09D0000}"/>
    <cellStyle name="Calculation 15" xfId="40378" xr:uid="{00000000-0005-0000-0000-0000B19D0000}"/>
    <cellStyle name="Calculation 15 2" xfId="40379" xr:uid="{00000000-0005-0000-0000-0000B29D0000}"/>
    <cellStyle name="Calculation 15 2 2" xfId="40380" xr:uid="{00000000-0005-0000-0000-0000B39D0000}"/>
    <cellStyle name="Calculation 15 2 2 2" xfId="40381" xr:uid="{00000000-0005-0000-0000-0000B49D0000}"/>
    <cellStyle name="Calculation 15 2 3" xfId="40382" xr:uid="{00000000-0005-0000-0000-0000B59D0000}"/>
    <cellStyle name="Calculation 15 2 3 2" xfId="40383" xr:uid="{00000000-0005-0000-0000-0000B69D0000}"/>
    <cellStyle name="Calculation 15 2 3 3" xfId="40384" xr:uid="{00000000-0005-0000-0000-0000B79D0000}"/>
    <cellStyle name="Calculation 15 2 4" xfId="40385" xr:uid="{00000000-0005-0000-0000-0000B89D0000}"/>
    <cellStyle name="Calculation 15 2 5" xfId="40386" xr:uid="{00000000-0005-0000-0000-0000B99D0000}"/>
    <cellStyle name="Calculation 15 3" xfId="40387" xr:uid="{00000000-0005-0000-0000-0000BA9D0000}"/>
    <cellStyle name="Calculation 15 3 2" xfId="40388" xr:uid="{00000000-0005-0000-0000-0000BB9D0000}"/>
    <cellStyle name="Calculation 15 3 3" xfId="40389" xr:uid="{00000000-0005-0000-0000-0000BC9D0000}"/>
    <cellStyle name="Calculation 15 4" xfId="40390" xr:uid="{00000000-0005-0000-0000-0000BD9D0000}"/>
    <cellStyle name="Calculation 15 5" xfId="40391" xr:uid="{00000000-0005-0000-0000-0000BE9D0000}"/>
    <cellStyle name="Calculation 150" xfId="40392" xr:uid="{00000000-0005-0000-0000-0000BF9D0000}"/>
    <cellStyle name="Calculation 150 2" xfId="40393" xr:uid="{00000000-0005-0000-0000-0000C09D0000}"/>
    <cellStyle name="Calculation 150 2 2" xfId="40394" xr:uid="{00000000-0005-0000-0000-0000C19D0000}"/>
    <cellStyle name="Calculation 150 3" xfId="40395" xr:uid="{00000000-0005-0000-0000-0000C29D0000}"/>
    <cellStyle name="Calculation 150 3 2" xfId="40396" xr:uid="{00000000-0005-0000-0000-0000C39D0000}"/>
    <cellStyle name="Calculation 150 3 3" xfId="40397" xr:uid="{00000000-0005-0000-0000-0000C49D0000}"/>
    <cellStyle name="Calculation 150 4" xfId="40398" xr:uid="{00000000-0005-0000-0000-0000C59D0000}"/>
    <cellStyle name="Calculation 151" xfId="40399" xr:uid="{00000000-0005-0000-0000-0000C69D0000}"/>
    <cellStyle name="Calculation 151 2" xfId="40400" xr:uid="{00000000-0005-0000-0000-0000C79D0000}"/>
    <cellStyle name="Calculation 151 2 2" xfId="40401" xr:uid="{00000000-0005-0000-0000-0000C89D0000}"/>
    <cellStyle name="Calculation 151 3" xfId="40402" xr:uid="{00000000-0005-0000-0000-0000C99D0000}"/>
    <cellStyle name="Calculation 151 3 2" xfId="40403" xr:uid="{00000000-0005-0000-0000-0000CA9D0000}"/>
    <cellStyle name="Calculation 151 3 3" xfId="40404" xr:uid="{00000000-0005-0000-0000-0000CB9D0000}"/>
    <cellStyle name="Calculation 151 4" xfId="40405" xr:uid="{00000000-0005-0000-0000-0000CC9D0000}"/>
    <cellStyle name="Calculation 152" xfId="40406" xr:uid="{00000000-0005-0000-0000-0000CD9D0000}"/>
    <cellStyle name="Calculation 152 2" xfId="40407" xr:uid="{00000000-0005-0000-0000-0000CE9D0000}"/>
    <cellStyle name="Calculation 152 2 2" xfId="40408" xr:uid="{00000000-0005-0000-0000-0000CF9D0000}"/>
    <cellStyle name="Calculation 152 3" xfId="40409" xr:uid="{00000000-0005-0000-0000-0000D09D0000}"/>
    <cellStyle name="Calculation 152 3 2" xfId="40410" xr:uid="{00000000-0005-0000-0000-0000D19D0000}"/>
    <cellStyle name="Calculation 152 3 3" xfId="40411" xr:uid="{00000000-0005-0000-0000-0000D29D0000}"/>
    <cellStyle name="Calculation 152 4" xfId="40412" xr:uid="{00000000-0005-0000-0000-0000D39D0000}"/>
    <cellStyle name="Calculation 153" xfId="40413" xr:uid="{00000000-0005-0000-0000-0000D49D0000}"/>
    <cellStyle name="Calculation 153 2" xfId="40414" xr:uid="{00000000-0005-0000-0000-0000D59D0000}"/>
    <cellStyle name="Calculation 153 2 2" xfId="40415" xr:uid="{00000000-0005-0000-0000-0000D69D0000}"/>
    <cellStyle name="Calculation 153 3" xfId="40416" xr:uid="{00000000-0005-0000-0000-0000D79D0000}"/>
    <cellStyle name="Calculation 153 3 2" xfId="40417" xr:uid="{00000000-0005-0000-0000-0000D89D0000}"/>
    <cellStyle name="Calculation 153 3 3" xfId="40418" xr:uid="{00000000-0005-0000-0000-0000D99D0000}"/>
    <cellStyle name="Calculation 153 4" xfId="40419" xr:uid="{00000000-0005-0000-0000-0000DA9D0000}"/>
    <cellStyle name="Calculation 154" xfId="40420" xr:uid="{00000000-0005-0000-0000-0000DB9D0000}"/>
    <cellStyle name="Calculation 154 2" xfId="40421" xr:uid="{00000000-0005-0000-0000-0000DC9D0000}"/>
    <cellStyle name="Calculation 154 2 2" xfId="40422" xr:uid="{00000000-0005-0000-0000-0000DD9D0000}"/>
    <cellStyle name="Calculation 154 3" xfId="40423" xr:uid="{00000000-0005-0000-0000-0000DE9D0000}"/>
    <cellStyle name="Calculation 154 3 2" xfId="40424" xr:uid="{00000000-0005-0000-0000-0000DF9D0000}"/>
    <cellStyle name="Calculation 154 3 3" xfId="40425" xr:uid="{00000000-0005-0000-0000-0000E09D0000}"/>
    <cellStyle name="Calculation 154 4" xfId="40426" xr:uid="{00000000-0005-0000-0000-0000E19D0000}"/>
    <cellStyle name="Calculation 155" xfId="40427" xr:uid="{00000000-0005-0000-0000-0000E29D0000}"/>
    <cellStyle name="Calculation 155 2" xfId="40428" xr:uid="{00000000-0005-0000-0000-0000E39D0000}"/>
    <cellStyle name="Calculation 155 2 2" xfId="40429" xr:uid="{00000000-0005-0000-0000-0000E49D0000}"/>
    <cellStyle name="Calculation 155 3" xfId="40430" xr:uid="{00000000-0005-0000-0000-0000E59D0000}"/>
    <cellStyle name="Calculation 155 3 2" xfId="40431" xr:uid="{00000000-0005-0000-0000-0000E69D0000}"/>
    <cellStyle name="Calculation 155 3 3" xfId="40432" xr:uid="{00000000-0005-0000-0000-0000E79D0000}"/>
    <cellStyle name="Calculation 155 4" xfId="40433" xr:uid="{00000000-0005-0000-0000-0000E89D0000}"/>
    <cellStyle name="Calculation 156" xfId="40434" xr:uid="{00000000-0005-0000-0000-0000E99D0000}"/>
    <cellStyle name="Calculation 156 2" xfId="40435" xr:uid="{00000000-0005-0000-0000-0000EA9D0000}"/>
    <cellStyle name="Calculation 156 2 2" xfId="40436" xr:uid="{00000000-0005-0000-0000-0000EB9D0000}"/>
    <cellStyle name="Calculation 156 3" xfId="40437" xr:uid="{00000000-0005-0000-0000-0000EC9D0000}"/>
    <cellStyle name="Calculation 156 3 2" xfId="40438" xr:uid="{00000000-0005-0000-0000-0000ED9D0000}"/>
    <cellStyle name="Calculation 156 3 3" xfId="40439" xr:uid="{00000000-0005-0000-0000-0000EE9D0000}"/>
    <cellStyle name="Calculation 156 4" xfId="40440" xr:uid="{00000000-0005-0000-0000-0000EF9D0000}"/>
    <cellStyle name="Calculation 157" xfId="40441" xr:uid="{00000000-0005-0000-0000-0000F09D0000}"/>
    <cellStyle name="Calculation 157 2" xfId="40442" xr:uid="{00000000-0005-0000-0000-0000F19D0000}"/>
    <cellStyle name="Calculation 157 2 2" xfId="40443" xr:uid="{00000000-0005-0000-0000-0000F29D0000}"/>
    <cellStyle name="Calculation 157 3" xfId="40444" xr:uid="{00000000-0005-0000-0000-0000F39D0000}"/>
    <cellStyle name="Calculation 157 3 2" xfId="40445" xr:uid="{00000000-0005-0000-0000-0000F49D0000}"/>
    <cellStyle name="Calculation 157 3 3" xfId="40446" xr:uid="{00000000-0005-0000-0000-0000F59D0000}"/>
    <cellStyle name="Calculation 157 4" xfId="40447" xr:uid="{00000000-0005-0000-0000-0000F69D0000}"/>
    <cellStyle name="Calculation 158" xfId="40448" xr:uid="{00000000-0005-0000-0000-0000F79D0000}"/>
    <cellStyle name="Calculation 158 2" xfId="40449" xr:uid="{00000000-0005-0000-0000-0000F89D0000}"/>
    <cellStyle name="Calculation 158 2 2" xfId="40450" xr:uid="{00000000-0005-0000-0000-0000F99D0000}"/>
    <cellStyle name="Calculation 158 3" xfId="40451" xr:uid="{00000000-0005-0000-0000-0000FA9D0000}"/>
    <cellStyle name="Calculation 158 3 2" xfId="40452" xr:uid="{00000000-0005-0000-0000-0000FB9D0000}"/>
    <cellStyle name="Calculation 158 3 3" xfId="40453" xr:uid="{00000000-0005-0000-0000-0000FC9D0000}"/>
    <cellStyle name="Calculation 158 4" xfId="40454" xr:uid="{00000000-0005-0000-0000-0000FD9D0000}"/>
    <cellStyle name="Calculation 159" xfId="40455" xr:uid="{00000000-0005-0000-0000-0000FE9D0000}"/>
    <cellStyle name="Calculation 159 2" xfId="40456" xr:uid="{00000000-0005-0000-0000-0000FF9D0000}"/>
    <cellStyle name="Calculation 16" xfId="40457" xr:uid="{00000000-0005-0000-0000-0000009E0000}"/>
    <cellStyle name="Calculation 16 2" xfId="40458" xr:uid="{00000000-0005-0000-0000-0000019E0000}"/>
    <cellStyle name="Calculation 16 2 2" xfId="40459" xr:uid="{00000000-0005-0000-0000-0000029E0000}"/>
    <cellStyle name="Calculation 16 2 2 2" xfId="40460" xr:uid="{00000000-0005-0000-0000-0000039E0000}"/>
    <cellStyle name="Calculation 16 2 3" xfId="40461" xr:uid="{00000000-0005-0000-0000-0000049E0000}"/>
    <cellStyle name="Calculation 16 2 3 2" xfId="40462" xr:uid="{00000000-0005-0000-0000-0000059E0000}"/>
    <cellStyle name="Calculation 16 2 3 3" xfId="40463" xr:uid="{00000000-0005-0000-0000-0000069E0000}"/>
    <cellStyle name="Calculation 16 2 4" xfId="40464" xr:uid="{00000000-0005-0000-0000-0000079E0000}"/>
    <cellStyle name="Calculation 16 2 5" xfId="40465" xr:uid="{00000000-0005-0000-0000-0000089E0000}"/>
    <cellStyle name="Calculation 16 3" xfId="40466" xr:uid="{00000000-0005-0000-0000-0000099E0000}"/>
    <cellStyle name="Calculation 16 3 2" xfId="40467" xr:uid="{00000000-0005-0000-0000-00000A9E0000}"/>
    <cellStyle name="Calculation 16 3 3" xfId="40468" xr:uid="{00000000-0005-0000-0000-00000B9E0000}"/>
    <cellStyle name="Calculation 16 4" xfId="40469" xr:uid="{00000000-0005-0000-0000-00000C9E0000}"/>
    <cellStyle name="Calculation 16 5" xfId="40470" xr:uid="{00000000-0005-0000-0000-00000D9E0000}"/>
    <cellStyle name="Calculation 160" xfId="40471" xr:uid="{00000000-0005-0000-0000-00000E9E0000}"/>
    <cellStyle name="Calculation 160 2" xfId="40472" xr:uid="{00000000-0005-0000-0000-00000F9E0000}"/>
    <cellStyle name="Calculation 161" xfId="40473" xr:uid="{00000000-0005-0000-0000-0000109E0000}"/>
    <cellStyle name="Calculation 161 2" xfId="40474" xr:uid="{00000000-0005-0000-0000-0000119E0000}"/>
    <cellStyle name="Calculation 162" xfId="40475" xr:uid="{00000000-0005-0000-0000-0000129E0000}"/>
    <cellStyle name="Calculation 162 2" xfId="40476" xr:uid="{00000000-0005-0000-0000-0000139E0000}"/>
    <cellStyle name="Calculation 163" xfId="40477" xr:uid="{00000000-0005-0000-0000-0000149E0000}"/>
    <cellStyle name="Calculation 163 2" xfId="40478" xr:uid="{00000000-0005-0000-0000-0000159E0000}"/>
    <cellStyle name="Calculation 164" xfId="40479" xr:uid="{00000000-0005-0000-0000-0000169E0000}"/>
    <cellStyle name="Calculation 164 2" xfId="40480" xr:uid="{00000000-0005-0000-0000-0000179E0000}"/>
    <cellStyle name="Calculation 165" xfId="40481" xr:uid="{00000000-0005-0000-0000-0000189E0000}"/>
    <cellStyle name="Calculation 165 2" xfId="40482" xr:uid="{00000000-0005-0000-0000-0000199E0000}"/>
    <cellStyle name="Calculation 166" xfId="40483" xr:uid="{00000000-0005-0000-0000-00001A9E0000}"/>
    <cellStyle name="Calculation 166 2" xfId="40484" xr:uid="{00000000-0005-0000-0000-00001B9E0000}"/>
    <cellStyle name="Calculation 167" xfId="40485" xr:uid="{00000000-0005-0000-0000-00001C9E0000}"/>
    <cellStyle name="Calculation 167 2" xfId="40486" xr:uid="{00000000-0005-0000-0000-00001D9E0000}"/>
    <cellStyle name="Calculation 168" xfId="40487" xr:uid="{00000000-0005-0000-0000-00001E9E0000}"/>
    <cellStyle name="Calculation 168 2" xfId="40488" xr:uid="{00000000-0005-0000-0000-00001F9E0000}"/>
    <cellStyle name="Calculation 169" xfId="40489" xr:uid="{00000000-0005-0000-0000-0000209E0000}"/>
    <cellStyle name="Calculation 169 2" xfId="40490" xr:uid="{00000000-0005-0000-0000-0000219E0000}"/>
    <cellStyle name="Calculation 17" xfId="40491" xr:uid="{00000000-0005-0000-0000-0000229E0000}"/>
    <cellStyle name="Calculation 17 2" xfId="40492" xr:uid="{00000000-0005-0000-0000-0000239E0000}"/>
    <cellStyle name="Calculation 17 2 2" xfId="40493" xr:uid="{00000000-0005-0000-0000-0000249E0000}"/>
    <cellStyle name="Calculation 17 2 2 2" xfId="40494" xr:uid="{00000000-0005-0000-0000-0000259E0000}"/>
    <cellStyle name="Calculation 17 2 3" xfId="40495" xr:uid="{00000000-0005-0000-0000-0000269E0000}"/>
    <cellStyle name="Calculation 17 2 3 2" xfId="40496" xr:uid="{00000000-0005-0000-0000-0000279E0000}"/>
    <cellStyle name="Calculation 17 2 3 3" xfId="40497" xr:uid="{00000000-0005-0000-0000-0000289E0000}"/>
    <cellStyle name="Calculation 17 2 4" xfId="40498" xr:uid="{00000000-0005-0000-0000-0000299E0000}"/>
    <cellStyle name="Calculation 17 2 5" xfId="40499" xr:uid="{00000000-0005-0000-0000-00002A9E0000}"/>
    <cellStyle name="Calculation 17 3" xfId="40500" xr:uid="{00000000-0005-0000-0000-00002B9E0000}"/>
    <cellStyle name="Calculation 17 3 2" xfId="40501" xr:uid="{00000000-0005-0000-0000-00002C9E0000}"/>
    <cellStyle name="Calculation 17 3 3" xfId="40502" xr:uid="{00000000-0005-0000-0000-00002D9E0000}"/>
    <cellStyle name="Calculation 17 4" xfId="40503" xr:uid="{00000000-0005-0000-0000-00002E9E0000}"/>
    <cellStyle name="Calculation 17 5" xfId="40504" xr:uid="{00000000-0005-0000-0000-00002F9E0000}"/>
    <cellStyle name="Calculation 170" xfId="40505" xr:uid="{00000000-0005-0000-0000-0000309E0000}"/>
    <cellStyle name="Calculation 170 2" xfId="40506" xr:uid="{00000000-0005-0000-0000-0000319E0000}"/>
    <cellStyle name="Calculation 171" xfId="40507" xr:uid="{00000000-0005-0000-0000-0000329E0000}"/>
    <cellStyle name="Calculation 171 2" xfId="40508" xr:uid="{00000000-0005-0000-0000-0000339E0000}"/>
    <cellStyle name="Calculation 172" xfId="40509" xr:uid="{00000000-0005-0000-0000-0000349E0000}"/>
    <cellStyle name="Calculation 172 2" xfId="40510" xr:uid="{00000000-0005-0000-0000-0000359E0000}"/>
    <cellStyle name="Calculation 173" xfId="40511" xr:uid="{00000000-0005-0000-0000-0000369E0000}"/>
    <cellStyle name="Calculation 173 2" xfId="40512" xr:uid="{00000000-0005-0000-0000-0000379E0000}"/>
    <cellStyle name="Calculation 174" xfId="40513" xr:uid="{00000000-0005-0000-0000-0000389E0000}"/>
    <cellStyle name="Calculation 174 2" xfId="40514" xr:uid="{00000000-0005-0000-0000-0000399E0000}"/>
    <cellStyle name="Calculation 175" xfId="40515" xr:uid="{00000000-0005-0000-0000-00003A9E0000}"/>
    <cellStyle name="Calculation 175 2" xfId="40516" xr:uid="{00000000-0005-0000-0000-00003B9E0000}"/>
    <cellStyle name="Calculation 176" xfId="40517" xr:uid="{00000000-0005-0000-0000-00003C9E0000}"/>
    <cellStyle name="Calculation 176 2" xfId="40518" xr:uid="{00000000-0005-0000-0000-00003D9E0000}"/>
    <cellStyle name="Calculation 177" xfId="40519" xr:uid="{00000000-0005-0000-0000-00003E9E0000}"/>
    <cellStyle name="Calculation 177 2" xfId="40520" xr:uid="{00000000-0005-0000-0000-00003F9E0000}"/>
    <cellStyle name="Calculation 178" xfId="40521" xr:uid="{00000000-0005-0000-0000-0000409E0000}"/>
    <cellStyle name="Calculation 178 2" xfId="40522" xr:uid="{00000000-0005-0000-0000-0000419E0000}"/>
    <cellStyle name="Calculation 179" xfId="40523" xr:uid="{00000000-0005-0000-0000-0000429E0000}"/>
    <cellStyle name="Calculation 179 2" xfId="40524" xr:uid="{00000000-0005-0000-0000-0000439E0000}"/>
    <cellStyle name="Calculation 18" xfId="40525" xr:uid="{00000000-0005-0000-0000-0000449E0000}"/>
    <cellStyle name="Calculation 18 2" xfId="40526" xr:uid="{00000000-0005-0000-0000-0000459E0000}"/>
    <cellStyle name="Calculation 18 2 2" xfId="40527" xr:uid="{00000000-0005-0000-0000-0000469E0000}"/>
    <cellStyle name="Calculation 18 2 2 2" xfId="40528" xr:uid="{00000000-0005-0000-0000-0000479E0000}"/>
    <cellStyle name="Calculation 18 2 3" xfId="40529" xr:uid="{00000000-0005-0000-0000-0000489E0000}"/>
    <cellStyle name="Calculation 18 2 3 2" xfId="40530" xr:uid="{00000000-0005-0000-0000-0000499E0000}"/>
    <cellStyle name="Calculation 18 2 3 3" xfId="40531" xr:uid="{00000000-0005-0000-0000-00004A9E0000}"/>
    <cellStyle name="Calculation 18 2 4" xfId="40532" xr:uid="{00000000-0005-0000-0000-00004B9E0000}"/>
    <cellStyle name="Calculation 18 2 5" xfId="40533" xr:uid="{00000000-0005-0000-0000-00004C9E0000}"/>
    <cellStyle name="Calculation 18 3" xfId="40534" xr:uid="{00000000-0005-0000-0000-00004D9E0000}"/>
    <cellStyle name="Calculation 18 3 2" xfId="40535" xr:uid="{00000000-0005-0000-0000-00004E9E0000}"/>
    <cellStyle name="Calculation 18 3 3" xfId="40536" xr:uid="{00000000-0005-0000-0000-00004F9E0000}"/>
    <cellStyle name="Calculation 18 4" xfId="40537" xr:uid="{00000000-0005-0000-0000-0000509E0000}"/>
    <cellStyle name="Calculation 18 5" xfId="40538" xr:uid="{00000000-0005-0000-0000-0000519E0000}"/>
    <cellStyle name="Calculation 180" xfId="40539" xr:uid="{00000000-0005-0000-0000-0000529E0000}"/>
    <cellStyle name="Calculation 180 2" xfId="40540" xr:uid="{00000000-0005-0000-0000-0000539E0000}"/>
    <cellStyle name="Calculation 181" xfId="40541" xr:uid="{00000000-0005-0000-0000-0000549E0000}"/>
    <cellStyle name="Calculation 181 2" xfId="40542" xr:uid="{00000000-0005-0000-0000-0000559E0000}"/>
    <cellStyle name="Calculation 182" xfId="40543" xr:uid="{00000000-0005-0000-0000-0000569E0000}"/>
    <cellStyle name="Calculation 182 2" xfId="40544" xr:uid="{00000000-0005-0000-0000-0000579E0000}"/>
    <cellStyle name="Calculation 183" xfId="40545" xr:uid="{00000000-0005-0000-0000-0000589E0000}"/>
    <cellStyle name="Calculation 183 2" xfId="40546" xr:uid="{00000000-0005-0000-0000-0000599E0000}"/>
    <cellStyle name="Calculation 184" xfId="40547" xr:uid="{00000000-0005-0000-0000-00005A9E0000}"/>
    <cellStyle name="Calculation 184 2" xfId="40548" xr:uid="{00000000-0005-0000-0000-00005B9E0000}"/>
    <cellStyle name="Calculation 185" xfId="40549" xr:uid="{00000000-0005-0000-0000-00005C9E0000}"/>
    <cellStyle name="Calculation 185 2" xfId="40550" xr:uid="{00000000-0005-0000-0000-00005D9E0000}"/>
    <cellStyle name="Calculation 186" xfId="40551" xr:uid="{00000000-0005-0000-0000-00005E9E0000}"/>
    <cellStyle name="Calculation 186 2" xfId="40552" xr:uid="{00000000-0005-0000-0000-00005F9E0000}"/>
    <cellStyle name="Calculation 187" xfId="40553" xr:uid="{00000000-0005-0000-0000-0000609E0000}"/>
    <cellStyle name="Calculation 187 2" xfId="40554" xr:uid="{00000000-0005-0000-0000-0000619E0000}"/>
    <cellStyle name="Calculation 188" xfId="40555" xr:uid="{00000000-0005-0000-0000-0000629E0000}"/>
    <cellStyle name="Calculation 188 2" xfId="40556" xr:uid="{00000000-0005-0000-0000-0000639E0000}"/>
    <cellStyle name="Calculation 189" xfId="40557" xr:uid="{00000000-0005-0000-0000-0000649E0000}"/>
    <cellStyle name="Calculation 189 2" xfId="40558" xr:uid="{00000000-0005-0000-0000-0000659E0000}"/>
    <cellStyle name="Calculation 19" xfId="40559" xr:uid="{00000000-0005-0000-0000-0000669E0000}"/>
    <cellStyle name="Calculation 19 2" xfId="40560" xr:uid="{00000000-0005-0000-0000-0000679E0000}"/>
    <cellStyle name="Calculation 19 2 2" xfId="40561" xr:uid="{00000000-0005-0000-0000-0000689E0000}"/>
    <cellStyle name="Calculation 19 2 2 2" xfId="40562" xr:uid="{00000000-0005-0000-0000-0000699E0000}"/>
    <cellStyle name="Calculation 19 2 3" xfId="40563" xr:uid="{00000000-0005-0000-0000-00006A9E0000}"/>
    <cellStyle name="Calculation 19 2 3 2" xfId="40564" xr:uid="{00000000-0005-0000-0000-00006B9E0000}"/>
    <cellStyle name="Calculation 19 2 3 3" xfId="40565" xr:uid="{00000000-0005-0000-0000-00006C9E0000}"/>
    <cellStyle name="Calculation 19 2 4" xfId="40566" xr:uid="{00000000-0005-0000-0000-00006D9E0000}"/>
    <cellStyle name="Calculation 19 2 5" xfId="40567" xr:uid="{00000000-0005-0000-0000-00006E9E0000}"/>
    <cellStyle name="Calculation 19 3" xfId="40568" xr:uid="{00000000-0005-0000-0000-00006F9E0000}"/>
    <cellStyle name="Calculation 19 3 2" xfId="40569" xr:uid="{00000000-0005-0000-0000-0000709E0000}"/>
    <cellStyle name="Calculation 19 3 3" xfId="40570" xr:uid="{00000000-0005-0000-0000-0000719E0000}"/>
    <cellStyle name="Calculation 19 4" xfId="40571" xr:uid="{00000000-0005-0000-0000-0000729E0000}"/>
    <cellStyle name="Calculation 19 5" xfId="40572" xr:uid="{00000000-0005-0000-0000-0000739E0000}"/>
    <cellStyle name="Calculation 190" xfId="40573" xr:uid="{00000000-0005-0000-0000-0000749E0000}"/>
    <cellStyle name="Calculation 190 2" xfId="40574" xr:uid="{00000000-0005-0000-0000-0000759E0000}"/>
    <cellStyle name="Calculation 191" xfId="40575" xr:uid="{00000000-0005-0000-0000-0000769E0000}"/>
    <cellStyle name="Calculation 191 2" xfId="40576" xr:uid="{00000000-0005-0000-0000-0000779E0000}"/>
    <cellStyle name="Calculation 192" xfId="40577" xr:uid="{00000000-0005-0000-0000-0000789E0000}"/>
    <cellStyle name="Calculation 192 2" xfId="40578" xr:uid="{00000000-0005-0000-0000-0000799E0000}"/>
    <cellStyle name="Calculation 193" xfId="40579" xr:uid="{00000000-0005-0000-0000-00007A9E0000}"/>
    <cellStyle name="Calculation 193 2" xfId="40580" xr:uid="{00000000-0005-0000-0000-00007B9E0000}"/>
    <cellStyle name="Calculation 194" xfId="40581" xr:uid="{00000000-0005-0000-0000-00007C9E0000}"/>
    <cellStyle name="Calculation 194 2" xfId="40582" xr:uid="{00000000-0005-0000-0000-00007D9E0000}"/>
    <cellStyle name="Calculation 195" xfId="40583" xr:uid="{00000000-0005-0000-0000-00007E9E0000}"/>
    <cellStyle name="Calculation 195 2" xfId="40584" xr:uid="{00000000-0005-0000-0000-00007F9E0000}"/>
    <cellStyle name="Calculation 196" xfId="40585" xr:uid="{00000000-0005-0000-0000-0000809E0000}"/>
    <cellStyle name="Calculation 196 2" xfId="40586" xr:uid="{00000000-0005-0000-0000-0000819E0000}"/>
    <cellStyle name="Calculation 197" xfId="40587" xr:uid="{00000000-0005-0000-0000-0000829E0000}"/>
    <cellStyle name="Calculation 197 2" xfId="40588" xr:uid="{00000000-0005-0000-0000-0000839E0000}"/>
    <cellStyle name="Calculation 198" xfId="40589" xr:uid="{00000000-0005-0000-0000-0000849E0000}"/>
    <cellStyle name="Calculation 198 2" xfId="40590" xr:uid="{00000000-0005-0000-0000-0000859E0000}"/>
    <cellStyle name="Calculation 2" xfId="40591" xr:uid="{00000000-0005-0000-0000-0000869E0000}"/>
    <cellStyle name="Calculation 2 2" xfId="40592" xr:uid="{00000000-0005-0000-0000-0000879E0000}"/>
    <cellStyle name="Calculation 2 2 2" xfId="40593" xr:uid="{00000000-0005-0000-0000-0000889E0000}"/>
    <cellStyle name="Calculation 2 2 2 2" xfId="40594" xr:uid="{00000000-0005-0000-0000-0000899E0000}"/>
    <cellStyle name="Calculation 2 2 2 2 2" xfId="40595" xr:uid="{00000000-0005-0000-0000-00008A9E0000}"/>
    <cellStyle name="Calculation 2 2 2 2 2 2" xfId="40596" xr:uid="{00000000-0005-0000-0000-00008B9E0000}"/>
    <cellStyle name="Calculation 2 2 2 2 3" xfId="40597" xr:uid="{00000000-0005-0000-0000-00008C9E0000}"/>
    <cellStyle name="Calculation 2 2 2 2 4" xfId="40598" xr:uid="{00000000-0005-0000-0000-00008D9E0000}"/>
    <cellStyle name="Calculation 2 2 2 3" xfId="40599" xr:uid="{00000000-0005-0000-0000-00008E9E0000}"/>
    <cellStyle name="Calculation 2 2 3" xfId="40600" xr:uid="{00000000-0005-0000-0000-00008F9E0000}"/>
    <cellStyle name="Calculation 2 2 3 2" xfId="40601" xr:uid="{00000000-0005-0000-0000-0000909E0000}"/>
    <cellStyle name="Calculation 2 2 4" xfId="40602" xr:uid="{00000000-0005-0000-0000-0000919E0000}"/>
    <cellStyle name="Calculation 2 2 4 2" xfId="40603" xr:uid="{00000000-0005-0000-0000-0000929E0000}"/>
    <cellStyle name="Calculation 2 2 5" xfId="40604" xr:uid="{00000000-0005-0000-0000-0000939E0000}"/>
    <cellStyle name="Calculation 2 2 5 2" xfId="40605" xr:uid="{00000000-0005-0000-0000-0000949E0000}"/>
    <cellStyle name="Calculation 2 2 6" xfId="40606" xr:uid="{00000000-0005-0000-0000-0000959E0000}"/>
    <cellStyle name="Calculation 2 2 6 2" xfId="40607" xr:uid="{00000000-0005-0000-0000-0000969E0000}"/>
    <cellStyle name="Calculation 2 2 6 3" xfId="40608" xr:uid="{00000000-0005-0000-0000-0000979E0000}"/>
    <cellStyle name="Calculation 2 2 7" xfId="40609" xr:uid="{00000000-0005-0000-0000-0000989E0000}"/>
    <cellStyle name="Calculation 2 2 8" xfId="40610" xr:uid="{00000000-0005-0000-0000-0000999E0000}"/>
    <cellStyle name="Calculation 2 3" xfId="40611" xr:uid="{00000000-0005-0000-0000-00009A9E0000}"/>
    <cellStyle name="Calculation 2 3 2" xfId="40612" xr:uid="{00000000-0005-0000-0000-00009B9E0000}"/>
    <cellStyle name="Calculation 2 3 3" xfId="40613" xr:uid="{00000000-0005-0000-0000-00009C9E0000}"/>
    <cellStyle name="Calculation 2 4" xfId="40614" xr:uid="{00000000-0005-0000-0000-00009D9E0000}"/>
    <cellStyle name="Calculation 2 4 2" xfId="40615" xr:uid="{00000000-0005-0000-0000-00009E9E0000}"/>
    <cellStyle name="Calculation 2 4 3" xfId="40616" xr:uid="{00000000-0005-0000-0000-00009F9E0000}"/>
    <cellStyle name="Calculation 2 5" xfId="40617" xr:uid="{00000000-0005-0000-0000-0000A09E0000}"/>
    <cellStyle name="Calculation 2 5 2" xfId="40618" xr:uid="{00000000-0005-0000-0000-0000A19E0000}"/>
    <cellStyle name="Calculation 2 6" xfId="40619" xr:uid="{00000000-0005-0000-0000-0000A29E0000}"/>
    <cellStyle name="Calculation 2 6 2" xfId="40620" xr:uid="{00000000-0005-0000-0000-0000A39E0000}"/>
    <cellStyle name="Calculation 2 6 3" xfId="40621" xr:uid="{00000000-0005-0000-0000-0000A49E0000}"/>
    <cellStyle name="Calculation 2 7" xfId="40622" xr:uid="{00000000-0005-0000-0000-0000A59E0000}"/>
    <cellStyle name="Calculation 2 8" xfId="40623" xr:uid="{00000000-0005-0000-0000-0000A69E0000}"/>
    <cellStyle name="Calculation 20" xfId="40624" xr:uid="{00000000-0005-0000-0000-0000A79E0000}"/>
    <cellStyle name="Calculation 20 2" xfId="40625" xr:uid="{00000000-0005-0000-0000-0000A89E0000}"/>
    <cellStyle name="Calculation 20 2 2" xfId="40626" xr:uid="{00000000-0005-0000-0000-0000A99E0000}"/>
    <cellStyle name="Calculation 20 2 2 2" xfId="40627" xr:uid="{00000000-0005-0000-0000-0000AA9E0000}"/>
    <cellStyle name="Calculation 20 2 3" xfId="40628" xr:uid="{00000000-0005-0000-0000-0000AB9E0000}"/>
    <cellStyle name="Calculation 20 2 3 2" xfId="40629" xr:uid="{00000000-0005-0000-0000-0000AC9E0000}"/>
    <cellStyle name="Calculation 20 2 3 3" xfId="40630" xr:uid="{00000000-0005-0000-0000-0000AD9E0000}"/>
    <cellStyle name="Calculation 20 2 4" xfId="40631" xr:uid="{00000000-0005-0000-0000-0000AE9E0000}"/>
    <cellStyle name="Calculation 20 2 5" xfId="40632" xr:uid="{00000000-0005-0000-0000-0000AF9E0000}"/>
    <cellStyle name="Calculation 20 3" xfId="40633" xr:uid="{00000000-0005-0000-0000-0000B09E0000}"/>
    <cellStyle name="Calculation 20 3 2" xfId="40634" xr:uid="{00000000-0005-0000-0000-0000B19E0000}"/>
    <cellStyle name="Calculation 20 3 3" xfId="40635" xr:uid="{00000000-0005-0000-0000-0000B29E0000}"/>
    <cellStyle name="Calculation 20 4" xfId="40636" xr:uid="{00000000-0005-0000-0000-0000B39E0000}"/>
    <cellStyle name="Calculation 20 5" xfId="40637" xr:uid="{00000000-0005-0000-0000-0000B49E0000}"/>
    <cellStyle name="Calculation 21" xfId="40638" xr:uid="{00000000-0005-0000-0000-0000B59E0000}"/>
    <cellStyle name="Calculation 21 2" xfId="40639" xr:uid="{00000000-0005-0000-0000-0000B69E0000}"/>
    <cellStyle name="Calculation 21 2 2" xfId="40640" xr:uid="{00000000-0005-0000-0000-0000B79E0000}"/>
    <cellStyle name="Calculation 21 2 2 2" xfId="40641" xr:uid="{00000000-0005-0000-0000-0000B89E0000}"/>
    <cellStyle name="Calculation 21 2 3" xfId="40642" xr:uid="{00000000-0005-0000-0000-0000B99E0000}"/>
    <cellStyle name="Calculation 21 2 3 2" xfId="40643" xr:uid="{00000000-0005-0000-0000-0000BA9E0000}"/>
    <cellStyle name="Calculation 21 2 3 3" xfId="40644" xr:uid="{00000000-0005-0000-0000-0000BB9E0000}"/>
    <cellStyle name="Calculation 21 2 4" xfId="40645" xr:uid="{00000000-0005-0000-0000-0000BC9E0000}"/>
    <cellStyle name="Calculation 21 2 5" xfId="40646" xr:uid="{00000000-0005-0000-0000-0000BD9E0000}"/>
    <cellStyle name="Calculation 21 3" xfId="40647" xr:uid="{00000000-0005-0000-0000-0000BE9E0000}"/>
    <cellStyle name="Calculation 21 3 2" xfId="40648" xr:uid="{00000000-0005-0000-0000-0000BF9E0000}"/>
    <cellStyle name="Calculation 21 3 3" xfId="40649" xr:uid="{00000000-0005-0000-0000-0000C09E0000}"/>
    <cellStyle name="Calculation 21 4" xfId="40650" xr:uid="{00000000-0005-0000-0000-0000C19E0000}"/>
    <cellStyle name="Calculation 21 5" xfId="40651" xr:uid="{00000000-0005-0000-0000-0000C29E0000}"/>
    <cellStyle name="Calculation 22" xfId="40652" xr:uid="{00000000-0005-0000-0000-0000C39E0000}"/>
    <cellStyle name="Calculation 22 2" xfId="40653" xr:uid="{00000000-0005-0000-0000-0000C49E0000}"/>
    <cellStyle name="Calculation 22 2 2" xfId="40654" xr:uid="{00000000-0005-0000-0000-0000C59E0000}"/>
    <cellStyle name="Calculation 22 2 2 2" xfId="40655" xr:uid="{00000000-0005-0000-0000-0000C69E0000}"/>
    <cellStyle name="Calculation 22 2 3" xfId="40656" xr:uid="{00000000-0005-0000-0000-0000C79E0000}"/>
    <cellStyle name="Calculation 22 2 3 2" xfId="40657" xr:uid="{00000000-0005-0000-0000-0000C89E0000}"/>
    <cellStyle name="Calculation 22 2 3 3" xfId="40658" xr:uid="{00000000-0005-0000-0000-0000C99E0000}"/>
    <cellStyle name="Calculation 22 2 4" xfId="40659" xr:uid="{00000000-0005-0000-0000-0000CA9E0000}"/>
    <cellStyle name="Calculation 22 2 5" xfId="40660" xr:uid="{00000000-0005-0000-0000-0000CB9E0000}"/>
    <cellStyle name="Calculation 22 3" xfId="40661" xr:uid="{00000000-0005-0000-0000-0000CC9E0000}"/>
    <cellStyle name="Calculation 22 3 2" xfId="40662" xr:uid="{00000000-0005-0000-0000-0000CD9E0000}"/>
    <cellStyle name="Calculation 22 3 3" xfId="40663" xr:uid="{00000000-0005-0000-0000-0000CE9E0000}"/>
    <cellStyle name="Calculation 22 4" xfId="40664" xr:uid="{00000000-0005-0000-0000-0000CF9E0000}"/>
    <cellStyle name="Calculation 22 5" xfId="40665" xr:uid="{00000000-0005-0000-0000-0000D09E0000}"/>
    <cellStyle name="Calculation 23" xfId="40666" xr:uid="{00000000-0005-0000-0000-0000D19E0000}"/>
    <cellStyle name="Calculation 23 2" xfId="40667" xr:uid="{00000000-0005-0000-0000-0000D29E0000}"/>
    <cellStyle name="Calculation 23 2 2" xfId="40668" xr:uid="{00000000-0005-0000-0000-0000D39E0000}"/>
    <cellStyle name="Calculation 23 2 2 2" xfId="40669" xr:uid="{00000000-0005-0000-0000-0000D49E0000}"/>
    <cellStyle name="Calculation 23 2 3" xfId="40670" xr:uid="{00000000-0005-0000-0000-0000D59E0000}"/>
    <cellStyle name="Calculation 23 2 3 2" xfId="40671" xr:uid="{00000000-0005-0000-0000-0000D69E0000}"/>
    <cellStyle name="Calculation 23 2 3 3" xfId="40672" xr:uid="{00000000-0005-0000-0000-0000D79E0000}"/>
    <cellStyle name="Calculation 23 2 4" xfId="40673" xr:uid="{00000000-0005-0000-0000-0000D89E0000}"/>
    <cellStyle name="Calculation 23 2 5" xfId="40674" xr:uid="{00000000-0005-0000-0000-0000D99E0000}"/>
    <cellStyle name="Calculation 23 3" xfId="40675" xr:uid="{00000000-0005-0000-0000-0000DA9E0000}"/>
    <cellStyle name="Calculation 23 3 2" xfId="40676" xr:uid="{00000000-0005-0000-0000-0000DB9E0000}"/>
    <cellStyle name="Calculation 23 3 3" xfId="40677" xr:uid="{00000000-0005-0000-0000-0000DC9E0000}"/>
    <cellStyle name="Calculation 23 4" xfId="40678" xr:uid="{00000000-0005-0000-0000-0000DD9E0000}"/>
    <cellStyle name="Calculation 23 5" xfId="40679" xr:uid="{00000000-0005-0000-0000-0000DE9E0000}"/>
    <cellStyle name="Calculation 24" xfId="40680" xr:uid="{00000000-0005-0000-0000-0000DF9E0000}"/>
    <cellStyle name="Calculation 24 2" xfId="40681" xr:uid="{00000000-0005-0000-0000-0000E09E0000}"/>
    <cellStyle name="Calculation 24 2 2" xfId="40682" xr:uid="{00000000-0005-0000-0000-0000E19E0000}"/>
    <cellStyle name="Calculation 24 2 2 2" xfId="40683" xr:uid="{00000000-0005-0000-0000-0000E29E0000}"/>
    <cellStyle name="Calculation 24 2 3" xfId="40684" xr:uid="{00000000-0005-0000-0000-0000E39E0000}"/>
    <cellStyle name="Calculation 24 2 3 2" xfId="40685" xr:uid="{00000000-0005-0000-0000-0000E49E0000}"/>
    <cellStyle name="Calculation 24 2 3 3" xfId="40686" xr:uid="{00000000-0005-0000-0000-0000E59E0000}"/>
    <cellStyle name="Calculation 24 2 4" xfId="40687" xr:uid="{00000000-0005-0000-0000-0000E69E0000}"/>
    <cellStyle name="Calculation 24 2 5" xfId="40688" xr:uid="{00000000-0005-0000-0000-0000E79E0000}"/>
    <cellStyle name="Calculation 24 3" xfId="40689" xr:uid="{00000000-0005-0000-0000-0000E89E0000}"/>
    <cellStyle name="Calculation 24 3 2" xfId="40690" xr:uid="{00000000-0005-0000-0000-0000E99E0000}"/>
    <cellStyle name="Calculation 24 3 3" xfId="40691" xr:uid="{00000000-0005-0000-0000-0000EA9E0000}"/>
    <cellStyle name="Calculation 24 4" xfId="40692" xr:uid="{00000000-0005-0000-0000-0000EB9E0000}"/>
    <cellStyle name="Calculation 24 5" xfId="40693" xr:uid="{00000000-0005-0000-0000-0000EC9E0000}"/>
    <cellStyle name="Calculation 25" xfId="40694" xr:uid="{00000000-0005-0000-0000-0000ED9E0000}"/>
    <cellStyle name="Calculation 25 2" xfId="40695" xr:uid="{00000000-0005-0000-0000-0000EE9E0000}"/>
    <cellStyle name="Calculation 25 2 2" xfId="40696" xr:uid="{00000000-0005-0000-0000-0000EF9E0000}"/>
    <cellStyle name="Calculation 25 2 2 2" xfId="40697" xr:uid="{00000000-0005-0000-0000-0000F09E0000}"/>
    <cellStyle name="Calculation 25 2 3" xfId="40698" xr:uid="{00000000-0005-0000-0000-0000F19E0000}"/>
    <cellStyle name="Calculation 25 2 3 2" xfId="40699" xr:uid="{00000000-0005-0000-0000-0000F29E0000}"/>
    <cellStyle name="Calculation 25 2 3 3" xfId="40700" xr:uid="{00000000-0005-0000-0000-0000F39E0000}"/>
    <cellStyle name="Calculation 25 2 4" xfId="40701" xr:uid="{00000000-0005-0000-0000-0000F49E0000}"/>
    <cellStyle name="Calculation 25 2 5" xfId="40702" xr:uid="{00000000-0005-0000-0000-0000F59E0000}"/>
    <cellStyle name="Calculation 25 3" xfId="40703" xr:uid="{00000000-0005-0000-0000-0000F69E0000}"/>
    <cellStyle name="Calculation 25 3 2" xfId="40704" xr:uid="{00000000-0005-0000-0000-0000F79E0000}"/>
    <cellStyle name="Calculation 25 3 3" xfId="40705" xr:uid="{00000000-0005-0000-0000-0000F89E0000}"/>
    <cellStyle name="Calculation 25 4" xfId="40706" xr:uid="{00000000-0005-0000-0000-0000F99E0000}"/>
    <cellStyle name="Calculation 25 5" xfId="40707" xr:uid="{00000000-0005-0000-0000-0000FA9E0000}"/>
    <cellStyle name="Calculation 26" xfId="40708" xr:uid="{00000000-0005-0000-0000-0000FB9E0000}"/>
    <cellStyle name="Calculation 26 2" xfId="40709" xr:uid="{00000000-0005-0000-0000-0000FC9E0000}"/>
    <cellStyle name="Calculation 26 2 2" xfId="40710" xr:uid="{00000000-0005-0000-0000-0000FD9E0000}"/>
    <cellStyle name="Calculation 26 2 2 2" xfId="40711" xr:uid="{00000000-0005-0000-0000-0000FE9E0000}"/>
    <cellStyle name="Calculation 26 2 3" xfId="40712" xr:uid="{00000000-0005-0000-0000-0000FF9E0000}"/>
    <cellStyle name="Calculation 26 2 3 2" xfId="40713" xr:uid="{00000000-0005-0000-0000-0000009F0000}"/>
    <cellStyle name="Calculation 26 2 3 3" xfId="40714" xr:uid="{00000000-0005-0000-0000-0000019F0000}"/>
    <cellStyle name="Calculation 26 2 4" xfId="40715" xr:uid="{00000000-0005-0000-0000-0000029F0000}"/>
    <cellStyle name="Calculation 26 2 5" xfId="40716" xr:uid="{00000000-0005-0000-0000-0000039F0000}"/>
    <cellStyle name="Calculation 26 3" xfId="40717" xr:uid="{00000000-0005-0000-0000-0000049F0000}"/>
    <cellStyle name="Calculation 26 3 2" xfId="40718" xr:uid="{00000000-0005-0000-0000-0000059F0000}"/>
    <cellStyle name="Calculation 26 3 3" xfId="40719" xr:uid="{00000000-0005-0000-0000-0000069F0000}"/>
    <cellStyle name="Calculation 26 4" xfId="40720" xr:uid="{00000000-0005-0000-0000-0000079F0000}"/>
    <cellStyle name="Calculation 26 5" xfId="40721" xr:uid="{00000000-0005-0000-0000-0000089F0000}"/>
    <cellStyle name="Calculation 27" xfId="40722" xr:uid="{00000000-0005-0000-0000-0000099F0000}"/>
    <cellStyle name="Calculation 27 2" xfId="40723" xr:uid="{00000000-0005-0000-0000-00000A9F0000}"/>
    <cellStyle name="Calculation 27 2 2" xfId="40724" xr:uid="{00000000-0005-0000-0000-00000B9F0000}"/>
    <cellStyle name="Calculation 27 2 2 2" xfId="40725" xr:uid="{00000000-0005-0000-0000-00000C9F0000}"/>
    <cellStyle name="Calculation 27 2 3" xfId="40726" xr:uid="{00000000-0005-0000-0000-00000D9F0000}"/>
    <cellStyle name="Calculation 27 2 3 2" xfId="40727" xr:uid="{00000000-0005-0000-0000-00000E9F0000}"/>
    <cellStyle name="Calculation 27 2 3 3" xfId="40728" xr:uid="{00000000-0005-0000-0000-00000F9F0000}"/>
    <cellStyle name="Calculation 27 2 4" xfId="40729" xr:uid="{00000000-0005-0000-0000-0000109F0000}"/>
    <cellStyle name="Calculation 27 2 5" xfId="40730" xr:uid="{00000000-0005-0000-0000-0000119F0000}"/>
    <cellStyle name="Calculation 27 3" xfId="40731" xr:uid="{00000000-0005-0000-0000-0000129F0000}"/>
    <cellStyle name="Calculation 27 3 2" xfId="40732" xr:uid="{00000000-0005-0000-0000-0000139F0000}"/>
    <cellStyle name="Calculation 27 3 3" xfId="40733" xr:uid="{00000000-0005-0000-0000-0000149F0000}"/>
    <cellStyle name="Calculation 27 4" xfId="40734" xr:uid="{00000000-0005-0000-0000-0000159F0000}"/>
    <cellStyle name="Calculation 27 5" xfId="40735" xr:uid="{00000000-0005-0000-0000-0000169F0000}"/>
    <cellStyle name="Calculation 28" xfId="40736" xr:uid="{00000000-0005-0000-0000-0000179F0000}"/>
    <cellStyle name="Calculation 28 2" xfId="40737" xr:uid="{00000000-0005-0000-0000-0000189F0000}"/>
    <cellStyle name="Calculation 28 2 2" xfId="40738" xr:uid="{00000000-0005-0000-0000-0000199F0000}"/>
    <cellStyle name="Calculation 28 2 2 2" xfId="40739" xr:uid="{00000000-0005-0000-0000-00001A9F0000}"/>
    <cellStyle name="Calculation 28 2 3" xfId="40740" xr:uid="{00000000-0005-0000-0000-00001B9F0000}"/>
    <cellStyle name="Calculation 28 2 3 2" xfId="40741" xr:uid="{00000000-0005-0000-0000-00001C9F0000}"/>
    <cellStyle name="Calculation 28 2 3 3" xfId="40742" xr:uid="{00000000-0005-0000-0000-00001D9F0000}"/>
    <cellStyle name="Calculation 28 2 4" xfId="40743" xr:uid="{00000000-0005-0000-0000-00001E9F0000}"/>
    <cellStyle name="Calculation 28 2 5" xfId="40744" xr:uid="{00000000-0005-0000-0000-00001F9F0000}"/>
    <cellStyle name="Calculation 28 3" xfId="40745" xr:uid="{00000000-0005-0000-0000-0000209F0000}"/>
    <cellStyle name="Calculation 28 3 2" xfId="40746" xr:uid="{00000000-0005-0000-0000-0000219F0000}"/>
    <cellStyle name="Calculation 28 3 3" xfId="40747" xr:uid="{00000000-0005-0000-0000-0000229F0000}"/>
    <cellStyle name="Calculation 28 4" xfId="40748" xr:uid="{00000000-0005-0000-0000-0000239F0000}"/>
    <cellStyle name="Calculation 28 5" xfId="40749" xr:uid="{00000000-0005-0000-0000-0000249F0000}"/>
    <cellStyle name="Calculation 29" xfId="40750" xr:uid="{00000000-0005-0000-0000-0000259F0000}"/>
    <cellStyle name="Calculation 29 2" xfId="40751" xr:uid="{00000000-0005-0000-0000-0000269F0000}"/>
    <cellStyle name="Calculation 29 2 2" xfId="40752" xr:uid="{00000000-0005-0000-0000-0000279F0000}"/>
    <cellStyle name="Calculation 29 2 2 2" xfId="40753" xr:uid="{00000000-0005-0000-0000-0000289F0000}"/>
    <cellStyle name="Calculation 29 2 3" xfId="40754" xr:uid="{00000000-0005-0000-0000-0000299F0000}"/>
    <cellStyle name="Calculation 29 2 3 2" xfId="40755" xr:uid="{00000000-0005-0000-0000-00002A9F0000}"/>
    <cellStyle name="Calculation 29 2 3 3" xfId="40756" xr:uid="{00000000-0005-0000-0000-00002B9F0000}"/>
    <cellStyle name="Calculation 29 2 4" xfId="40757" xr:uid="{00000000-0005-0000-0000-00002C9F0000}"/>
    <cellStyle name="Calculation 29 2 5" xfId="40758" xr:uid="{00000000-0005-0000-0000-00002D9F0000}"/>
    <cellStyle name="Calculation 29 3" xfId="40759" xr:uid="{00000000-0005-0000-0000-00002E9F0000}"/>
    <cellStyle name="Calculation 29 3 2" xfId="40760" xr:uid="{00000000-0005-0000-0000-00002F9F0000}"/>
    <cellStyle name="Calculation 29 3 3" xfId="40761" xr:uid="{00000000-0005-0000-0000-0000309F0000}"/>
    <cellStyle name="Calculation 29 4" xfId="40762" xr:uid="{00000000-0005-0000-0000-0000319F0000}"/>
    <cellStyle name="Calculation 29 5" xfId="40763" xr:uid="{00000000-0005-0000-0000-0000329F0000}"/>
    <cellStyle name="Calculation 3" xfId="40764" xr:uid="{00000000-0005-0000-0000-0000339F0000}"/>
    <cellStyle name="Calculation 3 2" xfId="40765" xr:uid="{00000000-0005-0000-0000-0000349F0000}"/>
    <cellStyle name="Calculation 3 2 2" xfId="40766" xr:uid="{00000000-0005-0000-0000-0000359F0000}"/>
    <cellStyle name="Calculation 3 2 2 2" xfId="40767" xr:uid="{00000000-0005-0000-0000-0000369F0000}"/>
    <cellStyle name="Calculation 3 2 3" xfId="40768" xr:uid="{00000000-0005-0000-0000-0000379F0000}"/>
    <cellStyle name="Calculation 3 2 3 2" xfId="40769" xr:uid="{00000000-0005-0000-0000-0000389F0000}"/>
    <cellStyle name="Calculation 3 2 3 3" xfId="40770" xr:uid="{00000000-0005-0000-0000-0000399F0000}"/>
    <cellStyle name="Calculation 3 2 4" xfId="40771" xr:uid="{00000000-0005-0000-0000-00003A9F0000}"/>
    <cellStyle name="Calculation 3 3" xfId="40772" xr:uid="{00000000-0005-0000-0000-00003B9F0000}"/>
    <cellStyle name="Calculation 3 3 2" xfId="40773" xr:uid="{00000000-0005-0000-0000-00003C9F0000}"/>
    <cellStyle name="Calculation 3 4" xfId="40774" xr:uid="{00000000-0005-0000-0000-00003D9F0000}"/>
    <cellStyle name="Calculation 3 4 2" xfId="40775" xr:uid="{00000000-0005-0000-0000-00003E9F0000}"/>
    <cellStyle name="Calculation 3 4 3" xfId="40776" xr:uid="{00000000-0005-0000-0000-00003F9F0000}"/>
    <cellStyle name="Calculation 3 5" xfId="40777" xr:uid="{00000000-0005-0000-0000-0000409F0000}"/>
    <cellStyle name="Calculation 3 6" xfId="40778" xr:uid="{00000000-0005-0000-0000-0000419F0000}"/>
    <cellStyle name="Calculation 30" xfId="40779" xr:uid="{00000000-0005-0000-0000-0000429F0000}"/>
    <cellStyle name="Calculation 30 2" xfId="40780" xr:uid="{00000000-0005-0000-0000-0000439F0000}"/>
    <cellStyle name="Calculation 30 2 2" xfId="40781" xr:uid="{00000000-0005-0000-0000-0000449F0000}"/>
    <cellStyle name="Calculation 30 2 2 2" xfId="40782" xr:uid="{00000000-0005-0000-0000-0000459F0000}"/>
    <cellStyle name="Calculation 30 2 3" xfId="40783" xr:uid="{00000000-0005-0000-0000-0000469F0000}"/>
    <cellStyle name="Calculation 30 2 3 2" xfId="40784" xr:uid="{00000000-0005-0000-0000-0000479F0000}"/>
    <cellStyle name="Calculation 30 2 3 3" xfId="40785" xr:uid="{00000000-0005-0000-0000-0000489F0000}"/>
    <cellStyle name="Calculation 30 2 4" xfId="40786" xr:uid="{00000000-0005-0000-0000-0000499F0000}"/>
    <cellStyle name="Calculation 30 2 5" xfId="40787" xr:uid="{00000000-0005-0000-0000-00004A9F0000}"/>
    <cellStyle name="Calculation 30 3" xfId="40788" xr:uid="{00000000-0005-0000-0000-00004B9F0000}"/>
    <cellStyle name="Calculation 30 3 2" xfId="40789" xr:uid="{00000000-0005-0000-0000-00004C9F0000}"/>
    <cellStyle name="Calculation 30 3 3" xfId="40790" xr:uid="{00000000-0005-0000-0000-00004D9F0000}"/>
    <cellStyle name="Calculation 30 4" xfId="40791" xr:uid="{00000000-0005-0000-0000-00004E9F0000}"/>
    <cellStyle name="Calculation 30 5" xfId="40792" xr:uid="{00000000-0005-0000-0000-00004F9F0000}"/>
    <cellStyle name="Calculation 31" xfId="40793" xr:uid="{00000000-0005-0000-0000-0000509F0000}"/>
    <cellStyle name="Calculation 31 2" xfId="40794" xr:uid="{00000000-0005-0000-0000-0000519F0000}"/>
    <cellStyle name="Calculation 31 2 2" xfId="40795" xr:uid="{00000000-0005-0000-0000-0000529F0000}"/>
    <cellStyle name="Calculation 31 2 2 2" xfId="40796" xr:uid="{00000000-0005-0000-0000-0000539F0000}"/>
    <cellStyle name="Calculation 31 2 3" xfId="40797" xr:uid="{00000000-0005-0000-0000-0000549F0000}"/>
    <cellStyle name="Calculation 31 2 3 2" xfId="40798" xr:uid="{00000000-0005-0000-0000-0000559F0000}"/>
    <cellStyle name="Calculation 31 2 3 3" xfId="40799" xr:uid="{00000000-0005-0000-0000-0000569F0000}"/>
    <cellStyle name="Calculation 31 2 4" xfId="40800" xr:uid="{00000000-0005-0000-0000-0000579F0000}"/>
    <cellStyle name="Calculation 31 2 5" xfId="40801" xr:uid="{00000000-0005-0000-0000-0000589F0000}"/>
    <cellStyle name="Calculation 31 3" xfId="40802" xr:uid="{00000000-0005-0000-0000-0000599F0000}"/>
    <cellStyle name="Calculation 31 3 2" xfId="40803" xr:uid="{00000000-0005-0000-0000-00005A9F0000}"/>
    <cellStyle name="Calculation 31 3 3" xfId="40804" xr:uid="{00000000-0005-0000-0000-00005B9F0000}"/>
    <cellStyle name="Calculation 31 4" xfId="40805" xr:uid="{00000000-0005-0000-0000-00005C9F0000}"/>
    <cellStyle name="Calculation 31 5" xfId="40806" xr:uid="{00000000-0005-0000-0000-00005D9F0000}"/>
    <cellStyle name="Calculation 32" xfId="40807" xr:uid="{00000000-0005-0000-0000-00005E9F0000}"/>
    <cellStyle name="Calculation 32 2" xfId="40808" xr:uid="{00000000-0005-0000-0000-00005F9F0000}"/>
    <cellStyle name="Calculation 32 2 2" xfId="40809" xr:uid="{00000000-0005-0000-0000-0000609F0000}"/>
    <cellStyle name="Calculation 32 2 2 2" xfId="40810" xr:uid="{00000000-0005-0000-0000-0000619F0000}"/>
    <cellStyle name="Calculation 32 2 3" xfId="40811" xr:uid="{00000000-0005-0000-0000-0000629F0000}"/>
    <cellStyle name="Calculation 32 2 3 2" xfId="40812" xr:uid="{00000000-0005-0000-0000-0000639F0000}"/>
    <cellStyle name="Calculation 32 2 3 3" xfId="40813" xr:uid="{00000000-0005-0000-0000-0000649F0000}"/>
    <cellStyle name="Calculation 32 2 4" xfId="40814" xr:uid="{00000000-0005-0000-0000-0000659F0000}"/>
    <cellStyle name="Calculation 32 2 5" xfId="40815" xr:uid="{00000000-0005-0000-0000-0000669F0000}"/>
    <cellStyle name="Calculation 32 3" xfId="40816" xr:uid="{00000000-0005-0000-0000-0000679F0000}"/>
    <cellStyle name="Calculation 32 3 2" xfId="40817" xr:uid="{00000000-0005-0000-0000-0000689F0000}"/>
    <cellStyle name="Calculation 32 3 3" xfId="40818" xr:uid="{00000000-0005-0000-0000-0000699F0000}"/>
    <cellStyle name="Calculation 32 4" xfId="40819" xr:uid="{00000000-0005-0000-0000-00006A9F0000}"/>
    <cellStyle name="Calculation 32 5" xfId="40820" xr:uid="{00000000-0005-0000-0000-00006B9F0000}"/>
    <cellStyle name="Calculation 33" xfId="40821" xr:uid="{00000000-0005-0000-0000-00006C9F0000}"/>
    <cellStyle name="Calculation 33 2" xfId="40822" xr:uid="{00000000-0005-0000-0000-00006D9F0000}"/>
    <cellStyle name="Calculation 33 2 2" xfId="40823" xr:uid="{00000000-0005-0000-0000-00006E9F0000}"/>
    <cellStyle name="Calculation 33 2 2 2" xfId="40824" xr:uid="{00000000-0005-0000-0000-00006F9F0000}"/>
    <cellStyle name="Calculation 33 2 3" xfId="40825" xr:uid="{00000000-0005-0000-0000-0000709F0000}"/>
    <cellStyle name="Calculation 33 2 3 2" xfId="40826" xr:uid="{00000000-0005-0000-0000-0000719F0000}"/>
    <cellStyle name="Calculation 33 2 3 3" xfId="40827" xr:uid="{00000000-0005-0000-0000-0000729F0000}"/>
    <cellStyle name="Calculation 33 2 4" xfId="40828" xr:uid="{00000000-0005-0000-0000-0000739F0000}"/>
    <cellStyle name="Calculation 33 2 5" xfId="40829" xr:uid="{00000000-0005-0000-0000-0000749F0000}"/>
    <cellStyle name="Calculation 33 3" xfId="40830" xr:uid="{00000000-0005-0000-0000-0000759F0000}"/>
    <cellStyle name="Calculation 33 3 2" xfId="40831" xr:uid="{00000000-0005-0000-0000-0000769F0000}"/>
    <cellStyle name="Calculation 33 3 3" xfId="40832" xr:uid="{00000000-0005-0000-0000-0000779F0000}"/>
    <cellStyle name="Calculation 33 4" xfId="40833" xr:uid="{00000000-0005-0000-0000-0000789F0000}"/>
    <cellStyle name="Calculation 33 5" xfId="40834" xr:uid="{00000000-0005-0000-0000-0000799F0000}"/>
    <cellStyle name="Calculation 34" xfId="40835" xr:uid="{00000000-0005-0000-0000-00007A9F0000}"/>
    <cellStyle name="Calculation 34 2" xfId="40836" xr:uid="{00000000-0005-0000-0000-00007B9F0000}"/>
    <cellStyle name="Calculation 34 2 2" xfId="40837" xr:uid="{00000000-0005-0000-0000-00007C9F0000}"/>
    <cellStyle name="Calculation 34 2 2 2" xfId="40838" xr:uid="{00000000-0005-0000-0000-00007D9F0000}"/>
    <cellStyle name="Calculation 34 2 3" xfId="40839" xr:uid="{00000000-0005-0000-0000-00007E9F0000}"/>
    <cellStyle name="Calculation 34 2 3 2" xfId="40840" xr:uid="{00000000-0005-0000-0000-00007F9F0000}"/>
    <cellStyle name="Calculation 34 2 3 3" xfId="40841" xr:uid="{00000000-0005-0000-0000-0000809F0000}"/>
    <cellStyle name="Calculation 34 2 4" xfId="40842" xr:uid="{00000000-0005-0000-0000-0000819F0000}"/>
    <cellStyle name="Calculation 34 2 5" xfId="40843" xr:uid="{00000000-0005-0000-0000-0000829F0000}"/>
    <cellStyle name="Calculation 34 3" xfId="40844" xr:uid="{00000000-0005-0000-0000-0000839F0000}"/>
    <cellStyle name="Calculation 34 3 2" xfId="40845" xr:uid="{00000000-0005-0000-0000-0000849F0000}"/>
    <cellStyle name="Calculation 34 3 3" xfId="40846" xr:uid="{00000000-0005-0000-0000-0000859F0000}"/>
    <cellStyle name="Calculation 34 4" xfId="40847" xr:uid="{00000000-0005-0000-0000-0000869F0000}"/>
    <cellStyle name="Calculation 34 5" xfId="40848" xr:uid="{00000000-0005-0000-0000-0000879F0000}"/>
    <cellStyle name="Calculation 35" xfId="40849" xr:uid="{00000000-0005-0000-0000-0000889F0000}"/>
    <cellStyle name="Calculation 35 2" xfId="40850" xr:uid="{00000000-0005-0000-0000-0000899F0000}"/>
    <cellStyle name="Calculation 35 2 2" xfId="40851" xr:uid="{00000000-0005-0000-0000-00008A9F0000}"/>
    <cellStyle name="Calculation 35 2 2 2" xfId="40852" xr:uid="{00000000-0005-0000-0000-00008B9F0000}"/>
    <cellStyle name="Calculation 35 2 3" xfId="40853" xr:uid="{00000000-0005-0000-0000-00008C9F0000}"/>
    <cellStyle name="Calculation 35 2 3 2" xfId="40854" xr:uid="{00000000-0005-0000-0000-00008D9F0000}"/>
    <cellStyle name="Calculation 35 2 3 3" xfId="40855" xr:uid="{00000000-0005-0000-0000-00008E9F0000}"/>
    <cellStyle name="Calculation 35 2 4" xfId="40856" xr:uid="{00000000-0005-0000-0000-00008F9F0000}"/>
    <cellStyle name="Calculation 35 2 5" xfId="40857" xr:uid="{00000000-0005-0000-0000-0000909F0000}"/>
    <cellStyle name="Calculation 35 3" xfId="40858" xr:uid="{00000000-0005-0000-0000-0000919F0000}"/>
    <cellStyle name="Calculation 35 3 2" xfId="40859" xr:uid="{00000000-0005-0000-0000-0000929F0000}"/>
    <cellStyle name="Calculation 35 3 3" xfId="40860" xr:uid="{00000000-0005-0000-0000-0000939F0000}"/>
    <cellStyle name="Calculation 35 4" xfId="40861" xr:uid="{00000000-0005-0000-0000-0000949F0000}"/>
    <cellStyle name="Calculation 35 5" xfId="40862" xr:uid="{00000000-0005-0000-0000-0000959F0000}"/>
    <cellStyle name="Calculation 36" xfId="40863" xr:uid="{00000000-0005-0000-0000-0000969F0000}"/>
    <cellStyle name="Calculation 36 2" xfId="40864" xr:uid="{00000000-0005-0000-0000-0000979F0000}"/>
    <cellStyle name="Calculation 36 2 2" xfId="40865" xr:uid="{00000000-0005-0000-0000-0000989F0000}"/>
    <cellStyle name="Calculation 36 2 2 2" xfId="40866" xr:uid="{00000000-0005-0000-0000-0000999F0000}"/>
    <cellStyle name="Calculation 36 2 3" xfId="40867" xr:uid="{00000000-0005-0000-0000-00009A9F0000}"/>
    <cellStyle name="Calculation 36 2 3 2" xfId="40868" xr:uid="{00000000-0005-0000-0000-00009B9F0000}"/>
    <cellStyle name="Calculation 36 2 3 3" xfId="40869" xr:uid="{00000000-0005-0000-0000-00009C9F0000}"/>
    <cellStyle name="Calculation 36 2 4" xfId="40870" xr:uid="{00000000-0005-0000-0000-00009D9F0000}"/>
    <cellStyle name="Calculation 36 2 5" xfId="40871" xr:uid="{00000000-0005-0000-0000-00009E9F0000}"/>
    <cellStyle name="Calculation 36 3" xfId="40872" xr:uid="{00000000-0005-0000-0000-00009F9F0000}"/>
    <cellStyle name="Calculation 36 3 2" xfId="40873" xr:uid="{00000000-0005-0000-0000-0000A09F0000}"/>
    <cellStyle name="Calculation 36 3 3" xfId="40874" xr:uid="{00000000-0005-0000-0000-0000A19F0000}"/>
    <cellStyle name="Calculation 36 4" xfId="40875" xr:uid="{00000000-0005-0000-0000-0000A29F0000}"/>
    <cellStyle name="Calculation 36 5" xfId="40876" xr:uid="{00000000-0005-0000-0000-0000A39F0000}"/>
    <cellStyle name="Calculation 37" xfId="40877" xr:uid="{00000000-0005-0000-0000-0000A49F0000}"/>
    <cellStyle name="Calculation 37 2" xfId="40878" xr:uid="{00000000-0005-0000-0000-0000A59F0000}"/>
    <cellStyle name="Calculation 37 2 2" xfId="40879" xr:uid="{00000000-0005-0000-0000-0000A69F0000}"/>
    <cellStyle name="Calculation 37 2 2 2" xfId="40880" xr:uid="{00000000-0005-0000-0000-0000A79F0000}"/>
    <cellStyle name="Calculation 37 2 3" xfId="40881" xr:uid="{00000000-0005-0000-0000-0000A89F0000}"/>
    <cellStyle name="Calculation 37 2 3 2" xfId="40882" xr:uid="{00000000-0005-0000-0000-0000A99F0000}"/>
    <cellStyle name="Calculation 37 2 3 3" xfId="40883" xr:uid="{00000000-0005-0000-0000-0000AA9F0000}"/>
    <cellStyle name="Calculation 37 2 4" xfId="40884" xr:uid="{00000000-0005-0000-0000-0000AB9F0000}"/>
    <cellStyle name="Calculation 37 2 5" xfId="40885" xr:uid="{00000000-0005-0000-0000-0000AC9F0000}"/>
    <cellStyle name="Calculation 37 3" xfId="40886" xr:uid="{00000000-0005-0000-0000-0000AD9F0000}"/>
    <cellStyle name="Calculation 37 3 2" xfId="40887" xr:uid="{00000000-0005-0000-0000-0000AE9F0000}"/>
    <cellStyle name="Calculation 37 3 3" xfId="40888" xr:uid="{00000000-0005-0000-0000-0000AF9F0000}"/>
    <cellStyle name="Calculation 37 4" xfId="40889" xr:uid="{00000000-0005-0000-0000-0000B09F0000}"/>
    <cellStyle name="Calculation 37 5" xfId="40890" xr:uid="{00000000-0005-0000-0000-0000B19F0000}"/>
    <cellStyle name="Calculation 38" xfId="40891" xr:uid="{00000000-0005-0000-0000-0000B29F0000}"/>
    <cellStyle name="Calculation 38 2" xfId="40892" xr:uid="{00000000-0005-0000-0000-0000B39F0000}"/>
    <cellStyle name="Calculation 38 2 2" xfId="40893" xr:uid="{00000000-0005-0000-0000-0000B49F0000}"/>
    <cellStyle name="Calculation 38 2 2 2" xfId="40894" xr:uid="{00000000-0005-0000-0000-0000B59F0000}"/>
    <cellStyle name="Calculation 38 2 3" xfId="40895" xr:uid="{00000000-0005-0000-0000-0000B69F0000}"/>
    <cellStyle name="Calculation 38 2 3 2" xfId="40896" xr:uid="{00000000-0005-0000-0000-0000B79F0000}"/>
    <cellStyle name="Calculation 38 2 3 3" xfId="40897" xr:uid="{00000000-0005-0000-0000-0000B89F0000}"/>
    <cellStyle name="Calculation 38 2 4" xfId="40898" xr:uid="{00000000-0005-0000-0000-0000B99F0000}"/>
    <cellStyle name="Calculation 38 2 5" xfId="40899" xr:uid="{00000000-0005-0000-0000-0000BA9F0000}"/>
    <cellStyle name="Calculation 38 3" xfId="40900" xr:uid="{00000000-0005-0000-0000-0000BB9F0000}"/>
    <cellStyle name="Calculation 38 3 2" xfId="40901" xr:uid="{00000000-0005-0000-0000-0000BC9F0000}"/>
    <cellStyle name="Calculation 38 3 3" xfId="40902" xr:uid="{00000000-0005-0000-0000-0000BD9F0000}"/>
    <cellStyle name="Calculation 38 4" xfId="40903" xr:uid="{00000000-0005-0000-0000-0000BE9F0000}"/>
    <cellStyle name="Calculation 38 5" xfId="40904" xr:uid="{00000000-0005-0000-0000-0000BF9F0000}"/>
    <cellStyle name="Calculation 39" xfId="40905" xr:uid="{00000000-0005-0000-0000-0000C09F0000}"/>
    <cellStyle name="Calculation 39 2" xfId="40906" xr:uid="{00000000-0005-0000-0000-0000C19F0000}"/>
    <cellStyle name="Calculation 39 2 2" xfId="40907" xr:uid="{00000000-0005-0000-0000-0000C29F0000}"/>
    <cellStyle name="Calculation 39 2 2 2" xfId="40908" xr:uid="{00000000-0005-0000-0000-0000C39F0000}"/>
    <cellStyle name="Calculation 39 2 3" xfId="40909" xr:uid="{00000000-0005-0000-0000-0000C49F0000}"/>
    <cellStyle name="Calculation 39 2 3 2" xfId="40910" xr:uid="{00000000-0005-0000-0000-0000C59F0000}"/>
    <cellStyle name="Calculation 39 2 3 3" xfId="40911" xr:uid="{00000000-0005-0000-0000-0000C69F0000}"/>
    <cellStyle name="Calculation 39 2 4" xfId="40912" xr:uid="{00000000-0005-0000-0000-0000C79F0000}"/>
    <cellStyle name="Calculation 39 2 5" xfId="40913" xr:uid="{00000000-0005-0000-0000-0000C89F0000}"/>
    <cellStyle name="Calculation 39 3" xfId="40914" xr:uid="{00000000-0005-0000-0000-0000C99F0000}"/>
    <cellStyle name="Calculation 39 3 2" xfId="40915" xr:uid="{00000000-0005-0000-0000-0000CA9F0000}"/>
    <cellStyle name="Calculation 39 3 3" xfId="40916" xr:uid="{00000000-0005-0000-0000-0000CB9F0000}"/>
    <cellStyle name="Calculation 39 4" xfId="40917" xr:uid="{00000000-0005-0000-0000-0000CC9F0000}"/>
    <cellStyle name="Calculation 39 5" xfId="40918" xr:uid="{00000000-0005-0000-0000-0000CD9F0000}"/>
    <cellStyle name="Calculation 4" xfId="40919" xr:uid="{00000000-0005-0000-0000-0000CE9F0000}"/>
    <cellStyle name="Calculation 4 2" xfId="40920" xr:uid="{00000000-0005-0000-0000-0000CF9F0000}"/>
    <cellStyle name="Calculation 4 2 2" xfId="40921" xr:uid="{00000000-0005-0000-0000-0000D09F0000}"/>
    <cellStyle name="Calculation 4 2 2 2" xfId="40922" xr:uid="{00000000-0005-0000-0000-0000D19F0000}"/>
    <cellStyle name="Calculation 4 2 3" xfId="40923" xr:uid="{00000000-0005-0000-0000-0000D29F0000}"/>
    <cellStyle name="Calculation 4 2 3 2" xfId="40924" xr:uid="{00000000-0005-0000-0000-0000D39F0000}"/>
    <cellStyle name="Calculation 4 2 3 3" xfId="40925" xr:uid="{00000000-0005-0000-0000-0000D49F0000}"/>
    <cellStyle name="Calculation 4 2 4" xfId="40926" xr:uid="{00000000-0005-0000-0000-0000D59F0000}"/>
    <cellStyle name="Calculation 4 3" xfId="40927" xr:uid="{00000000-0005-0000-0000-0000D69F0000}"/>
    <cellStyle name="Calculation 4 3 2" xfId="40928" xr:uid="{00000000-0005-0000-0000-0000D79F0000}"/>
    <cellStyle name="Calculation 4 4" xfId="40929" xr:uid="{00000000-0005-0000-0000-0000D89F0000}"/>
    <cellStyle name="Calculation 4 4 2" xfId="40930" xr:uid="{00000000-0005-0000-0000-0000D99F0000}"/>
    <cellStyle name="Calculation 4 4 3" xfId="40931" xr:uid="{00000000-0005-0000-0000-0000DA9F0000}"/>
    <cellStyle name="Calculation 4 5" xfId="40932" xr:uid="{00000000-0005-0000-0000-0000DB9F0000}"/>
    <cellStyle name="Calculation 4 6" xfId="40933" xr:uid="{00000000-0005-0000-0000-0000DC9F0000}"/>
    <cellStyle name="Calculation 40" xfId="40934" xr:uid="{00000000-0005-0000-0000-0000DD9F0000}"/>
    <cellStyle name="Calculation 40 2" xfId="40935" xr:uid="{00000000-0005-0000-0000-0000DE9F0000}"/>
    <cellStyle name="Calculation 40 2 2" xfId="40936" xr:uid="{00000000-0005-0000-0000-0000DF9F0000}"/>
    <cellStyle name="Calculation 40 2 2 2" xfId="40937" xr:uid="{00000000-0005-0000-0000-0000E09F0000}"/>
    <cellStyle name="Calculation 40 2 3" xfId="40938" xr:uid="{00000000-0005-0000-0000-0000E19F0000}"/>
    <cellStyle name="Calculation 40 2 3 2" xfId="40939" xr:uid="{00000000-0005-0000-0000-0000E29F0000}"/>
    <cellStyle name="Calculation 40 2 3 3" xfId="40940" xr:uid="{00000000-0005-0000-0000-0000E39F0000}"/>
    <cellStyle name="Calculation 40 2 4" xfId="40941" xr:uid="{00000000-0005-0000-0000-0000E49F0000}"/>
    <cellStyle name="Calculation 40 2 5" xfId="40942" xr:uid="{00000000-0005-0000-0000-0000E59F0000}"/>
    <cellStyle name="Calculation 40 3" xfId="40943" xr:uid="{00000000-0005-0000-0000-0000E69F0000}"/>
    <cellStyle name="Calculation 40 3 2" xfId="40944" xr:uid="{00000000-0005-0000-0000-0000E79F0000}"/>
    <cellStyle name="Calculation 40 3 3" xfId="40945" xr:uid="{00000000-0005-0000-0000-0000E89F0000}"/>
    <cellStyle name="Calculation 40 4" xfId="40946" xr:uid="{00000000-0005-0000-0000-0000E99F0000}"/>
    <cellStyle name="Calculation 40 5" xfId="40947" xr:uid="{00000000-0005-0000-0000-0000EA9F0000}"/>
    <cellStyle name="Calculation 41" xfId="40948" xr:uid="{00000000-0005-0000-0000-0000EB9F0000}"/>
    <cellStyle name="Calculation 41 2" xfId="40949" xr:uid="{00000000-0005-0000-0000-0000EC9F0000}"/>
    <cellStyle name="Calculation 41 2 2" xfId="40950" xr:uid="{00000000-0005-0000-0000-0000ED9F0000}"/>
    <cellStyle name="Calculation 41 2 2 2" xfId="40951" xr:uid="{00000000-0005-0000-0000-0000EE9F0000}"/>
    <cellStyle name="Calculation 41 2 3" xfId="40952" xr:uid="{00000000-0005-0000-0000-0000EF9F0000}"/>
    <cellStyle name="Calculation 41 2 3 2" xfId="40953" xr:uid="{00000000-0005-0000-0000-0000F09F0000}"/>
    <cellStyle name="Calculation 41 2 3 3" xfId="40954" xr:uid="{00000000-0005-0000-0000-0000F19F0000}"/>
    <cellStyle name="Calculation 41 2 4" xfId="40955" xr:uid="{00000000-0005-0000-0000-0000F29F0000}"/>
    <cellStyle name="Calculation 41 2 5" xfId="40956" xr:uid="{00000000-0005-0000-0000-0000F39F0000}"/>
    <cellStyle name="Calculation 41 3" xfId="40957" xr:uid="{00000000-0005-0000-0000-0000F49F0000}"/>
    <cellStyle name="Calculation 41 3 2" xfId="40958" xr:uid="{00000000-0005-0000-0000-0000F59F0000}"/>
    <cellStyle name="Calculation 41 3 3" xfId="40959" xr:uid="{00000000-0005-0000-0000-0000F69F0000}"/>
    <cellStyle name="Calculation 41 4" xfId="40960" xr:uid="{00000000-0005-0000-0000-0000F79F0000}"/>
    <cellStyle name="Calculation 41 5" xfId="40961" xr:uid="{00000000-0005-0000-0000-0000F89F0000}"/>
    <cellStyle name="Calculation 42" xfId="40962" xr:uid="{00000000-0005-0000-0000-0000F99F0000}"/>
    <cellStyle name="Calculation 42 2" xfId="40963" xr:uid="{00000000-0005-0000-0000-0000FA9F0000}"/>
    <cellStyle name="Calculation 42 2 2" xfId="40964" xr:uid="{00000000-0005-0000-0000-0000FB9F0000}"/>
    <cellStyle name="Calculation 42 2 2 2" xfId="40965" xr:uid="{00000000-0005-0000-0000-0000FC9F0000}"/>
    <cellStyle name="Calculation 42 2 3" xfId="40966" xr:uid="{00000000-0005-0000-0000-0000FD9F0000}"/>
    <cellStyle name="Calculation 42 2 3 2" xfId="40967" xr:uid="{00000000-0005-0000-0000-0000FE9F0000}"/>
    <cellStyle name="Calculation 42 2 3 3" xfId="40968" xr:uid="{00000000-0005-0000-0000-0000FF9F0000}"/>
    <cellStyle name="Calculation 42 2 4" xfId="40969" xr:uid="{00000000-0005-0000-0000-000000A00000}"/>
    <cellStyle name="Calculation 42 2 5" xfId="40970" xr:uid="{00000000-0005-0000-0000-000001A00000}"/>
    <cellStyle name="Calculation 42 3" xfId="40971" xr:uid="{00000000-0005-0000-0000-000002A00000}"/>
    <cellStyle name="Calculation 42 3 2" xfId="40972" xr:uid="{00000000-0005-0000-0000-000003A00000}"/>
    <cellStyle name="Calculation 42 3 3" xfId="40973" xr:uid="{00000000-0005-0000-0000-000004A00000}"/>
    <cellStyle name="Calculation 42 4" xfId="40974" xr:uid="{00000000-0005-0000-0000-000005A00000}"/>
    <cellStyle name="Calculation 42 5" xfId="40975" xr:uid="{00000000-0005-0000-0000-000006A00000}"/>
    <cellStyle name="Calculation 43" xfId="40976" xr:uid="{00000000-0005-0000-0000-000007A00000}"/>
    <cellStyle name="Calculation 43 2" xfId="40977" xr:uid="{00000000-0005-0000-0000-000008A00000}"/>
    <cellStyle name="Calculation 43 2 2" xfId="40978" xr:uid="{00000000-0005-0000-0000-000009A00000}"/>
    <cellStyle name="Calculation 43 2 2 2" xfId="40979" xr:uid="{00000000-0005-0000-0000-00000AA00000}"/>
    <cellStyle name="Calculation 43 2 3" xfId="40980" xr:uid="{00000000-0005-0000-0000-00000BA00000}"/>
    <cellStyle name="Calculation 43 2 3 2" xfId="40981" xr:uid="{00000000-0005-0000-0000-00000CA00000}"/>
    <cellStyle name="Calculation 43 2 3 3" xfId="40982" xr:uid="{00000000-0005-0000-0000-00000DA00000}"/>
    <cellStyle name="Calculation 43 2 4" xfId="40983" xr:uid="{00000000-0005-0000-0000-00000EA00000}"/>
    <cellStyle name="Calculation 43 2 5" xfId="40984" xr:uid="{00000000-0005-0000-0000-00000FA00000}"/>
    <cellStyle name="Calculation 43 3" xfId="40985" xr:uid="{00000000-0005-0000-0000-000010A00000}"/>
    <cellStyle name="Calculation 43 3 2" xfId="40986" xr:uid="{00000000-0005-0000-0000-000011A00000}"/>
    <cellStyle name="Calculation 43 3 3" xfId="40987" xr:uid="{00000000-0005-0000-0000-000012A00000}"/>
    <cellStyle name="Calculation 43 4" xfId="40988" xr:uid="{00000000-0005-0000-0000-000013A00000}"/>
    <cellStyle name="Calculation 43 5" xfId="40989" xr:uid="{00000000-0005-0000-0000-000014A00000}"/>
    <cellStyle name="Calculation 44" xfId="40990" xr:uid="{00000000-0005-0000-0000-000015A00000}"/>
    <cellStyle name="Calculation 44 2" xfId="40991" xr:uid="{00000000-0005-0000-0000-000016A00000}"/>
    <cellStyle name="Calculation 44 2 2" xfId="40992" xr:uid="{00000000-0005-0000-0000-000017A00000}"/>
    <cellStyle name="Calculation 44 2 2 2" xfId="40993" xr:uid="{00000000-0005-0000-0000-000018A00000}"/>
    <cellStyle name="Calculation 44 2 3" xfId="40994" xr:uid="{00000000-0005-0000-0000-000019A00000}"/>
    <cellStyle name="Calculation 44 2 3 2" xfId="40995" xr:uid="{00000000-0005-0000-0000-00001AA00000}"/>
    <cellStyle name="Calculation 44 2 3 3" xfId="40996" xr:uid="{00000000-0005-0000-0000-00001BA00000}"/>
    <cellStyle name="Calculation 44 2 4" xfId="40997" xr:uid="{00000000-0005-0000-0000-00001CA00000}"/>
    <cellStyle name="Calculation 44 2 5" xfId="40998" xr:uid="{00000000-0005-0000-0000-00001DA00000}"/>
    <cellStyle name="Calculation 44 3" xfId="40999" xr:uid="{00000000-0005-0000-0000-00001EA00000}"/>
    <cellStyle name="Calculation 44 3 2" xfId="41000" xr:uid="{00000000-0005-0000-0000-00001FA00000}"/>
    <cellStyle name="Calculation 44 3 3" xfId="41001" xr:uid="{00000000-0005-0000-0000-000020A00000}"/>
    <cellStyle name="Calculation 44 4" xfId="41002" xr:uid="{00000000-0005-0000-0000-000021A00000}"/>
    <cellStyle name="Calculation 44 5" xfId="41003" xr:uid="{00000000-0005-0000-0000-000022A00000}"/>
    <cellStyle name="Calculation 45" xfId="41004" xr:uid="{00000000-0005-0000-0000-000023A00000}"/>
    <cellStyle name="Calculation 45 2" xfId="41005" xr:uid="{00000000-0005-0000-0000-000024A00000}"/>
    <cellStyle name="Calculation 45 2 2" xfId="41006" xr:uid="{00000000-0005-0000-0000-000025A00000}"/>
    <cellStyle name="Calculation 45 2 2 2" xfId="41007" xr:uid="{00000000-0005-0000-0000-000026A00000}"/>
    <cellStyle name="Calculation 45 2 3" xfId="41008" xr:uid="{00000000-0005-0000-0000-000027A00000}"/>
    <cellStyle name="Calculation 45 2 3 2" xfId="41009" xr:uid="{00000000-0005-0000-0000-000028A00000}"/>
    <cellStyle name="Calculation 45 2 3 3" xfId="41010" xr:uid="{00000000-0005-0000-0000-000029A00000}"/>
    <cellStyle name="Calculation 45 2 4" xfId="41011" xr:uid="{00000000-0005-0000-0000-00002AA00000}"/>
    <cellStyle name="Calculation 45 2 5" xfId="41012" xr:uid="{00000000-0005-0000-0000-00002BA00000}"/>
    <cellStyle name="Calculation 45 3" xfId="41013" xr:uid="{00000000-0005-0000-0000-00002CA00000}"/>
    <cellStyle name="Calculation 45 3 2" xfId="41014" xr:uid="{00000000-0005-0000-0000-00002DA00000}"/>
    <cellStyle name="Calculation 45 3 3" xfId="41015" xr:uid="{00000000-0005-0000-0000-00002EA00000}"/>
    <cellStyle name="Calculation 45 4" xfId="41016" xr:uid="{00000000-0005-0000-0000-00002FA00000}"/>
    <cellStyle name="Calculation 45 5" xfId="41017" xr:uid="{00000000-0005-0000-0000-000030A00000}"/>
    <cellStyle name="Calculation 46" xfId="41018" xr:uid="{00000000-0005-0000-0000-000031A00000}"/>
    <cellStyle name="Calculation 46 2" xfId="41019" xr:uid="{00000000-0005-0000-0000-000032A00000}"/>
    <cellStyle name="Calculation 46 2 2" xfId="41020" xr:uid="{00000000-0005-0000-0000-000033A00000}"/>
    <cellStyle name="Calculation 46 2 2 2" xfId="41021" xr:uid="{00000000-0005-0000-0000-000034A00000}"/>
    <cellStyle name="Calculation 46 2 3" xfId="41022" xr:uid="{00000000-0005-0000-0000-000035A00000}"/>
    <cellStyle name="Calculation 46 2 3 2" xfId="41023" xr:uid="{00000000-0005-0000-0000-000036A00000}"/>
    <cellStyle name="Calculation 46 2 3 3" xfId="41024" xr:uid="{00000000-0005-0000-0000-000037A00000}"/>
    <cellStyle name="Calculation 46 2 4" xfId="41025" xr:uid="{00000000-0005-0000-0000-000038A00000}"/>
    <cellStyle name="Calculation 46 2 5" xfId="41026" xr:uid="{00000000-0005-0000-0000-000039A00000}"/>
    <cellStyle name="Calculation 46 3" xfId="41027" xr:uid="{00000000-0005-0000-0000-00003AA00000}"/>
    <cellStyle name="Calculation 46 3 2" xfId="41028" xr:uid="{00000000-0005-0000-0000-00003BA00000}"/>
    <cellStyle name="Calculation 46 3 3" xfId="41029" xr:uid="{00000000-0005-0000-0000-00003CA00000}"/>
    <cellStyle name="Calculation 46 4" xfId="41030" xr:uid="{00000000-0005-0000-0000-00003DA00000}"/>
    <cellStyle name="Calculation 46 5" xfId="41031" xr:uid="{00000000-0005-0000-0000-00003EA00000}"/>
    <cellStyle name="Calculation 47" xfId="41032" xr:uid="{00000000-0005-0000-0000-00003FA00000}"/>
    <cellStyle name="Calculation 47 2" xfId="41033" xr:uid="{00000000-0005-0000-0000-000040A00000}"/>
    <cellStyle name="Calculation 47 2 2" xfId="41034" xr:uid="{00000000-0005-0000-0000-000041A00000}"/>
    <cellStyle name="Calculation 47 2 2 2" xfId="41035" xr:uid="{00000000-0005-0000-0000-000042A00000}"/>
    <cellStyle name="Calculation 47 2 3" xfId="41036" xr:uid="{00000000-0005-0000-0000-000043A00000}"/>
    <cellStyle name="Calculation 47 2 3 2" xfId="41037" xr:uid="{00000000-0005-0000-0000-000044A00000}"/>
    <cellStyle name="Calculation 47 2 3 3" xfId="41038" xr:uid="{00000000-0005-0000-0000-000045A00000}"/>
    <cellStyle name="Calculation 47 2 4" xfId="41039" xr:uid="{00000000-0005-0000-0000-000046A00000}"/>
    <cellStyle name="Calculation 47 2 5" xfId="41040" xr:uid="{00000000-0005-0000-0000-000047A00000}"/>
    <cellStyle name="Calculation 47 3" xfId="41041" xr:uid="{00000000-0005-0000-0000-000048A00000}"/>
    <cellStyle name="Calculation 47 3 2" xfId="41042" xr:uid="{00000000-0005-0000-0000-000049A00000}"/>
    <cellStyle name="Calculation 47 3 3" xfId="41043" xr:uid="{00000000-0005-0000-0000-00004AA00000}"/>
    <cellStyle name="Calculation 47 4" xfId="41044" xr:uid="{00000000-0005-0000-0000-00004BA00000}"/>
    <cellStyle name="Calculation 47 5" xfId="41045" xr:uid="{00000000-0005-0000-0000-00004CA00000}"/>
    <cellStyle name="Calculation 48" xfId="41046" xr:uid="{00000000-0005-0000-0000-00004DA00000}"/>
    <cellStyle name="Calculation 48 2" xfId="41047" xr:uid="{00000000-0005-0000-0000-00004EA00000}"/>
    <cellStyle name="Calculation 48 2 2" xfId="41048" xr:uid="{00000000-0005-0000-0000-00004FA00000}"/>
    <cellStyle name="Calculation 48 2 2 2" xfId="41049" xr:uid="{00000000-0005-0000-0000-000050A00000}"/>
    <cellStyle name="Calculation 48 2 3" xfId="41050" xr:uid="{00000000-0005-0000-0000-000051A00000}"/>
    <cellStyle name="Calculation 48 2 3 2" xfId="41051" xr:uid="{00000000-0005-0000-0000-000052A00000}"/>
    <cellStyle name="Calculation 48 2 3 3" xfId="41052" xr:uid="{00000000-0005-0000-0000-000053A00000}"/>
    <cellStyle name="Calculation 48 2 4" xfId="41053" xr:uid="{00000000-0005-0000-0000-000054A00000}"/>
    <cellStyle name="Calculation 48 2 5" xfId="41054" xr:uid="{00000000-0005-0000-0000-000055A00000}"/>
    <cellStyle name="Calculation 48 3" xfId="41055" xr:uid="{00000000-0005-0000-0000-000056A00000}"/>
    <cellStyle name="Calculation 48 3 2" xfId="41056" xr:uid="{00000000-0005-0000-0000-000057A00000}"/>
    <cellStyle name="Calculation 48 3 3" xfId="41057" xr:uid="{00000000-0005-0000-0000-000058A00000}"/>
    <cellStyle name="Calculation 48 4" xfId="41058" xr:uid="{00000000-0005-0000-0000-000059A00000}"/>
    <cellStyle name="Calculation 48 5" xfId="41059" xr:uid="{00000000-0005-0000-0000-00005AA00000}"/>
    <cellStyle name="Calculation 49" xfId="41060" xr:uid="{00000000-0005-0000-0000-00005BA00000}"/>
    <cellStyle name="Calculation 49 2" xfId="41061" xr:uid="{00000000-0005-0000-0000-00005CA00000}"/>
    <cellStyle name="Calculation 49 2 2" xfId="41062" xr:uid="{00000000-0005-0000-0000-00005DA00000}"/>
    <cellStyle name="Calculation 49 2 2 2" xfId="41063" xr:uid="{00000000-0005-0000-0000-00005EA00000}"/>
    <cellStyle name="Calculation 49 2 3" xfId="41064" xr:uid="{00000000-0005-0000-0000-00005FA00000}"/>
    <cellStyle name="Calculation 49 2 3 2" xfId="41065" xr:uid="{00000000-0005-0000-0000-000060A00000}"/>
    <cellStyle name="Calculation 49 2 3 3" xfId="41066" xr:uid="{00000000-0005-0000-0000-000061A00000}"/>
    <cellStyle name="Calculation 49 2 4" xfId="41067" xr:uid="{00000000-0005-0000-0000-000062A00000}"/>
    <cellStyle name="Calculation 49 2 5" xfId="41068" xr:uid="{00000000-0005-0000-0000-000063A00000}"/>
    <cellStyle name="Calculation 49 3" xfId="41069" xr:uid="{00000000-0005-0000-0000-000064A00000}"/>
    <cellStyle name="Calculation 49 3 2" xfId="41070" xr:uid="{00000000-0005-0000-0000-000065A00000}"/>
    <cellStyle name="Calculation 49 3 3" xfId="41071" xr:uid="{00000000-0005-0000-0000-000066A00000}"/>
    <cellStyle name="Calculation 49 4" xfId="41072" xr:uid="{00000000-0005-0000-0000-000067A00000}"/>
    <cellStyle name="Calculation 49 5" xfId="41073" xr:uid="{00000000-0005-0000-0000-000068A00000}"/>
    <cellStyle name="Calculation 5" xfId="41074" xr:uid="{00000000-0005-0000-0000-000069A00000}"/>
    <cellStyle name="Calculation 5 2" xfId="41075" xr:uid="{00000000-0005-0000-0000-00006AA00000}"/>
    <cellStyle name="Calculation 5 2 2" xfId="41076" xr:uid="{00000000-0005-0000-0000-00006BA00000}"/>
    <cellStyle name="Calculation 5 2 2 2" xfId="41077" xr:uid="{00000000-0005-0000-0000-00006CA00000}"/>
    <cellStyle name="Calculation 5 2 3" xfId="41078" xr:uid="{00000000-0005-0000-0000-00006DA00000}"/>
    <cellStyle name="Calculation 5 2 3 2" xfId="41079" xr:uid="{00000000-0005-0000-0000-00006EA00000}"/>
    <cellStyle name="Calculation 5 2 3 3" xfId="41080" xr:uid="{00000000-0005-0000-0000-00006FA00000}"/>
    <cellStyle name="Calculation 5 2 4" xfId="41081" xr:uid="{00000000-0005-0000-0000-000070A00000}"/>
    <cellStyle name="Calculation 5 3" xfId="41082" xr:uid="{00000000-0005-0000-0000-000071A00000}"/>
    <cellStyle name="Calculation 5 3 2" xfId="41083" xr:uid="{00000000-0005-0000-0000-000072A00000}"/>
    <cellStyle name="Calculation 5 4" xfId="41084" xr:uid="{00000000-0005-0000-0000-000073A00000}"/>
    <cellStyle name="Calculation 5 4 2" xfId="41085" xr:uid="{00000000-0005-0000-0000-000074A00000}"/>
    <cellStyle name="Calculation 5 4 3" xfId="41086" xr:uid="{00000000-0005-0000-0000-000075A00000}"/>
    <cellStyle name="Calculation 5 5" xfId="41087" xr:uid="{00000000-0005-0000-0000-000076A00000}"/>
    <cellStyle name="Calculation 5 6" xfId="41088" xr:uid="{00000000-0005-0000-0000-000077A00000}"/>
    <cellStyle name="Calculation 50" xfId="41089" xr:uid="{00000000-0005-0000-0000-000078A00000}"/>
    <cellStyle name="Calculation 50 2" xfId="41090" xr:uid="{00000000-0005-0000-0000-000079A00000}"/>
    <cellStyle name="Calculation 50 2 2" xfId="41091" xr:uid="{00000000-0005-0000-0000-00007AA00000}"/>
    <cellStyle name="Calculation 50 2 2 2" xfId="41092" xr:uid="{00000000-0005-0000-0000-00007BA00000}"/>
    <cellStyle name="Calculation 50 2 3" xfId="41093" xr:uid="{00000000-0005-0000-0000-00007CA00000}"/>
    <cellStyle name="Calculation 50 2 3 2" xfId="41094" xr:uid="{00000000-0005-0000-0000-00007DA00000}"/>
    <cellStyle name="Calculation 50 2 3 3" xfId="41095" xr:uid="{00000000-0005-0000-0000-00007EA00000}"/>
    <cellStyle name="Calculation 50 2 4" xfId="41096" xr:uid="{00000000-0005-0000-0000-00007FA00000}"/>
    <cellStyle name="Calculation 50 2 5" xfId="41097" xr:uid="{00000000-0005-0000-0000-000080A00000}"/>
    <cellStyle name="Calculation 50 3" xfId="41098" xr:uid="{00000000-0005-0000-0000-000081A00000}"/>
    <cellStyle name="Calculation 50 3 2" xfId="41099" xr:uid="{00000000-0005-0000-0000-000082A00000}"/>
    <cellStyle name="Calculation 50 3 3" xfId="41100" xr:uid="{00000000-0005-0000-0000-000083A00000}"/>
    <cellStyle name="Calculation 50 4" xfId="41101" xr:uid="{00000000-0005-0000-0000-000084A00000}"/>
    <cellStyle name="Calculation 50 5" xfId="41102" xr:uid="{00000000-0005-0000-0000-000085A00000}"/>
    <cellStyle name="Calculation 51" xfId="41103" xr:uid="{00000000-0005-0000-0000-000086A00000}"/>
    <cellStyle name="Calculation 51 2" xfId="41104" xr:uid="{00000000-0005-0000-0000-000087A00000}"/>
    <cellStyle name="Calculation 51 2 2" xfId="41105" xr:uid="{00000000-0005-0000-0000-000088A00000}"/>
    <cellStyle name="Calculation 51 2 2 2" xfId="41106" xr:uid="{00000000-0005-0000-0000-000089A00000}"/>
    <cellStyle name="Calculation 51 2 3" xfId="41107" xr:uid="{00000000-0005-0000-0000-00008AA00000}"/>
    <cellStyle name="Calculation 51 2 3 2" xfId="41108" xr:uid="{00000000-0005-0000-0000-00008BA00000}"/>
    <cellStyle name="Calculation 51 2 3 3" xfId="41109" xr:uid="{00000000-0005-0000-0000-00008CA00000}"/>
    <cellStyle name="Calculation 51 2 4" xfId="41110" xr:uid="{00000000-0005-0000-0000-00008DA00000}"/>
    <cellStyle name="Calculation 51 2 5" xfId="41111" xr:uid="{00000000-0005-0000-0000-00008EA00000}"/>
    <cellStyle name="Calculation 51 3" xfId="41112" xr:uid="{00000000-0005-0000-0000-00008FA00000}"/>
    <cellStyle name="Calculation 51 3 2" xfId="41113" xr:uid="{00000000-0005-0000-0000-000090A00000}"/>
    <cellStyle name="Calculation 51 3 3" xfId="41114" xr:uid="{00000000-0005-0000-0000-000091A00000}"/>
    <cellStyle name="Calculation 51 4" xfId="41115" xr:uid="{00000000-0005-0000-0000-000092A00000}"/>
    <cellStyle name="Calculation 51 5" xfId="41116" xr:uid="{00000000-0005-0000-0000-000093A00000}"/>
    <cellStyle name="Calculation 52" xfId="41117" xr:uid="{00000000-0005-0000-0000-000094A00000}"/>
    <cellStyle name="Calculation 52 2" xfId="41118" xr:uid="{00000000-0005-0000-0000-000095A00000}"/>
    <cellStyle name="Calculation 52 2 2" xfId="41119" xr:uid="{00000000-0005-0000-0000-000096A00000}"/>
    <cellStyle name="Calculation 52 2 2 2" xfId="41120" xr:uid="{00000000-0005-0000-0000-000097A00000}"/>
    <cellStyle name="Calculation 52 2 3" xfId="41121" xr:uid="{00000000-0005-0000-0000-000098A00000}"/>
    <cellStyle name="Calculation 52 2 3 2" xfId="41122" xr:uid="{00000000-0005-0000-0000-000099A00000}"/>
    <cellStyle name="Calculation 52 2 3 3" xfId="41123" xr:uid="{00000000-0005-0000-0000-00009AA00000}"/>
    <cellStyle name="Calculation 52 2 4" xfId="41124" xr:uid="{00000000-0005-0000-0000-00009BA00000}"/>
    <cellStyle name="Calculation 52 2 5" xfId="41125" xr:uid="{00000000-0005-0000-0000-00009CA00000}"/>
    <cellStyle name="Calculation 52 3" xfId="41126" xr:uid="{00000000-0005-0000-0000-00009DA00000}"/>
    <cellStyle name="Calculation 52 3 2" xfId="41127" xr:uid="{00000000-0005-0000-0000-00009EA00000}"/>
    <cellStyle name="Calculation 52 3 3" xfId="41128" xr:uid="{00000000-0005-0000-0000-00009FA00000}"/>
    <cellStyle name="Calculation 52 4" xfId="41129" xr:uid="{00000000-0005-0000-0000-0000A0A00000}"/>
    <cellStyle name="Calculation 52 5" xfId="41130" xr:uid="{00000000-0005-0000-0000-0000A1A00000}"/>
    <cellStyle name="Calculation 53" xfId="41131" xr:uid="{00000000-0005-0000-0000-0000A2A00000}"/>
    <cellStyle name="Calculation 53 2" xfId="41132" xr:uid="{00000000-0005-0000-0000-0000A3A00000}"/>
    <cellStyle name="Calculation 53 2 2" xfId="41133" xr:uid="{00000000-0005-0000-0000-0000A4A00000}"/>
    <cellStyle name="Calculation 53 2 2 2" xfId="41134" xr:uid="{00000000-0005-0000-0000-0000A5A00000}"/>
    <cellStyle name="Calculation 53 2 3" xfId="41135" xr:uid="{00000000-0005-0000-0000-0000A6A00000}"/>
    <cellStyle name="Calculation 53 2 3 2" xfId="41136" xr:uid="{00000000-0005-0000-0000-0000A7A00000}"/>
    <cellStyle name="Calculation 53 2 3 3" xfId="41137" xr:uid="{00000000-0005-0000-0000-0000A8A00000}"/>
    <cellStyle name="Calculation 53 2 4" xfId="41138" xr:uid="{00000000-0005-0000-0000-0000A9A00000}"/>
    <cellStyle name="Calculation 53 2 5" xfId="41139" xr:uid="{00000000-0005-0000-0000-0000AAA00000}"/>
    <cellStyle name="Calculation 53 3" xfId="41140" xr:uid="{00000000-0005-0000-0000-0000ABA00000}"/>
    <cellStyle name="Calculation 53 3 2" xfId="41141" xr:uid="{00000000-0005-0000-0000-0000ACA00000}"/>
    <cellStyle name="Calculation 53 3 3" xfId="41142" xr:uid="{00000000-0005-0000-0000-0000ADA00000}"/>
    <cellStyle name="Calculation 53 4" xfId="41143" xr:uid="{00000000-0005-0000-0000-0000AEA00000}"/>
    <cellStyle name="Calculation 53 5" xfId="41144" xr:uid="{00000000-0005-0000-0000-0000AFA00000}"/>
    <cellStyle name="Calculation 54" xfId="41145" xr:uid="{00000000-0005-0000-0000-0000B0A00000}"/>
    <cellStyle name="Calculation 54 2" xfId="41146" xr:uid="{00000000-0005-0000-0000-0000B1A00000}"/>
    <cellStyle name="Calculation 54 2 2" xfId="41147" xr:uid="{00000000-0005-0000-0000-0000B2A00000}"/>
    <cellStyle name="Calculation 54 2 2 2" xfId="41148" xr:uid="{00000000-0005-0000-0000-0000B3A00000}"/>
    <cellStyle name="Calculation 54 2 3" xfId="41149" xr:uid="{00000000-0005-0000-0000-0000B4A00000}"/>
    <cellStyle name="Calculation 54 2 3 2" xfId="41150" xr:uid="{00000000-0005-0000-0000-0000B5A00000}"/>
    <cellStyle name="Calculation 54 2 3 3" xfId="41151" xr:uid="{00000000-0005-0000-0000-0000B6A00000}"/>
    <cellStyle name="Calculation 54 2 4" xfId="41152" xr:uid="{00000000-0005-0000-0000-0000B7A00000}"/>
    <cellStyle name="Calculation 54 2 5" xfId="41153" xr:uid="{00000000-0005-0000-0000-0000B8A00000}"/>
    <cellStyle name="Calculation 54 3" xfId="41154" xr:uid="{00000000-0005-0000-0000-0000B9A00000}"/>
    <cellStyle name="Calculation 54 3 2" xfId="41155" xr:uid="{00000000-0005-0000-0000-0000BAA00000}"/>
    <cellStyle name="Calculation 54 3 3" xfId="41156" xr:uid="{00000000-0005-0000-0000-0000BBA00000}"/>
    <cellStyle name="Calculation 54 4" xfId="41157" xr:uid="{00000000-0005-0000-0000-0000BCA00000}"/>
    <cellStyle name="Calculation 54 5" xfId="41158" xr:uid="{00000000-0005-0000-0000-0000BDA00000}"/>
    <cellStyle name="Calculation 55" xfId="41159" xr:uid="{00000000-0005-0000-0000-0000BEA00000}"/>
    <cellStyle name="Calculation 55 2" xfId="41160" xr:uid="{00000000-0005-0000-0000-0000BFA00000}"/>
    <cellStyle name="Calculation 55 2 2" xfId="41161" xr:uid="{00000000-0005-0000-0000-0000C0A00000}"/>
    <cellStyle name="Calculation 55 2 2 2" xfId="41162" xr:uid="{00000000-0005-0000-0000-0000C1A00000}"/>
    <cellStyle name="Calculation 55 2 3" xfId="41163" xr:uid="{00000000-0005-0000-0000-0000C2A00000}"/>
    <cellStyle name="Calculation 55 2 3 2" xfId="41164" xr:uid="{00000000-0005-0000-0000-0000C3A00000}"/>
    <cellStyle name="Calculation 55 2 3 3" xfId="41165" xr:uid="{00000000-0005-0000-0000-0000C4A00000}"/>
    <cellStyle name="Calculation 55 2 4" xfId="41166" xr:uid="{00000000-0005-0000-0000-0000C5A00000}"/>
    <cellStyle name="Calculation 55 2 5" xfId="41167" xr:uid="{00000000-0005-0000-0000-0000C6A00000}"/>
    <cellStyle name="Calculation 55 3" xfId="41168" xr:uid="{00000000-0005-0000-0000-0000C7A00000}"/>
    <cellStyle name="Calculation 55 3 2" xfId="41169" xr:uid="{00000000-0005-0000-0000-0000C8A00000}"/>
    <cellStyle name="Calculation 55 3 3" xfId="41170" xr:uid="{00000000-0005-0000-0000-0000C9A00000}"/>
    <cellStyle name="Calculation 55 4" xfId="41171" xr:uid="{00000000-0005-0000-0000-0000CAA00000}"/>
    <cellStyle name="Calculation 55 5" xfId="41172" xr:uid="{00000000-0005-0000-0000-0000CBA00000}"/>
    <cellStyle name="Calculation 56" xfId="41173" xr:uid="{00000000-0005-0000-0000-0000CCA00000}"/>
    <cellStyle name="Calculation 56 2" xfId="41174" xr:uid="{00000000-0005-0000-0000-0000CDA00000}"/>
    <cellStyle name="Calculation 56 2 2" xfId="41175" xr:uid="{00000000-0005-0000-0000-0000CEA00000}"/>
    <cellStyle name="Calculation 56 2 2 2" xfId="41176" xr:uid="{00000000-0005-0000-0000-0000CFA00000}"/>
    <cellStyle name="Calculation 56 2 3" xfId="41177" xr:uid="{00000000-0005-0000-0000-0000D0A00000}"/>
    <cellStyle name="Calculation 56 2 3 2" xfId="41178" xr:uid="{00000000-0005-0000-0000-0000D1A00000}"/>
    <cellStyle name="Calculation 56 2 3 3" xfId="41179" xr:uid="{00000000-0005-0000-0000-0000D2A00000}"/>
    <cellStyle name="Calculation 56 2 4" xfId="41180" xr:uid="{00000000-0005-0000-0000-0000D3A00000}"/>
    <cellStyle name="Calculation 56 2 5" xfId="41181" xr:uid="{00000000-0005-0000-0000-0000D4A00000}"/>
    <cellStyle name="Calculation 56 3" xfId="41182" xr:uid="{00000000-0005-0000-0000-0000D5A00000}"/>
    <cellStyle name="Calculation 56 3 2" xfId="41183" xr:uid="{00000000-0005-0000-0000-0000D6A00000}"/>
    <cellStyle name="Calculation 56 3 3" xfId="41184" xr:uid="{00000000-0005-0000-0000-0000D7A00000}"/>
    <cellStyle name="Calculation 56 4" xfId="41185" xr:uid="{00000000-0005-0000-0000-0000D8A00000}"/>
    <cellStyle name="Calculation 56 5" xfId="41186" xr:uid="{00000000-0005-0000-0000-0000D9A00000}"/>
    <cellStyle name="Calculation 57" xfId="41187" xr:uid="{00000000-0005-0000-0000-0000DAA00000}"/>
    <cellStyle name="Calculation 57 2" xfId="41188" xr:uid="{00000000-0005-0000-0000-0000DBA00000}"/>
    <cellStyle name="Calculation 57 2 2" xfId="41189" xr:uid="{00000000-0005-0000-0000-0000DCA00000}"/>
    <cellStyle name="Calculation 57 2 2 2" xfId="41190" xr:uid="{00000000-0005-0000-0000-0000DDA00000}"/>
    <cellStyle name="Calculation 57 2 3" xfId="41191" xr:uid="{00000000-0005-0000-0000-0000DEA00000}"/>
    <cellStyle name="Calculation 57 2 3 2" xfId="41192" xr:uid="{00000000-0005-0000-0000-0000DFA00000}"/>
    <cellStyle name="Calculation 57 2 3 3" xfId="41193" xr:uid="{00000000-0005-0000-0000-0000E0A00000}"/>
    <cellStyle name="Calculation 57 2 4" xfId="41194" xr:uid="{00000000-0005-0000-0000-0000E1A00000}"/>
    <cellStyle name="Calculation 57 2 5" xfId="41195" xr:uid="{00000000-0005-0000-0000-0000E2A00000}"/>
    <cellStyle name="Calculation 57 3" xfId="41196" xr:uid="{00000000-0005-0000-0000-0000E3A00000}"/>
    <cellStyle name="Calculation 57 3 2" xfId="41197" xr:uid="{00000000-0005-0000-0000-0000E4A00000}"/>
    <cellStyle name="Calculation 57 3 3" xfId="41198" xr:uid="{00000000-0005-0000-0000-0000E5A00000}"/>
    <cellStyle name="Calculation 57 4" xfId="41199" xr:uid="{00000000-0005-0000-0000-0000E6A00000}"/>
    <cellStyle name="Calculation 57 5" xfId="41200" xr:uid="{00000000-0005-0000-0000-0000E7A00000}"/>
    <cellStyle name="Calculation 58" xfId="41201" xr:uid="{00000000-0005-0000-0000-0000E8A00000}"/>
    <cellStyle name="Calculation 58 2" xfId="41202" xr:uid="{00000000-0005-0000-0000-0000E9A00000}"/>
    <cellStyle name="Calculation 58 2 2" xfId="41203" xr:uid="{00000000-0005-0000-0000-0000EAA00000}"/>
    <cellStyle name="Calculation 58 2 2 2" xfId="41204" xr:uid="{00000000-0005-0000-0000-0000EBA00000}"/>
    <cellStyle name="Calculation 58 2 3" xfId="41205" xr:uid="{00000000-0005-0000-0000-0000ECA00000}"/>
    <cellStyle name="Calculation 58 2 3 2" xfId="41206" xr:uid="{00000000-0005-0000-0000-0000EDA00000}"/>
    <cellStyle name="Calculation 58 2 3 3" xfId="41207" xr:uid="{00000000-0005-0000-0000-0000EEA00000}"/>
    <cellStyle name="Calculation 58 2 4" xfId="41208" xr:uid="{00000000-0005-0000-0000-0000EFA00000}"/>
    <cellStyle name="Calculation 58 2 5" xfId="41209" xr:uid="{00000000-0005-0000-0000-0000F0A00000}"/>
    <cellStyle name="Calculation 58 3" xfId="41210" xr:uid="{00000000-0005-0000-0000-0000F1A00000}"/>
    <cellStyle name="Calculation 58 3 2" xfId="41211" xr:uid="{00000000-0005-0000-0000-0000F2A00000}"/>
    <cellStyle name="Calculation 58 3 3" xfId="41212" xr:uid="{00000000-0005-0000-0000-0000F3A00000}"/>
    <cellStyle name="Calculation 58 4" xfId="41213" xr:uid="{00000000-0005-0000-0000-0000F4A00000}"/>
    <cellStyle name="Calculation 58 5" xfId="41214" xr:uid="{00000000-0005-0000-0000-0000F5A00000}"/>
    <cellStyle name="Calculation 59" xfId="41215" xr:uid="{00000000-0005-0000-0000-0000F6A00000}"/>
    <cellStyle name="Calculation 59 2" xfId="41216" xr:uid="{00000000-0005-0000-0000-0000F7A00000}"/>
    <cellStyle name="Calculation 59 2 2" xfId="41217" xr:uid="{00000000-0005-0000-0000-0000F8A00000}"/>
    <cellStyle name="Calculation 59 2 2 2" xfId="41218" xr:uid="{00000000-0005-0000-0000-0000F9A00000}"/>
    <cellStyle name="Calculation 59 2 3" xfId="41219" xr:uid="{00000000-0005-0000-0000-0000FAA00000}"/>
    <cellStyle name="Calculation 59 2 3 2" xfId="41220" xr:uid="{00000000-0005-0000-0000-0000FBA00000}"/>
    <cellStyle name="Calculation 59 2 3 3" xfId="41221" xr:uid="{00000000-0005-0000-0000-0000FCA00000}"/>
    <cellStyle name="Calculation 59 2 4" xfId="41222" xr:uid="{00000000-0005-0000-0000-0000FDA00000}"/>
    <cellStyle name="Calculation 59 3" xfId="41223" xr:uid="{00000000-0005-0000-0000-0000FEA00000}"/>
    <cellStyle name="Calculation 59 3 2" xfId="41224" xr:uid="{00000000-0005-0000-0000-0000FFA00000}"/>
    <cellStyle name="Calculation 59 3 3" xfId="41225" xr:uid="{00000000-0005-0000-0000-000000A10000}"/>
    <cellStyle name="Calculation 59 4" xfId="41226" xr:uid="{00000000-0005-0000-0000-000001A10000}"/>
    <cellStyle name="Calculation 59 5" xfId="41227" xr:uid="{00000000-0005-0000-0000-000002A10000}"/>
    <cellStyle name="Calculation 6" xfId="41228" xr:uid="{00000000-0005-0000-0000-000003A10000}"/>
    <cellStyle name="Calculation 6 2" xfId="41229" xr:uid="{00000000-0005-0000-0000-000004A10000}"/>
    <cellStyle name="Calculation 6 2 2" xfId="41230" xr:uid="{00000000-0005-0000-0000-000005A10000}"/>
    <cellStyle name="Calculation 6 2 2 2" xfId="41231" xr:uid="{00000000-0005-0000-0000-000006A10000}"/>
    <cellStyle name="Calculation 6 2 3" xfId="41232" xr:uid="{00000000-0005-0000-0000-000007A10000}"/>
    <cellStyle name="Calculation 6 2 3 2" xfId="41233" xr:uid="{00000000-0005-0000-0000-000008A10000}"/>
    <cellStyle name="Calculation 6 2 3 3" xfId="41234" xr:uid="{00000000-0005-0000-0000-000009A10000}"/>
    <cellStyle name="Calculation 6 2 4" xfId="41235" xr:uid="{00000000-0005-0000-0000-00000AA10000}"/>
    <cellStyle name="Calculation 6 3" xfId="41236" xr:uid="{00000000-0005-0000-0000-00000BA10000}"/>
    <cellStyle name="Calculation 6 3 2" xfId="41237" xr:uid="{00000000-0005-0000-0000-00000CA10000}"/>
    <cellStyle name="Calculation 6 4" xfId="41238" xr:uid="{00000000-0005-0000-0000-00000DA10000}"/>
    <cellStyle name="Calculation 6 4 2" xfId="41239" xr:uid="{00000000-0005-0000-0000-00000EA10000}"/>
    <cellStyle name="Calculation 6 4 3" xfId="41240" xr:uid="{00000000-0005-0000-0000-00000FA10000}"/>
    <cellStyle name="Calculation 6 5" xfId="41241" xr:uid="{00000000-0005-0000-0000-000010A10000}"/>
    <cellStyle name="Calculation 6 6" xfId="41242" xr:uid="{00000000-0005-0000-0000-000011A10000}"/>
    <cellStyle name="Calculation 60" xfId="41243" xr:uid="{00000000-0005-0000-0000-000012A10000}"/>
    <cellStyle name="Calculation 60 2" xfId="41244" xr:uid="{00000000-0005-0000-0000-000013A10000}"/>
    <cellStyle name="Calculation 60 2 2" xfId="41245" xr:uid="{00000000-0005-0000-0000-000014A10000}"/>
    <cellStyle name="Calculation 60 2 2 2" xfId="41246" xr:uid="{00000000-0005-0000-0000-000015A10000}"/>
    <cellStyle name="Calculation 60 2 3" xfId="41247" xr:uid="{00000000-0005-0000-0000-000016A10000}"/>
    <cellStyle name="Calculation 60 2 3 2" xfId="41248" xr:uid="{00000000-0005-0000-0000-000017A10000}"/>
    <cellStyle name="Calculation 60 2 3 3" xfId="41249" xr:uid="{00000000-0005-0000-0000-000018A10000}"/>
    <cellStyle name="Calculation 60 2 4" xfId="41250" xr:uid="{00000000-0005-0000-0000-000019A10000}"/>
    <cellStyle name="Calculation 60 2 5" xfId="41251" xr:uid="{00000000-0005-0000-0000-00001AA10000}"/>
    <cellStyle name="Calculation 60 3" xfId="41252" xr:uid="{00000000-0005-0000-0000-00001BA10000}"/>
    <cellStyle name="Calculation 60 3 2" xfId="41253" xr:uid="{00000000-0005-0000-0000-00001CA10000}"/>
    <cellStyle name="Calculation 60 3 3" xfId="41254" xr:uid="{00000000-0005-0000-0000-00001DA10000}"/>
    <cellStyle name="Calculation 60 4" xfId="41255" xr:uid="{00000000-0005-0000-0000-00001EA10000}"/>
    <cellStyle name="Calculation 60 5" xfId="41256" xr:uid="{00000000-0005-0000-0000-00001FA10000}"/>
    <cellStyle name="Calculation 61" xfId="41257" xr:uid="{00000000-0005-0000-0000-000020A10000}"/>
    <cellStyle name="Calculation 61 2" xfId="41258" xr:uid="{00000000-0005-0000-0000-000021A10000}"/>
    <cellStyle name="Calculation 61 2 2" xfId="41259" xr:uid="{00000000-0005-0000-0000-000022A10000}"/>
    <cellStyle name="Calculation 61 2 2 2" xfId="41260" xr:uid="{00000000-0005-0000-0000-000023A10000}"/>
    <cellStyle name="Calculation 61 2 3" xfId="41261" xr:uid="{00000000-0005-0000-0000-000024A10000}"/>
    <cellStyle name="Calculation 61 2 3 2" xfId="41262" xr:uid="{00000000-0005-0000-0000-000025A10000}"/>
    <cellStyle name="Calculation 61 2 3 3" xfId="41263" xr:uid="{00000000-0005-0000-0000-000026A10000}"/>
    <cellStyle name="Calculation 61 2 4" xfId="41264" xr:uid="{00000000-0005-0000-0000-000027A10000}"/>
    <cellStyle name="Calculation 61 2 5" xfId="41265" xr:uid="{00000000-0005-0000-0000-000028A10000}"/>
    <cellStyle name="Calculation 61 3" xfId="41266" xr:uid="{00000000-0005-0000-0000-000029A10000}"/>
    <cellStyle name="Calculation 61 3 2" xfId="41267" xr:uid="{00000000-0005-0000-0000-00002AA10000}"/>
    <cellStyle name="Calculation 61 3 3" xfId="41268" xr:uid="{00000000-0005-0000-0000-00002BA10000}"/>
    <cellStyle name="Calculation 61 4" xfId="41269" xr:uid="{00000000-0005-0000-0000-00002CA10000}"/>
    <cellStyle name="Calculation 61 5" xfId="41270" xr:uid="{00000000-0005-0000-0000-00002DA10000}"/>
    <cellStyle name="Calculation 62" xfId="41271" xr:uid="{00000000-0005-0000-0000-00002EA10000}"/>
    <cellStyle name="Calculation 62 2" xfId="41272" xr:uid="{00000000-0005-0000-0000-00002FA10000}"/>
    <cellStyle name="Calculation 62 2 2" xfId="41273" xr:uid="{00000000-0005-0000-0000-000030A10000}"/>
    <cellStyle name="Calculation 62 2 2 2" xfId="41274" xr:uid="{00000000-0005-0000-0000-000031A10000}"/>
    <cellStyle name="Calculation 62 2 3" xfId="41275" xr:uid="{00000000-0005-0000-0000-000032A10000}"/>
    <cellStyle name="Calculation 62 2 3 2" xfId="41276" xr:uid="{00000000-0005-0000-0000-000033A10000}"/>
    <cellStyle name="Calculation 62 2 3 3" xfId="41277" xr:uid="{00000000-0005-0000-0000-000034A10000}"/>
    <cellStyle name="Calculation 62 2 4" xfId="41278" xr:uid="{00000000-0005-0000-0000-000035A10000}"/>
    <cellStyle name="Calculation 62 2 5" xfId="41279" xr:uid="{00000000-0005-0000-0000-000036A10000}"/>
    <cellStyle name="Calculation 62 3" xfId="41280" xr:uid="{00000000-0005-0000-0000-000037A10000}"/>
    <cellStyle name="Calculation 62 3 2" xfId="41281" xr:uid="{00000000-0005-0000-0000-000038A10000}"/>
    <cellStyle name="Calculation 62 3 3" xfId="41282" xr:uid="{00000000-0005-0000-0000-000039A10000}"/>
    <cellStyle name="Calculation 62 4" xfId="41283" xr:uid="{00000000-0005-0000-0000-00003AA10000}"/>
    <cellStyle name="Calculation 62 5" xfId="41284" xr:uid="{00000000-0005-0000-0000-00003BA10000}"/>
    <cellStyle name="Calculation 63" xfId="41285" xr:uid="{00000000-0005-0000-0000-00003CA10000}"/>
    <cellStyle name="Calculation 63 2" xfId="41286" xr:uid="{00000000-0005-0000-0000-00003DA10000}"/>
    <cellStyle name="Calculation 63 2 2" xfId="41287" xr:uid="{00000000-0005-0000-0000-00003EA10000}"/>
    <cellStyle name="Calculation 63 2 2 2" xfId="41288" xr:uid="{00000000-0005-0000-0000-00003FA10000}"/>
    <cellStyle name="Calculation 63 2 3" xfId="41289" xr:uid="{00000000-0005-0000-0000-000040A10000}"/>
    <cellStyle name="Calculation 63 2 3 2" xfId="41290" xr:uid="{00000000-0005-0000-0000-000041A10000}"/>
    <cellStyle name="Calculation 63 2 3 3" xfId="41291" xr:uid="{00000000-0005-0000-0000-000042A10000}"/>
    <cellStyle name="Calculation 63 2 4" xfId="41292" xr:uid="{00000000-0005-0000-0000-000043A10000}"/>
    <cellStyle name="Calculation 63 2 5" xfId="41293" xr:uid="{00000000-0005-0000-0000-000044A10000}"/>
    <cellStyle name="Calculation 63 3" xfId="41294" xr:uid="{00000000-0005-0000-0000-000045A10000}"/>
    <cellStyle name="Calculation 63 3 2" xfId="41295" xr:uid="{00000000-0005-0000-0000-000046A10000}"/>
    <cellStyle name="Calculation 63 3 3" xfId="41296" xr:uid="{00000000-0005-0000-0000-000047A10000}"/>
    <cellStyle name="Calculation 63 4" xfId="41297" xr:uid="{00000000-0005-0000-0000-000048A10000}"/>
    <cellStyle name="Calculation 63 5" xfId="41298" xr:uid="{00000000-0005-0000-0000-000049A10000}"/>
    <cellStyle name="Calculation 64" xfId="41299" xr:uid="{00000000-0005-0000-0000-00004AA10000}"/>
    <cellStyle name="Calculation 64 2" xfId="41300" xr:uid="{00000000-0005-0000-0000-00004BA10000}"/>
    <cellStyle name="Calculation 64 2 2" xfId="41301" xr:uid="{00000000-0005-0000-0000-00004CA10000}"/>
    <cellStyle name="Calculation 64 2 2 2" xfId="41302" xr:uid="{00000000-0005-0000-0000-00004DA10000}"/>
    <cellStyle name="Calculation 64 2 3" xfId="41303" xr:uid="{00000000-0005-0000-0000-00004EA10000}"/>
    <cellStyle name="Calculation 64 2 3 2" xfId="41304" xr:uid="{00000000-0005-0000-0000-00004FA10000}"/>
    <cellStyle name="Calculation 64 2 3 3" xfId="41305" xr:uid="{00000000-0005-0000-0000-000050A10000}"/>
    <cellStyle name="Calculation 64 2 4" xfId="41306" xr:uid="{00000000-0005-0000-0000-000051A10000}"/>
    <cellStyle name="Calculation 64 2 5" xfId="41307" xr:uid="{00000000-0005-0000-0000-000052A10000}"/>
    <cellStyle name="Calculation 64 3" xfId="41308" xr:uid="{00000000-0005-0000-0000-000053A10000}"/>
    <cellStyle name="Calculation 64 3 2" xfId="41309" xr:uid="{00000000-0005-0000-0000-000054A10000}"/>
    <cellStyle name="Calculation 64 3 3" xfId="41310" xr:uid="{00000000-0005-0000-0000-000055A10000}"/>
    <cellStyle name="Calculation 64 4" xfId="41311" xr:uid="{00000000-0005-0000-0000-000056A10000}"/>
    <cellStyle name="Calculation 64 5" xfId="41312" xr:uid="{00000000-0005-0000-0000-000057A10000}"/>
    <cellStyle name="Calculation 65" xfId="41313" xr:uid="{00000000-0005-0000-0000-000058A10000}"/>
    <cellStyle name="Calculation 65 2" xfId="41314" xr:uid="{00000000-0005-0000-0000-000059A10000}"/>
    <cellStyle name="Calculation 65 2 2" xfId="41315" xr:uid="{00000000-0005-0000-0000-00005AA10000}"/>
    <cellStyle name="Calculation 65 2 2 2" xfId="41316" xr:uid="{00000000-0005-0000-0000-00005BA10000}"/>
    <cellStyle name="Calculation 65 2 3" xfId="41317" xr:uid="{00000000-0005-0000-0000-00005CA10000}"/>
    <cellStyle name="Calculation 65 2 3 2" xfId="41318" xr:uid="{00000000-0005-0000-0000-00005DA10000}"/>
    <cellStyle name="Calculation 65 2 3 3" xfId="41319" xr:uid="{00000000-0005-0000-0000-00005EA10000}"/>
    <cellStyle name="Calculation 65 2 4" xfId="41320" xr:uid="{00000000-0005-0000-0000-00005FA10000}"/>
    <cellStyle name="Calculation 65 2 5" xfId="41321" xr:uid="{00000000-0005-0000-0000-000060A10000}"/>
    <cellStyle name="Calculation 65 3" xfId="41322" xr:uid="{00000000-0005-0000-0000-000061A10000}"/>
    <cellStyle name="Calculation 65 3 2" xfId="41323" xr:uid="{00000000-0005-0000-0000-000062A10000}"/>
    <cellStyle name="Calculation 65 3 3" xfId="41324" xr:uid="{00000000-0005-0000-0000-000063A10000}"/>
    <cellStyle name="Calculation 65 4" xfId="41325" xr:uid="{00000000-0005-0000-0000-000064A10000}"/>
    <cellStyle name="Calculation 65 5" xfId="41326" xr:uid="{00000000-0005-0000-0000-000065A10000}"/>
    <cellStyle name="Calculation 66" xfId="41327" xr:uid="{00000000-0005-0000-0000-000066A10000}"/>
    <cellStyle name="Calculation 66 2" xfId="41328" xr:uid="{00000000-0005-0000-0000-000067A10000}"/>
    <cellStyle name="Calculation 66 2 2" xfId="41329" xr:uid="{00000000-0005-0000-0000-000068A10000}"/>
    <cellStyle name="Calculation 66 2 2 2" xfId="41330" xr:uid="{00000000-0005-0000-0000-000069A10000}"/>
    <cellStyle name="Calculation 66 2 3" xfId="41331" xr:uid="{00000000-0005-0000-0000-00006AA10000}"/>
    <cellStyle name="Calculation 66 2 3 2" xfId="41332" xr:uid="{00000000-0005-0000-0000-00006BA10000}"/>
    <cellStyle name="Calculation 66 2 3 3" xfId="41333" xr:uid="{00000000-0005-0000-0000-00006CA10000}"/>
    <cellStyle name="Calculation 66 2 4" xfId="41334" xr:uid="{00000000-0005-0000-0000-00006DA10000}"/>
    <cellStyle name="Calculation 66 2 5" xfId="41335" xr:uid="{00000000-0005-0000-0000-00006EA10000}"/>
    <cellStyle name="Calculation 66 3" xfId="41336" xr:uid="{00000000-0005-0000-0000-00006FA10000}"/>
    <cellStyle name="Calculation 66 3 2" xfId="41337" xr:uid="{00000000-0005-0000-0000-000070A10000}"/>
    <cellStyle name="Calculation 66 3 3" xfId="41338" xr:uid="{00000000-0005-0000-0000-000071A10000}"/>
    <cellStyle name="Calculation 66 4" xfId="41339" xr:uid="{00000000-0005-0000-0000-000072A10000}"/>
    <cellStyle name="Calculation 66 5" xfId="41340" xr:uid="{00000000-0005-0000-0000-000073A10000}"/>
    <cellStyle name="Calculation 67" xfId="41341" xr:uid="{00000000-0005-0000-0000-000074A10000}"/>
    <cellStyle name="Calculation 67 2" xfId="41342" xr:uid="{00000000-0005-0000-0000-000075A10000}"/>
    <cellStyle name="Calculation 67 2 2" xfId="41343" xr:uid="{00000000-0005-0000-0000-000076A10000}"/>
    <cellStyle name="Calculation 67 2 2 2" xfId="41344" xr:uid="{00000000-0005-0000-0000-000077A10000}"/>
    <cellStyle name="Calculation 67 2 3" xfId="41345" xr:uid="{00000000-0005-0000-0000-000078A10000}"/>
    <cellStyle name="Calculation 67 2 3 2" xfId="41346" xr:uid="{00000000-0005-0000-0000-000079A10000}"/>
    <cellStyle name="Calculation 67 2 3 3" xfId="41347" xr:uid="{00000000-0005-0000-0000-00007AA10000}"/>
    <cellStyle name="Calculation 67 2 4" xfId="41348" xr:uid="{00000000-0005-0000-0000-00007BA10000}"/>
    <cellStyle name="Calculation 67 2 5" xfId="41349" xr:uid="{00000000-0005-0000-0000-00007CA10000}"/>
    <cellStyle name="Calculation 67 3" xfId="41350" xr:uid="{00000000-0005-0000-0000-00007DA10000}"/>
    <cellStyle name="Calculation 67 3 2" xfId="41351" xr:uid="{00000000-0005-0000-0000-00007EA10000}"/>
    <cellStyle name="Calculation 67 3 3" xfId="41352" xr:uid="{00000000-0005-0000-0000-00007FA10000}"/>
    <cellStyle name="Calculation 67 4" xfId="41353" xr:uid="{00000000-0005-0000-0000-000080A10000}"/>
    <cellStyle name="Calculation 67 5" xfId="41354" xr:uid="{00000000-0005-0000-0000-000081A10000}"/>
    <cellStyle name="Calculation 68" xfId="41355" xr:uid="{00000000-0005-0000-0000-000082A10000}"/>
    <cellStyle name="Calculation 68 2" xfId="41356" xr:uid="{00000000-0005-0000-0000-000083A10000}"/>
    <cellStyle name="Calculation 68 2 2" xfId="41357" xr:uid="{00000000-0005-0000-0000-000084A10000}"/>
    <cellStyle name="Calculation 68 2 2 2" xfId="41358" xr:uid="{00000000-0005-0000-0000-000085A10000}"/>
    <cellStyle name="Calculation 68 2 3" xfId="41359" xr:uid="{00000000-0005-0000-0000-000086A10000}"/>
    <cellStyle name="Calculation 68 2 3 2" xfId="41360" xr:uid="{00000000-0005-0000-0000-000087A10000}"/>
    <cellStyle name="Calculation 68 2 3 3" xfId="41361" xr:uid="{00000000-0005-0000-0000-000088A10000}"/>
    <cellStyle name="Calculation 68 2 4" xfId="41362" xr:uid="{00000000-0005-0000-0000-000089A10000}"/>
    <cellStyle name="Calculation 68 2 5" xfId="41363" xr:uid="{00000000-0005-0000-0000-00008AA10000}"/>
    <cellStyle name="Calculation 68 3" xfId="41364" xr:uid="{00000000-0005-0000-0000-00008BA10000}"/>
    <cellStyle name="Calculation 68 3 2" xfId="41365" xr:uid="{00000000-0005-0000-0000-00008CA10000}"/>
    <cellStyle name="Calculation 68 3 3" xfId="41366" xr:uid="{00000000-0005-0000-0000-00008DA10000}"/>
    <cellStyle name="Calculation 68 4" xfId="41367" xr:uid="{00000000-0005-0000-0000-00008EA10000}"/>
    <cellStyle name="Calculation 68 5" xfId="41368" xr:uid="{00000000-0005-0000-0000-00008FA10000}"/>
    <cellStyle name="Calculation 69" xfId="41369" xr:uid="{00000000-0005-0000-0000-000090A10000}"/>
    <cellStyle name="Calculation 69 2" xfId="41370" xr:uid="{00000000-0005-0000-0000-000091A10000}"/>
    <cellStyle name="Calculation 69 2 2" xfId="41371" xr:uid="{00000000-0005-0000-0000-000092A10000}"/>
    <cellStyle name="Calculation 69 2 2 2" xfId="41372" xr:uid="{00000000-0005-0000-0000-000093A10000}"/>
    <cellStyle name="Calculation 69 2 3" xfId="41373" xr:uid="{00000000-0005-0000-0000-000094A10000}"/>
    <cellStyle name="Calculation 69 2 3 2" xfId="41374" xr:uid="{00000000-0005-0000-0000-000095A10000}"/>
    <cellStyle name="Calculation 69 2 3 3" xfId="41375" xr:uid="{00000000-0005-0000-0000-000096A10000}"/>
    <cellStyle name="Calculation 69 2 4" xfId="41376" xr:uid="{00000000-0005-0000-0000-000097A10000}"/>
    <cellStyle name="Calculation 69 2 5" xfId="41377" xr:uid="{00000000-0005-0000-0000-000098A10000}"/>
    <cellStyle name="Calculation 69 3" xfId="41378" xr:uid="{00000000-0005-0000-0000-000099A10000}"/>
    <cellStyle name="Calculation 69 3 2" xfId="41379" xr:uid="{00000000-0005-0000-0000-00009AA10000}"/>
    <cellStyle name="Calculation 69 3 3" xfId="41380" xr:uid="{00000000-0005-0000-0000-00009BA10000}"/>
    <cellStyle name="Calculation 69 4" xfId="41381" xr:uid="{00000000-0005-0000-0000-00009CA10000}"/>
    <cellStyle name="Calculation 69 5" xfId="41382" xr:uid="{00000000-0005-0000-0000-00009DA10000}"/>
    <cellStyle name="Calculation 7" xfId="41383" xr:uid="{00000000-0005-0000-0000-00009EA10000}"/>
    <cellStyle name="Calculation 7 2" xfId="41384" xr:uid="{00000000-0005-0000-0000-00009FA10000}"/>
    <cellStyle name="Calculation 7 2 2" xfId="41385" xr:uid="{00000000-0005-0000-0000-0000A0A10000}"/>
    <cellStyle name="Calculation 7 2 2 2" xfId="41386" xr:uid="{00000000-0005-0000-0000-0000A1A10000}"/>
    <cellStyle name="Calculation 7 2 3" xfId="41387" xr:uid="{00000000-0005-0000-0000-0000A2A10000}"/>
    <cellStyle name="Calculation 7 2 3 2" xfId="41388" xr:uid="{00000000-0005-0000-0000-0000A3A10000}"/>
    <cellStyle name="Calculation 7 2 3 3" xfId="41389" xr:uid="{00000000-0005-0000-0000-0000A4A10000}"/>
    <cellStyle name="Calculation 7 2 4" xfId="41390" xr:uid="{00000000-0005-0000-0000-0000A5A10000}"/>
    <cellStyle name="Calculation 7 3" xfId="41391" xr:uid="{00000000-0005-0000-0000-0000A6A10000}"/>
    <cellStyle name="Calculation 7 3 2" xfId="41392" xr:uid="{00000000-0005-0000-0000-0000A7A10000}"/>
    <cellStyle name="Calculation 7 4" xfId="41393" xr:uid="{00000000-0005-0000-0000-0000A8A10000}"/>
    <cellStyle name="Calculation 7 4 2" xfId="41394" xr:uid="{00000000-0005-0000-0000-0000A9A10000}"/>
    <cellStyle name="Calculation 7 4 3" xfId="41395" xr:uid="{00000000-0005-0000-0000-0000AAA10000}"/>
    <cellStyle name="Calculation 7 5" xfId="41396" xr:uid="{00000000-0005-0000-0000-0000ABA10000}"/>
    <cellStyle name="Calculation 7 6" xfId="41397" xr:uid="{00000000-0005-0000-0000-0000ACA10000}"/>
    <cellStyle name="Calculation 70" xfId="41398" xr:uid="{00000000-0005-0000-0000-0000ADA10000}"/>
    <cellStyle name="Calculation 70 2" xfId="41399" xr:uid="{00000000-0005-0000-0000-0000AEA10000}"/>
    <cellStyle name="Calculation 70 2 2" xfId="41400" xr:uid="{00000000-0005-0000-0000-0000AFA10000}"/>
    <cellStyle name="Calculation 70 2 2 2" xfId="41401" xr:uid="{00000000-0005-0000-0000-0000B0A10000}"/>
    <cellStyle name="Calculation 70 2 3" xfId="41402" xr:uid="{00000000-0005-0000-0000-0000B1A10000}"/>
    <cellStyle name="Calculation 70 2 3 2" xfId="41403" xr:uid="{00000000-0005-0000-0000-0000B2A10000}"/>
    <cellStyle name="Calculation 70 2 3 3" xfId="41404" xr:uid="{00000000-0005-0000-0000-0000B3A10000}"/>
    <cellStyle name="Calculation 70 2 4" xfId="41405" xr:uid="{00000000-0005-0000-0000-0000B4A10000}"/>
    <cellStyle name="Calculation 70 2 5" xfId="41406" xr:uid="{00000000-0005-0000-0000-0000B5A10000}"/>
    <cellStyle name="Calculation 70 3" xfId="41407" xr:uid="{00000000-0005-0000-0000-0000B6A10000}"/>
    <cellStyle name="Calculation 70 3 2" xfId="41408" xr:uid="{00000000-0005-0000-0000-0000B7A10000}"/>
    <cellStyle name="Calculation 70 3 3" xfId="41409" xr:uid="{00000000-0005-0000-0000-0000B8A10000}"/>
    <cellStyle name="Calculation 70 4" xfId="41410" xr:uid="{00000000-0005-0000-0000-0000B9A10000}"/>
    <cellStyle name="Calculation 70 5" xfId="41411" xr:uid="{00000000-0005-0000-0000-0000BAA10000}"/>
    <cellStyle name="Calculation 71" xfId="41412" xr:uid="{00000000-0005-0000-0000-0000BBA10000}"/>
    <cellStyle name="Calculation 71 2" xfId="41413" xr:uid="{00000000-0005-0000-0000-0000BCA10000}"/>
    <cellStyle name="Calculation 71 2 2" xfId="41414" xr:uid="{00000000-0005-0000-0000-0000BDA10000}"/>
    <cellStyle name="Calculation 71 2 2 2" xfId="41415" xr:uid="{00000000-0005-0000-0000-0000BEA10000}"/>
    <cellStyle name="Calculation 71 2 3" xfId="41416" xr:uid="{00000000-0005-0000-0000-0000BFA10000}"/>
    <cellStyle name="Calculation 71 2 3 2" xfId="41417" xr:uid="{00000000-0005-0000-0000-0000C0A10000}"/>
    <cellStyle name="Calculation 71 2 3 3" xfId="41418" xr:uid="{00000000-0005-0000-0000-0000C1A10000}"/>
    <cellStyle name="Calculation 71 2 4" xfId="41419" xr:uid="{00000000-0005-0000-0000-0000C2A10000}"/>
    <cellStyle name="Calculation 71 2 5" xfId="41420" xr:uid="{00000000-0005-0000-0000-0000C3A10000}"/>
    <cellStyle name="Calculation 71 3" xfId="41421" xr:uid="{00000000-0005-0000-0000-0000C4A10000}"/>
    <cellStyle name="Calculation 71 3 2" xfId="41422" xr:uid="{00000000-0005-0000-0000-0000C5A10000}"/>
    <cellStyle name="Calculation 71 3 3" xfId="41423" xr:uid="{00000000-0005-0000-0000-0000C6A10000}"/>
    <cellStyle name="Calculation 71 4" xfId="41424" xr:uid="{00000000-0005-0000-0000-0000C7A10000}"/>
    <cellStyle name="Calculation 71 5" xfId="41425" xr:uid="{00000000-0005-0000-0000-0000C8A10000}"/>
    <cellStyle name="Calculation 72" xfId="41426" xr:uid="{00000000-0005-0000-0000-0000C9A10000}"/>
    <cellStyle name="Calculation 72 2" xfId="41427" xr:uid="{00000000-0005-0000-0000-0000CAA10000}"/>
    <cellStyle name="Calculation 72 2 2" xfId="41428" xr:uid="{00000000-0005-0000-0000-0000CBA10000}"/>
    <cellStyle name="Calculation 72 2 2 2" xfId="41429" xr:uid="{00000000-0005-0000-0000-0000CCA10000}"/>
    <cellStyle name="Calculation 72 2 3" xfId="41430" xr:uid="{00000000-0005-0000-0000-0000CDA10000}"/>
    <cellStyle name="Calculation 72 2 3 2" xfId="41431" xr:uid="{00000000-0005-0000-0000-0000CEA10000}"/>
    <cellStyle name="Calculation 72 2 3 3" xfId="41432" xr:uid="{00000000-0005-0000-0000-0000CFA10000}"/>
    <cellStyle name="Calculation 72 2 4" xfId="41433" xr:uid="{00000000-0005-0000-0000-0000D0A10000}"/>
    <cellStyle name="Calculation 72 2 5" xfId="41434" xr:uid="{00000000-0005-0000-0000-0000D1A10000}"/>
    <cellStyle name="Calculation 72 3" xfId="41435" xr:uid="{00000000-0005-0000-0000-0000D2A10000}"/>
    <cellStyle name="Calculation 72 3 2" xfId="41436" xr:uid="{00000000-0005-0000-0000-0000D3A10000}"/>
    <cellStyle name="Calculation 72 3 3" xfId="41437" xr:uid="{00000000-0005-0000-0000-0000D4A10000}"/>
    <cellStyle name="Calculation 72 4" xfId="41438" xr:uid="{00000000-0005-0000-0000-0000D5A10000}"/>
    <cellStyle name="Calculation 72 5" xfId="41439" xr:uid="{00000000-0005-0000-0000-0000D6A10000}"/>
    <cellStyle name="Calculation 73" xfId="41440" xr:uid="{00000000-0005-0000-0000-0000D7A10000}"/>
    <cellStyle name="Calculation 73 2" xfId="41441" xr:uid="{00000000-0005-0000-0000-0000D8A10000}"/>
    <cellStyle name="Calculation 73 2 2" xfId="41442" xr:uid="{00000000-0005-0000-0000-0000D9A10000}"/>
    <cellStyle name="Calculation 73 2 2 2" xfId="41443" xr:uid="{00000000-0005-0000-0000-0000DAA10000}"/>
    <cellStyle name="Calculation 73 2 3" xfId="41444" xr:uid="{00000000-0005-0000-0000-0000DBA10000}"/>
    <cellStyle name="Calculation 73 2 3 2" xfId="41445" xr:uid="{00000000-0005-0000-0000-0000DCA10000}"/>
    <cellStyle name="Calculation 73 2 3 3" xfId="41446" xr:uid="{00000000-0005-0000-0000-0000DDA10000}"/>
    <cellStyle name="Calculation 73 2 4" xfId="41447" xr:uid="{00000000-0005-0000-0000-0000DEA10000}"/>
    <cellStyle name="Calculation 73 2 5" xfId="41448" xr:uid="{00000000-0005-0000-0000-0000DFA10000}"/>
    <cellStyle name="Calculation 73 3" xfId="41449" xr:uid="{00000000-0005-0000-0000-0000E0A10000}"/>
    <cellStyle name="Calculation 73 3 2" xfId="41450" xr:uid="{00000000-0005-0000-0000-0000E1A10000}"/>
    <cellStyle name="Calculation 73 3 3" xfId="41451" xr:uid="{00000000-0005-0000-0000-0000E2A10000}"/>
    <cellStyle name="Calculation 73 4" xfId="41452" xr:uid="{00000000-0005-0000-0000-0000E3A10000}"/>
    <cellStyle name="Calculation 73 5" xfId="41453" xr:uid="{00000000-0005-0000-0000-0000E4A10000}"/>
    <cellStyle name="Calculation 74" xfId="41454" xr:uid="{00000000-0005-0000-0000-0000E5A10000}"/>
    <cellStyle name="Calculation 74 2" xfId="41455" xr:uid="{00000000-0005-0000-0000-0000E6A10000}"/>
    <cellStyle name="Calculation 74 2 2" xfId="41456" xr:uid="{00000000-0005-0000-0000-0000E7A10000}"/>
    <cellStyle name="Calculation 74 2 2 2" xfId="41457" xr:uid="{00000000-0005-0000-0000-0000E8A10000}"/>
    <cellStyle name="Calculation 74 2 3" xfId="41458" xr:uid="{00000000-0005-0000-0000-0000E9A10000}"/>
    <cellStyle name="Calculation 74 2 3 2" xfId="41459" xr:uid="{00000000-0005-0000-0000-0000EAA10000}"/>
    <cellStyle name="Calculation 74 2 3 3" xfId="41460" xr:uid="{00000000-0005-0000-0000-0000EBA10000}"/>
    <cellStyle name="Calculation 74 2 4" xfId="41461" xr:uid="{00000000-0005-0000-0000-0000ECA10000}"/>
    <cellStyle name="Calculation 74 2 5" xfId="41462" xr:uid="{00000000-0005-0000-0000-0000EDA10000}"/>
    <cellStyle name="Calculation 74 3" xfId="41463" xr:uid="{00000000-0005-0000-0000-0000EEA10000}"/>
    <cellStyle name="Calculation 74 3 2" xfId="41464" xr:uid="{00000000-0005-0000-0000-0000EFA10000}"/>
    <cellStyle name="Calculation 74 3 3" xfId="41465" xr:uid="{00000000-0005-0000-0000-0000F0A10000}"/>
    <cellStyle name="Calculation 74 4" xfId="41466" xr:uid="{00000000-0005-0000-0000-0000F1A10000}"/>
    <cellStyle name="Calculation 74 5" xfId="41467" xr:uid="{00000000-0005-0000-0000-0000F2A10000}"/>
    <cellStyle name="Calculation 75" xfId="41468" xr:uid="{00000000-0005-0000-0000-0000F3A10000}"/>
    <cellStyle name="Calculation 75 2" xfId="41469" xr:uid="{00000000-0005-0000-0000-0000F4A10000}"/>
    <cellStyle name="Calculation 75 2 2" xfId="41470" xr:uid="{00000000-0005-0000-0000-0000F5A10000}"/>
    <cellStyle name="Calculation 75 2 2 2" xfId="41471" xr:uid="{00000000-0005-0000-0000-0000F6A10000}"/>
    <cellStyle name="Calculation 75 2 3" xfId="41472" xr:uid="{00000000-0005-0000-0000-0000F7A10000}"/>
    <cellStyle name="Calculation 75 2 3 2" xfId="41473" xr:uid="{00000000-0005-0000-0000-0000F8A10000}"/>
    <cellStyle name="Calculation 75 2 3 3" xfId="41474" xr:uid="{00000000-0005-0000-0000-0000F9A10000}"/>
    <cellStyle name="Calculation 75 2 4" xfId="41475" xr:uid="{00000000-0005-0000-0000-0000FAA10000}"/>
    <cellStyle name="Calculation 75 2 5" xfId="41476" xr:uid="{00000000-0005-0000-0000-0000FBA10000}"/>
    <cellStyle name="Calculation 75 3" xfId="41477" xr:uid="{00000000-0005-0000-0000-0000FCA10000}"/>
    <cellStyle name="Calculation 75 3 2" xfId="41478" xr:uid="{00000000-0005-0000-0000-0000FDA10000}"/>
    <cellStyle name="Calculation 75 3 3" xfId="41479" xr:uid="{00000000-0005-0000-0000-0000FEA10000}"/>
    <cellStyle name="Calculation 75 4" xfId="41480" xr:uid="{00000000-0005-0000-0000-0000FFA10000}"/>
    <cellStyle name="Calculation 75 5" xfId="41481" xr:uid="{00000000-0005-0000-0000-000000A20000}"/>
    <cellStyle name="Calculation 76" xfId="41482" xr:uid="{00000000-0005-0000-0000-000001A20000}"/>
    <cellStyle name="Calculation 76 2" xfId="41483" xr:uid="{00000000-0005-0000-0000-000002A20000}"/>
    <cellStyle name="Calculation 76 2 2" xfId="41484" xr:uid="{00000000-0005-0000-0000-000003A20000}"/>
    <cellStyle name="Calculation 76 2 2 2" xfId="41485" xr:uid="{00000000-0005-0000-0000-000004A20000}"/>
    <cellStyle name="Calculation 76 2 3" xfId="41486" xr:uid="{00000000-0005-0000-0000-000005A20000}"/>
    <cellStyle name="Calculation 76 2 3 2" xfId="41487" xr:uid="{00000000-0005-0000-0000-000006A20000}"/>
    <cellStyle name="Calculation 76 2 3 3" xfId="41488" xr:uid="{00000000-0005-0000-0000-000007A20000}"/>
    <cellStyle name="Calculation 76 2 4" xfId="41489" xr:uid="{00000000-0005-0000-0000-000008A20000}"/>
    <cellStyle name="Calculation 76 2 5" xfId="41490" xr:uid="{00000000-0005-0000-0000-000009A20000}"/>
    <cellStyle name="Calculation 76 3" xfId="41491" xr:uid="{00000000-0005-0000-0000-00000AA20000}"/>
    <cellStyle name="Calculation 76 3 2" xfId="41492" xr:uid="{00000000-0005-0000-0000-00000BA20000}"/>
    <cellStyle name="Calculation 76 3 3" xfId="41493" xr:uid="{00000000-0005-0000-0000-00000CA20000}"/>
    <cellStyle name="Calculation 76 4" xfId="41494" xr:uid="{00000000-0005-0000-0000-00000DA20000}"/>
    <cellStyle name="Calculation 76 5" xfId="41495" xr:uid="{00000000-0005-0000-0000-00000EA20000}"/>
    <cellStyle name="Calculation 77" xfId="41496" xr:uid="{00000000-0005-0000-0000-00000FA20000}"/>
    <cellStyle name="Calculation 77 2" xfId="41497" xr:uid="{00000000-0005-0000-0000-000010A20000}"/>
    <cellStyle name="Calculation 77 2 2" xfId="41498" xr:uid="{00000000-0005-0000-0000-000011A20000}"/>
    <cellStyle name="Calculation 77 2 2 2" xfId="41499" xr:uid="{00000000-0005-0000-0000-000012A20000}"/>
    <cellStyle name="Calculation 77 2 3" xfId="41500" xr:uid="{00000000-0005-0000-0000-000013A20000}"/>
    <cellStyle name="Calculation 77 2 3 2" xfId="41501" xr:uid="{00000000-0005-0000-0000-000014A20000}"/>
    <cellStyle name="Calculation 77 2 3 3" xfId="41502" xr:uid="{00000000-0005-0000-0000-000015A20000}"/>
    <cellStyle name="Calculation 77 2 4" xfId="41503" xr:uid="{00000000-0005-0000-0000-000016A20000}"/>
    <cellStyle name="Calculation 77 2 5" xfId="41504" xr:uid="{00000000-0005-0000-0000-000017A20000}"/>
    <cellStyle name="Calculation 77 3" xfId="41505" xr:uid="{00000000-0005-0000-0000-000018A20000}"/>
    <cellStyle name="Calculation 77 3 2" xfId="41506" xr:uid="{00000000-0005-0000-0000-000019A20000}"/>
    <cellStyle name="Calculation 77 3 3" xfId="41507" xr:uid="{00000000-0005-0000-0000-00001AA20000}"/>
    <cellStyle name="Calculation 77 4" xfId="41508" xr:uid="{00000000-0005-0000-0000-00001BA20000}"/>
    <cellStyle name="Calculation 77 5" xfId="41509" xr:uid="{00000000-0005-0000-0000-00001CA20000}"/>
    <cellStyle name="Calculation 78" xfId="41510" xr:uid="{00000000-0005-0000-0000-00001DA20000}"/>
    <cellStyle name="Calculation 78 2" xfId="41511" xr:uid="{00000000-0005-0000-0000-00001EA20000}"/>
    <cellStyle name="Calculation 78 2 2" xfId="41512" xr:uid="{00000000-0005-0000-0000-00001FA20000}"/>
    <cellStyle name="Calculation 78 2 2 2" xfId="41513" xr:uid="{00000000-0005-0000-0000-000020A20000}"/>
    <cellStyle name="Calculation 78 2 3" xfId="41514" xr:uid="{00000000-0005-0000-0000-000021A20000}"/>
    <cellStyle name="Calculation 78 2 3 2" xfId="41515" xr:uid="{00000000-0005-0000-0000-000022A20000}"/>
    <cellStyle name="Calculation 78 2 3 3" xfId="41516" xr:uid="{00000000-0005-0000-0000-000023A20000}"/>
    <cellStyle name="Calculation 78 2 4" xfId="41517" xr:uid="{00000000-0005-0000-0000-000024A20000}"/>
    <cellStyle name="Calculation 78 2 5" xfId="41518" xr:uid="{00000000-0005-0000-0000-000025A20000}"/>
    <cellStyle name="Calculation 78 3" xfId="41519" xr:uid="{00000000-0005-0000-0000-000026A20000}"/>
    <cellStyle name="Calculation 78 3 2" xfId="41520" xr:uid="{00000000-0005-0000-0000-000027A20000}"/>
    <cellStyle name="Calculation 78 3 3" xfId="41521" xr:uid="{00000000-0005-0000-0000-000028A20000}"/>
    <cellStyle name="Calculation 78 4" xfId="41522" xr:uid="{00000000-0005-0000-0000-000029A20000}"/>
    <cellStyle name="Calculation 78 5" xfId="41523" xr:uid="{00000000-0005-0000-0000-00002AA20000}"/>
    <cellStyle name="Calculation 79" xfId="41524" xr:uid="{00000000-0005-0000-0000-00002BA20000}"/>
    <cellStyle name="Calculation 79 2" xfId="41525" xr:uid="{00000000-0005-0000-0000-00002CA20000}"/>
    <cellStyle name="Calculation 79 2 2" xfId="41526" xr:uid="{00000000-0005-0000-0000-00002DA20000}"/>
    <cellStyle name="Calculation 79 2 2 2" xfId="41527" xr:uid="{00000000-0005-0000-0000-00002EA20000}"/>
    <cellStyle name="Calculation 79 2 3" xfId="41528" xr:uid="{00000000-0005-0000-0000-00002FA20000}"/>
    <cellStyle name="Calculation 79 2 3 2" xfId="41529" xr:uid="{00000000-0005-0000-0000-000030A20000}"/>
    <cellStyle name="Calculation 79 2 3 3" xfId="41530" xr:uid="{00000000-0005-0000-0000-000031A20000}"/>
    <cellStyle name="Calculation 79 2 4" xfId="41531" xr:uid="{00000000-0005-0000-0000-000032A20000}"/>
    <cellStyle name="Calculation 79 2 5" xfId="41532" xr:uid="{00000000-0005-0000-0000-000033A20000}"/>
    <cellStyle name="Calculation 79 3" xfId="41533" xr:uid="{00000000-0005-0000-0000-000034A20000}"/>
    <cellStyle name="Calculation 79 3 2" xfId="41534" xr:uid="{00000000-0005-0000-0000-000035A20000}"/>
    <cellStyle name="Calculation 79 3 3" xfId="41535" xr:uid="{00000000-0005-0000-0000-000036A20000}"/>
    <cellStyle name="Calculation 79 4" xfId="41536" xr:uid="{00000000-0005-0000-0000-000037A20000}"/>
    <cellStyle name="Calculation 79 5" xfId="41537" xr:uid="{00000000-0005-0000-0000-000038A20000}"/>
    <cellStyle name="Calculation 8" xfId="41538" xr:uid="{00000000-0005-0000-0000-000039A20000}"/>
    <cellStyle name="Calculation 8 2" xfId="41539" xr:uid="{00000000-0005-0000-0000-00003AA20000}"/>
    <cellStyle name="Calculation 8 2 2" xfId="41540" xr:uid="{00000000-0005-0000-0000-00003BA20000}"/>
    <cellStyle name="Calculation 8 2 2 2" xfId="41541" xr:uid="{00000000-0005-0000-0000-00003CA20000}"/>
    <cellStyle name="Calculation 8 2 3" xfId="41542" xr:uid="{00000000-0005-0000-0000-00003DA20000}"/>
    <cellStyle name="Calculation 8 2 3 2" xfId="41543" xr:uid="{00000000-0005-0000-0000-00003EA20000}"/>
    <cellStyle name="Calculation 8 2 3 3" xfId="41544" xr:uid="{00000000-0005-0000-0000-00003FA20000}"/>
    <cellStyle name="Calculation 8 2 4" xfId="41545" xr:uid="{00000000-0005-0000-0000-000040A20000}"/>
    <cellStyle name="Calculation 8 3" xfId="41546" xr:uid="{00000000-0005-0000-0000-000041A20000}"/>
    <cellStyle name="Calculation 8 3 2" xfId="41547" xr:uid="{00000000-0005-0000-0000-000042A20000}"/>
    <cellStyle name="Calculation 8 4" xfId="41548" xr:uid="{00000000-0005-0000-0000-000043A20000}"/>
    <cellStyle name="Calculation 8 4 2" xfId="41549" xr:uid="{00000000-0005-0000-0000-000044A20000}"/>
    <cellStyle name="Calculation 8 4 3" xfId="41550" xr:uid="{00000000-0005-0000-0000-000045A20000}"/>
    <cellStyle name="Calculation 8 5" xfId="41551" xr:uid="{00000000-0005-0000-0000-000046A20000}"/>
    <cellStyle name="Calculation 8 6" xfId="41552" xr:uid="{00000000-0005-0000-0000-000047A20000}"/>
    <cellStyle name="Calculation 80" xfId="41553" xr:uid="{00000000-0005-0000-0000-000048A20000}"/>
    <cellStyle name="Calculation 80 2" xfId="41554" xr:uid="{00000000-0005-0000-0000-000049A20000}"/>
    <cellStyle name="Calculation 80 2 2" xfId="41555" xr:uid="{00000000-0005-0000-0000-00004AA20000}"/>
    <cellStyle name="Calculation 80 2 2 2" xfId="41556" xr:uid="{00000000-0005-0000-0000-00004BA20000}"/>
    <cellStyle name="Calculation 80 2 3" xfId="41557" xr:uid="{00000000-0005-0000-0000-00004CA20000}"/>
    <cellStyle name="Calculation 80 2 3 2" xfId="41558" xr:uid="{00000000-0005-0000-0000-00004DA20000}"/>
    <cellStyle name="Calculation 80 2 3 3" xfId="41559" xr:uid="{00000000-0005-0000-0000-00004EA20000}"/>
    <cellStyle name="Calculation 80 2 4" xfId="41560" xr:uid="{00000000-0005-0000-0000-00004FA20000}"/>
    <cellStyle name="Calculation 80 2 5" xfId="41561" xr:uid="{00000000-0005-0000-0000-000050A20000}"/>
    <cellStyle name="Calculation 80 3" xfId="41562" xr:uid="{00000000-0005-0000-0000-000051A20000}"/>
    <cellStyle name="Calculation 80 3 2" xfId="41563" xr:uid="{00000000-0005-0000-0000-000052A20000}"/>
    <cellStyle name="Calculation 80 3 3" xfId="41564" xr:uid="{00000000-0005-0000-0000-000053A20000}"/>
    <cellStyle name="Calculation 80 4" xfId="41565" xr:uid="{00000000-0005-0000-0000-000054A20000}"/>
    <cellStyle name="Calculation 80 5" xfId="41566" xr:uid="{00000000-0005-0000-0000-000055A20000}"/>
    <cellStyle name="Calculation 81" xfId="41567" xr:uid="{00000000-0005-0000-0000-000056A20000}"/>
    <cellStyle name="Calculation 81 2" xfId="41568" xr:uid="{00000000-0005-0000-0000-000057A20000}"/>
    <cellStyle name="Calculation 81 2 2" xfId="41569" xr:uid="{00000000-0005-0000-0000-000058A20000}"/>
    <cellStyle name="Calculation 81 2 2 2" xfId="41570" xr:uid="{00000000-0005-0000-0000-000059A20000}"/>
    <cellStyle name="Calculation 81 2 3" xfId="41571" xr:uid="{00000000-0005-0000-0000-00005AA20000}"/>
    <cellStyle name="Calculation 81 2 3 2" xfId="41572" xr:uid="{00000000-0005-0000-0000-00005BA20000}"/>
    <cellStyle name="Calculation 81 2 3 3" xfId="41573" xr:uid="{00000000-0005-0000-0000-00005CA20000}"/>
    <cellStyle name="Calculation 81 2 4" xfId="41574" xr:uid="{00000000-0005-0000-0000-00005DA20000}"/>
    <cellStyle name="Calculation 81 2 5" xfId="41575" xr:uid="{00000000-0005-0000-0000-00005EA20000}"/>
    <cellStyle name="Calculation 81 3" xfId="41576" xr:uid="{00000000-0005-0000-0000-00005FA20000}"/>
    <cellStyle name="Calculation 81 3 2" xfId="41577" xr:uid="{00000000-0005-0000-0000-000060A20000}"/>
    <cellStyle name="Calculation 81 3 3" xfId="41578" xr:uid="{00000000-0005-0000-0000-000061A20000}"/>
    <cellStyle name="Calculation 81 4" xfId="41579" xr:uid="{00000000-0005-0000-0000-000062A20000}"/>
    <cellStyle name="Calculation 81 5" xfId="41580" xr:uid="{00000000-0005-0000-0000-000063A20000}"/>
    <cellStyle name="Calculation 82" xfId="41581" xr:uid="{00000000-0005-0000-0000-000064A20000}"/>
    <cellStyle name="Calculation 82 2" xfId="41582" xr:uid="{00000000-0005-0000-0000-000065A20000}"/>
    <cellStyle name="Calculation 82 2 2" xfId="41583" xr:uid="{00000000-0005-0000-0000-000066A20000}"/>
    <cellStyle name="Calculation 82 2 2 2" xfId="41584" xr:uid="{00000000-0005-0000-0000-000067A20000}"/>
    <cellStyle name="Calculation 82 2 3" xfId="41585" xr:uid="{00000000-0005-0000-0000-000068A20000}"/>
    <cellStyle name="Calculation 82 2 3 2" xfId="41586" xr:uid="{00000000-0005-0000-0000-000069A20000}"/>
    <cellStyle name="Calculation 82 2 3 3" xfId="41587" xr:uid="{00000000-0005-0000-0000-00006AA20000}"/>
    <cellStyle name="Calculation 82 2 4" xfId="41588" xr:uid="{00000000-0005-0000-0000-00006BA20000}"/>
    <cellStyle name="Calculation 82 2 5" xfId="41589" xr:uid="{00000000-0005-0000-0000-00006CA20000}"/>
    <cellStyle name="Calculation 82 3" xfId="41590" xr:uid="{00000000-0005-0000-0000-00006DA20000}"/>
    <cellStyle name="Calculation 82 3 2" xfId="41591" xr:uid="{00000000-0005-0000-0000-00006EA20000}"/>
    <cellStyle name="Calculation 82 3 3" xfId="41592" xr:uid="{00000000-0005-0000-0000-00006FA20000}"/>
    <cellStyle name="Calculation 82 4" xfId="41593" xr:uid="{00000000-0005-0000-0000-000070A20000}"/>
    <cellStyle name="Calculation 82 5" xfId="41594" xr:uid="{00000000-0005-0000-0000-000071A20000}"/>
    <cellStyle name="Calculation 83" xfId="41595" xr:uid="{00000000-0005-0000-0000-000072A20000}"/>
    <cellStyle name="Calculation 83 2" xfId="41596" xr:uid="{00000000-0005-0000-0000-000073A20000}"/>
    <cellStyle name="Calculation 83 2 2" xfId="41597" xr:uid="{00000000-0005-0000-0000-000074A20000}"/>
    <cellStyle name="Calculation 83 2 2 2" xfId="41598" xr:uid="{00000000-0005-0000-0000-000075A20000}"/>
    <cellStyle name="Calculation 83 2 3" xfId="41599" xr:uid="{00000000-0005-0000-0000-000076A20000}"/>
    <cellStyle name="Calculation 83 2 3 2" xfId="41600" xr:uid="{00000000-0005-0000-0000-000077A20000}"/>
    <cellStyle name="Calculation 83 2 3 3" xfId="41601" xr:uid="{00000000-0005-0000-0000-000078A20000}"/>
    <cellStyle name="Calculation 83 2 4" xfId="41602" xr:uid="{00000000-0005-0000-0000-000079A20000}"/>
    <cellStyle name="Calculation 83 2 5" xfId="41603" xr:uid="{00000000-0005-0000-0000-00007AA20000}"/>
    <cellStyle name="Calculation 83 3" xfId="41604" xr:uid="{00000000-0005-0000-0000-00007BA20000}"/>
    <cellStyle name="Calculation 83 3 2" xfId="41605" xr:uid="{00000000-0005-0000-0000-00007CA20000}"/>
    <cellStyle name="Calculation 83 3 3" xfId="41606" xr:uid="{00000000-0005-0000-0000-00007DA20000}"/>
    <cellStyle name="Calculation 83 4" xfId="41607" xr:uid="{00000000-0005-0000-0000-00007EA20000}"/>
    <cellStyle name="Calculation 83 5" xfId="41608" xr:uid="{00000000-0005-0000-0000-00007FA20000}"/>
    <cellStyle name="Calculation 84" xfId="41609" xr:uid="{00000000-0005-0000-0000-000080A20000}"/>
    <cellStyle name="Calculation 84 2" xfId="41610" xr:uid="{00000000-0005-0000-0000-000081A20000}"/>
    <cellStyle name="Calculation 84 2 2" xfId="41611" xr:uid="{00000000-0005-0000-0000-000082A20000}"/>
    <cellStyle name="Calculation 84 2 2 2" xfId="41612" xr:uid="{00000000-0005-0000-0000-000083A20000}"/>
    <cellStyle name="Calculation 84 2 3" xfId="41613" xr:uid="{00000000-0005-0000-0000-000084A20000}"/>
    <cellStyle name="Calculation 84 2 3 2" xfId="41614" xr:uid="{00000000-0005-0000-0000-000085A20000}"/>
    <cellStyle name="Calculation 84 2 3 3" xfId="41615" xr:uid="{00000000-0005-0000-0000-000086A20000}"/>
    <cellStyle name="Calculation 84 2 4" xfId="41616" xr:uid="{00000000-0005-0000-0000-000087A20000}"/>
    <cellStyle name="Calculation 84 2 5" xfId="41617" xr:uid="{00000000-0005-0000-0000-000088A20000}"/>
    <cellStyle name="Calculation 84 3" xfId="41618" xr:uid="{00000000-0005-0000-0000-000089A20000}"/>
    <cellStyle name="Calculation 84 3 2" xfId="41619" xr:uid="{00000000-0005-0000-0000-00008AA20000}"/>
    <cellStyle name="Calculation 84 3 3" xfId="41620" xr:uid="{00000000-0005-0000-0000-00008BA20000}"/>
    <cellStyle name="Calculation 84 4" xfId="41621" xr:uid="{00000000-0005-0000-0000-00008CA20000}"/>
    <cellStyle name="Calculation 84 5" xfId="41622" xr:uid="{00000000-0005-0000-0000-00008DA20000}"/>
    <cellStyle name="Calculation 85" xfId="41623" xr:uid="{00000000-0005-0000-0000-00008EA20000}"/>
    <cellStyle name="Calculation 85 2" xfId="41624" xr:uid="{00000000-0005-0000-0000-00008FA20000}"/>
    <cellStyle name="Calculation 85 2 2" xfId="41625" xr:uid="{00000000-0005-0000-0000-000090A20000}"/>
    <cellStyle name="Calculation 85 2 2 2" xfId="41626" xr:uid="{00000000-0005-0000-0000-000091A20000}"/>
    <cellStyle name="Calculation 85 2 3" xfId="41627" xr:uid="{00000000-0005-0000-0000-000092A20000}"/>
    <cellStyle name="Calculation 85 2 3 2" xfId="41628" xr:uid="{00000000-0005-0000-0000-000093A20000}"/>
    <cellStyle name="Calculation 85 2 3 3" xfId="41629" xr:uid="{00000000-0005-0000-0000-000094A20000}"/>
    <cellStyle name="Calculation 85 2 4" xfId="41630" xr:uid="{00000000-0005-0000-0000-000095A20000}"/>
    <cellStyle name="Calculation 85 2 5" xfId="41631" xr:uid="{00000000-0005-0000-0000-000096A20000}"/>
    <cellStyle name="Calculation 85 3" xfId="41632" xr:uid="{00000000-0005-0000-0000-000097A20000}"/>
    <cellStyle name="Calculation 85 3 2" xfId="41633" xr:uid="{00000000-0005-0000-0000-000098A20000}"/>
    <cellStyle name="Calculation 85 3 3" xfId="41634" xr:uid="{00000000-0005-0000-0000-000099A20000}"/>
    <cellStyle name="Calculation 85 4" xfId="41635" xr:uid="{00000000-0005-0000-0000-00009AA20000}"/>
    <cellStyle name="Calculation 85 5" xfId="41636" xr:uid="{00000000-0005-0000-0000-00009BA20000}"/>
    <cellStyle name="Calculation 86" xfId="41637" xr:uid="{00000000-0005-0000-0000-00009CA20000}"/>
    <cellStyle name="Calculation 86 2" xfId="41638" xr:uid="{00000000-0005-0000-0000-00009DA20000}"/>
    <cellStyle name="Calculation 86 2 2" xfId="41639" xr:uid="{00000000-0005-0000-0000-00009EA20000}"/>
    <cellStyle name="Calculation 86 2 2 2" xfId="41640" xr:uid="{00000000-0005-0000-0000-00009FA20000}"/>
    <cellStyle name="Calculation 86 2 3" xfId="41641" xr:uid="{00000000-0005-0000-0000-0000A0A20000}"/>
    <cellStyle name="Calculation 86 2 3 2" xfId="41642" xr:uid="{00000000-0005-0000-0000-0000A1A20000}"/>
    <cellStyle name="Calculation 86 2 3 3" xfId="41643" xr:uid="{00000000-0005-0000-0000-0000A2A20000}"/>
    <cellStyle name="Calculation 86 2 4" xfId="41644" xr:uid="{00000000-0005-0000-0000-0000A3A20000}"/>
    <cellStyle name="Calculation 86 2 5" xfId="41645" xr:uid="{00000000-0005-0000-0000-0000A4A20000}"/>
    <cellStyle name="Calculation 86 3" xfId="41646" xr:uid="{00000000-0005-0000-0000-0000A5A20000}"/>
    <cellStyle name="Calculation 86 3 2" xfId="41647" xr:uid="{00000000-0005-0000-0000-0000A6A20000}"/>
    <cellStyle name="Calculation 86 3 3" xfId="41648" xr:uid="{00000000-0005-0000-0000-0000A7A20000}"/>
    <cellStyle name="Calculation 86 4" xfId="41649" xr:uid="{00000000-0005-0000-0000-0000A8A20000}"/>
    <cellStyle name="Calculation 86 5" xfId="41650" xr:uid="{00000000-0005-0000-0000-0000A9A20000}"/>
    <cellStyle name="Calculation 87" xfId="41651" xr:uid="{00000000-0005-0000-0000-0000AAA20000}"/>
    <cellStyle name="Calculation 87 2" xfId="41652" xr:uid="{00000000-0005-0000-0000-0000ABA20000}"/>
    <cellStyle name="Calculation 87 2 2" xfId="41653" xr:uid="{00000000-0005-0000-0000-0000ACA20000}"/>
    <cellStyle name="Calculation 87 2 2 2" xfId="41654" xr:uid="{00000000-0005-0000-0000-0000ADA20000}"/>
    <cellStyle name="Calculation 87 2 3" xfId="41655" xr:uid="{00000000-0005-0000-0000-0000AEA20000}"/>
    <cellStyle name="Calculation 87 2 3 2" xfId="41656" xr:uid="{00000000-0005-0000-0000-0000AFA20000}"/>
    <cellStyle name="Calculation 87 2 3 3" xfId="41657" xr:uid="{00000000-0005-0000-0000-0000B0A20000}"/>
    <cellStyle name="Calculation 87 2 4" xfId="41658" xr:uid="{00000000-0005-0000-0000-0000B1A20000}"/>
    <cellStyle name="Calculation 87 2 5" xfId="41659" xr:uid="{00000000-0005-0000-0000-0000B2A20000}"/>
    <cellStyle name="Calculation 87 3" xfId="41660" xr:uid="{00000000-0005-0000-0000-0000B3A20000}"/>
    <cellStyle name="Calculation 87 3 2" xfId="41661" xr:uid="{00000000-0005-0000-0000-0000B4A20000}"/>
    <cellStyle name="Calculation 87 3 3" xfId="41662" xr:uid="{00000000-0005-0000-0000-0000B5A20000}"/>
    <cellStyle name="Calculation 87 4" xfId="41663" xr:uid="{00000000-0005-0000-0000-0000B6A20000}"/>
    <cellStyle name="Calculation 87 5" xfId="41664" xr:uid="{00000000-0005-0000-0000-0000B7A20000}"/>
    <cellStyle name="Calculation 88" xfId="41665" xr:uid="{00000000-0005-0000-0000-0000B8A20000}"/>
    <cellStyle name="Calculation 88 2" xfId="41666" xr:uid="{00000000-0005-0000-0000-0000B9A20000}"/>
    <cellStyle name="Calculation 88 2 2" xfId="41667" xr:uid="{00000000-0005-0000-0000-0000BAA20000}"/>
    <cellStyle name="Calculation 88 2 2 2" xfId="41668" xr:uid="{00000000-0005-0000-0000-0000BBA20000}"/>
    <cellStyle name="Calculation 88 2 3" xfId="41669" xr:uid="{00000000-0005-0000-0000-0000BCA20000}"/>
    <cellStyle name="Calculation 88 2 3 2" xfId="41670" xr:uid="{00000000-0005-0000-0000-0000BDA20000}"/>
    <cellStyle name="Calculation 88 2 3 3" xfId="41671" xr:uid="{00000000-0005-0000-0000-0000BEA20000}"/>
    <cellStyle name="Calculation 88 2 4" xfId="41672" xr:uid="{00000000-0005-0000-0000-0000BFA20000}"/>
    <cellStyle name="Calculation 88 2 5" xfId="41673" xr:uid="{00000000-0005-0000-0000-0000C0A20000}"/>
    <cellStyle name="Calculation 88 3" xfId="41674" xr:uid="{00000000-0005-0000-0000-0000C1A20000}"/>
    <cellStyle name="Calculation 88 3 2" xfId="41675" xr:uid="{00000000-0005-0000-0000-0000C2A20000}"/>
    <cellStyle name="Calculation 88 3 3" xfId="41676" xr:uid="{00000000-0005-0000-0000-0000C3A20000}"/>
    <cellStyle name="Calculation 88 4" xfId="41677" xr:uid="{00000000-0005-0000-0000-0000C4A20000}"/>
    <cellStyle name="Calculation 88 5" xfId="41678" xr:uid="{00000000-0005-0000-0000-0000C5A20000}"/>
    <cellStyle name="Calculation 89" xfId="41679" xr:uid="{00000000-0005-0000-0000-0000C6A20000}"/>
    <cellStyle name="Calculation 89 2" xfId="41680" xr:uid="{00000000-0005-0000-0000-0000C7A20000}"/>
    <cellStyle name="Calculation 89 2 2" xfId="41681" xr:uid="{00000000-0005-0000-0000-0000C8A20000}"/>
    <cellStyle name="Calculation 89 2 2 2" xfId="41682" xr:uid="{00000000-0005-0000-0000-0000C9A20000}"/>
    <cellStyle name="Calculation 89 2 3" xfId="41683" xr:uid="{00000000-0005-0000-0000-0000CAA20000}"/>
    <cellStyle name="Calculation 89 2 3 2" xfId="41684" xr:uid="{00000000-0005-0000-0000-0000CBA20000}"/>
    <cellStyle name="Calculation 89 2 3 3" xfId="41685" xr:uid="{00000000-0005-0000-0000-0000CCA20000}"/>
    <cellStyle name="Calculation 89 2 4" xfId="41686" xr:uid="{00000000-0005-0000-0000-0000CDA20000}"/>
    <cellStyle name="Calculation 89 2 5" xfId="41687" xr:uid="{00000000-0005-0000-0000-0000CEA20000}"/>
    <cellStyle name="Calculation 89 3" xfId="41688" xr:uid="{00000000-0005-0000-0000-0000CFA20000}"/>
    <cellStyle name="Calculation 89 3 2" xfId="41689" xr:uid="{00000000-0005-0000-0000-0000D0A20000}"/>
    <cellStyle name="Calculation 89 3 3" xfId="41690" xr:uid="{00000000-0005-0000-0000-0000D1A20000}"/>
    <cellStyle name="Calculation 89 4" xfId="41691" xr:uid="{00000000-0005-0000-0000-0000D2A20000}"/>
    <cellStyle name="Calculation 89 5" xfId="41692" xr:uid="{00000000-0005-0000-0000-0000D3A20000}"/>
    <cellStyle name="Calculation 9" xfId="41693" xr:uid="{00000000-0005-0000-0000-0000D4A20000}"/>
    <cellStyle name="Calculation 9 2" xfId="41694" xr:uid="{00000000-0005-0000-0000-0000D5A20000}"/>
    <cellStyle name="Calculation 9 2 2" xfId="41695" xr:uid="{00000000-0005-0000-0000-0000D6A20000}"/>
    <cellStyle name="Calculation 9 2 2 2" xfId="41696" xr:uid="{00000000-0005-0000-0000-0000D7A20000}"/>
    <cellStyle name="Calculation 9 2 3" xfId="41697" xr:uid="{00000000-0005-0000-0000-0000D8A20000}"/>
    <cellStyle name="Calculation 9 2 3 2" xfId="41698" xr:uid="{00000000-0005-0000-0000-0000D9A20000}"/>
    <cellStyle name="Calculation 9 2 3 3" xfId="41699" xr:uid="{00000000-0005-0000-0000-0000DAA20000}"/>
    <cellStyle name="Calculation 9 2 4" xfId="41700" xr:uid="{00000000-0005-0000-0000-0000DBA20000}"/>
    <cellStyle name="Calculation 9 3" xfId="41701" xr:uid="{00000000-0005-0000-0000-0000DCA20000}"/>
    <cellStyle name="Calculation 9 3 2" xfId="41702" xr:uid="{00000000-0005-0000-0000-0000DDA20000}"/>
    <cellStyle name="Calculation 9 4" xfId="41703" xr:uid="{00000000-0005-0000-0000-0000DEA20000}"/>
    <cellStyle name="Calculation 9 4 2" xfId="41704" xr:uid="{00000000-0005-0000-0000-0000DFA20000}"/>
    <cellStyle name="Calculation 9 4 3" xfId="41705" xr:uid="{00000000-0005-0000-0000-0000E0A20000}"/>
    <cellStyle name="Calculation 9 5" xfId="41706" xr:uid="{00000000-0005-0000-0000-0000E1A20000}"/>
    <cellStyle name="Calculation 9 6" xfId="41707" xr:uid="{00000000-0005-0000-0000-0000E2A20000}"/>
    <cellStyle name="Calculation 90" xfId="41708" xr:uid="{00000000-0005-0000-0000-0000E3A20000}"/>
    <cellStyle name="Calculation 90 2" xfId="41709" xr:uid="{00000000-0005-0000-0000-0000E4A20000}"/>
    <cellStyle name="Calculation 90 2 2" xfId="41710" xr:uid="{00000000-0005-0000-0000-0000E5A20000}"/>
    <cellStyle name="Calculation 90 2 2 2" xfId="41711" xr:uid="{00000000-0005-0000-0000-0000E6A20000}"/>
    <cellStyle name="Calculation 90 2 3" xfId="41712" xr:uid="{00000000-0005-0000-0000-0000E7A20000}"/>
    <cellStyle name="Calculation 90 2 3 2" xfId="41713" xr:uid="{00000000-0005-0000-0000-0000E8A20000}"/>
    <cellStyle name="Calculation 90 2 3 3" xfId="41714" xr:uid="{00000000-0005-0000-0000-0000E9A20000}"/>
    <cellStyle name="Calculation 90 2 4" xfId="41715" xr:uid="{00000000-0005-0000-0000-0000EAA20000}"/>
    <cellStyle name="Calculation 90 2 5" xfId="41716" xr:uid="{00000000-0005-0000-0000-0000EBA20000}"/>
    <cellStyle name="Calculation 90 3" xfId="41717" xr:uid="{00000000-0005-0000-0000-0000ECA20000}"/>
    <cellStyle name="Calculation 90 3 2" xfId="41718" xr:uid="{00000000-0005-0000-0000-0000EDA20000}"/>
    <cellStyle name="Calculation 90 3 3" xfId="41719" xr:uid="{00000000-0005-0000-0000-0000EEA20000}"/>
    <cellStyle name="Calculation 90 4" xfId="41720" xr:uid="{00000000-0005-0000-0000-0000EFA20000}"/>
    <cellStyle name="Calculation 90 5" xfId="41721" xr:uid="{00000000-0005-0000-0000-0000F0A20000}"/>
    <cellStyle name="Calculation 91" xfId="41722" xr:uid="{00000000-0005-0000-0000-0000F1A20000}"/>
    <cellStyle name="Calculation 91 2" xfId="41723" xr:uid="{00000000-0005-0000-0000-0000F2A20000}"/>
    <cellStyle name="Calculation 91 2 2" xfId="41724" xr:uid="{00000000-0005-0000-0000-0000F3A20000}"/>
    <cellStyle name="Calculation 91 2 2 2" xfId="41725" xr:uid="{00000000-0005-0000-0000-0000F4A20000}"/>
    <cellStyle name="Calculation 91 2 3" xfId="41726" xr:uid="{00000000-0005-0000-0000-0000F5A20000}"/>
    <cellStyle name="Calculation 91 2 3 2" xfId="41727" xr:uid="{00000000-0005-0000-0000-0000F6A20000}"/>
    <cellStyle name="Calculation 91 2 3 3" xfId="41728" xr:uid="{00000000-0005-0000-0000-0000F7A20000}"/>
    <cellStyle name="Calculation 91 2 4" xfId="41729" xr:uid="{00000000-0005-0000-0000-0000F8A20000}"/>
    <cellStyle name="Calculation 91 2 5" xfId="41730" xr:uid="{00000000-0005-0000-0000-0000F9A20000}"/>
    <cellStyle name="Calculation 91 3" xfId="41731" xr:uid="{00000000-0005-0000-0000-0000FAA20000}"/>
    <cellStyle name="Calculation 91 3 2" xfId="41732" xr:uid="{00000000-0005-0000-0000-0000FBA20000}"/>
    <cellStyle name="Calculation 91 3 3" xfId="41733" xr:uid="{00000000-0005-0000-0000-0000FCA20000}"/>
    <cellStyle name="Calculation 91 4" xfId="41734" xr:uid="{00000000-0005-0000-0000-0000FDA20000}"/>
    <cellStyle name="Calculation 91 5" xfId="41735" xr:uid="{00000000-0005-0000-0000-0000FEA20000}"/>
    <cellStyle name="Calculation 92" xfId="41736" xr:uid="{00000000-0005-0000-0000-0000FFA20000}"/>
    <cellStyle name="Calculation 92 2" xfId="41737" xr:uid="{00000000-0005-0000-0000-000000A30000}"/>
    <cellStyle name="Calculation 92 2 2" xfId="41738" xr:uid="{00000000-0005-0000-0000-000001A30000}"/>
    <cellStyle name="Calculation 92 2 2 2" xfId="41739" xr:uid="{00000000-0005-0000-0000-000002A30000}"/>
    <cellStyle name="Calculation 92 2 3" xfId="41740" xr:uid="{00000000-0005-0000-0000-000003A30000}"/>
    <cellStyle name="Calculation 92 2 3 2" xfId="41741" xr:uid="{00000000-0005-0000-0000-000004A30000}"/>
    <cellStyle name="Calculation 92 2 3 3" xfId="41742" xr:uid="{00000000-0005-0000-0000-000005A30000}"/>
    <cellStyle name="Calculation 92 2 4" xfId="41743" xr:uid="{00000000-0005-0000-0000-000006A30000}"/>
    <cellStyle name="Calculation 92 2 5" xfId="41744" xr:uid="{00000000-0005-0000-0000-000007A30000}"/>
    <cellStyle name="Calculation 92 3" xfId="41745" xr:uid="{00000000-0005-0000-0000-000008A30000}"/>
    <cellStyle name="Calculation 92 3 2" xfId="41746" xr:uid="{00000000-0005-0000-0000-000009A30000}"/>
    <cellStyle name="Calculation 92 3 3" xfId="41747" xr:uid="{00000000-0005-0000-0000-00000AA30000}"/>
    <cellStyle name="Calculation 92 4" xfId="41748" xr:uid="{00000000-0005-0000-0000-00000BA30000}"/>
    <cellStyle name="Calculation 92 5" xfId="41749" xr:uid="{00000000-0005-0000-0000-00000CA30000}"/>
    <cellStyle name="Calculation 93" xfId="41750" xr:uid="{00000000-0005-0000-0000-00000DA30000}"/>
    <cellStyle name="Calculation 93 2" xfId="41751" xr:uid="{00000000-0005-0000-0000-00000EA30000}"/>
    <cellStyle name="Calculation 93 2 2" xfId="41752" xr:uid="{00000000-0005-0000-0000-00000FA30000}"/>
    <cellStyle name="Calculation 93 2 2 2" xfId="41753" xr:uid="{00000000-0005-0000-0000-000010A30000}"/>
    <cellStyle name="Calculation 93 2 3" xfId="41754" xr:uid="{00000000-0005-0000-0000-000011A30000}"/>
    <cellStyle name="Calculation 93 2 3 2" xfId="41755" xr:uid="{00000000-0005-0000-0000-000012A30000}"/>
    <cellStyle name="Calculation 93 2 3 3" xfId="41756" xr:uid="{00000000-0005-0000-0000-000013A30000}"/>
    <cellStyle name="Calculation 93 2 4" xfId="41757" xr:uid="{00000000-0005-0000-0000-000014A30000}"/>
    <cellStyle name="Calculation 93 2 5" xfId="41758" xr:uid="{00000000-0005-0000-0000-000015A30000}"/>
    <cellStyle name="Calculation 93 3" xfId="41759" xr:uid="{00000000-0005-0000-0000-000016A30000}"/>
    <cellStyle name="Calculation 93 3 2" xfId="41760" xr:uid="{00000000-0005-0000-0000-000017A30000}"/>
    <cellStyle name="Calculation 93 3 3" xfId="41761" xr:uid="{00000000-0005-0000-0000-000018A30000}"/>
    <cellStyle name="Calculation 93 4" xfId="41762" xr:uid="{00000000-0005-0000-0000-000019A30000}"/>
    <cellStyle name="Calculation 93 5" xfId="41763" xr:uid="{00000000-0005-0000-0000-00001AA30000}"/>
    <cellStyle name="Calculation 94" xfId="41764" xr:uid="{00000000-0005-0000-0000-00001BA30000}"/>
    <cellStyle name="Calculation 94 2" xfId="41765" xr:uid="{00000000-0005-0000-0000-00001CA30000}"/>
    <cellStyle name="Calculation 94 2 2" xfId="41766" xr:uid="{00000000-0005-0000-0000-00001DA30000}"/>
    <cellStyle name="Calculation 94 2 2 2" xfId="41767" xr:uid="{00000000-0005-0000-0000-00001EA30000}"/>
    <cellStyle name="Calculation 94 2 3" xfId="41768" xr:uid="{00000000-0005-0000-0000-00001FA30000}"/>
    <cellStyle name="Calculation 94 2 3 2" xfId="41769" xr:uid="{00000000-0005-0000-0000-000020A30000}"/>
    <cellStyle name="Calculation 94 2 3 3" xfId="41770" xr:uid="{00000000-0005-0000-0000-000021A30000}"/>
    <cellStyle name="Calculation 94 2 4" xfId="41771" xr:uid="{00000000-0005-0000-0000-000022A30000}"/>
    <cellStyle name="Calculation 94 2 5" xfId="41772" xr:uid="{00000000-0005-0000-0000-000023A30000}"/>
    <cellStyle name="Calculation 94 3" xfId="41773" xr:uid="{00000000-0005-0000-0000-000024A30000}"/>
    <cellStyle name="Calculation 94 3 2" xfId="41774" xr:uid="{00000000-0005-0000-0000-000025A30000}"/>
    <cellStyle name="Calculation 94 3 3" xfId="41775" xr:uid="{00000000-0005-0000-0000-000026A30000}"/>
    <cellStyle name="Calculation 94 4" xfId="41776" xr:uid="{00000000-0005-0000-0000-000027A30000}"/>
    <cellStyle name="Calculation 94 5" xfId="41777" xr:uid="{00000000-0005-0000-0000-000028A30000}"/>
    <cellStyle name="Calculation 95" xfId="41778" xr:uid="{00000000-0005-0000-0000-000029A30000}"/>
    <cellStyle name="Calculation 95 2" xfId="41779" xr:uid="{00000000-0005-0000-0000-00002AA30000}"/>
    <cellStyle name="Calculation 95 2 2" xfId="41780" xr:uid="{00000000-0005-0000-0000-00002BA30000}"/>
    <cellStyle name="Calculation 95 2 2 2" xfId="41781" xr:uid="{00000000-0005-0000-0000-00002CA30000}"/>
    <cellStyle name="Calculation 95 2 3" xfId="41782" xr:uid="{00000000-0005-0000-0000-00002DA30000}"/>
    <cellStyle name="Calculation 95 2 3 2" xfId="41783" xr:uid="{00000000-0005-0000-0000-00002EA30000}"/>
    <cellStyle name="Calculation 95 2 3 3" xfId="41784" xr:uid="{00000000-0005-0000-0000-00002FA30000}"/>
    <cellStyle name="Calculation 95 2 4" xfId="41785" xr:uid="{00000000-0005-0000-0000-000030A30000}"/>
    <cellStyle name="Calculation 95 2 5" xfId="41786" xr:uid="{00000000-0005-0000-0000-000031A30000}"/>
    <cellStyle name="Calculation 95 3" xfId="41787" xr:uid="{00000000-0005-0000-0000-000032A30000}"/>
    <cellStyle name="Calculation 95 3 2" xfId="41788" xr:uid="{00000000-0005-0000-0000-000033A30000}"/>
    <cellStyle name="Calculation 95 3 3" xfId="41789" xr:uid="{00000000-0005-0000-0000-000034A30000}"/>
    <cellStyle name="Calculation 95 4" xfId="41790" xr:uid="{00000000-0005-0000-0000-000035A30000}"/>
    <cellStyle name="Calculation 95 5" xfId="41791" xr:uid="{00000000-0005-0000-0000-000036A30000}"/>
    <cellStyle name="Calculation 96" xfId="41792" xr:uid="{00000000-0005-0000-0000-000037A30000}"/>
    <cellStyle name="Calculation 96 2" xfId="41793" xr:uid="{00000000-0005-0000-0000-000038A30000}"/>
    <cellStyle name="Calculation 96 2 2" xfId="41794" xr:uid="{00000000-0005-0000-0000-000039A30000}"/>
    <cellStyle name="Calculation 96 2 2 2" xfId="41795" xr:uid="{00000000-0005-0000-0000-00003AA30000}"/>
    <cellStyle name="Calculation 96 2 3" xfId="41796" xr:uid="{00000000-0005-0000-0000-00003BA30000}"/>
    <cellStyle name="Calculation 96 2 3 2" xfId="41797" xr:uid="{00000000-0005-0000-0000-00003CA30000}"/>
    <cellStyle name="Calculation 96 2 3 3" xfId="41798" xr:uid="{00000000-0005-0000-0000-00003DA30000}"/>
    <cellStyle name="Calculation 96 2 4" xfId="41799" xr:uid="{00000000-0005-0000-0000-00003EA30000}"/>
    <cellStyle name="Calculation 96 2 5" xfId="41800" xr:uid="{00000000-0005-0000-0000-00003FA30000}"/>
    <cellStyle name="Calculation 96 3" xfId="41801" xr:uid="{00000000-0005-0000-0000-000040A30000}"/>
    <cellStyle name="Calculation 96 3 2" xfId="41802" xr:uid="{00000000-0005-0000-0000-000041A30000}"/>
    <cellStyle name="Calculation 96 3 3" xfId="41803" xr:uid="{00000000-0005-0000-0000-000042A30000}"/>
    <cellStyle name="Calculation 96 4" xfId="41804" xr:uid="{00000000-0005-0000-0000-000043A30000}"/>
    <cellStyle name="Calculation 96 5" xfId="41805" xr:uid="{00000000-0005-0000-0000-000044A30000}"/>
    <cellStyle name="Calculation 97" xfId="41806" xr:uid="{00000000-0005-0000-0000-000045A30000}"/>
    <cellStyle name="Calculation 97 2" xfId="41807" xr:uid="{00000000-0005-0000-0000-000046A30000}"/>
    <cellStyle name="Calculation 97 2 2" xfId="41808" xr:uid="{00000000-0005-0000-0000-000047A30000}"/>
    <cellStyle name="Calculation 97 2 2 2" xfId="41809" xr:uid="{00000000-0005-0000-0000-000048A30000}"/>
    <cellStyle name="Calculation 97 2 3" xfId="41810" xr:uid="{00000000-0005-0000-0000-000049A30000}"/>
    <cellStyle name="Calculation 97 2 3 2" xfId="41811" xr:uid="{00000000-0005-0000-0000-00004AA30000}"/>
    <cellStyle name="Calculation 97 2 3 3" xfId="41812" xr:uid="{00000000-0005-0000-0000-00004BA30000}"/>
    <cellStyle name="Calculation 97 2 4" xfId="41813" xr:uid="{00000000-0005-0000-0000-00004CA30000}"/>
    <cellStyle name="Calculation 97 2 5" xfId="41814" xr:uid="{00000000-0005-0000-0000-00004DA30000}"/>
    <cellStyle name="Calculation 97 3" xfId="41815" xr:uid="{00000000-0005-0000-0000-00004EA30000}"/>
    <cellStyle name="Calculation 97 3 2" xfId="41816" xr:uid="{00000000-0005-0000-0000-00004FA30000}"/>
    <cellStyle name="Calculation 97 3 3" xfId="41817" xr:uid="{00000000-0005-0000-0000-000050A30000}"/>
    <cellStyle name="Calculation 97 4" xfId="41818" xr:uid="{00000000-0005-0000-0000-000051A30000}"/>
    <cellStyle name="Calculation 97 5" xfId="41819" xr:uid="{00000000-0005-0000-0000-000052A30000}"/>
    <cellStyle name="Calculation 98" xfId="41820" xr:uid="{00000000-0005-0000-0000-000053A30000}"/>
    <cellStyle name="Calculation 98 2" xfId="41821" xr:uid="{00000000-0005-0000-0000-000054A30000}"/>
    <cellStyle name="Calculation 98 2 2" xfId="41822" xr:uid="{00000000-0005-0000-0000-000055A30000}"/>
    <cellStyle name="Calculation 98 2 2 2" xfId="41823" xr:uid="{00000000-0005-0000-0000-000056A30000}"/>
    <cellStyle name="Calculation 98 2 3" xfId="41824" xr:uid="{00000000-0005-0000-0000-000057A30000}"/>
    <cellStyle name="Calculation 98 2 3 2" xfId="41825" xr:uid="{00000000-0005-0000-0000-000058A30000}"/>
    <cellStyle name="Calculation 98 2 3 3" xfId="41826" xr:uid="{00000000-0005-0000-0000-000059A30000}"/>
    <cellStyle name="Calculation 98 2 4" xfId="41827" xr:uid="{00000000-0005-0000-0000-00005AA30000}"/>
    <cellStyle name="Calculation 98 2 5" xfId="41828" xr:uid="{00000000-0005-0000-0000-00005BA30000}"/>
    <cellStyle name="Calculation 98 3" xfId="41829" xr:uid="{00000000-0005-0000-0000-00005CA30000}"/>
    <cellStyle name="Calculation 98 3 2" xfId="41830" xr:uid="{00000000-0005-0000-0000-00005DA30000}"/>
    <cellStyle name="Calculation 98 3 3" xfId="41831" xr:uid="{00000000-0005-0000-0000-00005EA30000}"/>
    <cellStyle name="Calculation 98 4" xfId="41832" xr:uid="{00000000-0005-0000-0000-00005FA30000}"/>
    <cellStyle name="Calculation 98 5" xfId="41833" xr:uid="{00000000-0005-0000-0000-000060A30000}"/>
    <cellStyle name="Calculation 99" xfId="41834" xr:uid="{00000000-0005-0000-0000-000061A30000}"/>
    <cellStyle name="Calculation 99 2" xfId="41835" xr:uid="{00000000-0005-0000-0000-000062A30000}"/>
    <cellStyle name="Calculation 99 2 2" xfId="41836" xr:uid="{00000000-0005-0000-0000-000063A30000}"/>
    <cellStyle name="Calculation 99 2 2 2" xfId="41837" xr:uid="{00000000-0005-0000-0000-000064A30000}"/>
    <cellStyle name="Calculation 99 2 3" xfId="41838" xr:uid="{00000000-0005-0000-0000-000065A30000}"/>
    <cellStyle name="Calculation 99 2 3 2" xfId="41839" xr:uid="{00000000-0005-0000-0000-000066A30000}"/>
    <cellStyle name="Calculation 99 2 3 3" xfId="41840" xr:uid="{00000000-0005-0000-0000-000067A30000}"/>
    <cellStyle name="Calculation 99 2 4" xfId="41841" xr:uid="{00000000-0005-0000-0000-000068A30000}"/>
    <cellStyle name="Calculation 99 2 5" xfId="41842" xr:uid="{00000000-0005-0000-0000-000069A30000}"/>
    <cellStyle name="Calculation 99 3" xfId="41843" xr:uid="{00000000-0005-0000-0000-00006AA30000}"/>
    <cellStyle name="Calculation 99 3 2" xfId="41844" xr:uid="{00000000-0005-0000-0000-00006BA30000}"/>
    <cellStyle name="Calculation 99 3 3" xfId="41845" xr:uid="{00000000-0005-0000-0000-00006CA30000}"/>
    <cellStyle name="Calculation 99 4" xfId="41846" xr:uid="{00000000-0005-0000-0000-00006DA30000}"/>
    <cellStyle name="Calculation 99 5" xfId="41847" xr:uid="{00000000-0005-0000-0000-00006EA30000}"/>
    <cellStyle name="Calculations" xfId="41848" xr:uid="{00000000-0005-0000-0000-00006FA30000}"/>
    <cellStyle name="Calculations 2" xfId="41849" xr:uid="{00000000-0005-0000-0000-000070A30000}"/>
    <cellStyle name="Cálculo 2" xfId="41850" xr:uid="{00000000-0005-0000-0000-000071A30000}"/>
    <cellStyle name="Cálculo 2 2" xfId="41851" xr:uid="{00000000-0005-0000-0000-000072A30000}"/>
    <cellStyle name="Cálculo 2 2 2" xfId="41852" xr:uid="{00000000-0005-0000-0000-000073A30000}"/>
    <cellStyle name="Cálculo 2 3" xfId="41853" xr:uid="{00000000-0005-0000-0000-000074A30000}"/>
    <cellStyle name="Cálculo 2 3 2" xfId="41854" xr:uid="{00000000-0005-0000-0000-000075A30000}"/>
    <cellStyle name="Cálculo 2 3 3" xfId="41855" xr:uid="{00000000-0005-0000-0000-000076A30000}"/>
    <cellStyle name="Cálculo 2 4" xfId="41856" xr:uid="{00000000-0005-0000-0000-000077A30000}"/>
    <cellStyle name="Cálculo 2 5" xfId="41857" xr:uid="{00000000-0005-0000-0000-000078A30000}"/>
    <cellStyle name="Cálculo 3" xfId="41858" xr:uid="{00000000-0005-0000-0000-000079A30000}"/>
    <cellStyle name="Cálculo 3 2" xfId="41859" xr:uid="{00000000-0005-0000-0000-00007AA30000}"/>
    <cellStyle name="Cálculo 4" xfId="41860" xr:uid="{00000000-0005-0000-0000-00007BA30000}"/>
    <cellStyle name="Cálculo 4 2" xfId="41861" xr:uid="{00000000-0005-0000-0000-00007CA30000}"/>
    <cellStyle name="Cálculo 4 3" xfId="41862" xr:uid="{00000000-0005-0000-0000-00007DA30000}"/>
    <cellStyle name="Cálculo 5" xfId="41863" xr:uid="{00000000-0005-0000-0000-00007EA30000}"/>
    <cellStyle name="Cálculo 6" xfId="41864" xr:uid="{00000000-0005-0000-0000-00007FA30000}"/>
    <cellStyle name="Canada" xfId="41865" xr:uid="{00000000-0005-0000-0000-000080A30000}"/>
    <cellStyle name="Cancel" xfId="41866" xr:uid="{00000000-0005-0000-0000-000081A30000}"/>
    <cellStyle name="Cancel 2" xfId="41867" xr:uid="{00000000-0005-0000-0000-000082A30000}"/>
    <cellStyle name="Cancel 2 2" xfId="41868" xr:uid="{00000000-0005-0000-0000-000083A30000}"/>
    <cellStyle name="Cancel 2 2 2" xfId="41869" xr:uid="{00000000-0005-0000-0000-000084A30000}"/>
    <cellStyle name="Cancel 2 3" xfId="41870" xr:uid="{00000000-0005-0000-0000-000085A30000}"/>
    <cellStyle name="Cancel 2 3 2" xfId="41871" xr:uid="{00000000-0005-0000-0000-000086A30000}"/>
    <cellStyle name="Cancel 2 4" xfId="41872" xr:uid="{00000000-0005-0000-0000-000087A30000}"/>
    <cellStyle name="Cancel 2 4 2" xfId="41873" xr:uid="{00000000-0005-0000-0000-000088A30000}"/>
    <cellStyle name="Cancel 2 5" xfId="41874" xr:uid="{00000000-0005-0000-0000-000089A30000}"/>
    <cellStyle name="Cancel 3" xfId="41875" xr:uid="{00000000-0005-0000-0000-00008AA30000}"/>
    <cellStyle name="Cancel 3 2" xfId="41876" xr:uid="{00000000-0005-0000-0000-00008BA30000}"/>
    <cellStyle name="Cancel 4" xfId="41877" xr:uid="{00000000-0005-0000-0000-00008CA30000}"/>
    <cellStyle name="Cancel 4 2" xfId="41878" xr:uid="{00000000-0005-0000-0000-00008DA30000}"/>
    <cellStyle name="Cancel 5" xfId="41879" xr:uid="{00000000-0005-0000-0000-00008EA30000}"/>
    <cellStyle name="Cancel 5 2" xfId="41880" xr:uid="{00000000-0005-0000-0000-00008FA30000}"/>
    <cellStyle name="Cancel 6" xfId="41881" xr:uid="{00000000-0005-0000-0000-000090A30000}"/>
    <cellStyle name="Cancel 6 2" xfId="41882" xr:uid="{00000000-0005-0000-0000-000091A30000}"/>
    <cellStyle name="Cancel 7" xfId="41883" xr:uid="{00000000-0005-0000-0000-000092A30000}"/>
    <cellStyle name="čárky_Global ZBB" xfId="41884" xr:uid="{00000000-0005-0000-0000-000093A30000}"/>
    <cellStyle name="Case" xfId="41885" xr:uid="{00000000-0005-0000-0000-000094A30000}"/>
    <cellStyle name="Case 2" xfId="41886" xr:uid="{00000000-0005-0000-0000-000095A30000}"/>
    <cellStyle name="Case 2 2" xfId="41887" xr:uid="{00000000-0005-0000-0000-000096A30000}"/>
    <cellStyle name="Case 3" xfId="41888" xr:uid="{00000000-0005-0000-0000-000097A30000}"/>
    <cellStyle name="Celda de comprobación" xfId="41889" xr:uid="{00000000-0005-0000-0000-000098A30000}"/>
    <cellStyle name="Celda de comprobación 2" xfId="41890" xr:uid="{00000000-0005-0000-0000-000099A30000}"/>
    <cellStyle name="Celda de comprobación 2 2" xfId="41891" xr:uid="{00000000-0005-0000-0000-00009AA30000}"/>
    <cellStyle name="Celda de comprobación 3" xfId="41892" xr:uid="{00000000-0005-0000-0000-00009BA30000}"/>
    <cellStyle name="Celda vinculada" xfId="41893" xr:uid="{00000000-0005-0000-0000-00009CA30000}"/>
    <cellStyle name="Celda vinculada 2" xfId="41894" xr:uid="{00000000-0005-0000-0000-00009DA30000}"/>
    <cellStyle name="Celda vinculada 2 2" xfId="41895" xr:uid="{00000000-0005-0000-0000-00009EA30000}"/>
    <cellStyle name="Celda vinculada 3" xfId="41896" xr:uid="{00000000-0005-0000-0000-00009FA30000}"/>
    <cellStyle name="Cellule liée" xfId="41897" xr:uid="{00000000-0005-0000-0000-0000A0A30000}"/>
    <cellStyle name="Cellule liée 2" xfId="41898" xr:uid="{00000000-0005-0000-0000-0000A1A30000}"/>
    <cellStyle name="Cellule liée 2 2" xfId="41899" xr:uid="{00000000-0005-0000-0000-0000A2A30000}"/>
    <cellStyle name="Cellule liée 3" xfId="41900" xr:uid="{00000000-0005-0000-0000-0000A3A30000}"/>
    <cellStyle name="Célula de Verificação 2" xfId="41901" xr:uid="{00000000-0005-0000-0000-0000A4A30000}"/>
    <cellStyle name="Célula de Verificação 2 2" xfId="41902" xr:uid="{00000000-0005-0000-0000-0000A5A30000}"/>
    <cellStyle name="Célula de Verificação 3" xfId="41903" xr:uid="{00000000-0005-0000-0000-0000A6A30000}"/>
    <cellStyle name="Célula Vinculada 2" xfId="41904" xr:uid="{00000000-0005-0000-0000-0000A7A30000}"/>
    <cellStyle name="Célula Vinculada 2 2" xfId="41905" xr:uid="{00000000-0005-0000-0000-0000A8A30000}"/>
    <cellStyle name="Célula Vinculada 3" xfId="41906" xr:uid="{00000000-0005-0000-0000-0000A9A30000}"/>
    <cellStyle name="Center Across" xfId="41907" xr:uid="{00000000-0005-0000-0000-0000AAA30000}"/>
    <cellStyle name="Center Across 2" xfId="41908" xr:uid="{00000000-0005-0000-0000-0000ABA30000}"/>
    <cellStyle name="Center Across 2 2" xfId="41909" xr:uid="{00000000-0005-0000-0000-0000ACA30000}"/>
    <cellStyle name="Center Across 2 2 2" xfId="41910" xr:uid="{00000000-0005-0000-0000-0000ADA30000}"/>
    <cellStyle name="Center Across 2 3" xfId="41911" xr:uid="{00000000-0005-0000-0000-0000AEA30000}"/>
    <cellStyle name="Center Across 3" xfId="41912" xr:uid="{00000000-0005-0000-0000-0000AFA30000}"/>
    <cellStyle name="Center Across 3 2" xfId="41913" xr:uid="{00000000-0005-0000-0000-0000B0A30000}"/>
    <cellStyle name="Center Across 4" xfId="41914" xr:uid="{00000000-0005-0000-0000-0000B1A30000}"/>
    <cellStyle name="Centered Heading" xfId="41915" xr:uid="{00000000-0005-0000-0000-0000B2A30000}"/>
    <cellStyle name="Centered Heading 2" xfId="41916" xr:uid="{00000000-0005-0000-0000-0000B3A30000}"/>
    <cellStyle name="Centered Heading 2 2" xfId="41917" xr:uid="{00000000-0005-0000-0000-0000B4A30000}"/>
    <cellStyle name="Centered Heading 3" xfId="41918" xr:uid="{00000000-0005-0000-0000-0000B5A30000}"/>
    <cellStyle name="Changeable" xfId="41919" xr:uid="{00000000-0005-0000-0000-0000B6A30000}"/>
    <cellStyle name="Check" xfId="41920" xr:uid="{00000000-0005-0000-0000-0000B7A30000}"/>
    <cellStyle name="Check 2" xfId="41921" xr:uid="{00000000-0005-0000-0000-0000B8A30000}"/>
    <cellStyle name="Check 2 2" xfId="41922" xr:uid="{00000000-0005-0000-0000-0000B9A30000}"/>
    <cellStyle name="Check 2 2 2" xfId="41923" xr:uid="{00000000-0005-0000-0000-0000BAA30000}"/>
    <cellStyle name="Check 2 3" xfId="41924" xr:uid="{00000000-0005-0000-0000-0000BBA30000}"/>
    <cellStyle name="Check 3" xfId="41925" xr:uid="{00000000-0005-0000-0000-0000BCA30000}"/>
    <cellStyle name="Check 3 2" xfId="41926" xr:uid="{00000000-0005-0000-0000-0000BDA30000}"/>
    <cellStyle name="Check 4" xfId="41927" xr:uid="{00000000-0005-0000-0000-0000BEA30000}"/>
    <cellStyle name="Check Cell 10" xfId="41928" xr:uid="{00000000-0005-0000-0000-0000BFA30000}"/>
    <cellStyle name="Check Cell 10 2" xfId="41929" xr:uid="{00000000-0005-0000-0000-0000C0A30000}"/>
    <cellStyle name="Check Cell 10 2 2" xfId="41930" xr:uid="{00000000-0005-0000-0000-0000C1A30000}"/>
    <cellStyle name="Check Cell 10 3" xfId="41931" xr:uid="{00000000-0005-0000-0000-0000C2A30000}"/>
    <cellStyle name="Check Cell 100" xfId="41932" xr:uid="{00000000-0005-0000-0000-0000C3A30000}"/>
    <cellStyle name="Check Cell 100 2" xfId="41933" xr:uid="{00000000-0005-0000-0000-0000C4A30000}"/>
    <cellStyle name="Check Cell 100 2 2" xfId="41934" xr:uid="{00000000-0005-0000-0000-0000C5A30000}"/>
    <cellStyle name="Check Cell 100 3" xfId="41935" xr:uid="{00000000-0005-0000-0000-0000C6A30000}"/>
    <cellStyle name="Check Cell 101" xfId="41936" xr:uid="{00000000-0005-0000-0000-0000C7A30000}"/>
    <cellStyle name="Check Cell 101 2" xfId="41937" xr:uid="{00000000-0005-0000-0000-0000C8A30000}"/>
    <cellStyle name="Check Cell 101 2 2" xfId="41938" xr:uid="{00000000-0005-0000-0000-0000C9A30000}"/>
    <cellStyle name="Check Cell 101 3" xfId="41939" xr:uid="{00000000-0005-0000-0000-0000CAA30000}"/>
    <cellStyle name="Check Cell 102" xfId="41940" xr:uid="{00000000-0005-0000-0000-0000CBA30000}"/>
    <cellStyle name="Check Cell 102 2" xfId="41941" xr:uid="{00000000-0005-0000-0000-0000CCA30000}"/>
    <cellStyle name="Check Cell 102 2 2" xfId="41942" xr:uid="{00000000-0005-0000-0000-0000CDA30000}"/>
    <cellStyle name="Check Cell 102 3" xfId="41943" xr:uid="{00000000-0005-0000-0000-0000CEA30000}"/>
    <cellStyle name="Check Cell 103" xfId="41944" xr:uid="{00000000-0005-0000-0000-0000CFA30000}"/>
    <cellStyle name="Check Cell 103 2" xfId="41945" xr:uid="{00000000-0005-0000-0000-0000D0A30000}"/>
    <cellStyle name="Check Cell 103 2 2" xfId="41946" xr:uid="{00000000-0005-0000-0000-0000D1A30000}"/>
    <cellStyle name="Check Cell 103 3" xfId="41947" xr:uid="{00000000-0005-0000-0000-0000D2A30000}"/>
    <cellStyle name="Check Cell 104" xfId="41948" xr:uid="{00000000-0005-0000-0000-0000D3A30000}"/>
    <cellStyle name="Check Cell 104 2" xfId="41949" xr:uid="{00000000-0005-0000-0000-0000D4A30000}"/>
    <cellStyle name="Check Cell 104 2 2" xfId="41950" xr:uid="{00000000-0005-0000-0000-0000D5A30000}"/>
    <cellStyle name="Check Cell 104 3" xfId="41951" xr:uid="{00000000-0005-0000-0000-0000D6A30000}"/>
    <cellStyle name="Check Cell 105" xfId="41952" xr:uid="{00000000-0005-0000-0000-0000D7A30000}"/>
    <cellStyle name="Check Cell 105 2" xfId="41953" xr:uid="{00000000-0005-0000-0000-0000D8A30000}"/>
    <cellStyle name="Check Cell 105 2 2" xfId="41954" xr:uid="{00000000-0005-0000-0000-0000D9A30000}"/>
    <cellStyle name="Check Cell 105 3" xfId="41955" xr:uid="{00000000-0005-0000-0000-0000DAA30000}"/>
    <cellStyle name="Check Cell 106" xfId="41956" xr:uid="{00000000-0005-0000-0000-0000DBA30000}"/>
    <cellStyle name="Check Cell 106 2" xfId="41957" xr:uid="{00000000-0005-0000-0000-0000DCA30000}"/>
    <cellStyle name="Check Cell 106 2 2" xfId="41958" xr:uid="{00000000-0005-0000-0000-0000DDA30000}"/>
    <cellStyle name="Check Cell 106 3" xfId="41959" xr:uid="{00000000-0005-0000-0000-0000DEA30000}"/>
    <cellStyle name="Check Cell 107" xfId="41960" xr:uid="{00000000-0005-0000-0000-0000DFA30000}"/>
    <cellStyle name="Check Cell 107 2" xfId="41961" xr:uid="{00000000-0005-0000-0000-0000E0A30000}"/>
    <cellStyle name="Check Cell 107 2 2" xfId="41962" xr:uid="{00000000-0005-0000-0000-0000E1A30000}"/>
    <cellStyle name="Check Cell 107 3" xfId="41963" xr:uid="{00000000-0005-0000-0000-0000E2A30000}"/>
    <cellStyle name="Check Cell 108" xfId="41964" xr:uid="{00000000-0005-0000-0000-0000E3A30000}"/>
    <cellStyle name="Check Cell 108 2" xfId="41965" xr:uid="{00000000-0005-0000-0000-0000E4A30000}"/>
    <cellStyle name="Check Cell 108 2 2" xfId="41966" xr:uid="{00000000-0005-0000-0000-0000E5A30000}"/>
    <cellStyle name="Check Cell 108 3" xfId="41967" xr:uid="{00000000-0005-0000-0000-0000E6A30000}"/>
    <cellStyle name="Check Cell 109" xfId="41968" xr:uid="{00000000-0005-0000-0000-0000E7A30000}"/>
    <cellStyle name="Check Cell 109 2" xfId="41969" xr:uid="{00000000-0005-0000-0000-0000E8A30000}"/>
    <cellStyle name="Check Cell 109 2 2" xfId="41970" xr:uid="{00000000-0005-0000-0000-0000E9A30000}"/>
    <cellStyle name="Check Cell 109 3" xfId="41971" xr:uid="{00000000-0005-0000-0000-0000EAA30000}"/>
    <cellStyle name="Check Cell 11" xfId="41972" xr:uid="{00000000-0005-0000-0000-0000EBA30000}"/>
    <cellStyle name="Check Cell 11 2" xfId="41973" xr:uid="{00000000-0005-0000-0000-0000ECA30000}"/>
    <cellStyle name="Check Cell 11 2 2" xfId="41974" xr:uid="{00000000-0005-0000-0000-0000EDA30000}"/>
    <cellStyle name="Check Cell 11 3" xfId="41975" xr:uid="{00000000-0005-0000-0000-0000EEA30000}"/>
    <cellStyle name="Check Cell 110" xfId="41976" xr:uid="{00000000-0005-0000-0000-0000EFA30000}"/>
    <cellStyle name="Check Cell 110 2" xfId="41977" xr:uid="{00000000-0005-0000-0000-0000F0A30000}"/>
    <cellStyle name="Check Cell 110 2 2" xfId="41978" xr:uid="{00000000-0005-0000-0000-0000F1A30000}"/>
    <cellStyle name="Check Cell 110 3" xfId="41979" xr:uid="{00000000-0005-0000-0000-0000F2A30000}"/>
    <cellStyle name="Check Cell 111" xfId="41980" xr:uid="{00000000-0005-0000-0000-0000F3A30000}"/>
    <cellStyle name="Check Cell 111 2" xfId="41981" xr:uid="{00000000-0005-0000-0000-0000F4A30000}"/>
    <cellStyle name="Check Cell 111 2 2" xfId="41982" xr:uid="{00000000-0005-0000-0000-0000F5A30000}"/>
    <cellStyle name="Check Cell 111 3" xfId="41983" xr:uid="{00000000-0005-0000-0000-0000F6A30000}"/>
    <cellStyle name="Check Cell 112" xfId="41984" xr:uid="{00000000-0005-0000-0000-0000F7A30000}"/>
    <cellStyle name="Check Cell 112 2" xfId="41985" xr:uid="{00000000-0005-0000-0000-0000F8A30000}"/>
    <cellStyle name="Check Cell 112 2 2" xfId="41986" xr:uid="{00000000-0005-0000-0000-0000F9A30000}"/>
    <cellStyle name="Check Cell 112 3" xfId="41987" xr:uid="{00000000-0005-0000-0000-0000FAA30000}"/>
    <cellStyle name="Check Cell 113" xfId="41988" xr:uid="{00000000-0005-0000-0000-0000FBA30000}"/>
    <cellStyle name="Check Cell 113 2" xfId="41989" xr:uid="{00000000-0005-0000-0000-0000FCA30000}"/>
    <cellStyle name="Check Cell 113 2 2" xfId="41990" xr:uid="{00000000-0005-0000-0000-0000FDA30000}"/>
    <cellStyle name="Check Cell 113 3" xfId="41991" xr:uid="{00000000-0005-0000-0000-0000FEA30000}"/>
    <cellStyle name="Check Cell 114" xfId="41992" xr:uid="{00000000-0005-0000-0000-0000FFA30000}"/>
    <cellStyle name="Check Cell 114 2" xfId="41993" xr:uid="{00000000-0005-0000-0000-000000A40000}"/>
    <cellStyle name="Check Cell 114 2 2" xfId="41994" xr:uid="{00000000-0005-0000-0000-000001A40000}"/>
    <cellStyle name="Check Cell 114 3" xfId="41995" xr:uid="{00000000-0005-0000-0000-000002A40000}"/>
    <cellStyle name="Check Cell 115" xfId="41996" xr:uid="{00000000-0005-0000-0000-000003A40000}"/>
    <cellStyle name="Check Cell 115 2" xfId="41997" xr:uid="{00000000-0005-0000-0000-000004A40000}"/>
    <cellStyle name="Check Cell 115 2 2" xfId="41998" xr:uid="{00000000-0005-0000-0000-000005A40000}"/>
    <cellStyle name="Check Cell 115 3" xfId="41999" xr:uid="{00000000-0005-0000-0000-000006A40000}"/>
    <cellStyle name="Check Cell 116" xfId="42000" xr:uid="{00000000-0005-0000-0000-000007A40000}"/>
    <cellStyle name="Check Cell 116 2" xfId="42001" xr:uid="{00000000-0005-0000-0000-000008A40000}"/>
    <cellStyle name="Check Cell 116 2 2" xfId="42002" xr:uid="{00000000-0005-0000-0000-000009A40000}"/>
    <cellStyle name="Check Cell 116 3" xfId="42003" xr:uid="{00000000-0005-0000-0000-00000AA40000}"/>
    <cellStyle name="Check Cell 117" xfId="42004" xr:uid="{00000000-0005-0000-0000-00000BA40000}"/>
    <cellStyle name="Check Cell 117 2" xfId="42005" xr:uid="{00000000-0005-0000-0000-00000CA40000}"/>
    <cellStyle name="Check Cell 117 2 2" xfId="42006" xr:uid="{00000000-0005-0000-0000-00000DA40000}"/>
    <cellStyle name="Check Cell 117 3" xfId="42007" xr:uid="{00000000-0005-0000-0000-00000EA40000}"/>
    <cellStyle name="Check Cell 118" xfId="42008" xr:uid="{00000000-0005-0000-0000-00000FA40000}"/>
    <cellStyle name="Check Cell 118 2" xfId="42009" xr:uid="{00000000-0005-0000-0000-000010A40000}"/>
    <cellStyle name="Check Cell 118 2 2" xfId="42010" xr:uid="{00000000-0005-0000-0000-000011A40000}"/>
    <cellStyle name="Check Cell 118 3" xfId="42011" xr:uid="{00000000-0005-0000-0000-000012A40000}"/>
    <cellStyle name="Check Cell 119" xfId="42012" xr:uid="{00000000-0005-0000-0000-000013A40000}"/>
    <cellStyle name="Check Cell 119 2" xfId="42013" xr:uid="{00000000-0005-0000-0000-000014A40000}"/>
    <cellStyle name="Check Cell 119 2 2" xfId="42014" xr:uid="{00000000-0005-0000-0000-000015A40000}"/>
    <cellStyle name="Check Cell 119 3" xfId="42015" xr:uid="{00000000-0005-0000-0000-000016A40000}"/>
    <cellStyle name="Check Cell 12" xfId="42016" xr:uid="{00000000-0005-0000-0000-000017A40000}"/>
    <cellStyle name="Check Cell 12 2" xfId="42017" xr:uid="{00000000-0005-0000-0000-000018A40000}"/>
    <cellStyle name="Check Cell 12 2 2" xfId="42018" xr:uid="{00000000-0005-0000-0000-000019A40000}"/>
    <cellStyle name="Check Cell 12 3" xfId="42019" xr:uid="{00000000-0005-0000-0000-00001AA40000}"/>
    <cellStyle name="Check Cell 120" xfId="42020" xr:uid="{00000000-0005-0000-0000-00001BA40000}"/>
    <cellStyle name="Check Cell 120 2" xfId="42021" xr:uid="{00000000-0005-0000-0000-00001CA40000}"/>
    <cellStyle name="Check Cell 120 2 2" xfId="42022" xr:uid="{00000000-0005-0000-0000-00001DA40000}"/>
    <cellStyle name="Check Cell 120 3" xfId="42023" xr:uid="{00000000-0005-0000-0000-00001EA40000}"/>
    <cellStyle name="Check Cell 121" xfId="42024" xr:uid="{00000000-0005-0000-0000-00001FA40000}"/>
    <cellStyle name="Check Cell 121 2" xfId="42025" xr:uid="{00000000-0005-0000-0000-000020A40000}"/>
    <cellStyle name="Check Cell 121 2 2" xfId="42026" xr:uid="{00000000-0005-0000-0000-000021A40000}"/>
    <cellStyle name="Check Cell 121 3" xfId="42027" xr:uid="{00000000-0005-0000-0000-000022A40000}"/>
    <cellStyle name="Check Cell 122" xfId="42028" xr:uid="{00000000-0005-0000-0000-000023A40000}"/>
    <cellStyle name="Check Cell 122 2" xfId="42029" xr:uid="{00000000-0005-0000-0000-000024A40000}"/>
    <cellStyle name="Check Cell 122 2 2" xfId="42030" xr:uid="{00000000-0005-0000-0000-000025A40000}"/>
    <cellStyle name="Check Cell 122 3" xfId="42031" xr:uid="{00000000-0005-0000-0000-000026A40000}"/>
    <cellStyle name="Check Cell 123" xfId="42032" xr:uid="{00000000-0005-0000-0000-000027A40000}"/>
    <cellStyle name="Check Cell 123 2" xfId="42033" xr:uid="{00000000-0005-0000-0000-000028A40000}"/>
    <cellStyle name="Check Cell 123 2 2" xfId="42034" xr:uid="{00000000-0005-0000-0000-000029A40000}"/>
    <cellStyle name="Check Cell 123 3" xfId="42035" xr:uid="{00000000-0005-0000-0000-00002AA40000}"/>
    <cellStyle name="Check Cell 124" xfId="42036" xr:uid="{00000000-0005-0000-0000-00002BA40000}"/>
    <cellStyle name="Check Cell 124 2" xfId="42037" xr:uid="{00000000-0005-0000-0000-00002CA40000}"/>
    <cellStyle name="Check Cell 124 2 2" xfId="42038" xr:uid="{00000000-0005-0000-0000-00002DA40000}"/>
    <cellStyle name="Check Cell 124 3" xfId="42039" xr:uid="{00000000-0005-0000-0000-00002EA40000}"/>
    <cellStyle name="Check Cell 125" xfId="42040" xr:uid="{00000000-0005-0000-0000-00002FA40000}"/>
    <cellStyle name="Check Cell 125 2" xfId="42041" xr:uid="{00000000-0005-0000-0000-000030A40000}"/>
    <cellStyle name="Check Cell 125 2 2" xfId="42042" xr:uid="{00000000-0005-0000-0000-000031A40000}"/>
    <cellStyle name="Check Cell 125 3" xfId="42043" xr:uid="{00000000-0005-0000-0000-000032A40000}"/>
    <cellStyle name="Check Cell 126" xfId="42044" xr:uid="{00000000-0005-0000-0000-000033A40000}"/>
    <cellStyle name="Check Cell 126 2" xfId="42045" xr:uid="{00000000-0005-0000-0000-000034A40000}"/>
    <cellStyle name="Check Cell 126 2 2" xfId="42046" xr:uid="{00000000-0005-0000-0000-000035A40000}"/>
    <cellStyle name="Check Cell 126 3" xfId="42047" xr:uid="{00000000-0005-0000-0000-000036A40000}"/>
    <cellStyle name="Check Cell 127" xfId="42048" xr:uid="{00000000-0005-0000-0000-000037A40000}"/>
    <cellStyle name="Check Cell 127 2" xfId="42049" xr:uid="{00000000-0005-0000-0000-000038A40000}"/>
    <cellStyle name="Check Cell 127 2 2" xfId="42050" xr:uid="{00000000-0005-0000-0000-000039A40000}"/>
    <cellStyle name="Check Cell 127 3" xfId="42051" xr:uid="{00000000-0005-0000-0000-00003AA40000}"/>
    <cellStyle name="Check Cell 128" xfId="42052" xr:uid="{00000000-0005-0000-0000-00003BA40000}"/>
    <cellStyle name="Check Cell 128 2" xfId="42053" xr:uid="{00000000-0005-0000-0000-00003CA40000}"/>
    <cellStyle name="Check Cell 128 2 2" xfId="42054" xr:uid="{00000000-0005-0000-0000-00003DA40000}"/>
    <cellStyle name="Check Cell 128 3" xfId="42055" xr:uid="{00000000-0005-0000-0000-00003EA40000}"/>
    <cellStyle name="Check Cell 129" xfId="42056" xr:uid="{00000000-0005-0000-0000-00003FA40000}"/>
    <cellStyle name="Check Cell 129 2" xfId="42057" xr:uid="{00000000-0005-0000-0000-000040A40000}"/>
    <cellStyle name="Check Cell 129 2 2" xfId="42058" xr:uid="{00000000-0005-0000-0000-000041A40000}"/>
    <cellStyle name="Check Cell 129 3" xfId="42059" xr:uid="{00000000-0005-0000-0000-000042A40000}"/>
    <cellStyle name="Check Cell 13" xfId="42060" xr:uid="{00000000-0005-0000-0000-000043A40000}"/>
    <cellStyle name="Check Cell 13 2" xfId="42061" xr:uid="{00000000-0005-0000-0000-000044A40000}"/>
    <cellStyle name="Check Cell 13 2 2" xfId="42062" xr:uid="{00000000-0005-0000-0000-000045A40000}"/>
    <cellStyle name="Check Cell 13 3" xfId="42063" xr:uid="{00000000-0005-0000-0000-000046A40000}"/>
    <cellStyle name="Check Cell 130" xfId="42064" xr:uid="{00000000-0005-0000-0000-000047A40000}"/>
    <cellStyle name="Check Cell 130 2" xfId="42065" xr:uid="{00000000-0005-0000-0000-000048A40000}"/>
    <cellStyle name="Check Cell 130 2 2" xfId="42066" xr:uid="{00000000-0005-0000-0000-000049A40000}"/>
    <cellStyle name="Check Cell 130 3" xfId="42067" xr:uid="{00000000-0005-0000-0000-00004AA40000}"/>
    <cellStyle name="Check Cell 131" xfId="42068" xr:uid="{00000000-0005-0000-0000-00004BA40000}"/>
    <cellStyle name="Check Cell 131 2" xfId="42069" xr:uid="{00000000-0005-0000-0000-00004CA40000}"/>
    <cellStyle name="Check Cell 131 2 2" xfId="42070" xr:uid="{00000000-0005-0000-0000-00004DA40000}"/>
    <cellStyle name="Check Cell 131 3" xfId="42071" xr:uid="{00000000-0005-0000-0000-00004EA40000}"/>
    <cellStyle name="Check Cell 132" xfId="42072" xr:uid="{00000000-0005-0000-0000-00004FA40000}"/>
    <cellStyle name="Check Cell 132 2" xfId="42073" xr:uid="{00000000-0005-0000-0000-000050A40000}"/>
    <cellStyle name="Check Cell 132 2 2" xfId="42074" xr:uid="{00000000-0005-0000-0000-000051A40000}"/>
    <cellStyle name="Check Cell 132 3" xfId="42075" xr:uid="{00000000-0005-0000-0000-000052A40000}"/>
    <cellStyle name="Check Cell 133" xfId="42076" xr:uid="{00000000-0005-0000-0000-000053A40000}"/>
    <cellStyle name="Check Cell 133 2" xfId="42077" xr:uid="{00000000-0005-0000-0000-000054A40000}"/>
    <cellStyle name="Check Cell 133 2 2" xfId="42078" xr:uid="{00000000-0005-0000-0000-000055A40000}"/>
    <cellStyle name="Check Cell 133 3" xfId="42079" xr:uid="{00000000-0005-0000-0000-000056A40000}"/>
    <cellStyle name="Check Cell 134" xfId="42080" xr:uid="{00000000-0005-0000-0000-000057A40000}"/>
    <cellStyle name="Check Cell 134 2" xfId="42081" xr:uid="{00000000-0005-0000-0000-000058A40000}"/>
    <cellStyle name="Check Cell 134 2 2" xfId="42082" xr:uid="{00000000-0005-0000-0000-000059A40000}"/>
    <cellStyle name="Check Cell 134 3" xfId="42083" xr:uid="{00000000-0005-0000-0000-00005AA40000}"/>
    <cellStyle name="Check Cell 135" xfId="42084" xr:uid="{00000000-0005-0000-0000-00005BA40000}"/>
    <cellStyle name="Check Cell 135 2" xfId="42085" xr:uid="{00000000-0005-0000-0000-00005CA40000}"/>
    <cellStyle name="Check Cell 135 2 2" xfId="42086" xr:uid="{00000000-0005-0000-0000-00005DA40000}"/>
    <cellStyle name="Check Cell 135 3" xfId="42087" xr:uid="{00000000-0005-0000-0000-00005EA40000}"/>
    <cellStyle name="Check Cell 136" xfId="42088" xr:uid="{00000000-0005-0000-0000-00005FA40000}"/>
    <cellStyle name="Check Cell 136 2" xfId="42089" xr:uid="{00000000-0005-0000-0000-000060A40000}"/>
    <cellStyle name="Check Cell 136 2 2" xfId="42090" xr:uid="{00000000-0005-0000-0000-000061A40000}"/>
    <cellStyle name="Check Cell 136 3" xfId="42091" xr:uid="{00000000-0005-0000-0000-000062A40000}"/>
    <cellStyle name="Check Cell 137" xfId="42092" xr:uid="{00000000-0005-0000-0000-000063A40000}"/>
    <cellStyle name="Check Cell 137 2" xfId="42093" xr:uid="{00000000-0005-0000-0000-000064A40000}"/>
    <cellStyle name="Check Cell 137 2 2" xfId="42094" xr:uid="{00000000-0005-0000-0000-000065A40000}"/>
    <cellStyle name="Check Cell 137 3" xfId="42095" xr:uid="{00000000-0005-0000-0000-000066A40000}"/>
    <cellStyle name="Check Cell 138" xfId="42096" xr:uid="{00000000-0005-0000-0000-000067A40000}"/>
    <cellStyle name="Check Cell 138 2" xfId="42097" xr:uid="{00000000-0005-0000-0000-000068A40000}"/>
    <cellStyle name="Check Cell 138 2 2" xfId="42098" xr:uid="{00000000-0005-0000-0000-000069A40000}"/>
    <cellStyle name="Check Cell 138 3" xfId="42099" xr:uid="{00000000-0005-0000-0000-00006AA40000}"/>
    <cellStyle name="Check Cell 139" xfId="42100" xr:uid="{00000000-0005-0000-0000-00006BA40000}"/>
    <cellStyle name="Check Cell 139 2" xfId="42101" xr:uid="{00000000-0005-0000-0000-00006CA40000}"/>
    <cellStyle name="Check Cell 139 2 2" xfId="42102" xr:uid="{00000000-0005-0000-0000-00006DA40000}"/>
    <cellStyle name="Check Cell 139 3" xfId="42103" xr:uid="{00000000-0005-0000-0000-00006EA40000}"/>
    <cellStyle name="Check Cell 14" xfId="42104" xr:uid="{00000000-0005-0000-0000-00006FA40000}"/>
    <cellStyle name="Check Cell 14 2" xfId="42105" xr:uid="{00000000-0005-0000-0000-000070A40000}"/>
    <cellStyle name="Check Cell 14 2 2" xfId="42106" xr:uid="{00000000-0005-0000-0000-000071A40000}"/>
    <cellStyle name="Check Cell 14 3" xfId="42107" xr:uid="{00000000-0005-0000-0000-000072A40000}"/>
    <cellStyle name="Check Cell 140" xfId="42108" xr:uid="{00000000-0005-0000-0000-000073A40000}"/>
    <cellStyle name="Check Cell 140 2" xfId="42109" xr:uid="{00000000-0005-0000-0000-000074A40000}"/>
    <cellStyle name="Check Cell 140 2 2" xfId="42110" xr:uid="{00000000-0005-0000-0000-000075A40000}"/>
    <cellStyle name="Check Cell 140 3" xfId="42111" xr:uid="{00000000-0005-0000-0000-000076A40000}"/>
    <cellStyle name="Check Cell 141" xfId="42112" xr:uid="{00000000-0005-0000-0000-000077A40000}"/>
    <cellStyle name="Check Cell 141 2" xfId="42113" xr:uid="{00000000-0005-0000-0000-000078A40000}"/>
    <cellStyle name="Check Cell 141 2 2" xfId="42114" xr:uid="{00000000-0005-0000-0000-000079A40000}"/>
    <cellStyle name="Check Cell 141 3" xfId="42115" xr:uid="{00000000-0005-0000-0000-00007AA40000}"/>
    <cellStyle name="Check Cell 142" xfId="42116" xr:uid="{00000000-0005-0000-0000-00007BA40000}"/>
    <cellStyle name="Check Cell 142 2" xfId="42117" xr:uid="{00000000-0005-0000-0000-00007CA40000}"/>
    <cellStyle name="Check Cell 142 2 2" xfId="42118" xr:uid="{00000000-0005-0000-0000-00007DA40000}"/>
    <cellStyle name="Check Cell 142 3" xfId="42119" xr:uid="{00000000-0005-0000-0000-00007EA40000}"/>
    <cellStyle name="Check Cell 143" xfId="42120" xr:uid="{00000000-0005-0000-0000-00007FA40000}"/>
    <cellStyle name="Check Cell 143 2" xfId="42121" xr:uid="{00000000-0005-0000-0000-000080A40000}"/>
    <cellStyle name="Check Cell 143 2 2" xfId="42122" xr:uid="{00000000-0005-0000-0000-000081A40000}"/>
    <cellStyle name="Check Cell 143 3" xfId="42123" xr:uid="{00000000-0005-0000-0000-000082A40000}"/>
    <cellStyle name="Check Cell 144" xfId="42124" xr:uid="{00000000-0005-0000-0000-000083A40000}"/>
    <cellStyle name="Check Cell 144 2" xfId="42125" xr:uid="{00000000-0005-0000-0000-000084A40000}"/>
    <cellStyle name="Check Cell 144 2 2" xfId="42126" xr:uid="{00000000-0005-0000-0000-000085A40000}"/>
    <cellStyle name="Check Cell 144 3" xfId="42127" xr:uid="{00000000-0005-0000-0000-000086A40000}"/>
    <cellStyle name="Check Cell 145" xfId="42128" xr:uid="{00000000-0005-0000-0000-000087A40000}"/>
    <cellStyle name="Check Cell 145 2" xfId="42129" xr:uid="{00000000-0005-0000-0000-000088A40000}"/>
    <cellStyle name="Check Cell 145 2 2" xfId="42130" xr:uid="{00000000-0005-0000-0000-000089A40000}"/>
    <cellStyle name="Check Cell 145 3" xfId="42131" xr:uid="{00000000-0005-0000-0000-00008AA40000}"/>
    <cellStyle name="Check Cell 146" xfId="42132" xr:uid="{00000000-0005-0000-0000-00008BA40000}"/>
    <cellStyle name="Check Cell 146 2" xfId="42133" xr:uid="{00000000-0005-0000-0000-00008CA40000}"/>
    <cellStyle name="Check Cell 146 2 2" xfId="42134" xr:uid="{00000000-0005-0000-0000-00008DA40000}"/>
    <cellStyle name="Check Cell 146 3" xfId="42135" xr:uid="{00000000-0005-0000-0000-00008EA40000}"/>
    <cellStyle name="Check Cell 147" xfId="42136" xr:uid="{00000000-0005-0000-0000-00008FA40000}"/>
    <cellStyle name="Check Cell 147 2" xfId="42137" xr:uid="{00000000-0005-0000-0000-000090A40000}"/>
    <cellStyle name="Check Cell 147 2 2" xfId="42138" xr:uid="{00000000-0005-0000-0000-000091A40000}"/>
    <cellStyle name="Check Cell 147 3" xfId="42139" xr:uid="{00000000-0005-0000-0000-000092A40000}"/>
    <cellStyle name="Check Cell 148" xfId="42140" xr:uid="{00000000-0005-0000-0000-000093A40000}"/>
    <cellStyle name="Check Cell 148 2" xfId="42141" xr:uid="{00000000-0005-0000-0000-000094A40000}"/>
    <cellStyle name="Check Cell 148 2 2" xfId="42142" xr:uid="{00000000-0005-0000-0000-000095A40000}"/>
    <cellStyle name="Check Cell 148 3" xfId="42143" xr:uid="{00000000-0005-0000-0000-000096A40000}"/>
    <cellStyle name="Check Cell 149" xfId="42144" xr:uid="{00000000-0005-0000-0000-000097A40000}"/>
    <cellStyle name="Check Cell 149 2" xfId="42145" xr:uid="{00000000-0005-0000-0000-000098A40000}"/>
    <cellStyle name="Check Cell 149 2 2" xfId="42146" xr:uid="{00000000-0005-0000-0000-000099A40000}"/>
    <cellStyle name="Check Cell 149 3" xfId="42147" xr:uid="{00000000-0005-0000-0000-00009AA40000}"/>
    <cellStyle name="Check Cell 15" xfId="42148" xr:uid="{00000000-0005-0000-0000-00009BA40000}"/>
    <cellStyle name="Check Cell 15 2" xfId="42149" xr:uid="{00000000-0005-0000-0000-00009CA40000}"/>
    <cellStyle name="Check Cell 15 2 2" xfId="42150" xr:uid="{00000000-0005-0000-0000-00009DA40000}"/>
    <cellStyle name="Check Cell 15 3" xfId="42151" xr:uid="{00000000-0005-0000-0000-00009EA40000}"/>
    <cellStyle name="Check Cell 150" xfId="42152" xr:uid="{00000000-0005-0000-0000-00009FA40000}"/>
    <cellStyle name="Check Cell 150 2" xfId="42153" xr:uid="{00000000-0005-0000-0000-0000A0A40000}"/>
    <cellStyle name="Check Cell 150 2 2" xfId="42154" xr:uid="{00000000-0005-0000-0000-0000A1A40000}"/>
    <cellStyle name="Check Cell 150 3" xfId="42155" xr:uid="{00000000-0005-0000-0000-0000A2A40000}"/>
    <cellStyle name="Check Cell 151" xfId="42156" xr:uid="{00000000-0005-0000-0000-0000A3A40000}"/>
    <cellStyle name="Check Cell 151 2" xfId="42157" xr:uid="{00000000-0005-0000-0000-0000A4A40000}"/>
    <cellStyle name="Check Cell 151 2 2" xfId="42158" xr:uid="{00000000-0005-0000-0000-0000A5A40000}"/>
    <cellStyle name="Check Cell 151 3" xfId="42159" xr:uid="{00000000-0005-0000-0000-0000A6A40000}"/>
    <cellStyle name="Check Cell 152" xfId="42160" xr:uid="{00000000-0005-0000-0000-0000A7A40000}"/>
    <cellStyle name="Check Cell 152 2" xfId="42161" xr:uid="{00000000-0005-0000-0000-0000A8A40000}"/>
    <cellStyle name="Check Cell 152 2 2" xfId="42162" xr:uid="{00000000-0005-0000-0000-0000A9A40000}"/>
    <cellStyle name="Check Cell 152 3" xfId="42163" xr:uid="{00000000-0005-0000-0000-0000AAA40000}"/>
    <cellStyle name="Check Cell 153" xfId="42164" xr:uid="{00000000-0005-0000-0000-0000ABA40000}"/>
    <cellStyle name="Check Cell 153 2" xfId="42165" xr:uid="{00000000-0005-0000-0000-0000ACA40000}"/>
    <cellStyle name="Check Cell 153 2 2" xfId="42166" xr:uid="{00000000-0005-0000-0000-0000ADA40000}"/>
    <cellStyle name="Check Cell 153 3" xfId="42167" xr:uid="{00000000-0005-0000-0000-0000AEA40000}"/>
    <cellStyle name="Check Cell 154" xfId="42168" xr:uid="{00000000-0005-0000-0000-0000AFA40000}"/>
    <cellStyle name="Check Cell 154 2" xfId="42169" xr:uid="{00000000-0005-0000-0000-0000B0A40000}"/>
    <cellStyle name="Check Cell 154 2 2" xfId="42170" xr:uid="{00000000-0005-0000-0000-0000B1A40000}"/>
    <cellStyle name="Check Cell 154 3" xfId="42171" xr:uid="{00000000-0005-0000-0000-0000B2A40000}"/>
    <cellStyle name="Check Cell 155" xfId="42172" xr:uid="{00000000-0005-0000-0000-0000B3A40000}"/>
    <cellStyle name="Check Cell 155 2" xfId="42173" xr:uid="{00000000-0005-0000-0000-0000B4A40000}"/>
    <cellStyle name="Check Cell 155 2 2" xfId="42174" xr:uid="{00000000-0005-0000-0000-0000B5A40000}"/>
    <cellStyle name="Check Cell 155 3" xfId="42175" xr:uid="{00000000-0005-0000-0000-0000B6A40000}"/>
    <cellStyle name="Check Cell 156" xfId="42176" xr:uid="{00000000-0005-0000-0000-0000B7A40000}"/>
    <cellStyle name="Check Cell 156 2" xfId="42177" xr:uid="{00000000-0005-0000-0000-0000B8A40000}"/>
    <cellStyle name="Check Cell 156 2 2" xfId="42178" xr:uid="{00000000-0005-0000-0000-0000B9A40000}"/>
    <cellStyle name="Check Cell 156 3" xfId="42179" xr:uid="{00000000-0005-0000-0000-0000BAA40000}"/>
    <cellStyle name="Check Cell 157" xfId="42180" xr:uid="{00000000-0005-0000-0000-0000BBA40000}"/>
    <cellStyle name="Check Cell 157 2" xfId="42181" xr:uid="{00000000-0005-0000-0000-0000BCA40000}"/>
    <cellStyle name="Check Cell 157 2 2" xfId="42182" xr:uid="{00000000-0005-0000-0000-0000BDA40000}"/>
    <cellStyle name="Check Cell 157 3" xfId="42183" xr:uid="{00000000-0005-0000-0000-0000BEA40000}"/>
    <cellStyle name="Check Cell 158" xfId="42184" xr:uid="{00000000-0005-0000-0000-0000BFA40000}"/>
    <cellStyle name="Check Cell 158 2" xfId="42185" xr:uid="{00000000-0005-0000-0000-0000C0A40000}"/>
    <cellStyle name="Check Cell 158 2 2" xfId="42186" xr:uid="{00000000-0005-0000-0000-0000C1A40000}"/>
    <cellStyle name="Check Cell 158 3" xfId="42187" xr:uid="{00000000-0005-0000-0000-0000C2A40000}"/>
    <cellStyle name="Check Cell 159" xfId="42188" xr:uid="{00000000-0005-0000-0000-0000C3A40000}"/>
    <cellStyle name="Check Cell 159 2" xfId="42189" xr:uid="{00000000-0005-0000-0000-0000C4A40000}"/>
    <cellStyle name="Check Cell 16" xfId="42190" xr:uid="{00000000-0005-0000-0000-0000C5A40000}"/>
    <cellStyle name="Check Cell 16 2" xfId="42191" xr:uid="{00000000-0005-0000-0000-0000C6A40000}"/>
    <cellStyle name="Check Cell 16 2 2" xfId="42192" xr:uid="{00000000-0005-0000-0000-0000C7A40000}"/>
    <cellStyle name="Check Cell 16 3" xfId="42193" xr:uid="{00000000-0005-0000-0000-0000C8A40000}"/>
    <cellStyle name="Check Cell 160" xfId="42194" xr:uid="{00000000-0005-0000-0000-0000C9A40000}"/>
    <cellStyle name="Check Cell 160 2" xfId="42195" xr:uid="{00000000-0005-0000-0000-0000CAA40000}"/>
    <cellStyle name="Check Cell 161" xfId="42196" xr:uid="{00000000-0005-0000-0000-0000CBA40000}"/>
    <cellStyle name="Check Cell 161 2" xfId="42197" xr:uid="{00000000-0005-0000-0000-0000CCA40000}"/>
    <cellStyle name="Check Cell 162" xfId="42198" xr:uid="{00000000-0005-0000-0000-0000CDA40000}"/>
    <cellStyle name="Check Cell 162 2" xfId="42199" xr:uid="{00000000-0005-0000-0000-0000CEA40000}"/>
    <cellStyle name="Check Cell 163" xfId="42200" xr:uid="{00000000-0005-0000-0000-0000CFA40000}"/>
    <cellStyle name="Check Cell 163 2" xfId="42201" xr:uid="{00000000-0005-0000-0000-0000D0A40000}"/>
    <cellStyle name="Check Cell 164" xfId="42202" xr:uid="{00000000-0005-0000-0000-0000D1A40000}"/>
    <cellStyle name="Check Cell 164 2" xfId="42203" xr:uid="{00000000-0005-0000-0000-0000D2A40000}"/>
    <cellStyle name="Check Cell 165" xfId="42204" xr:uid="{00000000-0005-0000-0000-0000D3A40000}"/>
    <cellStyle name="Check Cell 165 2" xfId="42205" xr:uid="{00000000-0005-0000-0000-0000D4A40000}"/>
    <cellStyle name="Check Cell 166" xfId="42206" xr:uid="{00000000-0005-0000-0000-0000D5A40000}"/>
    <cellStyle name="Check Cell 166 2" xfId="42207" xr:uid="{00000000-0005-0000-0000-0000D6A40000}"/>
    <cellStyle name="Check Cell 167" xfId="42208" xr:uid="{00000000-0005-0000-0000-0000D7A40000}"/>
    <cellStyle name="Check Cell 167 2" xfId="42209" xr:uid="{00000000-0005-0000-0000-0000D8A40000}"/>
    <cellStyle name="Check Cell 168" xfId="42210" xr:uid="{00000000-0005-0000-0000-0000D9A40000}"/>
    <cellStyle name="Check Cell 168 2" xfId="42211" xr:uid="{00000000-0005-0000-0000-0000DAA40000}"/>
    <cellStyle name="Check Cell 169" xfId="42212" xr:uid="{00000000-0005-0000-0000-0000DBA40000}"/>
    <cellStyle name="Check Cell 169 2" xfId="42213" xr:uid="{00000000-0005-0000-0000-0000DCA40000}"/>
    <cellStyle name="Check Cell 17" xfId="42214" xr:uid="{00000000-0005-0000-0000-0000DDA40000}"/>
    <cellStyle name="Check Cell 17 2" xfId="42215" xr:uid="{00000000-0005-0000-0000-0000DEA40000}"/>
    <cellStyle name="Check Cell 17 2 2" xfId="42216" xr:uid="{00000000-0005-0000-0000-0000DFA40000}"/>
    <cellStyle name="Check Cell 17 3" xfId="42217" xr:uid="{00000000-0005-0000-0000-0000E0A40000}"/>
    <cellStyle name="Check Cell 170" xfId="42218" xr:uid="{00000000-0005-0000-0000-0000E1A40000}"/>
    <cellStyle name="Check Cell 170 2" xfId="42219" xr:uid="{00000000-0005-0000-0000-0000E2A40000}"/>
    <cellStyle name="Check Cell 171" xfId="42220" xr:uid="{00000000-0005-0000-0000-0000E3A40000}"/>
    <cellStyle name="Check Cell 171 2" xfId="42221" xr:uid="{00000000-0005-0000-0000-0000E4A40000}"/>
    <cellStyle name="Check Cell 172" xfId="42222" xr:uid="{00000000-0005-0000-0000-0000E5A40000}"/>
    <cellStyle name="Check Cell 172 2" xfId="42223" xr:uid="{00000000-0005-0000-0000-0000E6A40000}"/>
    <cellStyle name="Check Cell 173" xfId="42224" xr:uid="{00000000-0005-0000-0000-0000E7A40000}"/>
    <cellStyle name="Check Cell 173 2" xfId="42225" xr:uid="{00000000-0005-0000-0000-0000E8A40000}"/>
    <cellStyle name="Check Cell 174" xfId="42226" xr:uid="{00000000-0005-0000-0000-0000E9A40000}"/>
    <cellStyle name="Check Cell 174 2" xfId="42227" xr:uid="{00000000-0005-0000-0000-0000EAA40000}"/>
    <cellStyle name="Check Cell 175" xfId="42228" xr:uid="{00000000-0005-0000-0000-0000EBA40000}"/>
    <cellStyle name="Check Cell 175 2" xfId="42229" xr:uid="{00000000-0005-0000-0000-0000ECA40000}"/>
    <cellStyle name="Check Cell 176" xfId="42230" xr:uid="{00000000-0005-0000-0000-0000EDA40000}"/>
    <cellStyle name="Check Cell 176 2" xfId="42231" xr:uid="{00000000-0005-0000-0000-0000EEA40000}"/>
    <cellStyle name="Check Cell 177" xfId="42232" xr:uid="{00000000-0005-0000-0000-0000EFA40000}"/>
    <cellStyle name="Check Cell 177 2" xfId="42233" xr:uid="{00000000-0005-0000-0000-0000F0A40000}"/>
    <cellStyle name="Check Cell 178" xfId="42234" xr:uid="{00000000-0005-0000-0000-0000F1A40000}"/>
    <cellStyle name="Check Cell 178 2" xfId="42235" xr:uid="{00000000-0005-0000-0000-0000F2A40000}"/>
    <cellStyle name="Check Cell 179" xfId="42236" xr:uid="{00000000-0005-0000-0000-0000F3A40000}"/>
    <cellStyle name="Check Cell 179 2" xfId="42237" xr:uid="{00000000-0005-0000-0000-0000F4A40000}"/>
    <cellStyle name="Check Cell 18" xfId="42238" xr:uid="{00000000-0005-0000-0000-0000F5A40000}"/>
    <cellStyle name="Check Cell 18 2" xfId="42239" xr:uid="{00000000-0005-0000-0000-0000F6A40000}"/>
    <cellStyle name="Check Cell 18 2 2" xfId="42240" xr:uid="{00000000-0005-0000-0000-0000F7A40000}"/>
    <cellStyle name="Check Cell 18 3" xfId="42241" xr:uid="{00000000-0005-0000-0000-0000F8A40000}"/>
    <cellStyle name="Check Cell 180" xfId="42242" xr:uid="{00000000-0005-0000-0000-0000F9A40000}"/>
    <cellStyle name="Check Cell 180 2" xfId="42243" xr:uid="{00000000-0005-0000-0000-0000FAA40000}"/>
    <cellStyle name="Check Cell 181" xfId="42244" xr:uid="{00000000-0005-0000-0000-0000FBA40000}"/>
    <cellStyle name="Check Cell 181 2" xfId="42245" xr:uid="{00000000-0005-0000-0000-0000FCA40000}"/>
    <cellStyle name="Check Cell 182" xfId="42246" xr:uid="{00000000-0005-0000-0000-0000FDA40000}"/>
    <cellStyle name="Check Cell 182 2" xfId="42247" xr:uid="{00000000-0005-0000-0000-0000FEA40000}"/>
    <cellStyle name="Check Cell 183" xfId="42248" xr:uid="{00000000-0005-0000-0000-0000FFA40000}"/>
    <cellStyle name="Check Cell 183 2" xfId="42249" xr:uid="{00000000-0005-0000-0000-000000A50000}"/>
    <cellStyle name="Check Cell 184" xfId="42250" xr:uid="{00000000-0005-0000-0000-000001A50000}"/>
    <cellStyle name="Check Cell 184 2" xfId="42251" xr:uid="{00000000-0005-0000-0000-000002A50000}"/>
    <cellStyle name="Check Cell 185" xfId="42252" xr:uid="{00000000-0005-0000-0000-000003A50000}"/>
    <cellStyle name="Check Cell 185 2" xfId="42253" xr:uid="{00000000-0005-0000-0000-000004A50000}"/>
    <cellStyle name="Check Cell 186" xfId="42254" xr:uid="{00000000-0005-0000-0000-000005A50000}"/>
    <cellStyle name="Check Cell 186 2" xfId="42255" xr:uid="{00000000-0005-0000-0000-000006A50000}"/>
    <cellStyle name="Check Cell 187" xfId="42256" xr:uid="{00000000-0005-0000-0000-000007A50000}"/>
    <cellStyle name="Check Cell 187 2" xfId="42257" xr:uid="{00000000-0005-0000-0000-000008A50000}"/>
    <cellStyle name="Check Cell 188" xfId="42258" xr:uid="{00000000-0005-0000-0000-000009A50000}"/>
    <cellStyle name="Check Cell 188 2" xfId="42259" xr:uid="{00000000-0005-0000-0000-00000AA50000}"/>
    <cellStyle name="Check Cell 189" xfId="42260" xr:uid="{00000000-0005-0000-0000-00000BA50000}"/>
    <cellStyle name="Check Cell 189 2" xfId="42261" xr:uid="{00000000-0005-0000-0000-00000CA50000}"/>
    <cellStyle name="Check Cell 19" xfId="42262" xr:uid="{00000000-0005-0000-0000-00000DA50000}"/>
    <cellStyle name="Check Cell 19 2" xfId="42263" xr:uid="{00000000-0005-0000-0000-00000EA50000}"/>
    <cellStyle name="Check Cell 19 2 2" xfId="42264" xr:uid="{00000000-0005-0000-0000-00000FA50000}"/>
    <cellStyle name="Check Cell 19 3" xfId="42265" xr:uid="{00000000-0005-0000-0000-000010A50000}"/>
    <cellStyle name="Check Cell 190" xfId="42266" xr:uid="{00000000-0005-0000-0000-000011A50000}"/>
    <cellStyle name="Check Cell 190 2" xfId="42267" xr:uid="{00000000-0005-0000-0000-000012A50000}"/>
    <cellStyle name="Check Cell 191" xfId="42268" xr:uid="{00000000-0005-0000-0000-000013A50000}"/>
    <cellStyle name="Check Cell 191 2" xfId="42269" xr:uid="{00000000-0005-0000-0000-000014A50000}"/>
    <cellStyle name="Check Cell 192" xfId="42270" xr:uid="{00000000-0005-0000-0000-000015A50000}"/>
    <cellStyle name="Check Cell 192 2" xfId="42271" xr:uid="{00000000-0005-0000-0000-000016A50000}"/>
    <cellStyle name="Check Cell 193" xfId="42272" xr:uid="{00000000-0005-0000-0000-000017A50000}"/>
    <cellStyle name="Check Cell 193 2" xfId="42273" xr:uid="{00000000-0005-0000-0000-000018A50000}"/>
    <cellStyle name="Check Cell 194" xfId="42274" xr:uid="{00000000-0005-0000-0000-000019A50000}"/>
    <cellStyle name="Check Cell 194 2" xfId="42275" xr:uid="{00000000-0005-0000-0000-00001AA50000}"/>
    <cellStyle name="Check Cell 195" xfId="42276" xr:uid="{00000000-0005-0000-0000-00001BA50000}"/>
    <cellStyle name="Check Cell 195 2" xfId="42277" xr:uid="{00000000-0005-0000-0000-00001CA50000}"/>
    <cellStyle name="Check Cell 196" xfId="42278" xr:uid="{00000000-0005-0000-0000-00001DA50000}"/>
    <cellStyle name="Check Cell 196 2" xfId="42279" xr:uid="{00000000-0005-0000-0000-00001EA50000}"/>
    <cellStyle name="Check Cell 197" xfId="42280" xr:uid="{00000000-0005-0000-0000-00001FA50000}"/>
    <cellStyle name="Check Cell 197 2" xfId="42281" xr:uid="{00000000-0005-0000-0000-000020A50000}"/>
    <cellStyle name="Check Cell 198" xfId="42282" xr:uid="{00000000-0005-0000-0000-000021A50000}"/>
    <cellStyle name="Check Cell 198 2" xfId="42283" xr:uid="{00000000-0005-0000-0000-000022A50000}"/>
    <cellStyle name="Check Cell 2" xfId="42284" xr:uid="{00000000-0005-0000-0000-000023A50000}"/>
    <cellStyle name="Check Cell 2 2" xfId="42285" xr:uid="{00000000-0005-0000-0000-000024A50000}"/>
    <cellStyle name="Check Cell 2 2 2" xfId="42286" xr:uid="{00000000-0005-0000-0000-000025A50000}"/>
    <cellStyle name="Check Cell 2 2 2 2" xfId="42287" xr:uid="{00000000-0005-0000-0000-000026A50000}"/>
    <cellStyle name="Check Cell 2 2 2 2 2" xfId="42288" xr:uid="{00000000-0005-0000-0000-000027A50000}"/>
    <cellStyle name="Check Cell 2 2 2 2 2 2" xfId="42289" xr:uid="{00000000-0005-0000-0000-000028A50000}"/>
    <cellStyle name="Check Cell 2 2 2 2 3" xfId="42290" xr:uid="{00000000-0005-0000-0000-000029A50000}"/>
    <cellStyle name="Check Cell 2 2 2 3" xfId="42291" xr:uid="{00000000-0005-0000-0000-00002AA50000}"/>
    <cellStyle name="Check Cell 2 2 3" xfId="42292" xr:uid="{00000000-0005-0000-0000-00002BA50000}"/>
    <cellStyle name="Check Cell 2 2 3 2" xfId="42293" xr:uid="{00000000-0005-0000-0000-00002CA50000}"/>
    <cellStyle name="Check Cell 2 2 4" xfId="42294" xr:uid="{00000000-0005-0000-0000-00002DA50000}"/>
    <cellStyle name="Check Cell 2 2 4 2" xfId="42295" xr:uid="{00000000-0005-0000-0000-00002EA50000}"/>
    <cellStyle name="Check Cell 2 2 5" xfId="42296" xr:uid="{00000000-0005-0000-0000-00002FA50000}"/>
    <cellStyle name="Check Cell 2 3" xfId="42297" xr:uid="{00000000-0005-0000-0000-000030A50000}"/>
    <cellStyle name="Check Cell 2 3 2" xfId="42298" xr:uid="{00000000-0005-0000-0000-000031A50000}"/>
    <cellStyle name="Check Cell 2 4" xfId="42299" xr:uid="{00000000-0005-0000-0000-000032A50000}"/>
    <cellStyle name="Check Cell 2 4 2" xfId="42300" xr:uid="{00000000-0005-0000-0000-000033A50000}"/>
    <cellStyle name="Check Cell 2 5" xfId="42301" xr:uid="{00000000-0005-0000-0000-000034A50000}"/>
    <cellStyle name="Check Cell 2 5 2" xfId="42302" xr:uid="{00000000-0005-0000-0000-000035A50000}"/>
    <cellStyle name="Check Cell 2 6" xfId="42303" xr:uid="{00000000-0005-0000-0000-000036A50000}"/>
    <cellStyle name="Check Cell 20" xfId="42304" xr:uid="{00000000-0005-0000-0000-000037A50000}"/>
    <cellStyle name="Check Cell 20 2" xfId="42305" xr:uid="{00000000-0005-0000-0000-000038A50000}"/>
    <cellStyle name="Check Cell 20 2 2" xfId="42306" xr:uid="{00000000-0005-0000-0000-000039A50000}"/>
    <cellStyle name="Check Cell 20 3" xfId="42307" xr:uid="{00000000-0005-0000-0000-00003AA50000}"/>
    <cellStyle name="Check Cell 21" xfId="42308" xr:uid="{00000000-0005-0000-0000-00003BA50000}"/>
    <cellStyle name="Check Cell 21 2" xfId="42309" xr:uid="{00000000-0005-0000-0000-00003CA50000}"/>
    <cellStyle name="Check Cell 21 2 2" xfId="42310" xr:uid="{00000000-0005-0000-0000-00003DA50000}"/>
    <cellStyle name="Check Cell 21 3" xfId="42311" xr:uid="{00000000-0005-0000-0000-00003EA50000}"/>
    <cellStyle name="Check Cell 22" xfId="42312" xr:uid="{00000000-0005-0000-0000-00003FA50000}"/>
    <cellStyle name="Check Cell 22 2" xfId="42313" xr:uid="{00000000-0005-0000-0000-000040A50000}"/>
    <cellStyle name="Check Cell 22 2 2" xfId="42314" xr:uid="{00000000-0005-0000-0000-000041A50000}"/>
    <cellStyle name="Check Cell 22 3" xfId="42315" xr:uid="{00000000-0005-0000-0000-000042A50000}"/>
    <cellStyle name="Check Cell 23" xfId="42316" xr:uid="{00000000-0005-0000-0000-000043A50000}"/>
    <cellStyle name="Check Cell 23 2" xfId="42317" xr:uid="{00000000-0005-0000-0000-000044A50000}"/>
    <cellStyle name="Check Cell 23 2 2" xfId="42318" xr:uid="{00000000-0005-0000-0000-000045A50000}"/>
    <cellStyle name="Check Cell 23 3" xfId="42319" xr:uid="{00000000-0005-0000-0000-000046A50000}"/>
    <cellStyle name="Check Cell 24" xfId="42320" xr:uid="{00000000-0005-0000-0000-000047A50000}"/>
    <cellStyle name="Check Cell 24 2" xfId="42321" xr:uid="{00000000-0005-0000-0000-000048A50000}"/>
    <cellStyle name="Check Cell 24 2 2" xfId="42322" xr:uid="{00000000-0005-0000-0000-000049A50000}"/>
    <cellStyle name="Check Cell 24 3" xfId="42323" xr:uid="{00000000-0005-0000-0000-00004AA50000}"/>
    <cellStyle name="Check Cell 25" xfId="42324" xr:uid="{00000000-0005-0000-0000-00004BA50000}"/>
    <cellStyle name="Check Cell 25 2" xfId="42325" xr:uid="{00000000-0005-0000-0000-00004CA50000}"/>
    <cellStyle name="Check Cell 25 2 2" xfId="42326" xr:uid="{00000000-0005-0000-0000-00004DA50000}"/>
    <cellStyle name="Check Cell 25 3" xfId="42327" xr:uid="{00000000-0005-0000-0000-00004EA50000}"/>
    <cellStyle name="Check Cell 26" xfId="42328" xr:uid="{00000000-0005-0000-0000-00004FA50000}"/>
    <cellStyle name="Check Cell 26 2" xfId="42329" xr:uid="{00000000-0005-0000-0000-000050A50000}"/>
    <cellStyle name="Check Cell 26 2 2" xfId="42330" xr:uid="{00000000-0005-0000-0000-000051A50000}"/>
    <cellStyle name="Check Cell 26 3" xfId="42331" xr:uid="{00000000-0005-0000-0000-000052A50000}"/>
    <cellStyle name="Check Cell 27" xfId="42332" xr:uid="{00000000-0005-0000-0000-000053A50000}"/>
    <cellStyle name="Check Cell 27 2" xfId="42333" xr:uid="{00000000-0005-0000-0000-000054A50000}"/>
    <cellStyle name="Check Cell 27 2 2" xfId="42334" xr:uid="{00000000-0005-0000-0000-000055A50000}"/>
    <cellStyle name="Check Cell 27 3" xfId="42335" xr:uid="{00000000-0005-0000-0000-000056A50000}"/>
    <cellStyle name="Check Cell 28" xfId="42336" xr:uid="{00000000-0005-0000-0000-000057A50000}"/>
    <cellStyle name="Check Cell 28 2" xfId="42337" xr:uid="{00000000-0005-0000-0000-000058A50000}"/>
    <cellStyle name="Check Cell 28 2 2" xfId="42338" xr:uid="{00000000-0005-0000-0000-000059A50000}"/>
    <cellStyle name="Check Cell 28 3" xfId="42339" xr:uid="{00000000-0005-0000-0000-00005AA50000}"/>
    <cellStyle name="Check Cell 29" xfId="42340" xr:uid="{00000000-0005-0000-0000-00005BA50000}"/>
    <cellStyle name="Check Cell 29 2" xfId="42341" xr:uid="{00000000-0005-0000-0000-00005CA50000}"/>
    <cellStyle name="Check Cell 29 2 2" xfId="42342" xr:uid="{00000000-0005-0000-0000-00005DA50000}"/>
    <cellStyle name="Check Cell 29 3" xfId="42343" xr:uid="{00000000-0005-0000-0000-00005EA50000}"/>
    <cellStyle name="Check Cell 3" xfId="42344" xr:uid="{00000000-0005-0000-0000-00005FA50000}"/>
    <cellStyle name="Check Cell 3 2" xfId="42345" xr:uid="{00000000-0005-0000-0000-000060A50000}"/>
    <cellStyle name="Check Cell 3 2 2" xfId="42346" xr:uid="{00000000-0005-0000-0000-000061A50000}"/>
    <cellStyle name="Check Cell 3 3" xfId="42347" xr:uid="{00000000-0005-0000-0000-000062A50000}"/>
    <cellStyle name="Check Cell 3 3 2" xfId="42348" xr:uid="{00000000-0005-0000-0000-000063A50000}"/>
    <cellStyle name="Check Cell 3 4" xfId="42349" xr:uid="{00000000-0005-0000-0000-000064A50000}"/>
    <cellStyle name="Check Cell 3 4 2" xfId="42350" xr:uid="{00000000-0005-0000-0000-000065A50000}"/>
    <cellStyle name="Check Cell 3 5" xfId="42351" xr:uid="{00000000-0005-0000-0000-000066A50000}"/>
    <cellStyle name="Check Cell 30" xfId="42352" xr:uid="{00000000-0005-0000-0000-000067A50000}"/>
    <cellStyle name="Check Cell 30 2" xfId="42353" xr:uid="{00000000-0005-0000-0000-000068A50000}"/>
    <cellStyle name="Check Cell 30 2 2" xfId="42354" xr:uid="{00000000-0005-0000-0000-000069A50000}"/>
    <cellStyle name="Check Cell 30 3" xfId="42355" xr:uid="{00000000-0005-0000-0000-00006AA50000}"/>
    <cellStyle name="Check Cell 31" xfId="42356" xr:uid="{00000000-0005-0000-0000-00006BA50000}"/>
    <cellStyle name="Check Cell 31 2" xfId="42357" xr:uid="{00000000-0005-0000-0000-00006CA50000}"/>
    <cellStyle name="Check Cell 31 2 2" xfId="42358" xr:uid="{00000000-0005-0000-0000-00006DA50000}"/>
    <cellStyle name="Check Cell 31 3" xfId="42359" xr:uid="{00000000-0005-0000-0000-00006EA50000}"/>
    <cellStyle name="Check Cell 32" xfId="42360" xr:uid="{00000000-0005-0000-0000-00006FA50000}"/>
    <cellStyle name="Check Cell 32 2" xfId="42361" xr:uid="{00000000-0005-0000-0000-000070A50000}"/>
    <cellStyle name="Check Cell 32 2 2" xfId="42362" xr:uid="{00000000-0005-0000-0000-000071A50000}"/>
    <cellStyle name="Check Cell 32 3" xfId="42363" xr:uid="{00000000-0005-0000-0000-000072A50000}"/>
    <cellStyle name="Check Cell 33" xfId="42364" xr:uid="{00000000-0005-0000-0000-000073A50000}"/>
    <cellStyle name="Check Cell 33 2" xfId="42365" xr:uid="{00000000-0005-0000-0000-000074A50000}"/>
    <cellStyle name="Check Cell 33 2 2" xfId="42366" xr:uid="{00000000-0005-0000-0000-000075A50000}"/>
    <cellStyle name="Check Cell 33 3" xfId="42367" xr:uid="{00000000-0005-0000-0000-000076A50000}"/>
    <cellStyle name="Check Cell 34" xfId="42368" xr:uid="{00000000-0005-0000-0000-000077A50000}"/>
    <cellStyle name="Check Cell 34 2" xfId="42369" xr:uid="{00000000-0005-0000-0000-000078A50000}"/>
    <cellStyle name="Check Cell 34 2 2" xfId="42370" xr:uid="{00000000-0005-0000-0000-000079A50000}"/>
    <cellStyle name="Check Cell 34 3" xfId="42371" xr:uid="{00000000-0005-0000-0000-00007AA50000}"/>
    <cellStyle name="Check Cell 35" xfId="42372" xr:uid="{00000000-0005-0000-0000-00007BA50000}"/>
    <cellStyle name="Check Cell 35 2" xfId="42373" xr:uid="{00000000-0005-0000-0000-00007CA50000}"/>
    <cellStyle name="Check Cell 35 2 2" xfId="42374" xr:uid="{00000000-0005-0000-0000-00007DA50000}"/>
    <cellStyle name="Check Cell 35 3" xfId="42375" xr:uid="{00000000-0005-0000-0000-00007EA50000}"/>
    <cellStyle name="Check Cell 36" xfId="42376" xr:uid="{00000000-0005-0000-0000-00007FA50000}"/>
    <cellStyle name="Check Cell 36 2" xfId="42377" xr:uid="{00000000-0005-0000-0000-000080A50000}"/>
    <cellStyle name="Check Cell 36 2 2" xfId="42378" xr:uid="{00000000-0005-0000-0000-000081A50000}"/>
    <cellStyle name="Check Cell 36 3" xfId="42379" xr:uid="{00000000-0005-0000-0000-000082A50000}"/>
    <cellStyle name="Check Cell 37" xfId="42380" xr:uid="{00000000-0005-0000-0000-000083A50000}"/>
    <cellStyle name="Check Cell 37 2" xfId="42381" xr:uid="{00000000-0005-0000-0000-000084A50000}"/>
    <cellStyle name="Check Cell 37 2 2" xfId="42382" xr:uid="{00000000-0005-0000-0000-000085A50000}"/>
    <cellStyle name="Check Cell 37 3" xfId="42383" xr:uid="{00000000-0005-0000-0000-000086A50000}"/>
    <cellStyle name="Check Cell 38" xfId="42384" xr:uid="{00000000-0005-0000-0000-000087A50000}"/>
    <cellStyle name="Check Cell 38 2" xfId="42385" xr:uid="{00000000-0005-0000-0000-000088A50000}"/>
    <cellStyle name="Check Cell 38 2 2" xfId="42386" xr:uid="{00000000-0005-0000-0000-000089A50000}"/>
    <cellStyle name="Check Cell 38 3" xfId="42387" xr:uid="{00000000-0005-0000-0000-00008AA50000}"/>
    <cellStyle name="Check Cell 39" xfId="42388" xr:uid="{00000000-0005-0000-0000-00008BA50000}"/>
    <cellStyle name="Check Cell 39 2" xfId="42389" xr:uid="{00000000-0005-0000-0000-00008CA50000}"/>
    <cellStyle name="Check Cell 39 2 2" xfId="42390" xr:uid="{00000000-0005-0000-0000-00008DA50000}"/>
    <cellStyle name="Check Cell 39 3" xfId="42391" xr:uid="{00000000-0005-0000-0000-00008EA50000}"/>
    <cellStyle name="Check Cell 4" xfId="42392" xr:uid="{00000000-0005-0000-0000-00008FA50000}"/>
    <cellStyle name="Check Cell 4 2" xfId="42393" xr:uid="{00000000-0005-0000-0000-000090A50000}"/>
    <cellStyle name="Check Cell 4 2 2" xfId="42394" xr:uid="{00000000-0005-0000-0000-000091A50000}"/>
    <cellStyle name="Check Cell 4 3" xfId="42395" xr:uid="{00000000-0005-0000-0000-000092A50000}"/>
    <cellStyle name="Check Cell 4 3 2" xfId="42396" xr:uid="{00000000-0005-0000-0000-000093A50000}"/>
    <cellStyle name="Check Cell 4 4" xfId="42397" xr:uid="{00000000-0005-0000-0000-000094A50000}"/>
    <cellStyle name="Check Cell 4 4 2" xfId="42398" xr:uid="{00000000-0005-0000-0000-000095A50000}"/>
    <cellStyle name="Check Cell 4 5" xfId="42399" xr:uid="{00000000-0005-0000-0000-000096A50000}"/>
    <cellStyle name="Check Cell 40" xfId="42400" xr:uid="{00000000-0005-0000-0000-000097A50000}"/>
    <cellStyle name="Check Cell 40 2" xfId="42401" xr:uid="{00000000-0005-0000-0000-000098A50000}"/>
    <cellStyle name="Check Cell 40 2 2" xfId="42402" xr:uid="{00000000-0005-0000-0000-000099A50000}"/>
    <cellStyle name="Check Cell 40 3" xfId="42403" xr:uid="{00000000-0005-0000-0000-00009AA50000}"/>
    <cellStyle name="Check Cell 41" xfId="42404" xr:uid="{00000000-0005-0000-0000-00009BA50000}"/>
    <cellStyle name="Check Cell 41 2" xfId="42405" xr:uid="{00000000-0005-0000-0000-00009CA50000}"/>
    <cellStyle name="Check Cell 41 2 2" xfId="42406" xr:uid="{00000000-0005-0000-0000-00009DA50000}"/>
    <cellStyle name="Check Cell 41 3" xfId="42407" xr:uid="{00000000-0005-0000-0000-00009EA50000}"/>
    <cellStyle name="Check Cell 42" xfId="42408" xr:uid="{00000000-0005-0000-0000-00009FA50000}"/>
    <cellStyle name="Check Cell 42 2" xfId="42409" xr:uid="{00000000-0005-0000-0000-0000A0A50000}"/>
    <cellStyle name="Check Cell 42 2 2" xfId="42410" xr:uid="{00000000-0005-0000-0000-0000A1A50000}"/>
    <cellStyle name="Check Cell 42 3" xfId="42411" xr:uid="{00000000-0005-0000-0000-0000A2A50000}"/>
    <cellStyle name="Check Cell 43" xfId="42412" xr:uid="{00000000-0005-0000-0000-0000A3A50000}"/>
    <cellStyle name="Check Cell 43 2" xfId="42413" xr:uid="{00000000-0005-0000-0000-0000A4A50000}"/>
    <cellStyle name="Check Cell 43 2 2" xfId="42414" xr:uid="{00000000-0005-0000-0000-0000A5A50000}"/>
    <cellStyle name="Check Cell 43 3" xfId="42415" xr:uid="{00000000-0005-0000-0000-0000A6A50000}"/>
    <cellStyle name="Check Cell 44" xfId="42416" xr:uid="{00000000-0005-0000-0000-0000A7A50000}"/>
    <cellStyle name="Check Cell 44 2" xfId="42417" xr:uid="{00000000-0005-0000-0000-0000A8A50000}"/>
    <cellStyle name="Check Cell 44 2 2" xfId="42418" xr:uid="{00000000-0005-0000-0000-0000A9A50000}"/>
    <cellStyle name="Check Cell 44 3" xfId="42419" xr:uid="{00000000-0005-0000-0000-0000AAA50000}"/>
    <cellStyle name="Check Cell 45" xfId="42420" xr:uid="{00000000-0005-0000-0000-0000ABA50000}"/>
    <cellStyle name="Check Cell 45 2" xfId="42421" xr:uid="{00000000-0005-0000-0000-0000ACA50000}"/>
    <cellStyle name="Check Cell 45 2 2" xfId="42422" xr:uid="{00000000-0005-0000-0000-0000ADA50000}"/>
    <cellStyle name="Check Cell 45 3" xfId="42423" xr:uid="{00000000-0005-0000-0000-0000AEA50000}"/>
    <cellStyle name="Check Cell 46" xfId="42424" xr:uid="{00000000-0005-0000-0000-0000AFA50000}"/>
    <cellStyle name="Check Cell 46 2" xfId="42425" xr:uid="{00000000-0005-0000-0000-0000B0A50000}"/>
    <cellStyle name="Check Cell 46 2 2" xfId="42426" xr:uid="{00000000-0005-0000-0000-0000B1A50000}"/>
    <cellStyle name="Check Cell 46 3" xfId="42427" xr:uid="{00000000-0005-0000-0000-0000B2A50000}"/>
    <cellStyle name="Check Cell 47" xfId="42428" xr:uid="{00000000-0005-0000-0000-0000B3A50000}"/>
    <cellStyle name="Check Cell 47 2" xfId="42429" xr:uid="{00000000-0005-0000-0000-0000B4A50000}"/>
    <cellStyle name="Check Cell 47 2 2" xfId="42430" xr:uid="{00000000-0005-0000-0000-0000B5A50000}"/>
    <cellStyle name="Check Cell 47 3" xfId="42431" xr:uid="{00000000-0005-0000-0000-0000B6A50000}"/>
    <cellStyle name="Check Cell 48" xfId="42432" xr:uid="{00000000-0005-0000-0000-0000B7A50000}"/>
    <cellStyle name="Check Cell 48 2" xfId="42433" xr:uid="{00000000-0005-0000-0000-0000B8A50000}"/>
    <cellStyle name="Check Cell 48 2 2" xfId="42434" xr:uid="{00000000-0005-0000-0000-0000B9A50000}"/>
    <cellStyle name="Check Cell 48 3" xfId="42435" xr:uid="{00000000-0005-0000-0000-0000BAA50000}"/>
    <cellStyle name="Check Cell 49" xfId="42436" xr:uid="{00000000-0005-0000-0000-0000BBA50000}"/>
    <cellStyle name="Check Cell 49 2" xfId="42437" xr:uid="{00000000-0005-0000-0000-0000BCA50000}"/>
    <cellStyle name="Check Cell 49 2 2" xfId="42438" xr:uid="{00000000-0005-0000-0000-0000BDA50000}"/>
    <cellStyle name="Check Cell 49 3" xfId="42439" xr:uid="{00000000-0005-0000-0000-0000BEA50000}"/>
    <cellStyle name="Check Cell 5" xfId="42440" xr:uid="{00000000-0005-0000-0000-0000BFA50000}"/>
    <cellStyle name="Check Cell 5 2" xfId="42441" xr:uid="{00000000-0005-0000-0000-0000C0A50000}"/>
    <cellStyle name="Check Cell 5 2 2" xfId="42442" xr:uid="{00000000-0005-0000-0000-0000C1A50000}"/>
    <cellStyle name="Check Cell 5 3" xfId="42443" xr:uid="{00000000-0005-0000-0000-0000C2A50000}"/>
    <cellStyle name="Check Cell 5 3 2" xfId="42444" xr:uid="{00000000-0005-0000-0000-0000C3A50000}"/>
    <cellStyle name="Check Cell 5 4" xfId="42445" xr:uid="{00000000-0005-0000-0000-0000C4A50000}"/>
    <cellStyle name="Check Cell 5 4 2" xfId="42446" xr:uid="{00000000-0005-0000-0000-0000C5A50000}"/>
    <cellStyle name="Check Cell 5 5" xfId="42447" xr:uid="{00000000-0005-0000-0000-0000C6A50000}"/>
    <cellStyle name="Check Cell 50" xfId="42448" xr:uid="{00000000-0005-0000-0000-0000C7A50000}"/>
    <cellStyle name="Check Cell 50 2" xfId="42449" xr:uid="{00000000-0005-0000-0000-0000C8A50000}"/>
    <cellStyle name="Check Cell 50 2 2" xfId="42450" xr:uid="{00000000-0005-0000-0000-0000C9A50000}"/>
    <cellStyle name="Check Cell 50 3" xfId="42451" xr:uid="{00000000-0005-0000-0000-0000CAA50000}"/>
    <cellStyle name="Check Cell 51" xfId="42452" xr:uid="{00000000-0005-0000-0000-0000CBA50000}"/>
    <cellStyle name="Check Cell 51 2" xfId="42453" xr:uid="{00000000-0005-0000-0000-0000CCA50000}"/>
    <cellStyle name="Check Cell 51 2 2" xfId="42454" xr:uid="{00000000-0005-0000-0000-0000CDA50000}"/>
    <cellStyle name="Check Cell 51 3" xfId="42455" xr:uid="{00000000-0005-0000-0000-0000CEA50000}"/>
    <cellStyle name="Check Cell 52" xfId="42456" xr:uid="{00000000-0005-0000-0000-0000CFA50000}"/>
    <cellStyle name="Check Cell 52 2" xfId="42457" xr:uid="{00000000-0005-0000-0000-0000D0A50000}"/>
    <cellStyle name="Check Cell 52 2 2" xfId="42458" xr:uid="{00000000-0005-0000-0000-0000D1A50000}"/>
    <cellStyle name="Check Cell 52 3" xfId="42459" xr:uid="{00000000-0005-0000-0000-0000D2A50000}"/>
    <cellStyle name="Check Cell 53" xfId="42460" xr:uid="{00000000-0005-0000-0000-0000D3A50000}"/>
    <cellStyle name="Check Cell 53 2" xfId="42461" xr:uid="{00000000-0005-0000-0000-0000D4A50000}"/>
    <cellStyle name="Check Cell 53 2 2" xfId="42462" xr:uid="{00000000-0005-0000-0000-0000D5A50000}"/>
    <cellStyle name="Check Cell 53 3" xfId="42463" xr:uid="{00000000-0005-0000-0000-0000D6A50000}"/>
    <cellStyle name="Check Cell 54" xfId="42464" xr:uid="{00000000-0005-0000-0000-0000D7A50000}"/>
    <cellStyle name="Check Cell 54 2" xfId="42465" xr:uid="{00000000-0005-0000-0000-0000D8A50000}"/>
    <cellStyle name="Check Cell 54 2 2" xfId="42466" xr:uid="{00000000-0005-0000-0000-0000D9A50000}"/>
    <cellStyle name="Check Cell 54 3" xfId="42467" xr:uid="{00000000-0005-0000-0000-0000DAA50000}"/>
    <cellStyle name="Check Cell 55" xfId="42468" xr:uid="{00000000-0005-0000-0000-0000DBA50000}"/>
    <cellStyle name="Check Cell 55 2" xfId="42469" xr:uid="{00000000-0005-0000-0000-0000DCA50000}"/>
    <cellStyle name="Check Cell 55 2 2" xfId="42470" xr:uid="{00000000-0005-0000-0000-0000DDA50000}"/>
    <cellStyle name="Check Cell 55 3" xfId="42471" xr:uid="{00000000-0005-0000-0000-0000DEA50000}"/>
    <cellStyle name="Check Cell 56" xfId="42472" xr:uid="{00000000-0005-0000-0000-0000DFA50000}"/>
    <cellStyle name="Check Cell 56 2" xfId="42473" xr:uid="{00000000-0005-0000-0000-0000E0A50000}"/>
    <cellStyle name="Check Cell 56 2 2" xfId="42474" xr:uid="{00000000-0005-0000-0000-0000E1A50000}"/>
    <cellStyle name="Check Cell 56 3" xfId="42475" xr:uid="{00000000-0005-0000-0000-0000E2A50000}"/>
    <cellStyle name="Check Cell 57" xfId="42476" xr:uid="{00000000-0005-0000-0000-0000E3A50000}"/>
    <cellStyle name="Check Cell 57 2" xfId="42477" xr:uid="{00000000-0005-0000-0000-0000E4A50000}"/>
    <cellStyle name="Check Cell 57 2 2" xfId="42478" xr:uid="{00000000-0005-0000-0000-0000E5A50000}"/>
    <cellStyle name="Check Cell 57 3" xfId="42479" xr:uid="{00000000-0005-0000-0000-0000E6A50000}"/>
    <cellStyle name="Check Cell 58" xfId="42480" xr:uid="{00000000-0005-0000-0000-0000E7A50000}"/>
    <cellStyle name="Check Cell 58 2" xfId="42481" xr:uid="{00000000-0005-0000-0000-0000E8A50000}"/>
    <cellStyle name="Check Cell 58 2 2" xfId="42482" xr:uid="{00000000-0005-0000-0000-0000E9A50000}"/>
    <cellStyle name="Check Cell 58 3" xfId="42483" xr:uid="{00000000-0005-0000-0000-0000EAA50000}"/>
    <cellStyle name="Check Cell 59" xfId="42484" xr:uid="{00000000-0005-0000-0000-0000EBA50000}"/>
    <cellStyle name="Check Cell 59 2" xfId="42485" xr:uid="{00000000-0005-0000-0000-0000ECA50000}"/>
    <cellStyle name="Check Cell 59 2 2" xfId="42486" xr:uid="{00000000-0005-0000-0000-0000EDA50000}"/>
    <cellStyle name="Check Cell 59 3" xfId="42487" xr:uid="{00000000-0005-0000-0000-0000EEA50000}"/>
    <cellStyle name="Check Cell 59 3 2" xfId="42488" xr:uid="{00000000-0005-0000-0000-0000EFA50000}"/>
    <cellStyle name="Check Cell 59 4" xfId="42489" xr:uid="{00000000-0005-0000-0000-0000F0A50000}"/>
    <cellStyle name="Check Cell 6" xfId="42490" xr:uid="{00000000-0005-0000-0000-0000F1A50000}"/>
    <cellStyle name="Check Cell 6 2" xfId="42491" xr:uid="{00000000-0005-0000-0000-0000F2A50000}"/>
    <cellStyle name="Check Cell 6 2 2" xfId="42492" xr:uid="{00000000-0005-0000-0000-0000F3A50000}"/>
    <cellStyle name="Check Cell 6 3" xfId="42493" xr:uid="{00000000-0005-0000-0000-0000F4A50000}"/>
    <cellStyle name="Check Cell 6 3 2" xfId="42494" xr:uid="{00000000-0005-0000-0000-0000F5A50000}"/>
    <cellStyle name="Check Cell 6 4" xfId="42495" xr:uid="{00000000-0005-0000-0000-0000F6A50000}"/>
    <cellStyle name="Check Cell 6 4 2" xfId="42496" xr:uid="{00000000-0005-0000-0000-0000F7A50000}"/>
    <cellStyle name="Check Cell 6 5" xfId="42497" xr:uid="{00000000-0005-0000-0000-0000F8A50000}"/>
    <cellStyle name="Check Cell 60" xfId="42498" xr:uid="{00000000-0005-0000-0000-0000F9A50000}"/>
    <cellStyle name="Check Cell 60 2" xfId="42499" xr:uid="{00000000-0005-0000-0000-0000FAA50000}"/>
    <cellStyle name="Check Cell 60 2 2" xfId="42500" xr:uid="{00000000-0005-0000-0000-0000FBA50000}"/>
    <cellStyle name="Check Cell 60 3" xfId="42501" xr:uid="{00000000-0005-0000-0000-0000FCA50000}"/>
    <cellStyle name="Check Cell 61" xfId="42502" xr:uid="{00000000-0005-0000-0000-0000FDA50000}"/>
    <cellStyle name="Check Cell 61 2" xfId="42503" xr:uid="{00000000-0005-0000-0000-0000FEA50000}"/>
    <cellStyle name="Check Cell 61 2 2" xfId="42504" xr:uid="{00000000-0005-0000-0000-0000FFA50000}"/>
    <cellStyle name="Check Cell 61 3" xfId="42505" xr:uid="{00000000-0005-0000-0000-000000A60000}"/>
    <cellStyle name="Check Cell 62" xfId="42506" xr:uid="{00000000-0005-0000-0000-000001A60000}"/>
    <cellStyle name="Check Cell 62 2" xfId="42507" xr:uid="{00000000-0005-0000-0000-000002A60000}"/>
    <cellStyle name="Check Cell 62 2 2" xfId="42508" xr:uid="{00000000-0005-0000-0000-000003A60000}"/>
    <cellStyle name="Check Cell 62 3" xfId="42509" xr:uid="{00000000-0005-0000-0000-000004A60000}"/>
    <cellStyle name="Check Cell 63" xfId="42510" xr:uid="{00000000-0005-0000-0000-000005A60000}"/>
    <cellStyle name="Check Cell 63 2" xfId="42511" xr:uid="{00000000-0005-0000-0000-000006A60000}"/>
    <cellStyle name="Check Cell 63 2 2" xfId="42512" xr:uid="{00000000-0005-0000-0000-000007A60000}"/>
    <cellStyle name="Check Cell 63 3" xfId="42513" xr:uid="{00000000-0005-0000-0000-000008A60000}"/>
    <cellStyle name="Check Cell 64" xfId="42514" xr:uid="{00000000-0005-0000-0000-000009A60000}"/>
    <cellStyle name="Check Cell 64 2" xfId="42515" xr:uid="{00000000-0005-0000-0000-00000AA60000}"/>
    <cellStyle name="Check Cell 64 2 2" xfId="42516" xr:uid="{00000000-0005-0000-0000-00000BA60000}"/>
    <cellStyle name="Check Cell 64 3" xfId="42517" xr:uid="{00000000-0005-0000-0000-00000CA60000}"/>
    <cellStyle name="Check Cell 65" xfId="42518" xr:uid="{00000000-0005-0000-0000-00000DA60000}"/>
    <cellStyle name="Check Cell 65 2" xfId="42519" xr:uid="{00000000-0005-0000-0000-00000EA60000}"/>
    <cellStyle name="Check Cell 65 2 2" xfId="42520" xr:uid="{00000000-0005-0000-0000-00000FA60000}"/>
    <cellStyle name="Check Cell 65 3" xfId="42521" xr:uid="{00000000-0005-0000-0000-000010A60000}"/>
    <cellStyle name="Check Cell 66" xfId="42522" xr:uid="{00000000-0005-0000-0000-000011A60000}"/>
    <cellStyle name="Check Cell 66 2" xfId="42523" xr:uid="{00000000-0005-0000-0000-000012A60000}"/>
    <cellStyle name="Check Cell 66 2 2" xfId="42524" xr:uid="{00000000-0005-0000-0000-000013A60000}"/>
    <cellStyle name="Check Cell 66 3" xfId="42525" xr:uid="{00000000-0005-0000-0000-000014A60000}"/>
    <cellStyle name="Check Cell 67" xfId="42526" xr:uid="{00000000-0005-0000-0000-000015A60000}"/>
    <cellStyle name="Check Cell 67 2" xfId="42527" xr:uid="{00000000-0005-0000-0000-000016A60000}"/>
    <cellStyle name="Check Cell 67 2 2" xfId="42528" xr:uid="{00000000-0005-0000-0000-000017A60000}"/>
    <cellStyle name="Check Cell 67 3" xfId="42529" xr:uid="{00000000-0005-0000-0000-000018A60000}"/>
    <cellStyle name="Check Cell 68" xfId="42530" xr:uid="{00000000-0005-0000-0000-000019A60000}"/>
    <cellStyle name="Check Cell 68 2" xfId="42531" xr:uid="{00000000-0005-0000-0000-00001AA60000}"/>
    <cellStyle name="Check Cell 68 2 2" xfId="42532" xr:uid="{00000000-0005-0000-0000-00001BA60000}"/>
    <cellStyle name="Check Cell 68 3" xfId="42533" xr:uid="{00000000-0005-0000-0000-00001CA60000}"/>
    <cellStyle name="Check Cell 69" xfId="42534" xr:uid="{00000000-0005-0000-0000-00001DA60000}"/>
    <cellStyle name="Check Cell 69 2" xfId="42535" xr:uid="{00000000-0005-0000-0000-00001EA60000}"/>
    <cellStyle name="Check Cell 69 2 2" xfId="42536" xr:uid="{00000000-0005-0000-0000-00001FA60000}"/>
    <cellStyle name="Check Cell 69 3" xfId="42537" xr:uid="{00000000-0005-0000-0000-000020A60000}"/>
    <cellStyle name="Check Cell 7" xfId="42538" xr:uid="{00000000-0005-0000-0000-000021A60000}"/>
    <cellStyle name="Check Cell 7 2" xfId="42539" xr:uid="{00000000-0005-0000-0000-000022A60000}"/>
    <cellStyle name="Check Cell 7 2 2" xfId="42540" xr:uid="{00000000-0005-0000-0000-000023A60000}"/>
    <cellStyle name="Check Cell 7 3" xfId="42541" xr:uid="{00000000-0005-0000-0000-000024A60000}"/>
    <cellStyle name="Check Cell 7 3 2" xfId="42542" xr:uid="{00000000-0005-0000-0000-000025A60000}"/>
    <cellStyle name="Check Cell 7 4" xfId="42543" xr:uid="{00000000-0005-0000-0000-000026A60000}"/>
    <cellStyle name="Check Cell 7 4 2" xfId="42544" xr:uid="{00000000-0005-0000-0000-000027A60000}"/>
    <cellStyle name="Check Cell 7 5" xfId="42545" xr:uid="{00000000-0005-0000-0000-000028A60000}"/>
    <cellStyle name="Check Cell 70" xfId="42546" xr:uid="{00000000-0005-0000-0000-000029A60000}"/>
    <cellStyle name="Check Cell 70 2" xfId="42547" xr:uid="{00000000-0005-0000-0000-00002AA60000}"/>
    <cellStyle name="Check Cell 70 2 2" xfId="42548" xr:uid="{00000000-0005-0000-0000-00002BA60000}"/>
    <cellStyle name="Check Cell 70 3" xfId="42549" xr:uid="{00000000-0005-0000-0000-00002CA60000}"/>
    <cellStyle name="Check Cell 71" xfId="42550" xr:uid="{00000000-0005-0000-0000-00002DA60000}"/>
    <cellStyle name="Check Cell 71 2" xfId="42551" xr:uid="{00000000-0005-0000-0000-00002EA60000}"/>
    <cellStyle name="Check Cell 71 2 2" xfId="42552" xr:uid="{00000000-0005-0000-0000-00002FA60000}"/>
    <cellStyle name="Check Cell 71 3" xfId="42553" xr:uid="{00000000-0005-0000-0000-000030A60000}"/>
    <cellStyle name="Check Cell 72" xfId="42554" xr:uid="{00000000-0005-0000-0000-000031A60000}"/>
    <cellStyle name="Check Cell 72 2" xfId="42555" xr:uid="{00000000-0005-0000-0000-000032A60000}"/>
    <cellStyle name="Check Cell 72 2 2" xfId="42556" xr:uid="{00000000-0005-0000-0000-000033A60000}"/>
    <cellStyle name="Check Cell 72 3" xfId="42557" xr:uid="{00000000-0005-0000-0000-000034A60000}"/>
    <cellStyle name="Check Cell 73" xfId="42558" xr:uid="{00000000-0005-0000-0000-000035A60000}"/>
    <cellStyle name="Check Cell 73 2" xfId="42559" xr:uid="{00000000-0005-0000-0000-000036A60000}"/>
    <cellStyle name="Check Cell 73 2 2" xfId="42560" xr:uid="{00000000-0005-0000-0000-000037A60000}"/>
    <cellStyle name="Check Cell 73 3" xfId="42561" xr:uid="{00000000-0005-0000-0000-000038A60000}"/>
    <cellStyle name="Check Cell 74" xfId="42562" xr:uid="{00000000-0005-0000-0000-000039A60000}"/>
    <cellStyle name="Check Cell 74 2" xfId="42563" xr:uid="{00000000-0005-0000-0000-00003AA60000}"/>
    <cellStyle name="Check Cell 74 2 2" xfId="42564" xr:uid="{00000000-0005-0000-0000-00003BA60000}"/>
    <cellStyle name="Check Cell 74 3" xfId="42565" xr:uid="{00000000-0005-0000-0000-00003CA60000}"/>
    <cellStyle name="Check Cell 75" xfId="42566" xr:uid="{00000000-0005-0000-0000-00003DA60000}"/>
    <cellStyle name="Check Cell 75 2" xfId="42567" xr:uid="{00000000-0005-0000-0000-00003EA60000}"/>
    <cellStyle name="Check Cell 75 2 2" xfId="42568" xr:uid="{00000000-0005-0000-0000-00003FA60000}"/>
    <cellStyle name="Check Cell 75 3" xfId="42569" xr:uid="{00000000-0005-0000-0000-000040A60000}"/>
    <cellStyle name="Check Cell 76" xfId="42570" xr:uid="{00000000-0005-0000-0000-000041A60000}"/>
    <cellStyle name="Check Cell 76 2" xfId="42571" xr:uid="{00000000-0005-0000-0000-000042A60000}"/>
    <cellStyle name="Check Cell 76 2 2" xfId="42572" xr:uid="{00000000-0005-0000-0000-000043A60000}"/>
    <cellStyle name="Check Cell 76 3" xfId="42573" xr:uid="{00000000-0005-0000-0000-000044A60000}"/>
    <cellStyle name="Check Cell 77" xfId="42574" xr:uid="{00000000-0005-0000-0000-000045A60000}"/>
    <cellStyle name="Check Cell 77 2" xfId="42575" xr:uid="{00000000-0005-0000-0000-000046A60000}"/>
    <cellStyle name="Check Cell 77 2 2" xfId="42576" xr:uid="{00000000-0005-0000-0000-000047A60000}"/>
    <cellStyle name="Check Cell 77 3" xfId="42577" xr:uid="{00000000-0005-0000-0000-000048A60000}"/>
    <cellStyle name="Check Cell 78" xfId="42578" xr:uid="{00000000-0005-0000-0000-000049A60000}"/>
    <cellStyle name="Check Cell 78 2" xfId="42579" xr:uid="{00000000-0005-0000-0000-00004AA60000}"/>
    <cellStyle name="Check Cell 78 2 2" xfId="42580" xr:uid="{00000000-0005-0000-0000-00004BA60000}"/>
    <cellStyle name="Check Cell 78 3" xfId="42581" xr:uid="{00000000-0005-0000-0000-00004CA60000}"/>
    <cellStyle name="Check Cell 79" xfId="42582" xr:uid="{00000000-0005-0000-0000-00004DA60000}"/>
    <cellStyle name="Check Cell 79 2" xfId="42583" xr:uid="{00000000-0005-0000-0000-00004EA60000}"/>
    <cellStyle name="Check Cell 79 2 2" xfId="42584" xr:uid="{00000000-0005-0000-0000-00004FA60000}"/>
    <cellStyle name="Check Cell 79 3" xfId="42585" xr:uid="{00000000-0005-0000-0000-000050A60000}"/>
    <cellStyle name="Check Cell 8" xfId="42586" xr:uid="{00000000-0005-0000-0000-000051A60000}"/>
    <cellStyle name="Check Cell 8 2" xfId="42587" xr:uid="{00000000-0005-0000-0000-000052A60000}"/>
    <cellStyle name="Check Cell 8 2 2" xfId="42588" xr:uid="{00000000-0005-0000-0000-000053A60000}"/>
    <cellStyle name="Check Cell 8 3" xfId="42589" xr:uid="{00000000-0005-0000-0000-000054A60000}"/>
    <cellStyle name="Check Cell 8 3 2" xfId="42590" xr:uid="{00000000-0005-0000-0000-000055A60000}"/>
    <cellStyle name="Check Cell 8 4" xfId="42591" xr:uid="{00000000-0005-0000-0000-000056A60000}"/>
    <cellStyle name="Check Cell 8 4 2" xfId="42592" xr:uid="{00000000-0005-0000-0000-000057A60000}"/>
    <cellStyle name="Check Cell 8 5" xfId="42593" xr:uid="{00000000-0005-0000-0000-000058A60000}"/>
    <cellStyle name="Check Cell 80" xfId="42594" xr:uid="{00000000-0005-0000-0000-000059A60000}"/>
    <cellStyle name="Check Cell 80 2" xfId="42595" xr:uid="{00000000-0005-0000-0000-00005AA60000}"/>
    <cellStyle name="Check Cell 80 2 2" xfId="42596" xr:uid="{00000000-0005-0000-0000-00005BA60000}"/>
    <cellStyle name="Check Cell 80 3" xfId="42597" xr:uid="{00000000-0005-0000-0000-00005CA60000}"/>
    <cellStyle name="Check Cell 81" xfId="42598" xr:uid="{00000000-0005-0000-0000-00005DA60000}"/>
    <cellStyle name="Check Cell 81 2" xfId="42599" xr:uid="{00000000-0005-0000-0000-00005EA60000}"/>
    <cellStyle name="Check Cell 81 2 2" xfId="42600" xr:uid="{00000000-0005-0000-0000-00005FA60000}"/>
    <cellStyle name="Check Cell 81 3" xfId="42601" xr:uid="{00000000-0005-0000-0000-000060A60000}"/>
    <cellStyle name="Check Cell 82" xfId="42602" xr:uid="{00000000-0005-0000-0000-000061A60000}"/>
    <cellStyle name="Check Cell 82 2" xfId="42603" xr:uid="{00000000-0005-0000-0000-000062A60000}"/>
    <cellStyle name="Check Cell 82 2 2" xfId="42604" xr:uid="{00000000-0005-0000-0000-000063A60000}"/>
    <cellStyle name="Check Cell 82 3" xfId="42605" xr:uid="{00000000-0005-0000-0000-000064A60000}"/>
    <cellStyle name="Check Cell 83" xfId="42606" xr:uid="{00000000-0005-0000-0000-000065A60000}"/>
    <cellStyle name="Check Cell 83 2" xfId="42607" xr:uid="{00000000-0005-0000-0000-000066A60000}"/>
    <cellStyle name="Check Cell 83 2 2" xfId="42608" xr:uid="{00000000-0005-0000-0000-000067A60000}"/>
    <cellStyle name="Check Cell 83 3" xfId="42609" xr:uid="{00000000-0005-0000-0000-000068A60000}"/>
    <cellStyle name="Check Cell 84" xfId="42610" xr:uid="{00000000-0005-0000-0000-000069A60000}"/>
    <cellStyle name="Check Cell 84 2" xfId="42611" xr:uid="{00000000-0005-0000-0000-00006AA60000}"/>
    <cellStyle name="Check Cell 84 2 2" xfId="42612" xr:uid="{00000000-0005-0000-0000-00006BA60000}"/>
    <cellStyle name="Check Cell 84 3" xfId="42613" xr:uid="{00000000-0005-0000-0000-00006CA60000}"/>
    <cellStyle name="Check Cell 85" xfId="42614" xr:uid="{00000000-0005-0000-0000-00006DA60000}"/>
    <cellStyle name="Check Cell 85 2" xfId="42615" xr:uid="{00000000-0005-0000-0000-00006EA60000}"/>
    <cellStyle name="Check Cell 85 2 2" xfId="42616" xr:uid="{00000000-0005-0000-0000-00006FA60000}"/>
    <cellStyle name="Check Cell 85 3" xfId="42617" xr:uid="{00000000-0005-0000-0000-000070A60000}"/>
    <cellStyle name="Check Cell 86" xfId="42618" xr:uid="{00000000-0005-0000-0000-000071A60000}"/>
    <cellStyle name="Check Cell 86 2" xfId="42619" xr:uid="{00000000-0005-0000-0000-000072A60000}"/>
    <cellStyle name="Check Cell 86 2 2" xfId="42620" xr:uid="{00000000-0005-0000-0000-000073A60000}"/>
    <cellStyle name="Check Cell 86 3" xfId="42621" xr:uid="{00000000-0005-0000-0000-000074A60000}"/>
    <cellStyle name="Check Cell 87" xfId="42622" xr:uid="{00000000-0005-0000-0000-000075A60000}"/>
    <cellStyle name="Check Cell 87 2" xfId="42623" xr:uid="{00000000-0005-0000-0000-000076A60000}"/>
    <cellStyle name="Check Cell 87 2 2" xfId="42624" xr:uid="{00000000-0005-0000-0000-000077A60000}"/>
    <cellStyle name="Check Cell 87 3" xfId="42625" xr:uid="{00000000-0005-0000-0000-000078A60000}"/>
    <cellStyle name="Check Cell 88" xfId="42626" xr:uid="{00000000-0005-0000-0000-000079A60000}"/>
    <cellStyle name="Check Cell 88 2" xfId="42627" xr:uid="{00000000-0005-0000-0000-00007AA60000}"/>
    <cellStyle name="Check Cell 88 2 2" xfId="42628" xr:uid="{00000000-0005-0000-0000-00007BA60000}"/>
    <cellStyle name="Check Cell 88 3" xfId="42629" xr:uid="{00000000-0005-0000-0000-00007CA60000}"/>
    <cellStyle name="Check Cell 89" xfId="42630" xr:uid="{00000000-0005-0000-0000-00007DA60000}"/>
    <cellStyle name="Check Cell 89 2" xfId="42631" xr:uid="{00000000-0005-0000-0000-00007EA60000}"/>
    <cellStyle name="Check Cell 89 2 2" xfId="42632" xr:uid="{00000000-0005-0000-0000-00007FA60000}"/>
    <cellStyle name="Check Cell 89 3" xfId="42633" xr:uid="{00000000-0005-0000-0000-000080A60000}"/>
    <cellStyle name="Check Cell 9" xfId="42634" xr:uid="{00000000-0005-0000-0000-000081A60000}"/>
    <cellStyle name="Check Cell 9 2" xfId="42635" xr:uid="{00000000-0005-0000-0000-000082A60000}"/>
    <cellStyle name="Check Cell 9 2 2" xfId="42636" xr:uid="{00000000-0005-0000-0000-000083A60000}"/>
    <cellStyle name="Check Cell 9 3" xfId="42637" xr:uid="{00000000-0005-0000-0000-000084A60000}"/>
    <cellStyle name="Check Cell 9 3 2" xfId="42638" xr:uid="{00000000-0005-0000-0000-000085A60000}"/>
    <cellStyle name="Check Cell 9 4" xfId="42639" xr:uid="{00000000-0005-0000-0000-000086A60000}"/>
    <cellStyle name="Check Cell 9 4 2" xfId="42640" xr:uid="{00000000-0005-0000-0000-000087A60000}"/>
    <cellStyle name="Check Cell 9 5" xfId="42641" xr:uid="{00000000-0005-0000-0000-000088A60000}"/>
    <cellStyle name="Check Cell 90" xfId="42642" xr:uid="{00000000-0005-0000-0000-000089A60000}"/>
    <cellStyle name="Check Cell 90 2" xfId="42643" xr:uid="{00000000-0005-0000-0000-00008AA60000}"/>
    <cellStyle name="Check Cell 90 2 2" xfId="42644" xr:uid="{00000000-0005-0000-0000-00008BA60000}"/>
    <cellStyle name="Check Cell 90 3" xfId="42645" xr:uid="{00000000-0005-0000-0000-00008CA60000}"/>
    <cellStyle name="Check Cell 91" xfId="42646" xr:uid="{00000000-0005-0000-0000-00008DA60000}"/>
    <cellStyle name="Check Cell 91 2" xfId="42647" xr:uid="{00000000-0005-0000-0000-00008EA60000}"/>
    <cellStyle name="Check Cell 91 2 2" xfId="42648" xr:uid="{00000000-0005-0000-0000-00008FA60000}"/>
    <cellStyle name="Check Cell 91 3" xfId="42649" xr:uid="{00000000-0005-0000-0000-000090A60000}"/>
    <cellStyle name="Check Cell 92" xfId="42650" xr:uid="{00000000-0005-0000-0000-000091A60000}"/>
    <cellStyle name="Check Cell 92 2" xfId="42651" xr:uid="{00000000-0005-0000-0000-000092A60000}"/>
    <cellStyle name="Check Cell 92 2 2" xfId="42652" xr:uid="{00000000-0005-0000-0000-000093A60000}"/>
    <cellStyle name="Check Cell 92 3" xfId="42653" xr:uid="{00000000-0005-0000-0000-000094A60000}"/>
    <cellStyle name="Check Cell 93" xfId="42654" xr:uid="{00000000-0005-0000-0000-000095A60000}"/>
    <cellStyle name="Check Cell 93 2" xfId="42655" xr:uid="{00000000-0005-0000-0000-000096A60000}"/>
    <cellStyle name="Check Cell 93 2 2" xfId="42656" xr:uid="{00000000-0005-0000-0000-000097A60000}"/>
    <cellStyle name="Check Cell 93 3" xfId="42657" xr:uid="{00000000-0005-0000-0000-000098A60000}"/>
    <cellStyle name="Check Cell 94" xfId="42658" xr:uid="{00000000-0005-0000-0000-000099A60000}"/>
    <cellStyle name="Check Cell 94 2" xfId="42659" xr:uid="{00000000-0005-0000-0000-00009AA60000}"/>
    <cellStyle name="Check Cell 94 2 2" xfId="42660" xr:uid="{00000000-0005-0000-0000-00009BA60000}"/>
    <cellStyle name="Check Cell 94 3" xfId="42661" xr:uid="{00000000-0005-0000-0000-00009CA60000}"/>
    <cellStyle name="Check Cell 95" xfId="42662" xr:uid="{00000000-0005-0000-0000-00009DA60000}"/>
    <cellStyle name="Check Cell 95 2" xfId="42663" xr:uid="{00000000-0005-0000-0000-00009EA60000}"/>
    <cellStyle name="Check Cell 95 2 2" xfId="42664" xr:uid="{00000000-0005-0000-0000-00009FA60000}"/>
    <cellStyle name="Check Cell 95 3" xfId="42665" xr:uid="{00000000-0005-0000-0000-0000A0A60000}"/>
    <cellStyle name="Check Cell 96" xfId="42666" xr:uid="{00000000-0005-0000-0000-0000A1A60000}"/>
    <cellStyle name="Check Cell 96 2" xfId="42667" xr:uid="{00000000-0005-0000-0000-0000A2A60000}"/>
    <cellStyle name="Check Cell 96 2 2" xfId="42668" xr:uid="{00000000-0005-0000-0000-0000A3A60000}"/>
    <cellStyle name="Check Cell 96 3" xfId="42669" xr:uid="{00000000-0005-0000-0000-0000A4A60000}"/>
    <cellStyle name="Check Cell 97" xfId="42670" xr:uid="{00000000-0005-0000-0000-0000A5A60000}"/>
    <cellStyle name="Check Cell 97 2" xfId="42671" xr:uid="{00000000-0005-0000-0000-0000A6A60000}"/>
    <cellStyle name="Check Cell 97 2 2" xfId="42672" xr:uid="{00000000-0005-0000-0000-0000A7A60000}"/>
    <cellStyle name="Check Cell 97 3" xfId="42673" xr:uid="{00000000-0005-0000-0000-0000A8A60000}"/>
    <cellStyle name="Check Cell 98" xfId="42674" xr:uid="{00000000-0005-0000-0000-0000A9A60000}"/>
    <cellStyle name="Check Cell 98 2" xfId="42675" xr:uid="{00000000-0005-0000-0000-0000AAA60000}"/>
    <cellStyle name="Check Cell 98 2 2" xfId="42676" xr:uid="{00000000-0005-0000-0000-0000ABA60000}"/>
    <cellStyle name="Check Cell 98 3" xfId="42677" xr:uid="{00000000-0005-0000-0000-0000ACA60000}"/>
    <cellStyle name="Check Cell 99" xfId="42678" xr:uid="{00000000-0005-0000-0000-0000ADA60000}"/>
    <cellStyle name="Check Cell 99 2" xfId="42679" xr:uid="{00000000-0005-0000-0000-0000AEA60000}"/>
    <cellStyle name="Check Cell 99 2 2" xfId="42680" xr:uid="{00000000-0005-0000-0000-0000AFA60000}"/>
    <cellStyle name="Check Cell 99 3" xfId="42681" xr:uid="{00000000-0005-0000-0000-0000B0A60000}"/>
    <cellStyle name="ClearBorders" xfId="42682" xr:uid="{00000000-0005-0000-0000-0000B1A60000}"/>
    <cellStyle name="ClearBorders 2" xfId="42683" xr:uid="{00000000-0005-0000-0000-0000B2A60000}"/>
    <cellStyle name="ClearBorders 2 2" xfId="42684" xr:uid="{00000000-0005-0000-0000-0000B3A60000}"/>
    <cellStyle name="ClearBorders 3" xfId="42685" xr:uid="{00000000-0005-0000-0000-0000B4A60000}"/>
    <cellStyle name="clsRowHeader" xfId="42686" xr:uid="{00000000-0005-0000-0000-0000B5A60000}"/>
    <cellStyle name="clsRowHeader 2" xfId="42687" xr:uid="{00000000-0005-0000-0000-0000B6A60000}"/>
    <cellStyle name="clsRowHeader 2 2" xfId="42688" xr:uid="{00000000-0005-0000-0000-0000B7A60000}"/>
    <cellStyle name="clsRowHeader 2 2 2" xfId="42689" xr:uid="{00000000-0005-0000-0000-0000B8A60000}"/>
    <cellStyle name="clsRowHeader 2 3" xfId="42690" xr:uid="{00000000-0005-0000-0000-0000B9A60000}"/>
    <cellStyle name="clsRowHeader 2 3 2" xfId="42691" xr:uid="{00000000-0005-0000-0000-0000BAA60000}"/>
    <cellStyle name="clsRowHeader 2 3 3" xfId="42692" xr:uid="{00000000-0005-0000-0000-0000BBA60000}"/>
    <cellStyle name="clsRowHeader 2 4" xfId="42693" xr:uid="{00000000-0005-0000-0000-0000BCA60000}"/>
    <cellStyle name="clsRowHeader 2 5" xfId="42694" xr:uid="{00000000-0005-0000-0000-0000BDA60000}"/>
    <cellStyle name="clsRowHeader 3" xfId="42695" xr:uid="{00000000-0005-0000-0000-0000BEA60000}"/>
    <cellStyle name="clsRowHeader 3 2" xfId="42696" xr:uid="{00000000-0005-0000-0000-0000BFA60000}"/>
    <cellStyle name="clsRowHeader 4" xfId="42697" xr:uid="{00000000-0005-0000-0000-0000C0A60000}"/>
    <cellStyle name="clsRowHeader 4 2" xfId="42698" xr:uid="{00000000-0005-0000-0000-0000C1A60000}"/>
    <cellStyle name="clsRowHeader 4 3" xfId="42699" xr:uid="{00000000-0005-0000-0000-0000C2A60000}"/>
    <cellStyle name="clsRowHeader 5" xfId="42700" xr:uid="{00000000-0005-0000-0000-0000C3A60000}"/>
    <cellStyle name="clsRowHeader 6" xfId="42701" xr:uid="{00000000-0005-0000-0000-0000C4A60000}"/>
    <cellStyle name="Column Header" xfId="42702" xr:uid="{00000000-0005-0000-0000-0000C5A60000}"/>
    <cellStyle name="Column Header 2" xfId="42703" xr:uid="{00000000-0005-0000-0000-0000C6A60000}"/>
    <cellStyle name="Column Header 2 2" xfId="42704" xr:uid="{00000000-0005-0000-0000-0000C7A60000}"/>
    <cellStyle name="Column Header 2 2 2" xfId="42705" xr:uid="{00000000-0005-0000-0000-0000C8A60000}"/>
    <cellStyle name="Column Header 2 2 3" xfId="42706" xr:uid="{00000000-0005-0000-0000-0000C9A60000}"/>
    <cellStyle name="Column Header 2 3" xfId="42707" xr:uid="{00000000-0005-0000-0000-0000CAA60000}"/>
    <cellStyle name="Column Header 2 3 2" xfId="42708" xr:uid="{00000000-0005-0000-0000-0000CBA60000}"/>
    <cellStyle name="Column Header 2 4" xfId="42709" xr:uid="{00000000-0005-0000-0000-0000CCA60000}"/>
    <cellStyle name="Column Header 2 5" xfId="42710" xr:uid="{00000000-0005-0000-0000-0000CDA60000}"/>
    <cellStyle name="Column Header 3" xfId="42711" xr:uid="{00000000-0005-0000-0000-0000CEA60000}"/>
    <cellStyle name="Column Header 3 2" xfId="42712" xr:uid="{00000000-0005-0000-0000-0000CFA60000}"/>
    <cellStyle name="Column Header 4" xfId="42713" xr:uid="{00000000-0005-0000-0000-0000D0A60000}"/>
    <cellStyle name="Column Header 5" xfId="42714" xr:uid="{00000000-0005-0000-0000-0000D1A60000}"/>
    <cellStyle name="Column Heading" xfId="42715" xr:uid="{00000000-0005-0000-0000-0000D2A60000}"/>
    <cellStyle name="Column Heading 2" xfId="42716" xr:uid="{00000000-0005-0000-0000-0000D3A60000}"/>
    <cellStyle name="Column Heading 2 2" xfId="42717" xr:uid="{00000000-0005-0000-0000-0000D4A60000}"/>
    <cellStyle name="Column Heading 2 2 2" xfId="42718" xr:uid="{00000000-0005-0000-0000-0000D5A60000}"/>
    <cellStyle name="Column Heading 2 3" xfId="42719" xr:uid="{00000000-0005-0000-0000-0000D6A60000}"/>
    <cellStyle name="Column Heading 3" xfId="42720" xr:uid="{00000000-0005-0000-0000-0000D7A60000}"/>
    <cellStyle name="Column Heading 3 2" xfId="42721" xr:uid="{00000000-0005-0000-0000-0000D8A60000}"/>
    <cellStyle name="Column Heading 4" xfId="42722" xr:uid="{00000000-0005-0000-0000-0000D9A60000}"/>
    <cellStyle name="Column_Title" xfId="42723" xr:uid="{00000000-0005-0000-0000-0000DAA60000}"/>
    <cellStyle name="COLUNA" xfId="42724" xr:uid="{00000000-0005-0000-0000-0000DBA60000}"/>
    <cellStyle name="COLUNA 2" xfId="42725" xr:uid="{00000000-0005-0000-0000-0000DCA60000}"/>
    <cellStyle name="COLUNA 2 2" xfId="42726" xr:uid="{00000000-0005-0000-0000-0000DDA60000}"/>
    <cellStyle name="COLUNA 2 2 2" xfId="42727" xr:uid="{00000000-0005-0000-0000-0000DEA60000}"/>
    <cellStyle name="COLUNA 2 3" xfId="42728" xr:uid="{00000000-0005-0000-0000-0000DFA60000}"/>
    <cellStyle name="COLUNA 2 3 2" xfId="42729" xr:uid="{00000000-0005-0000-0000-0000E0A60000}"/>
    <cellStyle name="COLUNA 2 3 3" xfId="42730" xr:uid="{00000000-0005-0000-0000-0000E1A60000}"/>
    <cellStyle name="COLUNA 2 4" xfId="42731" xr:uid="{00000000-0005-0000-0000-0000E2A60000}"/>
    <cellStyle name="COLUNA 2 5" xfId="42732" xr:uid="{00000000-0005-0000-0000-0000E3A60000}"/>
    <cellStyle name="COLUNA 3" xfId="42733" xr:uid="{00000000-0005-0000-0000-0000E4A60000}"/>
    <cellStyle name="COLUNA 3 2" xfId="42734" xr:uid="{00000000-0005-0000-0000-0000E5A60000}"/>
    <cellStyle name="COLUNA 4" xfId="42735" xr:uid="{00000000-0005-0000-0000-0000E6A60000}"/>
    <cellStyle name="COLUNA 4 2" xfId="42736" xr:uid="{00000000-0005-0000-0000-0000E7A60000}"/>
    <cellStyle name="COLUNA 4 3" xfId="42737" xr:uid="{00000000-0005-0000-0000-0000E8A60000}"/>
    <cellStyle name="COLUNA 5" xfId="42738" xr:uid="{00000000-0005-0000-0000-0000E9A60000}"/>
    <cellStyle name="COLUNA 6" xfId="42739" xr:uid="{00000000-0005-0000-0000-0000EAA60000}"/>
    <cellStyle name="Comma  - Style1" xfId="42740" xr:uid="{00000000-0005-0000-0000-0000EBA60000}"/>
    <cellStyle name="Comma  - Style1 2" xfId="42741" xr:uid="{00000000-0005-0000-0000-0000ECA60000}"/>
    <cellStyle name="Comma  - Style2" xfId="42742" xr:uid="{00000000-0005-0000-0000-0000EDA60000}"/>
    <cellStyle name="Comma  - Style2 2" xfId="42743" xr:uid="{00000000-0005-0000-0000-0000EEA60000}"/>
    <cellStyle name="Comma  - Style3" xfId="42744" xr:uid="{00000000-0005-0000-0000-0000EFA60000}"/>
    <cellStyle name="Comma  - Style3 2" xfId="42745" xr:uid="{00000000-0005-0000-0000-0000F0A60000}"/>
    <cellStyle name="Comma  - Style4" xfId="42746" xr:uid="{00000000-0005-0000-0000-0000F1A60000}"/>
    <cellStyle name="Comma  - Style4 2" xfId="42747" xr:uid="{00000000-0005-0000-0000-0000F2A60000}"/>
    <cellStyle name="Comma  - Style5" xfId="42748" xr:uid="{00000000-0005-0000-0000-0000F3A60000}"/>
    <cellStyle name="Comma  - Style5 2" xfId="42749" xr:uid="{00000000-0005-0000-0000-0000F4A60000}"/>
    <cellStyle name="Comma  - Style6" xfId="42750" xr:uid="{00000000-0005-0000-0000-0000F5A60000}"/>
    <cellStyle name="Comma  - Style6 2" xfId="42751" xr:uid="{00000000-0005-0000-0000-0000F6A60000}"/>
    <cellStyle name="Comma  - Style7" xfId="42752" xr:uid="{00000000-0005-0000-0000-0000F7A60000}"/>
    <cellStyle name="Comma  - Style7 2" xfId="42753" xr:uid="{00000000-0005-0000-0000-0000F8A60000}"/>
    <cellStyle name="Comma  - Style8" xfId="42754" xr:uid="{00000000-0005-0000-0000-0000F9A60000}"/>
    <cellStyle name="Comma  - Style8 2" xfId="42755" xr:uid="{00000000-0005-0000-0000-0000FAA60000}"/>
    <cellStyle name="Comma %" xfId="42756" xr:uid="{00000000-0005-0000-0000-0000FBA60000}"/>
    <cellStyle name="Comma (1)" xfId="42757" xr:uid="{00000000-0005-0000-0000-0000FCA60000}"/>
    <cellStyle name="Comma [0] 2" xfId="42758" xr:uid="{00000000-0005-0000-0000-0000FDA60000}"/>
    <cellStyle name="Comma [0] 3" xfId="42759" xr:uid="{00000000-0005-0000-0000-0000FEA60000}"/>
    <cellStyle name="Comma [00]" xfId="42760" xr:uid="{00000000-0005-0000-0000-0000FFA60000}"/>
    <cellStyle name="Comma [00] 2" xfId="42761" xr:uid="{00000000-0005-0000-0000-000000A70000}"/>
    <cellStyle name="Comma [00] 2 2" xfId="42762" xr:uid="{00000000-0005-0000-0000-000001A70000}"/>
    <cellStyle name="Comma [00] 3" xfId="42763" xr:uid="{00000000-0005-0000-0000-000002A70000}"/>
    <cellStyle name="Comma [1]" xfId="42764" xr:uid="{00000000-0005-0000-0000-000003A70000}"/>
    <cellStyle name="Comma [1] 2" xfId="42765" xr:uid="{00000000-0005-0000-0000-000004A70000}"/>
    <cellStyle name="Comma [1] 2 2" xfId="42766" xr:uid="{00000000-0005-0000-0000-000005A70000}"/>
    <cellStyle name="Comma [1] 2 2 2" xfId="42767" xr:uid="{00000000-0005-0000-0000-000006A70000}"/>
    <cellStyle name="Comma [1] 2 3" xfId="42768" xr:uid="{00000000-0005-0000-0000-000007A70000}"/>
    <cellStyle name="Comma [1] 3" xfId="42769" xr:uid="{00000000-0005-0000-0000-000008A70000}"/>
    <cellStyle name="Comma [1] 3 2" xfId="42770" xr:uid="{00000000-0005-0000-0000-000009A70000}"/>
    <cellStyle name="Comma [1] 4" xfId="42771" xr:uid="{00000000-0005-0000-0000-00000AA70000}"/>
    <cellStyle name="Comma 0" xfId="42772" xr:uid="{00000000-0005-0000-0000-00000BA70000}"/>
    <cellStyle name="Comma 0 2" xfId="42773" xr:uid="{00000000-0005-0000-0000-00000CA70000}"/>
    <cellStyle name="Comma 0 2 2" xfId="42774" xr:uid="{00000000-0005-0000-0000-00000DA70000}"/>
    <cellStyle name="Comma 0 2 2 2" xfId="42775" xr:uid="{00000000-0005-0000-0000-00000EA70000}"/>
    <cellStyle name="Comma 0 2 3" xfId="42776" xr:uid="{00000000-0005-0000-0000-00000FA70000}"/>
    <cellStyle name="Comma 0 3" xfId="42777" xr:uid="{00000000-0005-0000-0000-000010A70000}"/>
    <cellStyle name="Comma 0 3 2" xfId="42778" xr:uid="{00000000-0005-0000-0000-000011A70000}"/>
    <cellStyle name="Comma 0 4" xfId="42779" xr:uid="{00000000-0005-0000-0000-000012A70000}"/>
    <cellStyle name="Comma 0*" xfId="42780" xr:uid="{00000000-0005-0000-0000-000013A70000}"/>
    <cellStyle name="Comma 0* 2" xfId="42781" xr:uid="{00000000-0005-0000-0000-000014A70000}"/>
    <cellStyle name="Comma 0* 2 2" xfId="42782" xr:uid="{00000000-0005-0000-0000-000015A70000}"/>
    <cellStyle name="Comma 0* 2 2 2" xfId="42783" xr:uid="{00000000-0005-0000-0000-000016A70000}"/>
    <cellStyle name="Comma 0* 2 3" xfId="42784" xr:uid="{00000000-0005-0000-0000-000017A70000}"/>
    <cellStyle name="Comma 0* 3" xfId="42785" xr:uid="{00000000-0005-0000-0000-000018A70000}"/>
    <cellStyle name="Comma 0* 3 2" xfId="42786" xr:uid="{00000000-0005-0000-0000-000019A70000}"/>
    <cellStyle name="Comma 0* 4" xfId="42787" xr:uid="{00000000-0005-0000-0000-00001AA70000}"/>
    <cellStyle name="Comma 0.0" xfId="42788" xr:uid="{00000000-0005-0000-0000-00001BA70000}"/>
    <cellStyle name="Comma 0.0%" xfId="42789" xr:uid="{00000000-0005-0000-0000-00001CA70000}"/>
    <cellStyle name="Comma 0.00" xfId="42790" xr:uid="{00000000-0005-0000-0000-00001DA70000}"/>
    <cellStyle name="Comma 0.00%" xfId="42791" xr:uid="{00000000-0005-0000-0000-00001EA70000}"/>
    <cellStyle name="Comma 0.000" xfId="42792" xr:uid="{00000000-0005-0000-0000-00001FA70000}"/>
    <cellStyle name="Comma 0.000%" xfId="42793" xr:uid="{00000000-0005-0000-0000-000020A70000}"/>
    <cellStyle name="Comma 0_tlk0001qpm" xfId="42794" xr:uid="{00000000-0005-0000-0000-000021A70000}"/>
    <cellStyle name="Comma 10" xfId="42795" xr:uid="{00000000-0005-0000-0000-000022A70000}"/>
    <cellStyle name="Comma 10 2" xfId="42796" xr:uid="{00000000-0005-0000-0000-000023A70000}"/>
    <cellStyle name="Comma 10 2 2" xfId="42797" xr:uid="{00000000-0005-0000-0000-000024A70000}"/>
    <cellStyle name="Comma 11" xfId="42798" xr:uid="{00000000-0005-0000-0000-000025A70000}"/>
    <cellStyle name="Comma 11 2" xfId="42799" xr:uid="{00000000-0005-0000-0000-000026A70000}"/>
    <cellStyle name="Comma 11 3" xfId="42800" xr:uid="{00000000-0005-0000-0000-000027A70000}"/>
    <cellStyle name="Comma 12" xfId="42801" xr:uid="{00000000-0005-0000-0000-000028A70000}"/>
    <cellStyle name="Comma 12 2" xfId="42802" xr:uid="{00000000-0005-0000-0000-000029A70000}"/>
    <cellStyle name="Comma 13" xfId="42803" xr:uid="{00000000-0005-0000-0000-00002AA70000}"/>
    <cellStyle name="Comma 13 2" xfId="42804" xr:uid="{00000000-0005-0000-0000-00002BA70000}"/>
    <cellStyle name="Comma 14" xfId="42805" xr:uid="{00000000-0005-0000-0000-00002CA70000}"/>
    <cellStyle name="Comma 14 2" xfId="42806" xr:uid="{00000000-0005-0000-0000-00002DA70000}"/>
    <cellStyle name="Comma 15" xfId="42807" xr:uid="{00000000-0005-0000-0000-00002EA70000}"/>
    <cellStyle name="Comma 15 2" xfId="42808" xr:uid="{00000000-0005-0000-0000-00002FA70000}"/>
    <cellStyle name="Comma 16" xfId="42809" xr:uid="{00000000-0005-0000-0000-000030A70000}"/>
    <cellStyle name="Comma 16 2" xfId="42810" xr:uid="{00000000-0005-0000-0000-000031A70000}"/>
    <cellStyle name="Comma 17" xfId="42811" xr:uid="{00000000-0005-0000-0000-000032A70000}"/>
    <cellStyle name="Comma 17 2" xfId="42812" xr:uid="{00000000-0005-0000-0000-000033A70000}"/>
    <cellStyle name="Comma 18" xfId="42813" xr:uid="{00000000-0005-0000-0000-000034A70000}"/>
    <cellStyle name="Comma 18 2" xfId="42814" xr:uid="{00000000-0005-0000-0000-000035A70000}"/>
    <cellStyle name="Comma 19" xfId="42815" xr:uid="{00000000-0005-0000-0000-000036A70000}"/>
    <cellStyle name="Comma 2" xfId="42816" xr:uid="{00000000-0005-0000-0000-000037A70000}"/>
    <cellStyle name="Comma 2 10" xfId="42817" xr:uid="{00000000-0005-0000-0000-000038A70000}"/>
    <cellStyle name="Comma 2 19" xfId="42818" xr:uid="{00000000-0005-0000-0000-000039A70000}"/>
    <cellStyle name="Comma 2 2" xfId="42819" xr:uid="{00000000-0005-0000-0000-00003AA70000}"/>
    <cellStyle name="Comma 2 2 2" xfId="42820" xr:uid="{00000000-0005-0000-0000-00003BA70000}"/>
    <cellStyle name="Comma 2 2 3" xfId="42821" xr:uid="{00000000-0005-0000-0000-00003CA70000}"/>
    <cellStyle name="Comma 2 2 4" xfId="42822" xr:uid="{00000000-0005-0000-0000-00003DA70000}"/>
    <cellStyle name="Comma 2 3" xfId="42823" xr:uid="{00000000-0005-0000-0000-00003EA70000}"/>
    <cellStyle name="Comma 2 3 2" xfId="42824" xr:uid="{00000000-0005-0000-0000-00003FA70000}"/>
    <cellStyle name="Comma 2 3 3" xfId="42825" xr:uid="{00000000-0005-0000-0000-000040A70000}"/>
    <cellStyle name="Comma 2 3 3 2" xfId="42826" xr:uid="{00000000-0005-0000-0000-000041A70000}"/>
    <cellStyle name="Comma 2 4" xfId="42827" xr:uid="{00000000-0005-0000-0000-000042A70000}"/>
    <cellStyle name="Comma 2 4 2" xfId="42828" xr:uid="{00000000-0005-0000-0000-000043A70000}"/>
    <cellStyle name="Comma 2 5" xfId="42829" xr:uid="{00000000-0005-0000-0000-000044A70000}"/>
    <cellStyle name="Comma 2 5 2" xfId="42830" xr:uid="{00000000-0005-0000-0000-000045A70000}"/>
    <cellStyle name="Comma 2 5 2 2" xfId="42831" xr:uid="{00000000-0005-0000-0000-000046A70000}"/>
    <cellStyle name="Comma 2 6" xfId="42832" xr:uid="{00000000-0005-0000-0000-000047A70000}"/>
    <cellStyle name="Comma 2 7" xfId="42833" xr:uid="{00000000-0005-0000-0000-000048A70000}"/>
    <cellStyle name="Comma 2 7 2" xfId="42834" xr:uid="{00000000-0005-0000-0000-000049A70000}"/>
    <cellStyle name="Comma 2 8" xfId="42835" xr:uid="{00000000-0005-0000-0000-00004AA70000}"/>
    <cellStyle name="Comma 2 9" xfId="42836" xr:uid="{00000000-0005-0000-0000-00004BA70000}"/>
    <cellStyle name="Comma 2 9 2" xfId="42837" xr:uid="{00000000-0005-0000-0000-00004CA70000}"/>
    <cellStyle name="Comma 20" xfId="42838" xr:uid="{00000000-0005-0000-0000-00004DA70000}"/>
    <cellStyle name="Comma 20 2" xfId="42839" xr:uid="{00000000-0005-0000-0000-00004EA70000}"/>
    <cellStyle name="Comma 21" xfId="42840" xr:uid="{00000000-0005-0000-0000-00004FA70000}"/>
    <cellStyle name="Comma 22" xfId="42841" xr:uid="{00000000-0005-0000-0000-000050A70000}"/>
    <cellStyle name="Comma 23" xfId="42842" xr:uid="{00000000-0005-0000-0000-000051A70000}"/>
    <cellStyle name="Comma 23 2" xfId="42843" xr:uid="{00000000-0005-0000-0000-000052A70000}"/>
    <cellStyle name="Comma 24" xfId="42844" xr:uid="{00000000-0005-0000-0000-000053A70000}"/>
    <cellStyle name="Comma 25" xfId="42845" xr:uid="{00000000-0005-0000-0000-000054A70000}"/>
    <cellStyle name="Comma 26" xfId="8" xr:uid="{00000000-0005-0000-0000-000055A70000}"/>
    <cellStyle name="Comma 27" xfId="42846" xr:uid="{00000000-0005-0000-0000-000056A70000}"/>
    <cellStyle name="Comma 28" xfId="42847" xr:uid="{00000000-0005-0000-0000-000057A70000}"/>
    <cellStyle name="Comma 29" xfId="42848" xr:uid="{00000000-0005-0000-0000-000058A70000}"/>
    <cellStyle name="Comma 3" xfId="42849" xr:uid="{00000000-0005-0000-0000-000059A70000}"/>
    <cellStyle name="Comma 3 2" xfId="42850" xr:uid="{00000000-0005-0000-0000-00005AA70000}"/>
    <cellStyle name="Comma 3 2 2" xfId="42851" xr:uid="{00000000-0005-0000-0000-00005BA70000}"/>
    <cellStyle name="Comma 3 3" xfId="42852" xr:uid="{00000000-0005-0000-0000-00005CA70000}"/>
    <cellStyle name="Comma 3 4" xfId="42853" xr:uid="{00000000-0005-0000-0000-00005DA70000}"/>
    <cellStyle name="Comma 3 5" xfId="42854" xr:uid="{00000000-0005-0000-0000-00005EA70000}"/>
    <cellStyle name="Comma 3 6" xfId="42855" xr:uid="{00000000-0005-0000-0000-00005FA70000}"/>
    <cellStyle name="Comma 3 9" xfId="42856" xr:uid="{00000000-0005-0000-0000-000060A70000}"/>
    <cellStyle name="Comma 30" xfId="42857" xr:uid="{00000000-0005-0000-0000-000061A70000}"/>
    <cellStyle name="Comma 31" xfId="42858" xr:uid="{00000000-0005-0000-0000-000062A70000}"/>
    <cellStyle name="Comma 32" xfId="42859" xr:uid="{00000000-0005-0000-0000-000063A70000}"/>
    <cellStyle name="Comma 33" xfId="42860" xr:uid="{00000000-0005-0000-0000-000064A70000}"/>
    <cellStyle name="Comma 34" xfId="42861" xr:uid="{00000000-0005-0000-0000-000065A70000}"/>
    <cellStyle name="Comma 35" xfId="42862" xr:uid="{00000000-0005-0000-0000-000066A70000}"/>
    <cellStyle name="Comma 36" xfId="42863" xr:uid="{00000000-0005-0000-0000-000067A70000}"/>
    <cellStyle name="Comma 37" xfId="42864" xr:uid="{00000000-0005-0000-0000-000068A70000}"/>
    <cellStyle name="Comma 38" xfId="42865" xr:uid="{00000000-0005-0000-0000-000069A70000}"/>
    <cellStyle name="Comma 39" xfId="42866" xr:uid="{00000000-0005-0000-0000-00006AA70000}"/>
    <cellStyle name="Comma 4" xfId="42867" xr:uid="{00000000-0005-0000-0000-00006BA70000}"/>
    <cellStyle name="Comma 4 2" xfId="42868" xr:uid="{00000000-0005-0000-0000-00006CA70000}"/>
    <cellStyle name="Comma 4 2 2" xfId="42869" xr:uid="{00000000-0005-0000-0000-00006DA70000}"/>
    <cellStyle name="Comma 4 2 2 2" xfId="42870" xr:uid="{00000000-0005-0000-0000-00006EA70000}"/>
    <cellStyle name="Comma 4 2 3" xfId="42871" xr:uid="{00000000-0005-0000-0000-00006FA70000}"/>
    <cellStyle name="Comma 4 2 3 2" xfId="42872" xr:uid="{00000000-0005-0000-0000-000070A70000}"/>
    <cellStyle name="Comma 4 2 4" xfId="42873" xr:uid="{00000000-0005-0000-0000-000071A70000}"/>
    <cellStyle name="Comma 4 3" xfId="42874" xr:uid="{00000000-0005-0000-0000-000072A70000}"/>
    <cellStyle name="Comma 4 4" xfId="42875" xr:uid="{00000000-0005-0000-0000-000073A70000}"/>
    <cellStyle name="Comma 4 4 2" xfId="42876" xr:uid="{00000000-0005-0000-0000-000074A70000}"/>
    <cellStyle name="Comma 4 4 2 2" xfId="42877" xr:uid="{00000000-0005-0000-0000-000075A70000}"/>
    <cellStyle name="Comma 4 4 3" xfId="42878" xr:uid="{00000000-0005-0000-0000-000076A70000}"/>
    <cellStyle name="Comma 4 5" xfId="42879" xr:uid="{00000000-0005-0000-0000-000077A70000}"/>
    <cellStyle name="Comma 40" xfId="42880" xr:uid="{00000000-0005-0000-0000-000078A70000}"/>
    <cellStyle name="Comma 41" xfId="42881" xr:uid="{00000000-0005-0000-0000-000079A70000}"/>
    <cellStyle name="Comma 42" xfId="42882" xr:uid="{00000000-0005-0000-0000-00007AA70000}"/>
    <cellStyle name="Comma 43" xfId="42883" xr:uid="{00000000-0005-0000-0000-00007BA70000}"/>
    <cellStyle name="Comma 44" xfId="42884" xr:uid="{00000000-0005-0000-0000-00007CA70000}"/>
    <cellStyle name="Comma 45" xfId="42885" xr:uid="{00000000-0005-0000-0000-00007DA70000}"/>
    <cellStyle name="Comma 46" xfId="42886" xr:uid="{00000000-0005-0000-0000-00007EA70000}"/>
    <cellStyle name="Comma 5" xfId="42887" xr:uid="{00000000-0005-0000-0000-00007FA70000}"/>
    <cellStyle name="Comma 5 2" xfId="42888" xr:uid="{00000000-0005-0000-0000-000080A70000}"/>
    <cellStyle name="Comma 5 2 2" xfId="42889" xr:uid="{00000000-0005-0000-0000-000081A70000}"/>
    <cellStyle name="Comma 5 3" xfId="42890" xr:uid="{00000000-0005-0000-0000-000082A70000}"/>
    <cellStyle name="Comma 5 3 2" xfId="42891" xr:uid="{00000000-0005-0000-0000-000083A70000}"/>
    <cellStyle name="Comma 5 4" xfId="42892" xr:uid="{00000000-0005-0000-0000-000084A70000}"/>
    <cellStyle name="Comma 6" xfId="42893" xr:uid="{00000000-0005-0000-0000-000085A70000}"/>
    <cellStyle name="Comma 6 2" xfId="42894" xr:uid="{00000000-0005-0000-0000-000086A70000}"/>
    <cellStyle name="Comma 7" xfId="42895" xr:uid="{00000000-0005-0000-0000-000087A70000}"/>
    <cellStyle name="Comma 7 2" xfId="42896" xr:uid="{00000000-0005-0000-0000-000088A70000}"/>
    <cellStyle name="Comma 7 3" xfId="42897" xr:uid="{00000000-0005-0000-0000-000089A70000}"/>
    <cellStyle name="Comma 7 4" xfId="42898" xr:uid="{00000000-0005-0000-0000-00008AA70000}"/>
    <cellStyle name="Comma 8" xfId="42899" xr:uid="{00000000-0005-0000-0000-00008BA70000}"/>
    <cellStyle name="Comma 9" xfId="42900" xr:uid="{00000000-0005-0000-0000-00008CA70000}"/>
    <cellStyle name="Comma 9 2" xfId="42901" xr:uid="{00000000-0005-0000-0000-00008DA70000}"/>
    <cellStyle name="Comma(0)" xfId="42902" xr:uid="{00000000-0005-0000-0000-00008EA70000}"/>
    <cellStyle name="Comma0" xfId="42903" xr:uid="{00000000-0005-0000-0000-00008FA70000}"/>
    <cellStyle name="Comma0 2" xfId="42904" xr:uid="{00000000-0005-0000-0000-000090A70000}"/>
    <cellStyle name="Commentaire" xfId="42905" xr:uid="{00000000-0005-0000-0000-000091A70000}"/>
    <cellStyle name="Commentaire 2" xfId="42906" xr:uid="{00000000-0005-0000-0000-000092A70000}"/>
    <cellStyle name="Commentaire 2 2" xfId="42907" xr:uid="{00000000-0005-0000-0000-000093A70000}"/>
    <cellStyle name="Commentaire 2 2 2" xfId="42908" xr:uid="{00000000-0005-0000-0000-000094A70000}"/>
    <cellStyle name="Commentaire 2 3" xfId="42909" xr:uid="{00000000-0005-0000-0000-000095A70000}"/>
    <cellStyle name="Commentaire 2 3 2" xfId="42910" xr:uid="{00000000-0005-0000-0000-000096A70000}"/>
    <cellStyle name="Commentaire 2 3 3" xfId="42911" xr:uid="{00000000-0005-0000-0000-000097A70000}"/>
    <cellStyle name="Commentaire 2 4" xfId="42912" xr:uid="{00000000-0005-0000-0000-000098A70000}"/>
    <cellStyle name="Commentaire 2 5" xfId="42913" xr:uid="{00000000-0005-0000-0000-000099A70000}"/>
    <cellStyle name="Commentaire 3" xfId="42914" xr:uid="{00000000-0005-0000-0000-00009AA70000}"/>
    <cellStyle name="Commentaire 3 2" xfId="42915" xr:uid="{00000000-0005-0000-0000-00009BA70000}"/>
    <cellStyle name="Commentaire 4" xfId="42916" xr:uid="{00000000-0005-0000-0000-00009CA70000}"/>
    <cellStyle name="Commentaire 4 2" xfId="42917" xr:uid="{00000000-0005-0000-0000-00009DA70000}"/>
    <cellStyle name="Commentaire 4 3" xfId="42918" xr:uid="{00000000-0005-0000-0000-00009EA70000}"/>
    <cellStyle name="Commentaire 5" xfId="42919" xr:uid="{00000000-0005-0000-0000-00009FA70000}"/>
    <cellStyle name="Commentaire 6" xfId="42920" xr:uid="{00000000-0005-0000-0000-0000A0A70000}"/>
    <cellStyle name="Company Name" xfId="42921" xr:uid="{00000000-0005-0000-0000-0000A1A70000}"/>
    <cellStyle name="Company Name 2" xfId="42922" xr:uid="{00000000-0005-0000-0000-0000A2A70000}"/>
    <cellStyle name="Company Name 2 2" xfId="42923" xr:uid="{00000000-0005-0000-0000-0000A3A70000}"/>
    <cellStyle name="Company Name 3" xfId="42924" xr:uid="{00000000-0005-0000-0000-0000A4A70000}"/>
    <cellStyle name="contorno" xfId="42925" xr:uid="{00000000-0005-0000-0000-0000A5A70000}"/>
    <cellStyle name="Copied" xfId="42926" xr:uid="{00000000-0005-0000-0000-0000A6A70000}"/>
    <cellStyle name="Copied 2" xfId="42927" xr:uid="{00000000-0005-0000-0000-0000A7A70000}"/>
    <cellStyle name="Copied 2 2" xfId="42928" xr:uid="{00000000-0005-0000-0000-0000A8A70000}"/>
    <cellStyle name="Copied 3" xfId="42929" xr:uid="{00000000-0005-0000-0000-0000A9A70000}"/>
    <cellStyle name="CR Comma" xfId="42930" xr:uid="{00000000-0005-0000-0000-0000AAA70000}"/>
    <cellStyle name="CR Currency" xfId="42931" xr:uid="{00000000-0005-0000-0000-0000ABA70000}"/>
    <cellStyle name="Credit" xfId="42932" xr:uid="{00000000-0005-0000-0000-0000ACA70000}"/>
    <cellStyle name="Credit subtotal" xfId="42933" xr:uid="{00000000-0005-0000-0000-0000ADA70000}"/>
    <cellStyle name="Credit subtotal 2" xfId="42934" xr:uid="{00000000-0005-0000-0000-0000AEA70000}"/>
    <cellStyle name="Credit subtotal 2 2" xfId="42935" xr:uid="{00000000-0005-0000-0000-0000AFA70000}"/>
    <cellStyle name="Credit subtotal 2 3" xfId="42936" xr:uid="{00000000-0005-0000-0000-0000B0A70000}"/>
    <cellStyle name="Credit subtotal 3" xfId="42937" xr:uid="{00000000-0005-0000-0000-0000B1A70000}"/>
    <cellStyle name="Credit subtotal 3 2" xfId="42938" xr:uid="{00000000-0005-0000-0000-0000B2A70000}"/>
    <cellStyle name="Credit subtotal 3 3" xfId="42939" xr:uid="{00000000-0005-0000-0000-0000B3A70000}"/>
    <cellStyle name="Credit subtotal 4" xfId="42940" xr:uid="{00000000-0005-0000-0000-0000B4A70000}"/>
    <cellStyle name="Credit subtotal 5" xfId="42941" xr:uid="{00000000-0005-0000-0000-0000B5A70000}"/>
    <cellStyle name="Credit Total" xfId="42942" xr:uid="{00000000-0005-0000-0000-0000B6A70000}"/>
    <cellStyle name="CuBrency [0]_GLOBAL_VARIABLE_All_PriceCats" xfId="42943" xr:uid="{00000000-0005-0000-0000-0000B7A70000}"/>
    <cellStyle name="CuBrency_GLOBAL_VARIABLE_1_Code Server" xfId="42944" xr:uid="{00000000-0005-0000-0000-0000B8A70000}"/>
    <cellStyle name="Curr w/ $" xfId="42945" xr:uid="{00000000-0005-0000-0000-0000B9A70000}"/>
    <cellStyle name="Curr w/ $ 0.0" xfId="42946" xr:uid="{00000000-0005-0000-0000-0000BAA70000}"/>
    <cellStyle name="Curr w/ $ 0.0 2" xfId="42947" xr:uid="{00000000-0005-0000-0000-0000BBA70000}"/>
    <cellStyle name="Curr w/ $ 0.0 3" xfId="42948" xr:uid="{00000000-0005-0000-0000-0000BCA70000}"/>
    <cellStyle name="Curr w/ $ 0.0 4" xfId="42949" xr:uid="{00000000-0005-0000-0000-0000BDA70000}"/>
    <cellStyle name="Curr w/ $_97 IN REVIEW" xfId="42950" xr:uid="{00000000-0005-0000-0000-0000BEA70000}"/>
    <cellStyle name="curr w/o $ 0.0" xfId="42951" xr:uid="{00000000-0005-0000-0000-0000BFA70000}"/>
    <cellStyle name="Currency %" xfId="42952" xr:uid="{00000000-0005-0000-0000-0000C0A70000}"/>
    <cellStyle name="Currency (B)" xfId="42953" xr:uid="{00000000-0005-0000-0000-0000C1A70000}"/>
    <cellStyle name="Currency (B) 2" xfId="42954" xr:uid="{00000000-0005-0000-0000-0000C2A70000}"/>
    <cellStyle name="Currency (B) 2 2" xfId="42955" xr:uid="{00000000-0005-0000-0000-0000C3A70000}"/>
    <cellStyle name="Currency (B) 3" xfId="42956" xr:uid="{00000000-0005-0000-0000-0000C4A70000}"/>
    <cellStyle name="Currency (B) 3 2" xfId="42957" xr:uid="{00000000-0005-0000-0000-0000C5A70000}"/>
    <cellStyle name="Currency (B) 4" xfId="42958" xr:uid="{00000000-0005-0000-0000-0000C6A70000}"/>
    <cellStyle name="Currency (blue)" xfId="42959" xr:uid="{00000000-0005-0000-0000-0000C7A70000}"/>
    <cellStyle name="Currency [" xfId="42960" xr:uid="{00000000-0005-0000-0000-0000C8A70000}"/>
    <cellStyle name="Currency [ 2" xfId="42961" xr:uid="{00000000-0005-0000-0000-0000C9A70000}"/>
    <cellStyle name="Currency [0]OCode Utilities (2)" xfId="42962" xr:uid="{00000000-0005-0000-0000-0000CAA70000}"/>
    <cellStyle name="Currency [0]OCode Utilities (2) 2" xfId="42963" xr:uid="{00000000-0005-0000-0000-0000CBA70000}"/>
    <cellStyle name="Currency [0]OCONTENTS (2)_S_NC_Shell" xfId="42964" xr:uid="{00000000-0005-0000-0000-0000CCA70000}"/>
    <cellStyle name="Currency [00]" xfId="42965" xr:uid="{00000000-0005-0000-0000-0000CDA70000}"/>
    <cellStyle name="Currency [00] 2" xfId="42966" xr:uid="{00000000-0005-0000-0000-0000CEA70000}"/>
    <cellStyle name="Currency [00] 2 2" xfId="42967" xr:uid="{00000000-0005-0000-0000-0000CFA70000}"/>
    <cellStyle name="Currency [00] 3" xfId="42968" xr:uid="{00000000-0005-0000-0000-0000D0A70000}"/>
    <cellStyle name="Currency [1]" xfId="42969" xr:uid="{00000000-0005-0000-0000-0000D1A70000}"/>
    <cellStyle name="Currency [1] 2" xfId="42970" xr:uid="{00000000-0005-0000-0000-0000D2A70000}"/>
    <cellStyle name="Currency [2]" xfId="42971" xr:uid="{00000000-0005-0000-0000-0000D3A70000}"/>
    <cellStyle name="Currency 0" xfId="42972" xr:uid="{00000000-0005-0000-0000-0000D4A70000}"/>
    <cellStyle name="Currency 0 2" xfId="42973" xr:uid="{00000000-0005-0000-0000-0000D5A70000}"/>
    <cellStyle name="Currency 0 2 2" xfId="42974" xr:uid="{00000000-0005-0000-0000-0000D6A70000}"/>
    <cellStyle name="Currency 0 2 2 2" xfId="42975" xr:uid="{00000000-0005-0000-0000-0000D7A70000}"/>
    <cellStyle name="Currency 0 2 3" xfId="42976" xr:uid="{00000000-0005-0000-0000-0000D8A70000}"/>
    <cellStyle name="Currency 0 3" xfId="42977" xr:uid="{00000000-0005-0000-0000-0000D9A70000}"/>
    <cellStyle name="Currency 0 3 2" xfId="42978" xr:uid="{00000000-0005-0000-0000-0000DAA70000}"/>
    <cellStyle name="Currency 0 4" xfId="42979" xr:uid="{00000000-0005-0000-0000-0000DBA70000}"/>
    <cellStyle name="Currency 0.0" xfId="42980" xr:uid="{00000000-0005-0000-0000-0000DCA70000}"/>
    <cellStyle name="Currency 0.0%" xfId="42981" xr:uid="{00000000-0005-0000-0000-0000DDA70000}"/>
    <cellStyle name="Currency 0.00" xfId="42982" xr:uid="{00000000-0005-0000-0000-0000DEA70000}"/>
    <cellStyle name="Currency 0.00%" xfId="42983" xr:uid="{00000000-0005-0000-0000-0000DFA70000}"/>
    <cellStyle name="Currency 0.000" xfId="42984" xr:uid="{00000000-0005-0000-0000-0000E0A70000}"/>
    <cellStyle name="Currency 0.000%" xfId="42985" xr:uid="{00000000-0005-0000-0000-0000E1A70000}"/>
    <cellStyle name="Currency 2" xfId="42986" xr:uid="{00000000-0005-0000-0000-0000E2A70000}"/>
    <cellStyle name="Currency 2 2" xfId="42987" xr:uid="{00000000-0005-0000-0000-0000E3A70000}"/>
    <cellStyle name="Currency 2 2 2" xfId="42988" xr:uid="{00000000-0005-0000-0000-0000E4A70000}"/>
    <cellStyle name="Currency 2 2 2 2" xfId="42989" xr:uid="{00000000-0005-0000-0000-0000E5A70000}"/>
    <cellStyle name="Currency 2 3" xfId="42990" xr:uid="{00000000-0005-0000-0000-0000E6A70000}"/>
    <cellStyle name="Currency 2 4" xfId="42991" xr:uid="{00000000-0005-0000-0000-0000E7A70000}"/>
    <cellStyle name="Currency 2 4 2" xfId="42992" xr:uid="{00000000-0005-0000-0000-0000E8A70000}"/>
    <cellStyle name="Currency 2 5" xfId="42993" xr:uid="{00000000-0005-0000-0000-0000E9A70000}"/>
    <cellStyle name="Currency 3" xfId="42994" xr:uid="{00000000-0005-0000-0000-0000EAA70000}"/>
    <cellStyle name="Currency 3 2" xfId="42995" xr:uid="{00000000-0005-0000-0000-0000EBA70000}"/>
    <cellStyle name="Currency 4" xfId="42996" xr:uid="{00000000-0005-0000-0000-0000ECA70000}"/>
    <cellStyle name="Currency 4 2" xfId="42997" xr:uid="{00000000-0005-0000-0000-0000EDA70000}"/>
    <cellStyle name="Currency 5" xfId="42998" xr:uid="{00000000-0005-0000-0000-0000EEA70000}"/>
    <cellStyle name="Currency W/O $" xfId="42999" xr:uid="{00000000-0005-0000-0000-0000EFA70000}"/>
    <cellStyle name="Currency0" xfId="43000" xr:uid="{00000000-0005-0000-0000-0000F0A70000}"/>
    <cellStyle name="Currency0 2" xfId="43001" xr:uid="{00000000-0005-0000-0000-0000F1A70000}"/>
    <cellStyle name="Currency0 2 2" xfId="43002" xr:uid="{00000000-0005-0000-0000-0000F2A70000}"/>
    <cellStyle name="Currency0 2 2 2" xfId="43003" xr:uid="{00000000-0005-0000-0000-0000F3A70000}"/>
    <cellStyle name="Currency0 2 3" xfId="43004" xr:uid="{00000000-0005-0000-0000-0000F4A70000}"/>
    <cellStyle name="Currency0 3" xfId="43005" xr:uid="{00000000-0005-0000-0000-0000F5A70000}"/>
    <cellStyle name="Currency1" xfId="43006" xr:uid="{00000000-0005-0000-0000-0000F6A70000}"/>
    <cellStyle name="Currency1 2" xfId="43007" xr:uid="{00000000-0005-0000-0000-0000F7A70000}"/>
    <cellStyle name="Currency1 2 2" xfId="43008" xr:uid="{00000000-0005-0000-0000-0000F8A70000}"/>
    <cellStyle name="Currency1 2 2 2" xfId="43009" xr:uid="{00000000-0005-0000-0000-0000F9A70000}"/>
    <cellStyle name="Currency1 2 3" xfId="43010" xr:uid="{00000000-0005-0000-0000-0000FAA70000}"/>
    <cellStyle name="Currency1 3" xfId="43011" xr:uid="{00000000-0005-0000-0000-0000FBA70000}"/>
    <cellStyle name="Currency1 3 2" xfId="43012" xr:uid="{00000000-0005-0000-0000-0000FCA70000}"/>
    <cellStyle name="Currency1 4" xfId="43013" xr:uid="{00000000-0005-0000-0000-0000FDA70000}"/>
    <cellStyle name="Currency2" xfId="43014" xr:uid="{00000000-0005-0000-0000-0000FEA70000}"/>
    <cellStyle name="darren" xfId="43015" xr:uid="{00000000-0005-0000-0000-0000FFA70000}"/>
    <cellStyle name="Dash" xfId="43016" xr:uid="{00000000-0005-0000-0000-000000A80000}"/>
    <cellStyle name="Data" xfId="43017" xr:uid="{00000000-0005-0000-0000-000001A80000}"/>
    <cellStyle name="Data 2" xfId="43018" xr:uid="{00000000-0005-0000-0000-000002A80000}"/>
    <cellStyle name="Data 2 2" xfId="43019" xr:uid="{00000000-0005-0000-0000-000003A80000}"/>
    <cellStyle name="Data 3" xfId="43020" xr:uid="{00000000-0005-0000-0000-000004A80000}"/>
    <cellStyle name="DataBold" xfId="43021" xr:uid="{00000000-0005-0000-0000-000005A80000}"/>
    <cellStyle name="DataBold 2" xfId="43022" xr:uid="{00000000-0005-0000-0000-000006A80000}"/>
    <cellStyle name="DataBold 2 2" xfId="43023" xr:uid="{00000000-0005-0000-0000-000007A80000}"/>
    <cellStyle name="DataBold 3" xfId="43024" xr:uid="{00000000-0005-0000-0000-000008A80000}"/>
    <cellStyle name="Date" xfId="43025" xr:uid="{00000000-0005-0000-0000-000009A80000}"/>
    <cellStyle name="Date 2" xfId="43026" xr:uid="{00000000-0005-0000-0000-00000AA80000}"/>
    <cellStyle name="Date 2 2" xfId="43027" xr:uid="{00000000-0005-0000-0000-00000BA80000}"/>
    <cellStyle name="Date 2 2 2" xfId="43028" xr:uid="{00000000-0005-0000-0000-00000CA80000}"/>
    <cellStyle name="Date 2 3" xfId="43029" xr:uid="{00000000-0005-0000-0000-00000DA80000}"/>
    <cellStyle name="Date 3" xfId="43030" xr:uid="{00000000-0005-0000-0000-00000EA80000}"/>
    <cellStyle name="Date 3 2" xfId="43031" xr:uid="{00000000-0005-0000-0000-00000FA80000}"/>
    <cellStyle name="Date 4" xfId="43032" xr:uid="{00000000-0005-0000-0000-000010A80000}"/>
    <cellStyle name="Date Aligned" xfId="43033" xr:uid="{00000000-0005-0000-0000-000011A80000}"/>
    <cellStyle name="Date Aligned 2" xfId="43034" xr:uid="{00000000-0005-0000-0000-000012A80000}"/>
    <cellStyle name="Date Aligned 2 2" xfId="43035" xr:uid="{00000000-0005-0000-0000-000013A80000}"/>
    <cellStyle name="Date Aligned 2 2 2" xfId="43036" xr:uid="{00000000-0005-0000-0000-000014A80000}"/>
    <cellStyle name="Date Aligned 2 3" xfId="43037" xr:uid="{00000000-0005-0000-0000-000015A80000}"/>
    <cellStyle name="Date Aligned 3" xfId="43038" xr:uid="{00000000-0005-0000-0000-000016A80000}"/>
    <cellStyle name="Date Aligned 3 2" xfId="43039" xr:uid="{00000000-0005-0000-0000-000017A80000}"/>
    <cellStyle name="Date Aligned 4" xfId="43040" xr:uid="{00000000-0005-0000-0000-000018A80000}"/>
    <cellStyle name="Date Short" xfId="43041" xr:uid="{00000000-0005-0000-0000-000019A80000}"/>
    <cellStyle name="Date_0907 Gabarito Exchange Rate" xfId="43042" xr:uid="{00000000-0005-0000-0000-00001AA80000}"/>
    <cellStyle name="Date2" xfId="43043" xr:uid="{00000000-0005-0000-0000-00001BA80000}"/>
    <cellStyle name="DATES" xfId="43044" xr:uid="{00000000-0005-0000-0000-00001CA80000}"/>
    <cellStyle name="Debit" xfId="43045" xr:uid="{00000000-0005-0000-0000-00001DA80000}"/>
    <cellStyle name="Debit subtotal" xfId="43046" xr:uid="{00000000-0005-0000-0000-00001EA80000}"/>
    <cellStyle name="Debit subtotal 2" xfId="43047" xr:uid="{00000000-0005-0000-0000-00001FA80000}"/>
    <cellStyle name="Debit subtotal 2 2" xfId="43048" xr:uid="{00000000-0005-0000-0000-000020A80000}"/>
    <cellStyle name="Debit subtotal 2 3" xfId="43049" xr:uid="{00000000-0005-0000-0000-000021A80000}"/>
    <cellStyle name="Debit subtotal 3" xfId="43050" xr:uid="{00000000-0005-0000-0000-000022A80000}"/>
    <cellStyle name="Debit subtotal 3 2" xfId="43051" xr:uid="{00000000-0005-0000-0000-000023A80000}"/>
    <cellStyle name="Debit subtotal 3 3" xfId="43052" xr:uid="{00000000-0005-0000-0000-000024A80000}"/>
    <cellStyle name="Debit subtotal 4" xfId="43053" xr:uid="{00000000-0005-0000-0000-000025A80000}"/>
    <cellStyle name="Debit subtotal 5" xfId="43054" xr:uid="{00000000-0005-0000-0000-000026A80000}"/>
    <cellStyle name="Debit Total" xfId="43055" xr:uid="{00000000-0005-0000-0000-000027A80000}"/>
    <cellStyle name="Dec_0" xfId="43056" xr:uid="{00000000-0005-0000-0000-000028A80000}"/>
    <cellStyle name="DELTA" xfId="43057" xr:uid="{00000000-0005-0000-0000-000029A80000}"/>
    <cellStyle name="DESTAQ1" xfId="43058" xr:uid="{00000000-0005-0000-0000-00002AA80000}"/>
    <cellStyle name="DESTAQ1 2" xfId="43059" xr:uid="{00000000-0005-0000-0000-00002BA80000}"/>
    <cellStyle name="DESTAQ1 2 2" xfId="43060" xr:uid="{00000000-0005-0000-0000-00002CA80000}"/>
    <cellStyle name="DESTAQ1 2 2 2" xfId="43061" xr:uid="{00000000-0005-0000-0000-00002DA80000}"/>
    <cellStyle name="DESTAQ1 2 3" xfId="43062" xr:uid="{00000000-0005-0000-0000-00002EA80000}"/>
    <cellStyle name="DESTAQ1 2 3 2" xfId="43063" xr:uid="{00000000-0005-0000-0000-00002FA80000}"/>
    <cellStyle name="DESTAQ1 2 3 3" xfId="43064" xr:uid="{00000000-0005-0000-0000-000030A80000}"/>
    <cellStyle name="DESTAQ1 2 4" xfId="43065" xr:uid="{00000000-0005-0000-0000-000031A80000}"/>
    <cellStyle name="DESTAQ1 2 5" xfId="43066" xr:uid="{00000000-0005-0000-0000-000032A80000}"/>
    <cellStyle name="DESTAQ1 3" xfId="43067" xr:uid="{00000000-0005-0000-0000-000033A80000}"/>
    <cellStyle name="DESTAQ1 3 2" xfId="43068" xr:uid="{00000000-0005-0000-0000-000034A80000}"/>
    <cellStyle name="DESTAQ1 3 2 2" xfId="43069" xr:uid="{00000000-0005-0000-0000-000035A80000}"/>
    <cellStyle name="DESTAQ1 3 2 3" xfId="43070" xr:uid="{00000000-0005-0000-0000-000036A80000}"/>
    <cellStyle name="DESTAQ1 3 3" xfId="43071" xr:uid="{00000000-0005-0000-0000-000037A80000}"/>
    <cellStyle name="DESTAQ1 4" xfId="43072" xr:uid="{00000000-0005-0000-0000-000038A80000}"/>
    <cellStyle name="DESTAQ1 4 2" xfId="43073" xr:uid="{00000000-0005-0000-0000-000039A80000}"/>
    <cellStyle name="DESTAQ1 4 3" xfId="43074" xr:uid="{00000000-0005-0000-0000-00003AA80000}"/>
    <cellStyle name="DESTAQ1 5" xfId="43075" xr:uid="{00000000-0005-0000-0000-00003BA80000}"/>
    <cellStyle name="DESTAQ1 6" xfId="43076" xr:uid="{00000000-0005-0000-0000-00003CA80000}"/>
    <cellStyle name="Dezimal [0]_bgtfinformat" xfId="43077" xr:uid="{00000000-0005-0000-0000-00003DA80000}"/>
    <cellStyle name="Dezimal_bgtfinformat" xfId="43078" xr:uid="{00000000-0005-0000-0000-00003EA80000}"/>
    <cellStyle name="Diseño" xfId="43079" xr:uid="{00000000-0005-0000-0000-00003FA80000}"/>
    <cellStyle name="Diseño 2" xfId="43080" xr:uid="{00000000-0005-0000-0000-000040A80000}"/>
    <cellStyle name="Diseño 2 2" xfId="43081" xr:uid="{00000000-0005-0000-0000-000041A80000}"/>
    <cellStyle name="Diseño 3" xfId="43082" xr:uid="{00000000-0005-0000-0000-000042A80000}"/>
    <cellStyle name="DOH" xfId="43083" xr:uid="{00000000-0005-0000-0000-000043A80000}"/>
    <cellStyle name="DOH 2" xfId="43084" xr:uid="{00000000-0005-0000-0000-000044A80000}"/>
    <cellStyle name="Dollars" xfId="43085" xr:uid="{00000000-0005-0000-0000-000045A80000}"/>
    <cellStyle name="Dollars 2" xfId="43086" xr:uid="{00000000-0005-0000-0000-000046A80000}"/>
    <cellStyle name="Dotted Line" xfId="43087" xr:uid="{00000000-0005-0000-0000-000047A80000}"/>
    <cellStyle name="Dotted Line 2" xfId="43088" xr:uid="{00000000-0005-0000-0000-000048A80000}"/>
    <cellStyle name="Dotted Line 2 2" xfId="43089" xr:uid="{00000000-0005-0000-0000-000049A80000}"/>
    <cellStyle name="Dotted Line 2 2 2" xfId="43090" xr:uid="{00000000-0005-0000-0000-00004AA80000}"/>
    <cellStyle name="Dotted Line 2 3" xfId="43091" xr:uid="{00000000-0005-0000-0000-00004BA80000}"/>
    <cellStyle name="Dotted Line 3" xfId="43092" xr:uid="{00000000-0005-0000-0000-00004CA80000}"/>
    <cellStyle name="Dotted Line 3 2" xfId="43093" xr:uid="{00000000-0005-0000-0000-00004DA80000}"/>
    <cellStyle name="Dotted Line 4" xfId="43094" xr:uid="{00000000-0005-0000-0000-00004EA80000}"/>
    <cellStyle name="Double Accounting" xfId="43095" xr:uid="{00000000-0005-0000-0000-00004FA80000}"/>
    <cellStyle name="Double Accounting 2" xfId="43096" xr:uid="{00000000-0005-0000-0000-000050A80000}"/>
    <cellStyle name="Double Accounting 2 2" xfId="43097" xr:uid="{00000000-0005-0000-0000-000051A80000}"/>
    <cellStyle name="Double Accounting 2 2 2" xfId="43098" xr:uid="{00000000-0005-0000-0000-000052A80000}"/>
    <cellStyle name="Double Accounting 2 3" xfId="43099" xr:uid="{00000000-0005-0000-0000-000053A80000}"/>
    <cellStyle name="Double Accounting 3" xfId="43100" xr:uid="{00000000-0005-0000-0000-000054A80000}"/>
    <cellStyle name="Double Accounting 3 2" xfId="43101" xr:uid="{00000000-0005-0000-0000-000055A80000}"/>
    <cellStyle name="Double Accounting 4" xfId="43102" xr:uid="{00000000-0005-0000-0000-000056A80000}"/>
    <cellStyle name="Emphasis 1" xfId="43103" xr:uid="{00000000-0005-0000-0000-000057A80000}"/>
    <cellStyle name="Emphasis 1 2" xfId="43104" xr:uid="{00000000-0005-0000-0000-000058A80000}"/>
    <cellStyle name="Emphasis 1 2 2" xfId="43105" xr:uid="{00000000-0005-0000-0000-000059A80000}"/>
    <cellStyle name="Emphasis 1 3" xfId="43106" xr:uid="{00000000-0005-0000-0000-00005AA80000}"/>
    <cellStyle name="Emphasis 1 3 2" xfId="43107" xr:uid="{00000000-0005-0000-0000-00005BA80000}"/>
    <cellStyle name="Emphasis 1 4" xfId="43108" xr:uid="{00000000-0005-0000-0000-00005CA80000}"/>
    <cellStyle name="Emphasis 1 4 2" xfId="43109" xr:uid="{00000000-0005-0000-0000-00005DA80000}"/>
    <cellStyle name="Emphasis 1 5" xfId="43110" xr:uid="{00000000-0005-0000-0000-00005EA80000}"/>
    <cellStyle name="Emphasis 1 5 2" xfId="43111" xr:uid="{00000000-0005-0000-0000-00005FA80000}"/>
    <cellStyle name="Emphasis 1 6" xfId="43112" xr:uid="{00000000-0005-0000-0000-000060A80000}"/>
    <cellStyle name="Emphasis 2" xfId="43113" xr:uid="{00000000-0005-0000-0000-000061A80000}"/>
    <cellStyle name="Emphasis 2 2" xfId="43114" xr:uid="{00000000-0005-0000-0000-000062A80000}"/>
    <cellStyle name="Emphasis 2 2 2" xfId="43115" xr:uid="{00000000-0005-0000-0000-000063A80000}"/>
    <cellStyle name="Emphasis 2 3" xfId="43116" xr:uid="{00000000-0005-0000-0000-000064A80000}"/>
    <cellStyle name="Emphasis 2 3 2" xfId="43117" xr:uid="{00000000-0005-0000-0000-000065A80000}"/>
    <cellStyle name="Emphasis 2 4" xfId="43118" xr:uid="{00000000-0005-0000-0000-000066A80000}"/>
    <cellStyle name="Emphasis 2 4 2" xfId="43119" xr:uid="{00000000-0005-0000-0000-000067A80000}"/>
    <cellStyle name="Emphasis 2 5" xfId="43120" xr:uid="{00000000-0005-0000-0000-000068A80000}"/>
    <cellStyle name="Emphasis 2 5 2" xfId="43121" xr:uid="{00000000-0005-0000-0000-000069A80000}"/>
    <cellStyle name="Emphasis 2 6" xfId="43122" xr:uid="{00000000-0005-0000-0000-00006AA80000}"/>
    <cellStyle name="Emphasis 3" xfId="43123" xr:uid="{00000000-0005-0000-0000-00006BA80000}"/>
    <cellStyle name="Emphasis 3 2" xfId="43124" xr:uid="{00000000-0005-0000-0000-00006CA80000}"/>
    <cellStyle name="Emphasis 3 2 2" xfId="43125" xr:uid="{00000000-0005-0000-0000-00006DA80000}"/>
    <cellStyle name="Emphasis 3 3" xfId="43126" xr:uid="{00000000-0005-0000-0000-00006EA80000}"/>
    <cellStyle name="Emphasis 3 3 2" xfId="43127" xr:uid="{00000000-0005-0000-0000-00006FA80000}"/>
    <cellStyle name="Emphasis 3 4" xfId="43128" xr:uid="{00000000-0005-0000-0000-000070A80000}"/>
    <cellStyle name="Emphasis 3 4 2" xfId="43129" xr:uid="{00000000-0005-0000-0000-000071A80000}"/>
    <cellStyle name="Emphasis 3 5" xfId="43130" xr:uid="{00000000-0005-0000-0000-000072A80000}"/>
    <cellStyle name="Emphasis 3 5 2" xfId="43131" xr:uid="{00000000-0005-0000-0000-000073A80000}"/>
    <cellStyle name="Emphasis 3 6" xfId="43132" xr:uid="{00000000-0005-0000-0000-000074A80000}"/>
    <cellStyle name="Encabezado" xfId="43133" xr:uid="{00000000-0005-0000-0000-000075A80000}"/>
    <cellStyle name="Encabezado 1" xfId="43134" xr:uid="{00000000-0005-0000-0000-000076A80000}"/>
    <cellStyle name="Encabezado 1 2" xfId="43135" xr:uid="{00000000-0005-0000-0000-000077A80000}"/>
    <cellStyle name="Encabezado 1 2 2" xfId="43136" xr:uid="{00000000-0005-0000-0000-000078A80000}"/>
    <cellStyle name="Encabezado 1 3" xfId="43137" xr:uid="{00000000-0005-0000-0000-000079A80000}"/>
    <cellStyle name="Encabezado 2" xfId="43138" xr:uid="{00000000-0005-0000-0000-00007AA80000}"/>
    <cellStyle name="Encabezado 2 2" xfId="43139" xr:uid="{00000000-0005-0000-0000-00007BA80000}"/>
    <cellStyle name="Encabezado 2 2 2" xfId="43140" xr:uid="{00000000-0005-0000-0000-00007CA80000}"/>
    <cellStyle name="Encabezado 2 3" xfId="43141" xr:uid="{00000000-0005-0000-0000-00007DA80000}"/>
    <cellStyle name="Encabezado 2 4" xfId="43142" xr:uid="{00000000-0005-0000-0000-00007EA80000}"/>
    <cellStyle name="Encabezado 3" xfId="43143" xr:uid="{00000000-0005-0000-0000-00007FA80000}"/>
    <cellStyle name="Encabezado 3 2" xfId="43144" xr:uid="{00000000-0005-0000-0000-000080A80000}"/>
    <cellStyle name="Encabezado 3 2 2" xfId="43145" xr:uid="{00000000-0005-0000-0000-000081A80000}"/>
    <cellStyle name="Encabezado 3 3" xfId="43146" xr:uid="{00000000-0005-0000-0000-000082A80000}"/>
    <cellStyle name="Encabezado 3 3 2" xfId="43147" xr:uid="{00000000-0005-0000-0000-000083A80000}"/>
    <cellStyle name="Encabezado 3 3 3" xfId="43148" xr:uid="{00000000-0005-0000-0000-000084A80000}"/>
    <cellStyle name="Encabezado 3 4" xfId="43149" xr:uid="{00000000-0005-0000-0000-000085A80000}"/>
    <cellStyle name="Encabezado 3 5" xfId="43150" xr:uid="{00000000-0005-0000-0000-000086A80000}"/>
    <cellStyle name="Encabezado 4" xfId="43151" xr:uid="{00000000-0005-0000-0000-000087A80000}"/>
    <cellStyle name="Encabezado 4 2" xfId="43152" xr:uid="{00000000-0005-0000-0000-000088A80000}"/>
    <cellStyle name="Encabezado 4 2 2" xfId="43153" xr:uid="{00000000-0005-0000-0000-000089A80000}"/>
    <cellStyle name="Encabezado 4 3" xfId="43154" xr:uid="{00000000-0005-0000-0000-00008AA80000}"/>
    <cellStyle name="Encabezado 5" xfId="43155" xr:uid="{00000000-0005-0000-0000-00008BA80000}"/>
    <cellStyle name="Encabezado 5 2" xfId="43156" xr:uid="{00000000-0005-0000-0000-00008CA80000}"/>
    <cellStyle name="Encabezado 5 2 2" xfId="43157" xr:uid="{00000000-0005-0000-0000-00008DA80000}"/>
    <cellStyle name="Encabezado 5 3" xfId="43158" xr:uid="{00000000-0005-0000-0000-00008EA80000}"/>
    <cellStyle name="Encabezado 5 3 2" xfId="43159" xr:uid="{00000000-0005-0000-0000-00008FA80000}"/>
    <cellStyle name="Encabezado 5 3 3" xfId="43160" xr:uid="{00000000-0005-0000-0000-000090A80000}"/>
    <cellStyle name="Encabezado 5 4" xfId="43161" xr:uid="{00000000-0005-0000-0000-000091A80000}"/>
    <cellStyle name="Encabezado 5 5" xfId="43162" xr:uid="{00000000-0005-0000-0000-000092A80000}"/>
    <cellStyle name="Encabezado 6" xfId="43163" xr:uid="{00000000-0005-0000-0000-000093A80000}"/>
    <cellStyle name="Encabezado 6 2" xfId="43164" xr:uid="{00000000-0005-0000-0000-000094A80000}"/>
    <cellStyle name="Encabezado 6 3" xfId="43165" xr:uid="{00000000-0005-0000-0000-000095A80000}"/>
    <cellStyle name="Encabezado 7" xfId="43166" xr:uid="{00000000-0005-0000-0000-000096A80000}"/>
    <cellStyle name="Encabezado 8" xfId="43167" xr:uid="{00000000-0005-0000-0000-000097A80000}"/>
    <cellStyle name="Encabezado preg" xfId="43168" xr:uid="{00000000-0005-0000-0000-000098A80000}"/>
    <cellStyle name="Encabezado preg 2" xfId="43169" xr:uid="{00000000-0005-0000-0000-000099A80000}"/>
    <cellStyle name="Encabezado preg 2 2" xfId="43170" xr:uid="{00000000-0005-0000-0000-00009AA80000}"/>
    <cellStyle name="Encabezado preg 2 2 2" xfId="43171" xr:uid="{00000000-0005-0000-0000-00009BA80000}"/>
    <cellStyle name="Encabezado preg 2 3" xfId="43172" xr:uid="{00000000-0005-0000-0000-00009CA80000}"/>
    <cellStyle name="Encabezado preg 2 3 2" xfId="43173" xr:uid="{00000000-0005-0000-0000-00009DA80000}"/>
    <cellStyle name="Encabezado preg 2 3 3" xfId="43174" xr:uid="{00000000-0005-0000-0000-00009EA80000}"/>
    <cellStyle name="Encabezado preg 2 4" xfId="43175" xr:uid="{00000000-0005-0000-0000-00009FA80000}"/>
    <cellStyle name="Encabezado preg 2 5" xfId="43176" xr:uid="{00000000-0005-0000-0000-0000A0A80000}"/>
    <cellStyle name="Encabezado preg 3" xfId="43177" xr:uid="{00000000-0005-0000-0000-0000A1A80000}"/>
    <cellStyle name="Encabezado preg 3 2" xfId="43178" xr:uid="{00000000-0005-0000-0000-0000A2A80000}"/>
    <cellStyle name="Encabezado preg 3 2 2" xfId="43179" xr:uid="{00000000-0005-0000-0000-0000A3A80000}"/>
    <cellStyle name="Encabezado preg 3 3" xfId="43180" xr:uid="{00000000-0005-0000-0000-0000A4A80000}"/>
    <cellStyle name="Encabezado preg 3 3 2" xfId="43181" xr:uid="{00000000-0005-0000-0000-0000A5A80000}"/>
    <cellStyle name="Encabezado preg 3 3 3" xfId="43182" xr:uid="{00000000-0005-0000-0000-0000A6A80000}"/>
    <cellStyle name="Encabezado preg 3 4" xfId="43183" xr:uid="{00000000-0005-0000-0000-0000A7A80000}"/>
    <cellStyle name="Encabezado preg 3 5" xfId="43184" xr:uid="{00000000-0005-0000-0000-0000A8A80000}"/>
    <cellStyle name="Encabezado preg 4" xfId="43185" xr:uid="{00000000-0005-0000-0000-0000A9A80000}"/>
    <cellStyle name="Encabezado preg 4 2" xfId="43186" xr:uid="{00000000-0005-0000-0000-0000AAA80000}"/>
    <cellStyle name="Encabezado preg 4 3" xfId="43187" xr:uid="{00000000-0005-0000-0000-0000ABA80000}"/>
    <cellStyle name="Encabezado preg 5" xfId="43188" xr:uid="{00000000-0005-0000-0000-0000ACA80000}"/>
    <cellStyle name="Encabezado preg 6" xfId="43189" xr:uid="{00000000-0005-0000-0000-0000ADA80000}"/>
    <cellStyle name="Ênfase1 2" xfId="43190" xr:uid="{00000000-0005-0000-0000-0000AEA80000}"/>
    <cellStyle name="Ênfase1 2 2" xfId="43191" xr:uid="{00000000-0005-0000-0000-0000AFA80000}"/>
    <cellStyle name="Ênfase1 3" xfId="43192" xr:uid="{00000000-0005-0000-0000-0000B0A80000}"/>
    <cellStyle name="Ênfase2 2" xfId="43193" xr:uid="{00000000-0005-0000-0000-0000B1A80000}"/>
    <cellStyle name="Ênfase2 2 2" xfId="43194" xr:uid="{00000000-0005-0000-0000-0000B2A80000}"/>
    <cellStyle name="Ênfase2 3" xfId="43195" xr:uid="{00000000-0005-0000-0000-0000B3A80000}"/>
    <cellStyle name="Ênfase3 2" xfId="43196" xr:uid="{00000000-0005-0000-0000-0000B4A80000}"/>
    <cellStyle name="Ênfase3 2 2" xfId="43197" xr:uid="{00000000-0005-0000-0000-0000B5A80000}"/>
    <cellStyle name="Ênfase3 3" xfId="43198" xr:uid="{00000000-0005-0000-0000-0000B6A80000}"/>
    <cellStyle name="Ênfase4 2" xfId="43199" xr:uid="{00000000-0005-0000-0000-0000B7A80000}"/>
    <cellStyle name="Ênfase4 2 2" xfId="43200" xr:uid="{00000000-0005-0000-0000-0000B8A80000}"/>
    <cellStyle name="Ênfase4 3" xfId="43201" xr:uid="{00000000-0005-0000-0000-0000B9A80000}"/>
    <cellStyle name="Ênfase5 2" xfId="43202" xr:uid="{00000000-0005-0000-0000-0000BAA80000}"/>
    <cellStyle name="Ênfase5 2 2" xfId="43203" xr:uid="{00000000-0005-0000-0000-0000BBA80000}"/>
    <cellStyle name="Ênfase5 3" xfId="43204" xr:uid="{00000000-0005-0000-0000-0000BCA80000}"/>
    <cellStyle name="Ênfase6 2" xfId="43205" xr:uid="{00000000-0005-0000-0000-0000BDA80000}"/>
    <cellStyle name="Ênfase6 2 2" xfId="43206" xr:uid="{00000000-0005-0000-0000-0000BEA80000}"/>
    <cellStyle name="Ênfase6 3" xfId="43207" xr:uid="{00000000-0005-0000-0000-0000BFA80000}"/>
    <cellStyle name="Énfasis1" xfId="43208" xr:uid="{00000000-0005-0000-0000-0000C0A80000}"/>
    <cellStyle name="Énfasis1 2" xfId="43209" xr:uid="{00000000-0005-0000-0000-0000C1A80000}"/>
    <cellStyle name="Énfasis1 2 2" xfId="43210" xr:uid="{00000000-0005-0000-0000-0000C2A80000}"/>
    <cellStyle name="Énfasis1 3" xfId="43211" xr:uid="{00000000-0005-0000-0000-0000C3A80000}"/>
    <cellStyle name="Énfasis2" xfId="43212" xr:uid="{00000000-0005-0000-0000-0000C4A80000}"/>
    <cellStyle name="Énfasis2 2" xfId="43213" xr:uid="{00000000-0005-0000-0000-0000C5A80000}"/>
    <cellStyle name="Énfasis2 2 2" xfId="43214" xr:uid="{00000000-0005-0000-0000-0000C6A80000}"/>
    <cellStyle name="Énfasis2 3" xfId="43215" xr:uid="{00000000-0005-0000-0000-0000C7A80000}"/>
    <cellStyle name="Énfasis3" xfId="43216" xr:uid="{00000000-0005-0000-0000-0000C8A80000}"/>
    <cellStyle name="Énfasis3 2" xfId="43217" xr:uid="{00000000-0005-0000-0000-0000C9A80000}"/>
    <cellStyle name="Énfasis3 2 2" xfId="43218" xr:uid="{00000000-0005-0000-0000-0000CAA80000}"/>
    <cellStyle name="Énfasis3 3" xfId="43219" xr:uid="{00000000-0005-0000-0000-0000CBA80000}"/>
    <cellStyle name="Énfasis4" xfId="43220" xr:uid="{00000000-0005-0000-0000-0000CCA80000}"/>
    <cellStyle name="Énfasis4 2" xfId="43221" xr:uid="{00000000-0005-0000-0000-0000CDA80000}"/>
    <cellStyle name="Énfasis4 2 2" xfId="43222" xr:uid="{00000000-0005-0000-0000-0000CEA80000}"/>
    <cellStyle name="Énfasis4 3" xfId="43223" xr:uid="{00000000-0005-0000-0000-0000CFA80000}"/>
    <cellStyle name="Énfasis5" xfId="43224" xr:uid="{00000000-0005-0000-0000-0000D0A80000}"/>
    <cellStyle name="Énfasis5 2" xfId="43225" xr:uid="{00000000-0005-0000-0000-0000D1A80000}"/>
    <cellStyle name="Énfasis5 2 2" xfId="43226" xr:uid="{00000000-0005-0000-0000-0000D2A80000}"/>
    <cellStyle name="Énfasis5 3" xfId="43227" xr:uid="{00000000-0005-0000-0000-0000D3A80000}"/>
    <cellStyle name="Énfasis6" xfId="43228" xr:uid="{00000000-0005-0000-0000-0000D4A80000}"/>
    <cellStyle name="Énfasis6 2" xfId="43229" xr:uid="{00000000-0005-0000-0000-0000D5A80000}"/>
    <cellStyle name="Énfasis6 2 2" xfId="43230" xr:uid="{00000000-0005-0000-0000-0000D6A80000}"/>
    <cellStyle name="Énfasis6 3" xfId="43231" xr:uid="{00000000-0005-0000-0000-0000D7A80000}"/>
    <cellStyle name="Enter Currency (0)" xfId="43232" xr:uid="{00000000-0005-0000-0000-0000D8A80000}"/>
    <cellStyle name="Enter Currency (0) 2" xfId="43233" xr:uid="{00000000-0005-0000-0000-0000D9A80000}"/>
    <cellStyle name="Enter Currency (0) 2 2" xfId="43234" xr:uid="{00000000-0005-0000-0000-0000DAA80000}"/>
    <cellStyle name="Enter Currency (0) 3" xfId="43235" xr:uid="{00000000-0005-0000-0000-0000DBA80000}"/>
    <cellStyle name="Enter Currency (2)" xfId="43236" xr:uid="{00000000-0005-0000-0000-0000DCA80000}"/>
    <cellStyle name="Enter Currency (2) 2" xfId="43237" xr:uid="{00000000-0005-0000-0000-0000DDA80000}"/>
    <cellStyle name="Enter Currency (2) 2 2" xfId="43238" xr:uid="{00000000-0005-0000-0000-0000DEA80000}"/>
    <cellStyle name="Enter Currency (2) 3" xfId="43239" xr:uid="{00000000-0005-0000-0000-0000DFA80000}"/>
    <cellStyle name="Enter Units (0)" xfId="43240" xr:uid="{00000000-0005-0000-0000-0000E0A80000}"/>
    <cellStyle name="Enter Units (0) 2" xfId="43241" xr:uid="{00000000-0005-0000-0000-0000E1A80000}"/>
    <cellStyle name="Enter Units (0) 2 2" xfId="43242" xr:uid="{00000000-0005-0000-0000-0000E2A80000}"/>
    <cellStyle name="Enter Units (0) 3" xfId="43243" xr:uid="{00000000-0005-0000-0000-0000E3A80000}"/>
    <cellStyle name="Enter Units (1)" xfId="43244" xr:uid="{00000000-0005-0000-0000-0000E4A80000}"/>
    <cellStyle name="Enter Units (1) 2" xfId="43245" xr:uid="{00000000-0005-0000-0000-0000E5A80000}"/>
    <cellStyle name="Enter Units (1) 2 2" xfId="43246" xr:uid="{00000000-0005-0000-0000-0000E6A80000}"/>
    <cellStyle name="Enter Units (1) 3" xfId="43247" xr:uid="{00000000-0005-0000-0000-0000E7A80000}"/>
    <cellStyle name="Enter Units (2)" xfId="43248" xr:uid="{00000000-0005-0000-0000-0000E8A80000}"/>
    <cellStyle name="Enter Units (2) 2" xfId="43249" xr:uid="{00000000-0005-0000-0000-0000E9A80000}"/>
    <cellStyle name="Enter Units (2) 2 2" xfId="43250" xr:uid="{00000000-0005-0000-0000-0000EAA80000}"/>
    <cellStyle name="Enter Units (2) 3" xfId="43251" xr:uid="{00000000-0005-0000-0000-0000EBA80000}"/>
    <cellStyle name="Entered" xfId="43252" xr:uid="{00000000-0005-0000-0000-0000ECA80000}"/>
    <cellStyle name="Entered 2" xfId="43253" xr:uid="{00000000-0005-0000-0000-0000EDA80000}"/>
    <cellStyle name="Entered 2 2" xfId="43254" xr:uid="{00000000-0005-0000-0000-0000EEA80000}"/>
    <cellStyle name="Entered 3" xfId="43255" xr:uid="{00000000-0005-0000-0000-0000EFA80000}"/>
    <cellStyle name="Entrada 2" xfId="43256" xr:uid="{00000000-0005-0000-0000-0000F0A80000}"/>
    <cellStyle name="Entrada 2 2" xfId="43257" xr:uid="{00000000-0005-0000-0000-0000F1A80000}"/>
    <cellStyle name="Entrada 2 2 2" xfId="43258" xr:uid="{00000000-0005-0000-0000-0000F2A80000}"/>
    <cellStyle name="Entrada 2 3" xfId="43259" xr:uid="{00000000-0005-0000-0000-0000F3A80000}"/>
    <cellStyle name="Entrada 2 3 2" xfId="43260" xr:uid="{00000000-0005-0000-0000-0000F4A80000}"/>
    <cellStyle name="Entrada 2 3 3" xfId="43261" xr:uid="{00000000-0005-0000-0000-0000F5A80000}"/>
    <cellStyle name="Entrada 2 4" xfId="43262" xr:uid="{00000000-0005-0000-0000-0000F6A80000}"/>
    <cellStyle name="Entrada 2 5" xfId="43263" xr:uid="{00000000-0005-0000-0000-0000F7A80000}"/>
    <cellStyle name="Entrada 3" xfId="43264" xr:uid="{00000000-0005-0000-0000-0000F8A80000}"/>
    <cellStyle name="Entrada 3 2" xfId="43265" xr:uid="{00000000-0005-0000-0000-0000F9A80000}"/>
    <cellStyle name="Entrada 4" xfId="43266" xr:uid="{00000000-0005-0000-0000-0000FAA80000}"/>
    <cellStyle name="Entrada 4 2" xfId="43267" xr:uid="{00000000-0005-0000-0000-0000FBA80000}"/>
    <cellStyle name="Entrada 4 3" xfId="43268" xr:uid="{00000000-0005-0000-0000-0000FCA80000}"/>
    <cellStyle name="Entrada 5" xfId="43269" xr:uid="{00000000-0005-0000-0000-0000FDA80000}"/>
    <cellStyle name="Entrada 6" xfId="43270" xr:uid="{00000000-0005-0000-0000-0000FEA80000}"/>
    <cellStyle name="Entrée" xfId="43271" xr:uid="{00000000-0005-0000-0000-0000FFA80000}"/>
    <cellStyle name="Entrée 2" xfId="43272" xr:uid="{00000000-0005-0000-0000-000000A90000}"/>
    <cellStyle name="Entrée 2 2" xfId="43273" xr:uid="{00000000-0005-0000-0000-000001A90000}"/>
    <cellStyle name="Entrée 2 2 2" xfId="43274" xr:uid="{00000000-0005-0000-0000-000002A90000}"/>
    <cellStyle name="Entrée 2 3" xfId="43275" xr:uid="{00000000-0005-0000-0000-000003A90000}"/>
    <cellStyle name="Entrée 2 3 2" xfId="43276" xr:uid="{00000000-0005-0000-0000-000004A90000}"/>
    <cellStyle name="Entrée 2 3 3" xfId="43277" xr:uid="{00000000-0005-0000-0000-000005A90000}"/>
    <cellStyle name="Entrée 2 4" xfId="43278" xr:uid="{00000000-0005-0000-0000-000006A90000}"/>
    <cellStyle name="Entrée 2 5" xfId="43279" xr:uid="{00000000-0005-0000-0000-000007A90000}"/>
    <cellStyle name="Entrée 3" xfId="43280" xr:uid="{00000000-0005-0000-0000-000008A90000}"/>
    <cellStyle name="Entrée 3 2" xfId="43281" xr:uid="{00000000-0005-0000-0000-000009A90000}"/>
    <cellStyle name="Entrée 4" xfId="43282" xr:uid="{00000000-0005-0000-0000-00000AA90000}"/>
    <cellStyle name="Entrée 4 2" xfId="43283" xr:uid="{00000000-0005-0000-0000-00000BA90000}"/>
    <cellStyle name="Entrée 4 3" xfId="43284" xr:uid="{00000000-0005-0000-0000-00000CA90000}"/>
    <cellStyle name="Entrée 5" xfId="43285" xr:uid="{00000000-0005-0000-0000-00000DA90000}"/>
    <cellStyle name="Entrée 6" xfId="43286" xr:uid="{00000000-0005-0000-0000-00000EA90000}"/>
    <cellStyle name="Error" xfId="43287" xr:uid="{00000000-0005-0000-0000-00000FA90000}"/>
    <cellStyle name="Error 2" xfId="43288" xr:uid="{00000000-0005-0000-0000-000010A90000}"/>
    <cellStyle name="Estilo 1" xfId="43289" xr:uid="{00000000-0005-0000-0000-000011A90000}"/>
    <cellStyle name="Estilo 1 2" xfId="43290" xr:uid="{00000000-0005-0000-0000-000012A90000}"/>
    <cellStyle name="Estilo 1 2 2" xfId="43291" xr:uid="{00000000-0005-0000-0000-000013A90000}"/>
    <cellStyle name="Estilo 1 2 2 2" xfId="43292" xr:uid="{00000000-0005-0000-0000-000014A90000}"/>
    <cellStyle name="Estilo 1 2 3" xfId="43293" xr:uid="{00000000-0005-0000-0000-000015A90000}"/>
    <cellStyle name="Estilo 1 3" xfId="43294" xr:uid="{00000000-0005-0000-0000-000016A90000}"/>
    <cellStyle name="Estilo 1 3 2" xfId="43295" xr:uid="{00000000-0005-0000-0000-000017A90000}"/>
    <cellStyle name="Estilo 1 4" xfId="43296" xr:uid="{00000000-0005-0000-0000-000018A90000}"/>
    <cellStyle name="Euro" xfId="43297" xr:uid="{00000000-0005-0000-0000-000019A90000}"/>
    <cellStyle name="Euro 2" xfId="43298" xr:uid="{00000000-0005-0000-0000-00001AA90000}"/>
    <cellStyle name="Euro 2 2" xfId="43299" xr:uid="{00000000-0005-0000-0000-00001BA90000}"/>
    <cellStyle name="Euro 2 2 2" xfId="43300" xr:uid="{00000000-0005-0000-0000-00001CA90000}"/>
    <cellStyle name="Euro 2 3" xfId="43301" xr:uid="{00000000-0005-0000-0000-00001DA90000}"/>
    <cellStyle name="Euro 3" xfId="43302" xr:uid="{00000000-0005-0000-0000-00001EA90000}"/>
    <cellStyle name="Euro 4" xfId="43303" xr:uid="{00000000-0005-0000-0000-00001FA90000}"/>
    <cellStyle name="Euro 4 2" xfId="43304" xr:uid="{00000000-0005-0000-0000-000020A90000}"/>
    <cellStyle name="Euro 5" xfId="43305" xr:uid="{00000000-0005-0000-0000-000021A90000}"/>
    <cellStyle name="Explanatory Text 10" xfId="43306" xr:uid="{00000000-0005-0000-0000-000022A90000}"/>
    <cellStyle name="Explanatory Text 10 2" xfId="43307" xr:uid="{00000000-0005-0000-0000-000023A90000}"/>
    <cellStyle name="Explanatory Text 100" xfId="43308" xr:uid="{00000000-0005-0000-0000-000024A90000}"/>
    <cellStyle name="Explanatory Text 100 2" xfId="43309" xr:uid="{00000000-0005-0000-0000-000025A90000}"/>
    <cellStyle name="Explanatory Text 101" xfId="43310" xr:uid="{00000000-0005-0000-0000-000026A90000}"/>
    <cellStyle name="Explanatory Text 101 2" xfId="43311" xr:uid="{00000000-0005-0000-0000-000027A90000}"/>
    <cellStyle name="Explanatory Text 102" xfId="43312" xr:uid="{00000000-0005-0000-0000-000028A90000}"/>
    <cellStyle name="Explanatory Text 102 2" xfId="43313" xr:uid="{00000000-0005-0000-0000-000029A90000}"/>
    <cellStyle name="Explanatory Text 103" xfId="43314" xr:uid="{00000000-0005-0000-0000-00002AA90000}"/>
    <cellStyle name="Explanatory Text 103 2" xfId="43315" xr:uid="{00000000-0005-0000-0000-00002BA90000}"/>
    <cellStyle name="Explanatory Text 104" xfId="43316" xr:uid="{00000000-0005-0000-0000-00002CA90000}"/>
    <cellStyle name="Explanatory Text 104 2" xfId="43317" xr:uid="{00000000-0005-0000-0000-00002DA90000}"/>
    <cellStyle name="Explanatory Text 105" xfId="43318" xr:uid="{00000000-0005-0000-0000-00002EA90000}"/>
    <cellStyle name="Explanatory Text 105 2" xfId="43319" xr:uid="{00000000-0005-0000-0000-00002FA90000}"/>
    <cellStyle name="Explanatory Text 106" xfId="43320" xr:uid="{00000000-0005-0000-0000-000030A90000}"/>
    <cellStyle name="Explanatory Text 106 2" xfId="43321" xr:uid="{00000000-0005-0000-0000-000031A90000}"/>
    <cellStyle name="Explanatory Text 107" xfId="43322" xr:uid="{00000000-0005-0000-0000-000032A90000}"/>
    <cellStyle name="Explanatory Text 107 2" xfId="43323" xr:uid="{00000000-0005-0000-0000-000033A90000}"/>
    <cellStyle name="Explanatory Text 108" xfId="43324" xr:uid="{00000000-0005-0000-0000-000034A90000}"/>
    <cellStyle name="Explanatory Text 108 2" xfId="43325" xr:uid="{00000000-0005-0000-0000-000035A90000}"/>
    <cellStyle name="Explanatory Text 109" xfId="43326" xr:uid="{00000000-0005-0000-0000-000036A90000}"/>
    <cellStyle name="Explanatory Text 109 2" xfId="43327" xr:uid="{00000000-0005-0000-0000-000037A90000}"/>
    <cellStyle name="Explanatory Text 11" xfId="43328" xr:uid="{00000000-0005-0000-0000-000038A90000}"/>
    <cellStyle name="Explanatory Text 11 2" xfId="43329" xr:uid="{00000000-0005-0000-0000-000039A90000}"/>
    <cellStyle name="Explanatory Text 110" xfId="43330" xr:uid="{00000000-0005-0000-0000-00003AA90000}"/>
    <cellStyle name="Explanatory Text 110 2" xfId="43331" xr:uid="{00000000-0005-0000-0000-00003BA90000}"/>
    <cellStyle name="Explanatory Text 111" xfId="43332" xr:uid="{00000000-0005-0000-0000-00003CA90000}"/>
    <cellStyle name="Explanatory Text 111 2" xfId="43333" xr:uid="{00000000-0005-0000-0000-00003DA90000}"/>
    <cellStyle name="Explanatory Text 112" xfId="43334" xr:uid="{00000000-0005-0000-0000-00003EA90000}"/>
    <cellStyle name="Explanatory Text 112 2" xfId="43335" xr:uid="{00000000-0005-0000-0000-00003FA90000}"/>
    <cellStyle name="Explanatory Text 113" xfId="43336" xr:uid="{00000000-0005-0000-0000-000040A90000}"/>
    <cellStyle name="Explanatory Text 113 2" xfId="43337" xr:uid="{00000000-0005-0000-0000-000041A90000}"/>
    <cellStyle name="Explanatory Text 114" xfId="43338" xr:uid="{00000000-0005-0000-0000-000042A90000}"/>
    <cellStyle name="Explanatory Text 114 2" xfId="43339" xr:uid="{00000000-0005-0000-0000-000043A90000}"/>
    <cellStyle name="Explanatory Text 115" xfId="43340" xr:uid="{00000000-0005-0000-0000-000044A90000}"/>
    <cellStyle name="Explanatory Text 115 2" xfId="43341" xr:uid="{00000000-0005-0000-0000-000045A90000}"/>
    <cellStyle name="Explanatory Text 116" xfId="43342" xr:uid="{00000000-0005-0000-0000-000046A90000}"/>
    <cellStyle name="Explanatory Text 116 2" xfId="43343" xr:uid="{00000000-0005-0000-0000-000047A90000}"/>
    <cellStyle name="Explanatory Text 117" xfId="43344" xr:uid="{00000000-0005-0000-0000-000048A90000}"/>
    <cellStyle name="Explanatory Text 117 2" xfId="43345" xr:uid="{00000000-0005-0000-0000-000049A90000}"/>
    <cellStyle name="Explanatory Text 118" xfId="43346" xr:uid="{00000000-0005-0000-0000-00004AA90000}"/>
    <cellStyle name="Explanatory Text 118 2" xfId="43347" xr:uid="{00000000-0005-0000-0000-00004BA90000}"/>
    <cellStyle name="Explanatory Text 119" xfId="43348" xr:uid="{00000000-0005-0000-0000-00004CA90000}"/>
    <cellStyle name="Explanatory Text 119 2" xfId="43349" xr:uid="{00000000-0005-0000-0000-00004DA90000}"/>
    <cellStyle name="Explanatory Text 12" xfId="43350" xr:uid="{00000000-0005-0000-0000-00004EA90000}"/>
    <cellStyle name="Explanatory Text 12 2" xfId="43351" xr:uid="{00000000-0005-0000-0000-00004FA90000}"/>
    <cellStyle name="Explanatory Text 120" xfId="43352" xr:uid="{00000000-0005-0000-0000-000050A90000}"/>
    <cellStyle name="Explanatory Text 120 2" xfId="43353" xr:uid="{00000000-0005-0000-0000-000051A90000}"/>
    <cellStyle name="Explanatory Text 121" xfId="43354" xr:uid="{00000000-0005-0000-0000-000052A90000}"/>
    <cellStyle name="Explanatory Text 121 2" xfId="43355" xr:uid="{00000000-0005-0000-0000-000053A90000}"/>
    <cellStyle name="Explanatory Text 122" xfId="43356" xr:uid="{00000000-0005-0000-0000-000054A90000}"/>
    <cellStyle name="Explanatory Text 122 2" xfId="43357" xr:uid="{00000000-0005-0000-0000-000055A90000}"/>
    <cellStyle name="Explanatory Text 123" xfId="43358" xr:uid="{00000000-0005-0000-0000-000056A90000}"/>
    <cellStyle name="Explanatory Text 123 2" xfId="43359" xr:uid="{00000000-0005-0000-0000-000057A90000}"/>
    <cellStyle name="Explanatory Text 124" xfId="43360" xr:uid="{00000000-0005-0000-0000-000058A90000}"/>
    <cellStyle name="Explanatory Text 124 2" xfId="43361" xr:uid="{00000000-0005-0000-0000-000059A90000}"/>
    <cellStyle name="Explanatory Text 125" xfId="43362" xr:uid="{00000000-0005-0000-0000-00005AA90000}"/>
    <cellStyle name="Explanatory Text 125 2" xfId="43363" xr:uid="{00000000-0005-0000-0000-00005BA90000}"/>
    <cellStyle name="Explanatory Text 126" xfId="43364" xr:uid="{00000000-0005-0000-0000-00005CA90000}"/>
    <cellStyle name="Explanatory Text 126 2" xfId="43365" xr:uid="{00000000-0005-0000-0000-00005DA90000}"/>
    <cellStyle name="Explanatory Text 127" xfId="43366" xr:uid="{00000000-0005-0000-0000-00005EA90000}"/>
    <cellStyle name="Explanatory Text 127 2" xfId="43367" xr:uid="{00000000-0005-0000-0000-00005FA90000}"/>
    <cellStyle name="Explanatory Text 128" xfId="43368" xr:uid="{00000000-0005-0000-0000-000060A90000}"/>
    <cellStyle name="Explanatory Text 128 2" xfId="43369" xr:uid="{00000000-0005-0000-0000-000061A90000}"/>
    <cellStyle name="Explanatory Text 129" xfId="43370" xr:uid="{00000000-0005-0000-0000-000062A90000}"/>
    <cellStyle name="Explanatory Text 129 2" xfId="43371" xr:uid="{00000000-0005-0000-0000-000063A90000}"/>
    <cellStyle name="Explanatory Text 13" xfId="43372" xr:uid="{00000000-0005-0000-0000-000064A90000}"/>
    <cellStyle name="Explanatory Text 13 2" xfId="43373" xr:uid="{00000000-0005-0000-0000-000065A90000}"/>
    <cellStyle name="Explanatory Text 130" xfId="43374" xr:uid="{00000000-0005-0000-0000-000066A90000}"/>
    <cellStyle name="Explanatory Text 130 2" xfId="43375" xr:uid="{00000000-0005-0000-0000-000067A90000}"/>
    <cellStyle name="Explanatory Text 131" xfId="43376" xr:uid="{00000000-0005-0000-0000-000068A90000}"/>
    <cellStyle name="Explanatory Text 131 2" xfId="43377" xr:uid="{00000000-0005-0000-0000-000069A90000}"/>
    <cellStyle name="Explanatory Text 132" xfId="43378" xr:uid="{00000000-0005-0000-0000-00006AA90000}"/>
    <cellStyle name="Explanatory Text 132 2" xfId="43379" xr:uid="{00000000-0005-0000-0000-00006BA90000}"/>
    <cellStyle name="Explanatory Text 133" xfId="43380" xr:uid="{00000000-0005-0000-0000-00006CA90000}"/>
    <cellStyle name="Explanatory Text 133 2" xfId="43381" xr:uid="{00000000-0005-0000-0000-00006DA90000}"/>
    <cellStyle name="Explanatory Text 134" xfId="43382" xr:uid="{00000000-0005-0000-0000-00006EA90000}"/>
    <cellStyle name="Explanatory Text 134 2" xfId="43383" xr:uid="{00000000-0005-0000-0000-00006FA90000}"/>
    <cellStyle name="Explanatory Text 135" xfId="43384" xr:uid="{00000000-0005-0000-0000-000070A90000}"/>
    <cellStyle name="Explanatory Text 135 2" xfId="43385" xr:uid="{00000000-0005-0000-0000-000071A90000}"/>
    <cellStyle name="Explanatory Text 136" xfId="43386" xr:uid="{00000000-0005-0000-0000-000072A90000}"/>
    <cellStyle name="Explanatory Text 136 2" xfId="43387" xr:uid="{00000000-0005-0000-0000-000073A90000}"/>
    <cellStyle name="Explanatory Text 137" xfId="43388" xr:uid="{00000000-0005-0000-0000-000074A90000}"/>
    <cellStyle name="Explanatory Text 137 2" xfId="43389" xr:uid="{00000000-0005-0000-0000-000075A90000}"/>
    <cellStyle name="Explanatory Text 138" xfId="43390" xr:uid="{00000000-0005-0000-0000-000076A90000}"/>
    <cellStyle name="Explanatory Text 138 2" xfId="43391" xr:uid="{00000000-0005-0000-0000-000077A90000}"/>
    <cellStyle name="Explanatory Text 139" xfId="43392" xr:uid="{00000000-0005-0000-0000-000078A90000}"/>
    <cellStyle name="Explanatory Text 139 2" xfId="43393" xr:uid="{00000000-0005-0000-0000-000079A90000}"/>
    <cellStyle name="Explanatory Text 14" xfId="43394" xr:uid="{00000000-0005-0000-0000-00007AA90000}"/>
    <cellStyle name="Explanatory Text 14 2" xfId="43395" xr:uid="{00000000-0005-0000-0000-00007BA90000}"/>
    <cellStyle name="Explanatory Text 140" xfId="43396" xr:uid="{00000000-0005-0000-0000-00007CA90000}"/>
    <cellStyle name="Explanatory Text 140 2" xfId="43397" xr:uid="{00000000-0005-0000-0000-00007DA90000}"/>
    <cellStyle name="Explanatory Text 141" xfId="43398" xr:uid="{00000000-0005-0000-0000-00007EA90000}"/>
    <cellStyle name="Explanatory Text 141 2" xfId="43399" xr:uid="{00000000-0005-0000-0000-00007FA90000}"/>
    <cellStyle name="Explanatory Text 142" xfId="43400" xr:uid="{00000000-0005-0000-0000-000080A90000}"/>
    <cellStyle name="Explanatory Text 142 2" xfId="43401" xr:uid="{00000000-0005-0000-0000-000081A90000}"/>
    <cellStyle name="Explanatory Text 143" xfId="43402" xr:uid="{00000000-0005-0000-0000-000082A90000}"/>
    <cellStyle name="Explanatory Text 143 2" xfId="43403" xr:uid="{00000000-0005-0000-0000-000083A90000}"/>
    <cellStyle name="Explanatory Text 144" xfId="43404" xr:uid="{00000000-0005-0000-0000-000084A90000}"/>
    <cellStyle name="Explanatory Text 144 2" xfId="43405" xr:uid="{00000000-0005-0000-0000-000085A90000}"/>
    <cellStyle name="Explanatory Text 145" xfId="43406" xr:uid="{00000000-0005-0000-0000-000086A90000}"/>
    <cellStyle name="Explanatory Text 145 2" xfId="43407" xr:uid="{00000000-0005-0000-0000-000087A90000}"/>
    <cellStyle name="Explanatory Text 146" xfId="43408" xr:uid="{00000000-0005-0000-0000-000088A90000}"/>
    <cellStyle name="Explanatory Text 146 2" xfId="43409" xr:uid="{00000000-0005-0000-0000-000089A90000}"/>
    <cellStyle name="Explanatory Text 147" xfId="43410" xr:uid="{00000000-0005-0000-0000-00008AA90000}"/>
    <cellStyle name="Explanatory Text 147 2" xfId="43411" xr:uid="{00000000-0005-0000-0000-00008BA90000}"/>
    <cellStyle name="Explanatory Text 148" xfId="43412" xr:uid="{00000000-0005-0000-0000-00008CA90000}"/>
    <cellStyle name="Explanatory Text 148 2" xfId="43413" xr:uid="{00000000-0005-0000-0000-00008DA90000}"/>
    <cellStyle name="Explanatory Text 149" xfId="43414" xr:uid="{00000000-0005-0000-0000-00008EA90000}"/>
    <cellStyle name="Explanatory Text 149 2" xfId="43415" xr:uid="{00000000-0005-0000-0000-00008FA90000}"/>
    <cellStyle name="Explanatory Text 15" xfId="43416" xr:uid="{00000000-0005-0000-0000-000090A90000}"/>
    <cellStyle name="Explanatory Text 15 2" xfId="43417" xr:uid="{00000000-0005-0000-0000-000091A90000}"/>
    <cellStyle name="Explanatory Text 150" xfId="43418" xr:uid="{00000000-0005-0000-0000-000092A90000}"/>
    <cellStyle name="Explanatory Text 150 2" xfId="43419" xr:uid="{00000000-0005-0000-0000-000093A90000}"/>
    <cellStyle name="Explanatory Text 151" xfId="43420" xr:uid="{00000000-0005-0000-0000-000094A90000}"/>
    <cellStyle name="Explanatory Text 151 2" xfId="43421" xr:uid="{00000000-0005-0000-0000-000095A90000}"/>
    <cellStyle name="Explanatory Text 152" xfId="43422" xr:uid="{00000000-0005-0000-0000-000096A90000}"/>
    <cellStyle name="Explanatory Text 152 2" xfId="43423" xr:uid="{00000000-0005-0000-0000-000097A90000}"/>
    <cellStyle name="Explanatory Text 153" xfId="43424" xr:uid="{00000000-0005-0000-0000-000098A90000}"/>
    <cellStyle name="Explanatory Text 153 2" xfId="43425" xr:uid="{00000000-0005-0000-0000-000099A90000}"/>
    <cellStyle name="Explanatory Text 154" xfId="43426" xr:uid="{00000000-0005-0000-0000-00009AA90000}"/>
    <cellStyle name="Explanatory Text 154 2" xfId="43427" xr:uid="{00000000-0005-0000-0000-00009BA90000}"/>
    <cellStyle name="Explanatory Text 155" xfId="43428" xr:uid="{00000000-0005-0000-0000-00009CA90000}"/>
    <cellStyle name="Explanatory Text 155 2" xfId="43429" xr:uid="{00000000-0005-0000-0000-00009DA90000}"/>
    <cellStyle name="Explanatory Text 156" xfId="43430" xr:uid="{00000000-0005-0000-0000-00009EA90000}"/>
    <cellStyle name="Explanatory Text 156 2" xfId="43431" xr:uid="{00000000-0005-0000-0000-00009FA90000}"/>
    <cellStyle name="Explanatory Text 157" xfId="43432" xr:uid="{00000000-0005-0000-0000-0000A0A90000}"/>
    <cellStyle name="Explanatory Text 157 2" xfId="43433" xr:uid="{00000000-0005-0000-0000-0000A1A90000}"/>
    <cellStyle name="Explanatory Text 158" xfId="43434" xr:uid="{00000000-0005-0000-0000-0000A2A90000}"/>
    <cellStyle name="Explanatory Text 158 2" xfId="43435" xr:uid="{00000000-0005-0000-0000-0000A3A90000}"/>
    <cellStyle name="Explanatory Text 159" xfId="43436" xr:uid="{00000000-0005-0000-0000-0000A4A90000}"/>
    <cellStyle name="Explanatory Text 159 2" xfId="43437" xr:uid="{00000000-0005-0000-0000-0000A5A90000}"/>
    <cellStyle name="Explanatory Text 16" xfId="43438" xr:uid="{00000000-0005-0000-0000-0000A6A90000}"/>
    <cellStyle name="Explanatory Text 16 2" xfId="43439" xr:uid="{00000000-0005-0000-0000-0000A7A90000}"/>
    <cellStyle name="Explanatory Text 160" xfId="43440" xr:uid="{00000000-0005-0000-0000-0000A8A90000}"/>
    <cellStyle name="Explanatory Text 160 2" xfId="43441" xr:uid="{00000000-0005-0000-0000-0000A9A90000}"/>
    <cellStyle name="Explanatory Text 161" xfId="43442" xr:uid="{00000000-0005-0000-0000-0000AAA90000}"/>
    <cellStyle name="Explanatory Text 161 2" xfId="43443" xr:uid="{00000000-0005-0000-0000-0000ABA90000}"/>
    <cellStyle name="Explanatory Text 162" xfId="43444" xr:uid="{00000000-0005-0000-0000-0000ACA90000}"/>
    <cellStyle name="Explanatory Text 162 2" xfId="43445" xr:uid="{00000000-0005-0000-0000-0000ADA90000}"/>
    <cellStyle name="Explanatory Text 163" xfId="43446" xr:uid="{00000000-0005-0000-0000-0000AEA90000}"/>
    <cellStyle name="Explanatory Text 163 2" xfId="43447" xr:uid="{00000000-0005-0000-0000-0000AFA90000}"/>
    <cellStyle name="Explanatory Text 164" xfId="43448" xr:uid="{00000000-0005-0000-0000-0000B0A90000}"/>
    <cellStyle name="Explanatory Text 164 2" xfId="43449" xr:uid="{00000000-0005-0000-0000-0000B1A90000}"/>
    <cellStyle name="Explanatory Text 165" xfId="43450" xr:uid="{00000000-0005-0000-0000-0000B2A90000}"/>
    <cellStyle name="Explanatory Text 165 2" xfId="43451" xr:uid="{00000000-0005-0000-0000-0000B3A90000}"/>
    <cellStyle name="Explanatory Text 166" xfId="43452" xr:uid="{00000000-0005-0000-0000-0000B4A90000}"/>
    <cellStyle name="Explanatory Text 166 2" xfId="43453" xr:uid="{00000000-0005-0000-0000-0000B5A90000}"/>
    <cellStyle name="Explanatory Text 167" xfId="43454" xr:uid="{00000000-0005-0000-0000-0000B6A90000}"/>
    <cellStyle name="Explanatory Text 167 2" xfId="43455" xr:uid="{00000000-0005-0000-0000-0000B7A90000}"/>
    <cellStyle name="Explanatory Text 168" xfId="43456" xr:uid="{00000000-0005-0000-0000-0000B8A90000}"/>
    <cellStyle name="Explanatory Text 168 2" xfId="43457" xr:uid="{00000000-0005-0000-0000-0000B9A90000}"/>
    <cellStyle name="Explanatory Text 169" xfId="43458" xr:uid="{00000000-0005-0000-0000-0000BAA90000}"/>
    <cellStyle name="Explanatory Text 169 2" xfId="43459" xr:uid="{00000000-0005-0000-0000-0000BBA90000}"/>
    <cellStyle name="Explanatory Text 17" xfId="43460" xr:uid="{00000000-0005-0000-0000-0000BCA90000}"/>
    <cellStyle name="Explanatory Text 17 2" xfId="43461" xr:uid="{00000000-0005-0000-0000-0000BDA90000}"/>
    <cellStyle name="Explanatory Text 170" xfId="43462" xr:uid="{00000000-0005-0000-0000-0000BEA90000}"/>
    <cellStyle name="Explanatory Text 170 2" xfId="43463" xr:uid="{00000000-0005-0000-0000-0000BFA90000}"/>
    <cellStyle name="Explanatory Text 171" xfId="43464" xr:uid="{00000000-0005-0000-0000-0000C0A90000}"/>
    <cellStyle name="Explanatory Text 171 2" xfId="43465" xr:uid="{00000000-0005-0000-0000-0000C1A90000}"/>
    <cellStyle name="Explanatory Text 172" xfId="43466" xr:uid="{00000000-0005-0000-0000-0000C2A90000}"/>
    <cellStyle name="Explanatory Text 172 2" xfId="43467" xr:uid="{00000000-0005-0000-0000-0000C3A90000}"/>
    <cellStyle name="Explanatory Text 173" xfId="43468" xr:uid="{00000000-0005-0000-0000-0000C4A90000}"/>
    <cellStyle name="Explanatory Text 173 2" xfId="43469" xr:uid="{00000000-0005-0000-0000-0000C5A90000}"/>
    <cellStyle name="Explanatory Text 174" xfId="43470" xr:uid="{00000000-0005-0000-0000-0000C6A90000}"/>
    <cellStyle name="Explanatory Text 174 2" xfId="43471" xr:uid="{00000000-0005-0000-0000-0000C7A90000}"/>
    <cellStyle name="Explanatory Text 175" xfId="43472" xr:uid="{00000000-0005-0000-0000-0000C8A90000}"/>
    <cellStyle name="Explanatory Text 175 2" xfId="43473" xr:uid="{00000000-0005-0000-0000-0000C9A90000}"/>
    <cellStyle name="Explanatory Text 176" xfId="43474" xr:uid="{00000000-0005-0000-0000-0000CAA90000}"/>
    <cellStyle name="Explanatory Text 176 2" xfId="43475" xr:uid="{00000000-0005-0000-0000-0000CBA90000}"/>
    <cellStyle name="Explanatory Text 177" xfId="43476" xr:uid="{00000000-0005-0000-0000-0000CCA90000}"/>
    <cellStyle name="Explanatory Text 177 2" xfId="43477" xr:uid="{00000000-0005-0000-0000-0000CDA90000}"/>
    <cellStyle name="Explanatory Text 178" xfId="43478" xr:uid="{00000000-0005-0000-0000-0000CEA90000}"/>
    <cellStyle name="Explanatory Text 178 2" xfId="43479" xr:uid="{00000000-0005-0000-0000-0000CFA90000}"/>
    <cellStyle name="Explanatory Text 179" xfId="43480" xr:uid="{00000000-0005-0000-0000-0000D0A90000}"/>
    <cellStyle name="Explanatory Text 179 2" xfId="43481" xr:uid="{00000000-0005-0000-0000-0000D1A90000}"/>
    <cellStyle name="Explanatory Text 18" xfId="43482" xr:uid="{00000000-0005-0000-0000-0000D2A90000}"/>
    <cellStyle name="Explanatory Text 18 2" xfId="43483" xr:uid="{00000000-0005-0000-0000-0000D3A90000}"/>
    <cellStyle name="Explanatory Text 180" xfId="43484" xr:uid="{00000000-0005-0000-0000-0000D4A90000}"/>
    <cellStyle name="Explanatory Text 180 2" xfId="43485" xr:uid="{00000000-0005-0000-0000-0000D5A90000}"/>
    <cellStyle name="Explanatory Text 181" xfId="43486" xr:uid="{00000000-0005-0000-0000-0000D6A90000}"/>
    <cellStyle name="Explanatory Text 181 2" xfId="43487" xr:uid="{00000000-0005-0000-0000-0000D7A90000}"/>
    <cellStyle name="Explanatory Text 182" xfId="43488" xr:uid="{00000000-0005-0000-0000-0000D8A90000}"/>
    <cellStyle name="Explanatory Text 182 2" xfId="43489" xr:uid="{00000000-0005-0000-0000-0000D9A90000}"/>
    <cellStyle name="Explanatory Text 183" xfId="43490" xr:uid="{00000000-0005-0000-0000-0000DAA90000}"/>
    <cellStyle name="Explanatory Text 183 2" xfId="43491" xr:uid="{00000000-0005-0000-0000-0000DBA90000}"/>
    <cellStyle name="Explanatory Text 184" xfId="43492" xr:uid="{00000000-0005-0000-0000-0000DCA90000}"/>
    <cellStyle name="Explanatory Text 184 2" xfId="43493" xr:uid="{00000000-0005-0000-0000-0000DDA90000}"/>
    <cellStyle name="Explanatory Text 185" xfId="43494" xr:uid="{00000000-0005-0000-0000-0000DEA90000}"/>
    <cellStyle name="Explanatory Text 185 2" xfId="43495" xr:uid="{00000000-0005-0000-0000-0000DFA90000}"/>
    <cellStyle name="Explanatory Text 186" xfId="43496" xr:uid="{00000000-0005-0000-0000-0000E0A90000}"/>
    <cellStyle name="Explanatory Text 186 2" xfId="43497" xr:uid="{00000000-0005-0000-0000-0000E1A90000}"/>
    <cellStyle name="Explanatory Text 187" xfId="43498" xr:uid="{00000000-0005-0000-0000-0000E2A90000}"/>
    <cellStyle name="Explanatory Text 187 2" xfId="43499" xr:uid="{00000000-0005-0000-0000-0000E3A90000}"/>
    <cellStyle name="Explanatory Text 188" xfId="43500" xr:uid="{00000000-0005-0000-0000-0000E4A90000}"/>
    <cellStyle name="Explanatory Text 188 2" xfId="43501" xr:uid="{00000000-0005-0000-0000-0000E5A90000}"/>
    <cellStyle name="Explanatory Text 189" xfId="43502" xr:uid="{00000000-0005-0000-0000-0000E6A90000}"/>
    <cellStyle name="Explanatory Text 189 2" xfId="43503" xr:uid="{00000000-0005-0000-0000-0000E7A90000}"/>
    <cellStyle name="Explanatory Text 19" xfId="43504" xr:uid="{00000000-0005-0000-0000-0000E8A90000}"/>
    <cellStyle name="Explanatory Text 19 2" xfId="43505" xr:uid="{00000000-0005-0000-0000-0000E9A90000}"/>
    <cellStyle name="Explanatory Text 190" xfId="43506" xr:uid="{00000000-0005-0000-0000-0000EAA90000}"/>
    <cellStyle name="Explanatory Text 190 2" xfId="43507" xr:uid="{00000000-0005-0000-0000-0000EBA90000}"/>
    <cellStyle name="Explanatory Text 191" xfId="43508" xr:uid="{00000000-0005-0000-0000-0000ECA90000}"/>
    <cellStyle name="Explanatory Text 191 2" xfId="43509" xr:uid="{00000000-0005-0000-0000-0000EDA90000}"/>
    <cellStyle name="Explanatory Text 192" xfId="43510" xr:uid="{00000000-0005-0000-0000-0000EEA90000}"/>
    <cellStyle name="Explanatory Text 192 2" xfId="43511" xr:uid="{00000000-0005-0000-0000-0000EFA90000}"/>
    <cellStyle name="Explanatory Text 193" xfId="43512" xr:uid="{00000000-0005-0000-0000-0000F0A90000}"/>
    <cellStyle name="Explanatory Text 193 2" xfId="43513" xr:uid="{00000000-0005-0000-0000-0000F1A90000}"/>
    <cellStyle name="Explanatory Text 194" xfId="43514" xr:uid="{00000000-0005-0000-0000-0000F2A90000}"/>
    <cellStyle name="Explanatory Text 194 2" xfId="43515" xr:uid="{00000000-0005-0000-0000-0000F3A90000}"/>
    <cellStyle name="Explanatory Text 195" xfId="43516" xr:uid="{00000000-0005-0000-0000-0000F4A90000}"/>
    <cellStyle name="Explanatory Text 195 2" xfId="43517" xr:uid="{00000000-0005-0000-0000-0000F5A90000}"/>
    <cellStyle name="Explanatory Text 196" xfId="43518" xr:uid="{00000000-0005-0000-0000-0000F6A90000}"/>
    <cellStyle name="Explanatory Text 196 2" xfId="43519" xr:uid="{00000000-0005-0000-0000-0000F7A90000}"/>
    <cellStyle name="Explanatory Text 197" xfId="43520" xr:uid="{00000000-0005-0000-0000-0000F8A90000}"/>
    <cellStyle name="Explanatory Text 197 2" xfId="43521" xr:uid="{00000000-0005-0000-0000-0000F9A90000}"/>
    <cellStyle name="Explanatory Text 198" xfId="43522" xr:uid="{00000000-0005-0000-0000-0000FAA90000}"/>
    <cellStyle name="Explanatory Text 198 2" xfId="43523" xr:uid="{00000000-0005-0000-0000-0000FBA90000}"/>
    <cellStyle name="Explanatory Text 2" xfId="43524" xr:uid="{00000000-0005-0000-0000-0000FCA90000}"/>
    <cellStyle name="Explanatory Text 2 2" xfId="43525" xr:uid="{00000000-0005-0000-0000-0000FDA90000}"/>
    <cellStyle name="Explanatory Text 2 2 2" xfId="43526" xr:uid="{00000000-0005-0000-0000-0000FEA90000}"/>
    <cellStyle name="Explanatory Text 2 2 2 2" xfId="43527" xr:uid="{00000000-0005-0000-0000-0000FFA90000}"/>
    <cellStyle name="Explanatory Text 2 2 2 2 2" xfId="43528" xr:uid="{00000000-0005-0000-0000-000000AA0000}"/>
    <cellStyle name="Explanatory Text 2 2 2 2 2 2" xfId="43529" xr:uid="{00000000-0005-0000-0000-000001AA0000}"/>
    <cellStyle name="Explanatory Text 2 2 2 2 3" xfId="43530" xr:uid="{00000000-0005-0000-0000-000002AA0000}"/>
    <cellStyle name="Explanatory Text 2 2 2 3" xfId="43531" xr:uid="{00000000-0005-0000-0000-000003AA0000}"/>
    <cellStyle name="Explanatory Text 2 2 3" xfId="43532" xr:uid="{00000000-0005-0000-0000-000004AA0000}"/>
    <cellStyle name="Explanatory Text 2 2 3 2" xfId="43533" xr:uid="{00000000-0005-0000-0000-000005AA0000}"/>
    <cellStyle name="Explanatory Text 2 2 4" xfId="43534" xr:uid="{00000000-0005-0000-0000-000006AA0000}"/>
    <cellStyle name="Explanatory Text 2 2 4 2" xfId="43535" xr:uid="{00000000-0005-0000-0000-000007AA0000}"/>
    <cellStyle name="Explanatory Text 2 2 5" xfId="43536" xr:uid="{00000000-0005-0000-0000-000008AA0000}"/>
    <cellStyle name="Explanatory Text 2 3" xfId="43537" xr:uid="{00000000-0005-0000-0000-000009AA0000}"/>
    <cellStyle name="Explanatory Text 2 3 2" xfId="43538" xr:uid="{00000000-0005-0000-0000-00000AAA0000}"/>
    <cellStyle name="Explanatory Text 2 4" xfId="43539" xr:uid="{00000000-0005-0000-0000-00000BAA0000}"/>
    <cellStyle name="Explanatory Text 2 4 2" xfId="43540" xr:uid="{00000000-0005-0000-0000-00000CAA0000}"/>
    <cellStyle name="Explanatory Text 2 5" xfId="43541" xr:uid="{00000000-0005-0000-0000-00000DAA0000}"/>
    <cellStyle name="Explanatory Text 2 5 2" xfId="43542" xr:uid="{00000000-0005-0000-0000-00000EAA0000}"/>
    <cellStyle name="Explanatory Text 2 6" xfId="43543" xr:uid="{00000000-0005-0000-0000-00000FAA0000}"/>
    <cellStyle name="Explanatory Text 20" xfId="43544" xr:uid="{00000000-0005-0000-0000-000010AA0000}"/>
    <cellStyle name="Explanatory Text 20 2" xfId="43545" xr:uid="{00000000-0005-0000-0000-000011AA0000}"/>
    <cellStyle name="Explanatory Text 21" xfId="43546" xr:uid="{00000000-0005-0000-0000-000012AA0000}"/>
    <cellStyle name="Explanatory Text 21 2" xfId="43547" xr:uid="{00000000-0005-0000-0000-000013AA0000}"/>
    <cellStyle name="Explanatory Text 22" xfId="43548" xr:uid="{00000000-0005-0000-0000-000014AA0000}"/>
    <cellStyle name="Explanatory Text 22 2" xfId="43549" xr:uid="{00000000-0005-0000-0000-000015AA0000}"/>
    <cellStyle name="Explanatory Text 23" xfId="43550" xr:uid="{00000000-0005-0000-0000-000016AA0000}"/>
    <cellStyle name="Explanatory Text 23 2" xfId="43551" xr:uid="{00000000-0005-0000-0000-000017AA0000}"/>
    <cellStyle name="Explanatory Text 24" xfId="43552" xr:uid="{00000000-0005-0000-0000-000018AA0000}"/>
    <cellStyle name="Explanatory Text 24 2" xfId="43553" xr:uid="{00000000-0005-0000-0000-000019AA0000}"/>
    <cellStyle name="Explanatory Text 25" xfId="43554" xr:uid="{00000000-0005-0000-0000-00001AAA0000}"/>
    <cellStyle name="Explanatory Text 25 2" xfId="43555" xr:uid="{00000000-0005-0000-0000-00001BAA0000}"/>
    <cellStyle name="Explanatory Text 26" xfId="43556" xr:uid="{00000000-0005-0000-0000-00001CAA0000}"/>
    <cellStyle name="Explanatory Text 26 2" xfId="43557" xr:uid="{00000000-0005-0000-0000-00001DAA0000}"/>
    <cellStyle name="Explanatory Text 27" xfId="43558" xr:uid="{00000000-0005-0000-0000-00001EAA0000}"/>
    <cellStyle name="Explanatory Text 27 2" xfId="43559" xr:uid="{00000000-0005-0000-0000-00001FAA0000}"/>
    <cellStyle name="Explanatory Text 28" xfId="43560" xr:uid="{00000000-0005-0000-0000-000020AA0000}"/>
    <cellStyle name="Explanatory Text 28 2" xfId="43561" xr:uid="{00000000-0005-0000-0000-000021AA0000}"/>
    <cellStyle name="Explanatory Text 29" xfId="43562" xr:uid="{00000000-0005-0000-0000-000022AA0000}"/>
    <cellStyle name="Explanatory Text 29 2" xfId="43563" xr:uid="{00000000-0005-0000-0000-000023AA0000}"/>
    <cellStyle name="Explanatory Text 3" xfId="43564" xr:uid="{00000000-0005-0000-0000-000024AA0000}"/>
    <cellStyle name="Explanatory Text 3 2" xfId="43565" xr:uid="{00000000-0005-0000-0000-000025AA0000}"/>
    <cellStyle name="Explanatory Text 3 2 2" xfId="43566" xr:uid="{00000000-0005-0000-0000-000026AA0000}"/>
    <cellStyle name="Explanatory Text 3 3" xfId="43567" xr:uid="{00000000-0005-0000-0000-000027AA0000}"/>
    <cellStyle name="Explanatory Text 3 3 2" xfId="43568" xr:uid="{00000000-0005-0000-0000-000028AA0000}"/>
    <cellStyle name="Explanatory Text 3 4" xfId="43569" xr:uid="{00000000-0005-0000-0000-000029AA0000}"/>
    <cellStyle name="Explanatory Text 30" xfId="43570" xr:uid="{00000000-0005-0000-0000-00002AAA0000}"/>
    <cellStyle name="Explanatory Text 30 2" xfId="43571" xr:uid="{00000000-0005-0000-0000-00002BAA0000}"/>
    <cellStyle name="Explanatory Text 31" xfId="43572" xr:uid="{00000000-0005-0000-0000-00002CAA0000}"/>
    <cellStyle name="Explanatory Text 31 2" xfId="43573" xr:uid="{00000000-0005-0000-0000-00002DAA0000}"/>
    <cellStyle name="Explanatory Text 32" xfId="43574" xr:uid="{00000000-0005-0000-0000-00002EAA0000}"/>
    <cellStyle name="Explanatory Text 32 2" xfId="43575" xr:uid="{00000000-0005-0000-0000-00002FAA0000}"/>
    <cellStyle name="Explanatory Text 33" xfId="43576" xr:uid="{00000000-0005-0000-0000-000030AA0000}"/>
    <cellStyle name="Explanatory Text 33 2" xfId="43577" xr:uid="{00000000-0005-0000-0000-000031AA0000}"/>
    <cellStyle name="Explanatory Text 34" xfId="43578" xr:uid="{00000000-0005-0000-0000-000032AA0000}"/>
    <cellStyle name="Explanatory Text 34 2" xfId="43579" xr:uid="{00000000-0005-0000-0000-000033AA0000}"/>
    <cellStyle name="Explanatory Text 35" xfId="43580" xr:uid="{00000000-0005-0000-0000-000034AA0000}"/>
    <cellStyle name="Explanatory Text 35 2" xfId="43581" xr:uid="{00000000-0005-0000-0000-000035AA0000}"/>
    <cellStyle name="Explanatory Text 36" xfId="43582" xr:uid="{00000000-0005-0000-0000-000036AA0000}"/>
    <cellStyle name="Explanatory Text 36 2" xfId="43583" xr:uid="{00000000-0005-0000-0000-000037AA0000}"/>
    <cellStyle name="Explanatory Text 37" xfId="43584" xr:uid="{00000000-0005-0000-0000-000038AA0000}"/>
    <cellStyle name="Explanatory Text 37 2" xfId="43585" xr:uid="{00000000-0005-0000-0000-000039AA0000}"/>
    <cellStyle name="Explanatory Text 38" xfId="43586" xr:uid="{00000000-0005-0000-0000-00003AAA0000}"/>
    <cellStyle name="Explanatory Text 38 2" xfId="43587" xr:uid="{00000000-0005-0000-0000-00003BAA0000}"/>
    <cellStyle name="Explanatory Text 39" xfId="43588" xr:uid="{00000000-0005-0000-0000-00003CAA0000}"/>
    <cellStyle name="Explanatory Text 39 2" xfId="43589" xr:uid="{00000000-0005-0000-0000-00003DAA0000}"/>
    <cellStyle name="Explanatory Text 4" xfId="43590" xr:uid="{00000000-0005-0000-0000-00003EAA0000}"/>
    <cellStyle name="Explanatory Text 4 2" xfId="43591" xr:uid="{00000000-0005-0000-0000-00003FAA0000}"/>
    <cellStyle name="Explanatory Text 4 2 2" xfId="43592" xr:uid="{00000000-0005-0000-0000-000040AA0000}"/>
    <cellStyle name="Explanatory Text 4 3" xfId="43593" xr:uid="{00000000-0005-0000-0000-000041AA0000}"/>
    <cellStyle name="Explanatory Text 4 3 2" xfId="43594" xr:uid="{00000000-0005-0000-0000-000042AA0000}"/>
    <cellStyle name="Explanatory Text 4 4" xfId="43595" xr:uid="{00000000-0005-0000-0000-000043AA0000}"/>
    <cellStyle name="Explanatory Text 40" xfId="43596" xr:uid="{00000000-0005-0000-0000-000044AA0000}"/>
    <cellStyle name="Explanatory Text 40 2" xfId="43597" xr:uid="{00000000-0005-0000-0000-000045AA0000}"/>
    <cellStyle name="Explanatory Text 41" xfId="43598" xr:uid="{00000000-0005-0000-0000-000046AA0000}"/>
    <cellStyle name="Explanatory Text 41 2" xfId="43599" xr:uid="{00000000-0005-0000-0000-000047AA0000}"/>
    <cellStyle name="Explanatory Text 42" xfId="43600" xr:uid="{00000000-0005-0000-0000-000048AA0000}"/>
    <cellStyle name="Explanatory Text 42 2" xfId="43601" xr:uid="{00000000-0005-0000-0000-000049AA0000}"/>
    <cellStyle name="Explanatory Text 43" xfId="43602" xr:uid="{00000000-0005-0000-0000-00004AAA0000}"/>
    <cellStyle name="Explanatory Text 43 2" xfId="43603" xr:uid="{00000000-0005-0000-0000-00004BAA0000}"/>
    <cellStyle name="Explanatory Text 44" xfId="43604" xr:uid="{00000000-0005-0000-0000-00004CAA0000}"/>
    <cellStyle name="Explanatory Text 44 2" xfId="43605" xr:uid="{00000000-0005-0000-0000-00004DAA0000}"/>
    <cellStyle name="Explanatory Text 45" xfId="43606" xr:uid="{00000000-0005-0000-0000-00004EAA0000}"/>
    <cellStyle name="Explanatory Text 45 2" xfId="43607" xr:uid="{00000000-0005-0000-0000-00004FAA0000}"/>
    <cellStyle name="Explanatory Text 46" xfId="43608" xr:uid="{00000000-0005-0000-0000-000050AA0000}"/>
    <cellStyle name="Explanatory Text 46 2" xfId="43609" xr:uid="{00000000-0005-0000-0000-000051AA0000}"/>
    <cellStyle name="Explanatory Text 47" xfId="43610" xr:uid="{00000000-0005-0000-0000-000052AA0000}"/>
    <cellStyle name="Explanatory Text 47 2" xfId="43611" xr:uid="{00000000-0005-0000-0000-000053AA0000}"/>
    <cellStyle name="Explanatory Text 48" xfId="43612" xr:uid="{00000000-0005-0000-0000-000054AA0000}"/>
    <cellStyle name="Explanatory Text 48 2" xfId="43613" xr:uid="{00000000-0005-0000-0000-000055AA0000}"/>
    <cellStyle name="Explanatory Text 49" xfId="43614" xr:uid="{00000000-0005-0000-0000-000056AA0000}"/>
    <cellStyle name="Explanatory Text 49 2" xfId="43615" xr:uid="{00000000-0005-0000-0000-000057AA0000}"/>
    <cellStyle name="Explanatory Text 5" xfId="43616" xr:uid="{00000000-0005-0000-0000-000058AA0000}"/>
    <cellStyle name="Explanatory Text 5 2" xfId="43617" xr:uid="{00000000-0005-0000-0000-000059AA0000}"/>
    <cellStyle name="Explanatory Text 5 2 2" xfId="43618" xr:uid="{00000000-0005-0000-0000-00005AAA0000}"/>
    <cellStyle name="Explanatory Text 5 3" xfId="43619" xr:uid="{00000000-0005-0000-0000-00005BAA0000}"/>
    <cellStyle name="Explanatory Text 5 3 2" xfId="43620" xr:uid="{00000000-0005-0000-0000-00005CAA0000}"/>
    <cellStyle name="Explanatory Text 5 4" xfId="43621" xr:uid="{00000000-0005-0000-0000-00005DAA0000}"/>
    <cellStyle name="Explanatory Text 50" xfId="43622" xr:uid="{00000000-0005-0000-0000-00005EAA0000}"/>
    <cellStyle name="Explanatory Text 50 2" xfId="43623" xr:uid="{00000000-0005-0000-0000-00005FAA0000}"/>
    <cellStyle name="Explanatory Text 51" xfId="43624" xr:uid="{00000000-0005-0000-0000-000060AA0000}"/>
    <cellStyle name="Explanatory Text 51 2" xfId="43625" xr:uid="{00000000-0005-0000-0000-000061AA0000}"/>
    <cellStyle name="Explanatory Text 52" xfId="43626" xr:uid="{00000000-0005-0000-0000-000062AA0000}"/>
    <cellStyle name="Explanatory Text 52 2" xfId="43627" xr:uid="{00000000-0005-0000-0000-000063AA0000}"/>
    <cellStyle name="Explanatory Text 53" xfId="43628" xr:uid="{00000000-0005-0000-0000-000064AA0000}"/>
    <cellStyle name="Explanatory Text 53 2" xfId="43629" xr:uid="{00000000-0005-0000-0000-000065AA0000}"/>
    <cellStyle name="Explanatory Text 54" xfId="43630" xr:uid="{00000000-0005-0000-0000-000066AA0000}"/>
    <cellStyle name="Explanatory Text 54 2" xfId="43631" xr:uid="{00000000-0005-0000-0000-000067AA0000}"/>
    <cellStyle name="Explanatory Text 55" xfId="43632" xr:uid="{00000000-0005-0000-0000-000068AA0000}"/>
    <cellStyle name="Explanatory Text 55 2" xfId="43633" xr:uid="{00000000-0005-0000-0000-000069AA0000}"/>
    <cellStyle name="Explanatory Text 56" xfId="43634" xr:uid="{00000000-0005-0000-0000-00006AAA0000}"/>
    <cellStyle name="Explanatory Text 56 2" xfId="43635" xr:uid="{00000000-0005-0000-0000-00006BAA0000}"/>
    <cellStyle name="Explanatory Text 57" xfId="43636" xr:uid="{00000000-0005-0000-0000-00006CAA0000}"/>
    <cellStyle name="Explanatory Text 57 2" xfId="43637" xr:uid="{00000000-0005-0000-0000-00006DAA0000}"/>
    <cellStyle name="Explanatory Text 58" xfId="43638" xr:uid="{00000000-0005-0000-0000-00006EAA0000}"/>
    <cellStyle name="Explanatory Text 58 2" xfId="43639" xr:uid="{00000000-0005-0000-0000-00006FAA0000}"/>
    <cellStyle name="Explanatory Text 59" xfId="43640" xr:uid="{00000000-0005-0000-0000-000070AA0000}"/>
    <cellStyle name="Explanatory Text 59 2" xfId="43641" xr:uid="{00000000-0005-0000-0000-000071AA0000}"/>
    <cellStyle name="Explanatory Text 59 2 2" xfId="43642" xr:uid="{00000000-0005-0000-0000-000072AA0000}"/>
    <cellStyle name="Explanatory Text 59 3" xfId="43643" xr:uid="{00000000-0005-0000-0000-000073AA0000}"/>
    <cellStyle name="Explanatory Text 6" xfId="43644" xr:uid="{00000000-0005-0000-0000-000074AA0000}"/>
    <cellStyle name="Explanatory Text 6 2" xfId="43645" xr:uid="{00000000-0005-0000-0000-000075AA0000}"/>
    <cellStyle name="Explanatory Text 6 2 2" xfId="43646" xr:uid="{00000000-0005-0000-0000-000076AA0000}"/>
    <cellStyle name="Explanatory Text 6 3" xfId="43647" xr:uid="{00000000-0005-0000-0000-000077AA0000}"/>
    <cellStyle name="Explanatory Text 6 3 2" xfId="43648" xr:uid="{00000000-0005-0000-0000-000078AA0000}"/>
    <cellStyle name="Explanatory Text 6 4" xfId="43649" xr:uid="{00000000-0005-0000-0000-000079AA0000}"/>
    <cellStyle name="Explanatory Text 60" xfId="43650" xr:uid="{00000000-0005-0000-0000-00007AAA0000}"/>
    <cellStyle name="Explanatory Text 60 2" xfId="43651" xr:uid="{00000000-0005-0000-0000-00007BAA0000}"/>
    <cellStyle name="Explanatory Text 61" xfId="43652" xr:uid="{00000000-0005-0000-0000-00007CAA0000}"/>
    <cellStyle name="Explanatory Text 61 2" xfId="43653" xr:uid="{00000000-0005-0000-0000-00007DAA0000}"/>
    <cellStyle name="Explanatory Text 62" xfId="43654" xr:uid="{00000000-0005-0000-0000-00007EAA0000}"/>
    <cellStyle name="Explanatory Text 62 2" xfId="43655" xr:uid="{00000000-0005-0000-0000-00007FAA0000}"/>
    <cellStyle name="Explanatory Text 63" xfId="43656" xr:uid="{00000000-0005-0000-0000-000080AA0000}"/>
    <cellStyle name="Explanatory Text 63 2" xfId="43657" xr:uid="{00000000-0005-0000-0000-000081AA0000}"/>
    <cellStyle name="Explanatory Text 64" xfId="43658" xr:uid="{00000000-0005-0000-0000-000082AA0000}"/>
    <cellStyle name="Explanatory Text 64 2" xfId="43659" xr:uid="{00000000-0005-0000-0000-000083AA0000}"/>
    <cellStyle name="Explanatory Text 65" xfId="43660" xr:uid="{00000000-0005-0000-0000-000084AA0000}"/>
    <cellStyle name="Explanatory Text 65 2" xfId="43661" xr:uid="{00000000-0005-0000-0000-000085AA0000}"/>
    <cellStyle name="Explanatory Text 66" xfId="43662" xr:uid="{00000000-0005-0000-0000-000086AA0000}"/>
    <cellStyle name="Explanatory Text 66 2" xfId="43663" xr:uid="{00000000-0005-0000-0000-000087AA0000}"/>
    <cellStyle name="Explanatory Text 67" xfId="43664" xr:uid="{00000000-0005-0000-0000-000088AA0000}"/>
    <cellStyle name="Explanatory Text 67 2" xfId="43665" xr:uid="{00000000-0005-0000-0000-000089AA0000}"/>
    <cellStyle name="Explanatory Text 68" xfId="43666" xr:uid="{00000000-0005-0000-0000-00008AAA0000}"/>
    <cellStyle name="Explanatory Text 68 2" xfId="43667" xr:uid="{00000000-0005-0000-0000-00008BAA0000}"/>
    <cellStyle name="Explanatory Text 69" xfId="43668" xr:uid="{00000000-0005-0000-0000-00008CAA0000}"/>
    <cellStyle name="Explanatory Text 69 2" xfId="43669" xr:uid="{00000000-0005-0000-0000-00008DAA0000}"/>
    <cellStyle name="Explanatory Text 7" xfId="43670" xr:uid="{00000000-0005-0000-0000-00008EAA0000}"/>
    <cellStyle name="Explanatory Text 7 2" xfId="43671" xr:uid="{00000000-0005-0000-0000-00008FAA0000}"/>
    <cellStyle name="Explanatory Text 7 2 2" xfId="43672" xr:uid="{00000000-0005-0000-0000-000090AA0000}"/>
    <cellStyle name="Explanatory Text 7 3" xfId="43673" xr:uid="{00000000-0005-0000-0000-000091AA0000}"/>
    <cellStyle name="Explanatory Text 7 3 2" xfId="43674" xr:uid="{00000000-0005-0000-0000-000092AA0000}"/>
    <cellStyle name="Explanatory Text 7 4" xfId="43675" xr:uid="{00000000-0005-0000-0000-000093AA0000}"/>
    <cellStyle name="Explanatory Text 70" xfId="43676" xr:uid="{00000000-0005-0000-0000-000094AA0000}"/>
    <cellStyle name="Explanatory Text 70 2" xfId="43677" xr:uid="{00000000-0005-0000-0000-000095AA0000}"/>
    <cellStyle name="Explanatory Text 71" xfId="43678" xr:uid="{00000000-0005-0000-0000-000096AA0000}"/>
    <cellStyle name="Explanatory Text 71 2" xfId="43679" xr:uid="{00000000-0005-0000-0000-000097AA0000}"/>
    <cellStyle name="Explanatory Text 72" xfId="43680" xr:uid="{00000000-0005-0000-0000-000098AA0000}"/>
    <cellStyle name="Explanatory Text 72 2" xfId="43681" xr:uid="{00000000-0005-0000-0000-000099AA0000}"/>
    <cellStyle name="Explanatory Text 73" xfId="43682" xr:uid="{00000000-0005-0000-0000-00009AAA0000}"/>
    <cellStyle name="Explanatory Text 73 2" xfId="43683" xr:uid="{00000000-0005-0000-0000-00009BAA0000}"/>
    <cellStyle name="Explanatory Text 74" xfId="43684" xr:uid="{00000000-0005-0000-0000-00009CAA0000}"/>
    <cellStyle name="Explanatory Text 74 2" xfId="43685" xr:uid="{00000000-0005-0000-0000-00009DAA0000}"/>
    <cellStyle name="Explanatory Text 75" xfId="43686" xr:uid="{00000000-0005-0000-0000-00009EAA0000}"/>
    <cellStyle name="Explanatory Text 75 2" xfId="43687" xr:uid="{00000000-0005-0000-0000-00009FAA0000}"/>
    <cellStyle name="Explanatory Text 76" xfId="43688" xr:uid="{00000000-0005-0000-0000-0000A0AA0000}"/>
    <cellStyle name="Explanatory Text 76 2" xfId="43689" xr:uid="{00000000-0005-0000-0000-0000A1AA0000}"/>
    <cellStyle name="Explanatory Text 77" xfId="43690" xr:uid="{00000000-0005-0000-0000-0000A2AA0000}"/>
    <cellStyle name="Explanatory Text 77 2" xfId="43691" xr:uid="{00000000-0005-0000-0000-0000A3AA0000}"/>
    <cellStyle name="Explanatory Text 78" xfId="43692" xr:uid="{00000000-0005-0000-0000-0000A4AA0000}"/>
    <cellStyle name="Explanatory Text 78 2" xfId="43693" xr:uid="{00000000-0005-0000-0000-0000A5AA0000}"/>
    <cellStyle name="Explanatory Text 79" xfId="43694" xr:uid="{00000000-0005-0000-0000-0000A6AA0000}"/>
    <cellStyle name="Explanatory Text 79 2" xfId="43695" xr:uid="{00000000-0005-0000-0000-0000A7AA0000}"/>
    <cellStyle name="Explanatory Text 8" xfId="43696" xr:uid="{00000000-0005-0000-0000-0000A8AA0000}"/>
    <cellStyle name="Explanatory Text 8 2" xfId="43697" xr:uid="{00000000-0005-0000-0000-0000A9AA0000}"/>
    <cellStyle name="Explanatory Text 8 2 2" xfId="43698" xr:uid="{00000000-0005-0000-0000-0000AAAA0000}"/>
    <cellStyle name="Explanatory Text 8 3" xfId="43699" xr:uid="{00000000-0005-0000-0000-0000ABAA0000}"/>
    <cellStyle name="Explanatory Text 8 3 2" xfId="43700" xr:uid="{00000000-0005-0000-0000-0000ACAA0000}"/>
    <cellStyle name="Explanatory Text 8 4" xfId="43701" xr:uid="{00000000-0005-0000-0000-0000ADAA0000}"/>
    <cellStyle name="Explanatory Text 80" xfId="43702" xr:uid="{00000000-0005-0000-0000-0000AEAA0000}"/>
    <cellStyle name="Explanatory Text 80 2" xfId="43703" xr:uid="{00000000-0005-0000-0000-0000AFAA0000}"/>
    <cellStyle name="Explanatory Text 81" xfId="43704" xr:uid="{00000000-0005-0000-0000-0000B0AA0000}"/>
    <cellStyle name="Explanatory Text 81 2" xfId="43705" xr:uid="{00000000-0005-0000-0000-0000B1AA0000}"/>
    <cellStyle name="Explanatory Text 82" xfId="43706" xr:uid="{00000000-0005-0000-0000-0000B2AA0000}"/>
    <cellStyle name="Explanatory Text 82 2" xfId="43707" xr:uid="{00000000-0005-0000-0000-0000B3AA0000}"/>
    <cellStyle name="Explanatory Text 83" xfId="43708" xr:uid="{00000000-0005-0000-0000-0000B4AA0000}"/>
    <cellStyle name="Explanatory Text 83 2" xfId="43709" xr:uid="{00000000-0005-0000-0000-0000B5AA0000}"/>
    <cellStyle name="Explanatory Text 84" xfId="43710" xr:uid="{00000000-0005-0000-0000-0000B6AA0000}"/>
    <cellStyle name="Explanatory Text 84 2" xfId="43711" xr:uid="{00000000-0005-0000-0000-0000B7AA0000}"/>
    <cellStyle name="Explanatory Text 85" xfId="43712" xr:uid="{00000000-0005-0000-0000-0000B8AA0000}"/>
    <cellStyle name="Explanatory Text 85 2" xfId="43713" xr:uid="{00000000-0005-0000-0000-0000B9AA0000}"/>
    <cellStyle name="Explanatory Text 86" xfId="43714" xr:uid="{00000000-0005-0000-0000-0000BAAA0000}"/>
    <cellStyle name="Explanatory Text 86 2" xfId="43715" xr:uid="{00000000-0005-0000-0000-0000BBAA0000}"/>
    <cellStyle name="Explanatory Text 87" xfId="43716" xr:uid="{00000000-0005-0000-0000-0000BCAA0000}"/>
    <cellStyle name="Explanatory Text 87 2" xfId="43717" xr:uid="{00000000-0005-0000-0000-0000BDAA0000}"/>
    <cellStyle name="Explanatory Text 88" xfId="43718" xr:uid="{00000000-0005-0000-0000-0000BEAA0000}"/>
    <cellStyle name="Explanatory Text 88 2" xfId="43719" xr:uid="{00000000-0005-0000-0000-0000BFAA0000}"/>
    <cellStyle name="Explanatory Text 89" xfId="43720" xr:uid="{00000000-0005-0000-0000-0000C0AA0000}"/>
    <cellStyle name="Explanatory Text 89 2" xfId="43721" xr:uid="{00000000-0005-0000-0000-0000C1AA0000}"/>
    <cellStyle name="Explanatory Text 9" xfId="43722" xr:uid="{00000000-0005-0000-0000-0000C2AA0000}"/>
    <cellStyle name="Explanatory Text 9 2" xfId="43723" xr:uid="{00000000-0005-0000-0000-0000C3AA0000}"/>
    <cellStyle name="Explanatory Text 9 2 2" xfId="43724" xr:uid="{00000000-0005-0000-0000-0000C4AA0000}"/>
    <cellStyle name="Explanatory Text 9 3" xfId="43725" xr:uid="{00000000-0005-0000-0000-0000C5AA0000}"/>
    <cellStyle name="Explanatory Text 9 3 2" xfId="43726" xr:uid="{00000000-0005-0000-0000-0000C6AA0000}"/>
    <cellStyle name="Explanatory Text 9 4" xfId="43727" xr:uid="{00000000-0005-0000-0000-0000C7AA0000}"/>
    <cellStyle name="Explanatory Text 90" xfId="43728" xr:uid="{00000000-0005-0000-0000-0000C8AA0000}"/>
    <cellStyle name="Explanatory Text 90 2" xfId="43729" xr:uid="{00000000-0005-0000-0000-0000C9AA0000}"/>
    <cellStyle name="Explanatory Text 91" xfId="43730" xr:uid="{00000000-0005-0000-0000-0000CAAA0000}"/>
    <cellStyle name="Explanatory Text 91 2" xfId="43731" xr:uid="{00000000-0005-0000-0000-0000CBAA0000}"/>
    <cellStyle name="Explanatory Text 92" xfId="43732" xr:uid="{00000000-0005-0000-0000-0000CCAA0000}"/>
    <cellStyle name="Explanatory Text 92 2" xfId="43733" xr:uid="{00000000-0005-0000-0000-0000CDAA0000}"/>
    <cellStyle name="Explanatory Text 93" xfId="43734" xr:uid="{00000000-0005-0000-0000-0000CEAA0000}"/>
    <cellStyle name="Explanatory Text 93 2" xfId="43735" xr:uid="{00000000-0005-0000-0000-0000CFAA0000}"/>
    <cellStyle name="Explanatory Text 94" xfId="43736" xr:uid="{00000000-0005-0000-0000-0000D0AA0000}"/>
    <cellStyle name="Explanatory Text 94 2" xfId="43737" xr:uid="{00000000-0005-0000-0000-0000D1AA0000}"/>
    <cellStyle name="Explanatory Text 95" xfId="43738" xr:uid="{00000000-0005-0000-0000-0000D2AA0000}"/>
    <cellStyle name="Explanatory Text 95 2" xfId="43739" xr:uid="{00000000-0005-0000-0000-0000D3AA0000}"/>
    <cellStyle name="Explanatory Text 96" xfId="43740" xr:uid="{00000000-0005-0000-0000-0000D4AA0000}"/>
    <cellStyle name="Explanatory Text 96 2" xfId="43741" xr:uid="{00000000-0005-0000-0000-0000D5AA0000}"/>
    <cellStyle name="Explanatory Text 97" xfId="43742" xr:uid="{00000000-0005-0000-0000-0000D6AA0000}"/>
    <cellStyle name="Explanatory Text 97 2" xfId="43743" xr:uid="{00000000-0005-0000-0000-0000D7AA0000}"/>
    <cellStyle name="Explanatory Text 98" xfId="43744" xr:uid="{00000000-0005-0000-0000-0000D8AA0000}"/>
    <cellStyle name="Explanatory Text 98 2" xfId="43745" xr:uid="{00000000-0005-0000-0000-0000D9AA0000}"/>
    <cellStyle name="Explanatory Text 99" xfId="43746" xr:uid="{00000000-0005-0000-0000-0000DAAA0000}"/>
    <cellStyle name="Explanatory Text 99 2" xfId="43747" xr:uid="{00000000-0005-0000-0000-0000DBAA0000}"/>
    <cellStyle name="Ezres [0]_1n?rt1" xfId="43748" xr:uid="{00000000-0005-0000-0000-0000DCAA0000}"/>
    <cellStyle name="Ezres_1n?rt1" xfId="43749" xr:uid="{00000000-0005-0000-0000-0000DDAA0000}"/>
    <cellStyle name="F2" xfId="43750" xr:uid="{00000000-0005-0000-0000-0000DEAA0000}"/>
    <cellStyle name="F2 2" xfId="43751" xr:uid="{00000000-0005-0000-0000-0000DFAA0000}"/>
    <cellStyle name="F2 2 2" xfId="43752" xr:uid="{00000000-0005-0000-0000-0000E0AA0000}"/>
    <cellStyle name="F2 2 2 2" xfId="43753" xr:uid="{00000000-0005-0000-0000-0000E1AA0000}"/>
    <cellStyle name="F2 2 3" xfId="43754" xr:uid="{00000000-0005-0000-0000-0000E2AA0000}"/>
    <cellStyle name="F3" xfId="43755" xr:uid="{00000000-0005-0000-0000-0000E3AA0000}"/>
    <cellStyle name="F3 2" xfId="43756" xr:uid="{00000000-0005-0000-0000-0000E4AA0000}"/>
    <cellStyle name="F3 2 2" xfId="43757" xr:uid="{00000000-0005-0000-0000-0000E5AA0000}"/>
    <cellStyle name="F3 2 2 2" xfId="43758" xr:uid="{00000000-0005-0000-0000-0000E6AA0000}"/>
    <cellStyle name="F3 2 3" xfId="43759" xr:uid="{00000000-0005-0000-0000-0000E7AA0000}"/>
    <cellStyle name="F4" xfId="43760" xr:uid="{00000000-0005-0000-0000-0000E8AA0000}"/>
    <cellStyle name="F4 2" xfId="43761" xr:uid="{00000000-0005-0000-0000-0000E9AA0000}"/>
    <cellStyle name="F4 2 2" xfId="43762" xr:uid="{00000000-0005-0000-0000-0000EAAA0000}"/>
    <cellStyle name="F4 2 2 2" xfId="43763" xr:uid="{00000000-0005-0000-0000-0000EBAA0000}"/>
    <cellStyle name="F4 2 3" xfId="43764" xr:uid="{00000000-0005-0000-0000-0000ECAA0000}"/>
    <cellStyle name="F5" xfId="43765" xr:uid="{00000000-0005-0000-0000-0000EDAA0000}"/>
    <cellStyle name="F5 2" xfId="43766" xr:uid="{00000000-0005-0000-0000-0000EEAA0000}"/>
    <cellStyle name="F5 2 2" xfId="43767" xr:uid="{00000000-0005-0000-0000-0000EFAA0000}"/>
    <cellStyle name="F5 2 2 2" xfId="43768" xr:uid="{00000000-0005-0000-0000-0000F0AA0000}"/>
    <cellStyle name="F5 2 3" xfId="43769" xr:uid="{00000000-0005-0000-0000-0000F1AA0000}"/>
    <cellStyle name="F6" xfId="43770" xr:uid="{00000000-0005-0000-0000-0000F2AA0000}"/>
    <cellStyle name="F6 2" xfId="43771" xr:uid="{00000000-0005-0000-0000-0000F3AA0000}"/>
    <cellStyle name="F6 2 2" xfId="43772" xr:uid="{00000000-0005-0000-0000-0000F4AA0000}"/>
    <cellStyle name="F6 2 2 2" xfId="43773" xr:uid="{00000000-0005-0000-0000-0000F5AA0000}"/>
    <cellStyle name="F6 2 3" xfId="43774" xr:uid="{00000000-0005-0000-0000-0000F6AA0000}"/>
    <cellStyle name="F7" xfId="43775" xr:uid="{00000000-0005-0000-0000-0000F7AA0000}"/>
    <cellStyle name="F7 2" xfId="43776" xr:uid="{00000000-0005-0000-0000-0000F8AA0000}"/>
    <cellStyle name="F7 2 2" xfId="43777" xr:uid="{00000000-0005-0000-0000-0000F9AA0000}"/>
    <cellStyle name="F7 2 2 2" xfId="43778" xr:uid="{00000000-0005-0000-0000-0000FAAA0000}"/>
    <cellStyle name="F7 2 3" xfId="43779" xr:uid="{00000000-0005-0000-0000-0000FBAA0000}"/>
    <cellStyle name="F8" xfId="43780" xr:uid="{00000000-0005-0000-0000-0000FCAA0000}"/>
    <cellStyle name="F8 2" xfId="43781" xr:uid="{00000000-0005-0000-0000-0000FDAA0000}"/>
    <cellStyle name="F8 2 2" xfId="43782" xr:uid="{00000000-0005-0000-0000-0000FEAA0000}"/>
    <cellStyle name="F8 2 2 2" xfId="43783" xr:uid="{00000000-0005-0000-0000-0000FFAA0000}"/>
    <cellStyle name="F8 2 3" xfId="43784" xr:uid="{00000000-0005-0000-0000-000000AB0000}"/>
    <cellStyle name="Farol Verde" xfId="43785" xr:uid="{00000000-0005-0000-0000-000001AB0000}"/>
    <cellStyle name="Farol Vermelho" xfId="43786" xr:uid="{00000000-0005-0000-0000-000002AB0000}"/>
    <cellStyle name="Fecha" xfId="43787" xr:uid="{00000000-0005-0000-0000-000003AB0000}"/>
    <cellStyle name="Fecha 2" xfId="43788" xr:uid="{00000000-0005-0000-0000-000004AB0000}"/>
    <cellStyle name="Fijo" xfId="43789" xr:uid="{00000000-0005-0000-0000-000005AB0000}"/>
    <cellStyle name="Fijo 2" xfId="43790" xr:uid="{00000000-0005-0000-0000-000006AB0000}"/>
    <cellStyle name="finance" xfId="43791" xr:uid="{00000000-0005-0000-0000-000007AB0000}"/>
    <cellStyle name="finance 2" xfId="43792" xr:uid="{00000000-0005-0000-0000-000008AB0000}"/>
    <cellStyle name="finance 3" xfId="43793" xr:uid="{00000000-0005-0000-0000-000009AB0000}"/>
    <cellStyle name="finance 4" xfId="43794" xr:uid="{00000000-0005-0000-0000-00000AAB0000}"/>
    <cellStyle name="finance s/dec" xfId="43795" xr:uid="{00000000-0005-0000-0000-00000BAB0000}"/>
    <cellStyle name="finance s/dec 2" xfId="43796" xr:uid="{00000000-0005-0000-0000-00000CAB0000}"/>
    <cellStyle name="finance s/dec 3" xfId="43797" xr:uid="{00000000-0005-0000-0000-00000DAB0000}"/>
    <cellStyle name="finance s/dec 4" xfId="43798" xr:uid="{00000000-0005-0000-0000-00000EAB0000}"/>
    <cellStyle name="Finance_RESUME" xfId="43799" xr:uid="{00000000-0005-0000-0000-00000FAB0000}"/>
    <cellStyle name="Fixed" xfId="43800" xr:uid="{00000000-0005-0000-0000-000010AB0000}"/>
    <cellStyle name="Fixed 2" xfId="43801" xr:uid="{00000000-0005-0000-0000-000011AB0000}"/>
    <cellStyle name="Fixed 3" xfId="43802" xr:uid="{00000000-0005-0000-0000-000012AB0000}"/>
    <cellStyle name="footer" xfId="43803" xr:uid="{00000000-0005-0000-0000-000013AB0000}"/>
    <cellStyle name="footer 2" xfId="43804" xr:uid="{00000000-0005-0000-0000-000014AB0000}"/>
    <cellStyle name="Footnote" xfId="43805" xr:uid="{00000000-0005-0000-0000-000015AB0000}"/>
    <cellStyle name="Footnote 2" xfId="43806" xr:uid="{00000000-0005-0000-0000-000016AB0000}"/>
    <cellStyle name="Footnote 2 2" xfId="43807" xr:uid="{00000000-0005-0000-0000-000017AB0000}"/>
    <cellStyle name="Footnote 2 2 2" xfId="43808" xr:uid="{00000000-0005-0000-0000-000018AB0000}"/>
    <cellStyle name="Footnote 2 3" xfId="43809" xr:uid="{00000000-0005-0000-0000-000019AB0000}"/>
    <cellStyle name="Footnote 3" xfId="43810" xr:uid="{00000000-0005-0000-0000-00001AAB0000}"/>
    <cellStyle name="Footnote 3 2" xfId="43811" xr:uid="{00000000-0005-0000-0000-00001BAB0000}"/>
    <cellStyle name="Footnote 4" xfId="43812" xr:uid="{00000000-0005-0000-0000-00001CAB0000}"/>
    <cellStyle name="Footnote8ital" xfId="43813" xr:uid="{00000000-0005-0000-0000-00001DAB0000}"/>
    <cellStyle name="Footnote8ital 2" xfId="43814" xr:uid="{00000000-0005-0000-0000-00001EAB0000}"/>
    <cellStyle name="Footnote8ital 2 2" xfId="43815" xr:uid="{00000000-0005-0000-0000-00001FAB0000}"/>
    <cellStyle name="Footnote8ital 3" xfId="43816" xr:uid="{00000000-0005-0000-0000-000020AB0000}"/>
    <cellStyle name="FUENTES" xfId="43817" xr:uid="{00000000-0005-0000-0000-000021AB0000}"/>
    <cellStyle name="FUENTES 2" xfId="43818" xr:uid="{00000000-0005-0000-0000-000022AB0000}"/>
    <cellStyle name="Global" xfId="43819" xr:uid="{00000000-0005-0000-0000-000023AB0000}"/>
    <cellStyle name="Global 2" xfId="43820" xr:uid="{00000000-0005-0000-0000-000024AB0000}"/>
    <cellStyle name="Global 2 2" xfId="43821" xr:uid="{00000000-0005-0000-0000-000025AB0000}"/>
    <cellStyle name="Global 3" xfId="43822" xr:uid="{00000000-0005-0000-0000-000026AB0000}"/>
    <cellStyle name="Good 10" xfId="43823" xr:uid="{00000000-0005-0000-0000-000027AB0000}"/>
    <cellStyle name="Good 10 2" xfId="43824" xr:uid="{00000000-0005-0000-0000-000028AB0000}"/>
    <cellStyle name="Good 10 2 2" xfId="43825" xr:uid="{00000000-0005-0000-0000-000029AB0000}"/>
    <cellStyle name="Good 10 3" xfId="43826" xr:uid="{00000000-0005-0000-0000-00002AAB0000}"/>
    <cellStyle name="Good 100" xfId="43827" xr:uid="{00000000-0005-0000-0000-00002BAB0000}"/>
    <cellStyle name="Good 100 2" xfId="43828" xr:uid="{00000000-0005-0000-0000-00002CAB0000}"/>
    <cellStyle name="Good 100 2 2" xfId="43829" xr:uid="{00000000-0005-0000-0000-00002DAB0000}"/>
    <cellStyle name="Good 100 3" xfId="43830" xr:uid="{00000000-0005-0000-0000-00002EAB0000}"/>
    <cellStyle name="Good 101" xfId="43831" xr:uid="{00000000-0005-0000-0000-00002FAB0000}"/>
    <cellStyle name="Good 101 2" xfId="43832" xr:uid="{00000000-0005-0000-0000-000030AB0000}"/>
    <cellStyle name="Good 101 2 2" xfId="43833" xr:uid="{00000000-0005-0000-0000-000031AB0000}"/>
    <cellStyle name="Good 101 3" xfId="43834" xr:uid="{00000000-0005-0000-0000-000032AB0000}"/>
    <cellStyle name="Good 102" xfId="43835" xr:uid="{00000000-0005-0000-0000-000033AB0000}"/>
    <cellStyle name="Good 102 2" xfId="43836" xr:uid="{00000000-0005-0000-0000-000034AB0000}"/>
    <cellStyle name="Good 102 2 2" xfId="43837" xr:uid="{00000000-0005-0000-0000-000035AB0000}"/>
    <cellStyle name="Good 102 3" xfId="43838" xr:uid="{00000000-0005-0000-0000-000036AB0000}"/>
    <cellStyle name="Good 103" xfId="43839" xr:uid="{00000000-0005-0000-0000-000037AB0000}"/>
    <cellStyle name="Good 103 2" xfId="43840" xr:uid="{00000000-0005-0000-0000-000038AB0000}"/>
    <cellStyle name="Good 103 2 2" xfId="43841" xr:uid="{00000000-0005-0000-0000-000039AB0000}"/>
    <cellStyle name="Good 103 3" xfId="43842" xr:uid="{00000000-0005-0000-0000-00003AAB0000}"/>
    <cellStyle name="Good 104" xfId="43843" xr:uid="{00000000-0005-0000-0000-00003BAB0000}"/>
    <cellStyle name="Good 104 2" xfId="43844" xr:uid="{00000000-0005-0000-0000-00003CAB0000}"/>
    <cellStyle name="Good 104 2 2" xfId="43845" xr:uid="{00000000-0005-0000-0000-00003DAB0000}"/>
    <cellStyle name="Good 104 3" xfId="43846" xr:uid="{00000000-0005-0000-0000-00003EAB0000}"/>
    <cellStyle name="Good 105" xfId="43847" xr:uid="{00000000-0005-0000-0000-00003FAB0000}"/>
    <cellStyle name="Good 105 2" xfId="43848" xr:uid="{00000000-0005-0000-0000-000040AB0000}"/>
    <cellStyle name="Good 105 2 2" xfId="43849" xr:uid="{00000000-0005-0000-0000-000041AB0000}"/>
    <cellStyle name="Good 105 3" xfId="43850" xr:uid="{00000000-0005-0000-0000-000042AB0000}"/>
    <cellStyle name="Good 106" xfId="43851" xr:uid="{00000000-0005-0000-0000-000043AB0000}"/>
    <cellStyle name="Good 106 2" xfId="43852" xr:uid="{00000000-0005-0000-0000-000044AB0000}"/>
    <cellStyle name="Good 106 2 2" xfId="43853" xr:uid="{00000000-0005-0000-0000-000045AB0000}"/>
    <cellStyle name="Good 106 3" xfId="43854" xr:uid="{00000000-0005-0000-0000-000046AB0000}"/>
    <cellStyle name="Good 107" xfId="43855" xr:uid="{00000000-0005-0000-0000-000047AB0000}"/>
    <cellStyle name="Good 107 2" xfId="43856" xr:uid="{00000000-0005-0000-0000-000048AB0000}"/>
    <cellStyle name="Good 107 2 2" xfId="43857" xr:uid="{00000000-0005-0000-0000-000049AB0000}"/>
    <cellStyle name="Good 107 3" xfId="43858" xr:uid="{00000000-0005-0000-0000-00004AAB0000}"/>
    <cellStyle name="Good 108" xfId="43859" xr:uid="{00000000-0005-0000-0000-00004BAB0000}"/>
    <cellStyle name="Good 108 2" xfId="43860" xr:uid="{00000000-0005-0000-0000-00004CAB0000}"/>
    <cellStyle name="Good 108 2 2" xfId="43861" xr:uid="{00000000-0005-0000-0000-00004DAB0000}"/>
    <cellStyle name="Good 108 3" xfId="43862" xr:uid="{00000000-0005-0000-0000-00004EAB0000}"/>
    <cellStyle name="Good 109" xfId="43863" xr:uid="{00000000-0005-0000-0000-00004FAB0000}"/>
    <cellStyle name="Good 109 2" xfId="43864" xr:uid="{00000000-0005-0000-0000-000050AB0000}"/>
    <cellStyle name="Good 109 2 2" xfId="43865" xr:uid="{00000000-0005-0000-0000-000051AB0000}"/>
    <cellStyle name="Good 109 3" xfId="43866" xr:uid="{00000000-0005-0000-0000-000052AB0000}"/>
    <cellStyle name="Good 11" xfId="43867" xr:uid="{00000000-0005-0000-0000-000053AB0000}"/>
    <cellStyle name="Good 11 2" xfId="43868" xr:uid="{00000000-0005-0000-0000-000054AB0000}"/>
    <cellStyle name="Good 11 2 2" xfId="43869" xr:uid="{00000000-0005-0000-0000-000055AB0000}"/>
    <cellStyle name="Good 11 3" xfId="43870" xr:uid="{00000000-0005-0000-0000-000056AB0000}"/>
    <cellStyle name="Good 110" xfId="43871" xr:uid="{00000000-0005-0000-0000-000057AB0000}"/>
    <cellStyle name="Good 110 2" xfId="43872" xr:uid="{00000000-0005-0000-0000-000058AB0000}"/>
    <cellStyle name="Good 110 2 2" xfId="43873" xr:uid="{00000000-0005-0000-0000-000059AB0000}"/>
    <cellStyle name="Good 110 3" xfId="43874" xr:uid="{00000000-0005-0000-0000-00005AAB0000}"/>
    <cellStyle name="Good 111" xfId="43875" xr:uid="{00000000-0005-0000-0000-00005BAB0000}"/>
    <cellStyle name="Good 111 2" xfId="43876" xr:uid="{00000000-0005-0000-0000-00005CAB0000}"/>
    <cellStyle name="Good 111 2 2" xfId="43877" xr:uid="{00000000-0005-0000-0000-00005DAB0000}"/>
    <cellStyle name="Good 111 3" xfId="43878" xr:uid="{00000000-0005-0000-0000-00005EAB0000}"/>
    <cellStyle name="Good 112" xfId="43879" xr:uid="{00000000-0005-0000-0000-00005FAB0000}"/>
    <cellStyle name="Good 112 2" xfId="43880" xr:uid="{00000000-0005-0000-0000-000060AB0000}"/>
    <cellStyle name="Good 112 2 2" xfId="43881" xr:uid="{00000000-0005-0000-0000-000061AB0000}"/>
    <cellStyle name="Good 112 3" xfId="43882" xr:uid="{00000000-0005-0000-0000-000062AB0000}"/>
    <cellStyle name="Good 113" xfId="43883" xr:uid="{00000000-0005-0000-0000-000063AB0000}"/>
    <cellStyle name="Good 113 2" xfId="43884" xr:uid="{00000000-0005-0000-0000-000064AB0000}"/>
    <cellStyle name="Good 113 2 2" xfId="43885" xr:uid="{00000000-0005-0000-0000-000065AB0000}"/>
    <cellStyle name="Good 113 3" xfId="43886" xr:uid="{00000000-0005-0000-0000-000066AB0000}"/>
    <cellStyle name="Good 114" xfId="43887" xr:uid="{00000000-0005-0000-0000-000067AB0000}"/>
    <cellStyle name="Good 114 2" xfId="43888" xr:uid="{00000000-0005-0000-0000-000068AB0000}"/>
    <cellStyle name="Good 114 2 2" xfId="43889" xr:uid="{00000000-0005-0000-0000-000069AB0000}"/>
    <cellStyle name="Good 114 3" xfId="43890" xr:uid="{00000000-0005-0000-0000-00006AAB0000}"/>
    <cellStyle name="Good 115" xfId="43891" xr:uid="{00000000-0005-0000-0000-00006BAB0000}"/>
    <cellStyle name="Good 115 2" xfId="43892" xr:uid="{00000000-0005-0000-0000-00006CAB0000}"/>
    <cellStyle name="Good 115 2 2" xfId="43893" xr:uid="{00000000-0005-0000-0000-00006DAB0000}"/>
    <cellStyle name="Good 115 3" xfId="43894" xr:uid="{00000000-0005-0000-0000-00006EAB0000}"/>
    <cellStyle name="Good 116" xfId="43895" xr:uid="{00000000-0005-0000-0000-00006FAB0000}"/>
    <cellStyle name="Good 116 2" xfId="43896" xr:uid="{00000000-0005-0000-0000-000070AB0000}"/>
    <cellStyle name="Good 116 2 2" xfId="43897" xr:uid="{00000000-0005-0000-0000-000071AB0000}"/>
    <cellStyle name="Good 116 3" xfId="43898" xr:uid="{00000000-0005-0000-0000-000072AB0000}"/>
    <cellStyle name="Good 117" xfId="43899" xr:uid="{00000000-0005-0000-0000-000073AB0000}"/>
    <cellStyle name="Good 117 2" xfId="43900" xr:uid="{00000000-0005-0000-0000-000074AB0000}"/>
    <cellStyle name="Good 117 2 2" xfId="43901" xr:uid="{00000000-0005-0000-0000-000075AB0000}"/>
    <cellStyle name="Good 117 3" xfId="43902" xr:uid="{00000000-0005-0000-0000-000076AB0000}"/>
    <cellStyle name="Good 118" xfId="43903" xr:uid="{00000000-0005-0000-0000-000077AB0000}"/>
    <cellStyle name="Good 118 2" xfId="43904" xr:uid="{00000000-0005-0000-0000-000078AB0000}"/>
    <cellStyle name="Good 118 2 2" xfId="43905" xr:uid="{00000000-0005-0000-0000-000079AB0000}"/>
    <cellStyle name="Good 118 3" xfId="43906" xr:uid="{00000000-0005-0000-0000-00007AAB0000}"/>
    <cellStyle name="Good 119" xfId="43907" xr:uid="{00000000-0005-0000-0000-00007BAB0000}"/>
    <cellStyle name="Good 119 2" xfId="43908" xr:uid="{00000000-0005-0000-0000-00007CAB0000}"/>
    <cellStyle name="Good 119 2 2" xfId="43909" xr:uid="{00000000-0005-0000-0000-00007DAB0000}"/>
    <cellStyle name="Good 119 3" xfId="43910" xr:uid="{00000000-0005-0000-0000-00007EAB0000}"/>
    <cellStyle name="Good 12" xfId="43911" xr:uid="{00000000-0005-0000-0000-00007FAB0000}"/>
    <cellStyle name="Good 12 2" xfId="43912" xr:uid="{00000000-0005-0000-0000-000080AB0000}"/>
    <cellStyle name="Good 12 2 2" xfId="43913" xr:uid="{00000000-0005-0000-0000-000081AB0000}"/>
    <cellStyle name="Good 12 3" xfId="43914" xr:uid="{00000000-0005-0000-0000-000082AB0000}"/>
    <cellStyle name="Good 120" xfId="43915" xr:uid="{00000000-0005-0000-0000-000083AB0000}"/>
    <cellStyle name="Good 120 2" xfId="43916" xr:uid="{00000000-0005-0000-0000-000084AB0000}"/>
    <cellStyle name="Good 120 2 2" xfId="43917" xr:uid="{00000000-0005-0000-0000-000085AB0000}"/>
    <cellStyle name="Good 120 3" xfId="43918" xr:uid="{00000000-0005-0000-0000-000086AB0000}"/>
    <cellStyle name="Good 121" xfId="43919" xr:uid="{00000000-0005-0000-0000-000087AB0000}"/>
    <cellStyle name="Good 121 2" xfId="43920" xr:uid="{00000000-0005-0000-0000-000088AB0000}"/>
    <cellStyle name="Good 121 2 2" xfId="43921" xr:uid="{00000000-0005-0000-0000-000089AB0000}"/>
    <cellStyle name="Good 121 3" xfId="43922" xr:uid="{00000000-0005-0000-0000-00008AAB0000}"/>
    <cellStyle name="Good 122" xfId="43923" xr:uid="{00000000-0005-0000-0000-00008BAB0000}"/>
    <cellStyle name="Good 122 2" xfId="43924" xr:uid="{00000000-0005-0000-0000-00008CAB0000}"/>
    <cellStyle name="Good 122 2 2" xfId="43925" xr:uid="{00000000-0005-0000-0000-00008DAB0000}"/>
    <cellStyle name="Good 122 3" xfId="43926" xr:uid="{00000000-0005-0000-0000-00008EAB0000}"/>
    <cellStyle name="Good 123" xfId="43927" xr:uid="{00000000-0005-0000-0000-00008FAB0000}"/>
    <cellStyle name="Good 123 2" xfId="43928" xr:uid="{00000000-0005-0000-0000-000090AB0000}"/>
    <cellStyle name="Good 123 2 2" xfId="43929" xr:uid="{00000000-0005-0000-0000-000091AB0000}"/>
    <cellStyle name="Good 123 3" xfId="43930" xr:uid="{00000000-0005-0000-0000-000092AB0000}"/>
    <cellStyle name="Good 124" xfId="43931" xr:uid="{00000000-0005-0000-0000-000093AB0000}"/>
    <cellStyle name="Good 124 2" xfId="43932" xr:uid="{00000000-0005-0000-0000-000094AB0000}"/>
    <cellStyle name="Good 124 2 2" xfId="43933" xr:uid="{00000000-0005-0000-0000-000095AB0000}"/>
    <cellStyle name="Good 124 3" xfId="43934" xr:uid="{00000000-0005-0000-0000-000096AB0000}"/>
    <cellStyle name="Good 125" xfId="43935" xr:uid="{00000000-0005-0000-0000-000097AB0000}"/>
    <cellStyle name="Good 125 2" xfId="43936" xr:uid="{00000000-0005-0000-0000-000098AB0000}"/>
    <cellStyle name="Good 125 2 2" xfId="43937" xr:uid="{00000000-0005-0000-0000-000099AB0000}"/>
    <cellStyle name="Good 125 3" xfId="43938" xr:uid="{00000000-0005-0000-0000-00009AAB0000}"/>
    <cellStyle name="Good 126" xfId="43939" xr:uid="{00000000-0005-0000-0000-00009BAB0000}"/>
    <cellStyle name="Good 126 2" xfId="43940" xr:uid="{00000000-0005-0000-0000-00009CAB0000}"/>
    <cellStyle name="Good 126 2 2" xfId="43941" xr:uid="{00000000-0005-0000-0000-00009DAB0000}"/>
    <cellStyle name="Good 126 3" xfId="43942" xr:uid="{00000000-0005-0000-0000-00009EAB0000}"/>
    <cellStyle name="Good 127" xfId="43943" xr:uid="{00000000-0005-0000-0000-00009FAB0000}"/>
    <cellStyle name="Good 127 2" xfId="43944" xr:uid="{00000000-0005-0000-0000-0000A0AB0000}"/>
    <cellStyle name="Good 127 2 2" xfId="43945" xr:uid="{00000000-0005-0000-0000-0000A1AB0000}"/>
    <cellStyle name="Good 127 3" xfId="43946" xr:uid="{00000000-0005-0000-0000-0000A2AB0000}"/>
    <cellStyle name="Good 128" xfId="43947" xr:uid="{00000000-0005-0000-0000-0000A3AB0000}"/>
    <cellStyle name="Good 128 2" xfId="43948" xr:uid="{00000000-0005-0000-0000-0000A4AB0000}"/>
    <cellStyle name="Good 128 2 2" xfId="43949" xr:uid="{00000000-0005-0000-0000-0000A5AB0000}"/>
    <cellStyle name="Good 128 3" xfId="43950" xr:uid="{00000000-0005-0000-0000-0000A6AB0000}"/>
    <cellStyle name="Good 129" xfId="43951" xr:uid="{00000000-0005-0000-0000-0000A7AB0000}"/>
    <cellStyle name="Good 129 2" xfId="43952" xr:uid="{00000000-0005-0000-0000-0000A8AB0000}"/>
    <cellStyle name="Good 129 2 2" xfId="43953" xr:uid="{00000000-0005-0000-0000-0000A9AB0000}"/>
    <cellStyle name="Good 129 3" xfId="43954" xr:uid="{00000000-0005-0000-0000-0000AAAB0000}"/>
    <cellStyle name="Good 13" xfId="43955" xr:uid="{00000000-0005-0000-0000-0000ABAB0000}"/>
    <cellStyle name="Good 13 2" xfId="43956" xr:uid="{00000000-0005-0000-0000-0000ACAB0000}"/>
    <cellStyle name="Good 13 2 2" xfId="43957" xr:uid="{00000000-0005-0000-0000-0000ADAB0000}"/>
    <cellStyle name="Good 13 3" xfId="43958" xr:uid="{00000000-0005-0000-0000-0000AEAB0000}"/>
    <cellStyle name="Good 130" xfId="43959" xr:uid="{00000000-0005-0000-0000-0000AFAB0000}"/>
    <cellStyle name="Good 130 2" xfId="43960" xr:uid="{00000000-0005-0000-0000-0000B0AB0000}"/>
    <cellStyle name="Good 130 2 2" xfId="43961" xr:uid="{00000000-0005-0000-0000-0000B1AB0000}"/>
    <cellStyle name="Good 130 3" xfId="43962" xr:uid="{00000000-0005-0000-0000-0000B2AB0000}"/>
    <cellStyle name="Good 131" xfId="43963" xr:uid="{00000000-0005-0000-0000-0000B3AB0000}"/>
    <cellStyle name="Good 131 2" xfId="43964" xr:uid="{00000000-0005-0000-0000-0000B4AB0000}"/>
    <cellStyle name="Good 131 2 2" xfId="43965" xr:uid="{00000000-0005-0000-0000-0000B5AB0000}"/>
    <cellStyle name="Good 131 3" xfId="43966" xr:uid="{00000000-0005-0000-0000-0000B6AB0000}"/>
    <cellStyle name="Good 132" xfId="43967" xr:uid="{00000000-0005-0000-0000-0000B7AB0000}"/>
    <cellStyle name="Good 132 2" xfId="43968" xr:uid="{00000000-0005-0000-0000-0000B8AB0000}"/>
    <cellStyle name="Good 132 2 2" xfId="43969" xr:uid="{00000000-0005-0000-0000-0000B9AB0000}"/>
    <cellStyle name="Good 132 3" xfId="43970" xr:uid="{00000000-0005-0000-0000-0000BAAB0000}"/>
    <cellStyle name="Good 133" xfId="43971" xr:uid="{00000000-0005-0000-0000-0000BBAB0000}"/>
    <cellStyle name="Good 133 2" xfId="43972" xr:uid="{00000000-0005-0000-0000-0000BCAB0000}"/>
    <cellStyle name="Good 133 2 2" xfId="43973" xr:uid="{00000000-0005-0000-0000-0000BDAB0000}"/>
    <cellStyle name="Good 133 3" xfId="43974" xr:uid="{00000000-0005-0000-0000-0000BEAB0000}"/>
    <cellStyle name="Good 134" xfId="43975" xr:uid="{00000000-0005-0000-0000-0000BFAB0000}"/>
    <cellStyle name="Good 134 2" xfId="43976" xr:uid="{00000000-0005-0000-0000-0000C0AB0000}"/>
    <cellStyle name="Good 134 2 2" xfId="43977" xr:uid="{00000000-0005-0000-0000-0000C1AB0000}"/>
    <cellStyle name="Good 134 3" xfId="43978" xr:uid="{00000000-0005-0000-0000-0000C2AB0000}"/>
    <cellStyle name="Good 135" xfId="43979" xr:uid="{00000000-0005-0000-0000-0000C3AB0000}"/>
    <cellStyle name="Good 135 2" xfId="43980" xr:uid="{00000000-0005-0000-0000-0000C4AB0000}"/>
    <cellStyle name="Good 135 2 2" xfId="43981" xr:uid="{00000000-0005-0000-0000-0000C5AB0000}"/>
    <cellStyle name="Good 135 3" xfId="43982" xr:uid="{00000000-0005-0000-0000-0000C6AB0000}"/>
    <cellStyle name="Good 136" xfId="43983" xr:uid="{00000000-0005-0000-0000-0000C7AB0000}"/>
    <cellStyle name="Good 136 2" xfId="43984" xr:uid="{00000000-0005-0000-0000-0000C8AB0000}"/>
    <cellStyle name="Good 136 2 2" xfId="43985" xr:uid="{00000000-0005-0000-0000-0000C9AB0000}"/>
    <cellStyle name="Good 136 3" xfId="43986" xr:uid="{00000000-0005-0000-0000-0000CAAB0000}"/>
    <cellStyle name="Good 137" xfId="43987" xr:uid="{00000000-0005-0000-0000-0000CBAB0000}"/>
    <cellStyle name="Good 137 2" xfId="43988" xr:uid="{00000000-0005-0000-0000-0000CCAB0000}"/>
    <cellStyle name="Good 137 2 2" xfId="43989" xr:uid="{00000000-0005-0000-0000-0000CDAB0000}"/>
    <cellStyle name="Good 137 3" xfId="43990" xr:uid="{00000000-0005-0000-0000-0000CEAB0000}"/>
    <cellStyle name="Good 138" xfId="43991" xr:uid="{00000000-0005-0000-0000-0000CFAB0000}"/>
    <cellStyle name="Good 138 2" xfId="43992" xr:uid="{00000000-0005-0000-0000-0000D0AB0000}"/>
    <cellStyle name="Good 138 2 2" xfId="43993" xr:uid="{00000000-0005-0000-0000-0000D1AB0000}"/>
    <cellStyle name="Good 138 3" xfId="43994" xr:uid="{00000000-0005-0000-0000-0000D2AB0000}"/>
    <cellStyle name="Good 139" xfId="43995" xr:uid="{00000000-0005-0000-0000-0000D3AB0000}"/>
    <cellStyle name="Good 139 2" xfId="43996" xr:uid="{00000000-0005-0000-0000-0000D4AB0000}"/>
    <cellStyle name="Good 139 2 2" xfId="43997" xr:uid="{00000000-0005-0000-0000-0000D5AB0000}"/>
    <cellStyle name="Good 139 3" xfId="43998" xr:uid="{00000000-0005-0000-0000-0000D6AB0000}"/>
    <cellStyle name="Good 14" xfId="43999" xr:uid="{00000000-0005-0000-0000-0000D7AB0000}"/>
    <cellStyle name="Good 14 2" xfId="44000" xr:uid="{00000000-0005-0000-0000-0000D8AB0000}"/>
    <cellStyle name="Good 14 2 2" xfId="44001" xr:uid="{00000000-0005-0000-0000-0000D9AB0000}"/>
    <cellStyle name="Good 14 3" xfId="44002" xr:uid="{00000000-0005-0000-0000-0000DAAB0000}"/>
    <cellStyle name="Good 140" xfId="44003" xr:uid="{00000000-0005-0000-0000-0000DBAB0000}"/>
    <cellStyle name="Good 140 2" xfId="44004" xr:uid="{00000000-0005-0000-0000-0000DCAB0000}"/>
    <cellStyle name="Good 140 2 2" xfId="44005" xr:uid="{00000000-0005-0000-0000-0000DDAB0000}"/>
    <cellStyle name="Good 140 3" xfId="44006" xr:uid="{00000000-0005-0000-0000-0000DEAB0000}"/>
    <cellStyle name="Good 141" xfId="44007" xr:uid="{00000000-0005-0000-0000-0000DFAB0000}"/>
    <cellStyle name="Good 141 2" xfId="44008" xr:uid="{00000000-0005-0000-0000-0000E0AB0000}"/>
    <cellStyle name="Good 141 2 2" xfId="44009" xr:uid="{00000000-0005-0000-0000-0000E1AB0000}"/>
    <cellStyle name="Good 141 3" xfId="44010" xr:uid="{00000000-0005-0000-0000-0000E2AB0000}"/>
    <cellStyle name="Good 142" xfId="44011" xr:uid="{00000000-0005-0000-0000-0000E3AB0000}"/>
    <cellStyle name="Good 142 2" xfId="44012" xr:uid="{00000000-0005-0000-0000-0000E4AB0000}"/>
    <cellStyle name="Good 142 2 2" xfId="44013" xr:uid="{00000000-0005-0000-0000-0000E5AB0000}"/>
    <cellStyle name="Good 142 3" xfId="44014" xr:uid="{00000000-0005-0000-0000-0000E6AB0000}"/>
    <cellStyle name="Good 143" xfId="44015" xr:uid="{00000000-0005-0000-0000-0000E7AB0000}"/>
    <cellStyle name="Good 143 2" xfId="44016" xr:uid="{00000000-0005-0000-0000-0000E8AB0000}"/>
    <cellStyle name="Good 143 2 2" xfId="44017" xr:uid="{00000000-0005-0000-0000-0000E9AB0000}"/>
    <cellStyle name="Good 143 3" xfId="44018" xr:uid="{00000000-0005-0000-0000-0000EAAB0000}"/>
    <cellStyle name="Good 144" xfId="44019" xr:uid="{00000000-0005-0000-0000-0000EBAB0000}"/>
    <cellStyle name="Good 144 2" xfId="44020" xr:uid="{00000000-0005-0000-0000-0000ECAB0000}"/>
    <cellStyle name="Good 144 2 2" xfId="44021" xr:uid="{00000000-0005-0000-0000-0000EDAB0000}"/>
    <cellStyle name="Good 144 3" xfId="44022" xr:uid="{00000000-0005-0000-0000-0000EEAB0000}"/>
    <cellStyle name="Good 145" xfId="44023" xr:uid="{00000000-0005-0000-0000-0000EFAB0000}"/>
    <cellStyle name="Good 145 2" xfId="44024" xr:uid="{00000000-0005-0000-0000-0000F0AB0000}"/>
    <cellStyle name="Good 145 2 2" xfId="44025" xr:uid="{00000000-0005-0000-0000-0000F1AB0000}"/>
    <cellStyle name="Good 145 3" xfId="44026" xr:uid="{00000000-0005-0000-0000-0000F2AB0000}"/>
    <cellStyle name="Good 146" xfId="44027" xr:uid="{00000000-0005-0000-0000-0000F3AB0000}"/>
    <cellStyle name="Good 146 2" xfId="44028" xr:uid="{00000000-0005-0000-0000-0000F4AB0000}"/>
    <cellStyle name="Good 146 2 2" xfId="44029" xr:uid="{00000000-0005-0000-0000-0000F5AB0000}"/>
    <cellStyle name="Good 146 3" xfId="44030" xr:uid="{00000000-0005-0000-0000-0000F6AB0000}"/>
    <cellStyle name="Good 147" xfId="44031" xr:uid="{00000000-0005-0000-0000-0000F7AB0000}"/>
    <cellStyle name="Good 147 2" xfId="44032" xr:uid="{00000000-0005-0000-0000-0000F8AB0000}"/>
    <cellStyle name="Good 147 2 2" xfId="44033" xr:uid="{00000000-0005-0000-0000-0000F9AB0000}"/>
    <cellStyle name="Good 147 3" xfId="44034" xr:uid="{00000000-0005-0000-0000-0000FAAB0000}"/>
    <cellStyle name="Good 148" xfId="44035" xr:uid="{00000000-0005-0000-0000-0000FBAB0000}"/>
    <cellStyle name="Good 148 2" xfId="44036" xr:uid="{00000000-0005-0000-0000-0000FCAB0000}"/>
    <cellStyle name="Good 148 2 2" xfId="44037" xr:uid="{00000000-0005-0000-0000-0000FDAB0000}"/>
    <cellStyle name="Good 148 3" xfId="44038" xr:uid="{00000000-0005-0000-0000-0000FEAB0000}"/>
    <cellStyle name="Good 149" xfId="44039" xr:uid="{00000000-0005-0000-0000-0000FFAB0000}"/>
    <cellStyle name="Good 149 2" xfId="44040" xr:uid="{00000000-0005-0000-0000-000000AC0000}"/>
    <cellStyle name="Good 149 2 2" xfId="44041" xr:uid="{00000000-0005-0000-0000-000001AC0000}"/>
    <cellStyle name="Good 149 3" xfId="44042" xr:uid="{00000000-0005-0000-0000-000002AC0000}"/>
    <cellStyle name="Good 15" xfId="44043" xr:uid="{00000000-0005-0000-0000-000003AC0000}"/>
    <cellStyle name="Good 15 2" xfId="44044" xr:uid="{00000000-0005-0000-0000-000004AC0000}"/>
    <cellStyle name="Good 15 2 2" xfId="44045" xr:uid="{00000000-0005-0000-0000-000005AC0000}"/>
    <cellStyle name="Good 15 3" xfId="44046" xr:uid="{00000000-0005-0000-0000-000006AC0000}"/>
    <cellStyle name="Good 150" xfId="44047" xr:uid="{00000000-0005-0000-0000-000007AC0000}"/>
    <cellStyle name="Good 150 2" xfId="44048" xr:uid="{00000000-0005-0000-0000-000008AC0000}"/>
    <cellStyle name="Good 150 2 2" xfId="44049" xr:uid="{00000000-0005-0000-0000-000009AC0000}"/>
    <cellStyle name="Good 150 3" xfId="44050" xr:uid="{00000000-0005-0000-0000-00000AAC0000}"/>
    <cellStyle name="Good 151" xfId="44051" xr:uid="{00000000-0005-0000-0000-00000BAC0000}"/>
    <cellStyle name="Good 151 2" xfId="44052" xr:uid="{00000000-0005-0000-0000-00000CAC0000}"/>
    <cellStyle name="Good 151 2 2" xfId="44053" xr:uid="{00000000-0005-0000-0000-00000DAC0000}"/>
    <cellStyle name="Good 151 3" xfId="44054" xr:uid="{00000000-0005-0000-0000-00000EAC0000}"/>
    <cellStyle name="Good 152" xfId="44055" xr:uid="{00000000-0005-0000-0000-00000FAC0000}"/>
    <cellStyle name="Good 152 2" xfId="44056" xr:uid="{00000000-0005-0000-0000-000010AC0000}"/>
    <cellStyle name="Good 152 2 2" xfId="44057" xr:uid="{00000000-0005-0000-0000-000011AC0000}"/>
    <cellStyle name="Good 152 3" xfId="44058" xr:uid="{00000000-0005-0000-0000-000012AC0000}"/>
    <cellStyle name="Good 153" xfId="44059" xr:uid="{00000000-0005-0000-0000-000013AC0000}"/>
    <cellStyle name="Good 153 2" xfId="44060" xr:uid="{00000000-0005-0000-0000-000014AC0000}"/>
    <cellStyle name="Good 153 2 2" xfId="44061" xr:uid="{00000000-0005-0000-0000-000015AC0000}"/>
    <cellStyle name="Good 153 3" xfId="44062" xr:uid="{00000000-0005-0000-0000-000016AC0000}"/>
    <cellStyle name="Good 154" xfId="44063" xr:uid="{00000000-0005-0000-0000-000017AC0000}"/>
    <cellStyle name="Good 154 2" xfId="44064" xr:uid="{00000000-0005-0000-0000-000018AC0000}"/>
    <cellStyle name="Good 154 2 2" xfId="44065" xr:uid="{00000000-0005-0000-0000-000019AC0000}"/>
    <cellStyle name="Good 154 3" xfId="44066" xr:uid="{00000000-0005-0000-0000-00001AAC0000}"/>
    <cellStyle name="Good 155" xfId="44067" xr:uid="{00000000-0005-0000-0000-00001BAC0000}"/>
    <cellStyle name="Good 155 2" xfId="44068" xr:uid="{00000000-0005-0000-0000-00001CAC0000}"/>
    <cellStyle name="Good 155 2 2" xfId="44069" xr:uid="{00000000-0005-0000-0000-00001DAC0000}"/>
    <cellStyle name="Good 155 3" xfId="44070" xr:uid="{00000000-0005-0000-0000-00001EAC0000}"/>
    <cellStyle name="Good 156" xfId="44071" xr:uid="{00000000-0005-0000-0000-00001FAC0000}"/>
    <cellStyle name="Good 156 2" xfId="44072" xr:uid="{00000000-0005-0000-0000-000020AC0000}"/>
    <cellStyle name="Good 156 2 2" xfId="44073" xr:uid="{00000000-0005-0000-0000-000021AC0000}"/>
    <cellStyle name="Good 156 3" xfId="44074" xr:uid="{00000000-0005-0000-0000-000022AC0000}"/>
    <cellStyle name="Good 157" xfId="44075" xr:uid="{00000000-0005-0000-0000-000023AC0000}"/>
    <cellStyle name="Good 157 2" xfId="44076" xr:uid="{00000000-0005-0000-0000-000024AC0000}"/>
    <cellStyle name="Good 157 2 2" xfId="44077" xr:uid="{00000000-0005-0000-0000-000025AC0000}"/>
    <cellStyle name="Good 157 3" xfId="44078" xr:uid="{00000000-0005-0000-0000-000026AC0000}"/>
    <cellStyle name="Good 158" xfId="44079" xr:uid="{00000000-0005-0000-0000-000027AC0000}"/>
    <cellStyle name="Good 158 2" xfId="44080" xr:uid="{00000000-0005-0000-0000-000028AC0000}"/>
    <cellStyle name="Good 158 2 2" xfId="44081" xr:uid="{00000000-0005-0000-0000-000029AC0000}"/>
    <cellStyle name="Good 158 3" xfId="44082" xr:uid="{00000000-0005-0000-0000-00002AAC0000}"/>
    <cellStyle name="Good 159" xfId="44083" xr:uid="{00000000-0005-0000-0000-00002BAC0000}"/>
    <cellStyle name="Good 159 2" xfId="44084" xr:uid="{00000000-0005-0000-0000-00002CAC0000}"/>
    <cellStyle name="Good 16" xfId="44085" xr:uid="{00000000-0005-0000-0000-00002DAC0000}"/>
    <cellStyle name="Good 16 2" xfId="44086" xr:uid="{00000000-0005-0000-0000-00002EAC0000}"/>
    <cellStyle name="Good 16 2 2" xfId="44087" xr:uid="{00000000-0005-0000-0000-00002FAC0000}"/>
    <cellStyle name="Good 16 3" xfId="44088" xr:uid="{00000000-0005-0000-0000-000030AC0000}"/>
    <cellStyle name="Good 160" xfId="44089" xr:uid="{00000000-0005-0000-0000-000031AC0000}"/>
    <cellStyle name="Good 160 2" xfId="44090" xr:uid="{00000000-0005-0000-0000-000032AC0000}"/>
    <cellStyle name="Good 161" xfId="44091" xr:uid="{00000000-0005-0000-0000-000033AC0000}"/>
    <cellStyle name="Good 161 2" xfId="44092" xr:uid="{00000000-0005-0000-0000-000034AC0000}"/>
    <cellStyle name="Good 162" xfId="44093" xr:uid="{00000000-0005-0000-0000-000035AC0000}"/>
    <cellStyle name="Good 162 2" xfId="44094" xr:uid="{00000000-0005-0000-0000-000036AC0000}"/>
    <cellStyle name="Good 163" xfId="44095" xr:uid="{00000000-0005-0000-0000-000037AC0000}"/>
    <cellStyle name="Good 163 2" xfId="44096" xr:uid="{00000000-0005-0000-0000-000038AC0000}"/>
    <cellStyle name="Good 164" xfId="44097" xr:uid="{00000000-0005-0000-0000-000039AC0000}"/>
    <cellStyle name="Good 164 2" xfId="44098" xr:uid="{00000000-0005-0000-0000-00003AAC0000}"/>
    <cellStyle name="Good 165" xfId="44099" xr:uid="{00000000-0005-0000-0000-00003BAC0000}"/>
    <cellStyle name="Good 165 2" xfId="44100" xr:uid="{00000000-0005-0000-0000-00003CAC0000}"/>
    <cellStyle name="Good 166" xfId="44101" xr:uid="{00000000-0005-0000-0000-00003DAC0000}"/>
    <cellStyle name="Good 166 2" xfId="44102" xr:uid="{00000000-0005-0000-0000-00003EAC0000}"/>
    <cellStyle name="Good 167" xfId="44103" xr:uid="{00000000-0005-0000-0000-00003FAC0000}"/>
    <cellStyle name="Good 167 2" xfId="44104" xr:uid="{00000000-0005-0000-0000-000040AC0000}"/>
    <cellStyle name="Good 168" xfId="44105" xr:uid="{00000000-0005-0000-0000-000041AC0000}"/>
    <cellStyle name="Good 168 2" xfId="44106" xr:uid="{00000000-0005-0000-0000-000042AC0000}"/>
    <cellStyle name="Good 169" xfId="44107" xr:uid="{00000000-0005-0000-0000-000043AC0000}"/>
    <cellStyle name="Good 169 2" xfId="44108" xr:uid="{00000000-0005-0000-0000-000044AC0000}"/>
    <cellStyle name="Good 17" xfId="44109" xr:uid="{00000000-0005-0000-0000-000045AC0000}"/>
    <cellStyle name="Good 17 2" xfId="44110" xr:uid="{00000000-0005-0000-0000-000046AC0000}"/>
    <cellStyle name="Good 17 2 2" xfId="44111" xr:uid="{00000000-0005-0000-0000-000047AC0000}"/>
    <cellStyle name="Good 17 3" xfId="44112" xr:uid="{00000000-0005-0000-0000-000048AC0000}"/>
    <cellStyle name="Good 170" xfId="44113" xr:uid="{00000000-0005-0000-0000-000049AC0000}"/>
    <cellStyle name="Good 170 2" xfId="44114" xr:uid="{00000000-0005-0000-0000-00004AAC0000}"/>
    <cellStyle name="Good 171" xfId="44115" xr:uid="{00000000-0005-0000-0000-00004BAC0000}"/>
    <cellStyle name="Good 171 2" xfId="44116" xr:uid="{00000000-0005-0000-0000-00004CAC0000}"/>
    <cellStyle name="Good 172" xfId="44117" xr:uid="{00000000-0005-0000-0000-00004DAC0000}"/>
    <cellStyle name="Good 172 2" xfId="44118" xr:uid="{00000000-0005-0000-0000-00004EAC0000}"/>
    <cellStyle name="Good 173" xfId="44119" xr:uid="{00000000-0005-0000-0000-00004FAC0000}"/>
    <cellStyle name="Good 173 2" xfId="44120" xr:uid="{00000000-0005-0000-0000-000050AC0000}"/>
    <cellStyle name="Good 174" xfId="44121" xr:uid="{00000000-0005-0000-0000-000051AC0000}"/>
    <cellStyle name="Good 174 2" xfId="44122" xr:uid="{00000000-0005-0000-0000-000052AC0000}"/>
    <cellStyle name="Good 175" xfId="44123" xr:uid="{00000000-0005-0000-0000-000053AC0000}"/>
    <cellStyle name="Good 175 2" xfId="44124" xr:uid="{00000000-0005-0000-0000-000054AC0000}"/>
    <cellStyle name="Good 176" xfId="44125" xr:uid="{00000000-0005-0000-0000-000055AC0000}"/>
    <cellStyle name="Good 176 2" xfId="44126" xr:uid="{00000000-0005-0000-0000-000056AC0000}"/>
    <cellStyle name="Good 177" xfId="44127" xr:uid="{00000000-0005-0000-0000-000057AC0000}"/>
    <cellStyle name="Good 177 2" xfId="44128" xr:uid="{00000000-0005-0000-0000-000058AC0000}"/>
    <cellStyle name="Good 178" xfId="44129" xr:uid="{00000000-0005-0000-0000-000059AC0000}"/>
    <cellStyle name="Good 178 2" xfId="44130" xr:uid="{00000000-0005-0000-0000-00005AAC0000}"/>
    <cellStyle name="Good 179" xfId="44131" xr:uid="{00000000-0005-0000-0000-00005BAC0000}"/>
    <cellStyle name="Good 179 2" xfId="44132" xr:uid="{00000000-0005-0000-0000-00005CAC0000}"/>
    <cellStyle name="Good 18" xfId="44133" xr:uid="{00000000-0005-0000-0000-00005DAC0000}"/>
    <cellStyle name="Good 18 2" xfId="44134" xr:uid="{00000000-0005-0000-0000-00005EAC0000}"/>
    <cellStyle name="Good 18 2 2" xfId="44135" xr:uid="{00000000-0005-0000-0000-00005FAC0000}"/>
    <cellStyle name="Good 18 3" xfId="44136" xr:uid="{00000000-0005-0000-0000-000060AC0000}"/>
    <cellStyle name="Good 180" xfId="44137" xr:uid="{00000000-0005-0000-0000-000061AC0000}"/>
    <cellStyle name="Good 180 2" xfId="44138" xr:uid="{00000000-0005-0000-0000-000062AC0000}"/>
    <cellStyle name="Good 181" xfId="44139" xr:uid="{00000000-0005-0000-0000-000063AC0000}"/>
    <cellStyle name="Good 181 2" xfId="44140" xr:uid="{00000000-0005-0000-0000-000064AC0000}"/>
    <cellStyle name="Good 182" xfId="44141" xr:uid="{00000000-0005-0000-0000-000065AC0000}"/>
    <cellStyle name="Good 182 2" xfId="44142" xr:uid="{00000000-0005-0000-0000-000066AC0000}"/>
    <cellStyle name="Good 183" xfId="44143" xr:uid="{00000000-0005-0000-0000-000067AC0000}"/>
    <cellStyle name="Good 183 2" xfId="44144" xr:uid="{00000000-0005-0000-0000-000068AC0000}"/>
    <cellStyle name="Good 184" xfId="44145" xr:uid="{00000000-0005-0000-0000-000069AC0000}"/>
    <cellStyle name="Good 184 2" xfId="44146" xr:uid="{00000000-0005-0000-0000-00006AAC0000}"/>
    <cellStyle name="Good 185" xfId="44147" xr:uid="{00000000-0005-0000-0000-00006BAC0000}"/>
    <cellStyle name="Good 185 2" xfId="44148" xr:uid="{00000000-0005-0000-0000-00006CAC0000}"/>
    <cellStyle name="Good 186" xfId="44149" xr:uid="{00000000-0005-0000-0000-00006DAC0000}"/>
    <cellStyle name="Good 186 2" xfId="44150" xr:uid="{00000000-0005-0000-0000-00006EAC0000}"/>
    <cellStyle name="Good 187" xfId="44151" xr:uid="{00000000-0005-0000-0000-00006FAC0000}"/>
    <cellStyle name="Good 187 2" xfId="44152" xr:uid="{00000000-0005-0000-0000-000070AC0000}"/>
    <cellStyle name="Good 188" xfId="44153" xr:uid="{00000000-0005-0000-0000-000071AC0000}"/>
    <cellStyle name="Good 188 2" xfId="44154" xr:uid="{00000000-0005-0000-0000-000072AC0000}"/>
    <cellStyle name="Good 189" xfId="44155" xr:uid="{00000000-0005-0000-0000-000073AC0000}"/>
    <cellStyle name="Good 189 2" xfId="44156" xr:uid="{00000000-0005-0000-0000-000074AC0000}"/>
    <cellStyle name="Good 19" xfId="44157" xr:uid="{00000000-0005-0000-0000-000075AC0000}"/>
    <cellStyle name="Good 19 2" xfId="44158" xr:uid="{00000000-0005-0000-0000-000076AC0000}"/>
    <cellStyle name="Good 19 2 2" xfId="44159" xr:uid="{00000000-0005-0000-0000-000077AC0000}"/>
    <cellStyle name="Good 19 3" xfId="44160" xr:uid="{00000000-0005-0000-0000-000078AC0000}"/>
    <cellStyle name="Good 190" xfId="44161" xr:uid="{00000000-0005-0000-0000-000079AC0000}"/>
    <cellStyle name="Good 190 2" xfId="44162" xr:uid="{00000000-0005-0000-0000-00007AAC0000}"/>
    <cellStyle name="Good 191" xfId="44163" xr:uid="{00000000-0005-0000-0000-00007BAC0000}"/>
    <cellStyle name="Good 191 2" xfId="44164" xr:uid="{00000000-0005-0000-0000-00007CAC0000}"/>
    <cellStyle name="Good 192" xfId="44165" xr:uid="{00000000-0005-0000-0000-00007DAC0000}"/>
    <cellStyle name="Good 192 2" xfId="44166" xr:uid="{00000000-0005-0000-0000-00007EAC0000}"/>
    <cellStyle name="Good 193" xfId="44167" xr:uid="{00000000-0005-0000-0000-00007FAC0000}"/>
    <cellStyle name="Good 193 2" xfId="44168" xr:uid="{00000000-0005-0000-0000-000080AC0000}"/>
    <cellStyle name="Good 194" xfId="44169" xr:uid="{00000000-0005-0000-0000-000081AC0000}"/>
    <cellStyle name="Good 194 2" xfId="44170" xr:uid="{00000000-0005-0000-0000-000082AC0000}"/>
    <cellStyle name="Good 195" xfId="44171" xr:uid="{00000000-0005-0000-0000-000083AC0000}"/>
    <cellStyle name="Good 195 2" xfId="44172" xr:uid="{00000000-0005-0000-0000-000084AC0000}"/>
    <cellStyle name="Good 196" xfId="44173" xr:uid="{00000000-0005-0000-0000-000085AC0000}"/>
    <cellStyle name="Good 196 2" xfId="44174" xr:uid="{00000000-0005-0000-0000-000086AC0000}"/>
    <cellStyle name="Good 197" xfId="44175" xr:uid="{00000000-0005-0000-0000-000087AC0000}"/>
    <cellStyle name="Good 197 2" xfId="44176" xr:uid="{00000000-0005-0000-0000-000088AC0000}"/>
    <cellStyle name="Good 198" xfId="44177" xr:uid="{00000000-0005-0000-0000-000089AC0000}"/>
    <cellStyle name="Good 198 2" xfId="44178" xr:uid="{00000000-0005-0000-0000-00008AAC0000}"/>
    <cellStyle name="Good 2" xfId="44179" xr:uid="{00000000-0005-0000-0000-00008BAC0000}"/>
    <cellStyle name="Good 2 2" xfId="44180" xr:uid="{00000000-0005-0000-0000-00008CAC0000}"/>
    <cellStyle name="Good 2 2 2" xfId="44181" xr:uid="{00000000-0005-0000-0000-00008DAC0000}"/>
    <cellStyle name="Good 2 2 2 2" xfId="44182" xr:uid="{00000000-0005-0000-0000-00008EAC0000}"/>
    <cellStyle name="Good 2 2 2 2 2" xfId="44183" xr:uid="{00000000-0005-0000-0000-00008FAC0000}"/>
    <cellStyle name="Good 2 2 2 2 2 2" xfId="44184" xr:uid="{00000000-0005-0000-0000-000090AC0000}"/>
    <cellStyle name="Good 2 2 2 2 3" xfId="44185" xr:uid="{00000000-0005-0000-0000-000091AC0000}"/>
    <cellStyle name="Good 2 2 2 3" xfId="44186" xr:uid="{00000000-0005-0000-0000-000092AC0000}"/>
    <cellStyle name="Good 2 2 3" xfId="44187" xr:uid="{00000000-0005-0000-0000-000093AC0000}"/>
    <cellStyle name="Good 2 2 3 2" xfId="44188" xr:uid="{00000000-0005-0000-0000-000094AC0000}"/>
    <cellStyle name="Good 2 2 4" xfId="44189" xr:uid="{00000000-0005-0000-0000-000095AC0000}"/>
    <cellStyle name="Good 2 2 4 2" xfId="44190" xr:uid="{00000000-0005-0000-0000-000096AC0000}"/>
    <cellStyle name="Good 2 2 5" xfId="44191" xr:uid="{00000000-0005-0000-0000-000097AC0000}"/>
    <cellStyle name="Good 2 3" xfId="44192" xr:uid="{00000000-0005-0000-0000-000098AC0000}"/>
    <cellStyle name="Good 2 3 2" xfId="44193" xr:uid="{00000000-0005-0000-0000-000099AC0000}"/>
    <cellStyle name="Good 2 4" xfId="44194" xr:uid="{00000000-0005-0000-0000-00009AAC0000}"/>
    <cellStyle name="Good 2 4 2" xfId="44195" xr:uid="{00000000-0005-0000-0000-00009BAC0000}"/>
    <cellStyle name="Good 2 5" xfId="44196" xr:uid="{00000000-0005-0000-0000-00009CAC0000}"/>
    <cellStyle name="Good 2 5 2" xfId="44197" xr:uid="{00000000-0005-0000-0000-00009DAC0000}"/>
    <cellStyle name="Good 2 6" xfId="44198" xr:uid="{00000000-0005-0000-0000-00009EAC0000}"/>
    <cellStyle name="Good 20" xfId="44199" xr:uid="{00000000-0005-0000-0000-00009FAC0000}"/>
    <cellStyle name="Good 20 2" xfId="44200" xr:uid="{00000000-0005-0000-0000-0000A0AC0000}"/>
    <cellStyle name="Good 20 2 2" xfId="44201" xr:uid="{00000000-0005-0000-0000-0000A1AC0000}"/>
    <cellStyle name="Good 20 3" xfId="44202" xr:uid="{00000000-0005-0000-0000-0000A2AC0000}"/>
    <cellStyle name="Good 21" xfId="44203" xr:uid="{00000000-0005-0000-0000-0000A3AC0000}"/>
    <cellStyle name="Good 21 2" xfId="44204" xr:uid="{00000000-0005-0000-0000-0000A4AC0000}"/>
    <cellStyle name="Good 21 2 2" xfId="44205" xr:uid="{00000000-0005-0000-0000-0000A5AC0000}"/>
    <cellStyle name="Good 21 3" xfId="44206" xr:uid="{00000000-0005-0000-0000-0000A6AC0000}"/>
    <cellStyle name="Good 22" xfId="44207" xr:uid="{00000000-0005-0000-0000-0000A7AC0000}"/>
    <cellStyle name="Good 22 2" xfId="44208" xr:uid="{00000000-0005-0000-0000-0000A8AC0000}"/>
    <cellStyle name="Good 22 2 2" xfId="44209" xr:uid="{00000000-0005-0000-0000-0000A9AC0000}"/>
    <cellStyle name="Good 22 3" xfId="44210" xr:uid="{00000000-0005-0000-0000-0000AAAC0000}"/>
    <cellStyle name="Good 23" xfId="44211" xr:uid="{00000000-0005-0000-0000-0000ABAC0000}"/>
    <cellStyle name="Good 23 2" xfId="44212" xr:uid="{00000000-0005-0000-0000-0000ACAC0000}"/>
    <cellStyle name="Good 23 2 2" xfId="44213" xr:uid="{00000000-0005-0000-0000-0000ADAC0000}"/>
    <cellStyle name="Good 23 3" xfId="44214" xr:uid="{00000000-0005-0000-0000-0000AEAC0000}"/>
    <cellStyle name="Good 24" xfId="44215" xr:uid="{00000000-0005-0000-0000-0000AFAC0000}"/>
    <cellStyle name="Good 24 2" xfId="44216" xr:uid="{00000000-0005-0000-0000-0000B0AC0000}"/>
    <cellStyle name="Good 24 2 2" xfId="44217" xr:uid="{00000000-0005-0000-0000-0000B1AC0000}"/>
    <cellStyle name="Good 24 3" xfId="44218" xr:uid="{00000000-0005-0000-0000-0000B2AC0000}"/>
    <cellStyle name="Good 25" xfId="44219" xr:uid="{00000000-0005-0000-0000-0000B3AC0000}"/>
    <cellStyle name="Good 25 2" xfId="44220" xr:uid="{00000000-0005-0000-0000-0000B4AC0000}"/>
    <cellStyle name="Good 25 2 2" xfId="44221" xr:uid="{00000000-0005-0000-0000-0000B5AC0000}"/>
    <cellStyle name="Good 25 3" xfId="44222" xr:uid="{00000000-0005-0000-0000-0000B6AC0000}"/>
    <cellStyle name="Good 26" xfId="44223" xr:uid="{00000000-0005-0000-0000-0000B7AC0000}"/>
    <cellStyle name="Good 26 2" xfId="44224" xr:uid="{00000000-0005-0000-0000-0000B8AC0000}"/>
    <cellStyle name="Good 26 2 2" xfId="44225" xr:uid="{00000000-0005-0000-0000-0000B9AC0000}"/>
    <cellStyle name="Good 26 3" xfId="44226" xr:uid="{00000000-0005-0000-0000-0000BAAC0000}"/>
    <cellStyle name="Good 27" xfId="44227" xr:uid="{00000000-0005-0000-0000-0000BBAC0000}"/>
    <cellStyle name="Good 27 2" xfId="44228" xr:uid="{00000000-0005-0000-0000-0000BCAC0000}"/>
    <cellStyle name="Good 27 2 2" xfId="44229" xr:uid="{00000000-0005-0000-0000-0000BDAC0000}"/>
    <cellStyle name="Good 27 3" xfId="44230" xr:uid="{00000000-0005-0000-0000-0000BEAC0000}"/>
    <cellStyle name="Good 28" xfId="44231" xr:uid="{00000000-0005-0000-0000-0000BFAC0000}"/>
    <cellStyle name="Good 28 2" xfId="44232" xr:uid="{00000000-0005-0000-0000-0000C0AC0000}"/>
    <cellStyle name="Good 28 2 2" xfId="44233" xr:uid="{00000000-0005-0000-0000-0000C1AC0000}"/>
    <cellStyle name="Good 28 3" xfId="44234" xr:uid="{00000000-0005-0000-0000-0000C2AC0000}"/>
    <cellStyle name="Good 29" xfId="44235" xr:uid="{00000000-0005-0000-0000-0000C3AC0000}"/>
    <cellStyle name="Good 29 2" xfId="44236" xr:uid="{00000000-0005-0000-0000-0000C4AC0000}"/>
    <cellStyle name="Good 29 2 2" xfId="44237" xr:uid="{00000000-0005-0000-0000-0000C5AC0000}"/>
    <cellStyle name="Good 29 3" xfId="44238" xr:uid="{00000000-0005-0000-0000-0000C6AC0000}"/>
    <cellStyle name="Good 3" xfId="44239" xr:uid="{00000000-0005-0000-0000-0000C7AC0000}"/>
    <cellStyle name="Good 3 2" xfId="44240" xr:uid="{00000000-0005-0000-0000-0000C8AC0000}"/>
    <cellStyle name="Good 3 2 2" xfId="44241" xr:uid="{00000000-0005-0000-0000-0000C9AC0000}"/>
    <cellStyle name="Good 3 3" xfId="44242" xr:uid="{00000000-0005-0000-0000-0000CAAC0000}"/>
    <cellStyle name="Good 3 3 2" xfId="44243" xr:uid="{00000000-0005-0000-0000-0000CBAC0000}"/>
    <cellStyle name="Good 3 4" xfId="44244" xr:uid="{00000000-0005-0000-0000-0000CCAC0000}"/>
    <cellStyle name="Good 3 4 2" xfId="44245" xr:uid="{00000000-0005-0000-0000-0000CDAC0000}"/>
    <cellStyle name="Good 3 5" xfId="44246" xr:uid="{00000000-0005-0000-0000-0000CEAC0000}"/>
    <cellStyle name="Good 30" xfId="44247" xr:uid="{00000000-0005-0000-0000-0000CFAC0000}"/>
    <cellStyle name="Good 30 2" xfId="44248" xr:uid="{00000000-0005-0000-0000-0000D0AC0000}"/>
    <cellStyle name="Good 30 2 2" xfId="44249" xr:uid="{00000000-0005-0000-0000-0000D1AC0000}"/>
    <cellStyle name="Good 30 3" xfId="44250" xr:uid="{00000000-0005-0000-0000-0000D2AC0000}"/>
    <cellStyle name="Good 31" xfId="44251" xr:uid="{00000000-0005-0000-0000-0000D3AC0000}"/>
    <cellStyle name="Good 31 2" xfId="44252" xr:uid="{00000000-0005-0000-0000-0000D4AC0000}"/>
    <cellStyle name="Good 31 2 2" xfId="44253" xr:uid="{00000000-0005-0000-0000-0000D5AC0000}"/>
    <cellStyle name="Good 31 3" xfId="44254" xr:uid="{00000000-0005-0000-0000-0000D6AC0000}"/>
    <cellStyle name="Good 32" xfId="44255" xr:uid="{00000000-0005-0000-0000-0000D7AC0000}"/>
    <cellStyle name="Good 32 2" xfId="44256" xr:uid="{00000000-0005-0000-0000-0000D8AC0000}"/>
    <cellStyle name="Good 32 2 2" xfId="44257" xr:uid="{00000000-0005-0000-0000-0000D9AC0000}"/>
    <cellStyle name="Good 32 3" xfId="44258" xr:uid="{00000000-0005-0000-0000-0000DAAC0000}"/>
    <cellStyle name="Good 33" xfId="44259" xr:uid="{00000000-0005-0000-0000-0000DBAC0000}"/>
    <cellStyle name="Good 33 2" xfId="44260" xr:uid="{00000000-0005-0000-0000-0000DCAC0000}"/>
    <cellStyle name="Good 33 2 2" xfId="44261" xr:uid="{00000000-0005-0000-0000-0000DDAC0000}"/>
    <cellStyle name="Good 33 3" xfId="44262" xr:uid="{00000000-0005-0000-0000-0000DEAC0000}"/>
    <cellStyle name="Good 34" xfId="44263" xr:uid="{00000000-0005-0000-0000-0000DFAC0000}"/>
    <cellStyle name="Good 34 2" xfId="44264" xr:uid="{00000000-0005-0000-0000-0000E0AC0000}"/>
    <cellStyle name="Good 34 2 2" xfId="44265" xr:uid="{00000000-0005-0000-0000-0000E1AC0000}"/>
    <cellStyle name="Good 34 3" xfId="44266" xr:uid="{00000000-0005-0000-0000-0000E2AC0000}"/>
    <cellStyle name="Good 35" xfId="44267" xr:uid="{00000000-0005-0000-0000-0000E3AC0000}"/>
    <cellStyle name="Good 35 2" xfId="44268" xr:uid="{00000000-0005-0000-0000-0000E4AC0000}"/>
    <cellStyle name="Good 35 2 2" xfId="44269" xr:uid="{00000000-0005-0000-0000-0000E5AC0000}"/>
    <cellStyle name="Good 35 3" xfId="44270" xr:uid="{00000000-0005-0000-0000-0000E6AC0000}"/>
    <cellStyle name="Good 36" xfId="44271" xr:uid="{00000000-0005-0000-0000-0000E7AC0000}"/>
    <cellStyle name="Good 36 2" xfId="44272" xr:uid="{00000000-0005-0000-0000-0000E8AC0000}"/>
    <cellStyle name="Good 36 2 2" xfId="44273" xr:uid="{00000000-0005-0000-0000-0000E9AC0000}"/>
    <cellStyle name="Good 36 3" xfId="44274" xr:uid="{00000000-0005-0000-0000-0000EAAC0000}"/>
    <cellStyle name="Good 37" xfId="44275" xr:uid="{00000000-0005-0000-0000-0000EBAC0000}"/>
    <cellStyle name="Good 37 2" xfId="44276" xr:uid="{00000000-0005-0000-0000-0000ECAC0000}"/>
    <cellStyle name="Good 37 2 2" xfId="44277" xr:uid="{00000000-0005-0000-0000-0000EDAC0000}"/>
    <cellStyle name="Good 37 3" xfId="44278" xr:uid="{00000000-0005-0000-0000-0000EEAC0000}"/>
    <cellStyle name="Good 38" xfId="44279" xr:uid="{00000000-0005-0000-0000-0000EFAC0000}"/>
    <cellStyle name="Good 38 2" xfId="44280" xr:uid="{00000000-0005-0000-0000-0000F0AC0000}"/>
    <cellStyle name="Good 38 2 2" xfId="44281" xr:uid="{00000000-0005-0000-0000-0000F1AC0000}"/>
    <cellStyle name="Good 38 3" xfId="44282" xr:uid="{00000000-0005-0000-0000-0000F2AC0000}"/>
    <cellStyle name="Good 39" xfId="44283" xr:uid="{00000000-0005-0000-0000-0000F3AC0000}"/>
    <cellStyle name="Good 39 2" xfId="44284" xr:uid="{00000000-0005-0000-0000-0000F4AC0000}"/>
    <cellStyle name="Good 39 2 2" xfId="44285" xr:uid="{00000000-0005-0000-0000-0000F5AC0000}"/>
    <cellStyle name="Good 39 3" xfId="44286" xr:uid="{00000000-0005-0000-0000-0000F6AC0000}"/>
    <cellStyle name="Good 4" xfId="44287" xr:uid="{00000000-0005-0000-0000-0000F7AC0000}"/>
    <cellStyle name="Good 4 2" xfId="44288" xr:uid="{00000000-0005-0000-0000-0000F8AC0000}"/>
    <cellStyle name="Good 4 2 2" xfId="44289" xr:uid="{00000000-0005-0000-0000-0000F9AC0000}"/>
    <cellStyle name="Good 4 3" xfId="44290" xr:uid="{00000000-0005-0000-0000-0000FAAC0000}"/>
    <cellStyle name="Good 4 3 2" xfId="44291" xr:uid="{00000000-0005-0000-0000-0000FBAC0000}"/>
    <cellStyle name="Good 4 4" xfId="44292" xr:uid="{00000000-0005-0000-0000-0000FCAC0000}"/>
    <cellStyle name="Good 4 4 2" xfId="44293" xr:uid="{00000000-0005-0000-0000-0000FDAC0000}"/>
    <cellStyle name="Good 4 5" xfId="44294" xr:uid="{00000000-0005-0000-0000-0000FEAC0000}"/>
    <cellStyle name="Good 40" xfId="44295" xr:uid="{00000000-0005-0000-0000-0000FFAC0000}"/>
    <cellStyle name="Good 40 2" xfId="44296" xr:uid="{00000000-0005-0000-0000-000000AD0000}"/>
    <cellStyle name="Good 40 2 2" xfId="44297" xr:uid="{00000000-0005-0000-0000-000001AD0000}"/>
    <cellStyle name="Good 40 3" xfId="44298" xr:uid="{00000000-0005-0000-0000-000002AD0000}"/>
    <cellStyle name="Good 41" xfId="44299" xr:uid="{00000000-0005-0000-0000-000003AD0000}"/>
    <cellStyle name="Good 41 2" xfId="44300" xr:uid="{00000000-0005-0000-0000-000004AD0000}"/>
    <cellStyle name="Good 41 2 2" xfId="44301" xr:uid="{00000000-0005-0000-0000-000005AD0000}"/>
    <cellStyle name="Good 41 3" xfId="44302" xr:uid="{00000000-0005-0000-0000-000006AD0000}"/>
    <cellStyle name="Good 42" xfId="44303" xr:uid="{00000000-0005-0000-0000-000007AD0000}"/>
    <cellStyle name="Good 42 2" xfId="44304" xr:uid="{00000000-0005-0000-0000-000008AD0000}"/>
    <cellStyle name="Good 42 2 2" xfId="44305" xr:uid="{00000000-0005-0000-0000-000009AD0000}"/>
    <cellStyle name="Good 42 3" xfId="44306" xr:uid="{00000000-0005-0000-0000-00000AAD0000}"/>
    <cellStyle name="Good 43" xfId="44307" xr:uid="{00000000-0005-0000-0000-00000BAD0000}"/>
    <cellStyle name="Good 43 2" xfId="44308" xr:uid="{00000000-0005-0000-0000-00000CAD0000}"/>
    <cellStyle name="Good 43 2 2" xfId="44309" xr:uid="{00000000-0005-0000-0000-00000DAD0000}"/>
    <cellStyle name="Good 43 3" xfId="44310" xr:uid="{00000000-0005-0000-0000-00000EAD0000}"/>
    <cellStyle name="Good 44" xfId="44311" xr:uid="{00000000-0005-0000-0000-00000FAD0000}"/>
    <cellStyle name="Good 44 2" xfId="44312" xr:uid="{00000000-0005-0000-0000-000010AD0000}"/>
    <cellStyle name="Good 44 2 2" xfId="44313" xr:uid="{00000000-0005-0000-0000-000011AD0000}"/>
    <cellStyle name="Good 44 3" xfId="44314" xr:uid="{00000000-0005-0000-0000-000012AD0000}"/>
    <cellStyle name="Good 45" xfId="44315" xr:uid="{00000000-0005-0000-0000-000013AD0000}"/>
    <cellStyle name="Good 45 2" xfId="44316" xr:uid="{00000000-0005-0000-0000-000014AD0000}"/>
    <cellStyle name="Good 45 2 2" xfId="44317" xr:uid="{00000000-0005-0000-0000-000015AD0000}"/>
    <cellStyle name="Good 45 3" xfId="44318" xr:uid="{00000000-0005-0000-0000-000016AD0000}"/>
    <cellStyle name="Good 46" xfId="44319" xr:uid="{00000000-0005-0000-0000-000017AD0000}"/>
    <cellStyle name="Good 46 2" xfId="44320" xr:uid="{00000000-0005-0000-0000-000018AD0000}"/>
    <cellStyle name="Good 46 2 2" xfId="44321" xr:uid="{00000000-0005-0000-0000-000019AD0000}"/>
    <cellStyle name="Good 46 3" xfId="44322" xr:uid="{00000000-0005-0000-0000-00001AAD0000}"/>
    <cellStyle name="Good 47" xfId="44323" xr:uid="{00000000-0005-0000-0000-00001BAD0000}"/>
    <cellStyle name="Good 47 2" xfId="44324" xr:uid="{00000000-0005-0000-0000-00001CAD0000}"/>
    <cellStyle name="Good 47 2 2" xfId="44325" xr:uid="{00000000-0005-0000-0000-00001DAD0000}"/>
    <cellStyle name="Good 47 3" xfId="44326" xr:uid="{00000000-0005-0000-0000-00001EAD0000}"/>
    <cellStyle name="Good 48" xfId="44327" xr:uid="{00000000-0005-0000-0000-00001FAD0000}"/>
    <cellStyle name="Good 48 2" xfId="44328" xr:uid="{00000000-0005-0000-0000-000020AD0000}"/>
    <cellStyle name="Good 48 2 2" xfId="44329" xr:uid="{00000000-0005-0000-0000-000021AD0000}"/>
    <cellStyle name="Good 48 3" xfId="44330" xr:uid="{00000000-0005-0000-0000-000022AD0000}"/>
    <cellStyle name="Good 49" xfId="44331" xr:uid="{00000000-0005-0000-0000-000023AD0000}"/>
    <cellStyle name="Good 49 2" xfId="44332" xr:uid="{00000000-0005-0000-0000-000024AD0000}"/>
    <cellStyle name="Good 49 2 2" xfId="44333" xr:uid="{00000000-0005-0000-0000-000025AD0000}"/>
    <cellStyle name="Good 49 3" xfId="44334" xr:uid="{00000000-0005-0000-0000-000026AD0000}"/>
    <cellStyle name="Good 5" xfId="44335" xr:uid="{00000000-0005-0000-0000-000027AD0000}"/>
    <cellStyle name="Good 5 2" xfId="44336" xr:uid="{00000000-0005-0000-0000-000028AD0000}"/>
    <cellStyle name="Good 5 2 2" xfId="44337" xr:uid="{00000000-0005-0000-0000-000029AD0000}"/>
    <cellStyle name="Good 5 3" xfId="44338" xr:uid="{00000000-0005-0000-0000-00002AAD0000}"/>
    <cellStyle name="Good 5 3 2" xfId="44339" xr:uid="{00000000-0005-0000-0000-00002BAD0000}"/>
    <cellStyle name="Good 5 4" xfId="44340" xr:uid="{00000000-0005-0000-0000-00002CAD0000}"/>
    <cellStyle name="Good 5 4 2" xfId="44341" xr:uid="{00000000-0005-0000-0000-00002DAD0000}"/>
    <cellStyle name="Good 5 5" xfId="44342" xr:uid="{00000000-0005-0000-0000-00002EAD0000}"/>
    <cellStyle name="Good 50" xfId="44343" xr:uid="{00000000-0005-0000-0000-00002FAD0000}"/>
    <cellStyle name="Good 50 2" xfId="44344" xr:uid="{00000000-0005-0000-0000-000030AD0000}"/>
    <cellStyle name="Good 50 2 2" xfId="44345" xr:uid="{00000000-0005-0000-0000-000031AD0000}"/>
    <cellStyle name="Good 50 3" xfId="44346" xr:uid="{00000000-0005-0000-0000-000032AD0000}"/>
    <cellStyle name="Good 51" xfId="44347" xr:uid="{00000000-0005-0000-0000-000033AD0000}"/>
    <cellStyle name="Good 51 2" xfId="44348" xr:uid="{00000000-0005-0000-0000-000034AD0000}"/>
    <cellStyle name="Good 51 2 2" xfId="44349" xr:uid="{00000000-0005-0000-0000-000035AD0000}"/>
    <cellStyle name="Good 51 3" xfId="44350" xr:uid="{00000000-0005-0000-0000-000036AD0000}"/>
    <cellStyle name="Good 52" xfId="44351" xr:uid="{00000000-0005-0000-0000-000037AD0000}"/>
    <cellStyle name="Good 52 2" xfId="44352" xr:uid="{00000000-0005-0000-0000-000038AD0000}"/>
    <cellStyle name="Good 52 2 2" xfId="44353" xr:uid="{00000000-0005-0000-0000-000039AD0000}"/>
    <cellStyle name="Good 52 3" xfId="44354" xr:uid="{00000000-0005-0000-0000-00003AAD0000}"/>
    <cellStyle name="Good 53" xfId="44355" xr:uid="{00000000-0005-0000-0000-00003BAD0000}"/>
    <cellStyle name="Good 53 2" xfId="44356" xr:uid="{00000000-0005-0000-0000-00003CAD0000}"/>
    <cellStyle name="Good 53 2 2" xfId="44357" xr:uid="{00000000-0005-0000-0000-00003DAD0000}"/>
    <cellStyle name="Good 53 3" xfId="44358" xr:uid="{00000000-0005-0000-0000-00003EAD0000}"/>
    <cellStyle name="Good 54" xfId="44359" xr:uid="{00000000-0005-0000-0000-00003FAD0000}"/>
    <cellStyle name="Good 54 2" xfId="44360" xr:uid="{00000000-0005-0000-0000-000040AD0000}"/>
    <cellStyle name="Good 54 2 2" xfId="44361" xr:uid="{00000000-0005-0000-0000-000041AD0000}"/>
    <cellStyle name="Good 54 3" xfId="44362" xr:uid="{00000000-0005-0000-0000-000042AD0000}"/>
    <cellStyle name="Good 55" xfId="44363" xr:uid="{00000000-0005-0000-0000-000043AD0000}"/>
    <cellStyle name="Good 55 2" xfId="44364" xr:uid="{00000000-0005-0000-0000-000044AD0000}"/>
    <cellStyle name="Good 55 2 2" xfId="44365" xr:uid="{00000000-0005-0000-0000-000045AD0000}"/>
    <cellStyle name="Good 55 3" xfId="44366" xr:uid="{00000000-0005-0000-0000-000046AD0000}"/>
    <cellStyle name="Good 56" xfId="44367" xr:uid="{00000000-0005-0000-0000-000047AD0000}"/>
    <cellStyle name="Good 56 2" xfId="44368" xr:uid="{00000000-0005-0000-0000-000048AD0000}"/>
    <cellStyle name="Good 56 2 2" xfId="44369" xr:uid="{00000000-0005-0000-0000-000049AD0000}"/>
    <cellStyle name="Good 56 3" xfId="44370" xr:uid="{00000000-0005-0000-0000-00004AAD0000}"/>
    <cellStyle name="Good 57" xfId="44371" xr:uid="{00000000-0005-0000-0000-00004BAD0000}"/>
    <cellStyle name="Good 57 2" xfId="44372" xr:uid="{00000000-0005-0000-0000-00004CAD0000}"/>
    <cellStyle name="Good 57 2 2" xfId="44373" xr:uid="{00000000-0005-0000-0000-00004DAD0000}"/>
    <cellStyle name="Good 57 3" xfId="44374" xr:uid="{00000000-0005-0000-0000-00004EAD0000}"/>
    <cellStyle name="Good 58" xfId="44375" xr:uid="{00000000-0005-0000-0000-00004FAD0000}"/>
    <cellStyle name="Good 58 2" xfId="44376" xr:uid="{00000000-0005-0000-0000-000050AD0000}"/>
    <cellStyle name="Good 58 2 2" xfId="44377" xr:uid="{00000000-0005-0000-0000-000051AD0000}"/>
    <cellStyle name="Good 58 3" xfId="44378" xr:uid="{00000000-0005-0000-0000-000052AD0000}"/>
    <cellStyle name="Good 59" xfId="44379" xr:uid="{00000000-0005-0000-0000-000053AD0000}"/>
    <cellStyle name="Good 59 2" xfId="44380" xr:uid="{00000000-0005-0000-0000-000054AD0000}"/>
    <cellStyle name="Good 59 2 2" xfId="44381" xr:uid="{00000000-0005-0000-0000-000055AD0000}"/>
    <cellStyle name="Good 59 3" xfId="44382" xr:uid="{00000000-0005-0000-0000-000056AD0000}"/>
    <cellStyle name="Good 59 3 2" xfId="44383" xr:uid="{00000000-0005-0000-0000-000057AD0000}"/>
    <cellStyle name="Good 59 4" xfId="44384" xr:uid="{00000000-0005-0000-0000-000058AD0000}"/>
    <cellStyle name="Good 6" xfId="44385" xr:uid="{00000000-0005-0000-0000-000059AD0000}"/>
    <cellStyle name="Good 6 2" xfId="44386" xr:uid="{00000000-0005-0000-0000-00005AAD0000}"/>
    <cellStyle name="Good 6 2 2" xfId="44387" xr:uid="{00000000-0005-0000-0000-00005BAD0000}"/>
    <cellStyle name="Good 6 3" xfId="44388" xr:uid="{00000000-0005-0000-0000-00005CAD0000}"/>
    <cellStyle name="Good 6 3 2" xfId="44389" xr:uid="{00000000-0005-0000-0000-00005DAD0000}"/>
    <cellStyle name="Good 6 4" xfId="44390" xr:uid="{00000000-0005-0000-0000-00005EAD0000}"/>
    <cellStyle name="Good 6 4 2" xfId="44391" xr:uid="{00000000-0005-0000-0000-00005FAD0000}"/>
    <cellStyle name="Good 6 5" xfId="44392" xr:uid="{00000000-0005-0000-0000-000060AD0000}"/>
    <cellStyle name="Good 60" xfId="44393" xr:uid="{00000000-0005-0000-0000-000061AD0000}"/>
    <cellStyle name="Good 60 2" xfId="44394" xr:uid="{00000000-0005-0000-0000-000062AD0000}"/>
    <cellStyle name="Good 60 2 2" xfId="44395" xr:uid="{00000000-0005-0000-0000-000063AD0000}"/>
    <cellStyle name="Good 60 3" xfId="44396" xr:uid="{00000000-0005-0000-0000-000064AD0000}"/>
    <cellStyle name="Good 61" xfId="44397" xr:uid="{00000000-0005-0000-0000-000065AD0000}"/>
    <cellStyle name="Good 61 2" xfId="44398" xr:uid="{00000000-0005-0000-0000-000066AD0000}"/>
    <cellStyle name="Good 61 2 2" xfId="44399" xr:uid="{00000000-0005-0000-0000-000067AD0000}"/>
    <cellStyle name="Good 61 3" xfId="44400" xr:uid="{00000000-0005-0000-0000-000068AD0000}"/>
    <cellStyle name="Good 62" xfId="44401" xr:uid="{00000000-0005-0000-0000-000069AD0000}"/>
    <cellStyle name="Good 62 2" xfId="44402" xr:uid="{00000000-0005-0000-0000-00006AAD0000}"/>
    <cellStyle name="Good 62 2 2" xfId="44403" xr:uid="{00000000-0005-0000-0000-00006BAD0000}"/>
    <cellStyle name="Good 62 3" xfId="44404" xr:uid="{00000000-0005-0000-0000-00006CAD0000}"/>
    <cellStyle name="Good 63" xfId="44405" xr:uid="{00000000-0005-0000-0000-00006DAD0000}"/>
    <cellStyle name="Good 63 2" xfId="44406" xr:uid="{00000000-0005-0000-0000-00006EAD0000}"/>
    <cellStyle name="Good 63 2 2" xfId="44407" xr:uid="{00000000-0005-0000-0000-00006FAD0000}"/>
    <cellStyle name="Good 63 3" xfId="44408" xr:uid="{00000000-0005-0000-0000-000070AD0000}"/>
    <cellStyle name="Good 64" xfId="44409" xr:uid="{00000000-0005-0000-0000-000071AD0000}"/>
    <cellStyle name="Good 64 2" xfId="44410" xr:uid="{00000000-0005-0000-0000-000072AD0000}"/>
    <cellStyle name="Good 64 2 2" xfId="44411" xr:uid="{00000000-0005-0000-0000-000073AD0000}"/>
    <cellStyle name="Good 64 3" xfId="44412" xr:uid="{00000000-0005-0000-0000-000074AD0000}"/>
    <cellStyle name="Good 65" xfId="44413" xr:uid="{00000000-0005-0000-0000-000075AD0000}"/>
    <cellStyle name="Good 65 2" xfId="44414" xr:uid="{00000000-0005-0000-0000-000076AD0000}"/>
    <cellStyle name="Good 65 2 2" xfId="44415" xr:uid="{00000000-0005-0000-0000-000077AD0000}"/>
    <cellStyle name="Good 65 3" xfId="44416" xr:uid="{00000000-0005-0000-0000-000078AD0000}"/>
    <cellStyle name="Good 66" xfId="44417" xr:uid="{00000000-0005-0000-0000-000079AD0000}"/>
    <cellStyle name="Good 66 2" xfId="44418" xr:uid="{00000000-0005-0000-0000-00007AAD0000}"/>
    <cellStyle name="Good 66 2 2" xfId="44419" xr:uid="{00000000-0005-0000-0000-00007BAD0000}"/>
    <cellStyle name="Good 66 3" xfId="44420" xr:uid="{00000000-0005-0000-0000-00007CAD0000}"/>
    <cellStyle name="Good 67" xfId="44421" xr:uid="{00000000-0005-0000-0000-00007DAD0000}"/>
    <cellStyle name="Good 67 2" xfId="44422" xr:uid="{00000000-0005-0000-0000-00007EAD0000}"/>
    <cellStyle name="Good 67 2 2" xfId="44423" xr:uid="{00000000-0005-0000-0000-00007FAD0000}"/>
    <cellStyle name="Good 67 3" xfId="44424" xr:uid="{00000000-0005-0000-0000-000080AD0000}"/>
    <cellStyle name="Good 68" xfId="44425" xr:uid="{00000000-0005-0000-0000-000081AD0000}"/>
    <cellStyle name="Good 68 2" xfId="44426" xr:uid="{00000000-0005-0000-0000-000082AD0000}"/>
    <cellStyle name="Good 68 2 2" xfId="44427" xr:uid="{00000000-0005-0000-0000-000083AD0000}"/>
    <cellStyle name="Good 68 3" xfId="44428" xr:uid="{00000000-0005-0000-0000-000084AD0000}"/>
    <cellStyle name="Good 69" xfId="44429" xr:uid="{00000000-0005-0000-0000-000085AD0000}"/>
    <cellStyle name="Good 69 2" xfId="44430" xr:uid="{00000000-0005-0000-0000-000086AD0000}"/>
    <cellStyle name="Good 69 2 2" xfId="44431" xr:uid="{00000000-0005-0000-0000-000087AD0000}"/>
    <cellStyle name="Good 69 3" xfId="44432" xr:uid="{00000000-0005-0000-0000-000088AD0000}"/>
    <cellStyle name="Good 7" xfId="44433" xr:uid="{00000000-0005-0000-0000-000089AD0000}"/>
    <cellStyle name="Good 7 2" xfId="44434" xr:uid="{00000000-0005-0000-0000-00008AAD0000}"/>
    <cellStyle name="Good 7 2 2" xfId="44435" xr:uid="{00000000-0005-0000-0000-00008BAD0000}"/>
    <cellStyle name="Good 7 3" xfId="44436" xr:uid="{00000000-0005-0000-0000-00008CAD0000}"/>
    <cellStyle name="Good 7 3 2" xfId="44437" xr:uid="{00000000-0005-0000-0000-00008DAD0000}"/>
    <cellStyle name="Good 7 4" xfId="44438" xr:uid="{00000000-0005-0000-0000-00008EAD0000}"/>
    <cellStyle name="Good 7 4 2" xfId="44439" xr:uid="{00000000-0005-0000-0000-00008FAD0000}"/>
    <cellStyle name="Good 7 5" xfId="44440" xr:uid="{00000000-0005-0000-0000-000090AD0000}"/>
    <cellStyle name="Good 70" xfId="44441" xr:uid="{00000000-0005-0000-0000-000091AD0000}"/>
    <cellStyle name="Good 70 2" xfId="44442" xr:uid="{00000000-0005-0000-0000-000092AD0000}"/>
    <cellStyle name="Good 70 2 2" xfId="44443" xr:uid="{00000000-0005-0000-0000-000093AD0000}"/>
    <cellStyle name="Good 70 3" xfId="44444" xr:uid="{00000000-0005-0000-0000-000094AD0000}"/>
    <cellStyle name="Good 71" xfId="44445" xr:uid="{00000000-0005-0000-0000-000095AD0000}"/>
    <cellStyle name="Good 71 2" xfId="44446" xr:uid="{00000000-0005-0000-0000-000096AD0000}"/>
    <cellStyle name="Good 71 2 2" xfId="44447" xr:uid="{00000000-0005-0000-0000-000097AD0000}"/>
    <cellStyle name="Good 71 3" xfId="44448" xr:uid="{00000000-0005-0000-0000-000098AD0000}"/>
    <cellStyle name="Good 72" xfId="44449" xr:uid="{00000000-0005-0000-0000-000099AD0000}"/>
    <cellStyle name="Good 72 2" xfId="44450" xr:uid="{00000000-0005-0000-0000-00009AAD0000}"/>
    <cellStyle name="Good 72 2 2" xfId="44451" xr:uid="{00000000-0005-0000-0000-00009BAD0000}"/>
    <cellStyle name="Good 72 3" xfId="44452" xr:uid="{00000000-0005-0000-0000-00009CAD0000}"/>
    <cellStyle name="Good 73" xfId="44453" xr:uid="{00000000-0005-0000-0000-00009DAD0000}"/>
    <cellStyle name="Good 73 2" xfId="44454" xr:uid="{00000000-0005-0000-0000-00009EAD0000}"/>
    <cellStyle name="Good 73 2 2" xfId="44455" xr:uid="{00000000-0005-0000-0000-00009FAD0000}"/>
    <cellStyle name="Good 73 3" xfId="44456" xr:uid="{00000000-0005-0000-0000-0000A0AD0000}"/>
    <cellStyle name="Good 74" xfId="44457" xr:uid="{00000000-0005-0000-0000-0000A1AD0000}"/>
    <cellStyle name="Good 74 2" xfId="44458" xr:uid="{00000000-0005-0000-0000-0000A2AD0000}"/>
    <cellStyle name="Good 74 2 2" xfId="44459" xr:uid="{00000000-0005-0000-0000-0000A3AD0000}"/>
    <cellStyle name="Good 74 3" xfId="44460" xr:uid="{00000000-0005-0000-0000-0000A4AD0000}"/>
    <cellStyle name="Good 75" xfId="44461" xr:uid="{00000000-0005-0000-0000-0000A5AD0000}"/>
    <cellStyle name="Good 75 2" xfId="44462" xr:uid="{00000000-0005-0000-0000-0000A6AD0000}"/>
    <cellStyle name="Good 75 2 2" xfId="44463" xr:uid="{00000000-0005-0000-0000-0000A7AD0000}"/>
    <cellStyle name="Good 75 3" xfId="44464" xr:uid="{00000000-0005-0000-0000-0000A8AD0000}"/>
    <cellStyle name="Good 76" xfId="44465" xr:uid="{00000000-0005-0000-0000-0000A9AD0000}"/>
    <cellStyle name="Good 76 2" xfId="44466" xr:uid="{00000000-0005-0000-0000-0000AAAD0000}"/>
    <cellStyle name="Good 76 2 2" xfId="44467" xr:uid="{00000000-0005-0000-0000-0000ABAD0000}"/>
    <cellStyle name="Good 76 3" xfId="44468" xr:uid="{00000000-0005-0000-0000-0000ACAD0000}"/>
    <cellStyle name="Good 77" xfId="44469" xr:uid="{00000000-0005-0000-0000-0000ADAD0000}"/>
    <cellStyle name="Good 77 2" xfId="44470" xr:uid="{00000000-0005-0000-0000-0000AEAD0000}"/>
    <cellStyle name="Good 77 2 2" xfId="44471" xr:uid="{00000000-0005-0000-0000-0000AFAD0000}"/>
    <cellStyle name="Good 77 3" xfId="44472" xr:uid="{00000000-0005-0000-0000-0000B0AD0000}"/>
    <cellStyle name="Good 78" xfId="44473" xr:uid="{00000000-0005-0000-0000-0000B1AD0000}"/>
    <cellStyle name="Good 78 2" xfId="44474" xr:uid="{00000000-0005-0000-0000-0000B2AD0000}"/>
    <cellStyle name="Good 78 2 2" xfId="44475" xr:uid="{00000000-0005-0000-0000-0000B3AD0000}"/>
    <cellStyle name="Good 78 3" xfId="44476" xr:uid="{00000000-0005-0000-0000-0000B4AD0000}"/>
    <cellStyle name="Good 79" xfId="44477" xr:uid="{00000000-0005-0000-0000-0000B5AD0000}"/>
    <cellStyle name="Good 79 2" xfId="44478" xr:uid="{00000000-0005-0000-0000-0000B6AD0000}"/>
    <cellStyle name="Good 79 2 2" xfId="44479" xr:uid="{00000000-0005-0000-0000-0000B7AD0000}"/>
    <cellStyle name="Good 79 3" xfId="44480" xr:uid="{00000000-0005-0000-0000-0000B8AD0000}"/>
    <cellStyle name="Good 8" xfId="44481" xr:uid="{00000000-0005-0000-0000-0000B9AD0000}"/>
    <cellStyle name="Good 8 2" xfId="44482" xr:uid="{00000000-0005-0000-0000-0000BAAD0000}"/>
    <cellStyle name="Good 8 2 2" xfId="44483" xr:uid="{00000000-0005-0000-0000-0000BBAD0000}"/>
    <cellStyle name="Good 8 3" xfId="44484" xr:uid="{00000000-0005-0000-0000-0000BCAD0000}"/>
    <cellStyle name="Good 8 3 2" xfId="44485" xr:uid="{00000000-0005-0000-0000-0000BDAD0000}"/>
    <cellStyle name="Good 8 4" xfId="44486" xr:uid="{00000000-0005-0000-0000-0000BEAD0000}"/>
    <cellStyle name="Good 8 4 2" xfId="44487" xr:uid="{00000000-0005-0000-0000-0000BFAD0000}"/>
    <cellStyle name="Good 8 5" xfId="44488" xr:uid="{00000000-0005-0000-0000-0000C0AD0000}"/>
    <cellStyle name="Good 80" xfId="44489" xr:uid="{00000000-0005-0000-0000-0000C1AD0000}"/>
    <cellStyle name="Good 80 2" xfId="44490" xr:uid="{00000000-0005-0000-0000-0000C2AD0000}"/>
    <cellStyle name="Good 80 2 2" xfId="44491" xr:uid="{00000000-0005-0000-0000-0000C3AD0000}"/>
    <cellStyle name="Good 80 3" xfId="44492" xr:uid="{00000000-0005-0000-0000-0000C4AD0000}"/>
    <cellStyle name="Good 81" xfId="44493" xr:uid="{00000000-0005-0000-0000-0000C5AD0000}"/>
    <cellStyle name="Good 81 2" xfId="44494" xr:uid="{00000000-0005-0000-0000-0000C6AD0000}"/>
    <cellStyle name="Good 81 2 2" xfId="44495" xr:uid="{00000000-0005-0000-0000-0000C7AD0000}"/>
    <cellStyle name="Good 81 3" xfId="44496" xr:uid="{00000000-0005-0000-0000-0000C8AD0000}"/>
    <cellStyle name="Good 82" xfId="44497" xr:uid="{00000000-0005-0000-0000-0000C9AD0000}"/>
    <cellStyle name="Good 82 2" xfId="44498" xr:uid="{00000000-0005-0000-0000-0000CAAD0000}"/>
    <cellStyle name="Good 82 2 2" xfId="44499" xr:uid="{00000000-0005-0000-0000-0000CBAD0000}"/>
    <cellStyle name="Good 82 3" xfId="44500" xr:uid="{00000000-0005-0000-0000-0000CCAD0000}"/>
    <cellStyle name="Good 83" xfId="44501" xr:uid="{00000000-0005-0000-0000-0000CDAD0000}"/>
    <cellStyle name="Good 83 2" xfId="44502" xr:uid="{00000000-0005-0000-0000-0000CEAD0000}"/>
    <cellStyle name="Good 83 2 2" xfId="44503" xr:uid="{00000000-0005-0000-0000-0000CFAD0000}"/>
    <cellStyle name="Good 83 3" xfId="44504" xr:uid="{00000000-0005-0000-0000-0000D0AD0000}"/>
    <cellStyle name="Good 84" xfId="44505" xr:uid="{00000000-0005-0000-0000-0000D1AD0000}"/>
    <cellStyle name="Good 84 2" xfId="44506" xr:uid="{00000000-0005-0000-0000-0000D2AD0000}"/>
    <cellStyle name="Good 84 2 2" xfId="44507" xr:uid="{00000000-0005-0000-0000-0000D3AD0000}"/>
    <cellStyle name="Good 84 3" xfId="44508" xr:uid="{00000000-0005-0000-0000-0000D4AD0000}"/>
    <cellStyle name="Good 85" xfId="44509" xr:uid="{00000000-0005-0000-0000-0000D5AD0000}"/>
    <cellStyle name="Good 85 2" xfId="44510" xr:uid="{00000000-0005-0000-0000-0000D6AD0000}"/>
    <cellStyle name="Good 85 2 2" xfId="44511" xr:uid="{00000000-0005-0000-0000-0000D7AD0000}"/>
    <cellStyle name="Good 85 3" xfId="44512" xr:uid="{00000000-0005-0000-0000-0000D8AD0000}"/>
    <cellStyle name="Good 86" xfId="44513" xr:uid="{00000000-0005-0000-0000-0000D9AD0000}"/>
    <cellStyle name="Good 86 2" xfId="44514" xr:uid="{00000000-0005-0000-0000-0000DAAD0000}"/>
    <cellStyle name="Good 86 2 2" xfId="44515" xr:uid="{00000000-0005-0000-0000-0000DBAD0000}"/>
    <cellStyle name="Good 86 3" xfId="44516" xr:uid="{00000000-0005-0000-0000-0000DCAD0000}"/>
    <cellStyle name="Good 87" xfId="44517" xr:uid="{00000000-0005-0000-0000-0000DDAD0000}"/>
    <cellStyle name="Good 87 2" xfId="44518" xr:uid="{00000000-0005-0000-0000-0000DEAD0000}"/>
    <cellStyle name="Good 87 2 2" xfId="44519" xr:uid="{00000000-0005-0000-0000-0000DFAD0000}"/>
    <cellStyle name="Good 87 3" xfId="44520" xr:uid="{00000000-0005-0000-0000-0000E0AD0000}"/>
    <cellStyle name="Good 88" xfId="44521" xr:uid="{00000000-0005-0000-0000-0000E1AD0000}"/>
    <cellStyle name="Good 88 2" xfId="44522" xr:uid="{00000000-0005-0000-0000-0000E2AD0000}"/>
    <cellStyle name="Good 88 2 2" xfId="44523" xr:uid="{00000000-0005-0000-0000-0000E3AD0000}"/>
    <cellStyle name="Good 88 3" xfId="44524" xr:uid="{00000000-0005-0000-0000-0000E4AD0000}"/>
    <cellStyle name="Good 89" xfId="44525" xr:uid="{00000000-0005-0000-0000-0000E5AD0000}"/>
    <cellStyle name="Good 89 2" xfId="44526" xr:uid="{00000000-0005-0000-0000-0000E6AD0000}"/>
    <cellStyle name="Good 89 2 2" xfId="44527" xr:uid="{00000000-0005-0000-0000-0000E7AD0000}"/>
    <cellStyle name="Good 89 3" xfId="44528" xr:uid="{00000000-0005-0000-0000-0000E8AD0000}"/>
    <cellStyle name="Good 9" xfId="44529" xr:uid="{00000000-0005-0000-0000-0000E9AD0000}"/>
    <cellStyle name="Good 9 2" xfId="44530" xr:uid="{00000000-0005-0000-0000-0000EAAD0000}"/>
    <cellStyle name="Good 9 2 2" xfId="44531" xr:uid="{00000000-0005-0000-0000-0000EBAD0000}"/>
    <cellStyle name="Good 9 3" xfId="44532" xr:uid="{00000000-0005-0000-0000-0000ECAD0000}"/>
    <cellStyle name="Good 9 3 2" xfId="44533" xr:uid="{00000000-0005-0000-0000-0000EDAD0000}"/>
    <cellStyle name="Good 9 4" xfId="44534" xr:uid="{00000000-0005-0000-0000-0000EEAD0000}"/>
    <cellStyle name="Good 9 4 2" xfId="44535" xr:uid="{00000000-0005-0000-0000-0000EFAD0000}"/>
    <cellStyle name="Good 9 5" xfId="44536" xr:uid="{00000000-0005-0000-0000-0000F0AD0000}"/>
    <cellStyle name="Good 90" xfId="44537" xr:uid="{00000000-0005-0000-0000-0000F1AD0000}"/>
    <cellStyle name="Good 90 2" xfId="44538" xr:uid="{00000000-0005-0000-0000-0000F2AD0000}"/>
    <cellStyle name="Good 90 2 2" xfId="44539" xr:uid="{00000000-0005-0000-0000-0000F3AD0000}"/>
    <cellStyle name="Good 90 3" xfId="44540" xr:uid="{00000000-0005-0000-0000-0000F4AD0000}"/>
    <cellStyle name="Good 91" xfId="44541" xr:uid="{00000000-0005-0000-0000-0000F5AD0000}"/>
    <cellStyle name="Good 91 2" xfId="44542" xr:uid="{00000000-0005-0000-0000-0000F6AD0000}"/>
    <cellStyle name="Good 91 2 2" xfId="44543" xr:uid="{00000000-0005-0000-0000-0000F7AD0000}"/>
    <cellStyle name="Good 91 3" xfId="44544" xr:uid="{00000000-0005-0000-0000-0000F8AD0000}"/>
    <cellStyle name="Good 92" xfId="44545" xr:uid="{00000000-0005-0000-0000-0000F9AD0000}"/>
    <cellStyle name="Good 92 2" xfId="44546" xr:uid="{00000000-0005-0000-0000-0000FAAD0000}"/>
    <cellStyle name="Good 92 2 2" xfId="44547" xr:uid="{00000000-0005-0000-0000-0000FBAD0000}"/>
    <cellStyle name="Good 92 3" xfId="44548" xr:uid="{00000000-0005-0000-0000-0000FCAD0000}"/>
    <cellStyle name="Good 93" xfId="44549" xr:uid="{00000000-0005-0000-0000-0000FDAD0000}"/>
    <cellStyle name="Good 93 2" xfId="44550" xr:uid="{00000000-0005-0000-0000-0000FEAD0000}"/>
    <cellStyle name="Good 93 2 2" xfId="44551" xr:uid="{00000000-0005-0000-0000-0000FFAD0000}"/>
    <cellStyle name="Good 93 3" xfId="44552" xr:uid="{00000000-0005-0000-0000-000000AE0000}"/>
    <cellStyle name="Good 94" xfId="44553" xr:uid="{00000000-0005-0000-0000-000001AE0000}"/>
    <cellStyle name="Good 94 2" xfId="44554" xr:uid="{00000000-0005-0000-0000-000002AE0000}"/>
    <cellStyle name="Good 94 2 2" xfId="44555" xr:uid="{00000000-0005-0000-0000-000003AE0000}"/>
    <cellStyle name="Good 94 3" xfId="44556" xr:uid="{00000000-0005-0000-0000-000004AE0000}"/>
    <cellStyle name="Good 95" xfId="44557" xr:uid="{00000000-0005-0000-0000-000005AE0000}"/>
    <cellStyle name="Good 95 2" xfId="44558" xr:uid="{00000000-0005-0000-0000-000006AE0000}"/>
    <cellStyle name="Good 95 2 2" xfId="44559" xr:uid="{00000000-0005-0000-0000-000007AE0000}"/>
    <cellStyle name="Good 95 3" xfId="44560" xr:uid="{00000000-0005-0000-0000-000008AE0000}"/>
    <cellStyle name="Good 96" xfId="44561" xr:uid="{00000000-0005-0000-0000-000009AE0000}"/>
    <cellStyle name="Good 96 2" xfId="44562" xr:uid="{00000000-0005-0000-0000-00000AAE0000}"/>
    <cellStyle name="Good 96 2 2" xfId="44563" xr:uid="{00000000-0005-0000-0000-00000BAE0000}"/>
    <cellStyle name="Good 96 3" xfId="44564" xr:uid="{00000000-0005-0000-0000-00000CAE0000}"/>
    <cellStyle name="Good 97" xfId="44565" xr:uid="{00000000-0005-0000-0000-00000DAE0000}"/>
    <cellStyle name="Good 97 2" xfId="44566" xr:uid="{00000000-0005-0000-0000-00000EAE0000}"/>
    <cellStyle name="Good 97 2 2" xfId="44567" xr:uid="{00000000-0005-0000-0000-00000FAE0000}"/>
    <cellStyle name="Good 97 3" xfId="44568" xr:uid="{00000000-0005-0000-0000-000010AE0000}"/>
    <cellStyle name="Good 98" xfId="44569" xr:uid="{00000000-0005-0000-0000-000011AE0000}"/>
    <cellStyle name="Good 98 2" xfId="44570" xr:uid="{00000000-0005-0000-0000-000012AE0000}"/>
    <cellStyle name="Good 98 2 2" xfId="44571" xr:uid="{00000000-0005-0000-0000-000013AE0000}"/>
    <cellStyle name="Good 98 3" xfId="44572" xr:uid="{00000000-0005-0000-0000-000014AE0000}"/>
    <cellStyle name="Good 99" xfId="44573" xr:uid="{00000000-0005-0000-0000-000015AE0000}"/>
    <cellStyle name="Good 99 2" xfId="44574" xr:uid="{00000000-0005-0000-0000-000016AE0000}"/>
    <cellStyle name="Good 99 2 2" xfId="44575" xr:uid="{00000000-0005-0000-0000-000017AE0000}"/>
    <cellStyle name="Good 99 3" xfId="44576" xr:uid="{00000000-0005-0000-0000-000018AE0000}"/>
    <cellStyle name="Green" xfId="44577" xr:uid="{00000000-0005-0000-0000-000019AE0000}"/>
    <cellStyle name="Green 2" xfId="44578" xr:uid="{00000000-0005-0000-0000-00001AAE0000}"/>
    <cellStyle name="Grey" xfId="44579" xr:uid="{00000000-0005-0000-0000-00001BAE0000}"/>
    <cellStyle name="h" xfId="44580" xr:uid="{00000000-0005-0000-0000-00001CAE0000}"/>
    <cellStyle name="h 2" xfId="44581" xr:uid="{00000000-0005-0000-0000-00001DAE0000}"/>
    <cellStyle name="h 2 2" xfId="44582" xr:uid="{00000000-0005-0000-0000-00001EAE0000}"/>
    <cellStyle name="h 3" xfId="44583" xr:uid="{00000000-0005-0000-0000-00001FAE0000}"/>
    <cellStyle name="Hard Percent" xfId="44584" xr:uid="{00000000-0005-0000-0000-000020AE0000}"/>
    <cellStyle name="Hard Percent 2" xfId="44585" xr:uid="{00000000-0005-0000-0000-000021AE0000}"/>
    <cellStyle name="Hard Percent 2 2" xfId="44586" xr:uid="{00000000-0005-0000-0000-000022AE0000}"/>
    <cellStyle name="Hard Percent 2 2 2" xfId="44587" xr:uid="{00000000-0005-0000-0000-000023AE0000}"/>
    <cellStyle name="Hard Percent 2 3" xfId="44588" xr:uid="{00000000-0005-0000-0000-000024AE0000}"/>
    <cellStyle name="Hard Percent 3" xfId="44589" xr:uid="{00000000-0005-0000-0000-000025AE0000}"/>
    <cellStyle name="Hard Percent 3 2" xfId="44590" xr:uid="{00000000-0005-0000-0000-000026AE0000}"/>
    <cellStyle name="Hard Percent 4" xfId="44591" xr:uid="{00000000-0005-0000-0000-000027AE0000}"/>
    <cellStyle name="Head Tittle" xfId="44592" xr:uid="{00000000-0005-0000-0000-000028AE0000}"/>
    <cellStyle name="Head Tittle 2" xfId="44593" xr:uid="{00000000-0005-0000-0000-000029AE0000}"/>
    <cellStyle name="Head Tittle 2 2" xfId="44594" xr:uid="{00000000-0005-0000-0000-00002AAE0000}"/>
    <cellStyle name="Head Tittle 2 2 2" xfId="44595" xr:uid="{00000000-0005-0000-0000-00002BAE0000}"/>
    <cellStyle name="Head Tittle 2 2 3" xfId="44596" xr:uid="{00000000-0005-0000-0000-00002CAE0000}"/>
    <cellStyle name="Head Tittle 2 3" xfId="44597" xr:uid="{00000000-0005-0000-0000-00002DAE0000}"/>
    <cellStyle name="Head Tittle 2 3 2" xfId="44598" xr:uid="{00000000-0005-0000-0000-00002EAE0000}"/>
    <cellStyle name="Head Tittle 2 4" xfId="44599" xr:uid="{00000000-0005-0000-0000-00002FAE0000}"/>
    <cellStyle name="Head Tittle 2 5" xfId="44600" xr:uid="{00000000-0005-0000-0000-000030AE0000}"/>
    <cellStyle name="Head Tittle 3" xfId="44601" xr:uid="{00000000-0005-0000-0000-000031AE0000}"/>
    <cellStyle name="Head Tittle 3 2" xfId="44602" xr:uid="{00000000-0005-0000-0000-000032AE0000}"/>
    <cellStyle name="Head Tittle 4" xfId="44603" xr:uid="{00000000-0005-0000-0000-000033AE0000}"/>
    <cellStyle name="Head Tittle 5" xfId="44604" xr:uid="{00000000-0005-0000-0000-000034AE0000}"/>
    <cellStyle name="Header" xfId="44605" xr:uid="{00000000-0005-0000-0000-000035AE0000}"/>
    <cellStyle name="Header 2" xfId="44606" xr:uid="{00000000-0005-0000-0000-000036AE0000}"/>
    <cellStyle name="Header 2 2" xfId="44607" xr:uid="{00000000-0005-0000-0000-000037AE0000}"/>
    <cellStyle name="Header 2 2 2" xfId="44608" xr:uid="{00000000-0005-0000-0000-000038AE0000}"/>
    <cellStyle name="Header 2 3" xfId="44609" xr:uid="{00000000-0005-0000-0000-000039AE0000}"/>
    <cellStyle name="Header 3" xfId="44610" xr:uid="{00000000-0005-0000-0000-00003AAE0000}"/>
    <cellStyle name="Header 3 2" xfId="44611" xr:uid="{00000000-0005-0000-0000-00003BAE0000}"/>
    <cellStyle name="Header 4" xfId="44612" xr:uid="{00000000-0005-0000-0000-00003CAE0000}"/>
    <cellStyle name="Header1" xfId="44613" xr:uid="{00000000-0005-0000-0000-00003DAE0000}"/>
    <cellStyle name="Header1 2" xfId="44614" xr:uid="{00000000-0005-0000-0000-00003EAE0000}"/>
    <cellStyle name="Header1 2 2" xfId="44615" xr:uid="{00000000-0005-0000-0000-00003FAE0000}"/>
    <cellStyle name="Header1 2 2 2" xfId="44616" xr:uid="{00000000-0005-0000-0000-000040AE0000}"/>
    <cellStyle name="Header1 2 2 2 2" xfId="44617" xr:uid="{00000000-0005-0000-0000-000041AE0000}"/>
    <cellStyle name="Header1 2 2 3" xfId="44618" xr:uid="{00000000-0005-0000-0000-000042AE0000}"/>
    <cellStyle name="Header1 2 3" xfId="44619" xr:uid="{00000000-0005-0000-0000-000043AE0000}"/>
    <cellStyle name="Header1 2 3 2" xfId="44620" xr:uid="{00000000-0005-0000-0000-000044AE0000}"/>
    <cellStyle name="Header1 2 3 2 2" xfId="44621" xr:uid="{00000000-0005-0000-0000-000045AE0000}"/>
    <cellStyle name="Header1 2 3 3" xfId="44622" xr:uid="{00000000-0005-0000-0000-000046AE0000}"/>
    <cellStyle name="Header1 2 4" xfId="44623" xr:uid="{00000000-0005-0000-0000-000047AE0000}"/>
    <cellStyle name="Header1 2 4 2" xfId="44624" xr:uid="{00000000-0005-0000-0000-000048AE0000}"/>
    <cellStyle name="Header1 2 5" xfId="44625" xr:uid="{00000000-0005-0000-0000-000049AE0000}"/>
    <cellStyle name="Header1 3" xfId="44626" xr:uid="{00000000-0005-0000-0000-00004AAE0000}"/>
    <cellStyle name="Header1 3 2" xfId="44627" xr:uid="{00000000-0005-0000-0000-00004BAE0000}"/>
    <cellStyle name="Header1 3 2 2" xfId="44628" xr:uid="{00000000-0005-0000-0000-00004CAE0000}"/>
    <cellStyle name="Header1 3 3" xfId="44629" xr:uid="{00000000-0005-0000-0000-00004DAE0000}"/>
    <cellStyle name="Header1 4" xfId="44630" xr:uid="{00000000-0005-0000-0000-00004EAE0000}"/>
    <cellStyle name="Header1 4 2" xfId="44631" xr:uid="{00000000-0005-0000-0000-00004FAE0000}"/>
    <cellStyle name="Header1 5" xfId="44632" xr:uid="{00000000-0005-0000-0000-000050AE0000}"/>
    <cellStyle name="Header2" xfId="44633" xr:uid="{00000000-0005-0000-0000-000051AE0000}"/>
    <cellStyle name="Header2 2" xfId="44634" xr:uid="{00000000-0005-0000-0000-000052AE0000}"/>
    <cellStyle name="Header2 2 2" xfId="44635" xr:uid="{00000000-0005-0000-0000-000053AE0000}"/>
    <cellStyle name="Header2 2 2 2" xfId="44636" xr:uid="{00000000-0005-0000-0000-000054AE0000}"/>
    <cellStyle name="Header2 2 3" xfId="44637" xr:uid="{00000000-0005-0000-0000-000055AE0000}"/>
    <cellStyle name="Header2 2 3 2" xfId="44638" xr:uid="{00000000-0005-0000-0000-000056AE0000}"/>
    <cellStyle name="Header2 2 3 3" xfId="44639" xr:uid="{00000000-0005-0000-0000-000057AE0000}"/>
    <cellStyle name="Header2 2 4" xfId="44640" xr:uid="{00000000-0005-0000-0000-000058AE0000}"/>
    <cellStyle name="Header2 2 5" xfId="44641" xr:uid="{00000000-0005-0000-0000-000059AE0000}"/>
    <cellStyle name="Header2 3" xfId="44642" xr:uid="{00000000-0005-0000-0000-00005AAE0000}"/>
    <cellStyle name="Header2 3 2" xfId="44643" xr:uid="{00000000-0005-0000-0000-00005BAE0000}"/>
    <cellStyle name="Header2 3 2 2" xfId="44644" xr:uid="{00000000-0005-0000-0000-00005CAE0000}"/>
    <cellStyle name="Header2 3 3" xfId="44645" xr:uid="{00000000-0005-0000-0000-00005DAE0000}"/>
    <cellStyle name="Header2 3 3 2" xfId="44646" xr:uid="{00000000-0005-0000-0000-00005EAE0000}"/>
    <cellStyle name="Header2 3 3 3" xfId="44647" xr:uid="{00000000-0005-0000-0000-00005FAE0000}"/>
    <cellStyle name="Header2 3 4" xfId="44648" xr:uid="{00000000-0005-0000-0000-000060AE0000}"/>
    <cellStyle name="Header2 3 5" xfId="44649" xr:uid="{00000000-0005-0000-0000-000061AE0000}"/>
    <cellStyle name="Header2 4" xfId="44650" xr:uid="{00000000-0005-0000-0000-000062AE0000}"/>
    <cellStyle name="Header2 4 2" xfId="44651" xr:uid="{00000000-0005-0000-0000-000063AE0000}"/>
    <cellStyle name="Header2 5" xfId="44652" xr:uid="{00000000-0005-0000-0000-000064AE0000}"/>
    <cellStyle name="Header2 5 2" xfId="44653" xr:uid="{00000000-0005-0000-0000-000065AE0000}"/>
    <cellStyle name="Header2 5 3" xfId="44654" xr:uid="{00000000-0005-0000-0000-000066AE0000}"/>
    <cellStyle name="Header2 6" xfId="44655" xr:uid="{00000000-0005-0000-0000-000067AE0000}"/>
    <cellStyle name="Header2 7" xfId="44656" xr:uid="{00000000-0005-0000-0000-000068AE0000}"/>
    <cellStyle name="heading" xfId="44657" xr:uid="{00000000-0005-0000-0000-000069AE0000}"/>
    <cellStyle name="Heading 1 10" xfId="44658" xr:uid="{00000000-0005-0000-0000-00006AAE0000}"/>
    <cellStyle name="Heading 1 10 2" xfId="44659" xr:uid="{00000000-0005-0000-0000-00006BAE0000}"/>
    <cellStyle name="Heading 1 10 2 2" xfId="44660" xr:uid="{00000000-0005-0000-0000-00006CAE0000}"/>
    <cellStyle name="Heading 1 10 3" xfId="44661" xr:uid="{00000000-0005-0000-0000-00006DAE0000}"/>
    <cellStyle name="Heading 1 100" xfId="44662" xr:uid="{00000000-0005-0000-0000-00006EAE0000}"/>
    <cellStyle name="Heading 1 100 2" xfId="44663" xr:uid="{00000000-0005-0000-0000-00006FAE0000}"/>
    <cellStyle name="Heading 1 100 2 2" xfId="44664" xr:uid="{00000000-0005-0000-0000-000070AE0000}"/>
    <cellStyle name="Heading 1 100 3" xfId="44665" xr:uid="{00000000-0005-0000-0000-000071AE0000}"/>
    <cellStyle name="Heading 1 101" xfId="44666" xr:uid="{00000000-0005-0000-0000-000072AE0000}"/>
    <cellStyle name="Heading 1 101 2" xfId="44667" xr:uid="{00000000-0005-0000-0000-000073AE0000}"/>
    <cellStyle name="Heading 1 101 2 2" xfId="44668" xr:uid="{00000000-0005-0000-0000-000074AE0000}"/>
    <cellStyle name="Heading 1 101 3" xfId="44669" xr:uid="{00000000-0005-0000-0000-000075AE0000}"/>
    <cellStyle name="Heading 1 102" xfId="44670" xr:uid="{00000000-0005-0000-0000-000076AE0000}"/>
    <cellStyle name="Heading 1 102 2" xfId="44671" xr:uid="{00000000-0005-0000-0000-000077AE0000}"/>
    <cellStyle name="Heading 1 102 2 2" xfId="44672" xr:uid="{00000000-0005-0000-0000-000078AE0000}"/>
    <cellStyle name="Heading 1 102 3" xfId="44673" xr:uid="{00000000-0005-0000-0000-000079AE0000}"/>
    <cellStyle name="Heading 1 103" xfId="44674" xr:uid="{00000000-0005-0000-0000-00007AAE0000}"/>
    <cellStyle name="Heading 1 103 2" xfId="44675" xr:uid="{00000000-0005-0000-0000-00007BAE0000}"/>
    <cellStyle name="Heading 1 103 2 2" xfId="44676" xr:uid="{00000000-0005-0000-0000-00007CAE0000}"/>
    <cellStyle name="Heading 1 103 3" xfId="44677" xr:uid="{00000000-0005-0000-0000-00007DAE0000}"/>
    <cellStyle name="Heading 1 104" xfId="44678" xr:uid="{00000000-0005-0000-0000-00007EAE0000}"/>
    <cellStyle name="Heading 1 104 2" xfId="44679" xr:uid="{00000000-0005-0000-0000-00007FAE0000}"/>
    <cellStyle name="Heading 1 104 2 2" xfId="44680" xr:uid="{00000000-0005-0000-0000-000080AE0000}"/>
    <cellStyle name="Heading 1 104 3" xfId="44681" xr:uid="{00000000-0005-0000-0000-000081AE0000}"/>
    <cellStyle name="Heading 1 105" xfId="44682" xr:uid="{00000000-0005-0000-0000-000082AE0000}"/>
    <cellStyle name="Heading 1 105 2" xfId="44683" xr:uid="{00000000-0005-0000-0000-000083AE0000}"/>
    <cellStyle name="Heading 1 105 2 2" xfId="44684" xr:uid="{00000000-0005-0000-0000-000084AE0000}"/>
    <cellStyle name="Heading 1 105 3" xfId="44685" xr:uid="{00000000-0005-0000-0000-000085AE0000}"/>
    <cellStyle name="Heading 1 106" xfId="44686" xr:uid="{00000000-0005-0000-0000-000086AE0000}"/>
    <cellStyle name="Heading 1 106 2" xfId="44687" xr:uid="{00000000-0005-0000-0000-000087AE0000}"/>
    <cellStyle name="Heading 1 106 2 2" xfId="44688" xr:uid="{00000000-0005-0000-0000-000088AE0000}"/>
    <cellStyle name="Heading 1 106 3" xfId="44689" xr:uid="{00000000-0005-0000-0000-000089AE0000}"/>
    <cellStyle name="Heading 1 107" xfId="44690" xr:uid="{00000000-0005-0000-0000-00008AAE0000}"/>
    <cellStyle name="Heading 1 107 2" xfId="44691" xr:uid="{00000000-0005-0000-0000-00008BAE0000}"/>
    <cellStyle name="Heading 1 107 2 2" xfId="44692" xr:uid="{00000000-0005-0000-0000-00008CAE0000}"/>
    <cellStyle name="Heading 1 107 3" xfId="44693" xr:uid="{00000000-0005-0000-0000-00008DAE0000}"/>
    <cellStyle name="Heading 1 108" xfId="44694" xr:uid="{00000000-0005-0000-0000-00008EAE0000}"/>
    <cellStyle name="Heading 1 108 2" xfId="44695" xr:uid="{00000000-0005-0000-0000-00008FAE0000}"/>
    <cellStyle name="Heading 1 108 2 2" xfId="44696" xr:uid="{00000000-0005-0000-0000-000090AE0000}"/>
    <cellStyle name="Heading 1 108 3" xfId="44697" xr:uid="{00000000-0005-0000-0000-000091AE0000}"/>
    <cellStyle name="Heading 1 109" xfId="44698" xr:uid="{00000000-0005-0000-0000-000092AE0000}"/>
    <cellStyle name="Heading 1 109 2" xfId="44699" xr:uid="{00000000-0005-0000-0000-000093AE0000}"/>
    <cellStyle name="Heading 1 109 2 2" xfId="44700" xr:uid="{00000000-0005-0000-0000-000094AE0000}"/>
    <cellStyle name="Heading 1 109 3" xfId="44701" xr:uid="{00000000-0005-0000-0000-000095AE0000}"/>
    <cellStyle name="Heading 1 11" xfId="44702" xr:uid="{00000000-0005-0000-0000-000096AE0000}"/>
    <cellStyle name="Heading 1 11 2" xfId="44703" xr:uid="{00000000-0005-0000-0000-000097AE0000}"/>
    <cellStyle name="Heading 1 11 2 2" xfId="44704" xr:uid="{00000000-0005-0000-0000-000098AE0000}"/>
    <cellStyle name="Heading 1 11 3" xfId="44705" xr:uid="{00000000-0005-0000-0000-000099AE0000}"/>
    <cellStyle name="Heading 1 110" xfId="44706" xr:uid="{00000000-0005-0000-0000-00009AAE0000}"/>
    <cellStyle name="Heading 1 110 2" xfId="44707" xr:uid="{00000000-0005-0000-0000-00009BAE0000}"/>
    <cellStyle name="Heading 1 110 2 2" xfId="44708" xr:uid="{00000000-0005-0000-0000-00009CAE0000}"/>
    <cellStyle name="Heading 1 110 3" xfId="44709" xr:uid="{00000000-0005-0000-0000-00009DAE0000}"/>
    <cellStyle name="Heading 1 111" xfId="44710" xr:uid="{00000000-0005-0000-0000-00009EAE0000}"/>
    <cellStyle name="Heading 1 111 2" xfId="44711" xr:uid="{00000000-0005-0000-0000-00009FAE0000}"/>
    <cellStyle name="Heading 1 111 2 2" xfId="44712" xr:uid="{00000000-0005-0000-0000-0000A0AE0000}"/>
    <cellStyle name="Heading 1 111 3" xfId="44713" xr:uid="{00000000-0005-0000-0000-0000A1AE0000}"/>
    <cellStyle name="Heading 1 112" xfId="44714" xr:uid="{00000000-0005-0000-0000-0000A2AE0000}"/>
    <cellStyle name="Heading 1 112 2" xfId="44715" xr:uid="{00000000-0005-0000-0000-0000A3AE0000}"/>
    <cellStyle name="Heading 1 112 2 2" xfId="44716" xr:uid="{00000000-0005-0000-0000-0000A4AE0000}"/>
    <cellStyle name="Heading 1 112 3" xfId="44717" xr:uid="{00000000-0005-0000-0000-0000A5AE0000}"/>
    <cellStyle name="Heading 1 113" xfId="44718" xr:uid="{00000000-0005-0000-0000-0000A6AE0000}"/>
    <cellStyle name="Heading 1 113 2" xfId="44719" xr:uid="{00000000-0005-0000-0000-0000A7AE0000}"/>
    <cellStyle name="Heading 1 113 2 2" xfId="44720" xr:uid="{00000000-0005-0000-0000-0000A8AE0000}"/>
    <cellStyle name="Heading 1 113 3" xfId="44721" xr:uid="{00000000-0005-0000-0000-0000A9AE0000}"/>
    <cellStyle name="Heading 1 114" xfId="44722" xr:uid="{00000000-0005-0000-0000-0000AAAE0000}"/>
    <cellStyle name="Heading 1 114 2" xfId="44723" xr:uid="{00000000-0005-0000-0000-0000ABAE0000}"/>
    <cellStyle name="Heading 1 114 2 2" xfId="44724" xr:uid="{00000000-0005-0000-0000-0000ACAE0000}"/>
    <cellStyle name="Heading 1 114 3" xfId="44725" xr:uid="{00000000-0005-0000-0000-0000ADAE0000}"/>
    <cellStyle name="Heading 1 115" xfId="44726" xr:uid="{00000000-0005-0000-0000-0000AEAE0000}"/>
    <cellStyle name="Heading 1 115 2" xfId="44727" xr:uid="{00000000-0005-0000-0000-0000AFAE0000}"/>
    <cellStyle name="Heading 1 115 2 2" xfId="44728" xr:uid="{00000000-0005-0000-0000-0000B0AE0000}"/>
    <cellStyle name="Heading 1 115 3" xfId="44729" xr:uid="{00000000-0005-0000-0000-0000B1AE0000}"/>
    <cellStyle name="Heading 1 116" xfId="44730" xr:uid="{00000000-0005-0000-0000-0000B2AE0000}"/>
    <cellStyle name="Heading 1 116 2" xfId="44731" xr:uid="{00000000-0005-0000-0000-0000B3AE0000}"/>
    <cellStyle name="Heading 1 116 2 2" xfId="44732" xr:uid="{00000000-0005-0000-0000-0000B4AE0000}"/>
    <cellStyle name="Heading 1 116 3" xfId="44733" xr:uid="{00000000-0005-0000-0000-0000B5AE0000}"/>
    <cellStyle name="Heading 1 117" xfId="44734" xr:uid="{00000000-0005-0000-0000-0000B6AE0000}"/>
    <cellStyle name="Heading 1 117 2" xfId="44735" xr:uid="{00000000-0005-0000-0000-0000B7AE0000}"/>
    <cellStyle name="Heading 1 117 2 2" xfId="44736" xr:uid="{00000000-0005-0000-0000-0000B8AE0000}"/>
    <cellStyle name="Heading 1 117 3" xfId="44737" xr:uid="{00000000-0005-0000-0000-0000B9AE0000}"/>
    <cellStyle name="Heading 1 118" xfId="44738" xr:uid="{00000000-0005-0000-0000-0000BAAE0000}"/>
    <cellStyle name="Heading 1 118 2" xfId="44739" xr:uid="{00000000-0005-0000-0000-0000BBAE0000}"/>
    <cellStyle name="Heading 1 118 2 2" xfId="44740" xr:uid="{00000000-0005-0000-0000-0000BCAE0000}"/>
    <cellStyle name="Heading 1 118 3" xfId="44741" xr:uid="{00000000-0005-0000-0000-0000BDAE0000}"/>
    <cellStyle name="Heading 1 119" xfId="44742" xr:uid="{00000000-0005-0000-0000-0000BEAE0000}"/>
    <cellStyle name="Heading 1 119 2" xfId="44743" xr:uid="{00000000-0005-0000-0000-0000BFAE0000}"/>
    <cellStyle name="Heading 1 119 2 2" xfId="44744" xr:uid="{00000000-0005-0000-0000-0000C0AE0000}"/>
    <cellStyle name="Heading 1 119 3" xfId="44745" xr:uid="{00000000-0005-0000-0000-0000C1AE0000}"/>
    <cellStyle name="Heading 1 12" xfId="44746" xr:uid="{00000000-0005-0000-0000-0000C2AE0000}"/>
    <cellStyle name="Heading 1 12 2" xfId="44747" xr:uid="{00000000-0005-0000-0000-0000C3AE0000}"/>
    <cellStyle name="Heading 1 12 2 2" xfId="44748" xr:uid="{00000000-0005-0000-0000-0000C4AE0000}"/>
    <cellStyle name="Heading 1 12 3" xfId="44749" xr:uid="{00000000-0005-0000-0000-0000C5AE0000}"/>
    <cellStyle name="Heading 1 120" xfId="44750" xr:uid="{00000000-0005-0000-0000-0000C6AE0000}"/>
    <cellStyle name="Heading 1 120 2" xfId="44751" xr:uid="{00000000-0005-0000-0000-0000C7AE0000}"/>
    <cellStyle name="Heading 1 120 2 2" xfId="44752" xr:uid="{00000000-0005-0000-0000-0000C8AE0000}"/>
    <cellStyle name="Heading 1 120 3" xfId="44753" xr:uid="{00000000-0005-0000-0000-0000C9AE0000}"/>
    <cellStyle name="Heading 1 121" xfId="44754" xr:uid="{00000000-0005-0000-0000-0000CAAE0000}"/>
    <cellStyle name="Heading 1 121 2" xfId="44755" xr:uid="{00000000-0005-0000-0000-0000CBAE0000}"/>
    <cellStyle name="Heading 1 121 2 2" xfId="44756" xr:uid="{00000000-0005-0000-0000-0000CCAE0000}"/>
    <cellStyle name="Heading 1 121 3" xfId="44757" xr:uid="{00000000-0005-0000-0000-0000CDAE0000}"/>
    <cellStyle name="Heading 1 122" xfId="44758" xr:uid="{00000000-0005-0000-0000-0000CEAE0000}"/>
    <cellStyle name="Heading 1 122 2" xfId="44759" xr:uid="{00000000-0005-0000-0000-0000CFAE0000}"/>
    <cellStyle name="Heading 1 122 2 2" xfId="44760" xr:uid="{00000000-0005-0000-0000-0000D0AE0000}"/>
    <cellStyle name="Heading 1 122 3" xfId="44761" xr:uid="{00000000-0005-0000-0000-0000D1AE0000}"/>
    <cellStyle name="Heading 1 123" xfId="44762" xr:uid="{00000000-0005-0000-0000-0000D2AE0000}"/>
    <cellStyle name="Heading 1 123 2" xfId="44763" xr:uid="{00000000-0005-0000-0000-0000D3AE0000}"/>
    <cellStyle name="Heading 1 123 2 2" xfId="44764" xr:uid="{00000000-0005-0000-0000-0000D4AE0000}"/>
    <cellStyle name="Heading 1 123 3" xfId="44765" xr:uid="{00000000-0005-0000-0000-0000D5AE0000}"/>
    <cellStyle name="Heading 1 124" xfId="44766" xr:uid="{00000000-0005-0000-0000-0000D6AE0000}"/>
    <cellStyle name="Heading 1 124 2" xfId="44767" xr:uid="{00000000-0005-0000-0000-0000D7AE0000}"/>
    <cellStyle name="Heading 1 124 2 2" xfId="44768" xr:uid="{00000000-0005-0000-0000-0000D8AE0000}"/>
    <cellStyle name="Heading 1 124 3" xfId="44769" xr:uid="{00000000-0005-0000-0000-0000D9AE0000}"/>
    <cellStyle name="Heading 1 125" xfId="44770" xr:uid="{00000000-0005-0000-0000-0000DAAE0000}"/>
    <cellStyle name="Heading 1 125 2" xfId="44771" xr:uid="{00000000-0005-0000-0000-0000DBAE0000}"/>
    <cellStyle name="Heading 1 125 2 2" xfId="44772" xr:uid="{00000000-0005-0000-0000-0000DCAE0000}"/>
    <cellStyle name="Heading 1 125 3" xfId="44773" xr:uid="{00000000-0005-0000-0000-0000DDAE0000}"/>
    <cellStyle name="Heading 1 126" xfId="44774" xr:uid="{00000000-0005-0000-0000-0000DEAE0000}"/>
    <cellStyle name="Heading 1 126 2" xfId="44775" xr:uid="{00000000-0005-0000-0000-0000DFAE0000}"/>
    <cellStyle name="Heading 1 126 2 2" xfId="44776" xr:uid="{00000000-0005-0000-0000-0000E0AE0000}"/>
    <cellStyle name="Heading 1 126 3" xfId="44777" xr:uid="{00000000-0005-0000-0000-0000E1AE0000}"/>
    <cellStyle name="Heading 1 127" xfId="44778" xr:uid="{00000000-0005-0000-0000-0000E2AE0000}"/>
    <cellStyle name="Heading 1 127 2" xfId="44779" xr:uid="{00000000-0005-0000-0000-0000E3AE0000}"/>
    <cellStyle name="Heading 1 127 2 2" xfId="44780" xr:uid="{00000000-0005-0000-0000-0000E4AE0000}"/>
    <cellStyle name="Heading 1 127 3" xfId="44781" xr:uid="{00000000-0005-0000-0000-0000E5AE0000}"/>
    <cellStyle name="Heading 1 128" xfId="44782" xr:uid="{00000000-0005-0000-0000-0000E6AE0000}"/>
    <cellStyle name="Heading 1 128 2" xfId="44783" xr:uid="{00000000-0005-0000-0000-0000E7AE0000}"/>
    <cellStyle name="Heading 1 128 2 2" xfId="44784" xr:uid="{00000000-0005-0000-0000-0000E8AE0000}"/>
    <cellStyle name="Heading 1 128 3" xfId="44785" xr:uid="{00000000-0005-0000-0000-0000E9AE0000}"/>
    <cellStyle name="Heading 1 129" xfId="44786" xr:uid="{00000000-0005-0000-0000-0000EAAE0000}"/>
    <cellStyle name="Heading 1 129 2" xfId="44787" xr:uid="{00000000-0005-0000-0000-0000EBAE0000}"/>
    <cellStyle name="Heading 1 129 2 2" xfId="44788" xr:uid="{00000000-0005-0000-0000-0000ECAE0000}"/>
    <cellStyle name="Heading 1 129 3" xfId="44789" xr:uid="{00000000-0005-0000-0000-0000EDAE0000}"/>
    <cellStyle name="Heading 1 13" xfId="44790" xr:uid="{00000000-0005-0000-0000-0000EEAE0000}"/>
    <cellStyle name="Heading 1 13 2" xfId="44791" xr:uid="{00000000-0005-0000-0000-0000EFAE0000}"/>
    <cellStyle name="Heading 1 13 2 2" xfId="44792" xr:uid="{00000000-0005-0000-0000-0000F0AE0000}"/>
    <cellStyle name="Heading 1 13 3" xfId="44793" xr:uid="{00000000-0005-0000-0000-0000F1AE0000}"/>
    <cellStyle name="Heading 1 130" xfId="44794" xr:uid="{00000000-0005-0000-0000-0000F2AE0000}"/>
    <cellStyle name="Heading 1 130 2" xfId="44795" xr:uid="{00000000-0005-0000-0000-0000F3AE0000}"/>
    <cellStyle name="Heading 1 130 2 2" xfId="44796" xr:uid="{00000000-0005-0000-0000-0000F4AE0000}"/>
    <cellStyle name="Heading 1 130 3" xfId="44797" xr:uid="{00000000-0005-0000-0000-0000F5AE0000}"/>
    <cellStyle name="Heading 1 131" xfId="44798" xr:uid="{00000000-0005-0000-0000-0000F6AE0000}"/>
    <cellStyle name="Heading 1 131 2" xfId="44799" xr:uid="{00000000-0005-0000-0000-0000F7AE0000}"/>
    <cellStyle name="Heading 1 131 2 2" xfId="44800" xr:uid="{00000000-0005-0000-0000-0000F8AE0000}"/>
    <cellStyle name="Heading 1 131 3" xfId="44801" xr:uid="{00000000-0005-0000-0000-0000F9AE0000}"/>
    <cellStyle name="Heading 1 132" xfId="44802" xr:uid="{00000000-0005-0000-0000-0000FAAE0000}"/>
    <cellStyle name="Heading 1 132 2" xfId="44803" xr:uid="{00000000-0005-0000-0000-0000FBAE0000}"/>
    <cellStyle name="Heading 1 132 2 2" xfId="44804" xr:uid="{00000000-0005-0000-0000-0000FCAE0000}"/>
    <cellStyle name="Heading 1 132 3" xfId="44805" xr:uid="{00000000-0005-0000-0000-0000FDAE0000}"/>
    <cellStyle name="Heading 1 133" xfId="44806" xr:uid="{00000000-0005-0000-0000-0000FEAE0000}"/>
    <cellStyle name="Heading 1 133 2" xfId="44807" xr:uid="{00000000-0005-0000-0000-0000FFAE0000}"/>
    <cellStyle name="Heading 1 133 2 2" xfId="44808" xr:uid="{00000000-0005-0000-0000-000000AF0000}"/>
    <cellStyle name="Heading 1 133 3" xfId="44809" xr:uid="{00000000-0005-0000-0000-000001AF0000}"/>
    <cellStyle name="Heading 1 134" xfId="44810" xr:uid="{00000000-0005-0000-0000-000002AF0000}"/>
    <cellStyle name="Heading 1 134 2" xfId="44811" xr:uid="{00000000-0005-0000-0000-000003AF0000}"/>
    <cellStyle name="Heading 1 134 2 2" xfId="44812" xr:uid="{00000000-0005-0000-0000-000004AF0000}"/>
    <cellStyle name="Heading 1 134 3" xfId="44813" xr:uid="{00000000-0005-0000-0000-000005AF0000}"/>
    <cellStyle name="Heading 1 135" xfId="44814" xr:uid="{00000000-0005-0000-0000-000006AF0000}"/>
    <cellStyle name="Heading 1 135 2" xfId="44815" xr:uid="{00000000-0005-0000-0000-000007AF0000}"/>
    <cellStyle name="Heading 1 135 2 2" xfId="44816" xr:uid="{00000000-0005-0000-0000-000008AF0000}"/>
    <cellStyle name="Heading 1 135 3" xfId="44817" xr:uid="{00000000-0005-0000-0000-000009AF0000}"/>
    <cellStyle name="Heading 1 136" xfId="44818" xr:uid="{00000000-0005-0000-0000-00000AAF0000}"/>
    <cellStyle name="Heading 1 136 2" xfId="44819" xr:uid="{00000000-0005-0000-0000-00000BAF0000}"/>
    <cellStyle name="Heading 1 136 2 2" xfId="44820" xr:uid="{00000000-0005-0000-0000-00000CAF0000}"/>
    <cellStyle name="Heading 1 136 3" xfId="44821" xr:uid="{00000000-0005-0000-0000-00000DAF0000}"/>
    <cellStyle name="Heading 1 137" xfId="44822" xr:uid="{00000000-0005-0000-0000-00000EAF0000}"/>
    <cellStyle name="Heading 1 137 2" xfId="44823" xr:uid="{00000000-0005-0000-0000-00000FAF0000}"/>
    <cellStyle name="Heading 1 137 2 2" xfId="44824" xr:uid="{00000000-0005-0000-0000-000010AF0000}"/>
    <cellStyle name="Heading 1 137 3" xfId="44825" xr:uid="{00000000-0005-0000-0000-000011AF0000}"/>
    <cellStyle name="Heading 1 138" xfId="44826" xr:uid="{00000000-0005-0000-0000-000012AF0000}"/>
    <cellStyle name="Heading 1 138 2" xfId="44827" xr:uid="{00000000-0005-0000-0000-000013AF0000}"/>
    <cellStyle name="Heading 1 138 2 2" xfId="44828" xr:uid="{00000000-0005-0000-0000-000014AF0000}"/>
    <cellStyle name="Heading 1 138 3" xfId="44829" xr:uid="{00000000-0005-0000-0000-000015AF0000}"/>
    <cellStyle name="Heading 1 139" xfId="44830" xr:uid="{00000000-0005-0000-0000-000016AF0000}"/>
    <cellStyle name="Heading 1 139 2" xfId="44831" xr:uid="{00000000-0005-0000-0000-000017AF0000}"/>
    <cellStyle name="Heading 1 139 2 2" xfId="44832" xr:uid="{00000000-0005-0000-0000-000018AF0000}"/>
    <cellStyle name="Heading 1 139 3" xfId="44833" xr:uid="{00000000-0005-0000-0000-000019AF0000}"/>
    <cellStyle name="Heading 1 14" xfId="44834" xr:uid="{00000000-0005-0000-0000-00001AAF0000}"/>
    <cellStyle name="Heading 1 14 2" xfId="44835" xr:uid="{00000000-0005-0000-0000-00001BAF0000}"/>
    <cellStyle name="Heading 1 14 2 2" xfId="44836" xr:uid="{00000000-0005-0000-0000-00001CAF0000}"/>
    <cellStyle name="Heading 1 14 3" xfId="44837" xr:uid="{00000000-0005-0000-0000-00001DAF0000}"/>
    <cellStyle name="Heading 1 140" xfId="44838" xr:uid="{00000000-0005-0000-0000-00001EAF0000}"/>
    <cellStyle name="Heading 1 140 2" xfId="44839" xr:uid="{00000000-0005-0000-0000-00001FAF0000}"/>
    <cellStyle name="Heading 1 140 2 2" xfId="44840" xr:uid="{00000000-0005-0000-0000-000020AF0000}"/>
    <cellStyle name="Heading 1 140 3" xfId="44841" xr:uid="{00000000-0005-0000-0000-000021AF0000}"/>
    <cellStyle name="Heading 1 141" xfId="44842" xr:uid="{00000000-0005-0000-0000-000022AF0000}"/>
    <cellStyle name="Heading 1 141 2" xfId="44843" xr:uid="{00000000-0005-0000-0000-000023AF0000}"/>
    <cellStyle name="Heading 1 141 2 2" xfId="44844" xr:uid="{00000000-0005-0000-0000-000024AF0000}"/>
    <cellStyle name="Heading 1 141 3" xfId="44845" xr:uid="{00000000-0005-0000-0000-000025AF0000}"/>
    <cellStyle name="Heading 1 142" xfId="44846" xr:uid="{00000000-0005-0000-0000-000026AF0000}"/>
    <cellStyle name="Heading 1 142 2" xfId="44847" xr:uid="{00000000-0005-0000-0000-000027AF0000}"/>
    <cellStyle name="Heading 1 142 2 2" xfId="44848" xr:uid="{00000000-0005-0000-0000-000028AF0000}"/>
    <cellStyle name="Heading 1 142 3" xfId="44849" xr:uid="{00000000-0005-0000-0000-000029AF0000}"/>
    <cellStyle name="Heading 1 143" xfId="44850" xr:uid="{00000000-0005-0000-0000-00002AAF0000}"/>
    <cellStyle name="Heading 1 143 2" xfId="44851" xr:uid="{00000000-0005-0000-0000-00002BAF0000}"/>
    <cellStyle name="Heading 1 143 2 2" xfId="44852" xr:uid="{00000000-0005-0000-0000-00002CAF0000}"/>
    <cellStyle name="Heading 1 143 3" xfId="44853" xr:uid="{00000000-0005-0000-0000-00002DAF0000}"/>
    <cellStyle name="Heading 1 144" xfId="44854" xr:uid="{00000000-0005-0000-0000-00002EAF0000}"/>
    <cellStyle name="Heading 1 144 2" xfId="44855" xr:uid="{00000000-0005-0000-0000-00002FAF0000}"/>
    <cellStyle name="Heading 1 144 2 2" xfId="44856" xr:uid="{00000000-0005-0000-0000-000030AF0000}"/>
    <cellStyle name="Heading 1 144 3" xfId="44857" xr:uid="{00000000-0005-0000-0000-000031AF0000}"/>
    <cellStyle name="Heading 1 145" xfId="44858" xr:uid="{00000000-0005-0000-0000-000032AF0000}"/>
    <cellStyle name="Heading 1 145 2" xfId="44859" xr:uid="{00000000-0005-0000-0000-000033AF0000}"/>
    <cellStyle name="Heading 1 145 2 2" xfId="44860" xr:uid="{00000000-0005-0000-0000-000034AF0000}"/>
    <cellStyle name="Heading 1 145 3" xfId="44861" xr:uid="{00000000-0005-0000-0000-000035AF0000}"/>
    <cellStyle name="Heading 1 146" xfId="44862" xr:uid="{00000000-0005-0000-0000-000036AF0000}"/>
    <cellStyle name="Heading 1 146 2" xfId="44863" xr:uid="{00000000-0005-0000-0000-000037AF0000}"/>
    <cellStyle name="Heading 1 146 2 2" xfId="44864" xr:uid="{00000000-0005-0000-0000-000038AF0000}"/>
    <cellStyle name="Heading 1 146 3" xfId="44865" xr:uid="{00000000-0005-0000-0000-000039AF0000}"/>
    <cellStyle name="Heading 1 147" xfId="44866" xr:uid="{00000000-0005-0000-0000-00003AAF0000}"/>
    <cellStyle name="Heading 1 147 2" xfId="44867" xr:uid="{00000000-0005-0000-0000-00003BAF0000}"/>
    <cellStyle name="Heading 1 147 2 2" xfId="44868" xr:uid="{00000000-0005-0000-0000-00003CAF0000}"/>
    <cellStyle name="Heading 1 147 3" xfId="44869" xr:uid="{00000000-0005-0000-0000-00003DAF0000}"/>
    <cellStyle name="Heading 1 148" xfId="44870" xr:uid="{00000000-0005-0000-0000-00003EAF0000}"/>
    <cellStyle name="Heading 1 148 2" xfId="44871" xr:uid="{00000000-0005-0000-0000-00003FAF0000}"/>
    <cellStyle name="Heading 1 148 2 2" xfId="44872" xr:uid="{00000000-0005-0000-0000-000040AF0000}"/>
    <cellStyle name="Heading 1 148 3" xfId="44873" xr:uid="{00000000-0005-0000-0000-000041AF0000}"/>
    <cellStyle name="Heading 1 149" xfId="44874" xr:uid="{00000000-0005-0000-0000-000042AF0000}"/>
    <cellStyle name="Heading 1 149 2" xfId="44875" xr:uid="{00000000-0005-0000-0000-000043AF0000}"/>
    <cellStyle name="Heading 1 149 2 2" xfId="44876" xr:uid="{00000000-0005-0000-0000-000044AF0000}"/>
    <cellStyle name="Heading 1 149 3" xfId="44877" xr:uid="{00000000-0005-0000-0000-000045AF0000}"/>
    <cellStyle name="Heading 1 15" xfId="44878" xr:uid="{00000000-0005-0000-0000-000046AF0000}"/>
    <cellStyle name="Heading 1 15 2" xfId="44879" xr:uid="{00000000-0005-0000-0000-000047AF0000}"/>
    <cellStyle name="Heading 1 15 2 2" xfId="44880" xr:uid="{00000000-0005-0000-0000-000048AF0000}"/>
    <cellStyle name="Heading 1 15 3" xfId="44881" xr:uid="{00000000-0005-0000-0000-000049AF0000}"/>
    <cellStyle name="Heading 1 150" xfId="44882" xr:uid="{00000000-0005-0000-0000-00004AAF0000}"/>
    <cellStyle name="Heading 1 150 2" xfId="44883" xr:uid="{00000000-0005-0000-0000-00004BAF0000}"/>
    <cellStyle name="Heading 1 150 2 2" xfId="44884" xr:uid="{00000000-0005-0000-0000-00004CAF0000}"/>
    <cellStyle name="Heading 1 150 3" xfId="44885" xr:uid="{00000000-0005-0000-0000-00004DAF0000}"/>
    <cellStyle name="Heading 1 151" xfId="44886" xr:uid="{00000000-0005-0000-0000-00004EAF0000}"/>
    <cellStyle name="Heading 1 151 2" xfId="44887" xr:uid="{00000000-0005-0000-0000-00004FAF0000}"/>
    <cellStyle name="Heading 1 151 2 2" xfId="44888" xr:uid="{00000000-0005-0000-0000-000050AF0000}"/>
    <cellStyle name="Heading 1 151 3" xfId="44889" xr:uid="{00000000-0005-0000-0000-000051AF0000}"/>
    <cellStyle name="Heading 1 152" xfId="44890" xr:uid="{00000000-0005-0000-0000-000052AF0000}"/>
    <cellStyle name="Heading 1 152 2" xfId="44891" xr:uid="{00000000-0005-0000-0000-000053AF0000}"/>
    <cellStyle name="Heading 1 152 2 2" xfId="44892" xr:uid="{00000000-0005-0000-0000-000054AF0000}"/>
    <cellStyle name="Heading 1 152 3" xfId="44893" xr:uid="{00000000-0005-0000-0000-000055AF0000}"/>
    <cellStyle name="Heading 1 153" xfId="44894" xr:uid="{00000000-0005-0000-0000-000056AF0000}"/>
    <cellStyle name="Heading 1 153 2" xfId="44895" xr:uid="{00000000-0005-0000-0000-000057AF0000}"/>
    <cellStyle name="Heading 1 153 2 2" xfId="44896" xr:uid="{00000000-0005-0000-0000-000058AF0000}"/>
    <cellStyle name="Heading 1 153 3" xfId="44897" xr:uid="{00000000-0005-0000-0000-000059AF0000}"/>
    <cellStyle name="Heading 1 154" xfId="44898" xr:uid="{00000000-0005-0000-0000-00005AAF0000}"/>
    <cellStyle name="Heading 1 154 2" xfId="44899" xr:uid="{00000000-0005-0000-0000-00005BAF0000}"/>
    <cellStyle name="Heading 1 154 2 2" xfId="44900" xr:uid="{00000000-0005-0000-0000-00005CAF0000}"/>
    <cellStyle name="Heading 1 154 3" xfId="44901" xr:uid="{00000000-0005-0000-0000-00005DAF0000}"/>
    <cellStyle name="Heading 1 155" xfId="44902" xr:uid="{00000000-0005-0000-0000-00005EAF0000}"/>
    <cellStyle name="Heading 1 155 2" xfId="44903" xr:uid="{00000000-0005-0000-0000-00005FAF0000}"/>
    <cellStyle name="Heading 1 155 2 2" xfId="44904" xr:uid="{00000000-0005-0000-0000-000060AF0000}"/>
    <cellStyle name="Heading 1 155 3" xfId="44905" xr:uid="{00000000-0005-0000-0000-000061AF0000}"/>
    <cellStyle name="Heading 1 156" xfId="44906" xr:uid="{00000000-0005-0000-0000-000062AF0000}"/>
    <cellStyle name="Heading 1 156 2" xfId="44907" xr:uid="{00000000-0005-0000-0000-000063AF0000}"/>
    <cellStyle name="Heading 1 156 2 2" xfId="44908" xr:uid="{00000000-0005-0000-0000-000064AF0000}"/>
    <cellStyle name="Heading 1 156 3" xfId="44909" xr:uid="{00000000-0005-0000-0000-000065AF0000}"/>
    <cellStyle name="Heading 1 157" xfId="44910" xr:uid="{00000000-0005-0000-0000-000066AF0000}"/>
    <cellStyle name="Heading 1 157 2" xfId="44911" xr:uid="{00000000-0005-0000-0000-000067AF0000}"/>
    <cellStyle name="Heading 1 157 2 2" xfId="44912" xr:uid="{00000000-0005-0000-0000-000068AF0000}"/>
    <cellStyle name="Heading 1 157 3" xfId="44913" xr:uid="{00000000-0005-0000-0000-000069AF0000}"/>
    <cellStyle name="Heading 1 158" xfId="44914" xr:uid="{00000000-0005-0000-0000-00006AAF0000}"/>
    <cellStyle name="Heading 1 158 2" xfId="44915" xr:uid="{00000000-0005-0000-0000-00006BAF0000}"/>
    <cellStyle name="Heading 1 158 2 2" xfId="44916" xr:uid="{00000000-0005-0000-0000-00006CAF0000}"/>
    <cellStyle name="Heading 1 158 3" xfId="44917" xr:uid="{00000000-0005-0000-0000-00006DAF0000}"/>
    <cellStyle name="Heading 1 159" xfId="44918" xr:uid="{00000000-0005-0000-0000-00006EAF0000}"/>
    <cellStyle name="Heading 1 159 2" xfId="44919" xr:uid="{00000000-0005-0000-0000-00006FAF0000}"/>
    <cellStyle name="Heading 1 16" xfId="44920" xr:uid="{00000000-0005-0000-0000-000070AF0000}"/>
    <cellStyle name="Heading 1 16 2" xfId="44921" xr:uid="{00000000-0005-0000-0000-000071AF0000}"/>
    <cellStyle name="Heading 1 16 2 2" xfId="44922" xr:uid="{00000000-0005-0000-0000-000072AF0000}"/>
    <cellStyle name="Heading 1 16 3" xfId="44923" xr:uid="{00000000-0005-0000-0000-000073AF0000}"/>
    <cellStyle name="Heading 1 160" xfId="44924" xr:uid="{00000000-0005-0000-0000-000074AF0000}"/>
    <cellStyle name="Heading 1 160 2" xfId="44925" xr:uid="{00000000-0005-0000-0000-000075AF0000}"/>
    <cellStyle name="Heading 1 161" xfId="44926" xr:uid="{00000000-0005-0000-0000-000076AF0000}"/>
    <cellStyle name="Heading 1 161 2" xfId="44927" xr:uid="{00000000-0005-0000-0000-000077AF0000}"/>
    <cellStyle name="Heading 1 162" xfId="44928" xr:uid="{00000000-0005-0000-0000-000078AF0000}"/>
    <cellStyle name="Heading 1 162 2" xfId="44929" xr:uid="{00000000-0005-0000-0000-000079AF0000}"/>
    <cellStyle name="Heading 1 163" xfId="44930" xr:uid="{00000000-0005-0000-0000-00007AAF0000}"/>
    <cellStyle name="Heading 1 163 2" xfId="44931" xr:uid="{00000000-0005-0000-0000-00007BAF0000}"/>
    <cellStyle name="Heading 1 164" xfId="44932" xr:uid="{00000000-0005-0000-0000-00007CAF0000}"/>
    <cellStyle name="Heading 1 164 2" xfId="44933" xr:uid="{00000000-0005-0000-0000-00007DAF0000}"/>
    <cellStyle name="Heading 1 165" xfId="44934" xr:uid="{00000000-0005-0000-0000-00007EAF0000}"/>
    <cellStyle name="Heading 1 165 2" xfId="44935" xr:uid="{00000000-0005-0000-0000-00007FAF0000}"/>
    <cellStyle name="Heading 1 166" xfId="44936" xr:uid="{00000000-0005-0000-0000-000080AF0000}"/>
    <cellStyle name="Heading 1 166 2" xfId="44937" xr:uid="{00000000-0005-0000-0000-000081AF0000}"/>
    <cellStyle name="Heading 1 167" xfId="44938" xr:uid="{00000000-0005-0000-0000-000082AF0000}"/>
    <cellStyle name="Heading 1 167 2" xfId="44939" xr:uid="{00000000-0005-0000-0000-000083AF0000}"/>
    <cellStyle name="Heading 1 168" xfId="44940" xr:uid="{00000000-0005-0000-0000-000084AF0000}"/>
    <cellStyle name="Heading 1 168 2" xfId="44941" xr:uid="{00000000-0005-0000-0000-000085AF0000}"/>
    <cellStyle name="Heading 1 169" xfId="44942" xr:uid="{00000000-0005-0000-0000-000086AF0000}"/>
    <cellStyle name="Heading 1 169 2" xfId="44943" xr:uid="{00000000-0005-0000-0000-000087AF0000}"/>
    <cellStyle name="Heading 1 17" xfId="44944" xr:uid="{00000000-0005-0000-0000-000088AF0000}"/>
    <cellStyle name="Heading 1 17 2" xfId="44945" xr:uid="{00000000-0005-0000-0000-000089AF0000}"/>
    <cellStyle name="Heading 1 17 2 2" xfId="44946" xr:uid="{00000000-0005-0000-0000-00008AAF0000}"/>
    <cellStyle name="Heading 1 17 3" xfId="44947" xr:uid="{00000000-0005-0000-0000-00008BAF0000}"/>
    <cellStyle name="Heading 1 170" xfId="44948" xr:uid="{00000000-0005-0000-0000-00008CAF0000}"/>
    <cellStyle name="Heading 1 170 2" xfId="44949" xr:uid="{00000000-0005-0000-0000-00008DAF0000}"/>
    <cellStyle name="Heading 1 171" xfId="44950" xr:uid="{00000000-0005-0000-0000-00008EAF0000}"/>
    <cellStyle name="Heading 1 171 2" xfId="44951" xr:uid="{00000000-0005-0000-0000-00008FAF0000}"/>
    <cellStyle name="Heading 1 172" xfId="44952" xr:uid="{00000000-0005-0000-0000-000090AF0000}"/>
    <cellStyle name="Heading 1 172 2" xfId="44953" xr:uid="{00000000-0005-0000-0000-000091AF0000}"/>
    <cellStyle name="Heading 1 173" xfId="44954" xr:uid="{00000000-0005-0000-0000-000092AF0000}"/>
    <cellStyle name="Heading 1 173 2" xfId="44955" xr:uid="{00000000-0005-0000-0000-000093AF0000}"/>
    <cellStyle name="Heading 1 174" xfId="44956" xr:uid="{00000000-0005-0000-0000-000094AF0000}"/>
    <cellStyle name="Heading 1 174 2" xfId="44957" xr:uid="{00000000-0005-0000-0000-000095AF0000}"/>
    <cellStyle name="Heading 1 175" xfId="44958" xr:uid="{00000000-0005-0000-0000-000096AF0000}"/>
    <cellStyle name="Heading 1 175 2" xfId="44959" xr:uid="{00000000-0005-0000-0000-000097AF0000}"/>
    <cellStyle name="Heading 1 176" xfId="44960" xr:uid="{00000000-0005-0000-0000-000098AF0000}"/>
    <cellStyle name="Heading 1 176 2" xfId="44961" xr:uid="{00000000-0005-0000-0000-000099AF0000}"/>
    <cellStyle name="Heading 1 177" xfId="44962" xr:uid="{00000000-0005-0000-0000-00009AAF0000}"/>
    <cellStyle name="Heading 1 177 2" xfId="44963" xr:uid="{00000000-0005-0000-0000-00009BAF0000}"/>
    <cellStyle name="Heading 1 178" xfId="44964" xr:uid="{00000000-0005-0000-0000-00009CAF0000}"/>
    <cellStyle name="Heading 1 178 2" xfId="44965" xr:uid="{00000000-0005-0000-0000-00009DAF0000}"/>
    <cellStyle name="Heading 1 179" xfId="44966" xr:uid="{00000000-0005-0000-0000-00009EAF0000}"/>
    <cellStyle name="Heading 1 179 2" xfId="44967" xr:uid="{00000000-0005-0000-0000-00009FAF0000}"/>
    <cellStyle name="Heading 1 18" xfId="44968" xr:uid="{00000000-0005-0000-0000-0000A0AF0000}"/>
    <cellStyle name="Heading 1 18 2" xfId="44969" xr:uid="{00000000-0005-0000-0000-0000A1AF0000}"/>
    <cellStyle name="Heading 1 18 2 2" xfId="44970" xr:uid="{00000000-0005-0000-0000-0000A2AF0000}"/>
    <cellStyle name="Heading 1 18 3" xfId="44971" xr:uid="{00000000-0005-0000-0000-0000A3AF0000}"/>
    <cellStyle name="Heading 1 180" xfId="44972" xr:uid="{00000000-0005-0000-0000-0000A4AF0000}"/>
    <cellStyle name="Heading 1 180 2" xfId="44973" xr:uid="{00000000-0005-0000-0000-0000A5AF0000}"/>
    <cellStyle name="Heading 1 181" xfId="44974" xr:uid="{00000000-0005-0000-0000-0000A6AF0000}"/>
    <cellStyle name="Heading 1 181 2" xfId="44975" xr:uid="{00000000-0005-0000-0000-0000A7AF0000}"/>
    <cellStyle name="Heading 1 182" xfId="44976" xr:uid="{00000000-0005-0000-0000-0000A8AF0000}"/>
    <cellStyle name="Heading 1 182 2" xfId="44977" xr:uid="{00000000-0005-0000-0000-0000A9AF0000}"/>
    <cellStyle name="Heading 1 183" xfId="44978" xr:uid="{00000000-0005-0000-0000-0000AAAF0000}"/>
    <cellStyle name="Heading 1 183 2" xfId="44979" xr:uid="{00000000-0005-0000-0000-0000ABAF0000}"/>
    <cellStyle name="Heading 1 184" xfId="44980" xr:uid="{00000000-0005-0000-0000-0000ACAF0000}"/>
    <cellStyle name="Heading 1 184 2" xfId="44981" xr:uid="{00000000-0005-0000-0000-0000ADAF0000}"/>
    <cellStyle name="Heading 1 185" xfId="44982" xr:uid="{00000000-0005-0000-0000-0000AEAF0000}"/>
    <cellStyle name="Heading 1 185 2" xfId="44983" xr:uid="{00000000-0005-0000-0000-0000AFAF0000}"/>
    <cellStyle name="Heading 1 186" xfId="44984" xr:uid="{00000000-0005-0000-0000-0000B0AF0000}"/>
    <cellStyle name="Heading 1 186 2" xfId="44985" xr:uid="{00000000-0005-0000-0000-0000B1AF0000}"/>
    <cellStyle name="Heading 1 187" xfId="44986" xr:uid="{00000000-0005-0000-0000-0000B2AF0000}"/>
    <cellStyle name="Heading 1 187 2" xfId="44987" xr:uid="{00000000-0005-0000-0000-0000B3AF0000}"/>
    <cellStyle name="Heading 1 188" xfId="44988" xr:uid="{00000000-0005-0000-0000-0000B4AF0000}"/>
    <cellStyle name="Heading 1 188 2" xfId="44989" xr:uid="{00000000-0005-0000-0000-0000B5AF0000}"/>
    <cellStyle name="Heading 1 189" xfId="44990" xr:uid="{00000000-0005-0000-0000-0000B6AF0000}"/>
    <cellStyle name="Heading 1 189 2" xfId="44991" xr:uid="{00000000-0005-0000-0000-0000B7AF0000}"/>
    <cellStyle name="Heading 1 19" xfId="44992" xr:uid="{00000000-0005-0000-0000-0000B8AF0000}"/>
    <cellStyle name="Heading 1 19 2" xfId="44993" xr:uid="{00000000-0005-0000-0000-0000B9AF0000}"/>
    <cellStyle name="Heading 1 19 2 2" xfId="44994" xr:uid="{00000000-0005-0000-0000-0000BAAF0000}"/>
    <cellStyle name="Heading 1 19 3" xfId="44995" xr:uid="{00000000-0005-0000-0000-0000BBAF0000}"/>
    <cellStyle name="Heading 1 190" xfId="44996" xr:uid="{00000000-0005-0000-0000-0000BCAF0000}"/>
    <cellStyle name="Heading 1 190 2" xfId="44997" xr:uid="{00000000-0005-0000-0000-0000BDAF0000}"/>
    <cellStyle name="Heading 1 191" xfId="44998" xr:uid="{00000000-0005-0000-0000-0000BEAF0000}"/>
    <cellStyle name="Heading 1 191 2" xfId="44999" xr:uid="{00000000-0005-0000-0000-0000BFAF0000}"/>
    <cellStyle name="Heading 1 192" xfId="45000" xr:uid="{00000000-0005-0000-0000-0000C0AF0000}"/>
    <cellStyle name="Heading 1 192 2" xfId="45001" xr:uid="{00000000-0005-0000-0000-0000C1AF0000}"/>
    <cellStyle name="Heading 1 193" xfId="45002" xr:uid="{00000000-0005-0000-0000-0000C2AF0000}"/>
    <cellStyle name="Heading 1 193 2" xfId="45003" xr:uid="{00000000-0005-0000-0000-0000C3AF0000}"/>
    <cellStyle name="Heading 1 194" xfId="45004" xr:uid="{00000000-0005-0000-0000-0000C4AF0000}"/>
    <cellStyle name="Heading 1 194 2" xfId="45005" xr:uid="{00000000-0005-0000-0000-0000C5AF0000}"/>
    <cellStyle name="Heading 1 195" xfId="45006" xr:uid="{00000000-0005-0000-0000-0000C6AF0000}"/>
    <cellStyle name="Heading 1 195 2" xfId="45007" xr:uid="{00000000-0005-0000-0000-0000C7AF0000}"/>
    <cellStyle name="Heading 1 196" xfId="45008" xr:uid="{00000000-0005-0000-0000-0000C8AF0000}"/>
    <cellStyle name="Heading 1 196 2" xfId="45009" xr:uid="{00000000-0005-0000-0000-0000C9AF0000}"/>
    <cellStyle name="Heading 1 197" xfId="45010" xr:uid="{00000000-0005-0000-0000-0000CAAF0000}"/>
    <cellStyle name="Heading 1 197 2" xfId="45011" xr:uid="{00000000-0005-0000-0000-0000CBAF0000}"/>
    <cellStyle name="Heading 1 198" xfId="45012" xr:uid="{00000000-0005-0000-0000-0000CCAF0000}"/>
    <cellStyle name="Heading 1 198 2" xfId="45013" xr:uid="{00000000-0005-0000-0000-0000CDAF0000}"/>
    <cellStyle name="Heading 1 2" xfId="45014" xr:uid="{00000000-0005-0000-0000-0000CEAF0000}"/>
    <cellStyle name="Heading 1 2 2" xfId="45015" xr:uid="{00000000-0005-0000-0000-0000CFAF0000}"/>
    <cellStyle name="Heading 1 2 2 2" xfId="45016" xr:uid="{00000000-0005-0000-0000-0000D0AF0000}"/>
    <cellStyle name="Heading 1 2 2 2 2" xfId="45017" xr:uid="{00000000-0005-0000-0000-0000D1AF0000}"/>
    <cellStyle name="Heading 1 2 2 2 2 2" xfId="45018" xr:uid="{00000000-0005-0000-0000-0000D2AF0000}"/>
    <cellStyle name="Heading 1 2 2 2 2 2 2" xfId="45019" xr:uid="{00000000-0005-0000-0000-0000D3AF0000}"/>
    <cellStyle name="Heading 1 2 2 2 2 3" xfId="45020" xr:uid="{00000000-0005-0000-0000-0000D4AF0000}"/>
    <cellStyle name="Heading 1 2 2 2 3" xfId="45021" xr:uid="{00000000-0005-0000-0000-0000D5AF0000}"/>
    <cellStyle name="Heading 1 2 2 3" xfId="45022" xr:uid="{00000000-0005-0000-0000-0000D6AF0000}"/>
    <cellStyle name="Heading 1 2 2 3 2" xfId="45023" xr:uid="{00000000-0005-0000-0000-0000D7AF0000}"/>
    <cellStyle name="Heading 1 2 2 4" xfId="45024" xr:uid="{00000000-0005-0000-0000-0000D8AF0000}"/>
    <cellStyle name="Heading 1 2 2 4 2" xfId="45025" xr:uid="{00000000-0005-0000-0000-0000D9AF0000}"/>
    <cellStyle name="Heading 1 2 2 5" xfId="45026" xr:uid="{00000000-0005-0000-0000-0000DAAF0000}"/>
    <cellStyle name="Heading 1 2 3" xfId="45027" xr:uid="{00000000-0005-0000-0000-0000DBAF0000}"/>
    <cellStyle name="Heading 1 2 3 2" xfId="45028" xr:uid="{00000000-0005-0000-0000-0000DCAF0000}"/>
    <cellStyle name="Heading 1 2 4" xfId="45029" xr:uid="{00000000-0005-0000-0000-0000DDAF0000}"/>
    <cellStyle name="Heading 1 2 4 2" xfId="45030" xr:uid="{00000000-0005-0000-0000-0000DEAF0000}"/>
    <cellStyle name="Heading 1 2 5" xfId="45031" xr:uid="{00000000-0005-0000-0000-0000DFAF0000}"/>
    <cellStyle name="Heading 1 2 5 2" xfId="45032" xr:uid="{00000000-0005-0000-0000-0000E0AF0000}"/>
    <cellStyle name="Heading 1 2 6" xfId="45033" xr:uid="{00000000-0005-0000-0000-0000E1AF0000}"/>
    <cellStyle name="Heading 1 20" xfId="45034" xr:uid="{00000000-0005-0000-0000-0000E2AF0000}"/>
    <cellStyle name="Heading 1 20 2" xfId="45035" xr:uid="{00000000-0005-0000-0000-0000E3AF0000}"/>
    <cellStyle name="Heading 1 20 2 2" xfId="45036" xr:uid="{00000000-0005-0000-0000-0000E4AF0000}"/>
    <cellStyle name="Heading 1 20 3" xfId="45037" xr:uid="{00000000-0005-0000-0000-0000E5AF0000}"/>
    <cellStyle name="Heading 1 21" xfId="45038" xr:uid="{00000000-0005-0000-0000-0000E6AF0000}"/>
    <cellStyle name="Heading 1 21 2" xfId="45039" xr:uid="{00000000-0005-0000-0000-0000E7AF0000}"/>
    <cellStyle name="Heading 1 21 2 2" xfId="45040" xr:uid="{00000000-0005-0000-0000-0000E8AF0000}"/>
    <cellStyle name="Heading 1 21 3" xfId="45041" xr:uid="{00000000-0005-0000-0000-0000E9AF0000}"/>
    <cellStyle name="Heading 1 22" xfId="45042" xr:uid="{00000000-0005-0000-0000-0000EAAF0000}"/>
    <cellStyle name="Heading 1 22 2" xfId="45043" xr:uid="{00000000-0005-0000-0000-0000EBAF0000}"/>
    <cellStyle name="Heading 1 22 2 2" xfId="45044" xr:uid="{00000000-0005-0000-0000-0000ECAF0000}"/>
    <cellStyle name="Heading 1 22 3" xfId="45045" xr:uid="{00000000-0005-0000-0000-0000EDAF0000}"/>
    <cellStyle name="Heading 1 23" xfId="45046" xr:uid="{00000000-0005-0000-0000-0000EEAF0000}"/>
    <cellStyle name="Heading 1 23 2" xfId="45047" xr:uid="{00000000-0005-0000-0000-0000EFAF0000}"/>
    <cellStyle name="Heading 1 23 2 2" xfId="45048" xr:uid="{00000000-0005-0000-0000-0000F0AF0000}"/>
    <cellStyle name="Heading 1 23 3" xfId="45049" xr:uid="{00000000-0005-0000-0000-0000F1AF0000}"/>
    <cellStyle name="Heading 1 24" xfId="45050" xr:uid="{00000000-0005-0000-0000-0000F2AF0000}"/>
    <cellStyle name="Heading 1 24 2" xfId="45051" xr:uid="{00000000-0005-0000-0000-0000F3AF0000}"/>
    <cellStyle name="Heading 1 24 2 2" xfId="45052" xr:uid="{00000000-0005-0000-0000-0000F4AF0000}"/>
    <cellStyle name="Heading 1 24 3" xfId="45053" xr:uid="{00000000-0005-0000-0000-0000F5AF0000}"/>
    <cellStyle name="Heading 1 25" xfId="45054" xr:uid="{00000000-0005-0000-0000-0000F6AF0000}"/>
    <cellStyle name="Heading 1 25 2" xfId="45055" xr:uid="{00000000-0005-0000-0000-0000F7AF0000}"/>
    <cellStyle name="Heading 1 25 2 2" xfId="45056" xr:uid="{00000000-0005-0000-0000-0000F8AF0000}"/>
    <cellStyle name="Heading 1 25 3" xfId="45057" xr:uid="{00000000-0005-0000-0000-0000F9AF0000}"/>
    <cellStyle name="Heading 1 26" xfId="45058" xr:uid="{00000000-0005-0000-0000-0000FAAF0000}"/>
    <cellStyle name="Heading 1 26 2" xfId="45059" xr:uid="{00000000-0005-0000-0000-0000FBAF0000}"/>
    <cellStyle name="Heading 1 26 2 2" xfId="45060" xr:uid="{00000000-0005-0000-0000-0000FCAF0000}"/>
    <cellStyle name="Heading 1 26 3" xfId="45061" xr:uid="{00000000-0005-0000-0000-0000FDAF0000}"/>
    <cellStyle name="Heading 1 27" xfId="45062" xr:uid="{00000000-0005-0000-0000-0000FEAF0000}"/>
    <cellStyle name="Heading 1 27 2" xfId="45063" xr:uid="{00000000-0005-0000-0000-0000FFAF0000}"/>
    <cellStyle name="Heading 1 27 2 2" xfId="45064" xr:uid="{00000000-0005-0000-0000-000000B00000}"/>
    <cellStyle name="Heading 1 27 3" xfId="45065" xr:uid="{00000000-0005-0000-0000-000001B00000}"/>
    <cellStyle name="Heading 1 28" xfId="45066" xr:uid="{00000000-0005-0000-0000-000002B00000}"/>
    <cellStyle name="Heading 1 28 2" xfId="45067" xr:uid="{00000000-0005-0000-0000-000003B00000}"/>
    <cellStyle name="Heading 1 28 2 2" xfId="45068" xr:uid="{00000000-0005-0000-0000-000004B00000}"/>
    <cellStyle name="Heading 1 28 3" xfId="45069" xr:uid="{00000000-0005-0000-0000-000005B00000}"/>
    <cellStyle name="Heading 1 29" xfId="45070" xr:uid="{00000000-0005-0000-0000-000006B00000}"/>
    <cellStyle name="Heading 1 29 2" xfId="45071" xr:uid="{00000000-0005-0000-0000-000007B00000}"/>
    <cellStyle name="Heading 1 29 2 2" xfId="45072" xr:uid="{00000000-0005-0000-0000-000008B00000}"/>
    <cellStyle name="Heading 1 29 3" xfId="45073" xr:uid="{00000000-0005-0000-0000-000009B00000}"/>
    <cellStyle name="Heading 1 3" xfId="45074" xr:uid="{00000000-0005-0000-0000-00000AB00000}"/>
    <cellStyle name="Heading 1 3 2" xfId="45075" xr:uid="{00000000-0005-0000-0000-00000BB00000}"/>
    <cellStyle name="Heading 1 3 2 2" xfId="45076" xr:uid="{00000000-0005-0000-0000-00000CB00000}"/>
    <cellStyle name="Heading 1 3 3" xfId="45077" xr:uid="{00000000-0005-0000-0000-00000DB00000}"/>
    <cellStyle name="Heading 1 3 3 2" xfId="45078" xr:uid="{00000000-0005-0000-0000-00000EB00000}"/>
    <cellStyle name="Heading 1 3 4" xfId="45079" xr:uid="{00000000-0005-0000-0000-00000FB00000}"/>
    <cellStyle name="Heading 1 3 4 2" xfId="45080" xr:uid="{00000000-0005-0000-0000-000010B00000}"/>
    <cellStyle name="Heading 1 3 5" xfId="45081" xr:uid="{00000000-0005-0000-0000-000011B00000}"/>
    <cellStyle name="Heading 1 30" xfId="45082" xr:uid="{00000000-0005-0000-0000-000012B00000}"/>
    <cellStyle name="Heading 1 30 2" xfId="45083" xr:uid="{00000000-0005-0000-0000-000013B00000}"/>
    <cellStyle name="Heading 1 30 2 2" xfId="45084" xr:uid="{00000000-0005-0000-0000-000014B00000}"/>
    <cellStyle name="Heading 1 30 3" xfId="45085" xr:uid="{00000000-0005-0000-0000-000015B00000}"/>
    <cellStyle name="Heading 1 31" xfId="45086" xr:uid="{00000000-0005-0000-0000-000016B00000}"/>
    <cellStyle name="Heading 1 31 2" xfId="45087" xr:uid="{00000000-0005-0000-0000-000017B00000}"/>
    <cellStyle name="Heading 1 31 2 2" xfId="45088" xr:uid="{00000000-0005-0000-0000-000018B00000}"/>
    <cellStyle name="Heading 1 31 3" xfId="45089" xr:uid="{00000000-0005-0000-0000-000019B00000}"/>
    <cellStyle name="Heading 1 32" xfId="45090" xr:uid="{00000000-0005-0000-0000-00001AB00000}"/>
    <cellStyle name="Heading 1 32 2" xfId="45091" xr:uid="{00000000-0005-0000-0000-00001BB00000}"/>
    <cellStyle name="Heading 1 32 2 2" xfId="45092" xr:uid="{00000000-0005-0000-0000-00001CB00000}"/>
    <cellStyle name="Heading 1 32 3" xfId="45093" xr:uid="{00000000-0005-0000-0000-00001DB00000}"/>
    <cellStyle name="Heading 1 33" xfId="45094" xr:uid="{00000000-0005-0000-0000-00001EB00000}"/>
    <cellStyle name="Heading 1 33 2" xfId="45095" xr:uid="{00000000-0005-0000-0000-00001FB00000}"/>
    <cellStyle name="Heading 1 33 2 2" xfId="45096" xr:uid="{00000000-0005-0000-0000-000020B00000}"/>
    <cellStyle name="Heading 1 33 3" xfId="45097" xr:uid="{00000000-0005-0000-0000-000021B00000}"/>
    <cellStyle name="Heading 1 34" xfId="45098" xr:uid="{00000000-0005-0000-0000-000022B00000}"/>
    <cellStyle name="Heading 1 34 2" xfId="45099" xr:uid="{00000000-0005-0000-0000-000023B00000}"/>
    <cellStyle name="Heading 1 34 2 2" xfId="45100" xr:uid="{00000000-0005-0000-0000-000024B00000}"/>
    <cellStyle name="Heading 1 34 3" xfId="45101" xr:uid="{00000000-0005-0000-0000-000025B00000}"/>
    <cellStyle name="Heading 1 35" xfId="45102" xr:uid="{00000000-0005-0000-0000-000026B00000}"/>
    <cellStyle name="Heading 1 35 2" xfId="45103" xr:uid="{00000000-0005-0000-0000-000027B00000}"/>
    <cellStyle name="Heading 1 35 2 2" xfId="45104" xr:uid="{00000000-0005-0000-0000-000028B00000}"/>
    <cellStyle name="Heading 1 35 3" xfId="45105" xr:uid="{00000000-0005-0000-0000-000029B00000}"/>
    <cellStyle name="Heading 1 36" xfId="45106" xr:uid="{00000000-0005-0000-0000-00002AB00000}"/>
    <cellStyle name="Heading 1 36 2" xfId="45107" xr:uid="{00000000-0005-0000-0000-00002BB00000}"/>
    <cellStyle name="Heading 1 36 2 2" xfId="45108" xr:uid="{00000000-0005-0000-0000-00002CB00000}"/>
    <cellStyle name="Heading 1 36 3" xfId="45109" xr:uid="{00000000-0005-0000-0000-00002DB00000}"/>
    <cellStyle name="Heading 1 37" xfId="45110" xr:uid="{00000000-0005-0000-0000-00002EB00000}"/>
    <cellStyle name="Heading 1 37 2" xfId="45111" xr:uid="{00000000-0005-0000-0000-00002FB00000}"/>
    <cellStyle name="Heading 1 37 2 2" xfId="45112" xr:uid="{00000000-0005-0000-0000-000030B00000}"/>
    <cellStyle name="Heading 1 37 3" xfId="45113" xr:uid="{00000000-0005-0000-0000-000031B00000}"/>
    <cellStyle name="Heading 1 38" xfId="45114" xr:uid="{00000000-0005-0000-0000-000032B00000}"/>
    <cellStyle name="Heading 1 38 2" xfId="45115" xr:uid="{00000000-0005-0000-0000-000033B00000}"/>
    <cellStyle name="Heading 1 38 2 2" xfId="45116" xr:uid="{00000000-0005-0000-0000-000034B00000}"/>
    <cellStyle name="Heading 1 38 3" xfId="45117" xr:uid="{00000000-0005-0000-0000-000035B00000}"/>
    <cellStyle name="Heading 1 39" xfId="45118" xr:uid="{00000000-0005-0000-0000-000036B00000}"/>
    <cellStyle name="Heading 1 39 2" xfId="45119" xr:uid="{00000000-0005-0000-0000-000037B00000}"/>
    <cellStyle name="Heading 1 39 2 2" xfId="45120" xr:uid="{00000000-0005-0000-0000-000038B00000}"/>
    <cellStyle name="Heading 1 39 3" xfId="45121" xr:uid="{00000000-0005-0000-0000-000039B00000}"/>
    <cellStyle name="Heading 1 4" xfId="45122" xr:uid="{00000000-0005-0000-0000-00003AB00000}"/>
    <cellStyle name="Heading 1 4 2" xfId="45123" xr:uid="{00000000-0005-0000-0000-00003BB00000}"/>
    <cellStyle name="Heading 1 4 2 2" xfId="45124" xr:uid="{00000000-0005-0000-0000-00003CB00000}"/>
    <cellStyle name="Heading 1 4 3" xfId="45125" xr:uid="{00000000-0005-0000-0000-00003DB00000}"/>
    <cellStyle name="Heading 1 4 3 2" xfId="45126" xr:uid="{00000000-0005-0000-0000-00003EB00000}"/>
    <cellStyle name="Heading 1 4 4" xfId="45127" xr:uid="{00000000-0005-0000-0000-00003FB00000}"/>
    <cellStyle name="Heading 1 4 4 2" xfId="45128" xr:uid="{00000000-0005-0000-0000-000040B00000}"/>
    <cellStyle name="Heading 1 4 5" xfId="45129" xr:uid="{00000000-0005-0000-0000-000041B00000}"/>
    <cellStyle name="Heading 1 40" xfId="45130" xr:uid="{00000000-0005-0000-0000-000042B00000}"/>
    <cellStyle name="Heading 1 40 2" xfId="45131" xr:uid="{00000000-0005-0000-0000-000043B00000}"/>
    <cellStyle name="Heading 1 40 2 2" xfId="45132" xr:uid="{00000000-0005-0000-0000-000044B00000}"/>
    <cellStyle name="Heading 1 40 3" xfId="45133" xr:uid="{00000000-0005-0000-0000-000045B00000}"/>
    <cellStyle name="Heading 1 41" xfId="45134" xr:uid="{00000000-0005-0000-0000-000046B00000}"/>
    <cellStyle name="Heading 1 41 2" xfId="45135" xr:uid="{00000000-0005-0000-0000-000047B00000}"/>
    <cellStyle name="Heading 1 41 2 2" xfId="45136" xr:uid="{00000000-0005-0000-0000-000048B00000}"/>
    <cellStyle name="Heading 1 41 3" xfId="45137" xr:uid="{00000000-0005-0000-0000-000049B00000}"/>
    <cellStyle name="Heading 1 42" xfId="45138" xr:uid="{00000000-0005-0000-0000-00004AB00000}"/>
    <cellStyle name="Heading 1 42 2" xfId="45139" xr:uid="{00000000-0005-0000-0000-00004BB00000}"/>
    <cellStyle name="Heading 1 42 2 2" xfId="45140" xr:uid="{00000000-0005-0000-0000-00004CB00000}"/>
    <cellStyle name="Heading 1 42 3" xfId="45141" xr:uid="{00000000-0005-0000-0000-00004DB00000}"/>
    <cellStyle name="Heading 1 43" xfId="45142" xr:uid="{00000000-0005-0000-0000-00004EB00000}"/>
    <cellStyle name="Heading 1 43 2" xfId="45143" xr:uid="{00000000-0005-0000-0000-00004FB00000}"/>
    <cellStyle name="Heading 1 43 2 2" xfId="45144" xr:uid="{00000000-0005-0000-0000-000050B00000}"/>
    <cellStyle name="Heading 1 43 3" xfId="45145" xr:uid="{00000000-0005-0000-0000-000051B00000}"/>
    <cellStyle name="Heading 1 44" xfId="45146" xr:uid="{00000000-0005-0000-0000-000052B00000}"/>
    <cellStyle name="Heading 1 44 2" xfId="45147" xr:uid="{00000000-0005-0000-0000-000053B00000}"/>
    <cellStyle name="Heading 1 44 2 2" xfId="45148" xr:uid="{00000000-0005-0000-0000-000054B00000}"/>
    <cellStyle name="Heading 1 44 3" xfId="45149" xr:uid="{00000000-0005-0000-0000-000055B00000}"/>
    <cellStyle name="Heading 1 45" xfId="45150" xr:uid="{00000000-0005-0000-0000-000056B00000}"/>
    <cellStyle name="Heading 1 45 2" xfId="45151" xr:uid="{00000000-0005-0000-0000-000057B00000}"/>
    <cellStyle name="Heading 1 45 2 2" xfId="45152" xr:uid="{00000000-0005-0000-0000-000058B00000}"/>
    <cellStyle name="Heading 1 45 3" xfId="45153" xr:uid="{00000000-0005-0000-0000-000059B00000}"/>
    <cellStyle name="Heading 1 46" xfId="45154" xr:uid="{00000000-0005-0000-0000-00005AB00000}"/>
    <cellStyle name="Heading 1 46 2" xfId="45155" xr:uid="{00000000-0005-0000-0000-00005BB00000}"/>
    <cellStyle name="Heading 1 46 2 2" xfId="45156" xr:uid="{00000000-0005-0000-0000-00005CB00000}"/>
    <cellStyle name="Heading 1 46 3" xfId="45157" xr:uid="{00000000-0005-0000-0000-00005DB00000}"/>
    <cellStyle name="Heading 1 47" xfId="45158" xr:uid="{00000000-0005-0000-0000-00005EB00000}"/>
    <cellStyle name="Heading 1 47 2" xfId="45159" xr:uid="{00000000-0005-0000-0000-00005FB00000}"/>
    <cellStyle name="Heading 1 47 2 2" xfId="45160" xr:uid="{00000000-0005-0000-0000-000060B00000}"/>
    <cellStyle name="Heading 1 47 3" xfId="45161" xr:uid="{00000000-0005-0000-0000-000061B00000}"/>
    <cellStyle name="Heading 1 48" xfId="45162" xr:uid="{00000000-0005-0000-0000-000062B00000}"/>
    <cellStyle name="Heading 1 48 2" xfId="45163" xr:uid="{00000000-0005-0000-0000-000063B00000}"/>
    <cellStyle name="Heading 1 48 2 2" xfId="45164" xr:uid="{00000000-0005-0000-0000-000064B00000}"/>
    <cellStyle name="Heading 1 48 3" xfId="45165" xr:uid="{00000000-0005-0000-0000-000065B00000}"/>
    <cellStyle name="Heading 1 49" xfId="45166" xr:uid="{00000000-0005-0000-0000-000066B00000}"/>
    <cellStyle name="Heading 1 49 2" xfId="45167" xr:uid="{00000000-0005-0000-0000-000067B00000}"/>
    <cellStyle name="Heading 1 49 2 2" xfId="45168" xr:uid="{00000000-0005-0000-0000-000068B00000}"/>
    <cellStyle name="Heading 1 49 3" xfId="45169" xr:uid="{00000000-0005-0000-0000-000069B00000}"/>
    <cellStyle name="Heading 1 5" xfId="45170" xr:uid="{00000000-0005-0000-0000-00006AB00000}"/>
    <cellStyle name="Heading 1 5 2" xfId="45171" xr:uid="{00000000-0005-0000-0000-00006BB00000}"/>
    <cellStyle name="Heading 1 5 2 2" xfId="45172" xr:uid="{00000000-0005-0000-0000-00006CB00000}"/>
    <cellStyle name="Heading 1 5 3" xfId="45173" xr:uid="{00000000-0005-0000-0000-00006DB00000}"/>
    <cellStyle name="Heading 1 5 3 2" xfId="45174" xr:uid="{00000000-0005-0000-0000-00006EB00000}"/>
    <cellStyle name="Heading 1 5 4" xfId="45175" xr:uid="{00000000-0005-0000-0000-00006FB00000}"/>
    <cellStyle name="Heading 1 5 4 2" xfId="45176" xr:uid="{00000000-0005-0000-0000-000070B00000}"/>
    <cellStyle name="Heading 1 5 5" xfId="45177" xr:uid="{00000000-0005-0000-0000-000071B00000}"/>
    <cellStyle name="Heading 1 50" xfId="45178" xr:uid="{00000000-0005-0000-0000-000072B00000}"/>
    <cellStyle name="Heading 1 50 2" xfId="45179" xr:uid="{00000000-0005-0000-0000-000073B00000}"/>
    <cellStyle name="Heading 1 50 2 2" xfId="45180" xr:uid="{00000000-0005-0000-0000-000074B00000}"/>
    <cellStyle name="Heading 1 50 3" xfId="45181" xr:uid="{00000000-0005-0000-0000-000075B00000}"/>
    <cellStyle name="Heading 1 51" xfId="45182" xr:uid="{00000000-0005-0000-0000-000076B00000}"/>
    <cellStyle name="Heading 1 51 2" xfId="45183" xr:uid="{00000000-0005-0000-0000-000077B00000}"/>
    <cellStyle name="Heading 1 51 2 2" xfId="45184" xr:uid="{00000000-0005-0000-0000-000078B00000}"/>
    <cellStyle name="Heading 1 51 3" xfId="45185" xr:uid="{00000000-0005-0000-0000-000079B00000}"/>
    <cellStyle name="Heading 1 52" xfId="45186" xr:uid="{00000000-0005-0000-0000-00007AB00000}"/>
    <cellStyle name="Heading 1 52 2" xfId="45187" xr:uid="{00000000-0005-0000-0000-00007BB00000}"/>
    <cellStyle name="Heading 1 52 2 2" xfId="45188" xr:uid="{00000000-0005-0000-0000-00007CB00000}"/>
    <cellStyle name="Heading 1 52 3" xfId="45189" xr:uid="{00000000-0005-0000-0000-00007DB00000}"/>
    <cellStyle name="Heading 1 53" xfId="45190" xr:uid="{00000000-0005-0000-0000-00007EB00000}"/>
    <cellStyle name="Heading 1 53 2" xfId="45191" xr:uid="{00000000-0005-0000-0000-00007FB00000}"/>
    <cellStyle name="Heading 1 53 2 2" xfId="45192" xr:uid="{00000000-0005-0000-0000-000080B00000}"/>
    <cellStyle name="Heading 1 53 3" xfId="45193" xr:uid="{00000000-0005-0000-0000-000081B00000}"/>
    <cellStyle name="Heading 1 54" xfId="45194" xr:uid="{00000000-0005-0000-0000-000082B00000}"/>
    <cellStyle name="Heading 1 54 2" xfId="45195" xr:uid="{00000000-0005-0000-0000-000083B00000}"/>
    <cellStyle name="Heading 1 54 2 2" xfId="45196" xr:uid="{00000000-0005-0000-0000-000084B00000}"/>
    <cellStyle name="Heading 1 54 3" xfId="45197" xr:uid="{00000000-0005-0000-0000-000085B00000}"/>
    <cellStyle name="Heading 1 55" xfId="45198" xr:uid="{00000000-0005-0000-0000-000086B00000}"/>
    <cellStyle name="Heading 1 55 2" xfId="45199" xr:uid="{00000000-0005-0000-0000-000087B00000}"/>
    <cellStyle name="Heading 1 55 2 2" xfId="45200" xr:uid="{00000000-0005-0000-0000-000088B00000}"/>
    <cellStyle name="Heading 1 55 3" xfId="45201" xr:uid="{00000000-0005-0000-0000-000089B00000}"/>
    <cellStyle name="Heading 1 56" xfId="45202" xr:uid="{00000000-0005-0000-0000-00008AB00000}"/>
    <cellStyle name="Heading 1 56 2" xfId="45203" xr:uid="{00000000-0005-0000-0000-00008BB00000}"/>
    <cellStyle name="Heading 1 56 2 2" xfId="45204" xr:uid="{00000000-0005-0000-0000-00008CB00000}"/>
    <cellStyle name="Heading 1 56 3" xfId="45205" xr:uid="{00000000-0005-0000-0000-00008DB00000}"/>
    <cellStyle name="Heading 1 57" xfId="45206" xr:uid="{00000000-0005-0000-0000-00008EB00000}"/>
    <cellStyle name="Heading 1 57 2" xfId="45207" xr:uid="{00000000-0005-0000-0000-00008FB00000}"/>
    <cellStyle name="Heading 1 57 2 2" xfId="45208" xr:uid="{00000000-0005-0000-0000-000090B00000}"/>
    <cellStyle name="Heading 1 57 3" xfId="45209" xr:uid="{00000000-0005-0000-0000-000091B00000}"/>
    <cellStyle name="Heading 1 58" xfId="45210" xr:uid="{00000000-0005-0000-0000-000092B00000}"/>
    <cellStyle name="Heading 1 58 2" xfId="45211" xr:uid="{00000000-0005-0000-0000-000093B00000}"/>
    <cellStyle name="Heading 1 58 2 2" xfId="45212" xr:uid="{00000000-0005-0000-0000-000094B00000}"/>
    <cellStyle name="Heading 1 58 3" xfId="45213" xr:uid="{00000000-0005-0000-0000-000095B00000}"/>
    <cellStyle name="Heading 1 59" xfId="45214" xr:uid="{00000000-0005-0000-0000-000096B00000}"/>
    <cellStyle name="Heading 1 59 2" xfId="45215" xr:uid="{00000000-0005-0000-0000-000097B00000}"/>
    <cellStyle name="Heading 1 59 2 2" xfId="45216" xr:uid="{00000000-0005-0000-0000-000098B00000}"/>
    <cellStyle name="Heading 1 59 3" xfId="45217" xr:uid="{00000000-0005-0000-0000-000099B00000}"/>
    <cellStyle name="Heading 1 59 3 2" xfId="45218" xr:uid="{00000000-0005-0000-0000-00009AB00000}"/>
    <cellStyle name="Heading 1 59 4" xfId="45219" xr:uid="{00000000-0005-0000-0000-00009BB00000}"/>
    <cellStyle name="Heading 1 6" xfId="45220" xr:uid="{00000000-0005-0000-0000-00009CB00000}"/>
    <cellStyle name="Heading 1 6 2" xfId="45221" xr:uid="{00000000-0005-0000-0000-00009DB00000}"/>
    <cellStyle name="Heading 1 6 2 2" xfId="45222" xr:uid="{00000000-0005-0000-0000-00009EB00000}"/>
    <cellStyle name="Heading 1 6 3" xfId="45223" xr:uid="{00000000-0005-0000-0000-00009FB00000}"/>
    <cellStyle name="Heading 1 6 3 2" xfId="45224" xr:uid="{00000000-0005-0000-0000-0000A0B00000}"/>
    <cellStyle name="Heading 1 6 4" xfId="45225" xr:uid="{00000000-0005-0000-0000-0000A1B00000}"/>
    <cellStyle name="Heading 1 6 4 2" xfId="45226" xr:uid="{00000000-0005-0000-0000-0000A2B00000}"/>
    <cellStyle name="Heading 1 6 5" xfId="45227" xr:uid="{00000000-0005-0000-0000-0000A3B00000}"/>
    <cellStyle name="Heading 1 60" xfId="45228" xr:uid="{00000000-0005-0000-0000-0000A4B00000}"/>
    <cellStyle name="Heading 1 60 2" xfId="45229" xr:uid="{00000000-0005-0000-0000-0000A5B00000}"/>
    <cellStyle name="Heading 1 60 2 2" xfId="45230" xr:uid="{00000000-0005-0000-0000-0000A6B00000}"/>
    <cellStyle name="Heading 1 60 3" xfId="45231" xr:uid="{00000000-0005-0000-0000-0000A7B00000}"/>
    <cellStyle name="Heading 1 61" xfId="45232" xr:uid="{00000000-0005-0000-0000-0000A8B00000}"/>
    <cellStyle name="Heading 1 61 2" xfId="45233" xr:uid="{00000000-0005-0000-0000-0000A9B00000}"/>
    <cellStyle name="Heading 1 61 2 2" xfId="45234" xr:uid="{00000000-0005-0000-0000-0000AAB00000}"/>
    <cellStyle name="Heading 1 61 3" xfId="45235" xr:uid="{00000000-0005-0000-0000-0000ABB00000}"/>
    <cellStyle name="Heading 1 62" xfId="45236" xr:uid="{00000000-0005-0000-0000-0000ACB00000}"/>
    <cellStyle name="Heading 1 62 2" xfId="45237" xr:uid="{00000000-0005-0000-0000-0000ADB00000}"/>
    <cellStyle name="Heading 1 62 2 2" xfId="45238" xr:uid="{00000000-0005-0000-0000-0000AEB00000}"/>
    <cellStyle name="Heading 1 62 3" xfId="45239" xr:uid="{00000000-0005-0000-0000-0000AFB00000}"/>
    <cellStyle name="Heading 1 63" xfId="45240" xr:uid="{00000000-0005-0000-0000-0000B0B00000}"/>
    <cellStyle name="Heading 1 63 2" xfId="45241" xr:uid="{00000000-0005-0000-0000-0000B1B00000}"/>
    <cellStyle name="Heading 1 63 2 2" xfId="45242" xr:uid="{00000000-0005-0000-0000-0000B2B00000}"/>
    <cellStyle name="Heading 1 63 3" xfId="45243" xr:uid="{00000000-0005-0000-0000-0000B3B00000}"/>
    <cellStyle name="Heading 1 64" xfId="45244" xr:uid="{00000000-0005-0000-0000-0000B4B00000}"/>
    <cellStyle name="Heading 1 64 2" xfId="45245" xr:uid="{00000000-0005-0000-0000-0000B5B00000}"/>
    <cellStyle name="Heading 1 64 2 2" xfId="45246" xr:uid="{00000000-0005-0000-0000-0000B6B00000}"/>
    <cellStyle name="Heading 1 64 3" xfId="45247" xr:uid="{00000000-0005-0000-0000-0000B7B00000}"/>
    <cellStyle name="Heading 1 65" xfId="45248" xr:uid="{00000000-0005-0000-0000-0000B8B00000}"/>
    <cellStyle name="Heading 1 65 2" xfId="45249" xr:uid="{00000000-0005-0000-0000-0000B9B00000}"/>
    <cellStyle name="Heading 1 65 2 2" xfId="45250" xr:uid="{00000000-0005-0000-0000-0000BAB00000}"/>
    <cellStyle name="Heading 1 65 3" xfId="45251" xr:uid="{00000000-0005-0000-0000-0000BBB00000}"/>
    <cellStyle name="Heading 1 66" xfId="45252" xr:uid="{00000000-0005-0000-0000-0000BCB00000}"/>
    <cellStyle name="Heading 1 66 2" xfId="45253" xr:uid="{00000000-0005-0000-0000-0000BDB00000}"/>
    <cellStyle name="Heading 1 66 2 2" xfId="45254" xr:uid="{00000000-0005-0000-0000-0000BEB00000}"/>
    <cellStyle name="Heading 1 66 3" xfId="45255" xr:uid="{00000000-0005-0000-0000-0000BFB00000}"/>
    <cellStyle name="Heading 1 67" xfId="45256" xr:uid="{00000000-0005-0000-0000-0000C0B00000}"/>
    <cellStyle name="Heading 1 67 2" xfId="45257" xr:uid="{00000000-0005-0000-0000-0000C1B00000}"/>
    <cellStyle name="Heading 1 67 2 2" xfId="45258" xr:uid="{00000000-0005-0000-0000-0000C2B00000}"/>
    <cellStyle name="Heading 1 67 3" xfId="45259" xr:uid="{00000000-0005-0000-0000-0000C3B00000}"/>
    <cellStyle name="Heading 1 68" xfId="45260" xr:uid="{00000000-0005-0000-0000-0000C4B00000}"/>
    <cellStyle name="Heading 1 68 2" xfId="45261" xr:uid="{00000000-0005-0000-0000-0000C5B00000}"/>
    <cellStyle name="Heading 1 68 2 2" xfId="45262" xr:uid="{00000000-0005-0000-0000-0000C6B00000}"/>
    <cellStyle name="Heading 1 68 3" xfId="45263" xr:uid="{00000000-0005-0000-0000-0000C7B00000}"/>
    <cellStyle name="Heading 1 69" xfId="45264" xr:uid="{00000000-0005-0000-0000-0000C8B00000}"/>
    <cellStyle name="Heading 1 69 2" xfId="45265" xr:uid="{00000000-0005-0000-0000-0000C9B00000}"/>
    <cellStyle name="Heading 1 69 2 2" xfId="45266" xr:uid="{00000000-0005-0000-0000-0000CAB00000}"/>
    <cellStyle name="Heading 1 69 3" xfId="45267" xr:uid="{00000000-0005-0000-0000-0000CBB00000}"/>
    <cellStyle name="Heading 1 7" xfId="45268" xr:uid="{00000000-0005-0000-0000-0000CCB00000}"/>
    <cellStyle name="Heading 1 7 2" xfId="45269" xr:uid="{00000000-0005-0000-0000-0000CDB00000}"/>
    <cellStyle name="Heading 1 7 2 2" xfId="45270" xr:uid="{00000000-0005-0000-0000-0000CEB00000}"/>
    <cellStyle name="Heading 1 7 3" xfId="45271" xr:uid="{00000000-0005-0000-0000-0000CFB00000}"/>
    <cellStyle name="Heading 1 7 3 2" xfId="45272" xr:uid="{00000000-0005-0000-0000-0000D0B00000}"/>
    <cellStyle name="Heading 1 7 4" xfId="45273" xr:uid="{00000000-0005-0000-0000-0000D1B00000}"/>
    <cellStyle name="Heading 1 7 4 2" xfId="45274" xr:uid="{00000000-0005-0000-0000-0000D2B00000}"/>
    <cellStyle name="Heading 1 7 5" xfId="45275" xr:uid="{00000000-0005-0000-0000-0000D3B00000}"/>
    <cellStyle name="Heading 1 70" xfId="45276" xr:uid="{00000000-0005-0000-0000-0000D4B00000}"/>
    <cellStyle name="Heading 1 70 2" xfId="45277" xr:uid="{00000000-0005-0000-0000-0000D5B00000}"/>
    <cellStyle name="Heading 1 70 2 2" xfId="45278" xr:uid="{00000000-0005-0000-0000-0000D6B00000}"/>
    <cellStyle name="Heading 1 70 3" xfId="45279" xr:uid="{00000000-0005-0000-0000-0000D7B00000}"/>
    <cellStyle name="Heading 1 71" xfId="45280" xr:uid="{00000000-0005-0000-0000-0000D8B00000}"/>
    <cellStyle name="Heading 1 71 2" xfId="45281" xr:uid="{00000000-0005-0000-0000-0000D9B00000}"/>
    <cellStyle name="Heading 1 71 2 2" xfId="45282" xr:uid="{00000000-0005-0000-0000-0000DAB00000}"/>
    <cellStyle name="Heading 1 71 3" xfId="45283" xr:uid="{00000000-0005-0000-0000-0000DBB00000}"/>
    <cellStyle name="Heading 1 72" xfId="45284" xr:uid="{00000000-0005-0000-0000-0000DCB00000}"/>
    <cellStyle name="Heading 1 72 2" xfId="45285" xr:uid="{00000000-0005-0000-0000-0000DDB00000}"/>
    <cellStyle name="Heading 1 72 2 2" xfId="45286" xr:uid="{00000000-0005-0000-0000-0000DEB00000}"/>
    <cellStyle name="Heading 1 72 3" xfId="45287" xr:uid="{00000000-0005-0000-0000-0000DFB00000}"/>
    <cellStyle name="Heading 1 73" xfId="45288" xr:uid="{00000000-0005-0000-0000-0000E0B00000}"/>
    <cellStyle name="Heading 1 73 2" xfId="45289" xr:uid="{00000000-0005-0000-0000-0000E1B00000}"/>
    <cellStyle name="Heading 1 73 2 2" xfId="45290" xr:uid="{00000000-0005-0000-0000-0000E2B00000}"/>
    <cellStyle name="Heading 1 73 3" xfId="45291" xr:uid="{00000000-0005-0000-0000-0000E3B00000}"/>
    <cellStyle name="Heading 1 74" xfId="45292" xr:uid="{00000000-0005-0000-0000-0000E4B00000}"/>
    <cellStyle name="Heading 1 74 2" xfId="45293" xr:uid="{00000000-0005-0000-0000-0000E5B00000}"/>
    <cellStyle name="Heading 1 74 2 2" xfId="45294" xr:uid="{00000000-0005-0000-0000-0000E6B00000}"/>
    <cellStyle name="Heading 1 74 3" xfId="45295" xr:uid="{00000000-0005-0000-0000-0000E7B00000}"/>
    <cellStyle name="Heading 1 75" xfId="45296" xr:uid="{00000000-0005-0000-0000-0000E8B00000}"/>
    <cellStyle name="Heading 1 75 2" xfId="45297" xr:uid="{00000000-0005-0000-0000-0000E9B00000}"/>
    <cellStyle name="Heading 1 75 2 2" xfId="45298" xr:uid="{00000000-0005-0000-0000-0000EAB00000}"/>
    <cellStyle name="Heading 1 75 3" xfId="45299" xr:uid="{00000000-0005-0000-0000-0000EBB00000}"/>
    <cellStyle name="Heading 1 76" xfId="45300" xr:uid="{00000000-0005-0000-0000-0000ECB00000}"/>
    <cellStyle name="Heading 1 76 2" xfId="45301" xr:uid="{00000000-0005-0000-0000-0000EDB00000}"/>
    <cellStyle name="Heading 1 76 2 2" xfId="45302" xr:uid="{00000000-0005-0000-0000-0000EEB00000}"/>
    <cellStyle name="Heading 1 76 3" xfId="45303" xr:uid="{00000000-0005-0000-0000-0000EFB00000}"/>
    <cellStyle name="Heading 1 77" xfId="45304" xr:uid="{00000000-0005-0000-0000-0000F0B00000}"/>
    <cellStyle name="Heading 1 77 2" xfId="45305" xr:uid="{00000000-0005-0000-0000-0000F1B00000}"/>
    <cellStyle name="Heading 1 77 2 2" xfId="45306" xr:uid="{00000000-0005-0000-0000-0000F2B00000}"/>
    <cellStyle name="Heading 1 77 3" xfId="45307" xr:uid="{00000000-0005-0000-0000-0000F3B00000}"/>
    <cellStyle name="Heading 1 78" xfId="45308" xr:uid="{00000000-0005-0000-0000-0000F4B00000}"/>
    <cellStyle name="Heading 1 78 2" xfId="45309" xr:uid="{00000000-0005-0000-0000-0000F5B00000}"/>
    <cellStyle name="Heading 1 78 2 2" xfId="45310" xr:uid="{00000000-0005-0000-0000-0000F6B00000}"/>
    <cellStyle name="Heading 1 78 3" xfId="45311" xr:uid="{00000000-0005-0000-0000-0000F7B00000}"/>
    <cellStyle name="Heading 1 79" xfId="45312" xr:uid="{00000000-0005-0000-0000-0000F8B00000}"/>
    <cellStyle name="Heading 1 79 2" xfId="45313" xr:uid="{00000000-0005-0000-0000-0000F9B00000}"/>
    <cellStyle name="Heading 1 79 2 2" xfId="45314" xr:uid="{00000000-0005-0000-0000-0000FAB00000}"/>
    <cellStyle name="Heading 1 79 3" xfId="45315" xr:uid="{00000000-0005-0000-0000-0000FBB00000}"/>
    <cellStyle name="Heading 1 8" xfId="45316" xr:uid="{00000000-0005-0000-0000-0000FCB00000}"/>
    <cellStyle name="Heading 1 8 2" xfId="45317" xr:uid="{00000000-0005-0000-0000-0000FDB00000}"/>
    <cellStyle name="Heading 1 8 2 2" xfId="45318" xr:uid="{00000000-0005-0000-0000-0000FEB00000}"/>
    <cellStyle name="Heading 1 8 3" xfId="45319" xr:uid="{00000000-0005-0000-0000-0000FFB00000}"/>
    <cellStyle name="Heading 1 8 3 2" xfId="45320" xr:uid="{00000000-0005-0000-0000-000000B10000}"/>
    <cellStyle name="Heading 1 8 4" xfId="45321" xr:uid="{00000000-0005-0000-0000-000001B10000}"/>
    <cellStyle name="Heading 1 8 4 2" xfId="45322" xr:uid="{00000000-0005-0000-0000-000002B10000}"/>
    <cellStyle name="Heading 1 8 5" xfId="45323" xr:uid="{00000000-0005-0000-0000-000003B10000}"/>
    <cellStyle name="Heading 1 80" xfId="45324" xr:uid="{00000000-0005-0000-0000-000004B10000}"/>
    <cellStyle name="Heading 1 80 2" xfId="45325" xr:uid="{00000000-0005-0000-0000-000005B10000}"/>
    <cellStyle name="Heading 1 80 2 2" xfId="45326" xr:uid="{00000000-0005-0000-0000-000006B10000}"/>
    <cellStyle name="Heading 1 80 3" xfId="45327" xr:uid="{00000000-0005-0000-0000-000007B10000}"/>
    <cellStyle name="Heading 1 81" xfId="45328" xr:uid="{00000000-0005-0000-0000-000008B10000}"/>
    <cellStyle name="Heading 1 81 2" xfId="45329" xr:uid="{00000000-0005-0000-0000-000009B10000}"/>
    <cellStyle name="Heading 1 81 2 2" xfId="45330" xr:uid="{00000000-0005-0000-0000-00000AB10000}"/>
    <cellStyle name="Heading 1 81 3" xfId="45331" xr:uid="{00000000-0005-0000-0000-00000BB10000}"/>
    <cellStyle name="Heading 1 82" xfId="45332" xr:uid="{00000000-0005-0000-0000-00000CB10000}"/>
    <cellStyle name="Heading 1 82 2" xfId="45333" xr:uid="{00000000-0005-0000-0000-00000DB10000}"/>
    <cellStyle name="Heading 1 82 2 2" xfId="45334" xr:uid="{00000000-0005-0000-0000-00000EB10000}"/>
    <cellStyle name="Heading 1 82 3" xfId="45335" xr:uid="{00000000-0005-0000-0000-00000FB10000}"/>
    <cellStyle name="Heading 1 83" xfId="45336" xr:uid="{00000000-0005-0000-0000-000010B10000}"/>
    <cellStyle name="Heading 1 83 2" xfId="45337" xr:uid="{00000000-0005-0000-0000-000011B10000}"/>
    <cellStyle name="Heading 1 83 2 2" xfId="45338" xr:uid="{00000000-0005-0000-0000-000012B10000}"/>
    <cellStyle name="Heading 1 83 3" xfId="45339" xr:uid="{00000000-0005-0000-0000-000013B10000}"/>
    <cellStyle name="Heading 1 84" xfId="45340" xr:uid="{00000000-0005-0000-0000-000014B10000}"/>
    <cellStyle name="Heading 1 84 2" xfId="45341" xr:uid="{00000000-0005-0000-0000-000015B10000}"/>
    <cellStyle name="Heading 1 84 2 2" xfId="45342" xr:uid="{00000000-0005-0000-0000-000016B10000}"/>
    <cellStyle name="Heading 1 84 3" xfId="45343" xr:uid="{00000000-0005-0000-0000-000017B10000}"/>
    <cellStyle name="Heading 1 85" xfId="45344" xr:uid="{00000000-0005-0000-0000-000018B10000}"/>
    <cellStyle name="Heading 1 85 2" xfId="45345" xr:uid="{00000000-0005-0000-0000-000019B10000}"/>
    <cellStyle name="Heading 1 85 2 2" xfId="45346" xr:uid="{00000000-0005-0000-0000-00001AB10000}"/>
    <cellStyle name="Heading 1 85 3" xfId="45347" xr:uid="{00000000-0005-0000-0000-00001BB10000}"/>
    <cellStyle name="Heading 1 86" xfId="45348" xr:uid="{00000000-0005-0000-0000-00001CB10000}"/>
    <cellStyle name="Heading 1 86 2" xfId="45349" xr:uid="{00000000-0005-0000-0000-00001DB10000}"/>
    <cellStyle name="Heading 1 86 2 2" xfId="45350" xr:uid="{00000000-0005-0000-0000-00001EB10000}"/>
    <cellStyle name="Heading 1 86 3" xfId="45351" xr:uid="{00000000-0005-0000-0000-00001FB10000}"/>
    <cellStyle name="Heading 1 87" xfId="45352" xr:uid="{00000000-0005-0000-0000-000020B10000}"/>
    <cellStyle name="Heading 1 87 2" xfId="45353" xr:uid="{00000000-0005-0000-0000-000021B10000}"/>
    <cellStyle name="Heading 1 87 2 2" xfId="45354" xr:uid="{00000000-0005-0000-0000-000022B10000}"/>
    <cellStyle name="Heading 1 87 3" xfId="45355" xr:uid="{00000000-0005-0000-0000-000023B10000}"/>
    <cellStyle name="Heading 1 88" xfId="45356" xr:uid="{00000000-0005-0000-0000-000024B10000}"/>
    <cellStyle name="Heading 1 88 2" xfId="45357" xr:uid="{00000000-0005-0000-0000-000025B10000}"/>
    <cellStyle name="Heading 1 88 2 2" xfId="45358" xr:uid="{00000000-0005-0000-0000-000026B10000}"/>
    <cellStyle name="Heading 1 88 3" xfId="45359" xr:uid="{00000000-0005-0000-0000-000027B10000}"/>
    <cellStyle name="Heading 1 89" xfId="45360" xr:uid="{00000000-0005-0000-0000-000028B10000}"/>
    <cellStyle name="Heading 1 89 2" xfId="45361" xr:uid="{00000000-0005-0000-0000-000029B10000}"/>
    <cellStyle name="Heading 1 89 2 2" xfId="45362" xr:uid="{00000000-0005-0000-0000-00002AB10000}"/>
    <cellStyle name="Heading 1 89 3" xfId="45363" xr:uid="{00000000-0005-0000-0000-00002BB10000}"/>
    <cellStyle name="Heading 1 9" xfId="45364" xr:uid="{00000000-0005-0000-0000-00002CB10000}"/>
    <cellStyle name="Heading 1 9 2" xfId="45365" xr:uid="{00000000-0005-0000-0000-00002DB10000}"/>
    <cellStyle name="Heading 1 9 2 2" xfId="45366" xr:uid="{00000000-0005-0000-0000-00002EB10000}"/>
    <cellStyle name="Heading 1 9 3" xfId="45367" xr:uid="{00000000-0005-0000-0000-00002FB10000}"/>
    <cellStyle name="Heading 1 9 3 2" xfId="45368" xr:uid="{00000000-0005-0000-0000-000030B10000}"/>
    <cellStyle name="Heading 1 9 4" xfId="45369" xr:uid="{00000000-0005-0000-0000-000031B10000}"/>
    <cellStyle name="Heading 1 9 4 2" xfId="45370" xr:uid="{00000000-0005-0000-0000-000032B10000}"/>
    <cellStyle name="Heading 1 9 5" xfId="45371" xr:uid="{00000000-0005-0000-0000-000033B10000}"/>
    <cellStyle name="Heading 1 90" xfId="45372" xr:uid="{00000000-0005-0000-0000-000034B10000}"/>
    <cellStyle name="Heading 1 90 2" xfId="45373" xr:uid="{00000000-0005-0000-0000-000035B10000}"/>
    <cellStyle name="Heading 1 90 2 2" xfId="45374" xr:uid="{00000000-0005-0000-0000-000036B10000}"/>
    <cellStyle name="Heading 1 90 3" xfId="45375" xr:uid="{00000000-0005-0000-0000-000037B10000}"/>
    <cellStyle name="Heading 1 91" xfId="45376" xr:uid="{00000000-0005-0000-0000-000038B10000}"/>
    <cellStyle name="Heading 1 91 2" xfId="45377" xr:uid="{00000000-0005-0000-0000-000039B10000}"/>
    <cellStyle name="Heading 1 91 2 2" xfId="45378" xr:uid="{00000000-0005-0000-0000-00003AB10000}"/>
    <cellStyle name="Heading 1 91 3" xfId="45379" xr:uid="{00000000-0005-0000-0000-00003BB10000}"/>
    <cellStyle name="Heading 1 92" xfId="45380" xr:uid="{00000000-0005-0000-0000-00003CB10000}"/>
    <cellStyle name="Heading 1 92 2" xfId="45381" xr:uid="{00000000-0005-0000-0000-00003DB10000}"/>
    <cellStyle name="Heading 1 92 2 2" xfId="45382" xr:uid="{00000000-0005-0000-0000-00003EB10000}"/>
    <cellStyle name="Heading 1 92 3" xfId="45383" xr:uid="{00000000-0005-0000-0000-00003FB10000}"/>
    <cellStyle name="Heading 1 93" xfId="45384" xr:uid="{00000000-0005-0000-0000-000040B10000}"/>
    <cellStyle name="Heading 1 93 2" xfId="45385" xr:uid="{00000000-0005-0000-0000-000041B10000}"/>
    <cellStyle name="Heading 1 93 2 2" xfId="45386" xr:uid="{00000000-0005-0000-0000-000042B10000}"/>
    <cellStyle name="Heading 1 93 3" xfId="45387" xr:uid="{00000000-0005-0000-0000-000043B10000}"/>
    <cellStyle name="Heading 1 94" xfId="45388" xr:uid="{00000000-0005-0000-0000-000044B10000}"/>
    <cellStyle name="Heading 1 94 2" xfId="45389" xr:uid="{00000000-0005-0000-0000-000045B10000}"/>
    <cellStyle name="Heading 1 94 2 2" xfId="45390" xr:uid="{00000000-0005-0000-0000-000046B10000}"/>
    <cellStyle name="Heading 1 94 3" xfId="45391" xr:uid="{00000000-0005-0000-0000-000047B10000}"/>
    <cellStyle name="Heading 1 95" xfId="45392" xr:uid="{00000000-0005-0000-0000-000048B10000}"/>
    <cellStyle name="Heading 1 95 2" xfId="45393" xr:uid="{00000000-0005-0000-0000-000049B10000}"/>
    <cellStyle name="Heading 1 95 2 2" xfId="45394" xr:uid="{00000000-0005-0000-0000-00004AB10000}"/>
    <cellStyle name="Heading 1 95 3" xfId="45395" xr:uid="{00000000-0005-0000-0000-00004BB10000}"/>
    <cellStyle name="Heading 1 96" xfId="45396" xr:uid="{00000000-0005-0000-0000-00004CB10000}"/>
    <cellStyle name="Heading 1 96 2" xfId="45397" xr:uid="{00000000-0005-0000-0000-00004DB10000}"/>
    <cellStyle name="Heading 1 96 2 2" xfId="45398" xr:uid="{00000000-0005-0000-0000-00004EB10000}"/>
    <cellStyle name="Heading 1 96 3" xfId="45399" xr:uid="{00000000-0005-0000-0000-00004FB10000}"/>
    <cellStyle name="Heading 1 97" xfId="45400" xr:uid="{00000000-0005-0000-0000-000050B10000}"/>
    <cellStyle name="Heading 1 97 2" xfId="45401" xr:uid="{00000000-0005-0000-0000-000051B10000}"/>
    <cellStyle name="Heading 1 97 2 2" xfId="45402" xr:uid="{00000000-0005-0000-0000-000052B10000}"/>
    <cellStyle name="Heading 1 97 3" xfId="45403" xr:uid="{00000000-0005-0000-0000-000053B10000}"/>
    <cellStyle name="Heading 1 98" xfId="45404" xr:uid="{00000000-0005-0000-0000-000054B10000}"/>
    <cellStyle name="Heading 1 98 2" xfId="45405" xr:uid="{00000000-0005-0000-0000-000055B10000}"/>
    <cellStyle name="Heading 1 98 2 2" xfId="45406" xr:uid="{00000000-0005-0000-0000-000056B10000}"/>
    <cellStyle name="Heading 1 98 3" xfId="45407" xr:uid="{00000000-0005-0000-0000-000057B10000}"/>
    <cellStyle name="Heading 1 99" xfId="45408" xr:uid="{00000000-0005-0000-0000-000058B10000}"/>
    <cellStyle name="Heading 1 99 2" xfId="45409" xr:uid="{00000000-0005-0000-0000-000059B10000}"/>
    <cellStyle name="Heading 1 99 2 2" xfId="45410" xr:uid="{00000000-0005-0000-0000-00005AB10000}"/>
    <cellStyle name="Heading 1 99 3" xfId="45411" xr:uid="{00000000-0005-0000-0000-00005BB10000}"/>
    <cellStyle name="heading 10" xfId="45412" xr:uid="{00000000-0005-0000-0000-00005CB10000}"/>
    <cellStyle name="heading 10 2" xfId="45413" xr:uid="{00000000-0005-0000-0000-00005DB10000}"/>
    <cellStyle name="heading 11" xfId="45414" xr:uid="{00000000-0005-0000-0000-00005EB10000}"/>
    <cellStyle name="heading 11 2" xfId="45415" xr:uid="{00000000-0005-0000-0000-00005FB10000}"/>
    <cellStyle name="heading 12" xfId="45416" xr:uid="{00000000-0005-0000-0000-000060B10000}"/>
    <cellStyle name="heading 12 2" xfId="45417" xr:uid="{00000000-0005-0000-0000-000061B10000}"/>
    <cellStyle name="heading 13" xfId="45418" xr:uid="{00000000-0005-0000-0000-000062B10000}"/>
    <cellStyle name="heading 13 2" xfId="45419" xr:uid="{00000000-0005-0000-0000-000063B10000}"/>
    <cellStyle name="heading 14" xfId="45420" xr:uid="{00000000-0005-0000-0000-000064B10000}"/>
    <cellStyle name="heading 14 2" xfId="45421" xr:uid="{00000000-0005-0000-0000-000065B10000}"/>
    <cellStyle name="heading 15" xfId="45422" xr:uid="{00000000-0005-0000-0000-000066B10000}"/>
    <cellStyle name="heading 15 2" xfId="45423" xr:uid="{00000000-0005-0000-0000-000067B10000}"/>
    <cellStyle name="heading 16" xfId="45424" xr:uid="{00000000-0005-0000-0000-000068B10000}"/>
    <cellStyle name="heading 16 2" xfId="45425" xr:uid="{00000000-0005-0000-0000-000069B10000}"/>
    <cellStyle name="heading 17" xfId="45426" xr:uid="{00000000-0005-0000-0000-00006AB10000}"/>
    <cellStyle name="heading 18" xfId="45427" xr:uid="{00000000-0005-0000-0000-00006BB10000}"/>
    <cellStyle name="Heading 2 10" xfId="45428" xr:uid="{00000000-0005-0000-0000-00006CB10000}"/>
    <cellStyle name="Heading 2 10 2" xfId="45429" xr:uid="{00000000-0005-0000-0000-00006DB10000}"/>
    <cellStyle name="Heading 2 10 2 2" xfId="45430" xr:uid="{00000000-0005-0000-0000-00006EB10000}"/>
    <cellStyle name="Heading 2 10 3" xfId="45431" xr:uid="{00000000-0005-0000-0000-00006FB10000}"/>
    <cellStyle name="Heading 2 100" xfId="45432" xr:uid="{00000000-0005-0000-0000-000070B10000}"/>
    <cellStyle name="Heading 2 100 2" xfId="45433" xr:uid="{00000000-0005-0000-0000-000071B10000}"/>
    <cellStyle name="Heading 2 100 2 2" xfId="45434" xr:uid="{00000000-0005-0000-0000-000072B10000}"/>
    <cellStyle name="Heading 2 100 3" xfId="45435" xr:uid="{00000000-0005-0000-0000-000073B10000}"/>
    <cellStyle name="Heading 2 101" xfId="45436" xr:uid="{00000000-0005-0000-0000-000074B10000}"/>
    <cellStyle name="Heading 2 101 2" xfId="45437" xr:uid="{00000000-0005-0000-0000-000075B10000}"/>
    <cellStyle name="Heading 2 101 2 2" xfId="45438" xr:uid="{00000000-0005-0000-0000-000076B10000}"/>
    <cellStyle name="Heading 2 101 3" xfId="45439" xr:uid="{00000000-0005-0000-0000-000077B10000}"/>
    <cellStyle name="Heading 2 102" xfId="45440" xr:uid="{00000000-0005-0000-0000-000078B10000}"/>
    <cellStyle name="Heading 2 102 2" xfId="45441" xr:uid="{00000000-0005-0000-0000-000079B10000}"/>
    <cellStyle name="Heading 2 102 2 2" xfId="45442" xr:uid="{00000000-0005-0000-0000-00007AB10000}"/>
    <cellStyle name="Heading 2 102 3" xfId="45443" xr:uid="{00000000-0005-0000-0000-00007BB10000}"/>
    <cellStyle name="Heading 2 103" xfId="45444" xr:uid="{00000000-0005-0000-0000-00007CB10000}"/>
    <cellStyle name="Heading 2 103 2" xfId="45445" xr:uid="{00000000-0005-0000-0000-00007DB10000}"/>
    <cellStyle name="Heading 2 103 2 2" xfId="45446" xr:uid="{00000000-0005-0000-0000-00007EB10000}"/>
    <cellStyle name="Heading 2 103 3" xfId="45447" xr:uid="{00000000-0005-0000-0000-00007FB10000}"/>
    <cellStyle name="Heading 2 104" xfId="45448" xr:uid="{00000000-0005-0000-0000-000080B10000}"/>
    <cellStyle name="Heading 2 104 2" xfId="45449" xr:uid="{00000000-0005-0000-0000-000081B10000}"/>
    <cellStyle name="Heading 2 104 2 2" xfId="45450" xr:uid="{00000000-0005-0000-0000-000082B10000}"/>
    <cellStyle name="Heading 2 104 3" xfId="45451" xr:uid="{00000000-0005-0000-0000-000083B10000}"/>
    <cellStyle name="Heading 2 105" xfId="45452" xr:uid="{00000000-0005-0000-0000-000084B10000}"/>
    <cellStyle name="Heading 2 105 2" xfId="45453" xr:uid="{00000000-0005-0000-0000-000085B10000}"/>
    <cellStyle name="Heading 2 105 2 2" xfId="45454" xr:uid="{00000000-0005-0000-0000-000086B10000}"/>
    <cellStyle name="Heading 2 105 3" xfId="45455" xr:uid="{00000000-0005-0000-0000-000087B10000}"/>
    <cellStyle name="Heading 2 106" xfId="45456" xr:uid="{00000000-0005-0000-0000-000088B10000}"/>
    <cellStyle name="Heading 2 106 2" xfId="45457" xr:uid="{00000000-0005-0000-0000-000089B10000}"/>
    <cellStyle name="Heading 2 106 2 2" xfId="45458" xr:uid="{00000000-0005-0000-0000-00008AB10000}"/>
    <cellStyle name="Heading 2 106 3" xfId="45459" xr:uid="{00000000-0005-0000-0000-00008BB10000}"/>
    <cellStyle name="Heading 2 107" xfId="45460" xr:uid="{00000000-0005-0000-0000-00008CB10000}"/>
    <cellStyle name="Heading 2 107 2" xfId="45461" xr:uid="{00000000-0005-0000-0000-00008DB10000}"/>
    <cellStyle name="Heading 2 107 2 2" xfId="45462" xr:uid="{00000000-0005-0000-0000-00008EB10000}"/>
    <cellStyle name="Heading 2 107 3" xfId="45463" xr:uid="{00000000-0005-0000-0000-00008FB10000}"/>
    <cellStyle name="Heading 2 108" xfId="45464" xr:uid="{00000000-0005-0000-0000-000090B10000}"/>
    <cellStyle name="Heading 2 108 2" xfId="45465" xr:uid="{00000000-0005-0000-0000-000091B10000}"/>
    <cellStyle name="Heading 2 108 2 2" xfId="45466" xr:uid="{00000000-0005-0000-0000-000092B10000}"/>
    <cellStyle name="Heading 2 108 3" xfId="45467" xr:uid="{00000000-0005-0000-0000-000093B10000}"/>
    <cellStyle name="Heading 2 109" xfId="45468" xr:uid="{00000000-0005-0000-0000-000094B10000}"/>
    <cellStyle name="Heading 2 109 2" xfId="45469" xr:uid="{00000000-0005-0000-0000-000095B10000}"/>
    <cellStyle name="Heading 2 109 2 2" xfId="45470" xr:uid="{00000000-0005-0000-0000-000096B10000}"/>
    <cellStyle name="Heading 2 109 3" xfId="45471" xr:uid="{00000000-0005-0000-0000-000097B10000}"/>
    <cellStyle name="Heading 2 11" xfId="45472" xr:uid="{00000000-0005-0000-0000-000098B10000}"/>
    <cellStyle name="Heading 2 11 2" xfId="45473" xr:uid="{00000000-0005-0000-0000-000099B10000}"/>
    <cellStyle name="Heading 2 11 2 2" xfId="45474" xr:uid="{00000000-0005-0000-0000-00009AB10000}"/>
    <cellStyle name="Heading 2 11 3" xfId="45475" xr:uid="{00000000-0005-0000-0000-00009BB10000}"/>
    <cellStyle name="Heading 2 110" xfId="45476" xr:uid="{00000000-0005-0000-0000-00009CB10000}"/>
    <cellStyle name="Heading 2 110 2" xfId="45477" xr:uid="{00000000-0005-0000-0000-00009DB10000}"/>
    <cellStyle name="Heading 2 110 2 2" xfId="45478" xr:uid="{00000000-0005-0000-0000-00009EB10000}"/>
    <cellStyle name="Heading 2 110 3" xfId="45479" xr:uid="{00000000-0005-0000-0000-00009FB10000}"/>
    <cellStyle name="Heading 2 111" xfId="45480" xr:uid="{00000000-0005-0000-0000-0000A0B10000}"/>
    <cellStyle name="Heading 2 111 2" xfId="45481" xr:uid="{00000000-0005-0000-0000-0000A1B10000}"/>
    <cellStyle name="Heading 2 111 2 2" xfId="45482" xr:uid="{00000000-0005-0000-0000-0000A2B10000}"/>
    <cellStyle name="Heading 2 111 3" xfId="45483" xr:uid="{00000000-0005-0000-0000-0000A3B10000}"/>
    <cellStyle name="Heading 2 112" xfId="45484" xr:uid="{00000000-0005-0000-0000-0000A4B10000}"/>
    <cellStyle name="Heading 2 112 2" xfId="45485" xr:uid="{00000000-0005-0000-0000-0000A5B10000}"/>
    <cellStyle name="Heading 2 112 2 2" xfId="45486" xr:uid="{00000000-0005-0000-0000-0000A6B10000}"/>
    <cellStyle name="Heading 2 112 3" xfId="45487" xr:uid="{00000000-0005-0000-0000-0000A7B10000}"/>
    <cellStyle name="Heading 2 113" xfId="45488" xr:uid="{00000000-0005-0000-0000-0000A8B10000}"/>
    <cellStyle name="Heading 2 113 2" xfId="45489" xr:uid="{00000000-0005-0000-0000-0000A9B10000}"/>
    <cellStyle name="Heading 2 113 2 2" xfId="45490" xr:uid="{00000000-0005-0000-0000-0000AAB10000}"/>
    <cellStyle name="Heading 2 113 3" xfId="45491" xr:uid="{00000000-0005-0000-0000-0000ABB10000}"/>
    <cellStyle name="Heading 2 114" xfId="45492" xr:uid="{00000000-0005-0000-0000-0000ACB10000}"/>
    <cellStyle name="Heading 2 114 2" xfId="45493" xr:uid="{00000000-0005-0000-0000-0000ADB10000}"/>
    <cellStyle name="Heading 2 114 2 2" xfId="45494" xr:uid="{00000000-0005-0000-0000-0000AEB10000}"/>
    <cellStyle name="Heading 2 114 3" xfId="45495" xr:uid="{00000000-0005-0000-0000-0000AFB10000}"/>
    <cellStyle name="Heading 2 115" xfId="45496" xr:uid="{00000000-0005-0000-0000-0000B0B10000}"/>
    <cellStyle name="Heading 2 115 2" xfId="45497" xr:uid="{00000000-0005-0000-0000-0000B1B10000}"/>
    <cellStyle name="Heading 2 115 2 2" xfId="45498" xr:uid="{00000000-0005-0000-0000-0000B2B10000}"/>
    <cellStyle name="Heading 2 115 3" xfId="45499" xr:uid="{00000000-0005-0000-0000-0000B3B10000}"/>
    <cellStyle name="Heading 2 116" xfId="45500" xr:uid="{00000000-0005-0000-0000-0000B4B10000}"/>
    <cellStyle name="Heading 2 116 2" xfId="45501" xr:uid="{00000000-0005-0000-0000-0000B5B10000}"/>
    <cellStyle name="Heading 2 116 2 2" xfId="45502" xr:uid="{00000000-0005-0000-0000-0000B6B10000}"/>
    <cellStyle name="Heading 2 116 3" xfId="45503" xr:uid="{00000000-0005-0000-0000-0000B7B10000}"/>
    <cellStyle name="Heading 2 117" xfId="45504" xr:uid="{00000000-0005-0000-0000-0000B8B10000}"/>
    <cellStyle name="Heading 2 117 2" xfId="45505" xr:uid="{00000000-0005-0000-0000-0000B9B10000}"/>
    <cellStyle name="Heading 2 117 2 2" xfId="45506" xr:uid="{00000000-0005-0000-0000-0000BAB10000}"/>
    <cellStyle name="Heading 2 117 3" xfId="45507" xr:uid="{00000000-0005-0000-0000-0000BBB10000}"/>
    <cellStyle name="Heading 2 118" xfId="45508" xr:uid="{00000000-0005-0000-0000-0000BCB10000}"/>
    <cellStyle name="Heading 2 118 2" xfId="45509" xr:uid="{00000000-0005-0000-0000-0000BDB10000}"/>
    <cellStyle name="Heading 2 118 2 2" xfId="45510" xr:uid="{00000000-0005-0000-0000-0000BEB10000}"/>
    <cellStyle name="Heading 2 118 3" xfId="45511" xr:uid="{00000000-0005-0000-0000-0000BFB10000}"/>
    <cellStyle name="Heading 2 119" xfId="45512" xr:uid="{00000000-0005-0000-0000-0000C0B10000}"/>
    <cellStyle name="Heading 2 119 2" xfId="45513" xr:uid="{00000000-0005-0000-0000-0000C1B10000}"/>
    <cellStyle name="Heading 2 119 2 2" xfId="45514" xr:uid="{00000000-0005-0000-0000-0000C2B10000}"/>
    <cellStyle name="Heading 2 119 3" xfId="45515" xr:uid="{00000000-0005-0000-0000-0000C3B10000}"/>
    <cellStyle name="Heading 2 12" xfId="45516" xr:uid="{00000000-0005-0000-0000-0000C4B10000}"/>
    <cellStyle name="Heading 2 12 2" xfId="45517" xr:uid="{00000000-0005-0000-0000-0000C5B10000}"/>
    <cellStyle name="Heading 2 12 2 2" xfId="45518" xr:uid="{00000000-0005-0000-0000-0000C6B10000}"/>
    <cellStyle name="Heading 2 12 3" xfId="45519" xr:uid="{00000000-0005-0000-0000-0000C7B10000}"/>
    <cellStyle name="Heading 2 120" xfId="45520" xr:uid="{00000000-0005-0000-0000-0000C8B10000}"/>
    <cellStyle name="Heading 2 120 2" xfId="45521" xr:uid="{00000000-0005-0000-0000-0000C9B10000}"/>
    <cellStyle name="Heading 2 120 2 2" xfId="45522" xr:uid="{00000000-0005-0000-0000-0000CAB10000}"/>
    <cellStyle name="Heading 2 120 3" xfId="45523" xr:uid="{00000000-0005-0000-0000-0000CBB10000}"/>
    <cellStyle name="Heading 2 121" xfId="45524" xr:uid="{00000000-0005-0000-0000-0000CCB10000}"/>
    <cellStyle name="Heading 2 121 2" xfId="45525" xr:uid="{00000000-0005-0000-0000-0000CDB10000}"/>
    <cellStyle name="Heading 2 121 2 2" xfId="45526" xr:uid="{00000000-0005-0000-0000-0000CEB10000}"/>
    <cellStyle name="Heading 2 121 3" xfId="45527" xr:uid="{00000000-0005-0000-0000-0000CFB10000}"/>
    <cellStyle name="Heading 2 122" xfId="45528" xr:uid="{00000000-0005-0000-0000-0000D0B10000}"/>
    <cellStyle name="Heading 2 122 2" xfId="45529" xr:uid="{00000000-0005-0000-0000-0000D1B10000}"/>
    <cellStyle name="Heading 2 122 2 2" xfId="45530" xr:uid="{00000000-0005-0000-0000-0000D2B10000}"/>
    <cellStyle name="Heading 2 122 3" xfId="45531" xr:uid="{00000000-0005-0000-0000-0000D3B10000}"/>
    <cellStyle name="Heading 2 123" xfId="45532" xr:uid="{00000000-0005-0000-0000-0000D4B10000}"/>
    <cellStyle name="Heading 2 123 2" xfId="45533" xr:uid="{00000000-0005-0000-0000-0000D5B10000}"/>
    <cellStyle name="Heading 2 123 2 2" xfId="45534" xr:uid="{00000000-0005-0000-0000-0000D6B10000}"/>
    <cellStyle name="Heading 2 123 3" xfId="45535" xr:uid="{00000000-0005-0000-0000-0000D7B10000}"/>
    <cellStyle name="Heading 2 124" xfId="45536" xr:uid="{00000000-0005-0000-0000-0000D8B10000}"/>
    <cellStyle name="Heading 2 124 2" xfId="45537" xr:uid="{00000000-0005-0000-0000-0000D9B10000}"/>
    <cellStyle name="Heading 2 124 2 2" xfId="45538" xr:uid="{00000000-0005-0000-0000-0000DAB10000}"/>
    <cellStyle name="Heading 2 124 3" xfId="45539" xr:uid="{00000000-0005-0000-0000-0000DBB10000}"/>
    <cellStyle name="Heading 2 125" xfId="45540" xr:uid="{00000000-0005-0000-0000-0000DCB10000}"/>
    <cellStyle name="Heading 2 125 2" xfId="45541" xr:uid="{00000000-0005-0000-0000-0000DDB10000}"/>
    <cellStyle name="Heading 2 125 2 2" xfId="45542" xr:uid="{00000000-0005-0000-0000-0000DEB10000}"/>
    <cellStyle name="Heading 2 125 3" xfId="45543" xr:uid="{00000000-0005-0000-0000-0000DFB10000}"/>
    <cellStyle name="Heading 2 126" xfId="45544" xr:uid="{00000000-0005-0000-0000-0000E0B10000}"/>
    <cellStyle name="Heading 2 126 2" xfId="45545" xr:uid="{00000000-0005-0000-0000-0000E1B10000}"/>
    <cellStyle name="Heading 2 126 2 2" xfId="45546" xr:uid="{00000000-0005-0000-0000-0000E2B10000}"/>
    <cellStyle name="Heading 2 126 3" xfId="45547" xr:uid="{00000000-0005-0000-0000-0000E3B10000}"/>
    <cellStyle name="Heading 2 127" xfId="45548" xr:uid="{00000000-0005-0000-0000-0000E4B10000}"/>
    <cellStyle name="Heading 2 127 2" xfId="45549" xr:uid="{00000000-0005-0000-0000-0000E5B10000}"/>
    <cellStyle name="Heading 2 127 2 2" xfId="45550" xr:uid="{00000000-0005-0000-0000-0000E6B10000}"/>
    <cellStyle name="Heading 2 127 3" xfId="45551" xr:uid="{00000000-0005-0000-0000-0000E7B10000}"/>
    <cellStyle name="Heading 2 128" xfId="45552" xr:uid="{00000000-0005-0000-0000-0000E8B10000}"/>
    <cellStyle name="Heading 2 128 2" xfId="45553" xr:uid="{00000000-0005-0000-0000-0000E9B10000}"/>
    <cellStyle name="Heading 2 128 2 2" xfId="45554" xr:uid="{00000000-0005-0000-0000-0000EAB10000}"/>
    <cellStyle name="Heading 2 128 3" xfId="45555" xr:uid="{00000000-0005-0000-0000-0000EBB10000}"/>
    <cellStyle name="Heading 2 129" xfId="45556" xr:uid="{00000000-0005-0000-0000-0000ECB10000}"/>
    <cellStyle name="Heading 2 129 2" xfId="45557" xr:uid="{00000000-0005-0000-0000-0000EDB10000}"/>
    <cellStyle name="Heading 2 129 2 2" xfId="45558" xr:uid="{00000000-0005-0000-0000-0000EEB10000}"/>
    <cellStyle name="Heading 2 129 3" xfId="45559" xr:uid="{00000000-0005-0000-0000-0000EFB10000}"/>
    <cellStyle name="Heading 2 13" xfId="45560" xr:uid="{00000000-0005-0000-0000-0000F0B10000}"/>
    <cellStyle name="Heading 2 13 2" xfId="45561" xr:uid="{00000000-0005-0000-0000-0000F1B10000}"/>
    <cellStyle name="Heading 2 13 2 2" xfId="45562" xr:uid="{00000000-0005-0000-0000-0000F2B10000}"/>
    <cellStyle name="Heading 2 13 3" xfId="45563" xr:uid="{00000000-0005-0000-0000-0000F3B10000}"/>
    <cellStyle name="Heading 2 130" xfId="45564" xr:uid="{00000000-0005-0000-0000-0000F4B10000}"/>
    <cellStyle name="Heading 2 130 2" xfId="45565" xr:uid="{00000000-0005-0000-0000-0000F5B10000}"/>
    <cellStyle name="Heading 2 130 2 2" xfId="45566" xr:uid="{00000000-0005-0000-0000-0000F6B10000}"/>
    <cellStyle name="Heading 2 130 3" xfId="45567" xr:uid="{00000000-0005-0000-0000-0000F7B10000}"/>
    <cellStyle name="Heading 2 131" xfId="45568" xr:uid="{00000000-0005-0000-0000-0000F8B10000}"/>
    <cellStyle name="Heading 2 131 2" xfId="45569" xr:uid="{00000000-0005-0000-0000-0000F9B10000}"/>
    <cellStyle name="Heading 2 131 2 2" xfId="45570" xr:uid="{00000000-0005-0000-0000-0000FAB10000}"/>
    <cellStyle name="Heading 2 131 3" xfId="45571" xr:uid="{00000000-0005-0000-0000-0000FBB10000}"/>
    <cellStyle name="Heading 2 132" xfId="45572" xr:uid="{00000000-0005-0000-0000-0000FCB10000}"/>
    <cellStyle name="Heading 2 132 2" xfId="45573" xr:uid="{00000000-0005-0000-0000-0000FDB10000}"/>
    <cellStyle name="Heading 2 132 2 2" xfId="45574" xr:uid="{00000000-0005-0000-0000-0000FEB10000}"/>
    <cellStyle name="Heading 2 132 3" xfId="45575" xr:uid="{00000000-0005-0000-0000-0000FFB10000}"/>
    <cellStyle name="Heading 2 133" xfId="45576" xr:uid="{00000000-0005-0000-0000-000000B20000}"/>
    <cellStyle name="Heading 2 133 2" xfId="45577" xr:uid="{00000000-0005-0000-0000-000001B20000}"/>
    <cellStyle name="Heading 2 133 2 2" xfId="45578" xr:uid="{00000000-0005-0000-0000-000002B20000}"/>
    <cellStyle name="Heading 2 133 3" xfId="45579" xr:uid="{00000000-0005-0000-0000-000003B20000}"/>
    <cellStyle name="Heading 2 134" xfId="45580" xr:uid="{00000000-0005-0000-0000-000004B20000}"/>
    <cellStyle name="Heading 2 134 2" xfId="45581" xr:uid="{00000000-0005-0000-0000-000005B20000}"/>
    <cellStyle name="Heading 2 134 2 2" xfId="45582" xr:uid="{00000000-0005-0000-0000-000006B20000}"/>
    <cellStyle name="Heading 2 134 3" xfId="45583" xr:uid="{00000000-0005-0000-0000-000007B20000}"/>
    <cellStyle name="Heading 2 135" xfId="45584" xr:uid="{00000000-0005-0000-0000-000008B20000}"/>
    <cellStyle name="Heading 2 135 2" xfId="45585" xr:uid="{00000000-0005-0000-0000-000009B20000}"/>
    <cellStyle name="Heading 2 135 2 2" xfId="45586" xr:uid="{00000000-0005-0000-0000-00000AB20000}"/>
    <cellStyle name="Heading 2 135 3" xfId="45587" xr:uid="{00000000-0005-0000-0000-00000BB20000}"/>
    <cellStyle name="Heading 2 136" xfId="45588" xr:uid="{00000000-0005-0000-0000-00000CB20000}"/>
    <cellStyle name="Heading 2 136 2" xfId="45589" xr:uid="{00000000-0005-0000-0000-00000DB20000}"/>
    <cellStyle name="Heading 2 136 2 2" xfId="45590" xr:uid="{00000000-0005-0000-0000-00000EB20000}"/>
    <cellStyle name="Heading 2 136 3" xfId="45591" xr:uid="{00000000-0005-0000-0000-00000FB20000}"/>
    <cellStyle name="Heading 2 137" xfId="45592" xr:uid="{00000000-0005-0000-0000-000010B20000}"/>
    <cellStyle name="Heading 2 137 2" xfId="45593" xr:uid="{00000000-0005-0000-0000-000011B20000}"/>
    <cellStyle name="Heading 2 137 2 2" xfId="45594" xr:uid="{00000000-0005-0000-0000-000012B20000}"/>
    <cellStyle name="Heading 2 137 3" xfId="45595" xr:uid="{00000000-0005-0000-0000-000013B20000}"/>
    <cellStyle name="Heading 2 138" xfId="45596" xr:uid="{00000000-0005-0000-0000-000014B20000}"/>
    <cellStyle name="Heading 2 138 2" xfId="45597" xr:uid="{00000000-0005-0000-0000-000015B20000}"/>
    <cellStyle name="Heading 2 138 2 2" xfId="45598" xr:uid="{00000000-0005-0000-0000-000016B20000}"/>
    <cellStyle name="Heading 2 138 3" xfId="45599" xr:uid="{00000000-0005-0000-0000-000017B20000}"/>
    <cellStyle name="Heading 2 139" xfId="45600" xr:uid="{00000000-0005-0000-0000-000018B20000}"/>
    <cellStyle name="Heading 2 139 2" xfId="45601" xr:uid="{00000000-0005-0000-0000-000019B20000}"/>
    <cellStyle name="Heading 2 139 2 2" xfId="45602" xr:uid="{00000000-0005-0000-0000-00001AB20000}"/>
    <cellStyle name="Heading 2 139 3" xfId="45603" xr:uid="{00000000-0005-0000-0000-00001BB20000}"/>
    <cellStyle name="Heading 2 14" xfId="45604" xr:uid="{00000000-0005-0000-0000-00001CB20000}"/>
    <cellStyle name="Heading 2 14 2" xfId="45605" xr:uid="{00000000-0005-0000-0000-00001DB20000}"/>
    <cellStyle name="Heading 2 14 2 2" xfId="45606" xr:uid="{00000000-0005-0000-0000-00001EB20000}"/>
    <cellStyle name="Heading 2 14 3" xfId="45607" xr:uid="{00000000-0005-0000-0000-00001FB20000}"/>
    <cellStyle name="Heading 2 140" xfId="45608" xr:uid="{00000000-0005-0000-0000-000020B20000}"/>
    <cellStyle name="Heading 2 140 2" xfId="45609" xr:uid="{00000000-0005-0000-0000-000021B20000}"/>
    <cellStyle name="Heading 2 140 2 2" xfId="45610" xr:uid="{00000000-0005-0000-0000-000022B20000}"/>
    <cellStyle name="Heading 2 140 3" xfId="45611" xr:uid="{00000000-0005-0000-0000-000023B20000}"/>
    <cellStyle name="Heading 2 141" xfId="45612" xr:uid="{00000000-0005-0000-0000-000024B20000}"/>
    <cellStyle name="Heading 2 141 2" xfId="45613" xr:uid="{00000000-0005-0000-0000-000025B20000}"/>
    <cellStyle name="Heading 2 141 2 2" xfId="45614" xr:uid="{00000000-0005-0000-0000-000026B20000}"/>
    <cellStyle name="Heading 2 141 3" xfId="45615" xr:uid="{00000000-0005-0000-0000-000027B20000}"/>
    <cellStyle name="Heading 2 142" xfId="45616" xr:uid="{00000000-0005-0000-0000-000028B20000}"/>
    <cellStyle name="Heading 2 142 2" xfId="45617" xr:uid="{00000000-0005-0000-0000-000029B20000}"/>
    <cellStyle name="Heading 2 142 2 2" xfId="45618" xr:uid="{00000000-0005-0000-0000-00002AB20000}"/>
    <cellStyle name="Heading 2 142 3" xfId="45619" xr:uid="{00000000-0005-0000-0000-00002BB20000}"/>
    <cellStyle name="Heading 2 143" xfId="45620" xr:uid="{00000000-0005-0000-0000-00002CB20000}"/>
    <cellStyle name="Heading 2 143 2" xfId="45621" xr:uid="{00000000-0005-0000-0000-00002DB20000}"/>
    <cellStyle name="Heading 2 143 2 2" xfId="45622" xr:uid="{00000000-0005-0000-0000-00002EB20000}"/>
    <cellStyle name="Heading 2 143 3" xfId="45623" xr:uid="{00000000-0005-0000-0000-00002FB20000}"/>
    <cellStyle name="Heading 2 144" xfId="45624" xr:uid="{00000000-0005-0000-0000-000030B20000}"/>
    <cellStyle name="Heading 2 144 2" xfId="45625" xr:uid="{00000000-0005-0000-0000-000031B20000}"/>
    <cellStyle name="Heading 2 144 2 2" xfId="45626" xr:uid="{00000000-0005-0000-0000-000032B20000}"/>
    <cellStyle name="Heading 2 144 3" xfId="45627" xr:uid="{00000000-0005-0000-0000-000033B20000}"/>
    <cellStyle name="Heading 2 145" xfId="45628" xr:uid="{00000000-0005-0000-0000-000034B20000}"/>
    <cellStyle name="Heading 2 145 2" xfId="45629" xr:uid="{00000000-0005-0000-0000-000035B20000}"/>
    <cellStyle name="Heading 2 145 2 2" xfId="45630" xr:uid="{00000000-0005-0000-0000-000036B20000}"/>
    <cellStyle name="Heading 2 145 3" xfId="45631" xr:uid="{00000000-0005-0000-0000-000037B20000}"/>
    <cellStyle name="Heading 2 146" xfId="45632" xr:uid="{00000000-0005-0000-0000-000038B20000}"/>
    <cellStyle name="Heading 2 146 2" xfId="45633" xr:uid="{00000000-0005-0000-0000-000039B20000}"/>
    <cellStyle name="Heading 2 146 2 2" xfId="45634" xr:uid="{00000000-0005-0000-0000-00003AB20000}"/>
    <cellStyle name="Heading 2 146 3" xfId="45635" xr:uid="{00000000-0005-0000-0000-00003BB20000}"/>
    <cellStyle name="Heading 2 147" xfId="45636" xr:uid="{00000000-0005-0000-0000-00003CB20000}"/>
    <cellStyle name="Heading 2 147 2" xfId="45637" xr:uid="{00000000-0005-0000-0000-00003DB20000}"/>
    <cellStyle name="Heading 2 147 2 2" xfId="45638" xr:uid="{00000000-0005-0000-0000-00003EB20000}"/>
    <cellStyle name="Heading 2 147 3" xfId="45639" xr:uid="{00000000-0005-0000-0000-00003FB20000}"/>
    <cellStyle name="Heading 2 148" xfId="45640" xr:uid="{00000000-0005-0000-0000-000040B20000}"/>
    <cellStyle name="Heading 2 148 2" xfId="45641" xr:uid="{00000000-0005-0000-0000-000041B20000}"/>
    <cellStyle name="Heading 2 148 2 2" xfId="45642" xr:uid="{00000000-0005-0000-0000-000042B20000}"/>
    <cellStyle name="Heading 2 148 3" xfId="45643" xr:uid="{00000000-0005-0000-0000-000043B20000}"/>
    <cellStyle name="Heading 2 149" xfId="45644" xr:uid="{00000000-0005-0000-0000-000044B20000}"/>
    <cellStyle name="Heading 2 149 2" xfId="45645" xr:uid="{00000000-0005-0000-0000-000045B20000}"/>
    <cellStyle name="Heading 2 149 2 2" xfId="45646" xr:uid="{00000000-0005-0000-0000-000046B20000}"/>
    <cellStyle name="Heading 2 149 3" xfId="45647" xr:uid="{00000000-0005-0000-0000-000047B20000}"/>
    <cellStyle name="Heading 2 15" xfId="45648" xr:uid="{00000000-0005-0000-0000-000048B20000}"/>
    <cellStyle name="Heading 2 15 2" xfId="45649" xr:uid="{00000000-0005-0000-0000-000049B20000}"/>
    <cellStyle name="Heading 2 15 2 2" xfId="45650" xr:uid="{00000000-0005-0000-0000-00004AB20000}"/>
    <cellStyle name="Heading 2 15 3" xfId="45651" xr:uid="{00000000-0005-0000-0000-00004BB20000}"/>
    <cellStyle name="Heading 2 150" xfId="45652" xr:uid="{00000000-0005-0000-0000-00004CB20000}"/>
    <cellStyle name="Heading 2 150 2" xfId="45653" xr:uid="{00000000-0005-0000-0000-00004DB20000}"/>
    <cellStyle name="Heading 2 150 2 2" xfId="45654" xr:uid="{00000000-0005-0000-0000-00004EB20000}"/>
    <cellStyle name="Heading 2 150 3" xfId="45655" xr:uid="{00000000-0005-0000-0000-00004FB20000}"/>
    <cellStyle name="Heading 2 151" xfId="45656" xr:uid="{00000000-0005-0000-0000-000050B20000}"/>
    <cellStyle name="Heading 2 151 2" xfId="45657" xr:uid="{00000000-0005-0000-0000-000051B20000}"/>
    <cellStyle name="Heading 2 151 2 2" xfId="45658" xr:uid="{00000000-0005-0000-0000-000052B20000}"/>
    <cellStyle name="Heading 2 151 3" xfId="45659" xr:uid="{00000000-0005-0000-0000-000053B20000}"/>
    <cellStyle name="Heading 2 152" xfId="45660" xr:uid="{00000000-0005-0000-0000-000054B20000}"/>
    <cellStyle name="Heading 2 152 2" xfId="45661" xr:uid="{00000000-0005-0000-0000-000055B20000}"/>
    <cellStyle name="Heading 2 152 2 2" xfId="45662" xr:uid="{00000000-0005-0000-0000-000056B20000}"/>
    <cellStyle name="Heading 2 152 3" xfId="45663" xr:uid="{00000000-0005-0000-0000-000057B20000}"/>
    <cellStyle name="Heading 2 153" xfId="45664" xr:uid="{00000000-0005-0000-0000-000058B20000}"/>
    <cellStyle name="Heading 2 153 2" xfId="45665" xr:uid="{00000000-0005-0000-0000-000059B20000}"/>
    <cellStyle name="Heading 2 153 2 2" xfId="45666" xr:uid="{00000000-0005-0000-0000-00005AB20000}"/>
    <cellStyle name="Heading 2 153 3" xfId="45667" xr:uid="{00000000-0005-0000-0000-00005BB20000}"/>
    <cellStyle name="Heading 2 154" xfId="45668" xr:uid="{00000000-0005-0000-0000-00005CB20000}"/>
    <cellStyle name="Heading 2 154 2" xfId="45669" xr:uid="{00000000-0005-0000-0000-00005DB20000}"/>
    <cellStyle name="Heading 2 154 2 2" xfId="45670" xr:uid="{00000000-0005-0000-0000-00005EB20000}"/>
    <cellStyle name="Heading 2 154 3" xfId="45671" xr:uid="{00000000-0005-0000-0000-00005FB20000}"/>
    <cellStyle name="Heading 2 155" xfId="45672" xr:uid="{00000000-0005-0000-0000-000060B20000}"/>
    <cellStyle name="Heading 2 155 2" xfId="45673" xr:uid="{00000000-0005-0000-0000-000061B20000}"/>
    <cellStyle name="Heading 2 155 2 2" xfId="45674" xr:uid="{00000000-0005-0000-0000-000062B20000}"/>
    <cellStyle name="Heading 2 155 3" xfId="45675" xr:uid="{00000000-0005-0000-0000-000063B20000}"/>
    <cellStyle name="Heading 2 156" xfId="45676" xr:uid="{00000000-0005-0000-0000-000064B20000}"/>
    <cellStyle name="Heading 2 156 2" xfId="45677" xr:uid="{00000000-0005-0000-0000-000065B20000}"/>
    <cellStyle name="Heading 2 156 2 2" xfId="45678" xr:uid="{00000000-0005-0000-0000-000066B20000}"/>
    <cellStyle name="Heading 2 156 3" xfId="45679" xr:uid="{00000000-0005-0000-0000-000067B20000}"/>
    <cellStyle name="Heading 2 157" xfId="45680" xr:uid="{00000000-0005-0000-0000-000068B20000}"/>
    <cellStyle name="Heading 2 157 2" xfId="45681" xr:uid="{00000000-0005-0000-0000-000069B20000}"/>
    <cellStyle name="Heading 2 157 2 2" xfId="45682" xr:uid="{00000000-0005-0000-0000-00006AB20000}"/>
    <cellStyle name="Heading 2 157 3" xfId="45683" xr:uid="{00000000-0005-0000-0000-00006BB20000}"/>
    <cellStyle name="Heading 2 158" xfId="45684" xr:uid="{00000000-0005-0000-0000-00006CB20000}"/>
    <cellStyle name="Heading 2 158 2" xfId="45685" xr:uid="{00000000-0005-0000-0000-00006DB20000}"/>
    <cellStyle name="Heading 2 158 2 2" xfId="45686" xr:uid="{00000000-0005-0000-0000-00006EB20000}"/>
    <cellStyle name="Heading 2 158 3" xfId="45687" xr:uid="{00000000-0005-0000-0000-00006FB20000}"/>
    <cellStyle name="Heading 2 159" xfId="45688" xr:uid="{00000000-0005-0000-0000-000070B20000}"/>
    <cellStyle name="Heading 2 159 2" xfId="45689" xr:uid="{00000000-0005-0000-0000-000071B20000}"/>
    <cellStyle name="Heading 2 16" xfId="45690" xr:uid="{00000000-0005-0000-0000-000072B20000}"/>
    <cellStyle name="Heading 2 16 2" xfId="45691" xr:uid="{00000000-0005-0000-0000-000073B20000}"/>
    <cellStyle name="Heading 2 16 2 2" xfId="45692" xr:uid="{00000000-0005-0000-0000-000074B20000}"/>
    <cellStyle name="Heading 2 16 3" xfId="45693" xr:uid="{00000000-0005-0000-0000-000075B20000}"/>
    <cellStyle name="Heading 2 160" xfId="45694" xr:uid="{00000000-0005-0000-0000-000076B20000}"/>
    <cellStyle name="Heading 2 160 2" xfId="45695" xr:uid="{00000000-0005-0000-0000-000077B20000}"/>
    <cellStyle name="Heading 2 161" xfId="45696" xr:uid="{00000000-0005-0000-0000-000078B20000}"/>
    <cellStyle name="Heading 2 161 2" xfId="45697" xr:uid="{00000000-0005-0000-0000-000079B20000}"/>
    <cellStyle name="Heading 2 162" xfId="45698" xr:uid="{00000000-0005-0000-0000-00007AB20000}"/>
    <cellStyle name="Heading 2 162 2" xfId="45699" xr:uid="{00000000-0005-0000-0000-00007BB20000}"/>
    <cellStyle name="Heading 2 163" xfId="45700" xr:uid="{00000000-0005-0000-0000-00007CB20000}"/>
    <cellStyle name="Heading 2 163 2" xfId="45701" xr:uid="{00000000-0005-0000-0000-00007DB20000}"/>
    <cellStyle name="Heading 2 164" xfId="45702" xr:uid="{00000000-0005-0000-0000-00007EB20000}"/>
    <cellStyle name="Heading 2 164 2" xfId="45703" xr:uid="{00000000-0005-0000-0000-00007FB20000}"/>
    <cellStyle name="Heading 2 165" xfId="45704" xr:uid="{00000000-0005-0000-0000-000080B20000}"/>
    <cellStyle name="Heading 2 165 2" xfId="45705" xr:uid="{00000000-0005-0000-0000-000081B20000}"/>
    <cellStyle name="Heading 2 166" xfId="45706" xr:uid="{00000000-0005-0000-0000-000082B20000}"/>
    <cellStyle name="Heading 2 166 2" xfId="45707" xr:uid="{00000000-0005-0000-0000-000083B20000}"/>
    <cellStyle name="Heading 2 167" xfId="45708" xr:uid="{00000000-0005-0000-0000-000084B20000}"/>
    <cellStyle name="Heading 2 167 2" xfId="45709" xr:uid="{00000000-0005-0000-0000-000085B20000}"/>
    <cellStyle name="Heading 2 168" xfId="45710" xr:uid="{00000000-0005-0000-0000-000086B20000}"/>
    <cellStyle name="Heading 2 168 2" xfId="45711" xr:uid="{00000000-0005-0000-0000-000087B20000}"/>
    <cellStyle name="Heading 2 169" xfId="45712" xr:uid="{00000000-0005-0000-0000-000088B20000}"/>
    <cellStyle name="Heading 2 169 2" xfId="45713" xr:uid="{00000000-0005-0000-0000-000089B20000}"/>
    <cellStyle name="Heading 2 17" xfId="45714" xr:uid="{00000000-0005-0000-0000-00008AB20000}"/>
    <cellStyle name="Heading 2 17 2" xfId="45715" xr:uid="{00000000-0005-0000-0000-00008BB20000}"/>
    <cellStyle name="Heading 2 17 2 2" xfId="45716" xr:uid="{00000000-0005-0000-0000-00008CB20000}"/>
    <cellStyle name="Heading 2 17 3" xfId="45717" xr:uid="{00000000-0005-0000-0000-00008DB20000}"/>
    <cellStyle name="Heading 2 170" xfId="45718" xr:uid="{00000000-0005-0000-0000-00008EB20000}"/>
    <cellStyle name="Heading 2 170 2" xfId="45719" xr:uid="{00000000-0005-0000-0000-00008FB20000}"/>
    <cellStyle name="Heading 2 171" xfId="45720" xr:uid="{00000000-0005-0000-0000-000090B20000}"/>
    <cellStyle name="Heading 2 171 2" xfId="45721" xr:uid="{00000000-0005-0000-0000-000091B20000}"/>
    <cellStyle name="Heading 2 172" xfId="45722" xr:uid="{00000000-0005-0000-0000-000092B20000}"/>
    <cellStyle name="Heading 2 172 2" xfId="45723" xr:uid="{00000000-0005-0000-0000-000093B20000}"/>
    <cellStyle name="Heading 2 173" xfId="45724" xr:uid="{00000000-0005-0000-0000-000094B20000}"/>
    <cellStyle name="Heading 2 173 2" xfId="45725" xr:uid="{00000000-0005-0000-0000-000095B20000}"/>
    <cellStyle name="Heading 2 174" xfId="45726" xr:uid="{00000000-0005-0000-0000-000096B20000}"/>
    <cellStyle name="Heading 2 174 2" xfId="45727" xr:uid="{00000000-0005-0000-0000-000097B20000}"/>
    <cellStyle name="Heading 2 175" xfId="45728" xr:uid="{00000000-0005-0000-0000-000098B20000}"/>
    <cellStyle name="Heading 2 175 2" xfId="45729" xr:uid="{00000000-0005-0000-0000-000099B20000}"/>
    <cellStyle name="Heading 2 176" xfId="45730" xr:uid="{00000000-0005-0000-0000-00009AB20000}"/>
    <cellStyle name="Heading 2 176 2" xfId="45731" xr:uid="{00000000-0005-0000-0000-00009BB20000}"/>
    <cellStyle name="Heading 2 177" xfId="45732" xr:uid="{00000000-0005-0000-0000-00009CB20000}"/>
    <cellStyle name="Heading 2 177 2" xfId="45733" xr:uid="{00000000-0005-0000-0000-00009DB20000}"/>
    <cellStyle name="Heading 2 178" xfId="45734" xr:uid="{00000000-0005-0000-0000-00009EB20000}"/>
    <cellStyle name="Heading 2 178 2" xfId="45735" xr:uid="{00000000-0005-0000-0000-00009FB20000}"/>
    <cellStyle name="Heading 2 179" xfId="45736" xr:uid="{00000000-0005-0000-0000-0000A0B20000}"/>
    <cellStyle name="Heading 2 179 2" xfId="45737" xr:uid="{00000000-0005-0000-0000-0000A1B20000}"/>
    <cellStyle name="Heading 2 18" xfId="45738" xr:uid="{00000000-0005-0000-0000-0000A2B20000}"/>
    <cellStyle name="Heading 2 18 2" xfId="45739" xr:uid="{00000000-0005-0000-0000-0000A3B20000}"/>
    <cellStyle name="Heading 2 18 2 2" xfId="45740" xr:uid="{00000000-0005-0000-0000-0000A4B20000}"/>
    <cellStyle name="Heading 2 18 3" xfId="45741" xr:uid="{00000000-0005-0000-0000-0000A5B20000}"/>
    <cellStyle name="Heading 2 180" xfId="45742" xr:uid="{00000000-0005-0000-0000-0000A6B20000}"/>
    <cellStyle name="Heading 2 180 2" xfId="45743" xr:uid="{00000000-0005-0000-0000-0000A7B20000}"/>
    <cellStyle name="Heading 2 181" xfId="45744" xr:uid="{00000000-0005-0000-0000-0000A8B20000}"/>
    <cellStyle name="Heading 2 181 2" xfId="45745" xr:uid="{00000000-0005-0000-0000-0000A9B20000}"/>
    <cellStyle name="Heading 2 182" xfId="45746" xr:uid="{00000000-0005-0000-0000-0000AAB20000}"/>
    <cellStyle name="Heading 2 182 2" xfId="45747" xr:uid="{00000000-0005-0000-0000-0000ABB20000}"/>
    <cellStyle name="Heading 2 183" xfId="45748" xr:uid="{00000000-0005-0000-0000-0000ACB20000}"/>
    <cellStyle name="Heading 2 183 2" xfId="45749" xr:uid="{00000000-0005-0000-0000-0000ADB20000}"/>
    <cellStyle name="Heading 2 184" xfId="45750" xr:uid="{00000000-0005-0000-0000-0000AEB20000}"/>
    <cellStyle name="Heading 2 184 2" xfId="45751" xr:uid="{00000000-0005-0000-0000-0000AFB20000}"/>
    <cellStyle name="Heading 2 185" xfId="45752" xr:uid="{00000000-0005-0000-0000-0000B0B20000}"/>
    <cellStyle name="Heading 2 185 2" xfId="45753" xr:uid="{00000000-0005-0000-0000-0000B1B20000}"/>
    <cellStyle name="Heading 2 186" xfId="45754" xr:uid="{00000000-0005-0000-0000-0000B2B20000}"/>
    <cellStyle name="Heading 2 186 2" xfId="45755" xr:uid="{00000000-0005-0000-0000-0000B3B20000}"/>
    <cellStyle name="Heading 2 187" xfId="45756" xr:uid="{00000000-0005-0000-0000-0000B4B20000}"/>
    <cellStyle name="Heading 2 187 2" xfId="45757" xr:uid="{00000000-0005-0000-0000-0000B5B20000}"/>
    <cellStyle name="Heading 2 188" xfId="45758" xr:uid="{00000000-0005-0000-0000-0000B6B20000}"/>
    <cellStyle name="Heading 2 188 2" xfId="45759" xr:uid="{00000000-0005-0000-0000-0000B7B20000}"/>
    <cellStyle name="Heading 2 189" xfId="45760" xr:uid="{00000000-0005-0000-0000-0000B8B20000}"/>
    <cellStyle name="Heading 2 189 2" xfId="45761" xr:uid="{00000000-0005-0000-0000-0000B9B20000}"/>
    <cellStyle name="Heading 2 19" xfId="45762" xr:uid="{00000000-0005-0000-0000-0000BAB20000}"/>
    <cellStyle name="Heading 2 19 2" xfId="45763" xr:uid="{00000000-0005-0000-0000-0000BBB20000}"/>
    <cellStyle name="Heading 2 19 2 2" xfId="45764" xr:uid="{00000000-0005-0000-0000-0000BCB20000}"/>
    <cellStyle name="Heading 2 19 3" xfId="45765" xr:uid="{00000000-0005-0000-0000-0000BDB20000}"/>
    <cellStyle name="Heading 2 190" xfId="45766" xr:uid="{00000000-0005-0000-0000-0000BEB20000}"/>
    <cellStyle name="Heading 2 190 2" xfId="45767" xr:uid="{00000000-0005-0000-0000-0000BFB20000}"/>
    <cellStyle name="Heading 2 191" xfId="45768" xr:uid="{00000000-0005-0000-0000-0000C0B20000}"/>
    <cellStyle name="Heading 2 191 2" xfId="45769" xr:uid="{00000000-0005-0000-0000-0000C1B20000}"/>
    <cellStyle name="Heading 2 192" xfId="45770" xr:uid="{00000000-0005-0000-0000-0000C2B20000}"/>
    <cellStyle name="Heading 2 192 2" xfId="45771" xr:uid="{00000000-0005-0000-0000-0000C3B20000}"/>
    <cellStyle name="Heading 2 193" xfId="45772" xr:uid="{00000000-0005-0000-0000-0000C4B20000}"/>
    <cellStyle name="Heading 2 193 2" xfId="45773" xr:uid="{00000000-0005-0000-0000-0000C5B20000}"/>
    <cellStyle name="Heading 2 194" xfId="45774" xr:uid="{00000000-0005-0000-0000-0000C6B20000}"/>
    <cellStyle name="Heading 2 194 2" xfId="45775" xr:uid="{00000000-0005-0000-0000-0000C7B20000}"/>
    <cellStyle name="Heading 2 195" xfId="45776" xr:uid="{00000000-0005-0000-0000-0000C8B20000}"/>
    <cellStyle name="Heading 2 195 2" xfId="45777" xr:uid="{00000000-0005-0000-0000-0000C9B20000}"/>
    <cellStyle name="Heading 2 196" xfId="45778" xr:uid="{00000000-0005-0000-0000-0000CAB20000}"/>
    <cellStyle name="Heading 2 196 2" xfId="45779" xr:uid="{00000000-0005-0000-0000-0000CBB20000}"/>
    <cellStyle name="Heading 2 197" xfId="45780" xr:uid="{00000000-0005-0000-0000-0000CCB20000}"/>
    <cellStyle name="Heading 2 197 2" xfId="45781" xr:uid="{00000000-0005-0000-0000-0000CDB20000}"/>
    <cellStyle name="Heading 2 198" xfId="45782" xr:uid="{00000000-0005-0000-0000-0000CEB20000}"/>
    <cellStyle name="Heading 2 198 2" xfId="45783" xr:uid="{00000000-0005-0000-0000-0000CFB20000}"/>
    <cellStyle name="Heading 2 2" xfId="45784" xr:uid="{00000000-0005-0000-0000-0000D0B20000}"/>
    <cellStyle name="Heading 2 2 2" xfId="45785" xr:uid="{00000000-0005-0000-0000-0000D1B20000}"/>
    <cellStyle name="Heading 2 2 2 2" xfId="45786" xr:uid="{00000000-0005-0000-0000-0000D2B20000}"/>
    <cellStyle name="Heading 2 2 2 2 2" xfId="45787" xr:uid="{00000000-0005-0000-0000-0000D3B20000}"/>
    <cellStyle name="Heading 2 2 2 2 2 2" xfId="45788" xr:uid="{00000000-0005-0000-0000-0000D4B20000}"/>
    <cellStyle name="Heading 2 2 2 2 2 2 2" xfId="45789" xr:uid="{00000000-0005-0000-0000-0000D5B20000}"/>
    <cellStyle name="Heading 2 2 2 2 2 3" xfId="45790" xr:uid="{00000000-0005-0000-0000-0000D6B20000}"/>
    <cellStyle name="Heading 2 2 2 2 3" xfId="45791" xr:uid="{00000000-0005-0000-0000-0000D7B20000}"/>
    <cellStyle name="Heading 2 2 2 3" xfId="45792" xr:uid="{00000000-0005-0000-0000-0000D8B20000}"/>
    <cellStyle name="Heading 2 2 2 3 2" xfId="45793" xr:uid="{00000000-0005-0000-0000-0000D9B20000}"/>
    <cellStyle name="Heading 2 2 2 4" xfId="45794" xr:uid="{00000000-0005-0000-0000-0000DAB20000}"/>
    <cellStyle name="Heading 2 2 2 4 2" xfId="45795" xr:uid="{00000000-0005-0000-0000-0000DBB20000}"/>
    <cellStyle name="Heading 2 2 2 5" xfId="45796" xr:uid="{00000000-0005-0000-0000-0000DCB20000}"/>
    <cellStyle name="Heading 2 2 3" xfId="45797" xr:uid="{00000000-0005-0000-0000-0000DDB20000}"/>
    <cellStyle name="Heading 2 2 3 2" xfId="45798" xr:uid="{00000000-0005-0000-0000-0000DEB20000}"/>
    <cellStyle name="Heading 2 2 4" xfId="45799" xr:uid="{00000000-0005-0000-0000-0000DFB20000}"/>
    <cellStyle name="Heading 2 2 4 2" xfId="45800" xr:uid="{00000000-0005-0000-0000-0000E0B20000}"/>
    <cellStyle name="Heading 2 2 5" xfId="45801" xr:uid="{00000000-0005-0000-0000-0000E1B20000}"/>
    <cellStyle name="Heading 2 2 5 2" xfId="45802" xr:uid="{00000000-0005-0000-0000-0000E2B20000}"/>
    <cellStyle name="Heading 2 2 6" xfId="45803" xr:uid="{00000000-0005-0000-0000-0000E3B20000}"/>
    <cellStyle name="Heading 2 20" xfId="45804" xr:uid="{00000000-0005-0000-0000-0000E4B20000}"/>
    <cellStyle name="Heading 2 20 2" xfId="45805" xr:uid="{00000000-0005-0000-0000-0000E5B20000}"/>
    <cellStyle name="Heading 2 20 2 2" xfId="45806" xr:uid="{00000000-0005-0000-0000-0000E6B20000}"/>
    <cellStyle name="Heading 2 20 3" xfId="45807" xr:uid="{00000000-0005-0000-0000-0000E7B20000}"/>
    <cellStyle name="Heading 2 21" xfId="45808" xr:uid="{00000000-0005-0000-0000-0000E8B20000}"/>
    <cellStyle name="Heading 2 21 2" xfId="45809" xr:uid="{00000000-0005-0000-0000-0000E9B20000}"/>
    <cellStyle name="Heading 2 21 2 2" xfId="45810" xr:uid="{00000000-0005-0000-0000-0000EAB20000}"/>
    <cellStyle name="Heading 2 21 3" xfId="45811" xr:uid="{00000000-0005-0000-0000-0000EBB20000}"/>
    <cellStyle name="Heading 2 22" xfId="45812" xr:uid="{00000000-0005-0000-0000-0000ECB20000}"/>
    <cellStyle name="Heading 2 22 2" xfId="45813" xr:uid="{00000000-0005-0000-0000-0000EDB20000}"/>
    <cellStyle name="Heading 2 22 2 2" xfId="45814" xr:uid="{00000000-0005-0000-0000-0000EEB20000}"/>
    <cellStyle name="Heading 2 22 3" xfId="45815" xr:uid="{00000000-0005-0000-0000-0000EFB20000}"/>
    <cellStyle name="Heading 2 23" xfId="45816" xr:uid="{00000000-0005-0000-0000-0000F0B20000}"/>
    <cellStyle name="Heading 2 23 2" xfId="45817" xr:uid="{00000000-0005-0000-0000-0000F1B20000}"/>
    <cellStyle name="Heading 2 23 2 2" xfId="45818" xr:uid="{00000000-0005-0000-0000-0000F2B20000}"/>
    <cellStyle name="Heading 2 23 3" xfId="45819" xr:uid="{00000000-0005-0000-0000-0000F3B20000}"/>
    <cellStyle name="Heading 2 24" xfId="45820" xr:uid="{00000000-0005-0000-0000-0000F4B20000}"/>
    <cellStyle name="Heading 2 24 2" xfId="45821" xr:uid="{00000000-0005-0000-0000-0000F5B20000}"/>
    <cellStyle name="Heading 2 24 2 2" xfId="45822" xr:uid="{00000000-0005-0000-0000-0000F6B20000}"/>
    <cellStyle name="Heading 2 24 3" xfId="45823" xr:uid="{00000000-0005-0000-0000-0000F7B20000}"/>
    <cellStyle name="Heading 2 25" xfId="45824" xr:uid="{00000000-0005-0000-0000-0000F8B20000}"/>
    <cellStyle name="Heading 2 25 2" xfId="45825" xr:uid="{00000000-0005-0000-0000-0000F9B20000}"/>
    <cellStyle name="Heading 2 25 2 2" xfId="45826" xr:uid="{00000000-0005-0000-0000-0000FAB20000}"/>
    <cellStyle name="Heading 2 25 3" xfId="45827" xr:uid="{00000000-0005-0000-0000-0000FBB20000}"/>
    <cellStyle name="Heading 2 26" xfId="45828" xr:uid="{00000000-0005-0000-0000-0000FCB20000}"/>
    <cellStyle name="Heading 2 26 2" xfId="45829" xr:uid="{00000000-0005-0000-0000-0000FDB20000}"/>
    <cellStyle name="Heading 2 26 2 2" xfId="45830" xr:uid="{00000000-0005-0000-0000-0000FEB20000}"/>
    <cellStyle name="Heading 2 26 3" xfId="45831" xr:uid="{00000000-0005-0000-0000-0000FFB20000}"/>
    <cellStyle name="Heading 2 27" xfId="45832" xr:uid="{00000000-0005-0000-0000-000000B30000}"/>
    <cellStyle name="Heading 2 27 2" xfId="45833" xr:uid="{00000000-0005-0000-0000-000001B30000}"/>
    <cellStyle name="Heading 2 27 2 2" xfId="45834" xr:uid="{00000000-0005-0000-0000-000002B30000}"/>
    <cellStyle name="Heading 2 27 3" xfId="45835" xr:uid="{00000000-0005-0000-0000-000003B30000}"/>
    <cellStyle name="Heading 2 28" xfId="45836" xr:uid="{00000000-0005-0000-0000-000004B30000}"/>
    <cellStyle name="Heading 2 28 2" xfId="45837" xr:uid="{00000000-0005-0000-0000-000005B30000}"/>
    <cellStyle name="Heading 2 28 2 2" xfId="45838" xr:uid="{00000000-0005-0000-0000-000006B30000}"/>
    <cellStyle name="Heading 2 28 3" xfId="45839" xr:uid="{00000000-0005-0000-0000-000007B30000}"/>
    <cellStyle name="Heading 2 29" xfId="45840" xr:uid="{00000000-0005-0000-0000-000008B30000}"/>
    <cellStyle name="Heading 2 29 2" xfId="45841" xr:uid="{00000000-0005-0000-0000-000009B30000}"/>
    <cellStyle name="Heading 2 29 2 2" xfId="45842" xr:uid="{00000000-0005-0000-0000-00000AB30000}"/>
    <cellStyle name="Heading 2 29 3" xfId="45843" xr:uid="{00000000-0005-0000-0000-00000BB30000}"/>
    <cellStyle name="Heading 2 3" xfId="45844" xr:uid="{00000000-0005-0000-0000-00000CB30000}"/>
    <cellStyle name="Heading 2 3 2" xfId="45845" xr:uid="{00000000-0005-0000-0000-00000DB30000}"/>
    <cellStyle name="Heading 2 3 2 2" xfId="45846" xr:uid="{00000000-0005-0000-0000-00000EB30000}"/>
    <cellStyle name="Heading 2 3 3" xfId="45847" xr:uid="{00000000-0005-0000-0000-00000FB30000}"/>
    <cellStyle name="Heading 2 3 3 2" xfId="45848" xr:uid="{00000000-0005-0000-0000-000010B30000}"/>
    <cellStyle name="Heading 2 3 4" xfId="45849" xr:uid="{00000000-0005-0000-0000-000011B30000}"/>
    <cellStyle name="Heading 2 3 4 2" xfId="45850" xr:uid="{00000000-0005-0000-0000-000012B30000}"/>
    <cellStyle name="Heading 2 3 5" xfId="45851" xr:uid="{00000000-0005-0000-0000-000013B30000}"/>
    <cellStyle name="Heading 2 30" xfId="45852" xr:uid="{00000000-0005-0000-0000-000014B30000}"/>
    <cellStyle name="Heading 2 30 2" xfId="45853" xr:uid="{00000000-0005-0000-0000-000015B30000}"/>
    <cellStyle name="Heading 2 30 2 2" xfId="45854" xr:uid="{00000000-0005-0000-0000-000016B30000}"/>
    <cellStyle name="Heading 2 30 3" xfId="45855" xr:uid="{00000000-0005-0000-0000-000017B30000}"/>
    <cellStyle name="Heading 2 31" xfId="45856" xr:uid="{00000000-0005-0000-0000-000018B30000}"/>
    <cellStyle name="Heading 2 31 2" xfId="45857" xr:uid="{00000000-0005-0000-0000-000019B30000}"/>
    <cellStyle name="Heading 2 31 2 2" xfId="45858" xr:uid="{00000000-0005-0000-0000-00001AB30000}"/>
    <cellStyle name="Heading 2 31 3" xfId="45859" xr:uid="{00000000-0005-0000-0000-00001BB30000}"/>
    <cellStyle name="Heading 2 32" xfId="45860" xr:uid="{00000000-0005-0000-0000-00001CB30000}"/>
    <cellStyle name="Heading 2 32 2" xfId="45861" xr:uid="{00000000-0005-0000-0000-00001DB30000}"/>
    <cellStyle name="Heading 2 32 2 2" xfId="45862" xr:uid="{00000000-0005-0000-0000-00001EB30000}"/>
    <cellStyle name="Heading 2 32 3" xfId="45863" xr:uid="{00000000-0005-0000-0000-00001FB30000}"/>
    <cellStyle name="Heading 2 33" xfId="45864" xr:uid="{00000000-0005-0000-0000-000020B30000}"/>
    <cellStyle name="Heading 2 33 2" xfId="45865" xr:uid="{00000000-0005-0000-0000-000021B30000}"/>
    <cellStyle name="Heading 2 33 2 2" xfId="45866" xr:uid="{00000000-0005-0000-0000-000022B30000}"/>
    <cellStyle name="Heading 2 33 3" xfId="45867" xr:uid="{00000000-0005-0000-0000-000023B30000}"/>
    <cellStyle name="Heading 2 34" xfId="45868" xr:uid="{00000000-0005-0000-0000-000024B30000}"/>
    <cellStyle name="Heading 2 34 2" xfId="45869" xr:uid="{00000000-0005-0000-0000-000025B30000}"/>
    <cellStyle name="Heading 2 34 2 2" xfId="45870" xr:uid="{00000000-0005-0000-0000-000026B30000}"/>
    <cellStyle name="Heading 2 34 3" xfId="45871" xr:uid="{00000000-0005-0000-0000-000027B30000}"/>
    <cellStyle name="Heading 2 35" xfId="45872" xr:uid="{00000000-0005-0000-0000-000028B30000}"/>
    <cellStyle name="Heading 2 35 2" xfId="45873" xr:uid="{00000000-0005-0000-0000-000029B30000}"/>
    <cellStyle name="Heading 2 35 2 2" xfId="45874" xr:uid="{00000000-0005-0000-0000-00002AB30000}"/>
    <cellStyle name="Heading 2 35 3" xfId="45875" xr:uid="{00000000-0005-0000-0000-00002BB30000}"/>
    <cellStyle name="Heading 2 36" xfId="45876" xr:uid="{00000000-0005-0000-0000-00002CB30000}"/>
    <cellStyle name="Heading 2 36 2" xfId="45877" xr:uid="{00000000-0005-0000-0000-00002DB30000}"/>
    <cellStyle name="Heading 2 36 2 2" xfId="45878" xr:uid="{00000000-0005-0000-0000-00002EB30000}"/>
    <cellStyle name="Heading 2 36 3" xfId="45879" xr:uid="{00000000-0005-0000-0000-00002FB30000}"/>
    <cellStyle name="Heading 2 37" xfId="45880" xr:uid="{00000000-0005-0000-0000-000030B30000}"/>
    <cellStyle name="Heading 2 37 2" xfId="45881" xr:uid="{00000000-0005-0000-0000-000031B30000}"/>
    <cellStyle name="Heading 2 37 2 2" xfId="45882" xr:uid="{00000000-0005-0000-0000-000032B30000}"/>
    <cellStyle name="Heading 2 37 3" xfId="45883" xr:uid="{00000000-0005-0000-0000-000033B30000}"/>
    <cellStyle name="Heading 2 38" xfId="45884" xr:uid="{00000000-0005-0000-0000-000034B30000}"/>
    <cellStyle name="Heading 2 38 2" xfId="45885" xr:uid="{00000000-0005-0000-0000-000035B30000}"/>
    <cellStyle name="Heading 2 38 2 2" xfId="45886" xr:uid="{00000000-0005-0000-0000-000036B30000}"/>
    <cellStyle name="Heading 2 38 3" xfId="45887" xr:uid="{00000000-0005-0000-0000-000037B30000}"/>
    <cellStyle name="Heading 2 39" xfId="45888" xr:uid="{00000000-0005-0000-0000-000038B30000}"/>
    <cellStyle name="Heading 2 39 2" xfId="45889" xr:uid="{00000000-0005-0000-0000-000039B30000}"/>
    <cellStyle name="Heading 2 39 2 2" xfId="45890" xr:uid="{00000000-0005-0000-0000-00003AB30000}"/>
    <cellStyle name="Heading 2 39 3" xfId="45891" xr:uid="{00000000-0005-0000-0000-00003BB30000}"/>
    <cellStyle name="Heading 2 4" xfId="45892" xr:uid="{00000000-0005-0000-0000-00003CB30000}"/>
    <cellStyle name="Heading 2 4 2" xfId="45893" xr:uid="{00000000-0005-0000-0000-00003DB30000}"/>
    <cellStyle name="Heading 2 4 2 2" xfId="45894" xr:uid="{00000000-0005-0000-0000-00003EB30000}"/>
    <cellStyle name="Heading 2 4 3" xfId="45895" xr:uid="{00000000-0005-0000-0000-00003FB30000}"/>
    <cellStyle name="Heading 2 4 3 2" xfId="45896" xr:uid="{00000000-0005-0000-0000-000040B30000}"/>
    <cellStyle name="Heading 2 4 4" xfId="45897" xr:uid="{00000000-0005-0000-0000-000041B30000}"/>
    <cellStyle name="Heading 2 4 4 2" xfId="45898" xr:uid="{00000000-0005-0000-0000-000042B30000}"/>
    <cellStyle name="Heading 2 4 5" xfId="45899" xr:uid="{00000000-0005-0000-0000-000043B30000}"/>
    <cellStyle name="Heading 2 40" xfId="45900" xr:uid="{00000000-0005-0000-0000-000044B30000}"/>
    <cellStyle name="Heading 2 40 2" xfId="45901" xr:uid="{00000000-0005-0000-0000-000045B30000}"/>
    <cellStyle name="Heading 2 40 2 2" xfId="45902" xr:uid="{00000000-0005-0000-0000-000046B30000}"/>
    <cellStyle name="Heading 2 40 3" xfId="45903" xr:uid="{00000000-0005-0000-0000-000047B30000}"/>
    <cellStyle name="Heading 2 41" xfId="45904" xr:uid="{00000000-0005-0000-0000-000048B30000}"/>
    <cellStyle name="Heading 2 41 2" xfId="45905" xr:uid="{00000000-0005-0000-0000-000049B30000}"/>
    <cellStyle name="Heading 2 41 2 2" xfId="45906" xr:uid="{00000000-0005-0000-0000-00004AB30000}"/>
    <cellStyle name="Heading 2 41 3" xfId="45907" xr:uid="{00000000-0005-0000-0000-00004BB30000}"/>
    <cellStyle name="Heading 2 42" xfId="45908" xr:uid="{00000000-0005-0000-0000-00004CB30000}"/>
    <cellStyle name="Heading 2 42 2" xfId="45909" xr:uid="{00000000-0005-0000-0000-00004DB30000}"/>
    <cellStyle name="Heading 2 42 2 2" xfId="45910" xr:uid="{00000000-0005-0000-0000-00004EB30000}"/>
    <cellStyle name="Heading 2 42 3" xfId="45911" xr:uid="{00000000-0005-0000-0000-00004FB30000}"/>
    <cellStyle name="Heading 2 43" xfId="45912" xr:uid="{00000000-0005-0000-0000-000050B30000}"/>
    <cellStyle name="Heading 2 43 2" xfId="45913" xr:uid="{00000000-0005-0000-0000-000051B30000}"/>
    <cellStyle name="Heading 2 43 2 2" xfId="45914" xr:uid="{00000000-0005-0000-0000-000052B30000}"/>
    <cellStyle name="Heading 2 43 3" xfId="45915" xr:uid="{00000000-0005-0000-0000-000053B30000}"/>
    <cellStyle name="Heading 2 44" xfId="45916" xr:uid="{00000000-0005-0000-0000-000054B30000}"/>
    <cellStyle name="Heading 2 44 2" xfId="45917" xr:uid="{00000000-0005-0000-0000-000055B30000}"/>
    <cellStyle name="Heading 2 44 2 2" xfId="45918" xr:uid="{00000000-0005-0000-0000-000056B30000}"/>
    <cellStyle name="Heading 2 44 3" xfId="45919" xr:uid="{00000000-0005-0000-0000-000057B30000}"/>
    <cellStyle name="Heading 2 45" xfId="45920" xr:uid="{00000000-0005-0000-0000-000058B30000}"/>
    <cellStyle name="Heading 2 45 2" xfId="45921" xr:uid="{00000000-0005-0000-0000-000059B30000}"/>
    <cellStyle name="Heading 2 45 2 2" xfId="45922" xr:uid="{00000000-0005-0000-0000-00005AB30000}"/>
    <cellStyle name="Heading 2 45 3" xfId="45923" xr:uid="{00000000-0005-0000-0000-00005BB30000}"/>
    <cellStyle name="Heading 2 46" xfId="45924" xr:uid="{00000000-0005-0000-0000-00005CB30000}"/>
    <cellStyle name="Heading 2 46 2" xfId="45925" xr:uid="{00000000-0005-0000-0000-00005DB30000}"/>
    <cellStyle name="Heading 2 46 2 2" xfId="45926" xr:uid="{00000000-0005-0000-0000-00005EB30000}"/>
    <cellStyle name="Heading 2 46 3" xfId="45927" xr:uid="{00000000-0005-0000-0000-00005FB30000}"/>
    <cellStyle name="Heading 2 47" xfId="45928" xr:uid="{00000000-0005-0000-0000-000060B30000}"/>
    <cellStyle name="Heading 2 47 2" xfId="45929" xr:uid="{00000000-0005-0000-0000-000061B30000}"/>
    <cellStyle name="Heading 2 47 2 2" xfId="45930" xr:uid="{00000000-0005-0000-0000-000062B30000}"/>
    <cellStyle name="Heading 2 47 3" xfId="45931" xr:uid="{00000000-0005-0000-0000-000063B30000}"/>
    <cellStyle name="Heading 2 48" xfId="45932" xr:uid="{00000000-0005-0000-0000-000064B30000}"/>
    <cellStyle name="Heading 2 48 2" xfId="45933" xr:uid="{00000000-0005-0000-0000-000065B30000}"/>
    <cellStyle name="Heading 2 48 2 2" xfId="45934" xr:uid="{00000000-0005-0000-0000-000066B30000}"/>
    <cellStyle name="Heading 2 48 3" xfId="45935" xr:uid="{00000000-0005-0000-0000-000067B30000}"/>
    <cellStyle name="Heading 2 49" xfId="45936" xr:uid="{00000000-0005-0000-0000-000068B30000}"/>
    <cellStyle name="Heading 2 49 2" xfId="45937" xr:uid="{00000000-0005-0000-0000-000069B30000}"/>
    <cellStyle name="Heading 2 49 2 2" xfId="45938" xr:uid="{00000000-0005-0000-0000-00006AB30000}"/>
    <cellStyle name="Heading 2 49 3" xfId="45939" xr:uid="{00000000-0005-0000-0000-00006BB30000}"/>
    <cellStyle name="Heading 2 5" xfId="45940" xr:uid="{00000000-0005-0000-0000-00006CB30000}"/>
    <cellStyle name="Heading 2 5 2" xfId="45941" xr:uid="{00000000-0005-0000-0000-00006DB30000}"/>
    <cellStyle name="Heading 2 5 2 2" xfId="45942" xr:uid="{00000000-0005-0000-0000-00006EB30000}"/>
    <cellStyle name="Heading 2 5 3" xfId="45943" xr:uid="{00000000-0005-0000-0000-00006FB30000}"/>
    <cellStyle name="Heading 2 5 3 2" xfId="45944" xr:uid="{00000000-0005-0000-0000-000070B30000}"/>
    <cellStyle name="Heading 2 5 4" xfId="45945" xr:uid="{00000000-0005-0000-0000-000071B30000}"/>
    <cellStyle name="Heading 2 5 4 2" xfId="45946" xr:uid="{00000000-0005-0000-0000-000072B30000}"/>
    <cellStyle name="Heading 2 5 5" xfId="45947" xr:uid="{00000000-0005-0000-0000-000073B30000}"/>
    <cellStyle name="Heading 2 50" xfId="45948" xr:uid="{00000000-0005-0000-0000-000074B30000}"/>
    <cellStyle name="Heading 2 50 2" xfId="45949" xr:uid="{00000000-0005-0000-0000-000075B30000}"/>
    <cellStyle name="Heading 2 50 2 2" xfId="45950" xr:uid="{00000000-0005-0000-0000-000076B30000}"/>
    <cellStyle name="Heading 2 50 3" xfId="45951" xr:uid="{00000000-0005-0000-0000-000077B30000}"/>
    <cellStyle name="Heading 2 51" xfId="45952" xr:uid="{00000000-0005-0000-0000-000078B30000}"/>
    <cellStyle name="Heading 2 51 2" xfId="45953" xr:uid="{00000000-0005-0000-0000-000079B30000}"/>
    <cellStyle name="Heading 2 51 2 2" xfId="45954" xr:uid="{00000000-0005-0000-0000-00007AB30000}"/>
    <cellStyle name="Heading 2 51 3" xfId="45955" xr:uid="{00000000-0005-0000-0000-00007BB30000}"/>
    <cellStyle name="Heading 2 52" xfId="45956" xr:uid="{00000000-0005-0000-0000-00007CB30000}"/>
    <cellStyle name="Heading 2 52 2" xfId="45957" xr:uid="{00000000-0005-0000-0000-00007DB30000}"/>
    <cellStyle name="Heading 2 52 2 2" xfId="45958" xr:uid="{00000000-0005-0000-0000-00007EB30000}"/>
    <cellStyle name="Heading 2 52 3" xfId="45959" xr:uid="{00000000-0005-0000-0000-00007FB30000}"/>
    <cellStyle name="Heading 2 53" xfId="45960" xr:uid="{00000000-0005-0000-0000-000080B30000}"/>
    <cellStyle name="Heading 2 53 2" xfId="45961" xr:uid="{00000000-0005-0000-0000-000081B30000}"/>
    <cellStyle name="Heading 2 53 2 2" xfId="45962" xr:uid="{00000000-0005-0000-0000-000082B30000}"/>
    <cellStyle name="Heading 2 53 3" xfId="45963" xr:uid="{00000000-0005-0000-0000-000083B30000}"/>
    <cellStyle name="Heading 2 54" xfId="45964" xr:uid="{00000000-0005-0000-0000-000084B30000}"/>
    <cellStyle name="Heading 2 54 2" xfId="45965" xr:uid="{00000000-0005-0000-0000-000085B30000}"/>
    <cellStyle name="Heading 2 54 2 2" xfId="45966" xr:uid="{00000000-0005-0000-0000-000086B30000}"/>
    <cellStyle name="Heading 2 54 3" xfId="45967" xr:uid="{00000000-0005-0000-0000-000087B30000}"/>
    <cellStyle name="Heading 2 55" xfId="45968" xr:uid="{00000000-0005-0000-0000-000088B30000}"/>
    <cellStyle name="Heading 2 55 2" xfId="45969" xr:uid="{00000000-0005-0000-0000-000089B30000}"/>
    <cellStyle name="Heading 2 55 2 2" xfId="45970" xr:uid="{00000000-0005-0000-0000-00008AB30000}"/>
    <cellStyle name="Heading 2 55 3" xfId="45971" xr:uid="{00000000-0005-0000-0000-00008BB30000}"/>
    <cellStyle name="Heading 2 56" xfId="45972" xr:uid="{00000000-0005-0000-0000-00008CB30000}"/>
    <cellStyle name="Heading 2 56 2" xfId="45973" xr:uid="{00000000-0005-0000-0000-00008DB30000}"/>
    <cellStyle name="Heading 2 56 2 2" xfId="45974" xr:uid="{00000000-0005-0000-0000-00008EB30000}"/>
    <cellStyle name="Heading 2 56 3" xfId="45975" xr:uid="{00000000-0005-0000-0000-00008FB30000}"/>
    <cellStyle name="Heading 2 57" xfId="45976" xr:uid="{00000000-0005-0000-0000-000090B30000}"/>
    <cellStyle name="Heading 2 57 2" xfId="45977" xr:uid="{00000000-0005-0000-0000-000091B30000}"/>
    <cellStyle name="Heading 2 57 2 2" xfId="45978" xr:uid="{00000000-0005-0000-0000-000092B30000}"/>
    <cellStyle name="Heading 2 57 3" xfId="45979" xr:uid="{00000000-0005-0000-0000-000093B30000}"/>
    <cellStyle name="Heading 2 58" xfId="45980" xr:uid="{00000000-0005-0000-0000-000094B30000}"/>
    <cellStyle name="Heading 2 58 2" xfId="45981" xr:uid="{00000000-0005-0000-0000-000095B30000}"/>
    <cellStyle name="Heading 2 58 2 2" xfId="45982" xr:uid="{00000000-0005-0000-0000-000096B30000}"/>
    <cellStyle name="Heading 2 58 3" xfId="45983" xr:uid="{00000000-0005-0000-0000-000097B30000}"/>
    <cellStyle name="Heading 2 59" xfId="45984" xr:uid="{00000000-0005-0000-0000-000098B30000}"/>
    <cellStyle name="Heading 2 59 2" xfId="45985" xr:uid="{00000000-0005-0000-0000-000099B30000}"/>
    <cellStyle name="Heading 2 59 2 2" xfId="45986" xr:uid="{00000000-0005-0000-0000-00009AB30000}"/>
    <cellStyle name="Heading 2 59 3" xfId="45987" xr:uid="{00000000-0005-0000-0000-00009BB30000}"/>
    <cellStyle name="Heading 2 59 3 2" xfId="45988" xr:uid="{00000000-0005-0000-0000-00009CB30000}"/>
    <cellStyle name="Heading 2 59 4" xfId="45989" xr:uid="{00000000-0005-0000-0000-00009DB30000}"/>
    <cellStyle name="Heading 2 6" xfId="45990" xr:uid="{00000000-0005-0000-0000-00009EB30000}"/>
    <cellStyle name="Heading 2 6 2" xfId="45991" xr:uid="{00000000-0005-0000-0000-00009FB30000}"/>
    <cellStyle name="Heading 2 6 2 2" xfId="45992" xr:uid="{00000000-0005-0000-0000-0000A0B30000}"/>
    <cellStyle name="Heading 2 6 3" xfId="45993" xr:uid="{00000000-0005-0000-0000-0000A1B30000}"/>
    <cellStyle name="Heading 2 6 3 2" xfId="45994" xr:uid="{00000000-0005-0000-0000-0000A2B30000}"/>
    <cellStyle name="Heading 2 6 4" xfId="45995" xr:uid="{00000000-0005-0000-0000-0000A3B30000}"/>
    <cellStyle name="Heading 2 6 4 2" xfId="45996" xr:uid="{00000000-0005-0000-0000-0000A4B30000}"/>
    <cellStyle name="Heading 2 6 5" xfId="45997" xr:uid="{00000000-0005-0000-0000-0000A5B30000}"/>
    <cellStyle name="Heading 2 60" xfId="45998" xr:uid="{00000000-0005-0000-0000-0000A6B30000}"/>
    <cellStyle name="Heading 2 60 2" xfId="45999" xr:uid="{00000000-0005-0000-0000-0000A7B30000}"/>
    <cellStyle name="Heading 2 60 2 2" xfId="46000" xr:uid="{00000000-0005-0000-0000-0000A8B30000}"/>
    <cellStyle name="Heading 2 60 3" xfId="46001" xr:uid="{00000000-0005-0000-0000-0000A9B30000}"/>
    <cellStyle name="Heading 2 61" xfId="46002" xr:uid="{00000000-0005-0000-0000-0000AAB30000}"/>
    <cellStyle name="Heading 2 61 2" xfId="46003" xr:uid="{00000000-0005-0000-0000-0000ABB30000}"/>
    <cellStyle name="Heading 2 61 2 2" xfId="46004" xr:uid="{00000000-0005-0000-0000-0000ACB30000}"/>
    <cellStyle name="Heading 2 61 3" xfId="46005" xr:uid="{00000000-0005-0000-0000-0000ADB30000}"/>
    <cellStyle name="Heading 2 62" xfId="46006" xr:uid="{00000000-0005-0000-0000-0000AEB30000}"/>
    <cellStyle name="Heading 2 62 2" xfId="46007" xr:uid="{00000000-0005-0000-0000-0000AFB30000}"/>
    <cellStyle name="Heading 2 62 2 2" xfId="46008" xr:uid="{00000000-0005-0000-0000-0000B0B30000}"/>
    <cellStyle name="Heading 2 62 3" xfId="46009" xr:uid="{00000000-0005-0000-0000-0000B1B30000}"/>
    <cellStyle name="Heading 2 63" xfId="46010" xr:uid="{00000000-0005-0000-0000-0000B2B30000}"/>
    <cellStyle name="Heading 2 63 2" xfId="46011" xr:uid="{00000000-0005-0000-0000-0000B3B30000}"/>
    <cellStyle name="Heading 2 63 2 2" xfId="46012" xr:uid="{00000000-0005-0000-0000-0000B4B30000}"/>
    <cellStyle name="Heading 2 63 3" xfId="46013" xr:uid="{00000000-0005-0000-0000-0000B5B30000}"/>
    <cellStyle name="Heading 2 64" xfId="46014" xr:uid="{00000000-0005-0000-0000-0000B6B30000}"/>
    <cellStyle name="Heading 2 64 2" xfId="46015" xr:uid="{00000000-0005-0000-0000-0000B7B30000}"/>
    <cellStyle name="Heading 2 64 2 2" xfId="46016" xr:uid="{00000000-0005-0000-0000-0000B8B30000}"/>
    <cellStyle name="Heading 2 64 3" xfId="46017" xr:uid="{00000000-0005-0000-0000-0000B9B30000}"/>
    <cellStyle name="Heading 2 65" xfId="46018" xr:uid="{00000000-0005-0000-0000-0000BAB30000}"/>
    <cellStyle name="Heading 2 65 2" xfId="46019" xr:uid="{00000000-0005-0000-0000-0000BBB30000}"/>
    <cellStyle name="Heading 2 65 2 2" xfId="46020" xr:uid="{00000000-0005-0000-0000-0000BCB30000}"/>
    <cellStyle name="Heading 2 65 3" xfId="46021" xr:uid="{00000000-0005-0000-0000-0000BDB30000}"/>
    <cellStyle name="Heading 2 66" xfId="46022" xr:uid="{00000000-0005-0000-0000-0000BEB30000}"/>
    <cellStyle name="Heading 2 66 2" xfId="46023" xr:uid="{00000000-0005-0000-0000-0000BFB30000}"/>
    <cellStyle name="Heading 2 66 2 2" xfId="46024" xr:uid="{00000000-0005-0000-0000-0000C0B30000}"/>
    <cellStyle name="Heading 2 66 3" xfId="46025" xr:uid="{00000000-0005-0000-0000-0000C1B30000}"/>
    <cellStyle name="Heading 2 67" xfId="46026" xr:uid="{00000000-0005-0000-0000-0000C2B30000}"/>
    <cellStyle name="Heading 2 67 2" xfId="46027" xr:uid="{00000000-0005-0000-0000-0000C3B30000}"/>
    <cellStyle name="Heading 2 67 2 2" xfId="46028" xr:uid="{00000000-0005-0000-0000-0000C4B30000}"/>
    <cellStyle name="Heading 2 67 3" xfId="46029" xr:uid="{00000000-0005-0000-0000-0000C5B30000}"/>
    <cellStyle name="Heading 2 68" xfId="46030" xr:uid="{00000000-0005-0000-0000-0000C6B30000}"/>
    <cellStyle name="Heading 2 68 2" xfId="46031" xr:uid="{00000000-0005-0000-0000-0000C7B30000}"/>
    <cellStyle name="Heading 2 68 2 2" xfId="46032" xr:uid="{00000000-0005-0000-0000-0000C8B30000}"/>
    <cellStyle name="Heading 2 68 3" xfId="46033" xr:uid="{00000000-0005-0000-0000-0000C9B30000}"/>
    <cellStyle name="Heading 2 69" xfId="46034" xr:uid="{00000000-0005-0000-0000-0000CAB30000}"/>
    <cellStyle name="Heading 2 69 2" xfId="46035" xr:uid="{00000000-0005-0000-0000-0000CBB30000}"/>
    <cellStyle name="Heading 2 69 2 2" xfId="46036" xr:uid="{00000000-0005-0000-0000-0000CCB30000}"/>
    <cellStyle name="Heading 2 69 3" xfId="46037" xr:uid="{00000000-0005-0000-0000-0000CDB30000}"/>
    <cellStyle name="Heading 2 7" xfId="46038" xr:uid="{00000000-0005-0000-0000-0000CEB30000}"/>
    <cellStyle name="Heading 2 7 2" xfId="46039" xr:uid="{00000000-0005-0000-0000-0000CFB30000}"/>
    <cellStyle name="Heading 2 7 2 2" xfId="46040" xr:uid="{00000000-0005-0000-0000-0000D0B30000}"/>
    <cellStyle name="Heading 2 7 3" xfId="46041" xr:uid="{00000000-0005-0000-0000-0000D1B30000}"/>
    <cellStyle name="Heading 2 7 3 2" xfId="46042" xr:uid="{00000000-0005-0000-0000-0000D2B30000}"/>
    <cellStyle name="Heading 2 7 4" xfId="46043" xr:uid="{00000000-0005-0000-0000-0000D3B30000}"/>
    <cellStyle name="Heading 2 7 4 2" xfId="46044" xr:uid="{00000000-0005-0000-0000-0000D4B30000}"/>
    <cellStyle name="Heading 2 7 5" xfId="46045" xr:uid="{00000000-0005-0000-0000-0000D5B30000}"/>
    <cellStyle name="Heading 2 70" xfId="46046" xr:uid="{00000000-0005-0000-0000-0000D6B30000}"/>
    <cellStyle name="Heading 2 70 2" xfId="46047" xr:uid="{00000000-0005-0000-0000-0000D7B30000}"/>
    <cellStyle name="Heading 2 70 2 2" xfId="46048" xr:uid="{00000000-0005-0000-0000-0000D8B30000}"/>
    <cellStyle name="Heading 2 70 3" xfId="46049" xr:uid="{00000000-0005-0000-0000-0000D9B30000}"/>
    <cellStyle name="Heading 2 71" xfId="46050" xr:uid="{00000000-0005-0000-0000-0000DAB30000}"/>
    <cellStyle name="Heading 2 71 2" xfId="46051" xr:uid="{00000000-0005-0000-0000-0000DBB30000}"/>
    <cellStyle name="Heading 2 71 2 2" xfId="46052" xr:uid="{00000000-0005-0000-0000-0000DCB30000}"/>
    <cellStyle name="Heading 2 71 3" xfId="46053" xr:uid="{00000000-0005-0000-0000-0000DDB30000}"/>
    <cellStyle name="Heading 2 72" xfId="46054" xr:uid="{00000000-0005-0000-0000-0000DEB30000}"/>
    <cellStyle name="Heading 2 72 2" xfId="46055" xr:uid="{00000000-0005-0000-0000-0000DFB30000}"/>
    <cellStyle name="Heading 2 72 2 2" xfId="46056" xr:uid="{00000000-0005-0000-0000-0000E0B30000}"/>
    <cellStyle name="Heading 2 72 3" xfId="46057" xr:uid="{00000000-0005-0000-0000-0000E1B30000}"/>
    <cellStyle name="Heading 2 73" xfId="46058" xr:uid="{00000000-0005-0000-0000-0000E2B30000}"/>
    <cellStyle name="Heading 2 73 2" xfId="46059" xr:uid="{00000000-0005-0000-0000-0000E3B30000}"/>
    <cellStyle name="Heading 2 73 2 2" xfId="46060" xr:uid="{00000000-0005-0000-0000-0000E4B30000}"/>
    <cellStyle name="Heading 2 73 3" xfId="46061" xr:uid="{00000000-0005-0000-0000-0000E5B30000}"/>
    <cellStyle name="Heading 2 74" xfId="46062" xr:uid="{00000000-0005-0000-0000-0000E6B30000}"/>
    <cellStyle name="Heading 2 74 2" xfId="46063" xr:uid="{00000000-0005-0000-0000-0000E7B30000}"/>
    <cellStyle name="Heading 2 74 2 2" xfId="46064" xr:uid="{00000000-0005-0000-0000-0000E8B30000}"/>
    <cellStyle name="Heading 2 74 3" xfId="46065" xr:uid="{00000000-0005-0000-0000-0000E9B30000}"/>
    <cellStyle name="Heading 2 75" xfId="46066" xr:uid="{00000000-0005-0000-0000-0000EAB30000}"/>
    <cellStyle name="Heading 2 75 2" xfId="46067" xr:uid="{00000000-0005-0000-0000-0000EBB30000}"/>
    <cellStyle name="Heading 2 75 2 2" xfId="46068" xr:uid="{00000000-0005-0000-0000-0000ECB30000}"/>
    <cellStyle name="Heading 2 75 3" xfId="46069" xr:uid="{00000000-0005-0000-0000-0000EDB30000}"/>
    <cellStyle name="Heading 2 76" xfId="46070" xr:uid="{00000000-0005-0000-0000-0000EEB30000}"/>
    <cellStyle name="Heading 2 76 2" xfId="46071" xr:uid="{00000000-0005-0000-0000-0000EFB30000}"/>
    <cellStyle name="Heading 2 76 2 2" xfId="46072" xr:uid="{00000000-0005-0000-0000-0000F0B30000}"/>
    <cellStyle name="Heading 2 76 3" xfId="46073" xr:uid="{00000000-0005-0000-0000-0000F1B30000}"/>
    <cellStyle name="Heading 2 77" xfId="46074" xr:uid="{00000000-0005-0000-0000-0000F2B30000}"/>
    <cellStyle name="Heading 2 77 2" xfId="46075" xr:uid="{00000000-0005-0000-0000-0000F3B30000}"/>
    <cellStyle name="Heading 2 77 2 2" xfId="46076" xr:uid="{00000000-0005-0000-0000-0000F4B30000}"/>
    <cellStyle name="Heading 2 77 3" xfId="46077" xr:uid="{00000000-0005-0000-0000-0000F5B30000}"/>
    <cellStyle name="Heading 2 78" xfId="46078" xr:uid="{00000000-0005-0000-0000-0000F6B30000}"/>
    <cellStyle name="Heading 2 78 2" xfId="46079" xr:uid="{00000000-0005-0000-0000-0000F7B30000}"/>
    <cellStyle name="Heading 2 78 2 2" xfId="46080" xr:uid="{00000000-0005-0000-0000-0000F8B30000}"/>
    <cellStyle name="Heading 2 78 3" xfId="46081" xr:uid="{00000000-0005-0000-0000-0000F9B30000}"/>
    <cellStyle name="Heading 2 79" xfId="46082" xr:uid="{00000000-0005-0000-0000-0000FAB30000}"/>
    <cellStyle name="Heading 2 79 2" xfId="46083" xr:uid="{00000000-0005-0000-0000-0000FBB30000}"/>
    <cellStyle name="Heading 2 79 2 2" xfId="46084" xr:uid="{00000000-0005-0000-0000-0000FCB30000}"/>
    <cellStyle name="Heading 2 79 3" xfId="46085" xr:uid="{00000000-0005-0000-0000-0000FDB30000}"/>
    <cellStyle name="Heading 2 8" xfId="46086" xr:uid="{00000000-0005-0000-0000-0000FEB30000}"/>
    <cellStyle name="Heading 2 8 2" xfId="46087" xr:uid="{00000000-0005-0000-0000-0000FFB30000}"/>
    <cellStyle name="Heading 2 8 2 2" xfId="46088" xr:uid="{00000000-0005-0000-0000-000000B40000}"/>
    <cellStyle name="Heading 2 8 3" xfId="46089" xr:uid="{00000000-0005-0000-0000-000001B40000}"/>
    <cellStyle name="Heading 2 8 3 2" xfId="46090" xr:uid="{00000000-0005-0000-0000-000002B40000}"/>
    <cellStyle name="Heading 2 8 4" xfId="46091" xr:uid="{00000000-0005-0000-0000-000003B40000}"/>
    <cellStyle name="Heading 2 8 4 2" xfId="46092" xr:uid="{00000000-0005-0000-0000-000004B40000}"/>
    <cellStyle name="Heading 2 8 5" xfId="46093" xr:uid="{00000000-0005-0000-0000-000005B40000}"/>
    <cellStyle name="Heading 2 80" xfId="46094" xr:uid="{00000000-0005-0000-0000-000006B40000}"/>
    <cellStyle name="Heading 2 80 2" xfId="46095" xr:uid="{00000000-0005-0000-0000-000007B40000}"/>
    <cellStyle name="Heading 2 80 2 2" xfId="46096" xr:uid="{00000000-0005-0000-0000-000008B40000}"/>
    <cellStyle name="Heading 2 80 3" xfId="46097" xr:uid="{00000000-0005-0000-0000-000009B40000}"/>
    <cellStyle name="Heading 2 81" xfId="46098" xr:uid="{00000000-0005-0000-0000-00000AB40000}"/>
    <cellStyle name="Heading 2 81 2" xfId="46099" xr:uid="{00000000-0005-0000-0000-00000BB40000}"/>
    <cellStyle name="Heading 2 81 2 2" xfId="46100" xr:uid="{00000000-0005-0000-0000-00000CB40000}"/>
    <cellStyle name="Heading 2 81 3" xfId="46101" xr:uid="{00000000-0005-0000-0000-00000DB40000}"/>
    <cellStyle name="Heading 2 82" xfId="46102" xr:uid="{00000000-0005-0000-0000-00000EB40000}"/>
    <cellStyle name="Heading 2 82 2" xfId="46103" xr:uid="{00000000-0005-0000-0000-00000FB40000}"/>
    <cellStyle name="Heading 2 82 2 2" xfId="46104" xr:uid="{00000000-0005-0000-0000-000010B40000}"/>
    <cellStyle name="Heading 2 82 3" xfId="46105" xr:uid="{00000000-0005-0000-0000-000011B40000}"/>
    <cellStyle name="Heading 2 83" xfId="46106" xr:uid="{00000000-0005-0000-0000-000012B40000}"/>
    <cellStyle name="Heading 2 83 2" xfId="46107" xr:uid="{00000000-0005-0000-0000-000013B40000}"/>
    <cellStyle name="Heading 2 83 2 2" xfId="46108" xr:uid="{00000000-0005-0000-0000-000014B40000}"/>
    <cellStyle name="Heading 2 83 3" xfId="46109" xr:uid="{00000000-0005-0000-0000-000015B40000}"/>
    <cellStyle name="Heading 2 84" xfId="46110" xr:uid="{00000000-0005-0000-0000-000016B40000}"/>
    <cellStyle name="Heading 2 84 2" xfId="46111" xr:uid="{00000000-0005-0000-0000-000017B40000}"/>
    <cellStyle name="Heading 2 84 2 2" xfId="46112" xr:uid="{00000000-0005-0000-0000-000018B40000}"/>
    <cellStyle name="Heading 2 84 3" xfId="46113" xr:uid="{00000000-0005-0000-0000-000019B40000}"/>
    <cellStyle name="Heading 2 85" xfId="46114" xr:uid="{00000000-0005-0000-0000-00001AB40000}"/>
    <cellStyle name="Heading 2 85 2" xfId="46115" xr:uid="{00000000-0005-0000-0000-00001BB40000}"/>
    <cellStyle name="Heading 2 85 2 2" xfId="46116" xr:uid="{00000000-0005-0000-0000-00001CB40000}"/>
    <cellStyle name="Heading 2 85 3" xfId="46117" xr:uid="{00000000-0005-0000-0000-00001DB40000}"/>
    <cellStyle name="Heading 2 86" xfId="46118" xr:uid="{00000000-0005-0000-0000-00001EB40000}"/>
    <cellStyle name="Heading 2 86 2" xfId="46119" xr:uid="{00000000-0005-0000-0000-00001FB40000}"/>
    <cellStyle name="Heading 2 86 2 2" xfId="46120" xr:uid="{00000000-0005-0000-0000-000020B40000}"/>
    <cellStyle name="Heading 2 86 3" xfId="46121" xr:uid="{00000000-0005-0000-0000-000021B40000}"/>
    <cellStyle name="Heading 2 87" xfId="46122" xr:uid="{00000000-0005-0000-0000-000022B40000}"/>
    <cellStyle name="Heading 2 87 2" xfId="46123" xr:uid="{00000000-0005-0000-0000-000023B40000}"/>
    <cellStyle name="Heading 2 87 2 2" xfId="46124" xr:uid="{00000000-0005-0000-0000-000024B40000}"/>
    <cellStyle name="Heading 2 87 3" xfId="46125" xr:uid="{00000000-0005-0000-0000-000025B40000}"/>
    <cellStyle name="Heading 2 88" xfId="46126" xr:uid="{00000000-0005-0000-0000-000026B40000}"/>
    <cellStyle name="Heading 2 88 2" xfId="46127" xr:uid="{00000000-0005-0000-0000-000027B40000}"/>
    <cellStyle name="Heading 2 88 2 2" xfId="46128" xr:uid="{00000000-0005-0000-0000-000028B40000}"/>
    <cellStyle name="Heading 2 88 3" xfId="46129" xr:uid="{00000000-0005-0000-0000-000029B40000}"/>
    <cellStyle name="Heading 2 89" xfId="46130" xr:uid="{00000000-0005-0000-0000-00002AB40000}"/>
    <cellStyle name="Heading 2 89 2" xfId="46131" xr:uid="{00000000-0005-0000-0000-00002BB40000}"/>
    <cellStyle name="Heading 2 89 2 2" xfId="46132" xr:uid="{00000000-0005-0000-0000-00002CB40000}"/>
    <cellStyle name="Heading 2 89 3" xfId="46133" xr:uid="{00000000-0005-0000-0000-00002DB40000}"/>
    <cellStyle name="Heading 2 9" xfId="46134" xr:uid="{00000000-0005-0000-0000-00002EB40000}"/>
    <cellStyle name="Heading 2 9 2" xfId="46135" xr:uid="{00000000-0005-0000-0000-00002FB40000}"/>
    <cellStyle name="Heading 2 9 2 2" xfId="46136" xr:uid="{00000000-0005-0000-0000-000030B40000}"/>
    <cellStyle name="Heading 2 9 3" xfId="46137" xr:uid="{00000000-0005-0000-0000-000031B40000}"/>
    <cellStyle name="Heading 2 9 3 2" xfId="46138" xr:uid="{00000000-0005-0000-0000-000032B40000}"/>
    <cellStyle name="Heading 2 9 4" xfId="46139" xr:uid="{00000000-0005-0000-0000-000033B40000}"/>
    <cellStyle name="Heading 2 9 4 2" xfId="46140" xr:uid="{00000000-0005-0000-0000-000034B40000}"/>
    <cellStyle name="Heading 2 9 5" xfId="46141" xr:uid="{00000000-0005-0000-0000-000035B40000}"/>
    <cellStyle name="Heading 2 90" xfId="46142" xr:uid="{00000000-0005-0000-0000-000036B40000}"/>
    <cellStyle name="Heading 2 90 2" xfId="46143" xr:uid="{00000000-0005-0000-0000-000037B40000}"/>
    <cellStyle name="Heading 2 90 2 2" xfId="46144" xr:uid="{00000000-0005-0000-0000-000038B40000}"/>
    <cellStyle name="Heading 2 90 3" xfId="46145" xr:uid="{00000000-0005-0000-0000-000039B40000}"/>
    <cellStyle name="Heading 2 91" xfId="46146" xr:uid="{00000000-0005-0000-0000-00003AB40000}"/>
    <cellStyle name="Heading 2 91 2" xfId="46147" xr:uid="{00000000-0005-0000-0000-00003BB40000}"/>
    <cellStyle name="Heading 2 91 2 2" xfId="46148" xr:uid="{00000000-0005-0000-0000-00003CB40000}"/>
    <cellStyle name="Heading 2 91 3" xfId="46149" xr:uid="{00000000-0005-0000-0000-00003DB40000}"/>
    <cellStyle name="Heading 2 92" xfId="46150" xr:uid="{00000000-0005-0000-0000-00003EB40000}"/>
    <cellStyle name="Heading 2 92 2" xfId="46151" xr:uid="{00000000-0005-0000-0000-00003FB40000}"/>
    <cellStyle name="Heading 2 92 2 2" xfId="46152" xr:uid="{00000000-0005-0000-0000-000040B40000}"/>
    <cellStyle name="Heading 2 92 3" xfId="46153" xr:uid="{00000000-0005-0000-0000-000041B40000}"/>
    <cellStyle name="Heading 2 93" xfId="46154" xr:uid="{00000000-0005-0000-0000-000042B40000}"/>
    <cellStyle name="Heading 2 93 2" xfId="46155" xr:uid="{00000000-0005-0000-0000-000043B40000}"/>
    <cellStyle name="Heading 2 93 2 2" xfId="46156" xr:uid="{00000000-0005-0000-0000-000044B40000}"/>
    <cellStyle name="Heading 2 93 3" xfId="46157" xr:uid="{00000000-0005-0000-0000-000045B40000}"/>
    <cellStyle name="Heading 2 94" xfId="46158" xr:uid="{00000000-0005-0000-0000-000046B40000}"/>
    <cellStyle name="Heading 2 94 2" xfId="46159" xr:uid="{00000000-0005-0000-0000-000047B40000}"/>
    <cellStyle name="Heading 2 94 2 2" xfId="46160" xr:uid="{00000000-0005-0000-0000-000048B40000}"/>
    <cellStyle name="Heading 2 94 3" xfId="46161" xr:uid="{00000000-0005-0000-0000-000049B40000}"/>
    <cellStyle name="Heading 2 95" xfId="46162" xr:uid="{00000000-0005-0000-0000-00004AB40000}"/>
    <cellStyle name="Heading 2 95 2" xfId="46163" xr:uid="{00000000-0005-0000-0000-00004BB40000}"/>
    <cellStyle name="Heading 2 95 2 2" xfId="46164" xr:uid="{00000000-0005-0000-0000-00004CB40000}"/>
    <cellStyle name="Heading 2 95 3" xfId="46165" xr:uid="{00000000-0005-0000-0000-00004DB40000}"/>
    <cellStyle name="Heading 2 96" xfId="46166" xr:uid="{00000000-0005-0000-0000-00004EB40000}"/>
    <cellStyle name="Heading 2 96 2" xfId="46167" xr:uid="{00000000-0005-0000-0000-00004FB40000}"/>
    <cellStyle name="Heading 2 96 2 2" xfId="46168" xr:uid="{00000000-0005-0000-0000-000050B40000}"/>
    <cellStyle name="Heading 2 96 3" xfId="46169" xr:uid="{00000000-0005-0000-0000-000051B40000}"/>
    <cellStyle name="Heading 2 97" xfId="46170" xr:uid="{00000000-0005-0000-0000-000052B40000}"/>
    <cellStyle name="Heading 2 97 2" xfId="46171" xr:uid="{00000000-0005-0000-0000-000053B40000}"/>
    <cellStyle name="Heading 2 97 2 2" xfId="46172" xr:uid="{00000000-0005-0000-0000-000054B40000}"/>
    <cellStyle name="Heading 2 97 3" xfId="46173" xr:uid="{00000000-0005-0000-0000-000055B40000}"/>
    <cellStyle name="Heading 2 98" xfId="46174" xr:uid="{00000000-0005-0000-0000-000056B40000}"/>
    <cellStyle name="Heading 2 98 2" xfId="46175" xr:uid="{00000000-0005-0000-0000-000057B40000}"/>
    <cellStyle name="Heading 2 98 2 2" xfId="46176" xr:uid="{00000000-0005-0000-0000-000058B40000}"/>
    <cellStyle name="Heading 2 98 3" xfId="46177" xr:uid="{00000000-0005-0000-0000-000059B40000}"/>
    <cellStyle name="Heading 2 99" xfId="46178" xr:uid="{00000000-0005-0000-0000-00005AB40000}"/>
    <cellStyle name="Heading 2 99 2" xfId="46179" xr:uid="{00000000-0005-0000-0000-00005BB40000}"/>
    <cellStyle name="Heading 2 99 2 2" xfId="46180" xr:uid="{00000000-0005-0000-0000-00005CB40000}"/>
    <cellStyle name="Heading 2 99 3" xfId="46181" xr:uid="{00000000-0005-0000-0000-00005DB40000}"/>
    <cellStyle name="Heading 3 10" xfId="46182" xr:uid="{00000000-0005-0000-0000-00005EB40000}"/>
    <cellStyle name="Heading 3 10 2" xfId="46183" xr:uid="{00000000-0005-0000-0000-00005FB40000}"/>
    <cellStyle name="Heading 3 10 2 2" xfId="46184" xr:uid="{00000000-0005-0000-0000-000060B40000}"/>
    <cellStyle name="Heading 3 10 3" xfId="46185" xr:uid="{00000000-0005-0000-0000-000061B40000}"/>
    <cellStyle name="Heading 3 10 4" xfId="46186" xr:uid="{00000000-0005-0000-0000-000062B40000}"/>
    <cellStyle name="Heading 3 100" xfId="46187" xr:uid="{00000000-0005-0000-0000-000063B40000}"/>
    <cellStyle name="Heading 3 100 2" xfId="46188" xr:uid="{00000000-0005-0000-0000-000064B40000}"/>
    <cellStyle name="Heading 3 100 2 2" xfId="46189" xr:uid="{00000000-0005-0000-0000-000065B40000}"/>
    <cellStyle name="Heading 3 100 3" xfId="46190" xr:uid="{00000000-0005-0000-0000-000066B40000}"/>
    <cellStyle name="Heading 3 100 4" xfId="46191" xr:uid="{00000000-0005-0000-0000-000067B40000}"/>
    <cellStyle name="Heading 3 101" xfId="46192" xr:uid="{00000000-0005-0000-0000-000068B40000}"/>
    <cellStyle name="Heading 3 101 2" xfId="46193" xr:uid="{00000000-0005-0000-0000-000069B40000}"/>
    <cellStyle name="Heading 3 101 2 2" xfId="46194" xr:uid="{00000000-0005-0000-0000-00006AB40000}"/>
    <cellStyle name="Heading 3 101 3" xfId="46195" xr:uid="{00000000-0005-0000-0000-00006BB40000}"/>
    <cellStyle name="Heading 3 101 4" xfId="46196" xr:uid="{00000000-0005-0000-0000-00006CB40000}"/>
    <cellStyle name="Heading 3 102" xfId="46197" xr:uid="{00000000-0005-0000-0000-00006DB40000}"/>
    <cellStyle name="Heading 3 102 2" xfId="46198" xr:uid="{00000000-0005-0000-0000-00006EB40000}"/>
    <cellStyle name="Heading 3 102 2 2" xfId="46199" xr:uid="{00000000-0005-0000-0000-00006FB40000}"/>
    <cellStyle name="Heading 3 102 3" xfId="46200" xr:uid="{00000000-0005-0000-0000-000070B40000}"/>
    <cellStyle name="Heading 3 102 4" xfId="46201" xr:uid="{00000000-0005-0000-0000-000071B40000}"/>
    <cellStyle name="Heading 3 103" xfId="46202" xr:uid="{00000000-0005-0000-0000-000072B40000}"/>
    <cellStyle name="Heading 3 103 2" xfId="46203" xr:uid="{00000000-0005-0000-0000-000073B40000}"/>
    <cellStyle name="Heading 3 103 2 2" xfId="46204" xr:uid="{00000000-0005-0000-0000-000074B40000}"/>
    <cellStyle name="Heading 3 103 3" xfId="46205" xr:uid="{00000000-0005-0000-0000-000075B40000}"/>
    <cellStyle name="Heading 3 103 4" xfId="46206" xr:uid="{00000000-0005-0000-0000-000076B40000}"/>
    <cellStyle name="Heading 3 104" xfId="46207" xr:uid="{00000000-0005-0000-0000-000077B40000}"/>
    <cellStyle name="Heading 3 104 2" xfId="46208" xr:uid="{00000000-0005-0000-0000-000078B40000}"/>
    <cellStyle name="Heading 3 104 2 2" xfId="46209" xr:uid="{00000000-0005-0000-0000-000079B40000}"/>
    <cellStyle name="Heading 3 104 3" xfId="46210" xr:uid="{00000000-0005-0000-0000-00007AB40000}"/>
    <cellStyle name="Heading 3 104 4" xfId="46211" xr:uid="{00000000-0005-0000-0000-00007BB40000}"/>
    <cellStyle name="Heading 3 105" xfId="46212" xr:uid="{00000000-0005-0000-0000-00007CB40000}"/>
    <cellStyle name="Heading 3 105 2" xfId="46213" xr:uid="{00000000-0005-0000-0000-00007DB40000}"/>
    <cellStyle name="Heading 3 105 2 2" xfId="46214" xr:uid="{00000000-0005-0000-0000-00007EB40000}"/>
    <cellStyle name="Heading 3 105 3" xfId="46215" xr:uid="{00000000-0005-0000-0000-00007FB40000}"/>
    <cellStyle name="Heading 3 105 4" xfId="46216" xr:uid="{00000000-0005-0000-0000-000080B40000}"/>
    <cellStyle name="Heading 3 106" xfId="46217" xr:uid="{00000000-0005-0000-0000-000081B40000}"/>
    <cellStyle name="Heading 3 106 2" xfId="46218" xr:uid="{00000000-0005-0000-0000-000082B40000}"/>
    <cellStyle name="Heading 3 106 2 2" xfId="46219" xr:uid="{00000000-0005-0000-0000-000083B40000}"/>
    <cellStyle name="Heading 3 106 3" xfId="46220" xr:uid="{00000000-0005-0000-0000-000084B40000}"/>
    <cellStyle name="Heading 3 106 4" xfId="46221" xr:uid="{00000000-0005-0000-0000-000085B40000}"/>
    <cellStyle name="Heading 3 107" xfId="46222" xr:uid="{00000000-0005-0000-0000-000086B40000}"/>
    <cellStyle name="Heading 3 107 2" xfId="46223" xr:uid="{00000000-0005-0000-0000-000087B40000}"/>
    <cellStyle name="Heading 3 107 2 2" xfId="46224" xr:uid="{00000000-0005-0000-0000-000088B40000}"/>
    <cellStyle name="Heading 3 107 3" xfId="46225" xr:uid="{00000000-0005-0000-0000-000089B40000}"/>
    <cellStyle name="Heading 3 107 4" xfId="46226" xr:uid="{00000000-0005-0000-0000-00008AB40000}"/>
    <cellStyle name="Heading 3 108" xfId="46227" xr:uid="{00000000-0005-0000-0000-00008BB40000}"/>
    <cellStyle name="Heading 3 108 2" xfId="46228" xr:uid="{00000000-0005-0000-0000-00008CB40000}"/>
    <cellStyle name="Heading 3 108 2 2" xfId="46229" xr:uid="{00000000-0005-0000-0000-00008DB40000}"/>
    <cellStyle name="Heading 3 108 3" xfId="46230" xr:uid="{00000000-0005-0000-0000-00008EB40000}"/>
    <cellStyle name="Heading 3 108 4" xfId="46231" xr:uid="{00000000-0005-0000-0000-00008FB40000}"/>
    <cellStyle name="Heading 3 109" xfId="46232" xr:uid="{00000000-0005-0000-0000-000090B40000}"/>
    <cellStyle name="Heading 3 109 2" xfId="46233" xr:uid="{00000000-0005-0000-0000-000091B40000}"/>
    <cellStyle name="Heading 3 109 2 2" xfId="46234" xr:uid="{00000000-0005-0000-0000-000092B40000}"/>
    <cellStyle name="Heading 3 109 3" xfId="46235" xr:uid="{00000000-0005-0000-0000-000093B40000}"/>
    <cellStyle name="Heading 3 109 4" xfId="46236" xr:uid="{00000000-0005-0000-0000-000094B40000}"/>
    <cellStyle name="Heading 3 11" xfId="46237" xr:uid="{00000000-0005-0000-0000-000095B40000}"/>
    <cellStyle name="Heading 3 11 2" xfId="46238" xr:uid="{00000000-0005-0000-0000-000096B40000}"/>
    <cellStyle name="Heading 3 11 2 2" xfId="46239" xr:uid="{00000000-0005-0000-0000-000097B40000}"/>
    <cellStyle name="Heading 3 11 3" xfId="46240" xr:uid="{00000000-0005-0000-0000-000098B40000}"/>
    <cellStyle name="Heading 3 11 4" xfId="46241" xr:uid="{00000000-0005-0000-0000-000099B40000}"/>
    <cellStyle name="Heading 3 110" xfId="46242" xr:uid="{00000000-0005-0000-0000-00009AB40000}"/>
    <cellStyle name="Heading 3 110 2" xfId="46243" xr:uid="{00000000-0005-0000-0000-00009BB40000}"/>
    <cellStyle name="Heading 3 110 2 2" xfId="46244" xr:uid="{00000000-0005-0000-0000-00009CB40000}"/>
    <cellStyle name="Heading 3 110 3" xfId="46245" xr:uid="{00000000-0005-0000-0000-00009DB40000}"/>
    <cellStyle name="Heading 3 110 4" xfId="46246" xr:uid="{00000000-0005-0000-0000-00009EB40000}"/>
    <cellStyle name="Heading 3 111" xfId="46247" xr:uid="{00000000-0005-0000-0000-00009FB40000}"/>
    <cellStyle name="Heading 3 111 2" xfId="46248" xr:uid="{00000000-0005-0000-0000-0000A0B40000}"/>
    <cellStyle name="Heading 3 111 2 2" xfId="46249" xr:uid="{00000000-0005-0000-0000-0000A1B40000}"/>
    <cellStyle name="Heading 3 111 3" xfId="46250" xr:uid="{00000000-0005-0000-0000-0000A2B40000}"/>
    <cellStyle name="Heading 3 111 4" xfId="46251" xr:uid="{00000000-0005-0000-0000-0000A3B40000}"/>
    <cellStyle name="Heading 3 112" xfId="46252" xr:uid="{00000000-0005-0000-0000-0000A4B40000}"/>
    <cellStyle name="Heading 3 112 2" xfId="46253" xr:uid="{00000000-0005-0000-0000-0000A5B40000}"/>
    <cellStyle name="Heading 3 112 2 2" xfId="46254" xr:uid="{00000000-0005-0000-0000-0000A6B40000}"/>
    <cellStyle name="Heading 3 112 3" xfId="46255" xr:uid="{00000000-0005-0000-0000-0000A7B40000}"/>
    <cellStyle name="Heading 3 112 4" xfId="46256" xr:uid="{00000000-0005-0000-0000-0000A8B40000}"/>
    <cellStyle name="Heading 3 113" xfId="46257" xr:uid="{00000000-0005-0000-0000-0000A9B40000}"/>
    <cellStyle name="Heading 3 113 2" xfId="46258" xr:uid="{00000000-0005-0000-0000-0000AAB40000}"/>
    <cellStyle name="Heading 3 113 2 2" xfId="46259" xr:uid="{00000000-0005-0000-0000-0000ABB40000}"/>
    <cellStyle name="Heading 3 113 3" xfId="46260" xr:uid="{00000000-0005-0000-0000-0000ACB40000}"/>
    <cellStyle name="Heading 3 113 4" xfId="46261" xr:uid="{00000000-0005-0000-0000-0000ADB40000}"/>
    <cellStyle name="Heading 3 114" xfId="46262" xr:uid="{00000000-0005-0000-0000-0000AEB40000}"/>
    <cellStyle name="Heading 3 114 2" xfId="46263" xr:uid="{00000000-0005-0000-0000-0000AFB40000}"/>
    <cellStyle name="Heading 3 114 2 2" xfId="46264" xr:uid="{00000000-0005-0000-0000-0000B0B40000}"/>
    <cellStyle name="Heading 3 114 3" xfId="46265" xr:uid="{00000000-0005-0000-0000-0000B1B40000}"/>
    <cellStyle name="Heading 3 114 4" xfId="46266" xr:uid="{00000000-0005-0000-0000-0000B2B40000}"/>
    <cellStyle name="Heading 3 115" xfId="46267" xr:uid="{00000000-0005-0000-0000-0000B3B40000}"/>
    <cellStyle name="Heading 3 115 2" xfId="46268" xr:uid="{00000000-0005-0000-0000-0000B4B40000}"/>
    <cellStyle name="Heading 3 115 2 2" xfId="46269" xr:uid="{00000000-0005-0000-0000-0000B5B40000}"/>
    <cellStyle name="Heading 3 115 3" xfId="46270" xr:uid="{00000000-0005-0000-0000-0000B6B40000}"/>
    <cellStyle name="Heading 3 115 4" xfId="46271" xr:uid="{00000000-0005-0000-0000-0000B7B40000}"/>
    <cellStyle name="Heading 3 116" xfId="46272" xr:uid="{00000000-0005-0000-0000-0000B8B40000}"/>
    <cellStyle name="Heading 3 116 2" xfId="46273" xr:uid="{00000000-0005-0000-0000-0000B9B40000}"/>
    <cellStyle name="Heading 3 116 2 2" xfId="46274" xr:uid="{00000000-0005-0000-0000-0000BAB40000}"/>
    <cellStyle name="Heading 3 116 3" xfId="46275" xr:uid="{00000000-0005-0000-0000-0000BBB40000}"/>
    <cellStyle name="Heading 3 116 4" xfId="46276" xr:uid="{00000000-0005-0000-0000-0000BCB40000}"/>
    <cellStyle name="Heading 3 117" xfId="46277" xr:uid="{00000000-0005-0000-0000-0000BDB40000}"/>
    <cellStyle name="Heading 3 117 2" xfId="46278" xr:uid="{00000000-0005-0000-0000-0000BEB40000}"/>
    <cellStyle name="Heading 3 117 2 2" xfId="46279" xr:uid="{00000000-0005-0000-0000-0000BFB40000}"/>
    <cellStyle name="Heading 3 117 3" xfId="46280" xr:uid="{00000000-0005-0000-0000-0000C0B40000}"/>
    <cellStyle name="Heading 3 117 4" xfId="46281" xr:uid="{00000000-0005-0000-0000-0000C1B40000}"/>
    <cellStyle name="Heading 3 118" xfId="46282" xr:uid="{00000000-0005-0000-0000-0000C2B40000}"/>
    <cellStyle name="Heading 3 118 2" xfId="46283" xr:uid="{00000000-0005-0000-0000-0000C3B40000}"/>
    <cellStyle name="Heading 3 118 2 2" xfId="46284" xr:uid="{00000000-0005-0000-0000-0000C4B40000}"/>
    <cellStyle name="Heading 3 118 3" xfId="46285" xr:uid="{00000000-0005-0000-0000-0000C5B40000}"/>
    <cellStyle name="Heading 3 118 4" xfId="46286" xr:uid="{00000000-0005-0000-0000-0000C6B40000}"/>
    <cellStyle name="Heading 3 119" xfId="46287" xr:uid="{00000000-0005-0000-0000-0000C7B40000}"/>
    <cellStyle name="Heading 3 119 2" xfId="46288" xr:uid="{00000000-0005-0000-0000-0000C8B40000}"/>
    <cellStyle name="Heading 3 119 2 2" xfId="46289" xr:uid="{00000000-0005-0000-0000-0000C9B40000}"/>
    <cellStyle name="Heading 3 119 3" xfId="46290" xr:uid="{00000000-0005-0000-0000-0000CAB40000}"/>
    <cellStyle name="Heading 3 119 4" xfId="46291" xr:uid="{00000000-0005-0000-0000-0000CBB40000}"/>
    <cellStyle name="Heading 3 12" xfId="46292" xr:uid="{00000000-0005-0000-0000-0000CCB40000}"/>
    <cellStyle name="Heading 3 12 2" xfId="46293" xr:uid="{00000000-0005-0000-0000-0000CDB40000}"/>
    <cellStyle name="Heading 3 12 2 2" xfId="46294" xr:uid="{00000000-0005-0000-0000-0000CEB40000}"/>
    <cellStyle name="Heading 3 12 3" xfId="46295" xr:uid="{00000000-0005-0000-0000-0000CFB40000}"/>
    <cellStyle name="Heading 3 12 4" xfId="46296" xr:uid="{00000000-0005-0000-0000-0000D0B40000}"/>
    <cellStyle name="Heading 3 120" xfId="46297" xr:uid="{00000000-0005-0000-0000-0000D1B40000}"/>
    <cellStyle name="Heading 3 120 2" xfId="46298" xr:uid="{00000000-0005-0000-0000-0000D2B40000}"/>
    <cellStyle name="Heading 3 120 2 2" xfId="46299" xr:uid="{00000000-0005-0000-0000-0000D3B40000}"/>
    <cellStyle name="Heading 3 120 3" xfId="46300" xr:uid="{00000000-0005-0000-0000-0000D4B40000}"/>
    <cellStyle name="Heading 3 120 4" xfId="46301" xr:uid="{00000000-0005-0000-0000-0000D5B40000}"/>
    <cellStyle name="Heading 3 121" xfId="46302" xr:uid="{00000000-0005-0000-0000-0000D6B40000}"/>
    <cellStyle name="Heading 3 121 2" xfId="46303" xr:uid="{00000000-0005-0000-0000-0000D7B40000}"/>
    <cellStyle name="Heading 3 121 2 2" xfId="46304" xr:uid="{00000000-0005-0000-0000-0000D8B40000}"/>
    <cellStyle name="Heading 3 121 3" xfId="46305" xr:uid="{00000000-0005-0000-0000-0000D9B40000}"/>
    <cellStyle name="Heading 3 121 4" xfId="46306" xr:uid="{00000000-0005-0000-0000-0000DAB40000}"/>
    <cellStyle name="Heading 3 122" xfId="46307" xr:uid="{00000000-0005-0000-0000-0000DBB40000}"/>
    <cellStyle name="Heading 3 122 2" xfId="46308" xr:uid="{00000000-0005-0000-0000-0000DCB40000}"/>
    <cellStyle name="Heading 3 122 2 2" xfId="46309" xr:uid="{00000000-0005-0000-0000-0000DDB40000}"/>
    <cellStyle name="Heading 3 122 3" xfId="46310" xr:uid="{00000000-0005-0000-0000-0000DEB40000}"/>
    <cellStyle name="Heading 3 122 4" xfId="46311" xr:uid="{00000000-0005-0000-0000-0000DFB40000}"/>
    <cellStyle name="Heading 3 123" xfId="46312" xr:uid="{00000000-0005-0000-0000-0000E0B40000}"/>
    <cellStyle name="Heading 3 123 2" xfId="46313" xr:uid="{00000000-0005-0000-0000-0000E1B40000}"/>
    <cellStyle name="Heading 3 123 2 2" xfId="46314" xr:uid="{00000000-0005-0000-0000-0000E2B40000}"/>
    <cellStyle name="Heading 3 123 3" xfId="46315" xr:uid="{00000000-0005-0000-0000-0000E3B40000}"/>
    <cellStyle name="Heading 3 123 4" xfId="46316" xr:uid="{00000000-0005-0000-0000-0000E4B40000}"/>
    <cellStyle name="Heading 3 124" xfId="46317" xr:uid="{00000000-0005-0000-0000-0000E5B40000}"/>
    <cellStyle name="Heading 3 124 2" xfId="46318" xr:uid="{00000000-0005-0000-0000-0000E6B40000}"/>
    <cellStyle name="Heading 3 124 2 2" xfId="46319" xr:uid="{00000000-0005-0000-0000-0000E7B40000}"/>
    <cellStyle name="Heading 3 124 3" xfId="46320" xr:uid="{00000000-0005-0000-0000-0000E8B40000}"/>
    <cellStyle name="Heading 3 124 4" xfId="46321" xr:uid="{00000000-0005-0000-0000-0000E9B40000}"/>
    <cellStyle name="Heading 3 125" xfId="46322" xr:uid="{00000000-0005-0000-0000-0000EAB40000}"/>
    <cellStyle name="Heading 3 125 2" xfId="46323" xr:uid="{00000000-0005-0000-0000-0000EBB40000}"/>
    <cellStyle name="Heading 3 125 2 2" xfId="46324" xr:uid="{00000000-0005-0000-0000-0000ECB40000}"/>
    <cellStyle name="Heading 3 125 3" xfId="46325" xr:uid="{00000000-0005-0000-0000-0000EDB40000}"/>
    <cellStyle name="Heading 3 125 4" xfId="46326" xr:uid="{00000000-0005-0000-0000-0000EEB40000}"/>
    <cellStyle name="Heading 3 126" xfId="46327" xr:uid="{00000000-0005-0000-0000-0000EFB40000}"/>
    <cellStyle name="Heading 3 126 2" xfId="46328" xr:uid="{00000000-0005-0000-0000-0000F0B40000}"/>
    <cellStyle name="Heading 3 126 2 2" xfId="46329" xr:uid="{00000000-0005-0000-0000-0000F1B40000}"/>
    <cellStyle name="Heading 3 126 3" xfId="46330" xr:uid="{00000000-0005-0000-0000-0000F2B40000}"/>
    <cellStyle name="Heading 3 126 4" xfId="46331" xr:uid="{00000000-0005-0000-0000-0000F3B40000}"/>
    <cellStyle name="Heading 3 127" xfId="46332" xr:uid="{00000000-0005-0000-0000-0000F4B40000}"/>
    <cellStyle name="Heading 3 127 2" xfId="46333" xr:uid="{00000000-0005-0000-0000-0000F5B40000}"/>
    <cellStyle name="Heading 3 127 2 2" xfId="46334" xr:uid="{00000000-0005-0000-0000-0000F6B40000}"/>
    <cellStyle name="Heading 3 127 3" xfId="46335" xr:uid="{00000000-0005-0000-0000-0000F7B40000}"/>
    <cellStyle name="Heading 3 127 4" xfId="46336" xr:uid="{00000000-0005-0000-0000-0000F8B40000}"/>
    <cellStyle name="Heading 3 128" xfId="46337" xr:uid="{00000000-0005-0000-0000-0000F9B40000}"/>
    <cellStyle name="Heading 3 128 2" xfId="46338" xr:uid="{00000000-0005-0000-0000-0000FAB40000}"/>
    <cellStyle name="Heading 3 128 2 2" xfId="46339" xr:uid="{00000000-0005-0000-0000-0000FBB40000}"/>
    <cellStyle name="Heading 3 128 3" xfId="46340" xr:uid="{00000000-0005-0000-0000-0000FCB40000}"/>
    <cellStyle name="Heading 3 128 4" xfId="46341" xr:uid="{00000000-0005-0000-0000-0000FDB40000}"/>
    <cellStyle name="Heading 3 129" xfId="46342" xr:uid="{00000000-0005-0000-0000-0000FEB40000}"/>
    <cellStyle name="Heading 3 129 2" xfId="46343" xr:uid="{00000000-0005-0000-0000-0000FFB40000}"/>
    <cellStyle name="Heading 3 129 2 2" xfId="46344" xr:uid="{00000000-0005-0000-0000-000000B50000}"/>
    <cellStyle name="Heading 3 129 3" xfId="46345" xr:uid="{00000000-0005-0000-0000-000001B50000}"/>
    <cellStyle name="Heading 3 129 4" xfId="46346" xr:uid="{00000000-0005-0000-0000-000002B50000}"/>
    <cellStyle name="Heading 3 13" xfId="46347" xr:uid="{00000000-0005-0000-0000-000003B50000}"/>
    <cellStyle name="Heading 3 13 2" xfId="46348" xr:uid="{00000000-0005-0000-0000-000004B50000}"/>
    <cellStyle name="Heading 3 13 2 2" xfId="46349" xr:uid="{00000000-0005-0000-0000-000005B50000}"/>
    <cellStyle name="Heading 3 13 3" xfId="46350" xr:uid="{00000000-0005-0000-0000-000006B50000}"/>
    <cellStyle name="Heading 3 13 4" xfId="46351" xr:uid="{00000000-0005-0000-0000-000007B50000}"/>
    <cellStyle name="Heading 3 130" xfId="46352" xr:uid="{00000000-0005-0000-0000-000008B50000}"/>
    <cellStyle name="Heading 3 130 2" xfId="46353" xr:uid="{00000000-0005-0000-0000-000009B50000}"/>
    <cellStyle name="Heading 3 130 2 2" xfId="46354" xr:uid="{00000000-0005-0000-0000-00000AB50000}"/>
    <cellStyle name="Heading 3 130 3" xfId="46355" xr:uid="{00000000-0005-0000-0000-00000BB50000}"/>
    <cellStyle name="Heading 3 130 4" xfId="46356" xr:uid="{00000000-0005-0000-0000-00000CB50000}"/>
    <cellStyle name="Heading 3 131" xfId="46357" xr:uid="{00000000-0005-0000-0000-00000DB50000}"/>
    <cellStyle name="Heading 3 131 2" xfId="46358" xr:uid="{00000000-0005-0000-0000-00000EB50000}"/>
    <cellStyle name="Heading 3 131 2 2" xfId="46359" xr:uid="{00000000-0005-0000-0000-00000FB50000}"/>
    <cellStyle name="Heading 3 131 3" xfId="46360" xr:uid="{00000000-0005-0000-0000-000010B50000}"/>
    <cellStyle name="Heading 3 131 4" xfId="46361" xr:uid="{00000000-0005-0000-0000-000011B50000}"/>
    <cellStyle name="Heading 3 132" xfId="46362" xr:uid="{00000000-0005-0000-0000-000012B50000}"/>
    <cellStyle name="Heading 3 132 2" xfId="46363" xr:uid="{00000000-0005-0000-0000-000013B50000}"/>
    <cellStyle name="Heading 3 132 2 2" xfId="46364" xr:uid="{00000000-0005-0000-0000-000014B50000}"/>
    <cellStyle name="Heading 3 132 3" xfId="46365" xr:uid="{00000000-0005-0000-0000-000015B50000}"/>
    <cellStyle name="Heading 3 132 4" xfId="46366" xr:uid="{00000000-0005-0000-0000-000016B50000}"/>
    <cellStyle name="Heading 3 133" xfId="46367" xr:uid="{00000000-0005-0000-0000-000017B50000}"/>
    <cellStyle name="Heading 3 133 2" xfId="46368" xr:uid="{00000000-0005-0000-0000-000018B50000}"/>
    <cellStyle name="Heading 3 133 2 2" xfId="46369" xr:uid="{00000000-0005-0000-0000-000019B50000}"/>
    <cellStyle name="Heading 3 133 3" xfId="46370" xr:uid="{00000000-0005-0000-0000-00001AB50000}"/>
    <cellStyle name="Heading 3 133 4" xfId="46371" xr:uid="{00000000-0005-0000-0000-00001BB50000}"/>
    <cellStyle name="Heading 3 134" xfId="46372" xr:uid="{00000000-0005-0000-0000-00001CB50000}"/>
    <cellStyle name="Heading 3 134 2" xfId="46373" xr:uid="{00000000-0005-0000-0000-00001DB50000}"/>
    <cellStyle name="Heading 3 134 2 2" xfId="46374" xr:uid="{00000000-0005-0000-0000-00001EB50000}"/>
    <cellStyle name="Heading 3 134 3" xfId="46375" xr:uid="{00000000-0005-0000-0000-00001FB50000}"/>
    <cellStyle name="Heading 3 134 4" xfId="46376" xr:uid="{00000000-0005-0000-0000-000020B50000}"/>
    <cellStyle name="Heading 3 135" xfId="46377" xr:uid="{00000000-0005-0000-0000-000021B50000}"/>
    <cellStyle name="Heading 3 135 2" xfId="46378" xr:uid="{00000000-0005-0000-0000-000022B50000}"/>
    <cellStyle name="Heading 3 135 2 2" xfId="46379" xr:uid="{00000000-0005-0000-0000-000023B50000}"/>
    <cellStyle name="Heading 3 135 3" xfId="46380" xr:uid="{00000000-0005-0000-0000-000024B50000}"/>
    <cellStyle name="Heading 3 135 4" xfId="46381" xr:uid="{00000000-0005-0000-0000-000025B50000}"/>
    <cellStyle name="Heading 3 136" xfId="46382" xr:uid="{00000000-0005-0000-0000-000026B50000}"/>
    <cellStyle name="Heading 3 136 2" xfId="46383" xr:uid="{00000000-0005-0000-0000-000027B50000}"/>
    <cellStyle name="Heading 3 136 2 2" xfId="46384" xr:uid="{00000000-0005-0000-0000-000028B50000}"/>
    <cellStyle name="Heading 3 136 3" xfId="46385" xr:uid="{00000000-0005-0000-0000-000029B50000}"/>
    <cellStyle name="Heading 3 136 4" xfId="46386" xr:uid="{00000000-0005-0000-0000-00002AB50000}"/>
    <cellStyle name="Heading 3 137" xfId="46387" xr:uid="{00000000-0005-0000-0000-00002BB50000}"/>
    <cellStyle name="Heading 3 137 2" xfId="46388" xr:uid="{00000000-0005-0000-0000-00002CB50000}"/>
    <cellStyle name="Heading 3 137 2 2" xfId="46389" xr:uid="{00000000-0005-0000-0000-00002DB50000}"/>
    <cellStyle name="Heading 3 137 3" xfId="46390" xr:uid="{00000000-0005-0000-0000-00002EB50000}"/>
    <cellStyle name="Heading 3 138" xfId="46391" xr:uid="{00000000-0005-0000-0000-00002FB50000}"/>
    <cellStyle name="Heading 3 138 2" xfId="46392" xr:uid="{00000000-0005-0000-0000-000030B50000}"/>
    <cellStyle name="Heading 3 138 2 2" xfId="46393" xr:uid="{00000000-0005-0000-0000-000031B50000}"/>
    <cellStyle name="Heading 3 138 3" xfId="46394" xr:uid="{00000000-0005-0000-0000-000032B50000}"/>
    <cellStyle name="Heading 3 139" xfId="46395" xr:uid="{00000000-0005-0000-0000-000033B50000}"/>
    <cellStyle name="Heading 3 139 2" xfId="46396" xr:uid="{00000000-0005-0000-0000-000034B50000}"/>
    <cellStyle name="Heading 3 139 2 2" xfId="46397" xr:uid="{00000000-0005-0000-0000-000035B50000}"/>
    <cellStyle name="Heading 3 139 3" xfId="46398" xr:uid="{00000000-0005-0000-0000-000036B50000}"/>
    <cellStyle name="Heading 3 14" xfId="46399" xr:uid="{00000000-0005-0000-0000-000037B50000}"/>
    <cellStyle name="Heading 3 14 2" xfId="46400" xr:uid="{00000000-0005-0000-0000-000038B50000}"/>
    <cellStyle name="Heading 3 14 2 2" xfId="46401" xr:uid="{00000000-0005-0000-0000-000039B50000}"/>
    <cellStyle name="Heading 3 14 3" xfId="46402" xr:uid="{00000000-0005-0000-0000-00003AB50000}"/>
    <cellStyle name="Heading 3 14 4" xfId="46403" xr:uid="{00000000-0005-0000-0000-00003BB50000}"/>
    <cellStyle name="Heading 3 140" xfId="46404" xr:uid="{00000000-0005-0000-0000-00003CB50000}"/>
    <cellStyle name="Heading 3 140 2" xfId="46405" xr:uid="{00000000-0005-0000-0000-00003DB50000}"/>
    <cellStyle name="Heading 3 140 2 2" xfId="46406" xr:uid="{00000000-0005-0000-0000-00003EB50000}"/>
    <cellStyle name="Heading 3 140 3" xfId="46407" xr:uid="{00000000-0005-0000-0000-00003FB50000}"/>
    <cellStyle name="Heading 3 141" xfId="46408" xr:uid="{00000000-0005-0000-0000-000040B50000}"/>
    <cellStyle name="Heading 3 141 2" xfId="46409" xr:uid="{00000000-0005-0000-0000-000041B50000}"/>
    <cellStyle name="Heading 3 141 2 2" xfId="46410" xr:uid="{00000000-0005-0000-0000-000042B50000}"/>
    <cellStyle name="Heading 3 141 3" xfId="46411" xr:uid="{00000000-0005-0000-0000-000043B50000}"/>
    <cellStyle name="Heading 3 142" xfId="46412" xr:uid="{00000000-0005-0000-0000-000044B50000}"/>
    <cellStyle name="Heading 3 142 2" xfId="46413" xr:uid="{00000000-0005-0000-0000-000045B50000}"/>
    <cellStyle name="Heading 3 142 2 2" xfId="46414" xr:uid="{00000000-0005-0000-0000-000046B50000}"/>
    <cellStyle name="Heading 3 142 3" xfId="46415" xr:uid="{00000000-0005-0000-0000-000047B50000}"/>
    <cellStyle name="Heading 3 143" xfId="46416" xr:uid="{00000000-0005-0000-0000-000048B50000}"/>
    <cellStyle name="Heading 3 143 2" xfId="46417" xr:uid="{00000000-0005-0000-0000-000049B50000}"/>
    <cellStyle name="Heading 3 143 2 2" xfId="46418" xr:uid="{00000000-0005-0000-0000-00004AB50000}"/>
    <cellStyle name="Heading 3 143 3" xfId="46419" xr:uid="{00000000-0005-0000-0000-00004BB50000}"/>
    <cellStyle name="Heading 3 144" xfId="46420" xr:uid="{00000000-0005-0000-0000-00004CB50000}"/>
    <cellStyle name="Heading 3 144 2" xfId="46421" xr:uid="{00000000-0005-0000-0000-00004DB50000}"/>
    <cellStyle name="Heading 3 144 2 2" xfId="46422" xr:uid="{00000000-0005-0000-0000-00004EB50000}"/>
    <cellStyle name="Heading 3 144 3" xfId="46423" xr:uid="{00000000-0005-0000-0000-00004FB50000}"/>
    <cellStyle name="Heading 3 145" xfId="46424" xr:uid="{00000000-0005-0000-0000-000050B50000}"/>
    <cellStyle name="Heading 3 145 2" xfId="46425" xr:uid="{00000000-0005-0000-0000-000051B50000}"/>
    <cellStyle name="Heading 3 145 2 2" xfId="46426" xr:uid="{00000000-0005-0000-0000-000052B50000}"/>
    <cellStyle name="Heading 3 145 3" xfId="46427" xr:uid="{00000000-0005-0000-0000-000053B50000}"/>
    <cellStyle name="Heading 3 146" xfId="46428" xr:uid="{00000000-0005-0000-0000-000054B50000}"/>
    <cellStyle name="Heading 3 146 2" xfId="46429" xr:uid="{00000000-0005-0000-0000-000055B50000}"/>
    <cellStyle name="Heading 3 146 2 2" xfId="46430" xr:uid="{00000000-0005-0000-0000-000056B50000}"/>
    <cellStyle name="Heading 3 146 3" xfId="46431" xr:uid="{00000000-0005-0000-0000-000057B50000}"/>
    <cellStyle name="Heading 3 147" xfId="46432" xr:uid="{00000000-0005-0000-0000-000058B50000}"/>
    <cellStyle name="Heading 3 147 2" xfId="46433" xr:uid="{00000000-0005-0000-0000-000059B50000}"/>
    <cellStyle name="Heading 3 147 2 2" xfId="46434" xr:uid="{00000000-0005-0000-0000-00005AB50000}"/>
    <cellStyle name="Heading 3 147 3" xfId="46435" xr:uid="{00000000-0005-0000-0000-00005BB50000}"/>
    <cellStyle name="Heading 3 148" xfId="46436" xr:uid="{00000000-0005-0000-0000-00005CB50000}"/>
    <cellStyle name="Heading 3 148 2" xfId="46437" xr:uid="{00000000-0005-0000-0000-00005DB50000}"/>
    <cellStyle name="Heading 3 148 2 2" xfId="46438" xr:uid="{00000000-0005-0000-0000-00005EB50000}"/>
    <cellStyle name="Heading 3 148 3" xfId="46439" xr:uid="{00000000-0005-0000-0000-00005FB50000}"/>
    <cellStyle name="Heading 3 149" xfId="46440" xr:uid="{00000000-0005-0000-0000-000060B50000}"/>
    <cellStyle name="Heading 3 149 2" xfId="46441" xr:uid="{00000000-0005-0000-0000-000061B50000}"/>
    <cellStyle name="Heading 3 149 2 2" xfId="46442" xr:uid="{00000000-0005-0000-0000-000062B50000}"/>
    <cellStyle name="Heading 3 149 3" xfId="46443" xr:uid="{00000000-0005-0000-0000-000063B50000}"/>
    <cellStyle name="Heading 3 15" xfId="46444" xr:uid="{00000000-0005-0000-0000-000064B50000}"/>
    <cellStyle name="Heading 3 15 2" xfId="46445" xr:uid="{00000000-0005-0000-0000-000065B50000}"/>
    <cellStyle name="Heading 3 15 2 2" xfId="46446" xr:uid="{00000000-0005-0000-0000-000066B50000}"/>
    <cellStyle name="Heading 3 15 3" xfId="46447" xr:uid="{00000000-0005-0000-0000-000067B50000}"/>
    <cellStyle name="Heading 3 15 4" xfId="46448" xr:uid="{00000000-0005-0000-0000-000068B50000}"/>
    <cellStyle name="Heading 3 150" xfId="46449" xr:uid="{00000000-0005-0000-0000-000069B50000}"/>
    <cellStyle name="Heading 3 150 2" xfId="46450" xr:uid="{00000000-0005-0000-0000-00006AB50000}"/>
    <cellStyle name="Heading 3 150 2 2" xfId="46451" xr:uid="{00000000-0005-0000-0000-00006BB50000}"/>
    <cellStyle name="Heading 3 150 3" xfId="46452" xr:uid="{00000000-0005-0000-0000-00006CB50000}"/>
    <cellStyle name="Heading 3 151" xfId="46453" xr:uid="{00000000-0005-0000-0000-00006DB50000}"/>
    <cellStyle name="Heading 3 151 2" xfId="46454" xr:uid="{00000000-0005-0000-0000-00006EB50000}"/>
    <cellStyle name="Heading 3 151 2 2" xfId="46455" xr:uid="{00000000-0005-0000-0000-00006FB50000}"/>
    <cellStyle name="Heading 3 151 3" xfId="46456" xr:uid="{00000000-0005-0000-0000-000070B50000}"/>
    <cellStyle name="Heading 3 152" xfId="46457" xr:uid="{00000000-0005-0000-0000-000071B50000}"/>
    <cellStyle name="Heading 3 152 2" xfId="46458" xr:uid="{00000000-0005-0000-0000-000072B50000}"/>
    <cellStyle name="Heading 3 152 2 2" xfId="46459" xr:uid="{00000000-0005-0000-0000-000073B50000}"/>
    <cellStyle name="Heading 3 152 3" xfId="46460" xr:uid="{00000000-0005-0000-0000-000074B50000}"/>
    <cellStyle name="Heading 3 153" xfId="46461" xr:uid="{00000000-0005-0000-0000-000075B50000}"/>
    <cellStyle name="Heading 3 153 2" xfId="46462" xr:uid="{00000000-0005-0000-0000-000076B50000}"/>
    <cellStyle name="Heading 3 153 2 2" xfId="46463" xr:uid="{00000000-0005-0000-0000-000077B50000}"/>
    <cellStyle name="Heading 3 153 3" xfId="46464" xr:uid="{00000000-0005-0000-0000-000078B50000}"/>
    <cellStyle name="Heading 3 154" xfId="46465" xr:uid="{00000000-0005-0000-0000-000079B50000}"/>
    <cellStyle name="Heading 3 154 2" xfId="46466" xr:uid="{00000000-0005-0000-0000-00007AB50000}"/>
    <cellStyle name="Heading 3 154 2 2" xfId="46467" xr:uid="{00000000-0005-0000-0000-00007BB50000}"/>
    <cellStyle name="Heading 3 154 3" xfId="46468" xr:uid="{00000000-0005-0000-0000-00007CB50000}"/>
    <cellStyle name="Heading 3 155" xfId="46469" xr:uid="{00000000-0005-0000-0000-00007DB50000}"/>
    <cellStyle name="Heading 3 155 2" xfId="46470" xr:uid="{00000000-0005-0000-0000-00007EB50000}"/>
    <cellStyle name="Heading 3 155 2 2" xfId="46471" xr:uid="{00000000-0005-0000-0000-00007FB50000}"/>
    <cellStyle name="Heading 3 155 3" xfId="46472" xr:uid="{00000000-0005-0000-0000-000080B50000}"/>
    <cellStyle name="Heading 3 156" xfId="46473" xr:uid="{00000000-0005-0000-0000-000081B50000}"/>
    <cellStyle name="Heading 3 156 2" xfId="46474" xr:uid="{00000000-0005-0000-0000-000082B50000}"/>
    <cellStyle name="Heading 3 156 2 2" xfId="46475" xr:uid="{00000000-0005-0000-0000-000083B50000}"/>
    <cellStyle name="Heading 3 156 3" xfId="46476" xr:uid="{00000000-0005-0000-0000-000084B50000}"/>
    <cellStyle name="Heading 3 157" xfId="46477" xr:uid="{00000000-0005-0000-0000-000085B50000}"/>
    <cellStyle name="Heading 3 157 2" xfId="46478" xr:uid="{00000000-0005-0000-0000-000086B50000}"/>
    <cellStyle name="Heading 3 157 2 2" xfId="46479" xr:uid="{00000000-0005-0000-0000-000087B50000}"/>
    <cellStyle name="Heading 3 157 3" xfId="46480" xr:uid="{00000000-0005-0000-0000-000088B50000}"/>
    <cellStyle name="Heading 3 158" xfId="46481" xr:uid="{00000000-0005-0000-0000-000089B50000}"/>
    <cellStyle name="Heading 3 158 2" xfId="46482" xr:uid="{00000000-0005-0000-0000-00008AB50000}"/>
    <cellStyle name="Heading 3 158 2 2" xfId="46483" xr:uid="{00000000-0005-0000-0000-00008BB50000}"/>
    <cellStyle name="Heading 3 158 3" xfId="46484" xr:uid="{00000000-0005-0000-0000-00008CB50000}"/>
    <cellStyle name="Heading 3 159" xfId="46485" xr:uid="{00000000-0005-0000-0000-00008DB50000}"/>
    <cellStyle name="Heading 3 159 2" xfId="46486" xr:uid="{00000000-0005-0000-0000-00008EB50000}"/>
    <cellStyle name="Heading 3 16" xfId="46487" xr:uid="{00000000-0005-0000-0000-00008FB50000}"/>
    <cellStyle name="Heading 3 16 2" xfId="46488" xr:uid="{00000000-0005-0000-0000-000090B50000}"/>
    <cellStyle name="Heading 3 16 2 2" xfId="46489" xr:uid="{00000000-0005-0000-0000-000091B50000}"/>
    <cellStyle name="Heading 3 16 3" xfId="46490" xr:uid="{00000000-0005-0000-0000-000092B50000}"/>
    <cellStyle name="Heading 3 16 4" xfId="46491" xr:uid="{00000000-0005-0000-0000-000093B50000}"/>
    <cellStyle name="Heading 3 160" xfId="46492" xr:uid="{00000000-0005-0000-0000-000094B50000}"/>
    <cellStyle name="Heading 3 160 2" xfId="46493" xr:uid="{00000000-0005-0000-0000-000095B50000}"/>
    <cellStyle name="Heading 3 161" xfId="46494" xr:uid="{00000000-0005-0000-0000-000096B50000}"/>
    <cellStyle name="Heading 3 161 2" xfId="46495" xr:uid="{00000000-0005-0000-0000-000097B50000}"/>
    <cellStyle name="Heading 3 162" xfId="46496" xr:uid="{00000000-0005-0000-0000-000098B50000}"/>
    <cellStyle name="Heading 3 162 2" xfId="46497" xr:uid="{00000000-0005-0000-0000-000099B50000}"/>
    <cellStyle name="Heading 3 163" xfId="46498" xr:uid="{00000000-0005-0000-0000-00009AB50000}"/>
    <cellStyle name="Heading 3 163 2" xfId="46499" xr:uid="{00000000-0005-0000-0000-00009BB50000}"/>
    <cellStyle name="Heading 3 164" xfId="46500" xr:uid="{00000000-0005-0000-0000-00009CB50000}"/>
    <cellStyle name="Heading 3 164 2" xfId="46501" xr:uid="{00000000-0005-0000-0000-00009DB50000}"/>
    <cellStyle name="Heading 3 165" xfId="46502" xr:uid="{00000000-0005-0000-0000-00009EB50000}"/>
    <cellStyle name="Heading 3 165 2" xfId="46503" xr:uid="{00000000-0005-0000-0000-00009FB50000}"/>
    <cellStyle name="Heading 3 166" xfId="46504" xr:uid="{00000000-0005-0000-0000-0000A0B50000}"/>
    <cellStyle name="Heading 3 166 2" xfId="46505" xr:uid="{00000000-0005-0000-0000-0000A1B50000}"/>
    <cellStyle name="Heading 3 167" xfId="46506" xr:uid="{00000000-0005-0000-0000-0000A2B50000}"/>
    <cellStyle name="Heading 3 167 2" xfId="46507" xr:uid="{00000000-0005-0000-0000-0000A3B50000}"/>
    <cellStyle name="Heading 3 168" xfId="46508" xr:uid="{00000000-0005-0000-0000-0000A4B50000}"/>
    <cellStyle name="Heading 3 168 2" xfId="46509" xr:uid="{00000000-0005-0000-0000-0000A5B50000}"/>
    <cellStyle name="Heading 3 169" xfId="46510" xr:uid="{00000000-0005-0000-0000-0000A6B50000}"/>
    <cellStyle name="Heading 3 169 2" xfId="46511" xr:uid="{00000000-0005-0000-0000-0000A7B50000}"/>
    <cellStyle name="Heading 3 17" xfId="46512" xr:uid="{00000000-0005-0000-0000-0000A8B50000}"/>
    <cellStyle name="Heading 3 17 2" xfId="46513" xr:uid="{00000000-0005-0000-0000-0000A9B50000}"/>
    <cellStyle name="Heading 3 17 2 2" xfId="46514" xr:uid="{00000000-0005-0000-0000-0000AAB50000}"/>
    <cellStyle name="Heading 3 17 3" xfId="46515" xr:uid="{00000000-0005-0000-0000-0000ABB50000}"/>
    <cellStyle name="Heading 3 17 4" xfId="46516" xr:uid="{00000000-0005-0000-0000-0000ACB50000}"/>
    <cellStyle name="Heading 3 170" xfId="46517" xr:uid="{00000000-0005-0000-0000-0000ADB50000}"/>
    <cellStyle name="Heading 3 170 2" xfId="46518" xr:uid="{00000000-0005-0000-0000-0000AEB50000}"/>
    <cellStyle name="Heading 3 171" xfId="46519" xr:uid="{00000000-0005-0000-0000-0000AFB50000}"/>
    <cellStyle name="Heading 3 171 2" xfId="46520" xr:uid="{00000000-0005-0000-0000-0000B0B50000}"/>
    <cellStyle name="Heading 3 172" xfId="46521" xr:uid="{00000000-0005-0000-0000-0000B1B50000}"/>
    <cellStyle name="Heading 3 172 2" xfId="46522" xr:uid="{00000000-0005-0000-0000-0000B2B50000}"/>
    <cellStyle name="Heading 3 173" xfId="46523" xr:uid="{00000000-0005-0000-0000-0000B3B50000}"/>
    <cellStyle name="Heading 3 173 2" xfId="46524" xr:uid="{00000000-0005-0000-0000-0000B4B50000}"/>
    <cellStyle name="Heading 3 174" xfId="46525" xr:uid="{00000000-0005-0000-0000-0000B5B50000}"/>
    <cellStyle name="Heading 3 174 2" xfId="46526" xr:uid="{00000000-0005-0000-0000-0000B6B50000}"/>
    <cellStyle name="Heading 3 175" xfId="46527" xr:uid="{00000000-0005-0000-0000-0000B7B50000}"/>
    <cellStyle name="Heading 3 175 2" xfId="46528" xr:uid="{00000000-0005-0000-0000-0000B8B50000}"/>
    <cellStyle name="Heading 3 176" xfId="46529" xr:uid="{00000000-0005-0000-0000-0000B9B50000}"/>
    <cellStyle name="Heading 3 176 2" xfId="46530" xr:uid="{00000000-0005-0000-0000-0000BAB50000}"/>
    <cellStyle name="Heading 3 177" xfId="46531" xr:uid="{00000000-0005-0000-0000-0000BBB50000}"/>
    <cellStyle name="Heading 3 177 2" xfId="46532" xr:uid="{00000000-0005-0000-0000-0000BCB50000}"/>
    <cellStyle name="Heading 3 178" xfId="46533" xr:uid="{00000000-0005-0000-0000-0000BDB50000}"/>
    <cellStyle name="Heading 3 178 2" xfId="46534" xr:uid="{00000000-0005-0000-0000-0000BEB50000}"/>
    <cellStyle name="Heading 3 179" xfId="46535" xr:uid="{00000000-0005-0000-0000-0000BFB50000}"/>
    <cellStyle name="Heading 3 179 2" xfId="46536" xr:uid="{00000000-0005-0000-0000-0000C0B50000}"/>
    <cellStyle name="Heading 3 18" xfId="46537" xr:uid="{00000000-0005-0000-0000-0000C1B50000}"/>
    <cellStyle name="Heading 3 18 2" xfId="46538" xr:uid="{00000000-0005-0000-0000-0000C2B50000}"/>
    <cellStyle name="Heading 3 18 2 2" xfId="46539" xr:uid="{00000000-0005-0000-0000-0000C3B50000}"/>
    <cellStyle name="Heading 3 18 3" xfId="46540" xr:uid="{00000000-0005-0000-0000-0000C4B50000}"/>
    <cellStyle name="Heading 3 18 4" xfId="46541" xr:uid="{00000000-0005-0000-0000-0000C5B50000}"/>
    <cellStyle name="Heading 3 180" xfId="46542" xr:uid="{00000000-0005-0000-0000-0000C6B50000}"/>
    <cellStyle name="Heading 3 180 2" xfId="46543" xr:uid="{00000000-0005-0000-0000-0000C7B50000}"/>
    <cellStyle name="Heading 3 181" xfId="46544" xr:uid="{00000000-0005-0000-0000-0000C8B50000}"/>
    <cellStyle name="Heading 3 181 2" xfId="46545" xr:uid="{00000000-0005-0000-0000-0000C9B50000}"/>
    <cellStyle name="Heading 3 182" xfId="46546" xr:uid="{00000000-0005-0000-0000-0000CAB50000}"/>
    <cellStyle name="Heading 3 182 2" xfId="46547" xr:uid="{00000000-0005-0000-0000-0000CBB50000}"/>
    <cellStyle name="Heading 3 183" xfId="46548" xr:uid="{00000000-0005-0000-0000-0000CCB50000}"/>
    <cellStyle name="Heading 3 183 2" xfId="46549" xr:uid="{00000000-0005-0000-0000-0000CDB50000}"/>
    <cellStyle name="Heading 3 184" xfId="46550" xr:uid="{00000000-0005-0000-0000-0000CEB50000}"/>
    <cellStyle name="Heading 3 184 2" xfId="46551" xr:uid="{00000000-0005-0000-0000-0000CFB50000}"/>
    <cellStyle name="Heading 3 185" xfId="46552" xr:uid="{00000000-0005-0000-0000-0000D0B50000}"/>
    <cellStyle name="Heading 3 185 2" xfId="46553" xr:uid="{00000000-0005-0000-0000-0000D1B50000}"/>
    <cellStyle name="Heading 3 186" xfId="46554" xr:uid="{00000000-0005-0000-0000-0000D2B50000}"/>
    <cellStyle name="Heading 3 186 2" xfId="46555" xr:uid="{00000000-0005-0000-0000-0000D3B50000}"/>
    <cellStyle name="Heading 3 187" xfId="46556" xr:uid="{00000000-0005-0000-0000-0000D4B50000}"/>
    <cellStyle name="Heading 3 187 2" xfId="46557" xr:uid="{00000000-0005-0000-0000-0000D5B50000}"/>
    <cellStyle name="Heading 3 188" xfId="46558" xr:uid="{00000000-0005-0000-0000-0000D6B50000}"/>
    <cellStyle name="Heading 3 188 2" xfId="46559" xr:uid="{00000000-0005-0000-0000-0000D7B50000}"/>
    <cellStyle name="Heading 3 189" xfId="46560" xr:uid="{00000000-0005-0000-0000-0000D8B50000}"/>
    <cellStyle name="Heading 3 189 2" xfId="46561" xr:uid="{00000000-0005-0000-0000-0000D9B50000}"/>
    <cellStyle name="Heading 3 19" xfId="46562" xr:uid="{00000000-0005-0000-0000-0000DAB50000}"/>
    <cellStyle name="Heading 3 19 2" xfId="46563" xr:uid="{00000000-0005-0000-0000-0000DBB50000}"/>
    <cellStyle name="Heading 3 19 2 2" xfId="46564" xr:uid="{00000000-0005-0000-0000-0000DCB50000}"/>
    <cellStyle name="Heading 3 19 3" xfId="46565" xr:uid="{00000000-0005-0000-0000-0000DDB50000}"/>
    <cellStyle name="Heading 3 19 4" xfId="46566" xr:uid="{00000000-0005-0000-0000-0000DEB50000}"/>
    <cellStyle name="Heading 3 190" xfId="46567" xr:uid="{00000000-0005-0000-0000-0000DFB50000}"/>
    <cellStyle name="Heading 3 190 2" xfId="46568" xr:uid="{00000000-0005-0000-0000-0000E0B50000}"/>
    <cellStyle name="Heading 3 191" xfId="46569" xr:uid="{00000000-0005-0000-0000-0000E1B50000}"/>
    <cellStyle name="Heading 3 191 2" xfId="46570" xr:uid="{00000000-0005-0000-0000-0000E2B50000}"/>
    <cellStyle name="Heading 3 192" xfId="46571" xr:uid="{00000000-0005-0000-0000-0000E3B50000}"/>
    <cellStyle name="Heading 3 192 2" xfId="46572" xr:uid="{00000000-0005-0000-0000-0000E4B50000}"/>
    <cellStyle name="Heading 3 193" xfId="46573" xr:uid="{00000000-0005-0000-0000-0000E5B50000}"/>
    <cellStyle name="Heading 3 193 2" xfId="46574" xr:uid="{00000000-0005-0000-0000-0000E6B50000}"/>
    <cellStyle name="Heading 3 194" xfId="46575" xr:uid="{00000000-0005-0000-0000-0000E7B50000}"/>
    <cellStyle name="Heading 3 194 2" xfId="46576" xr:uid="{00000000-0005-0000-0000-0000E8B50000}"/>
    <cellStyle name="Heading 3 195" xfId="46577" xr:uid="{00000000-0005-0000-0000-0000E9B50000}"/>
    <cellStyle name="Heading 3 195 2" xfId="46578" xr:uid="{00000000-0005-0000-0000-0000EAB50000}"/>
    <cellStyle name="Heading 3 196" xfId="46579" xr:uid="{00000000-0005-0000-0000-0000EBB50000}"/>
    <cellStyle name="Heading 3 196 2" xfId="46580" xr:uid="{00000000-0005-0000-0000-0000ECB50000}"/>
    <cellStyle name="Heading 3 197" xfId="46581" xr:uid="{00000000-0005-0000-0000-0000EDB50000}"/>
    <cellStyle name="Heading 3 197 2" xfId="46582" xr:uid="{00000000-0005-0000-0000-0000EEB50000}"/>
    <cellStyle name="Heading 3 198" xfId="46583" xr:uid="{00000000-0005-0000-0000-0000EFB50000}"/>
    <cellStyle name="Heading 3 198 2" xfId="46584" xr:uid="{00000000-0005-0000-0000-0000F0B50000}"/>
    <cellStyle name="Heading 3 2" xfId="46585" xr:uid="{00000000-0005-0000-0000-0000F1B50000}"/>
    <cellStyle name="Heading 3 2 2" xfId="46586" xr:uid="{00000000-0005-0000-0000-0000F2B50000}"/>
    <cellStyle name="Heading 3 2 2 2" xfId="46587" xr:uid="{00000000-0005-0000-0000-0000F3B50000}"/>
    <cellStyle name="Heading 3 2 2 2 2" xfId="46588" xr:uid="{00000000-0005-0000-0000-0000F4B50000}"/>
    <cellStyle name="Heading 3 2 2 2 2 2" xfId="46589" xr:uid="{00000000-0005-0000-0000-0000F5B50000}"/>
    <cellStyle name="Heading 3 2 2 2 2 2 2" xfId="46590" xr:uid="{00000000-0005-0000-0000-0000F6B50000}"/>
    <cellStyle name="Heading 3 2 2 2 2 3" xfId="46591" xr:uid="{00000000-0005-0000-0000-0000F7B50000}"/>
    <cellStyle name="Heading 3 2 2 2 2 4" xfId="46592" xr:uid="{00000000-0005-0000-0000-0000F8B50000}"/>
    <cellStyle name="Heading 3 2 2 2 3" xfId="46593" xr:uid="{00000000-0005-0000-0000-0000F9B50000}"/>
    <cellStyle name="Heading 3 2 2 3" xfId="46594" xr:uid="{00000000-0005-0000-0000-0000FAB50000}"/>
    <cellStyle name="Heading 3 2 2 3 2" xfId="46595" xr:uid="{00000000-0005-0000-0000-0000FBB50000}"/>
    <cellStyle name="Heading 3 2 2 4" xfId="46596" xr:uid="{00000000-0005-0000-0000-0000FCB50000}"/>
    <cellStyle name="Heading 3 2 2 4 2" xfId="46597" xr:uid="{00000000-0005-0000-0000-0000FDB50000}"/>
    <cellStyle name="Heading 3 2 2 5" xfId="46598" xr:uid="{00000000-0005-0000-0000-0000FEB50000}"/>
    <cellStyle name="Heading 3 2 2 6" xfId="46599" xr:uid="{00000000-0005-0000-0000-0000FFB50000}"/>
    <cellStyle name="Heading 3 2 3" xfId="46600" xr:uid="{00000000-0005-0000-0000-000000B60000}"/>
    <cellStyle name="Heading 3 2 3 2" xfId="46601" xr:uid="{00000000-0005-0000-0000-000001B60000}"/>
    <cellStyle name="Heading 3 2 3 3" xfId="46602" xr:uid="{00000000-0005-0000-0000-000002B60000}"/>
    <cellStyle name="Heading 3 2 4" xfId="46603" xr:uid="{00000000-0005-0000-0000-000003B60000}"/>
    <cellStyle name="Heading 3 2 4 2" xfId="46604" xr:uid="{00000000-0005-0000-0000-000004B60000}"/>
    <cellStyle name="Heading 3 2 4 3" xfId="46605" xr:uid="{00000000-0005-0000-0000-000005B60000}"/>
    <cellStyle name="Heading 3 2 5" xfId="46606" xr:uid="{00000000-0005-0000-0000-000006B60000}"/>
    <cellStyle name="Heading 3 2 5 2" xfId="46607" xr:uid="{00000000-0005-0000-0000-000007B60000}"/>
    <cellStyle name="Heading 3 2 6" xfId="46608" xr:uid="{00000000-0005-0000-0000-000008B60000}"/>
    <cellStyle name="Heading 3 2 7" xfId="46609" xr:uid="{00000000-0005-0000-0000-000009B60000}"/>
    <cellStyle name="Heading 3 20" xfId="46610" xr:uid="{00000000-0005-0000-0000-00000AB60000}"/>
    <cellStyle name="Heading 3 20 2" xfId="46611" xr:uid="{00000000-0005-0000-0000-00000BB60000}"/>
    <cellStyle name="Heading 3 20 2 2" xfId="46612" xr:uid="{00000000-0005-0000-0000-00000CB60000}"/>
    <cellStyle name="Heading 3 20 3" xfId="46613" xr:uid="{00000000-0005-0000-0000-00000DB60000}"/>
    <cellStyle name="Heading 3 20 4" xfId="46614" xr:uid="{00000000-0005-0000-0000-00000EB60000}"/>
    <cellStyle name="Heading 3 21" xfId="46615" xr:uid="{00000000-0005-0000-0000-00000FB60000}"/>
    <cellStyle name="Heading 3 21 2" xfId="46616" xr:uid="{00000000-0005-0000-0000-000010B60000}"/>
    <cellStyle name="Heading 3 21 2 2" xfId="46617" xr:uid="{00000000-0005-0000-0000-000011B60000}"/>
    <cellStyle name="Heading 3 21 3" xfId="46618" xr:uid="{00000000-0005-0000-0000-000012B60000}"/>
    <cellStyle name="Heading 3 21 4" xfId="46619" xr:uid="{00000000-0005-0000-0000-000013B60000}"/>
    <cellStyle name="Heading 3 22" xfId="46620" xr:uid="{00000000-0005-0000-0000-000014B60000}"/>
    <cellStyle name="Heading 3 22 2" xfId="46621" xr:uid="{00000000-0005-0000-0000-000015B60000}"/>
    <cellStyle name="Heading 3 22 2 2" xfId="46622" xr:uid="{00000000-0005-0000-0000-000016B60000}"/>
    <cellStyle name="Heading 3 22 3" xfId="46623" xr:uid="{00000000-0005-0000-0000-000017B60000}"/>
    <cellStyle name="Heading 3 22 4" xfId="46624" xr:uid="{00000000-0005-0000-0000-000018B60000}"/>
    <cellStyle name="Heading 3 23" xfId="46625" xr:uid="{00000000-0005-0000-0000-000019B60000}"/>
    <cellStyle name="Heading 3 23 2" xfId="46626" xr:uid="{00000000-0005-0000-0000-00001AB60000}"/>
    <cellStyle name="Heading 3 23 2 2" xfId="46627" xr:uid="{00000000-0005-0000-0000-00001BB60000}"/>
    <cellStyle name="Heading 3 23 3" xfId="46628" xr:uid="{00000000-0005-0000-0000-00001CB60000}"/>
    <cellStyle name="Heading 3 23 4" xfId="46629" xr:uid="{00000000-0005-0000-0000-00001DB60000}"/>
    <cellStyle name="Heading 3 24" xfId="46630" xr:uid="{00000000-0005-0000-0000-00001EB60000}"/>
    <cellStyle name="Heading 3 24 2" xfId="46631" xr:uid="{00000000-0005-0000-0000-00001FB60000}"/>
    <cellStyle name="Heading 3 24 2 2" xfId="46632" xr:uid="{00000000-0005-0000-0000-000020B60000}"/>
    <cellStyle name="Heading 3 24 3" xfId="46633" xr:uid="{00000000-0005-0000-0000-000021B60000}"/>
    <cellStyle name="Heading 3 24 4" xfId="46634" xr:uid="{00000000-0005-0000-0000-000022B60000}"/>
    <cellStyle name="Heading 3 25" xfId="46635" xr:uid="{00000000-0005-0000-0000-000023B60000}"/>
    <cellStyle name="Heading 3 25 2" xfId="46636" xr:uid="{00000000-0005-0000-0000-000024B60000}"/>
    <cellStyle name="Heading 3 25 2 2" xfId="46637" xr:uid="{00000000-0005-0000-0000-000025B60000}"/>
    <cellStyle name="Heading 3 25 3" xfId="46638" xr:uid="{00000000-0005-0000-0000-000026B60000}"/>
    <cellStyle name="Heading 3 25 4" xfId="46639" xr:uid="{00000000-0005-0000-0000-000027B60000}"/>
    <cellStyle name="Heading 3 26" xfId="46640" xr:uid="{00000000-0005-0000-0000-000028B60000}"/>
    <cellStyle name="Heading 3 26 2" xfId="46641" xr:uid="{00000000-0005-0000-0000-000029B60000}"/>
    <cellStyle name="Heading 3 26 2 2" xfId="46642" xr:uid="{00000000-0005-0000-0000-00002AB60000}"/>
    <cellStyle name="Heading 3 26 3" xfId="46643" xr:uid="{00000000-0005-0000-0000-00002BB60000}"/>
    <cellStyle name="Heading 3 26 4" xfId="46644" xr:uid="{00000000-0005-0000-0000-00002CB60000}"/>
    <cellStyle name="Heading 3 27" xfId="46645" xr:uid="{00000000-0005-0000-0000-00002DB60000}"/>
    <cellStyle name="Heading 3 27 2" xfId="46646" xr:uid="{00000000-0005-0000-0000-00002EB60000}"/>
    <cellStyle name="Heading 3 27 2 2" xfId="46647" xr:uid="{00000000-0005-0000-0000-00002FB60000}"/>
    <cellStyle name="Heading 3 27 3" xfId="46648" xr:uid="{00000000-0005-0000-0000-000030B60000}"/>
    <cellStyle name="Heading 3 27 4" xfId="46649" xr:uid="{00000000-0005-0000-0000-000031B60000}"/>
    <cellStyle name="Heading 3 28" xfId="46650" xr:uid="{00000000-0005-0000-0000-000032B60000}"/>
    <cellStyle name="Heading 3 28 2" xfId="46651" xr:uid="{00000000-0005-0000-0000-000033B60000}"/>
    <cellStyle name="Heading 3 28 2 2" xfId="46652" xr:uid="{00000000-0005-0000-0000-000034B60000}"/>
    <cellStyle name="Heading 3 28 3" xfId="46653" xr:uid="{00000000-0005-0000-0000-000035B60000}"/>
    <cellStyle name="Heading 3 28 4" xfId="46654" xr:uid="{00000000-0005-0000-0000-000036B60000}"/>
    <cellStyle name="Heading 3 29" xfId="46655" xr:uid="{00000000-0005-0000-0000-000037B60000}"/>
    <cellStyle name="Heading 3 29 2" xfId="46656" xr:uid="{00000000-0005-0000-0000-000038B60000}"/>
    <cellStyle name="Heading 3 29 2 2" xfId="46657" xr:uid="{00000000-0005-0000-0000-000039B60000}"/>
    <cellStyle name="Heading 3 29 3" xfId="46658" xr:uid="{00000000-0005-0000-0000-00003AB60000}"/>
    <cellStyle name="Heading 3 29 4" xfId="46659" xr:uid="{00000000-0005-0000-0000-00003BB60000}"/>
    <cellStyle name="Heading 3 3" xfId="46660" xr:uid="{00000000-0005-0000-0000-00003CB60000}"/>
    <cellStyle name="Heading 3 3 2" xfId="46661" xr:uid="{00000000-0005-0000-0000-00003DB60000}"/>
    <cellStyle name="Heading 3 3 2 2" xfId="46662" xr:uid="{00000000-0005-0000-0000-00003EB60000}"/>
    <cellStyle name="Heading 3 3 3" xfId="46663" xr:uid="{00000000-0005-0000-0000-00003FB60000}"/>
    <cellStyle name="Heading 3 3 3 2" xfId="46664" xr:uid="{00000000-0005-0000-0000-000040B60000}"/>
    <cellStyle name="Heading 3 3 4" xfId="46665" xr:uid="{00000000-0005-0000-0000-000041B60000}"/>
    <cellStyle name="Heading 3 3 4 2" xfId="46666" xr:uid="{00000000-0005-0000-0000-000042B60000}"/>
    <cellStyle name="Heading 3 3 5" xfId="46667" xr:uid="{00000000-0005-0000-0000-000043B60000}"/>
    <cellStyle name="Heading 3 3 6" xfId="46668" xr:uid="{00000000-0005-0000-0000-000044B60000}"/>
    <cellStyle name="Heading 3 30" xfId="46669" xr:uid="{00000000-0005-0000-0000-000045B60000}"/>
    <cellStyle name="Heading 3 30 2" xfId="46670" xr:uid="{00000000-0005-0000-0000-000046B60000}"/>
    <cellStyle name="Heading 3 30 2 2" xfId="46671" xr:uid="{00000000-0005-0000-0000-000047B60000}"/>
    <cellStyle name="Heading 3 30 3" xfId="46672" xr:uid="{00000000-0005-0000-0000-000048B60000}"/>
    <cellStyle name="Heading 3 30 4" xfId="46673" xr:uid="{00000000-0005-0000-0000-000049B60000}"/>
    <cellStyle name="Heading 3 31" xfId="46674" xr:uid="{00000000-0005-0000-0000-00004AB60000}"/>
    <cellStyle name="Heading 3 31 2" xfId="46675" xr:uid="{00000000-0005-0000-0000-00004BB60000}"/>
    <cellStyle name="Heading 3 31 2 2" xfId="46676" xr:uid="{00000000-0005-0000-0000-00004CB60000}"/>
    <cellStyle name="Heading 3 31 3" xfId="46677" xr:uid="{00000000-0005-0000-0000-00004DB60000}"/>
    <cellStyle name="Heading 3 31 4" xfId="46678" xr:uid="{00000000-0005-0000-0000-00004EB60000}"/>
    <cellStyle name="Heading 3 32" xfId="46679" xr:uid="{00000000-0005-0000-0000-00004FB60000}"/>
    <cellStyle name="Heading 3 32 2" xfId="46680" xr:uid="{00000000-0005-0000-0000-000050B60000}"/>
    <cellStyle name="Heading 3 32 2 2" xfId="46681" xr:uid="{00000000-0005-0000-0000-000051B60000}"/>
    <cellStyle name="Heading 3 32 3" xfId="46682" xr:uid="{00000000-0005-0000-0000-000052B60000}"/>
    <cellStyle name="Heading 3 32 4" xfId="46683" xr:uid="{00000000-0005-0000-0000-000053B60000}"/>
    <cellStyle name="Heading 3 33" xfId="46684" xr:uid="{00000000-0005-0000-0000-000054B60000}"/>
    <cellStyle name="Heading 3 33 2" xfId="46685" xr:uid="{00000000-0005-0000-0000-000055B60000}"/>
    <cellStyle name="Heading 3 33 2 2" xfId="46686" xr:uid="{00000000-0005-0000-0000-000056B60000}"/>
    <cellStyle name="Heading 3 33 3" xfId="46687" xr:uid="{00000000-0005-0000-0000-000057B60000}"/>
    <cellStyle name="Heading 3 33 4" xfId="46688" xr:uid="{00000000-0005-0000-0000-000058B60000}"/>
    <cellStyle name="Heading 3 34" xfId="46689" xr:uid="{00000000-0005-0000-0000-000059B60000}"/>
    <cellStyle name="Heading 3 34 2" xfId="46690" xr:uid="{00000000-0005-0000-0000-00005AB60000}"/>
    <cellStyle name="Heading 3 34 2 2" xfId="46691" xr:uid="{00000000-0005-0000-0000-00005BB60000}"/>
    <cellStyle name="Heading 3 34 3" xfId="46692" xr:uid="{00000000-0005-0000-0000-00005CB60000}"/>
    <cellStyle name="Heading 3 34 4" xfId="46693" xr:uid="{00000000-0005-0000-0000-00005DB60000}"/>
    <cellStyle name="Heading 3 35" xfId="46694" xr:uid="{00000000-0005-0000-0000-00005EB60000}"/>
    <cellStyle name="Heading 3 35 2" xfId="46695" xr:uid="{00000000-0005-0000-0000-00005FB60000}"/>
    <cellStyle name="Heading 3 35 2 2" xfId="46696" xr:uid="{00000000-0005-0000-0000-000060B60000}"/>
    <cellStyle name="Heading 3 35 3" xfId="46697" xr:uid="{00000000-0005-0000-0000-000061B60000}"/>
    <cellStyle name="Heading 3 35 4" xfId="46698" xr:uid="{00000000-0005-0000-0000-000062B60000}"/>
    <cellStyle name="Heading 3 36" xfId="46699" xr:uid="{00000000-0005-0000-0000-000063B60000}"/>
    <cellStyle name="Heading 3 36 2" xfId="46700" xr:uid="{00000000-0005-0000-0000-000064B60000}"/>
    <cellStyle name="Heading 3 36 2 2" xfId="46701" xr:uid="{00000000-0005-0000-0000-000065B60000}"/>
    <cellStyle name="Heading 3 36 3" xfId="46702" xr:uid="{00000000-0005-0000-0000-000066B60000}"/>
    <cellStyle name="Heading 3 36 4" xfId="46703" xr:uid="{00000000-0005-0000-0000-000067B60000}"/>
    <cellStyle name="Heading 3 37" xfId="46704" xr:uid="{00000000-0005-0000-0000-000068B60000}"/>
    <cellStyle name="Heading 3 37 2" xfId="46705" xr:uid="{00000000-0005-0000-0000-000069B60000}"/>
    <cellStyle name="Heading 3 37 2 2" xfId="46706" xr:uid="{00000000-0005-0000-0000-00006AB60000}"/>
    <cellStyle name="Heading 3 37 3" xfId="46707" xr:uid="{00000000-0005-0000-0000-00006BB60000}"/>
    <cellStyle name="Heading 3 37 4" xfId="46708" xr:uid="{00000000-0005-0000-0000-00006CB60000}"/>
    <cellStyle name="Heading 3 38" xfId="46709" xr:uid="{00000000-0005-0000-0000-00006DB60000}"/>
    <cellStyle name="Heading 3 38 2" xfId="46710" xr:uid="{00000000-0005-0000-0000-00006EB60000}"/>
    <cellStyle name="Heading 3 38 2 2" xfId="46711" xr:uid="{00000000-0005-0000-0000-00006FB60000}"/>
    <cellStyle name="Heading 3 38 3" xfId="46712" xr:uid="{00000000-0005-0000-0000-000070B60000}"/>
    <cellStyle name="Heading 3 38 4" xfId="46713" xr:uid="{00000000-0005-0000-0000-000071B60000}"/>
    <cellStyle name="Heading 3 39" xfId="46714" xr:uid="{00000000-0005-0000-0000-000072B60000}"/>
    <cellStyle name="Heading 3 39 2" xfId="46715" xr:uid="{00000000-0005-0000-0000-000073B60000}"/>
    <cellStyle name="Heading 3 39 2 2" xfId="46716" xr:uid="{00000000-0005-0000-0000-000074B60000}"/>
    <cellStyle name="Heading 3 39 3" xfId="46717" xr:uid="{00000000-0005-0000-0000-000075B60000}"/>
    <cellStyle name="Heading 3 39 4" xfId="46718" xr:uid="{00000000-0005-0000-0000-000076B60000}"/>
    <cellStyle name="Heading 3 4" xfId="46719" xr:uid="{00000000-0005-0000-0000-000077B60000}"/>
    <cellStyle name="Heading 3 4 2" xfId="46720" xr:uid="{00000000-0005-0000-0000-000078B60000}"/>
    <cellStyle name="Heading 3 4 2 2" xfId="46721" xr:uid="{00000000-0005-0000-0000-000079B60000}"/>
    <cellStyle name="Heading 3 4 3" xfId="46722" xr:uid="{00000000-0005-0000-0000-00007AB60000}"/>
    <cellStyle name="Heading 3 4 3 2" xfId="46723" xr:uid="{00000000-0005-0000-0000-00007BB60000}"/>
    <cellStyle name="Heading 3 4 4" xfId="46724" xr:uid="{00000000-0005-0000-0000-00007CB60000}"/>
    <cellStyle name="Heading 3 4 4 2" xfId="46725" xr:uid="{00000000-0005-0000-0000-00007DB60000}"/>
    <cellStyle name="Heading 3 4 5" xfId="46726" xr:uid="{00000000-0005-0000-0000-00007EB60000}"/>
    <cellStyle name="Heading 3 4 6" xfId="46727" xr:uid="{00000000-0005-0000-0000-00007FB60000}"/>
    <cellStyle name="Heading 3 40" xfId="46728" xr:uid="{00000000-0005-0000-0000-000080B60000}"/>
    <cellStyle name="Heading 3 40 2" xfId="46729" xr:uid="{00000000-0005-0000-0000-000081B60000}"/>
    <cellStyle name="Heading 3 40 2 2" xfId="46730" xr:uid="{00000000-0005-0000-0000-000082B60000}"/>
    <cellStyle name="Heading 3 40 3" xfId="46731" xr:uid="{00000000-0005-0000-0000-000083B60000}"/>
    <cellStyle name="Heading 3 40 4" xfId="46732" xr:uid="{00000000-0005-0000-0000-000084B60000}"/>
    <cellStyle name="Heading 3 41" xfId="46733" xr:uid="{00000000-0005-0000-0000-000085B60000}"/>
    <cellStyle name="Heading 3 41 2" xfId="46734" xr:uid="{00000000-0005-0000-0000-000086B60000}"/>
    <cellStyle name="Heading 3 41 2 2" xfId="46735" xr:uid="{00000000-0005-0000-0000-000087B60000}"/>
    <cellStyle name="Heading 3 41 3" xfId="46736" xr:uid="{00000000-0005-0000-0000-000088B60000}"/>
    <cellStyle name="Heading 3 41 4" xfId="46737" xr:uid="{00000000-0005-0000-0000-000089B60000}"/>
    <cellStyle name="Heading 3 42" xfId="46738" xr:uid="{00000000-0005-0000-0000-00008AB60000}"/>
    <cellStyle name="Heading 3 42 2" xfId="46739" xr:uid="{00000000-0005-0000-0000-00008BB60000}"/>
    <cellStyle name="Heading 3 42 2 2" xfId="46740" xr:uid="{00000000-0005-0000-0000-00008CB60000}"/>
    <cellStyle name="Heading 3 42 3" xfId="46741" xr:uid="{00000000-0005-0000-0000-00008DB60000}"/>
    <cellStyle name="Heading 3 42 4" xfId="46742" xr:uid="{00000000-0005-0000-0000-00008EB60000}"/>
    <cellStyle name="Heading 3 43" xfId="46743" xr:uid="{00000000-0005-0000-0000-00008FB60000}"/>
    <cellStyle name="Heading 3 43 2" xfId="46744" xr:uid="{00000000-0005-0000-0000-000090B60000}"/>
    <cellStyle name="Heading 3 43 2 2" xfId="46745" xr:uid="{00000000-0005-0000-0000-000091B60000}"/>
    <cellStyle name="Heading 3 43 3" xfId="46746" xr:uid="{00000000-0005-0000-0000-000092B60000}"/>
    <cellStyle name="Heading 3 43 4" xfId="46747" xr:uid="{00000000-0005-0000-0000-000093B60000}"/>
    <cellStyle name="Heading 3 44" xfId="46748" xr:uid="{00000000-0005-0000-0000-000094B60000}"/>
    <cellStyle name="Heading 3 44 2" xfId="46749" xr:uid="{00000000-0005-0000-0000-000095B60000}"/>
    <cellStyle name="Heading 3 44 2 2" xfId="46750" xr:uid="{00000000-0005-0000-0000-000096B60000}"/>
    <cellStyle name="Heading 3 44 3" xfId="46751" xr:uid="{00000000-0005-0000-0000-000097B60000}"/>
    <cellStyle name="Heading 3 44 4" xfId="46752" xr:uid="{00000000-0005-0000-0000-000098B60000}"/>
    <cellStyle name="Heading 3 45" xfId="46753" xr:uid="{00000000-0005-0000-0000-000099B60000}"/>
    <cellStyle name="Heading 3 45 2" xfId="46754" xr:uid="{00000000-0005-0000-0000-00009AB60000}"/>
    <cellStyle name="Heading 3 45 2 2" xfId="46755" xr:uid="{00000000-0005-0000-0000-00009BB60000}"/>
    <cellStyle name="Heading 3 45 3" xfId="46756" xr:uid="{00000000-0005-0000-0000-00009CB60000}"/>
    <cellStyle name="Heading 3 45 4" xfId="46757" xr:uid="{00000000-0005-0000-0000-00009DB60000}"/>
    <cellStyle name="Heading 3 46" xfId="46758" xr:uid="{00000000-0005-0000-0000-00009EB60000}"/>
    <cellStyle name="Heading 3 46 2" xfId="46759" xr:uid="{00000000-0005-0000-0000-00009FB60000}"/>
    <cellStyle name="Heading 3 46 2 2" xfId="46760" xr:uid="{00000000-0005-0000-0000-0000A0B60000}"/>
    <cellStyle name="Heading 3 46 3" xfId="46761" xr:uid="{00000000-0005-0000-0000-0000A1B60000}"/>
    <cellStyle name="Heading 3 46 4" xfId="46762" xr:uid="{00000000-0005-0000-0000-0000A2B60000}"/>
    <cellStyle name="Heading 3 47" xfId="46763" xr:uid="{00000000-0005-0000-0000-0000A3B60000}"/>
    <cellStyle name="Heading 3 47 2" xfId="46764" xr:uid="{00000000-0005-0000-0000-0000A4B60000}"/>
    <cellStyle name="Heading 3 47 2 2" xfId="46765" xr:uid="{00000000-0005-0000-0000-0000A5B60000}"/>
    <cellStyle name="Heading 3 47 3" xfId="46766" xr:uid="{00000000-0005-0000-0000-0000A6B60000}"/>
    <cellStyle name="Heading 3 47 4" xfId="46767" xr:uid="{00000000-0005-0000-0000-0000A7B60000}"/>
    <cellStyle name="Heading 3 48" xfId="46768" xr:uid="{00000000-0005-0000-0000-0000A8B60000}"/>
    <cellStyle name="Heading 3 48 2" xfId="46769" xr:uid="{00000000-0005-0000-0000-0000A9B60000}"/>
    <cellStyle name="Heading 3 48 2 2" xfId="46770" xr:uid="{00000000-0005-0000-0000-0000AAB60000}"/>
    <cellStyle name="Heading 3 48 3" xfId="46771" xr:uid="{00000000-0005-0000-0000-0000ABB60000}"/>
    <cellStyle name="Heading 3 48 4" xfId="46772" xr:uid="{00000000-0005-0000-0000-0000ACB60000}"/>
    <cellStyle name="Heading 3 49" xfId="46773" xr:uid="{00000000-0005-0000-0000-0000ADB60000}"/>
    <cellStyle name="Heading 3 49 2" xfId="46774" xr:uid="{00000000-0005-0000-0000-0000AEB60000}"/>
    <cellStyle name="Heading 3 49 2 2" xfId="46775" xr:uid="{00000000-0005-0000-0000-0000AFB60000}"/>
    <cellStyle name="Heading 3 49 3" xfId="46776" xr:uid="{00000000-0005-0000-0000-0000B0B60000}"/>
    <cellStyle name="Heading 3 49 4" xfId="46777" xr:uid="{00000000-0005-0000-0000-0000B1B60000}"/>
    <cellStyle name="Heading 3 5" xfId="46778" xr:uid="{00000000-0005-0000-0000-0000B2B60000}"/>
    <cellStyle name="Heading 3 5 2" xfId="46779" xr:uid="{00000000-0005-0000-0000-0000B3B60000}"/>
    <cellStyle name="Heading 3 5 2 2" xfId="46780" xr:uid="{00000000-0005-0000-0000-0000B4B60000}"/>
    <cellStyle name="Heading 3 5 3" xfId="46781" xr:uid="{00000000-0005-0000-0000-0000B5B60000}"/>
    <cellStyle name="Heading 3 5 3 2" xfId="46782" xr:uid="{00000000-0005-0000-0000-0000B6B60000}"/>
    <cellStyle name="Heading 3 5 4" xfId="46783" xr:uid="{00000000-0005-0000-0000-0000B7B60000}"/>
    <cellStyle name="Heading 3 5 4 2" xfId="46784" xr:uid="{00000000-0005-0000-0000-0000B8B60000}"/>
    <cellStyle name="Heading 3 5 5" xfId="46785" xr:uid="{00000000-0005-0000-0000-0000B9B60000}"/>
    <cellStyle name="Heading 3 5 6" xfId="46786" xr:uid="{00000000-0005-0000-0000-0000BAB60000}"/>
    <cellStyle name="Heading 3 50" xfId="46787" xr:uid="{00000000-0005-0000-0000-0000BBB60000}"/>
    <cellStyle name="Heading 3 50 2" xfId="46788" xr:uid="{00000000-0005-0000-0000-0000BCB60000}"/>
    <cellStyle name="Heading 3 50 2 2" xfId="46789" xr:uid="{00000000-0005-0000-0000-0000BDB60000}"/>
    <cellStyle name="Heading 3 50 3" xfId="46790" xr:uid="{00000000-0005-0000-0000-0000BEB60000}"/>
    <cellStyle name="Heading 3 50 4" xfId="46791" xr:uid="{00000000-0005-0000-0000-0000BFB60000}"/>
    <cellStyle name="Heading 3 51" xfId="46792" xr:uid="{00000000-0005-0000-0000-0000C0B60000}"/>
    <cellStyle name="Heading 3 51 2" xfId="46793" xr:uid="{00000000-0005-0000-0000-0000C1B60000}"/>
    <cellStyle name="Heading 3 51 2 2" xfId="46794" xr:uid="{00000000-0005-0000-0000-0000C2B60000}"/>
    <cellStyle name="Heading 3 51 3" xfId="46795" xr:uid="{00000000-0005-0000-0000-0000C3B60000}"/>
    <cellStyle name="Heading 3 51 4" xfId="46796" xr:uid="{00000000-0005-0000-0000-0000C4B60000}"/>
    <cellStyle name="Heading 3 52" xfId="46797" xr:uid="{00000000-0005-0000-0000-0000C5B60000}"/>
    <cellStyle name="Heading 3 52 2" xfId="46798" xr:uid="{00000000-0005-0000-0000-0000C6B60000}"/>
    <cellStyle name="Heading 3 52 2 2" xfId="46799" xr:uid="{00000000-0005-0000-0000-0000C7B60000}"/>
    <cellStyle name="Heading 3 52 3" xfId="46800" xr:uid="{00000000-0005-0000-0000-0000C8B60000}"/>
    <cellStyle name="Heading 3 52 4" xfId="46801" xr:uid="{00000000-0005-0000-0000-0000C9B60000}"/>
    <cellStyle name="Heading 3 53" xfId="46802" xr:uid="{00000000-0005-0000-0000-0000CAB60000}"/>
    <cellStyle name="Heading 3 53 2" xfId="46803" xr:uid="{00000000-0005-0000-0000-0000CBB60000}"/>
    <cellStyle name="Heading 3 53 2 2" xfId="46804" xr:uid="{00000000-0005-0000-0000-0000CCB60000}"/>
    <cellStyle name="Heading 3 53 3" xfId="46805" xr:uid="{00000000-0005-0000-0000-0000CDB60000}"/>
    <cellStyle name="Heading 3 53 4" xfId="46806" xr:uid="{00000000-0005-0000-0000-0000CEB60000}"/>
    <cellStyle name="Heading 3 54" xfId="46807" xr:uid="{00000000-0005-0000-0000-0000CFB60000}"/>
    <cellStyle name="Heading 3 54 2" xfId="46808" xr:uid="{00000000-0005-0000-0000-0000D0B60000}"/>
    <cellStyle name="Heading 3 54 2 2" xfId="46809" xr:uid="{00000000-0005-0000-0000-0000D1B60000}"/>
    <cellStyle name="Heading 3 54 3" xfId="46810" xr:uid="{00000000-0005-0000-0000-0000D2B60000}"/>
    <cellStyle name="Heading 3 54 4" xfId="46811" xr:uid="{00000000-0005-0000-0000-0000D3B60000}"/>
    <cellStyle name="Heading 3 55" xfId="46812" xr:uid="{00000000-0005-0000-0000-0000D4B60000}"/>
    <cellStyle name="Heading 3 55 2" xfId="46813" xr:uid="{00000000-0005-0000-0000-0000D5B60000}"/>
    <cellStyle name="Heading 3 55 2 2" xfId="46814" xr:uid="{00000000-0005-0000-0000-0000D6B60000}"/>
    <cellStyle name="Heading 3 55 3" xfId="46815" xr:uid="{00000000-0005-0000-0000-0000D7B60000}"/>
    <cellStyle name="Heading 3 55 4" xfId="46816" xr:uid="{00000000-0005-0000-0000-0000D8B60000}"/>
    <cellStyle name="Heading 3 56" xfId="46817" xr:uid="{00000000-0005-0000-0000-0000D9B60000}"/>
    <cellStyle name="Heading 3 56 2" xfId="46818" xr:uid="{00000000-0005-0000-0000-0000DAB60000}"/>
    <cellStyle name="Heading 3 56 2 2" xfId="46819" xr:uid="{00000000-0005-0000-0000-0000DBB60000}"/>
    <cellStyle name="Heading 3 56 3" xfId="46820" xr:uid="{00000000-0005-0000-0000-0000DCB60000}"/>
    <cellStyle name="Heading 3 56 4" xfId="46821" xr:uid="{00000000-0005-0000-0000-0000DDB60000}"/>
    <cellStyle name="Heading 3 57" xfId="46822" xr:uid="{00000000-0005-0000-0000-0000DEB60000}"/>
    <cellStyle name="Heading 3 57 2" xfId="46823" xr:uid="{00000000-0005-0000-0000-0000DFB60000}"/>
    <cellStyle name="Heading 3 57 2 2" xfId="46824" xr:uid="{00000000-0005-0000-0000-0000E0B60000}"/>
    <cellStyle name="Heading 3 57 3" xfId="46825" xr:uid="{00000000-0005-0000-0000-0000E1B60000}"/>
    <cellStyle name="Heading 3 57 4" xfId="46826" xr:uid="{00000000-0005-0000-0000-0000E2B60000}"/>
    <cellStyle name="Heading 3 58" xfId="46827" xr:uid="{00000000-0005-0000-0000-0000E3B60000}"/>
    <cellStyle name="Heading 3 58 2" xfId="46828" xr:uid="{00000000-0005-0000-0000-0000E4B60000}"/>
    <cellStyle name="Heading 3 58 2 2" xfId="46829" xr:uid="{00000000-0005-0000-0000-0000E5B60000}"/>
    <cellStyle name="Heading 3 58 3" xfId="46830" xr:uid="{00000000-0005-0000-0000-0000E6B60000}"/>
    <cellStyle name="Heading 3 58 4" xfId="46831" xr:uid="{00000000-0005-0000-0000-0000E7B60000}"/>
    <cellStyle name="Heading 3 59" xfId="46832" xr:uid="{00000000-0005-0000-0000-0000E8B60000}"/>
    <cellStyle name="Heading 3 59 2" xfId="46833" xr:uid="{00000000-0005-0000-0000-0000E9B60000}"/>
    <cellStyle name="Heading 3 59 2 2" xfId="46834" xr:uid="{00000000-0005-0000-0000-0000EAB60000}"/>
    <cellStyle name="Heading 3 59 3" xfId="46835" xr:uid="{00000000-0005-0000-0000-0000EBB60000}"/>
    <cellStyle name="Heading 3 59 3 2" xfId="46836" xr:uid="{00000000-0005-0000-0000-0000ECB60000}"/>
    <cellStyle name="Heading 3 59 4" xfId="46837" xr:uid="{00000000-0005-0000-0000-0000EDB60000}"/>
    <cellStyle name="Heading 3 59 5" xfId="46838" xr:uid="{00000000-0005-0000-0000-0000EEB60000}"/>
    <cellStyle name="Heading 3 6" xfId="46839" xr:uid="{00000000-0005-0000-0000-0000EFB60000}"/>
    <cellStyle name="Heading 3 6 2" xfId="46840" xr:uid="{00000000-0005-0000-0000-0000F0B60000}"/>
    <cellStyle name="Heading 3 6 2 2" xfId="46841" xr:uid="{00000000-0005-0000-0000-0000F1B60000}"/>
    <cellStyle name="Heading 3 6 3" xfId="46842" xr:uid="{00000000-0005-0000-0000-0000F2B60000}"/>
    <cellStyle name="Heading 3 6 3 2" xfId="46843" xr:uid="{00000000-0005-0000-0000-0000F3B60000}"/>
    <cellStyle name="Heading 3 6 4" xfId="46844" xr:uid="{00000000-0005-0000-0000-0000F4B60000}"/>
    <cellStyle name="Heading 3 6 4 2" xfId="46845" xr:uid="{00000000-0005-0000-0000-0000F5B60000}"/>
    <cellStyle name="Heading 3 6 5" xfId="46846" xr:uid="{00000000-0005-0000-0000-0000F6B60000}"/>
    <cellStyle name="Heading 3 6 6" xfId="46847" xr:uid="{00000000-0005-0000-0000-0000F7B60000}"/>
    <cellStyle name="Heading 3 60" xfId="46848" xr:uid="{00000000-0005-0000-0000-0000F8B60000}"/>
    <cellStyle name="Heading 3 60 2" xfId="46849" xr:uid="{00000000-0005-0000-0000-0000F9B60000}"/>
    <cellStyle name="Heading 3 60 2 2" xfId="46850" xr:uid="{00000000-0005-0000-0000-0000FAB60000}"/>
    <cellStyle name="Heading 3 60 3" xfId="46851" xr:uid="{00000000-0005-0000-0000-0000FBB60000}"/>
    <cellStyle name="Heading 3 60 4" xfId="46852" xr:uid="{00000000-0005-0000-0000-0000FCB60000}"/>
    <cellStyle name="Heading 3 61" xfId="46853" xr:uid="{00000000-0005-0000-0000-0000FDB60000}"/>
    <cellStyle name="Heading 3 61 2" xfId="46854" xr:uid="{00000000-0005-0000-0000-0000FEB60000}"/>
    <cellStyle name="Heading 3 61 2 2" xfId="46855" xr:uid="{00000000-0005-0000-0000-0000FFB60000}"/>
    <cellStyle name="Heading 3 61 3" xfId="46856" xr:uid="{00000000-0005-0000-0000-000000B70000}"/>
    <cellStyle name="Heading 3 61 4" xfId="46857" xr:uid="{00000000-0005-0000-0000-000001B70000}"/>
    <cellStyle name="Heading 3 62" xfId="46858" xr:uid="{00000000-0005-0000-0000-000002B70000}"/>
    <cellStyle name="Heading 3 62 2" xfId="46859" xr:uid="{00000000-0005-0000-0000-000003B70000}"/>
    <cellStyle name="Heading 3 62 2 2" xfId="46860" xr:uid="{00000000-0005-0000-0000-000004B70000}"/>
    <cellStyle name="Heading 3 62 3" xfId="46861" xr:uid="{00000000-0005-0000-0000-000005B70000}"/>
    <cellStyle name="Heading 3 62 4" xfId="46862" xr:uid="{00000000-0005-0000-0000-000006B70000}"/>
    <cellStyle name="Heading 3 63" xfId="46863" xr:uid="{00000000-0005-0000-0000-000007B70000}"/>
    <cellStyle name="Heading 3 63 2" xfId="46864" xr:uid="{00000000-0005-0000-0000-000008B70000}"/>
    <cellStyle name="Heading 3 63 2 2" xfId="46865" xr:uid="{00000000-0005-0000-0000-000009B70000}"/>
    <cellStyle name="Heading 3 63 3" xfId="46866" xr:uid="{00000000-0005-0000-0000-00000AB70000}"/>
    <cellStyle name="Heading 3 63 4" xfId="46867" xr:uid="{00000000-0005-0000-0000-00000BB70000}"/>
    <cellStyle name="Heading 3 64" xfId="46868" xr:uid="{00000000-0005-0000-0000-00000CB70000}"/>
    <cellStyle name="Heading 3 64 2" xfId="46869" xr:uid="{00000000-0005-0000-0000-00000DB70000}"/>
    <cellStyle name="Heading 3 64 2 2" xfId="46870" xr:uid="{00000000-0005-0000-0000-00000EB70000}"/>
    <cellStyle name="Heading 3 64 3" xfId="46871" xr:uid="{00000000-0005-0000-0000-00000FB70000}"/>
    <cellStyle name="Heading 3 64 4" xfId="46872" xr:uid="{00000000-0005-0000-0000-000010B70000}"/>
    <cellStyle name="Heading 3 65" xfId="46873" xr:uid="{00000000-0005-0000-0000-000011B70000}"/>
    <cellStyle name="Heading 3 65 2" xfId="46874" xr:uid="{00000000-0005-0000-0000-000012B70000}"/>
    <cellStyle name="Heading 3 65 2 2" xfId="46875" xr:uid="{00000000-0005-0000-0000-000013B70000}"/>
    <cellStyle name="Heading 3 65 3" xfId="46876" xr:uid="{00000000-0005-0000-0000-000014B70000}"/>
    <cellStyle name="Heading 3 65 4" xfId="46877" xr:uid="{00000000-0005-0000-0000-000015B70000}"/>
    <cellStyle name="Heading 3 66" xfId="46878" xr:uid="{00000000-0005-0000-0000-000016B70000}"/>
    <cellStyle name="Heading 3 66 2" xfId="46879" xr:uid="{00000000-0005-0000-0000-000017B70000}"/>
    <cellStyle name="Heading 3 66 2 2" xfId="46880" xr:uid="{00000000-0005-0000-0000-000018B70000}"/>
    <cellStyle name="Heading 3 66 3" xfId="46881" xr:uid="{00000000-0005-0000-0000-000019B70000}"/>
    <cellStyle name="Heading 3 66 4" xfId="46882" xr:uid="{00000000-0005-0000-0000-00001AB70000}"/>
    <cellStyle name="Heading 3 67" xfId="46883" xr:uid="{00000000-0005-0000-0000-00001BB70000}"/>
    <cellStyle name="Heading 3 67 2" xfId="46884" xr:uid="{00000000-0005-0000-0000-00001CB70000}"/>
    <cellStyle name="Heading 3 67 2 2" xfId="46885" xr:uid="{00000000-0005-0000-0000-00001DB70000}"/>
    <cellStyle name="Heading 3 67 3" xfId="46886" xr:uid="{00000000-0005-0000-0000-00001EB70000}"/>
    <cellStyle name="Heading 3 67 4" xfId="46887" xr:uid="{00000000-0005-0000-0000-00001FB70000}"/>
    <cellStyle name="Heading 3 68" xfId="46888" xr:uid="{00000000-0005-0000-0000-000020B70000}"/>
    <cellStyle name="Heading 3 68 2" xfId="46889" xr:uid="{00000000-0005-0000-0000-000021B70000}"/>
    <cellStyle name="Heading 3 68 2 2" xfId="46890" xr:uid="{00000000-0005-0000-0000-000022B70000}"/>
    <cellStyle name="Heading 3 68 3" xfId="46891" xr:uid="{00000000-0005-0000-0000-000023B70000}"/>
    <cellStyle name="Heading 3 68 4" xfId="46892" xr:uid="{00000000-0005-0000-0000-000024B70000}"/>
    <cellStyle name="Heading 3 69" xfId="46893" xr:uid="{00000000-0005-0000-0000-000025B70000}"/>
    <cellStyle name="Heading 3 69 2" xfId="46894" xr:uid="{00000000-0005-0000-0000-000026B70000}"/>
    <cellStyle name="Heading 3 69 2 2" xfId="46895" xr:uid="{00000000-0005-0000-0000-000027B70000}"/>
    <cellStyle name="Heading 3 69 3" xfId="46896" xr:uid="{00000000-0005-0000-0000-000028B70000}"/>
    <cellStyle name="Heading 3 69 4" xfId="46897" xr:uid="{00000000-0005-0000-0000-000029B70000}"/>
    <cellStyle name="Heading 3 7" xfId="46898" xr:uid="{00000000-0005-0000-0000-00002AB70000}"/>
    <cellStyle name="Heading 3 7 2" xfId="46899" xr:uid="{00000000-0005-0000-0000-00002BB70000}"/>
    <cellStyle name="Heading 3 7 2 2" xfId="46900" xr:uid="{00000000-0005-0000-0000-00002CB70000}"/>
    <cellStyle name="Heading 3 7 3" xfId="46901" xr:uid="{00000000-0005-0000-0000-00002DB70000}"/>
    <cellStyle name="Heading 3 7 3 2" xfId="46902" xr:uid="{00000000-0005-0000-0000-00002EB70000}"/>
    <cellStyle name="Heading 3 7 4" xfId="46903" xr:uid="{00000000-0005-0000-0000-00002FB70000}"/>
    <cellStyle name="Heading 3 7 4 2" xfId="46904" xr:uid="{00000000-0005-0000-0000-000030B70000}"/>
    <cellStyle name="Heading 3 7 5" xfId="46905" xr:uid="{00000000-0005-0000-0000-000031B70000}"/>
    <cellStyle name="Heading 3 7 6" xfId="46906" xr:uid="{00000000-0005-0000-0000-000032B70000}"/>
    <cellStyle name="Heading 3 70" xfId="46907" xr:uid="{00000000-0005-0000-0000-000033B70000}"/>
    <cellStyle name="Heading 3 70 2" xfId="46908" xr:uid="{00000000-0005-0000-0000-000034B70000}"/>
    <cellStyle name="Heading 3 70 2 2" xfId="46909" xr:uid="{00000000-0005-0000-0000-000035B70000}"/>
    <cellStyle name="Heading 3 70 3" xfId="46910" xr:uid="{00000000-0005-0000-0000-000036B70000}"/>
    <cellStyle name="Heading 3 70 4" xfId="46911" xr:uid="{00000000-0005-0000-0000-000037B70000}"/>
    <cellStyle name="Heading 3 71" xfId="46912" xr:uid="{00000000-0005-0000-0000-000038B70000}"/>
    <cellStyle name="Heading 3 71 2" xfId="46913" xr:uid="{00000000-0005-0000-0000-000039B70000}"/>
    <cellStyle name="Heading 3 71 2 2" xfId="46914" xr:uid="{00000000-0005-0000-0000-00003AB70000}"/>
    <cellStyle name="Heading 3 71 3" xfId="46915" xr:uid="{00000000-0005-0000-0000-00003BB70000}"/>
    <cellStyle name="Heading 3 71 4" xfId="46916" xr:uid="{00000000-0005-0000-0000-00003CB70000}"/>
    <cellStyle name="Heading 3 72" xfId="46917" xr:uid="{00000000-0005-0000-0000-00003DB70000}"/>
    <cellStyle name="Heading 3 72 2" xfId="46918" xr:uid="{00000000-0005-0000-0000-00003EB70000}"/>
    <cellStyle name="Heading 3 72 2 2" xfId="46919" xr:uid="{00000000-0005-0000-0000-00003FB70000}"/>
    <cellStyle name="Heading 3 72 3" xfId="46920" xr:uid="{00000000-0005-0000-0000-000040B70000}"/>
    <cellStyle name="Heading 3 72 4" xfId="46921" xr:uid="{00000000-0005-0000-0000-000041B70000}"/>
    <cellStyle name="Heading 3 73" xfId="46922" xr:uid="{00000000-0005-0000-0000-000042B70000}"/>
    <cellStyle name="Heading 3 73 2" xfId="46923" xr:uid="{00000000-0005-0000-0000-000043B70000}"/>
    <cellStyle name="Heading 3 73 2 2" xfId="46924" xr:uid="{00000000-0005-0000-0000-000044B70000}"/>
    <cellStyle name="Heading 3 73 3" xfId="46925" xr:uid="{00000000-0005-0000-0000-000045B70000}"/>
    <cellStyle name="Heading 3 73 4" xfId="46926" xr:uid="{00000000-0005-0000-0000-000046B70000}"/>
    <cellStyle name="Heading 3 74" xfId="46927" xr:uid="{00000000-0005-0000-0000-000047B70000}"/>
    <cellStyle name="Heading 3 74 2" xfId="46928" xr:uid="{00000000-0005-0000-0000-000048B70000}"/>
    <cellStyle name="Heading 3 74 2 2" xfId="46929" xr:uid="{00000000-0005-0000-0000-000049B70000}"/>
    <cellStyle name="Heading 3 74 3" xfId="46930" xr:uid="{00000000-0005-0000-0000-00004AB70000}"/>
    <cellStyle name="Heading 3 74 4" xfId="46931" xr:uid="{00000000-0005-0000-0000-00004BB70000}"/>
    <cellStyle name="Heading 3 75" xfId="46932" xr:uid="{00000000-0005-0000-0000-00004CB70000}"/>
    <cellStyle name="Heading 3 75 2" xfId="46933" xr:uid="{00000000-0005-0000-0000-00004DB70000}"/>
    <cellStyle name="Heading 3 75 2 2" xfId="46934" xr:uid="{00000000-0005-0000-0000-00004EB70000}"/>
    <cellStyle name="Heading 3 75 3" xfId="46935" xr:uid="{00000000-0005-0000-0000-00004FB70000}"/>
    <cellStyle name="Heading 3 75 4" xfId="46936" xr:uid="{00000000-0005-0000-0000-000050B70000}"/>
    <cellStyle name="Heading 3 76" xfId="46937" xr:uid="{00000000-0005-0000-0000-000051B70000}"/>
    <cellStyle name="Heading 3 76 2" xfId="46938" xr:uid="{00000000-0005-0000-0000-000052B70000}"/>
    <cellStyle name="Heading 3 76 2 2" xfId="46939" xr:uid="{00000000-0005-0000-0000-000053B70000}"/>
    <cellStyle name="Heading 3 76 3" xfId="46940" xr:uid="{00000000-0005-0000-0000-000054B70000}"/>
    <cellStyle name="Heading 3 76 4" xfId="46941" xr:uid="{00000000-0005-0000-0000-000055B70000}"/>
    <cellStyle name="Heading 3 77" xfId="46942" xr:uid="{00000000-0005-0000-0000-000056B70000}"/>
    <cellStyle name="Heading 3 77 2" xfId="46943" xr:uid="{00000000-0005-0000-0000-000057B70000}"/>
    <cellStyle name="Heading 3 77 2 2" xfId="46944" xr:uid="{00000000-0005-0000-0000-000058B70000}"/>
    <cellStyle name="Heading 3 77 3" xfId="46945" xr:uid="{00000000-0005-0000-0000-000059B70000}"/>
    <cellStyle name="Heading 3 77 4" xfId="46946" xr:uid="{00000000-0005-0000-0000-00005AB70000}"/>
    <cellStyle name="Heading 3 78" xfId="46947" xr:uid="{00000000-0005-0000-0000-00005BB70000}"/>
    <cellStyle name="Heading 3 78 2" xfId="46948" xr:uid="{00000000-0005-0000-0000-00005CB70000}"/>
    <cellStyle name="Heading 3 78 2 2" xfId="46949" xr:uid="{00000000-0005-0000-0000-00005DB70000}"/>
    <cellStyle name="Heading 3 78 3" xfId="46950" xr:uid="{00000000-0005-0000-0000-00005EB70000}"/>
    <cellStyle name="Heading 3 78 4" xfId="46951" xr:uid="{00000000-0005-0000-0000-00005FB70000}"/>
    <cellStyle name="Heading 3 79" xfId="46952" xr:uid="{00000000-0005-0000-0000-000060B70000}"/>
    <cellStyle name="Heading 3 79 2" xfId="46953" xr:uid="{00000000-0005-0000-0000-000061B70000}"/>
    <cellStyle name="Heading 3 79 2 2" xfId="46954" xr:uid="{00000000-0005-0000-0000-000062B70000}"/>
    <cellStyle name="Heading 3 79 3" xfId="46955" xr:uid="{00000000-0005-0000-0000-000063B70000}"/>
    <cellStyle name="Heading 3 79 4" xfId="46956" xr:uid="{00000000-0005-0000-0000-000064B70000}"/>
    <cellStyle name="Heading 3 8" xfId="46957" xr:uid="{00000000-0005-0000-0000-000065B70000}"/>
    <cellStyle name="Heading 3 8 2" xfId="46958" xr:uid="{00000000-0005-0000-0000-000066B70000}"/>
    <cellStyle name="Heading 3 8 2 2" xfId="46959" xr:uid="{00000000-0005-0000-0000-000067B70000}"/>
    <cellStyle name="Heading 3 8 3" xfId="46960" xr:uid="{00000000-0005-0000-0000-000068B70000}"/>
    <cellStyle name="Heading 3 8 3 2" xfId="46961" xr:uid="{00000000-0005-0000-0000-000069B70000}"/>
    <cellStyle name="Heading 3 8 4" xfId="46962" xr:uid="{00000000-0005-0000-0000-00006AB70000}"/>
    <cellStyle name="Heading 3 8 4 2" xfId="46963" xr:uid="{00000000-0005-0000-0000-00006BB70000}"/>
    <cellStyle name="Heading 3 8 5" xfId="46964" xr:uid="{00000000-0005-0000-0000-00006CB70000}"/>
    <cellStyle name="Heading 3 8 6" xfId="46965" xr:uid="{00000000-0005-0000-0000-00006DB70000}"/>
    <cellStyle name="Heading 3 80" xfId="46966" xr:uid="{00000000-0005-0000-0000-00006EB70000}"/>
    <cellStyle name="Heading 3 80 2" xfId="46967" xr:uid="{00000000-0005-0000-0000-00006FB70000}"/>
    <cellStyle name="Heading 3 80 2 2" xfId="46968" xr:uid="{00000000-0005-0000-0000-000070B70000}"/>
    <cellStyle name="Heading 3 80 3" xfId="46969" xr:uid="{00000000-0005-0000-0000-000071B70000}"/>
    <cellStyle name="Heading 3 80 4" xfId="46970" xr:uid="{00000000-0005-0000-0000-000072B70000}"/>
    <cellStyle name="Heading 3 81" xfId="46971" xr:uid="{00000000-0005-0000-0000-000073B70000}"/>
    <cellStyle name="Heading 3 81 2" xfId="46972" xr:uid="{00000000-0005-0000-0000-000074B70000}"/>
    <cellStyle name="Heading 3 81 2 2" xfId="46973" xr:uid="{00000000-0005-0000-0000-000075B70000}"/>
    <cellStyle name="Heading 3 81 3" xfId="46974" xr:uid="{00000000-0005-0000-0000-000076B70000}"/>
    <cellStyle name="Heading 3 81 4" xfId="46975" xr:uid="{00000000-0005-0000-0000-000077B70000}"/>
    <cellStyle name="Heading 3 82" xfId="46976" xr:uid="{00000000-0005-0000-0000-000078B70000}"/>
    <cellStyle name="Heading 3 82 2" xfId="46977" xr:uid="{00000000-0005-0000-0000-000079B70000}"/>
    <cellStyle name="Heading 3 82 2 2" xfId="46978" xr:uid="{00000000-0005-0000-0000-00007AB70000}"/>
    <cellStyle name="Heading 3 82 3" xfId="46979" xr:uid="{00000000-0005-0000-0000-00007BB70000}"/>
    <cellStyle name="Heading 3 82 4" xfId="46980" xr:uid="{00000000-0005-0000-0000-00007CB70000}"/>
    <cellStyle name="Heading 3 83" xfId="46981" xr:uid="{00000000-0005-0000-0000-00007DB70000}"/>
    <cellStyle name="Heading 3 83 2" xfId="46982" xr:uid="{00000000-0005-0000-0000-00007EB70000}"/>
    <cellStyle name="Heading 3 83 2 2" xfId="46983" xr:uid="{00000000-0005-0000-0000-00007FB70000}"/>
    <cellStyle name="Heading 3 83 3" xfId="46984" xr:uid="{00000000-0005-0000-0000-000080B70000}"/>
    <cellStyle name="Heading 3 83 4" xfId="46985" xr:uid="{00000000-0005-0000-0000-000081B70000}"/>
    <cellStyle name="Heading 3 84" xfId="46986" xr:uid="{00000000-0005-0000-0000-000082B70000}"/>
    <cellStyle name="Heading 3 84 2" xfId="46987" xr:uid="{00000000-0005-0000-0000-000083B70000}"/>
    <cellStyle name="Heading 3 84 2 2" xfId="46988" xr:uid="{00000000-0005-0000-0000-000084B70000}"/>
    <cellStyle name="Heading 3 84 3" xfId="46989" xr:uid="{00000000-0005-0000-0000-000085B70000}"/>
    <cellStyle name="Heading 3 84 4" xfId="46990" xr:uid="{00000000-0005-0000-0000-000086B70000}"/>
    <cellStyle name="Heading 3 85" xfId="46991" xr:uid="{00000000-0005-0000-0000-000087B70000}"/>
    <cellStyle name="Heading 3 85 2" xfId="46992" xr:uid="{00000000-0005-0000-0000-000088B70000}"/>
    <cellStyle name="Heading 3 85 2 2" xfId="46993" xr:uid="{00000000-0005-0000-0000-000089B70000}"/>
    <cellStyle name="Heading 3 85 3" xfId="46994" xr:uid="{00000000-0005-0000-0000-00008AB70000}"/>
    <cellStyle name="Heading 3 85 4" xfId="46995" xr:uid="{00000000-0005-0000-0000-00008BB70000}"/>
    <cellStyle name="Heading 3 86" xfId="46996" xr:uid="{00000000-0005-0000-0000-00008CB70000}"/>
    <cellStyle name="Heading 3 86 2" xfId="46997" xr:uid="{00000000-0005-0000-0000-00008DB70000}"/>
    <cellStyle name="Heading 3 86 2 2" xfId="46998" xr:uid="{00000000-0005-0000-0000-00008EB70000}"/>
    <cellStyle name="Heading 3 86 3" xfId="46999" xr:uid="{00000000-0005-0000-0000-00008FB70000}"/>
    <cellStyle name="Heading 3 86 4" xfId="47000" xr:uid="{00000000-0005-0000-0000-000090B70000}"/>
    <cellStyle name="Heading 3 87" xfId="47001" xr:uid="{00000000-0005-0000-0000-000091B70000}"/>
    <cellStyle name="Heading 3 87 2" xfId="47002" xr:uid="{00000000-0005-0000-0000-000092B70000}"/>
    <cellStyle name="Heading 3 87 2 2" xfId="47003" xr:uid="{00000000-0005-0000-0000-000093B70000}"/>
    <cellStyle name="Heading 3 87 3" xfId="47004" xr:uid="{00000000-0005-0000-0000-000094B70000}"/>
    <cellStyle name="Heading 3 87 4" xfId="47005" xr:uid="{00000000-0005-0000-0000-000095B70000}"/>
    <cellStyle name="Heading 3 88" xfId="47006" xr:uid="{00000000-0005-0000-0000-000096B70000}"/>
    <cellStyle name="Heading 3 88 2" xfId="47007" xr:uid="{00000000-0005-0000-0000-000097B70000}"/>
    <cellStyle name="Heading 3 88 2 2" xfId="47008" xr:uid="{00000000-0005-0000-0000-000098B70000}"/>
    <cellStyle name="Heading 3 88 3" xfId="47009" xr:uid="{00000000-0005-0000-0000-000099B70000}"/>
    <cellStyle name="Heading 3 88 4" xfId="47010" xr:uid="{00000000-0005-0000-0000-00009AB70000}"/>
    <cellStyle name="Heading 3 89" xfId="47011" xr:uid="{00000000-0005-0000-0000-00009BB70000}"/>
    <cellStyle name="Heading 3 89 2" xfId="47012" xr:uid="{00000000-0005-0000-0000-00009CB70000}"/>
    <cellStyle name="Heading 3 89 2 2" xfId="47013" xr:uid="{00000000-0005-0000-0000-00009DB70000}"/>
    <cellStyle name="Heading 3 89 3" xfId="47014" xr:uid="{00000000-0005-0000-0000-00009EB70000}"/>
    <cellStyle name="Heading 3 89 4" xfId="47015" xr:uid="{00000000-0005-0000-0000-00009FB70000}"/>
    <cellStyle name="Heading 3 9" xfId="47016" xr:uid="{00000000-0005-0000-0000-0000A0B70000}"/>
    <cellStyle name="Heading 3 9 2" xfId="47017" xr:uid="{00000000-0005-0000-0000-0000A1B70000}"/>
    <cellStyle name="Heading 3 9 2 2" xfId="47018" xr:uid="{00000000-0005-0000-0000-0000A2B70000}"/>
    <cellStyle name="Heading 3 9 3" xfId="47019" xr:uid="{00000000-0005-0000-0000-0000A3B70000}"/>
    <cellStyle name="Heading 3 9 3 2" xfId="47020" xr:uid="{00000000-0005-0000-0000-0000A4B70000}"/>
    <cellStyle name="Heading 3 9 4" xfId="47021" xr:uid="{00000000-0005-0000-0000-0000A5B70000}"/>
    <cellStyle name="Heading 3 9 4 2" xfId="47022" xr:uid="{00000000-0005-0000-0000-0000A6B70000}"/>
    <cellStyle name="Heading 3 9 5" xfId="47023" xr:uid="{00000000-0005-0000-0000-0000A7B70000}"/>
    <cellStyle name="Heading 3 9 6" xfId="47024" xr:uid="{00000000-0005-0000-0000-0000A8B70000}"/>
    <cellStyle name="Heading 3 90" xfId="47025" xr:uid="{00000000-0005-0000-0000-0000A9B70000}"/>
    <cellStyle name="Heading 3 90 2" xfId="47026" xr:uid="{00000000-0005-0000-0000-0000AAB70000}"/>
    <cellStyle name="Heading 3 90 2 2" xfId="47027" xr:uid="{00000000-0005-0000-0000-0000ABB70000}"/>
    <cellStyle name="Heading 3 90 3" xfId="47028" xr:uid="{00000000-0005-0000-0000-0000ACB70000}"/>
    <cellStyle name="Heading 3 90 4" xfId="47029" xr:uid="{00000000-0005-0000-0000-0000ADB70000}"/>
    <cellStyle name="Heading 3 91" xfId="47030" xr:uid="{00000000-0005-0000-0000-0000AEB70000}"/>
    <cellStyle name="Heading 3 91 2" xfId="47031" xr:uid="{00000000-0005-0000-0000-0000AFB70000}"/>
    <cellStyle name="Heading 3 91 2 2" xfId="47032" xr:uid="{00000000-0005-0000-0000-0000B0B70000}"/>
    <cellStyle name="Heading 3 91 3" xfId="47033" xr:uid="{00000000-0005-0000-0000-0000B1B70000}"/>
    <cellStyle name="Heading 3 91 4" xfId="47034" xr:uid="{00000000-0005-0000-0000-0000B2B70000}"/>
    <cellStyle name="Heading 3 92" xfId="47035" xr:uid="{00000000-0005-0000-0000-0000B3B70000}"/>
    <cellStyle name="Heading 3 92 2" xfId="47036" xr:uid="{00000000-0005-0000-0000-0000B4B70000}"/>
    <cellStyle name="Heading 3 92 2 2" xfId="47037" xr:uid="{00000000-0005-0000-0000-0000B5B70000}"/>
    <cellStyle name="Heading 3 92 3" xfId="47038" xr:uid="{00000000-0005-0000-0000-0000B6B70000}"/>
    <cellStyle name="Heading 3 92 4" xfId="47039" xr:uid="{00000000-0005-0000-0000-0000B7B70000}"/>
    <cellStyle name="Heading 3 93" xfId="47040" xr:uid="{00000000-0005-0000-0000-0000B8B70000}"/>
    <cellStyle name="Heading 3 93 2" xfId="47041" xr:uid="{00000000-0005-0000-0000-0000B9B70000}"/>
    <cellStyle name="Heading 3 93 2 2" xfId="47042" xr:uid="{00000000-0005-0000-0000-0000BAB70000}"/>
    <cellStyle name="Heading 3 93 3" xfId="47043" xr:uid="{00000000-0005-0000-0000-0000BBB70000}"/>
    <cellStyle name="Heading 3 93 4" xfId="47044" xr:uid="{00000000-0005-0000-0000-0000BCB70000}"/>
    <cellStyle name="Heading 3 94" xfId="47045" xr:uid="{00000000-0005-0000-0000-0000BDB70000}"/>
    <cellStyle name="Heading 3 94 2" xfId="47046" xr:uid="{00000000-0005-0000-0000-0000BEB70000}"/>
    <cellStyle name="Heading 3 94 2 2" xfId="47047" xr:uid="{00000000-0005-0000-0000-0000BFB70000}"/>
    <cellStyle name="Heading 3 94 3" xfId="47048" xr:uid="{00000000-0005-0000-0000-0000C0B70000}"/>
    <cellStyle name="Heading 3 94 4" xfId="47049" xr:uid="{00000000-0005-0000-0000-0000C1B70000}"/>
    <cellStyle name="Heading 3 95" xfId="47050" xr:uid="{00000000-0005-0000-0000-0000C2B70000}"/>
    <cellStyle name="Heading 3 95 2" xfId="47051" xr:uid="{00000000-0005-0000-0000-0000C3B70000}"/>
    <cellStyle name="Heading 3 95 2 2" xfId="47052" xr:uid="{00000000-0005-0000-0000-0000C4B70000}"/>
    <cellStyle name="Heading 3 95 3" xfId="47053" xr:uid="{00000000-0005-0000-0000-0000C5B70000}"/>
    <cellStyle name="Heading 3 95 4" xfId="47054" xr:uid="{00000000-0005-0000-0000-0000C6B70000}"/>
    <cellStyle name="Heading 3 96" xfId="47055" xr:uid="{00000000-0005-0000-0000-0000C7B70000}"/>
    <cellStyle name="Heading 3 96 2" xfId="47056" xr:uid="{00000000-0005-0000-0000-0000C8B70000}"/>
    <cellStyle name="Heading 3 96 2 2" xfId="47057" xr:uid="{00000000-0005-0000-0000-0000C9B70000}"/>
    <cellStyle name="Heading 3 96 3" xfId="47058" xr:uid="{00000000-0005-0000-0000-0000CAB70000}"/>
    <cellStyle name="Heading 3 96 4" xfId="47059" xr:uid="{00000000-0005-0000-0000-0000CBB70000}"/>
    <cellStyle name="Heading 3 97" xfId="47060" xr:uid="{00000000-0005-0000-0000-0000CCB70000}"/>
    <cellStyle name="Heading 3 97 2" xfId="47061" xr:uid="{00000000-0005-0000-0000-0000CDB70000}"/>
    <cellStyle name="Heading 3 97 2 2" xfId="47062" xr:uid="{00000000-0005-0000-0000-0000CEB70000}"/>
    <cellStyle name="Heading 3 97 3" xfId="47063" xr:uid="{00000000-0005-0000-0000-0000CFB70000}"/>
    <cellStyle name="Heading 3 97 4" xfId="47064" xr:uid="{00000000-0005-0000-0000-0000D0B70000}"/>
    <cellStyle name="Heading 3 98" xfId="47065" xr:uid="{00000000-0005-0000-0000-0000D1B70000}"/>
    <cellStyle name="Heading 3 98 2" xfId="47066" xr:uid="{00000000-0005-0000-0000-0000D2B70000}"/>
    <cellStyle name="Heading 3 98 2 2" xfId="47067" xr:uid="{00000000-0005-0000-0000-0000D3B70000}"/>
    <cellStyle name="Heading 3 98 3" xfId="47068" xr:uid="{00000000-0005-0000-0000-0000D4B70000}"/>
    <cellStyle name="Heading 3 98 4" xfId="47069" xr:uid="{00000000-0005-0000-0000-0000D5B70000}"/>
    <cellStyle name="Heading 3 99" xfId="47070" xr:uid="{00000000-0005-0000-0000-0000D6B70000}"/>
    <cellStyle name="Heading 3 99 2" xfId="47071" xr:uid="{00000000-0005-0000-0000-0000D7B70000}"/>
    <cellStyle name="Heading 3 99 2 2" xfId="47072" xr:uid="{00000000-0005-0000-0000-0000D8B70000}"/>
    <cellStyle name="Heading 3 99 3" xfId="47073" xr:uid="{00000000-0005-0000-0000-0000D9B70000}"/>
    <cellStyle name="Heading 3 99 4" xfId="47074" xr:uid="{00000000-0005-0000-0000-0000DAB70000}"/>
    <cellStyle name="Heading 4 10" xfId="47075" xr:uid="{00000000-0005-0000-0000-0000DBB70000}"/>
    <cellStyle name="Heading 4 10 2" xfId="47076" xr:uid="{00000000-0005-0000-0000-0000DCB70000}"/>
    <cellStyle name="Heading 4 10 2 2" xfId="47077" xr:uid="{00000000-0005-0000-0000-0000DDB70000}"/>
    <cellStyle name="Heading 4 10 3" xfId="47078" xr:uid="{00000000-0005-0000-0000-0000DEB70000}"/>
    <cellStyle name="Heading 4 100" xfId="47079" xr:uid="{00000000-0005-0000-0000-0000DFB70000}"/>
    <cellStyle name="Heading 4 100 2" xfId="47080" xr:uid="{00000000-0005-0000-0000-0000E0B70000}"/>
    <cellStyle name="Heading 4 100 2 2" xfId="47081" xr:uid="{00000000-0005-0000-0000-0000E1B70000}"/>
    <cellStyle name="Heading 4 100 3" xfId="47082" xr:uid="{00000000-0005-0000-0000-0000E2B70000}"/>
    <cellStyle name="Heading 4 101" xfId="47083" xr:uid="{00000000-0005-0000-0000-0000E3B70000}"/>
    <cellStyle name="Heading 4 101 2" xfId="47084" xr:uid="{00000000-0005-0000-0000-0000E4B70000}"/>
    <cellStyle name="Heading 4 101 2 2" xfId="47085" xr:uid="{00000000-0005-0000-0000-0000E5B70000}"/>
    <cellStyle name="Heading 4 101 3" xfId="47086" xr:uid="{00000000-0005-0000-0000-0000E6B70000}"/>
    <cellStyle name="Heading 4 102" xfId="47087" xr:uid="{00000000-0005-0000-0000-0000E7B70000}"/>
    <cellStyle name="Heading 4 102 2" xfId="47088" xr:uid="{00000000-0005-0000-0000-0000E8B70000}"/>
    <cellStyle name="Heading 4 102 2 2" xfId="47089" xr:uid="{00000000-0005-0000-0000-0000E9B70000}"/>
    <cellStyle name="Heading 4 102 3" xfId="47090" xr:uid="{00000000-0005-0000-0000-0000EAB70000}"/>
    <cellStyle name="Heading 4 103" xfId="47091" xr:uid="{00000000-0005-0000-0000-0000EBB70000}"/>
    <cellStyle name="Heading 4 103 2" xfId="47092" xr:uid="{00000000-0005-0000-0000-0000ECB70000}"/>
    <cellStyle name="Heading 4 103 2 2" xfId="47093" xr:uid="{00000000-0005-0000-0000-0000EDB70000}"/>
    <cellStyle name="Heading 4 103 3" xfId="47094" xr:uid="{00000000-0005-0000-0000-0000EEB70000}"/>
    <cellStyle name="Heading 4 104" xfId="47095" xr:uid="{00000000-0005-0000-0000-0000EFB70000}"/>
    <cellStyle name="Heading 4 104 2" xfId="47096" xr:uid="{00000000-0005-0000-0000-0000F0B70000}"/>
    <cellStyle name="Heading 4 104 2 2" xfId="47097" xr:uid="{00000000-0005-0000-0000-0000F1B70000}"/>
    <cellStyle name="Heading 4 104 3" xfId="47098" xr:uid="{00000000-0005-0000-0000-0000F2B70000}"/>
    <cellStyle name="Heading 4 105" xfId="47099" xr:uid="{00000000-0005-0000-0000-0000F3B70000}"/>
    <cellStyle name="Heading 4 105 2" xfId="47100" xr:uid="{00000000-0005-0000-0000-0000F4B70000}"/>
    <cellStyle name="Heading 4 105 2 2" xfId="47101" xr:uid="{00000000-0005-0000-0000-0000F5B70000}"/>
    <cellStyle name="Heading 4 105 3" xfId="47102" xr:uid="{00000000-0005-0000-0000-0000F6B70000}"/>
    <cellStyle name="Heading 4 106" xfId="47103" xr:uid="{00000000-0005-0000-0000-0000F7B70000}"/>
    <cellStyle name="Heading 4 106 2" xfId="47104" xr:uid="{00000000-0005-0000-0000-0000F8B70000}"/>
    <cellStyle name="Heading 4 106 2 2" xfId="47105" xr:uid="{00000000-0005-0000-0000-0000F9B70000}"/>
    <cellStyle name="Heading 4 106 3" xfId="47106" xr:uid="{00000000-0005-0000-0000-0000FAB70000}"/>
    <cellStyle name="Heading 4 107" xfId="47107" xr:uid="{00000000-0005-0000-0000-0000FBB70000}"/>
    <cellStyle name="Heading 4 107 2" xfId="47108" xr:uid="{00000000-0005-0000-0000-0000FCB70000}"/>
    <cellStyle name="Heading 4 107 2 2" xfId="47109" xr:uid="{00000000-0005-0000-0000-0000FDB70000}"/>
    <cellStyle name="Heading 4 107 3" xfId="47110" xr:uid="{00000000-0005-0000-0000-0000FEB70000}"/>
    <cellStyle name="Heading 4 108" xfId="47111" xr:uid="{00000000-0005-0000-0000-0000FFB70000}"/>
    <cellStyle name="Heading 4 108 2" xfId="47112" xr:uid="{00000000-0005-0000-0000-000000B80000}"/>
    <cellStyle name="Heading 4 108 2 2" xfId="47113" xr:uid="{00000000-0005-0000-0000-000001B80000}"/>
    <cellStyle name="Heading 4 108 3" xfId="47114" xr:uid="{00000000-0005-0000-0000-000002B80000}"/>
    <cellStyle name="Heading 4 109" xfId="47115" xr:uid="{00000000-0005-0000-0000-000003B80000}"/>
    <cellStyle name="Heading 4 109 2" xfId="47116" xr:uid="{00000000-0005-0000-0000-000004B80000}"/>
    <cellStyle name="Heading 4 109 2 2" xfId="47117" xr:uid="{00000000-0005-0000-0000-000005B80000}"/>
    <cellStyle name="Heading 4 109 3" xfId="47118" xr:uid="{00000000-0005-0000-0000-000006B80000}"/>
    <cellStyle name="Heading 4 11" xfId="47119" xr:uid="{00000000-0005-0000-0000-000007B80000}"/>
    <cellStyle name="Heading 4 11 2" xfId="47120" xr:uid="{00000000-0005-0000-0000-000008B80000}"/>
    <cellStyle name="Heading 4 11 2 2" xfId="47121" xr:uid="{00000000-0005-0000-0000-000009B80000}"/>
    <cellStyle name="Heading 4 11 3" xfId="47122" xr:uid="{00000000-0005-0000-0000-00000AB80000}"/>
    <cellStyle name="Heading 4 110" xfId="47123" xr:uid="{00000000-0005-0000-0000-00000BB80000}"/>
    <cellStyle name="Heading 4 110 2" xfId="47124" xr:uid="{00000000-0005-0000-0000-00000CB80000}"/>
    <cellStyle name="Heading 4 110 2 2" xfId="47125" xr:uid="{00000000-0005-0000-0000-00000DB80000}"/>
    <cellStyle name="Heading 4 110 3" xfId="47126" xr:uid="{00000000-0005-0000-0000-00000EB80000}"/>
    <cellStyle name="Heading 4 111" xfId="47127" xr:uid="{00000000-0005-0000-0000-00000FB80000}"/>
    <cellStyle name="Heading 4 111 2" xfId="47128" xr:uid="{00000000-0005-0000-0000-000010B80000}"/>
    <cellStyle name="Heading 4 111 2 2" xfId="47129" xr:uid="{00000000-0005-0000-0000-000011B80000}"/>
    <cellStyle name="Heading 4 111 3" xfId="47130" xr:uid="{00000000-0005-0000-0000-000012B80000}"/>
    <cellStyle name="Heading 4 112" xfId="47131" xr:uid="{00000000-0005-0000-0000-000013B80000}"/>
    <cellStyle name="Heading 4 112 2" xfId="47132" xr:uid="{00000000-0005-0000-0000-000014B80000}"/>
    <cellStyle name="Heading 4 112 2 2" xfId="47133" xr:uid="{00000000-0005-0000-0000-000015B80000}"/>
    <cellStyle name="Heading 4 112 3" xfId="47134" xr:uid="{00000000-0005-0000-0000-000016B80000}"/>
    <cellStyle name="Heading 4 113" xfId="47135" xr:uid="{00000000-0005-0000-0000-000017B80000}"/>
    <cellStyle name="Heading 4 113 2" xfId="47136" xr:uid="{00000000-0005-0000-0000-000018B80000}"/>
    <cellStyle name="Heading 4 113 2 2" xfId="47137" xr:uid="{00000000-0005-0000-0000-000019B80000}"/>
    <cellStyle name="Heading 4 113 3" xfId="47138" xr:uid="{00000000-0005-0000-0000-00001AB80000}"/>
    <cellStyle name="Heading 4 114" xfId="47139" xr:uid="{00000000-0005-0000-0000-00001BB80000}"/>
    <cellStyle name="Heading 4 114 2" xfId="47140" xr:uid="{00000000-0005-0000-0000-00001CB80000}"/>
    <cellStyle name="Heading 4 114 2 2" xfId="47141" xr:uid="{00000000-0005-0000-0000-00001DB80000}"/>
    <cellStyle name="Heading 4 114 3" xfId="47142" xr:uid="{00000000-0005-0000-0000-00001EB80000}"/>
    <cellStyle name="Heading 4 115" xfId="47143" xr:uid="{00000000-0005-0000-0000-00001FB80000}"/>
    <cellStyle name="Heading 4 115 2" xfId="47144" xr:uid="{00000000-0005-0000-0000-000020B80000}"/>
    <cellStyle name="Heading 4 115 2 2" xfId="47145" xr:uid="{00000000-0005-0000-0000-000021B80000}"/>
    <cellStyle name="Heading 4 115 3" xfId="47146" xr:uid="{00000000-0005-0000-0000-000022B80000}"/>
    <cellStyle name="Heading 4 116" xfId="47147" xr:uid="{00000000-0005-0000-0000-000023B80000}"/>
    <cellStyle name="Heading 4 116 2" xfId="47148" xr:uid="{00000000-0005-0000-0000-000024B80000}"/>
    <cellStyle name="Heading 4 116 2 2" xfId="47149" xr:uid="{00000000-0005-0000-0000-000025B80000}"/>
    <cellStyle name="Heading 4 116 3" xfId="47150" xr:uid="{00000000-0005-0000-0000-000026B80000}"/>
    <cellStyle name="Heading 4 117" xfId="47151" xr:uid="{00000000-0005-0000-0000-000027B80000}"/>
    <cellStyle name="Heading 4 117 2" xfId="47152" xr:uid="{00000000-0005-0000-0000-000028B80000}"/>
    <cellStyle name="Heading 4 117 2 2" xfId="47153" xr:uid="{00000000-0005-0000-0000-000029B80000}"/>
    <cellStyle name="Heading 4 117 3" xfId="47154" xr:uid="{00000000-0005-0000-0000-00002AB80000}"/>
    <cellStyle name="Heading 4 118" xfId="47155" xr:uid="{00000000-0005-0000-0000-00002BB80000}"/>
    <cellStyle name="Heading 4 118 2" xfId="47156" xr:uid="{00000000-0005-0000-0000-00002CB80000}"/>
    <cellStyle name="Heading 4 118 2 2" xfId="47157" xr:uid="{00000000-0005-0000-0000-00002DB80000}"/>
    <cellStyle name="Heading 4 118 3" xfId="47158" xr:uid="{00000000-0005-0000-0000-00002EB80000}"/>
    <cellStyle name="Heading 4 119" xfId="47159" xr:uid="{00000000-0005-0000-0000-00002FB80000}"/>
    <cellStyle name="Heading 4 119 2" xfId="47160" xr:uid="{00000000-0005-0000-0000-000030B80000}"/>
    <cellStyle name="Heading 4 119 2 2" xfId="47161" xr:uid="{00000000-0005-0000-0000-000031B80000}"/>
    <cellStyle name="Heading 4 119 3" xfId="47162" xr:uid="{00000000-0005-0000-0000-000032B80000}"/>
    <cellStyle name="Heading 4 12" xfId="47163" xr:uid="{00000000-0005-0000-0000-000033B80000}"/>
    <cellStyle name="Heading 4 12 2" xfId="47164" xr:uid="{00000000-0005-0000-0000-000034B80000}"/>
    <cellStyle name="Heading 4 12 2 2" xfId="47165" xr:uid="{00000000-0005-0000-0000-000035B80000}"/>
    <cellStyle name="Heading 4 12 3" xfId="47166" xr:uid="{00000000-0005-0000-0000-000036B80000}"/>
    <cellStyle name="Heading 4 120" xfId="47167" xr:uid="{00000000-0005-0000-0000-000037B80000}"/>
    <cellStyle name="Heading 4 120 2" xfId="47168" xr:uid="{00000000-0005-0000-0000-000038B80000}"/>
    <cellStyle name="Heading 4 120 2 2" xfId="47169" xr:uid="{00000000-0005-0000-0000-000039B80000}"/>
    <cellStyle name="Heading 4 120 3" xfId="47170" xr:uid="{00000000-0005-0000-0000-00003AB80000}"/>
    <cellStyle name="Heading 4 121" xfId="47171" xr:uid="{00000000-0005-0000-0000-00003BB80000}"/>
    <cellStyle name="Heading 4 121 2" xfId="47172" xr:uid="{00000000-0005-0000-0000-00003CB80000}"/>
    <cellStyle name="Heading 4 121 2 2" xfId="47173" xr:uid="{00000000-0005-0000-0000-00003DB80000}"/>
    <cellStyle name="Heading 4 121 3" xfId="47174" xr:uid="{00000000-0005-0000-0000-00003EB80000}"/>
    <cellStyle name="Heading 4 122" xfId="47175" xr:uid="{00000000-0005-0000-0000-00003FB80000}"/>
    <cellStyle name="Heading 4 122 2" xfId="47176" xr:uid="{00000000-0005-0000-0000-000040B80000}"/>
    <cellStyle name="Heading 4 122 2 2" xfId="47177" xr:uid="{00000000-0005-0000-0000-000041B80000}"/>
    <cellStyle name="Heading 4 122 3" xfId="47178" xr:uid="{00000000-0005-0000-0000-000042B80000}"/>
    <cellStyle name="Heading 4 123" xfId="47179" xr:uid="{00000000-0005-0000-0000-000043B80000}"/>
    <cellStyle name="Heading 4 123 2" xfId="47180" xr:uid="{00000000-0005-0000-0000-000044B80000}"/>
    <cellStyle name="Heading 4 123 2 2" xfId="47181" xr:uid="{00000000-0005-0000-0000-000045B80000}"/>
    <cellStyle name="Heading 4 123 3" xfId="47182" xr:uid="{00000000-0005-0000-0000-000046B80000}"/>
    <cellStyle name="Heading 4 124" xfId="47183" xr:uid="{00000000-0005-0000-0000-000047B80000}"/>
    <cellStyle name="Heading 4 124 2" xfId="47184" xr:uid="{00000000-0005-0000-0000-000048B80000}"/>
    <cellStyle name="Heading 4 124 2 2" xfId="47185" xr:uid="{00000000-0005-0000-0000-000049B80000}"/>
    <cellStyle name="Heading 4 124 3" xfId="47186" xr:uid="{00000000-0005-0000-0000-00004AB80000}"/>
    <cellStyle name="Heading 4 125" xfId="47187" xr:uid="{00000000-0005-0000-0000-00004BB80000}"/>
    <cellStyle name="Heading 4 125 2" xfId="47188" xr:uid="{00000000-0005-0000-0000-00004CB80000}"/>
    <cellStyle name="Heading 4 125 2 2" xfId="47189" xr:uid="{00000000-0005-0000-0000-00004DB80000}"/>
    <cellStyle name="Heading 4 125 3" xfId="47190" xr:uid="{00000000-0005-0000-0000-00004EB80000}"/>
    <cellStyle name="Heading 4 126" xfId="47191" xr:uid="{00000000-0005-0000-0000-00004FB80000}"/>
    <cellStyle name="Heading 4 126 2" xfId="47192" xr:uid="{00000000-0005-0000-0000-000050B80000}"/>
    <cellStyle name="Heading 4 126 2 2" xfId="47193" xr:uid="{00000000-0005-0000-0000-000051B80000}"/>
    <cellStyle name="Heading 4 126 3" xfId="47194" xr:uid="{00000000-0005-0000-0000-000052B80000}"/>
    <cellStyle name="Heading 4 127" xfId="47195" xr:uid="{00000000-0005-0000-0000-000053B80000}"/>
    <cellStyle name="Heading 4 127 2" xfId="47196" xr:uid="{00000000-0005-0000-0000-000054B80000}"/>
    <cellStyle name="Heading 4 127 2 2" xfId="47197" xr:uid="{00000000-0005-0000-0000-000055B80000}"/>
    <cellStyle name="Heading 4 127 3" xfId="47198" xr:uid="{00000000-0005-0000-0000-000056B80000}"/>
    <cellStyle name="Heading 4 128" xfId="47199" xr:uid="{00000000-0005-0000-0000-000057B80000}"/>
    <cellStyle name="Heading 4 128 2" xfId="47200" xr:uid="{00000000-0005-0000-0000-000058B80000}"/>
    <cellStyle name="Heading 4 128 2 2" xfId="47201" xr:uid="{00000000-0005-0000-0000-000059B80000}"/>
    <cellStyle name="Heading 4 128 3" xfId="47202" xr:uid="{00000000-0005-0000-0000-00005AB80000}"/>
    <cellStyle name="Heading 4 129" xfId="47203" xr:uid="{00000000-0005-0000-0000-00005BB80000}"/>
    <cellStyle name="Heading 4 129 2" xfId="47204" xr:uid="{00000000-0005-0000-0000-00005CB80000}"/>
    <cellStyle name="Heading 4 129 2 2" xfId="47205" xr:uid="{00000000-0005-0000-0000-00005DB80000}"/>
    <cellStyle name="Heading 4 129 3" xfId="47206" xr:uid="{00000000-0005-0000-0000-00005EB80000}"/>
    <cellStyle name="Heading 4 13" xfId="47207" xr:uid="{00000000-0005-0000-0000-00005FB80000}"/>
    <cellStyle name="Heading 4 13 2" xfId="47208" xr:uid="{00000000-0005-0000-0000-000060B80000}"/>
    <cellStyle name="Heading 4 13 2 2" xfId="47209" xr:uid="{00000000-0005-0000-0000-000061B80000}"/>
    <cellStyle name="Heading 4 13 3" xfId="47210" xr:uid="{00000000-0005-0000-0000-000062B80000}"/>
    <cellStyle name="Heading 4 130" xfId="47211" xr:uid="{00000000-0005-0000-0000-000063B80000}"/>
    <cellStyle name="Heading 4 130 2" xfId="47212" xr:uid="{00000000-0005-0000-0000-000064B80000}"/>
    <cellStyle name="Heading 4 130 2 2" xfId="47213" xr:uid="{00000000-0005-0000-0000-000065B80000}"/>
    <cellStyle name="Heading 4 130 3" xfId="47214" xr:uid="{00000000-0005-0000-0000-000066B80000}"/>
    <cellStyle name="Heading 4 131" xfId="47215" xr:uid="{00000000-0005-0000-0000-000067B80000}"/>
    <cellStyle name="Heading 4 131 2" xfId="47216" xr:uid="{00000000-0005-0000-0000-000068B80000}"/>
    <cellStyle name="Heading 4 131 2 2" xfId="47217" xr:uid="{00000000-0005-0000-0000-000069B80000}"/>
    <cellStyle name="Heading 4 131 3" xfId="47218" xr:uid="{00000000-0005-0000-0000-00006AB80000}"/>
    <cellStyle name="Heading 4 132" xfId="47219" xr:uid="{00000000-0005-0000-0000-00006BB80000}"/>
    <cellStyle name="Heading 4 132 2" xfId="47220" xr:uid="{00000000-0005-0000-0000-00006CB80000}"/>
    <cellStyle name="Heading 4 132 2 2" xfId="47221" xr:uid="{00000000-0005-0000-0000-00006DB80000}"/>
    <cellStyle name="Heading 4 132 3" xfId="47222" xr:uid="{00000000-0005-0000-0000-00006EB80000}"/>
    <cellStyle name="Heading 4 133" xfId="47223" xr:uid="{00000000-0005-0000-0000-00006FB80000}"/>
    <cellStyle name="Heading 4 133 2" xfId="47224" xr:uid="{00000000-0005-0000-0000-000070B80000}"/>
    <cellStyle name="Heading 4 133 2 2" xfId="47225" xr:uid="{00000000-0005-0000-0000-000071B80000}"/>
    <cellStyle name="Heading 4 133 3" xfId="47226" xr:uid="{00000000-0005-0000-0000-000072B80000}"/>
    <cellStyle name="Heading 4 134" xfId="47227" xr:uid="{00000000-0005-0000-0000-000073B80000}"/>
    <cellStyle name="Heading 4 134 2" xfId="47228" xr:uid="{00000000-0005-0000-0000-000074B80000}"/>
    <cellStyle name="Heading 4 134 2 2" xfId="47229" xr:uid="{00000000-0005-0000-0000-000075B80000}"/>
    <cellStyle name="Heading 4 134 3" xfId="47230" xr:uid="{00000000-0005-0000-0000-000076B80000}"/>
    <cellStyle name="Heading 4 135" xfId="47231" xr:uid="{00000000-0005-0000-0000-000077B80000}"/>
    <cellStyle name="Heading 4 135 2" xfId="47232" xr:uid="{00000000-0005-0000-0000-000078B80000}"/>
    <cellStyle name="Heading 4 135 2 2" xfId="47233" xr:uid="{00000000-0005-0000-0000-000079B80000}"/>
    <cellStyle name="Heading 4 135 3" xfId="47234" xr:uid="{00000000-0005-0000-0000-00007AB80000}"/>
    <cellStyle name="Heading 4 136" xfId="47235" xr:uid="{00000000-0005-0000-0000-00007BB80000}"/>
    <cellStyle name="Heading 4 136 2" xfId="47236" xr:uid="{00000000-0005-0000-0000-00007CB80000}"/>
    <cellStyle name="Heading 4 136 2 2" xfId="47237" xr:uid="{00000000-0005-0000-0000-00007DB80000}"/>
    <cellStyle name="Heading 4 136 3" xfId="47238" xr:uid="{00000000-0005-0000-0000-00007EB80000}"/>
    <cellStyle name="Heading 4 137" xfId="47239" xr:uid="{00000000-0005-0000-0000-00007FB80000}"/>
    <cellStyle name="Heading 4 137 2" xfId="47240" xr:uid="{00000000-0005-0000-0000-000080B80000}"/>
    <cellStyle name="Heading 4 137 2 2" xfId="47241" xr:uid="{00000000-0005-0000-0000-000081B80000}"/>
    <cellStyle name="Heading 4 137 3" xfId="47242" xr:uid="{00000000-0005-0000-0000-000082B80000}"/>
    <cellStyle name="Heading 4 138" xfId="47243" xr:uid="{00000000-0005-0000-0000-000083B80000}"/>
    <cellStyle name="Heading 4 138 2" xfId="47244" xr:uid="{00000000-0005-0000-0000-000084B80000}"/>
    <cellStyle name="Heading 4 138 2 2" xfId="47245" xr:uid="{00000000-0005-0000-0000-000085B80000}"/>
    <cellStyle name="Heading 4 138 3" xfId="47246" xr:uid="{00000000-0005-0000-0000-000086B80000}"/>
    <cellStyle name="Heading 4 139" xfId="47247" xr:uid="{00000000-0005-0000-0000-000087B80000}"/>
    <cellStyle name="Heading 4 139 2" xfId="47248" xr:uid="{00000000-0005-0000-0000-000088B80000}"/>
    <cellStyle name="Heading 4 139 2 2" xfId="47249" xr:uid="{00000000-0005-0000-0000-000089B80000}"/>
    <cellStyle name="Heading 4 139 3" xfId="47250" xr:uid="{00000000-0005-0000-0000-00008AB80000}"/>
    <cellStyle name="Heading 4 14" xfId="47251" xr:uid="{00000000-0005-0000-0000-00008BB80000}"/>
    <cellStyle name="Heading 4 14 2" xfId="47252" xr:uid="{00000000-0005-0000-0000-00008CB80000}"/>
    <cellStyle name="Heading 4 14 2 2" xfId="47253" xr:uid="{00000000-0005-0000-0000-00008DB80000}"/>
    <cellStyle name="Heading 4 14 3" xfId="47254" xr:uid="{00000000-0005-0000-0000-00008EB80000}"/>
    <cellStyle name="Heading 4 140" xfId="47255" xr:uid="{00000000-0005-0000-0000-00008FB80000}"/>
    <cellStyle name="Heading 4 140 2" xfId="47256" xr:uid="{00000000-0005-0000-0000-000090B80000}"/>
    <cellStyle name="Heading 4 140 2 2" xfId="47257" xr:uid="{00000000-0005-0000-0000-000091B80000}"/>
    <cellStyle name="Heading 4 140 3" xfId="47258" xr:uid="{00000000-0005-0000-0000-000092B80000}"/>
    <cellStyle name="Heading 4 141" xfId="47259" xr:uid="{00000000-0005-0000-0000-000093B80000}"/>
    <cellStyle name="Heading 4 141 2" xfId="47260" xr:uid="{00000000-0005-0000-0000-000094B80000}"/>
    <cellStyle name="Heading 4 141 2 2" xfId="47261" xr:uid="{00000000-0005-0000-0000-000095B80000}"/>
    <cellStyle name="Heading 4 141 3" xfId="47262" xr:uid="{00000000-0005-0000-0000-000096B80000}"/>
    <cellStyle name="Heading 4 142" xfId="47263" xr:uid="{00000000-0005-0000-0000-000097B80000}"/>
    <cellStyle name="Heading 4 142 2" xfId="47264" xr:uid="{00000000-0005-0000-0000-000098B80000}"/>
    <cellStyle name="Heading 4 142 2 2" xfId="47265" xr:uid="{00000000-0005-0000-0000-000099B80000}"/>
    <cellStyle name="Heading 4 142 3" xfId="47266" xr:uid="{00000000-0005-0000-0000-00009AB80000}"/>
    <cellStyle name="Heading 4 143" xfId="47267" xr:uid="{00000000-0005-0000-0000-00009BB80000}"/>
    <cellStyle name="Heading 4 143 2" xfId="47268" xr:uid="{00000000-0005-0000-0000-00009CB80000}"/>
    <cellStyle name="Heading 4 143 2 2" xfId="47269" xr:uid="{00000000-0005-0000-0000-00009DB80000}"/>
    <cellStyle name="Heading 4 143 3" xfId="47270" xr:uid="{00000000-0005-0000-0000-00009EB80000}"/>
    <cellStyle name="Heading 4 144" xfId="47271" xr:uid="{00000000-0005-0000-0000-00009FB80000}"/>
    <cellStyle name="Heading 4 144 2" xfId="47272" xr:uid="{00000000-0005-0000-0000-0000A0B80000}"/>
    <cellStyle name="Heading 4 144 2 2" xfId="47273" xr:uid="{00000000-0005-0000-0000-0000A1B80000}"/>
    <cellStyle name="Heading 4 144 3" xfId="47274" xr:uid="{00000000-0005-0000-0000-0000A2B80000}"/>
    <cellStyle name="Heading 4 145" xfId="47275" xr:uid="{00000000-0005-0000-0000-0000A3B80000}"/>
    <cellStyle name="Heading 4 145 2" xfId="47276" xr:uid="{00000000-0005-0000-0000-0000A4B80000}"/>
    <cellStyle name="Heading 4 145 2 2" xfId="47277" xr:uid="{00000000-0005-0000-0000-0000A5B80000}"/>
    <cellStyle name="Heading 4 145 3" xfId="47278" xr:uid="{00000000-0005-0000-0000-0000A6B80000}"/>
    <cellStyle name="Heading 4 146" xfId="47279" xr:uid="{00000000-0005-0000-0000-0000A7B80000}"/>
    <cellStyle name="Heading 4 146 2" xfId="47280" xr:uid="{00000000-0005-0000-0000-0000A8B80000}"/>
    <cellStyle name="Heading 4 146 2 2" xfId="47281" xr:uid="{00000000-0005-0000-0000-0000A9B80000}"/>
    <cellStyle name="Heading 4 146 3" xfId="47282" xr:uid="{00000000-0005-0000-0000-0000AAB80000}"/>
    <cellStyle name="Heading 4 147" xfId="47283" xr:uid="{00000000-0005-0000-0000-0000ABB80000}"/>
    <cellStyle name="Heading 4 147 2" xfId="47284" xr:uid="{00000000-0005-0000-0000-0000ACB80000}"/>
    <cellStyle name="Heading 4 147 2 2" xfId="47285" xr:uid="{00000000-0005-0000-0000-0000ADB80000}"/>
    <cellStyle name="Heading 4 147 3" xfId="47286" xr:uid="{00000000-0005-0000-0000-0000AEB80000}"/>
    <cellStyle name="Heading 4 148" xfId="47287" xr:uid="{00000000-0005-0000-0000-0000AFB80000}"/>
    <cellStyle name="Heading 4 148 2" xfId="47288" xr:uid="{00000000-0005-0000-0000-0000B0B80000}"/>
    <cellStyle name="Heading 4 148 2 2" xfId="47289" xr:uid="{00000000-0005-0000-0000-0000B1B80000}"/>
    <cellStyle name="Heading 4 148 3" xfId="47290" xr:uid="{00000000-0005-0000-0000-0000B2B80000}"/>
    <cellStyle name="Heading 4 149" xfId="47291" xr:uid="{00000000-0005-0000-0000-0000B3B80000}"/>
    <cellStyle name="Heading 4 149 2" xfId="47292" xr:uid="{00000000-0005-0000-0000-0000B4B80000}"/>
    <cellStyle name="Heading 4 149 2 2" xfId="47293" xr:uid="{00000000-0005-0000-0000-0000B5B80000}"/>
    <cellStyle name="Heading 4 149 3" xfId="47294" xr:uid="{00000000-0005-0000-0000-0000B6B80000}"/>
    <cellStyle name="Heading 4 15" xfId="47295" xr:uid="{00000000-0005-0000-0000-0000B7B80000}"/>
    <cellStyle name="Heading 4 15 2" xfId="47296" xr:uid="{00000000-0005-0000-0000-0000B8B80000}"/>
    <cellStyle name="Heading 4 15 2 2" xfId="47297" xr:uid="{00000000-0005-0000-0000-0000B9B80000}"/>
    <cellStyle name="Heading 4 15 3" xfId="47298" xr:uid="{00000000-0005-0000-0000-0000BAB80000}"/>
    <cellStyle name="Heading 4 150" xfId="47299" xr:uid="{00000000-0005-0000-0000-0000BBB80000}"/>
    <cellStyle name="Heading 4 150 2" xfId="47300" xr:uid="{00000000-0005-0000-0000-0000BCB80000}"/>
    <cellStyle name="Heading 4 150 2 2" xfId="47301" xr:uid="{00000000-0005-0000-0000-0000BDB80000}"/>
    <cellStyle name="Heading 4 150 3" xfId="47302" xr:uid="{00000000-0005-0000-0000-0000BEB80000}"/>
    <cellStyle name="Heading 4 151" xfId="47303" xr:uid="{00000000-0005-0000-0000-0000BFB80000}"/>
    <cellStyle name="Heading 4 151 2" xfId="47304" xr:uid="{00000000-0005-0000-0000-0000C0B80000}"/>
    <cellStyle name="Heading 4 151 2 2" xfId="47305" xr:uid="{00000000-0005-0000-0000-0000C1B80000}"/>
    <cellStyle name="Heading 4 151 3" xfId="47306" xr:uid="{00000000-0005-0000-0000-0000C2B80000}"/>
    <cellStyle name="Heading 4 152" xfId="47307" xr:uid="{00000000-0005-0000-0000-0000C3B80000}"/>
    <cellStyle name="Heading 4 152 2" xfId="47308" xr:uid="{00000000-0005-0000-0000-0000C4B80000}"/>
    <cellStyle name="Heading 4 152 2 2" xfId="47309" xr:uid="{00000000-0005-0000-0000-0000C5B80000}"/>
    <cellStyle name="Heading 4 152 3" xfId="47310" xr:uid="{00000000-0005-0000-0000-0000C6B80000}"/>
    <cellStyle name="Heading 4 153" xfId="47311" xr:uid="{00000000-0005-0000-0000-0000C7B80000}"/>
    <cellStyle name="Heading 4 153 2" xfId="47312" xr:uid="{00000000-0005-0000-0000-0000C8B80000}"/>
    <cellStyle name="Heading 4 153 2 2" xfId="47313" xr:uid="{00000000-0005-0000-0000-0000C9B80000}"/>
    <cellStyle name="Heading 4 153 3" xfId="47314" xr:uid="{00000000-0005-0000-0000-0000CAB80000}"/>
    <cellStyle name="Heading 4 154" xfId="47315" xr:uid="{00000000-0005-0000-0000-0000CBB80000}"/>
    <cellStyle name="Heading 4 154 2" xfId="47316" xr:uid="{00000000-0005-0000-0000-0000CCB80000}"/>
    <cellStyle name="Heading 4 154 2 2" xfId="47317" xr:uid="{00000000-0005-0000-0000-0000CDB80000}"/>
    <cellStyle name="Heading 4 154 3" xfId="47318" xr:uid="{00000000-0005-0000-0000-0000CEB80000}"/>
    <cellStyle name="Heading 4 155" xfId="47319" xr:uid="{00000000-0005-0000-0000-0000CFB80000}"/>
    <cellStyle name="Heading 4 155 2" xfId="47320" xr:uid="{00000000-0005-0000-0000-0000D0B80000}"/>
    <cellStyle name="Heading 4 155 2 2" xfId="47321" xr:uid="{00000000-0005-0000-0000-0000D1B80000}"/>
    <cellStyle name="Heading 4 155 3" xfId="47322" xr:uid="{00000000-0005-0000-0000-0000D2B80000}"/>
    <cellStyle name="Heading 4 156" xfId="47323" xr:uid="{00000000-0005-0000-0000-0000D3B80000}"/>
    <cellStyle name="Heading 4 156 2" xfId="47324" xr:uid="{00000000-0005-0000-0000-0000D4B80000}"/>
    <cellStyle name="Heading 4 156 2 2" xfId="47325" xr:uid="{00000000-0005-0000-0000-0000D5B80000}"/>
    <cellStyle name="Heading 4 156 3" xfId="47326" xr:uid="{00000000-0005-0000-0000-0000D6B80000}"/>
    <cellStyle name="Heading 4 157" xfId="47327" xr:uid="{00000000-0005-0000-0000-0000D7B80000}"/>
    <cellStyle name="Heading 4 157 2" xfId="47328" xr:uid="{00000000-0005-0000-0000-0000D8B80000}"/>
    <cellStyle name="Heading 4 157 2 2" xfId="47329" xr:uid="{00000000-0005-0000-0000-0000D9B80000}"/>
    <cellStyle name="Heading 4 157 3" xfId="47330" xr:uid="{00000000-0005-0000-0000-0000DAB80000}"/>
    <cellStyle name="Heading 4 158" xfId="47331" xr:uid="{00000000-0005-0000-0000-0000DBB80000}"/>
    <cellStyle name="Heading 4 158 2" xfId="47332" xr:uid="{00000000-0005-0000-0000-0000DCB80000}"/>
    <cellStyle name="Heading 4 158 2 2" xfId="47333" xr:uid="{00000000-0005-0000-0000-0000DDB80000}"/>
    <cellStyle name="Heading 4 158 3" xfId="47334" xr:uid="{00000000-0005-0000-0000-0000DEB80000}"/>
    <cellStyle name="Heading 4 159" xfId="47335" xr:uid="{00000000-0005-0000-0000-0000DFB80000}"/>
    <cellStyle name="Heading 4 159 2" xfId="47336" xr:uid="{00000000-0005-0000-0000-0000E0B80000}"/>
    <cellStyle name="Heading 4 16" xfId="47337" xr:uid="{00000000-0005-0000-0000-0000E1B80000}"/>
    <cellStyle name="Heading 4 16 2" xfId="47338" xr:uid="{00000000-0005-0000-0000-0000E2B80000}"/>
    <cellStyle name="Heading 4 16 2 2" xfId="47339" xr:uid="{00000000-0005-0000-0000-0000E3B80000}"/>
    <cellStyle name="Heading 4 16 3" xfId="47340" xr:uid="{00000000-0005-0000-0000-0000E4B80000}"/>
    <cellStyle name="Heading 4 160" xfId="47341" xr:uid="{00000000-0005-0000-0000-0000E5B80000}"/>
    <cellStyle name="Heading 4 160 2" xfId="47342" xr:uid="{00000000-0005-0000-0000-0000E6B80000}"/>
    <cellStyle name="Heading 4 161" xfId="47343" xr:uid="{00000000-0005-0000-0000-0000E7B80000}"/>
    <cellStyle name="Heading 4 161 2" xfId="47344" xr:uid="{00000000-0005-0000-0000-0000E8B80000}"/>
    <cellStyle name="Heading 4 162" xfId="47345" xr:uid="{00000000-0005-0000-0000-0000E9B80000}"/>
    <cellStyle name="Heading 4 162 2" xfId="47346" xr:uid="{00000000-0005-0000-0000-0000EAB80000}"/>
    <cellStyle name="Heading 4 163" xfId="47347" xr:uid="{00000000-0005-0000-0000-0000EBB80000}"/>
    <cellStyle name="Heading 4 163 2" xfId="47348" xr:uid="{00000000-0005-0000-0000-0000ECB80000}"/>
    <cellStyle name="Heading 4 164" xfId="47349" xr:uid="{00000000-0005-0000-0000-0000EDB80000}"/>
    <cellStyle name="Heading 4 164 2" xfId="47350" xr:uid="{00000000-0005-0000-0000-0000EEB80000}"/>
    <cellStyle name="Heading 4 165" xfId="47351" xr:uid="{00000000-0005-0000-0000-0000EFB80000}"/>
    <cellStyle name="Heading 4 165 2" xfId="47352" xr:uid="{00000000-0005-0000-0000-0000F0B80000}"/>
    <cellStyle name="Heading 4 166" xfId="47353" xr:uid="{00000000-0005-0000-0000-0000F1B80000}"/>
    <cellStyle name="Heading 4 166 2" xfId="47354" xr:uid="{00000000-0005-0000-0000-0000F2B80000}"/>
    <cellStyle name="Heading 4 167" xfId="47355" xr:uid="{00000000-0005-0000-0000-0000F3B80000}"/>
    <cellStyle name="Heading 4 167 2" xfId="47356" xr:uid="{00000000-0005-0000-0000-0000F4B80000}"/>
    <cellStyle name="Heading 4 168" xfId="47357" xr:uid="{00000000-0005-0000-0000-0000F5B80000}"/>
    <cellStyle name="Heading 4 168 2" xfId="47358" xr:uid="{00000000-0005-0000-0000-0000F6B80000}"/>
    <cellStyle name="Heading 4 169" xfId="47359" xr:uid="{00000000-0005-0000-0000-0000F7B80000}"/>
    <cellStyle name="Heading 4 169 2" xfId="47360" xr:uid="{00000000-0005-0000-0000-0000F8B80000}"/>
    <cellStyle name="Heading 4 17" xfId="47361" xr:uid="{00000000-0005-0000-0000-0000F9B80000}"/>
    <cellStyle name="Heading 4 17 2" xfId="47362" xr:uid="{00000000-0005-0000-0000-0000FAB80000}"/>
    <cellStyle name="Heading 4 17 2 2" xfId="47363" xr:uid="{00000000-0005-0000-0000-0000FBB80000}"/>
    <cellStyle name="Heading 4 17 3" xfId="47364" xr:uid="{00000000-0005-0000-0000-0000FCB80000}"/>
    <cellStyle name="Heading 4 170" xfId="47365" xr:uid="{00000000-0005-0000-0000-0000FDB80000}"/>
    <cellStyle name="Heading 4 170 2" xfId="47366" xr:uid="{00000000-0005-0000-0000-0000FEB80000}"/>
    <cellStyle name="Heading 4 171" xfId="47367" xr:uid="{00000000-0005-0000-0000-0000FFB80000}"/>
    <cellStyle name="Heading 4 171 2" xfId="47368" xr:uid="{00000000-0005-0000-0000-000000B90000}"/>
    <cellStyle name="Heading 4 172" xfId="47369" xr:uid="{00000000-0005-0000-0000-000001B90000}"/>
    <cellStyle name="Heading 4 172 2" xfId="47370" xr:uid="{00000000-0005-0000-0000-000002B90000}"/>
    <cellStyle name="Heading 4 173" xfId="47371" xr:uid="{00000000-0005-0000-0000-000003B90000}"/>
    <cellStyle name="Heading 4 173 2" xfId="47372" xr:uid="{00000000-0005-0000-0000-000004B90000}"/>
    <cellStyle name="Heading 4 174" xfId="47373" xr:uid="{00000000-0005-0000-0000-000005B90000}"/>
    <cellStyle name="Heading 4 174 2" xfId="47374" xr:uid="{00000000-0005-0000-0000-000006B90000}"/>
    <cellStyle name="Heading 4 175" xfId="47375" xr:uid="{00000000-0005-0000-0000-000007B90000}"/>
    <cellStyle name="Heading 4 175 2" xfId="47376" xr:uid="{00000000-0005-0000-0000-000008B90000}"/>
    <cellStyle name="Heading 4 176" xfId="47377" xr:uid="{00000000-0005-0000-0000-000009B90000}"/>
    <cellStyle name="Heading 4 176 2" xfId="47378" xr:uid="{00000000-0005-0000-0000-00000AB90000}"/>
    <cellStyle name="Heading 4 177" xfId="47379" xr:uid="{00000000-0005-0000-0000-00000BB90000}"/>
    <cellStyle name="Heading 4 177 2" xfId="47380" xr:uid="{00000000-0005-0000-0000-00000CB90000}"/>
    <cellStyle name="Heading 4 178" xfId="47381" xr:uid="{00000000-0005-0000-0000-00000DB90000}"/>
    <cellStyle name="Heading 4 178 2" xfId="47382" xr:uid="{00000000-0005-0000-0000-00000EB90000}"/>
    <cellStyle name="Heading 4 179" xfId="47383" xr:uid="{00000000-0005-0000-0000-00000FB90000}"/>
    <cellStyle name="Heading 4 179 2" xfId="47384" xr:uid="{00000000-0005-0000-0000-000010B90000}"/>
    <cellStyle name="Heading 4 18" xfId="47385" xr:uid="{00000000-0005-0000-0000-000011B90000}"/>
    <cellStyle name="Heading 4 18 2" xfId="47386" xr:uid="{00000000-0005-0000-0000-000012B90000}"/>
    <cellStyle name="Heading 4 18 2 2" xfId="47387" xr:uid="{00000000-0005-0000-0000-000013B90000}"/>
    <cellStyle name="Heading 4 18 3" xfId="47388" xr:uid="{00000000-0005-0000-0000-000014B90000}"/>
    <cellStyle name="Heading 4 180" xfId="47389" xr:uid="{00000000-0005-0000-0000-000015B90000}"/>
    <cellStyle name="Heading 4 180 2" xfId="47390" xr:uid="{00000000-0005-0000-0000-000016B90000}"/>
    <cellStyle name="Heading 4 181" xfId="47391" xr:uid="{00000000-0005-0000-0000-000017B90000}"/>
    <cellStyle name="Heading 4 181 2" xfId="47392" xr:uid="{00000000-0005-0000-0000-000018B90000}"/>
    <cellStyle name="Heading 4 182" xfId="47393" xr:uid="{00000000-0005-0000-0000-000019B90000}"/>
    <cellStyle name="Heading 4 182 2" xfId="47394" xr:uid="{00000000-0005-0000-0000-00001AB90000}"/>
    <cellStyle name="Heading 4 183" xfId="47395" xr:uid="{00000000-0005-0000-0000-00001BB90000}"/>
    <cellStyle name="Heading 4 183 2" xfId="47396" xr:uid="{00000000-0005-0000-0000-00001CB90000}"/>
    <cellStyle name="Heading 4 184" xfId="47397" xr:uid="{00000000-0005-0000-0000-00001DB90000}"/>
    <cellStyle name="Heading 4 184 2" xfId="47398" xr:uid="{00000000-0005-0000-0000-00001EB90000}"/>
    <cellStyle name="Heading 4 185" xfId="47399" xr:uid="{00000000-0005-0000-0000-00001FB90000}"/>
    <cellStyle name="Heading 4 185 2" xfId="47400" xr:uid="{00000000-0005-0000-0000-000020B90000}"/>
    <cellStyle name="Heading 4 186" xfId="47401" xr:uid="{00000000-0005-0000-0000-000021B90000}"/>
    <cellStyle name="Heading 4 186 2" xfId="47402" xr:uid="{00000000-0005-0000-0000-000022B90000}"/>
    <cellStyle name="Heading 4 187" xfId="47403" xr:uid="{00000000-0005-0000-0000-000023B90000}"/>
    <cellStyle name="Heading 4 187 2" xfId="47404" xr:uid="{00000000-0005-0000-0000-000024B90000}"/>
    <cellStyle name="Heading 4 188" xfId="47405" xr:uid="{00000000-0005-0000-0000-000025B90000}"/>
    <cellStyle name="Heading 4 188 2" xfId="47406" xr:uid="{00000000-0005-0000-0000-000026B90000}"/>
    <cellStyle name="Heading 4 189" xfId="47407" xr:uid="{00000000-0005-0000-0000-000027B90000}"/>
    <cellStyle name="Heading 4 189 2" xfId="47408" xr:uid="{00000000-0005-0000-0000-000028B90000}"/>
    <cellStyle name="Heading 4 19" xfId="47409" xr:uid="{00000000-0005-0000-0000-000029B90000}"/>
    <cellStyle name="Heading 4 19 2" xfId="47410" xr:uid="{00000000-0005-0000-0000-00002AB90000}"/>
    <cellStyle name="Heading 4 19 2 2" xfId="47411" xr:uid="{00000000-0005-0000-0000-00002BB90000}"/>
    <cellStyle name="Heading 4 19 3" xfId="47412" xr:uid="{00000000-0005-0000-0000-00002CB90000}"/>
    <cellStyle name="Heading 4 190" xfId="47413" xr:uid="{00000000-0005-0000-0000-00002DB90000}"/>
    <cellStyle name="Heading 4 190 2" xfId="47414" xr:uid="{00000000-0005-0000-0000-00002EB90000}"/>
    <cellStyle name="Heading 4 191" xfId="47415" xr:uid="{00000000-0005-0000-0000-00002FB90000}"/>
    <cellStyle name="Heading 4 191 2" xfId="47416" xr:uid="{00000000-0005-0000-0000-000030B90000}"/>
    <cellStyle name="Heading 4 192" xfId="47417" xr:uid="{00000000-0005-0000-0000-000031B90000}"/>
    <cellStyle name="Heading 4 192 2" xfId="47418" xr:uid="{00000000-0005-0000-0000-000032B90000}"/>
    <cellStyle name="Heading 4 193" xfId="47419" xr:uid="{00000000-0005-0000-0000-000033B90000}"/>
    <cellStyle name="Heading 4 193 2" xfId="47420" xr:uid="{00000000-0005-0000-0000-000034B90000}"/>
    <cellStyle name="Heading 4 194" xfId="47421" xr:uid="{00000000-0005-0000-0000-000035B90000}"/>
    <cellStyle name="Heading 4 194 2" xfId="47422" xr:uid="{00000000-0005-0000-0000-000036B90000}"/>
    <cellStyle name="Heading 4 195" xfId="47423" xr:uid="{00000000-0005-0000-0000-000037B90000}"/>
    <cellStyle name="Heading 4 195 2" xfId="47424" xr:uid="{00000000-0005-0000-0000-000038B90000}"/>
    <cellStyle name="Heading 4 196" xfId="47425" xr:uid="{00000000-0005-0000-0000-000039B90000}"/>
    <cellStyle name="Heading 4 196 2" xfId="47426" xr:uid="{00000000-0005-0000-0000-00003AB90000}"/>
    <cellStyle name="Heading 4 197" xfId="47427" xr:uid="{00000000-0005-0000-0000-00003BB90000}"/>
    <cellStyle name="Heading 4 197 2" xfId="47428" xr:uid="{00000000-0005-0000-0000-00003CB90000}"/>
    <cellStyle name="Heading 4 198" xfId="47429" xr:uid="{00000000-0005-0000-0000-00003DB90000}"/>
    <cellStyle name="Heading 4 198 2" xfId="47430" xr:uid="{00000000-0005-0000-0000-00003EB90000}"/>
    <cellStyle name="Heading 4 2" xfId="47431" xr:uid="{00000000-0005-0000-0000-00003FB90000}"/>
    <cellStyle name="Heading 4 2 2" xfId="47432" xr:uid="{00000000-0005-0000-0000-000040B90000}"/>
    <cellStyle name="Heading 4 2 2 2" xfId="47433" xr:uid="{00000000-0005-0000-0000-000041B90000}"/>
    <cellStyle name="Heading 4 2 2 2 2" xfId="47434" xr:uid="{00000000-0005-0000-0000-000042B90000}"/>
    <cellStyle name="Heading 4 2 2 2 2 2" xfId="47435" xr:uid="{00000000-0005-0000-0000-000043B90000}"/>
    <cellStyle name="Heading 4 2 2 2 2 2 2" xfId="47436" xr:uid="{00000000-0005-0000-0000-000044B90000}"/>
    <cellStyle name="Heading 4 2 2 2 2 3" xfId="47437" xr:uid="{00000000-0005-0000-0000-000045B90000}"/>
    <cellStyle name="Heading 4 2 2 2 3" xfId="47438" xr:uid="{00000000-0005-0000-0000-000046B90000}"/>
    <cellStyle name="Heading 4 2 2 3" xfId="47439" xr:uid="{00000000-0005-0000-0000-000047B90000}"/>
    <cellStyle name="Heading 4 2 2 3 2" xfId="47440" xr:uid="{00000000-0005-0000-0000-000048B90000}"/>
    <cellStyle name="Heading 4 2 2 4" xfId="47441" xr:uid="{00000000-0005-0000-0000-000049B90000}"/>
    <cellStyle name="Heading 4 2 2 4 2" xfId="47442" xr:uid="{00000000-0005-0000-0000-00004AB90000}"/>
    <cellStyle name="Heading 4 2 2 5" xfId="47443" xr:uid="{00000000-0005-0000-0000-00004BB90000}"/>
    <cellStyle name="Heading 4 2 3" xfId="47444" xr:uid="{00000000-0005-0000-0000-00004CB90000}"/>
    <cellStyle name="Heading 4 2 3 2" xfId="47445" xr:uid="{00000000-0005-0000-0000-00004DB90000}"/>
    <cellStyle name="Heading 4 2 4" xfId="47446" xr:uid="{00000000-0005-0000-0000-00004EB90000}"/>
    <cellStyle name="Heading 4 2 4 2" xfId="47447" xr:uid="{00000000-0005-0000-0000-00004FB90000}"/>
    <cellStyle name="Heading 4 2 5" xfId="47448" xr:uid="{00000000-0005-0000-0000-000050B90000}"/>
    <cellStyle name="Heading 4 2 5 2" xfId="47449" xr:uid="{00000000-0005-0000-0000-000051B90000}"/>
    <cellStyle name="Heading 4 2 6" xfId="47450" xr:uid="{00000000-0005-0000-0000-000052B90000}"/>
    <cellStyle name="Heading 4 20" xfId="47451" xr:uid="{00000000-0005-0000-0000-000053B90000}"/>
    <cellStyle name="Heading 4 20 2" xfId="47452" xr:uid="{00000000-0005-0000-0000-000054B90000}"/>
    <cellStyle name="Heading 4 20 2 2" xfId="47453" xr:uid="{00000000-0005-0000-0000-000055B90000}"/>
    <cellStyle name="Heading 4 20 3" xfId="47454" xr:uid="{00000000-0005-0000-0000-000056B90000}"/>
    <cellStyle name="Heading 4 21" xfId="47455" xr:uid="{00000000-0005-0000-0000-000057B90000}"/>
    <cellStyle name="Heading 4 21 2" xfId="47456" xr:uid="{00000000-0005-0000-0000-000058B90000}"/>
    <cellStyle name="Heading 4 21 2 2" xfId="47457" xr:uid="{00000000-0005-0000-0000-000059B90000}"/>
    <cellStyle name="Heading 4 21 3" xfId="47458" xr:uid="{00000000-0005-0000-0000-00005AB90000}"/>
    <cellStyle name="Heading 4 22" xfId="47459" xr:uid="{00000000-0005-0000-0000-00005BB90000}"/>
    <cellStyle name="Heading 4 22 2" xfId="47460" xr:uid="{00000000-0005-0000-0000-00005CB90000}"/>
    <cellStyle name="Heading 4 22 2 2" xfId="47461" xr:uid="{00000000-0005-0000-0000-00005DB90000}"/>
    <cellStyle name="Heading 4 22 3" xfId="47462" xr:uid="{00000000-0005-0000-0000-00005EB90000}"/>
    <cellStyle name="Heading 4 23" xfId="47463" xr:uid="{00000000-0005-0000-0000-00005FB90000}"/>
    <cellStyle name="Heading 4 23 2" xfId="47464" xr:uid="{00000000-0005-0000-0000-000060B90000}"/>
    <cellStyle name="Heading 4 23 2 2" xfId="47465" xr:uid="{00000000-0005-0000-0000-000061B90000}"/>
    <cellStyle name="Heading 4 23 3" xfId="47466" xr:uid="{00000000-0005-0000-0000-000062B90000}"/>
    <cellStyle name="Heading 4 24" xfId="47467" xr:uid="{00000000-0005-0000-0000-000063B90000}"/>
    <cellStyle name="Heading 4 24 2" xfId="47468" xr:uid="{00000000-0005-0000-0000-000064B90000}"/>
    <cellStyle name="Heading 4 24 2 2" xfId="47469" xr:uid="{00000000-0005-0000-0000-000065B90000}"/>
    <cellStyle name="Heading 4 24 3" xfId="47470" xr:uid="{00000000-0005-0000-0000-000066B90000}"/>
    <cellStyle name="Heading 4 25" xfId="47471" xr:uid="{00000000-0005-0000-0000-000067B90000}"/>
    <cellStyle name="Heading 4 25 2" xfId="47472" xr:uid="{00000000-0005-0000-0000-000068B90000}"/>
    <cellStyle name="Heading 4 25 2 2" xfId="47473" xr:uid="{00000000-0005-0000-0000-000069B90000}"/>
    <cellStyle name="Heading 4 25 3" xfId="47474" xr:uid="{00000000-0005-0000-0000-00006AB90000}"/>
    <cellStyle name="Heading 4 26" xfId="47475" xr:uid="{00000000-0005-0000-0000-00006BB90000}"/>
    <cellStyle name="Heading 4 26 2" xfId="47476" xr:uid="{00000000-0005-0000-0000-00006CB90000}"/>
    <cellStyle name="Heading 4 26 2 2" xfId="47477" xr:uid="{00000000-0005-0000-0000-00006DB90000}"/>
    <cellStyle name="Heading 4 26 3" xfId="47478" xr:uid="{00000000-0005-0000-0000-00006EB90000}"/>
    <cellStyle name="Heading 4 27" xfId="47479" xr:uid="{00000000-0005-0000-0000-00006FB90000}"/>
    <cellStyle name="Heading 4 27 2" xfId="47480" xr:uid="{00000000-0005-0000-0000-000070B90000}"/>
    <cellStyle name="Heading 4 27 2 2" xfId="47481" xr:uid="{00000000-0005-0000-0000-000071B90000}"/>
    <cellStyle name="Heading 4 27 3" xfId="47482" xr:uid="{00000000-0005-0000-0000-000072B90000}"/>
    <cellStyle name="Heading 4 28" xfId="47483" xr:uid="{00000000-0005-0000-0000-000073B90000}"/>
    <cellStyle name="Heading 4 28 2" xfId="47484" xr:uid="{00000000-0005-0000-0000-000074B90000}"/>
    <cellStyle name="Heading 4 28 2 2" xfId="47485" xr:uid="{00000000-0005-0000-0000-000075B90000}"/>
    <cellStyle name="Heading 4 28 3" xfId="47486" xr:uid="{00000000-0005-0000-0000-000076B90000}"/>
    <cellStyle name="Heading 4 29" xfId="47487" xr:uid="{00000000-0005-0000-0000-000077B90000}"/>
    <cellStyle name="Heading 4 29 2" xfId="47488" xr:uid="{00000000-0005-0000-0000-000078B90000}"/>
    <cellStyle name="Heading 4 29 2 2" xfId="47489" xr:uid="{00000000-0005-0000-0000-000079B90000}"/>
    <cellStyle name="Heading 4 29 3" xfId="47490" xr:uid="{00000000-0005-0000-0000-00007AB90000}"/>
    <cellStyle name="Heading 4 3" xfId="47491" xr:uid="{00000000-0005-0000-0000-00007BB90000}"/>
    <cellStyle name="Heading 4 3 2" xfId="47492" xr:uid="{00000000-0005-0000-0000-00007CB90000}"/>
    <cellStyle name="Heading 4 3 2 2" xfId="47493" xr:uid="{00000000-0005-0000-0000-00007DB90000}"/>
    <cellStyle name="Heading 4 3 3" xfId="47494" xr:uid="{00000000-0005-0000-0000-00007EB90000}"/>
    <cellStyle name="Heading 4 3 3 2" xfId="47495" xr:uid="{00000000-0005-0000-0000-00007FB90000}"/>
    <cellStyle name="Heading 4 3 4" xfId="47496" xr:uid="{00000000-0005-0000-0000-000080B90000}"/>
    <cellStyle name="Heading 4 3 4 2" xfId="47497" xr:uid="{00000000-0005-0000-0000-000081B90000}"/>
    <cellStyle name="Heading 4 3 5" xfId="47498" xr:uid="{00000000-0005-0000-0000-000082B90000}"/>
    <cellStyle name="Heading 4 30" xfId="47499" xr:uid="{00000000-0005-0000-0000-000083B90000}"/>
    <cellStyle name="Heading 4 30 2" xfId="47500" xr:uid="{00000000-0005-0000-0000-000084B90000}"/>
    <cellStyle name="Heading 4 30 2 2" xfId="47501" xr:uid="{00000000-0005-0000-0000-000085B90000}"/>
    <cellStyle name="Heading 4 30 3" xfId="47502" xr:uid="{00000000-0005-0000-0000-000086B90000}"/>
    <cellStyle name="Heading 4 31" xfId="47503" xr:uid="{00000000-0005-0000-0000-000087B90000}"/>
    <cellStyle name="Heading 4 31 2" xfId="47504" xr:uid="{00000000-0005-0000-0000-000088B90000}"/>
    <cellStyle name="Heading 4 31 2 2" xfId="47505" xr:uid="{00000000-0005-0000-0000-000089B90000}"/>
    <cellStyle name="Heading 4 31 3" xfId="47506" xr:uid="{00000000-0005-0000-0000-00008AB90000}"/>
    <cellStyle name="Heading 4 32" xfId="47507" xr:uid="{00000000-0005-0000-0000-00008BB90000}"/>
    <cellStyle name="Heading 4 32 2" xfId="47508" xr:uid="{00000000-0005-0000-0000-00008CB90000}"/>
    <cellStyle name="Heading 4 32 2 2" xfId="47509" xr:uid="{00000000-0005-0000-0000-00008DB90000}"/>
    <cellStyle name="Heading 4 32 3" xfId="47510" xr:uid="{00000000-0005-0000-0000-00008EB90000}"/>
    <cellStyle name="Heading 4 33" xfId="47511" xr:uid="{00000000-0005-0000-0000-00008FB90000}"/>
    <cellStyle name="Heading 4 33 2" xfId="47512" xr:uid="{00000000-0005-0000-0000-000090B90000}"/>
    <cellStyle name="Heading 4 33 2 2" xfId="47513" xr:uid="{00000000-0005-0000-0000-000091B90000}"/>
    <cellStyle name="Heading 4 33 3" xfId="47514" xr:uid="{00000000-0005-0000-0000-000092B90000}"/>
    <cellStyle name="Heading 4 34" xfId="47515" xr:uid="{00000000-0005-0000-0000-000093B90000}"/>
    <cellStyle name="Heading 4 34 2" xfId="47516" xr:uid="{00000000-0005-0000-0000-000094B90000}"/>
    <cellStyle name="Heading 4 34 2 2" xfId="47517" xr:uid="{00000000-0005-0000-0000-000095B90000}"/>
    <cellStyle name="Heading 4 34 3" xfId="47518" xr:uid="{00000000-0005-0000-0000-000096B90000}"/>
    <cellStyle name="Heading 4 35" xfId="47519" xr:uid="{00000000-0005-0000-0000-000097B90000}"/>
    <cellStyle name="Heading 4 35 2" xfId="47520" xr:uid="{00000000-0005-0000-0000-000098B90000}"/>
    <cellStyle name="Heading 4 35 2 2" xfId="47521" xr:uid="{00000000-0005-0000-0000-000099B90000}"/>
    <cellStyle name="Heading 4 35 3" xfId="47522" xr:uid="{00000000-0005-0000-0000-00009AB90000}"/>
    <cellStyle name="Heading 4 36" xfId="47523" xr:uid="{00000000-0005-0000-0000-00009BB90000}"/>
    <cellStyle name="Heading 4 36 2" xfId="47524" xr:uid="{00000000-0005-0000-0000-00009CB90000}"/>
    <cellStyle name="Heading 4 36 2 2" xfId="47525" xr:uid="{00000000-0005-0000-0000-00009DB90000}"/>
    <cellStyle name="Heading 4 36 3" xfId="47526" xr:uid="{00000000-0005-0000-0000-00009EB90000}"/>
    <cellStyle name="Heading 4 37" xfId="47527" xr:uid="{00000000-0005-0000-0000-00009FB90000}"/>
    <cellStyle name="Heading 4 37 2" xfId="47528" xr:uid="{00000000-0005-0000-0000-0000A0B90000}"/>
    <cellStyle name="Heading 4 37 2 2" xfId="47529" xr:uid="{00000000-0005-0000-0000-0000A1B90000}"/>
    <cellStyle name="Heading 4 37 3" xfId="47530" xr:uid="{00000000-0005-0000-0000-0000A2B90000}"/>
    <cellStyle name="Heading 4 38" xfId="47531" xr:uid="{00000000-0005-0000-0000-0000A3B90000}"/>
    <cellStyle name="Heading 4 38 2" xfId="47532" xr:uid="{00000000-0005-0000-0000-0000A4B90000}"/>
    <cellStyle name="Heading 4 38 2 2" xfId="47533" xr:uid="{00000000-0005-0000-0000-0000A5B90000}"/>
    <cellStyle name="Heading 4 38 3" xfId="47534" xr:uid="{00000000-0005-0000-0000-0000A6B90000}"/>
    <cellStyle name="Heading 4 39" xfId="47535" xr:uid="{00000000-0005-0000-0000-0000A7B90000}"/>
    <cellStyle name="Heading 4 39 2" xfId="47536" xr:uid="{00000000-0005-0000-0000-0000A8B90000}"/>
    <cellStyle name="Heading 4 39 2 2" xfId="47537" xr:uid="{00000000-0005-0000-0000-0000A9B90000}"/>
    <cellStyle name="Heading 4 39 3" xfId="47538" xr:uid="{00000000-0005-0000-0000-0000AAB90000}"/>
    <cellStyle name="Heading 4 4" xfId="47539" xr:uid="{00000000-0005-0000-0000-0000ABB90000}"/>
    <cellStyle name="Heading 4 4 2" xfId="47540" xr:uid="{00000000-0005-0000-0000-0000ACB90000}"/>
    <cellStyle name="Heading 4 4 2 2" xfId="47541" xr:uid="{00000000-0005-0000-0000-0000ADB90000}"/>
    <cellStyle name="Heading 4 4 3" xfId="47542" xr:uid="{00000000-0005-0000-0000-0000AEB90000}"/>
    <cellStyle name="Heading 4 4 3 2" xfId="47543" xr:uid="{00000000-0005-0000-0000-0000AFB90000}"/>
    <cellStyle name="Heading 4 4 4" xfId="47544" xr:uid="{00000000-0005-0000-0000-0000B0B90000}"/>
    <cellStyle name="Heading 4 4 4 2" xfId="47545" xr:uid="{00000000-0005-0000-0000-0000B1B90000}"/>
    <cellStyle name="Heading 4 4 5" xfId="47546" xr:uid="{00000000-0005-0000-0000-0000B2B90000}"/>
    <cellStyle name="Heading 4 40" xfId="47547" xr:uid="{00000000-0005-0000-0000-0000B3B90000}"/>
    <cellStyle name="Heading 4 40 2" xfId="47548" xr:uid="{00000000-0005-0000-0000-0000B4B90000}"/>
    <cellStyle name="Heading 4 40 2 2" xfId="47549" xr:uid="{00000000-0005-0000-0000-0000B5B90000}"/>
    <cellStyle name="Heading 4 40 3" xfId="47550" xr:uid="{00000000-0005-0000-0000-0000B6B90000}"/>
    <cellStyle name="Heading 4 41" xfId="47551" xr:uid="{00000000-0005-0000-0000-0000B7B90000}"/>
    <cellStyle name="Heading 4 41 2" xfId="47552" xr:uid="{00000000-0005-0000-0000-0000B8B90000}"/>
    <cellStyle name="Heading 4 41 2 2" xfId="47553" xr:uid="{00000000-0005-0000-0000-0000B9B90000}"/>
    <cellStyle name="Heading 4 41 3" xfId="47554" xr:uid="{00000000-0005-0000-0000-0000BAB90000}"/>
    <cellStyle name="Heading 4 42" xfId="47555" xr:uid="{00000000-0005-0000-0000-0000BBB90000}"/>
    <cellStyle name="Heading 4 42 2" xfId="47556" xr:uid="{00000000-0005-0000-0000-0000BCB90000}"/>
    <cellStyle name="Heading 4 42 2 2" xfId="47557" xr:uid="{00000000-0005-0000-0000-0000BDB90000}"/>
    <cellStyle name="Heading 4 42 3" xfId="47558" xr:uid="{00000000-0005-0000-0000-0000BEB90000}"/>
    <cellStyle name="Heading 4 43" xfId="47559" xr:uid="{00000000-0005-0000-0000-0000BFB90000}"/>
    <cellStyle name="Heading 4 43 2" xfId="47560" xr:uid="{00000000-0005-0000-0000-0000C0B90000}"/>
    <cellStyle name="Heading 4 43 2 2" xfId="47561" xr:uid="{00000000-0005-0000-0000-0000C1B90000}"/>
    <cellStyle name="Heading 4 43 3" xfId="47562" xr:uid="{00000000-0005-0000-0000-0000C2B90000}"/>
    <cellStyle name="Heading 4 44" xfId="47563" xr:uid="{00000000-0005-0000-0000-0000C3B90000}"/>
    <cellStyle name="Heading 4 44 2" xfId="47564" xr:uid="{00000000-0005-0000-0000-0000C4B90000}"/>
    <cellStyle name="Heading 4 44 2 2" xfId="47565" xr:uid="{00000000-0005-0000-0000-0000C5B90000}"/>
    <cellStyle name="Heading 4 44 3" xfId="47566" xr:uid="{00000000-0005-0000-0000-0000C6B90000}"/>
    <cellStyle name="Heading 4 45" xfId="47567" xr:uid="{00000000-0005-0000-0000-0000C7B90000}"/>
    <cellStyle name="Heading 4 45 2" xfId="47568" xr:uid="{00000000-0005-0000-0000-0000C8B90000}"/>
    <cellStyle name="Heading 4 45 2 2" xfId="47569" xr:uid="{00000000-0005-0000-0000-0000C9B90000}"/>
    <cellStyle name="Heading 4 45 3" xfId="47570" xr:uid="{00000000-0005-0000-0000-0000CAB90000}"/>
    <cellStyle name="Heading 4 46" xfId="47571" xr:uid="{00000000-0005-0000-0000-0000CBB90000}"/>
    <cellStyle name="Heading 4 46 2" xfId="47572" xr:uid="{00000000-0005-0000-0000-0000CCB90000}"/>
    <cellStyle name="Heading 4 46 2 2" xfId="47573" xr:uid="{00000000-0005-0000-0000-0000CDB90000}"/>
    <cellStyle name="Heading 4 46 3" xfId="47574" xr:uid="{00000000-0005-0000-0000-0000CEB90000}"/>
    <cellStyle name="Heading 4 47" xfId="47575" xr:uid="{00000000-0005-0000-0000-0000CFB90000}"/>
    <cellStyle name="Heading 4 47 2" xfId="47576" xr:uid="{00000000-0005-0000-0000-0000D0B90000}"/>
    <cellStyle name="Heading 4 47 2 2" xfId="47577" xr:uid="{00000000-0005-0000-0000-0000D1B90000}"/>
    <cellStyle name="Heading 4 47 3" xfId="47578" xr:uid="{00000000-0005-0000-0000-0000D2B90000}"/>
    <cellStyle name="Heading 4 48" xfId="47579" xr:uid="{00000000-0005-0000-0000-0000D3B90000}"/>
    <cellStyle name="Heading 4 48 2" xfId="47580" xr:uid="{00000000-0005-0000-0000-0000D4B90000}"/>
    <cellStyle name="Heading 4 48 2 2" xfId="47581" xr:uid="{00000000-0005-0000-0000-0000D5B90000}"/>
    <cellStyle name="Heading 4 48 3" xfId="47582" xr:uid="{00000000-0005-0000-0000-0000D6B90000}"/>
    <cellStyle name="Heading 4 49" xfId="47583" xr:uid="{00000000-0005-0000-0000-0000D7B90000}"/>
    <cellStyle name="Heading 4 49 2" xfId="47584" xr:uid="{00000000-0005-0000-0000-0000D8B90000}"/>
    <cellStyle name="Heading 4 49 2 2" xfId="47585" xr:uid="{00000000-0005-0000-0000-0000D9B90000}"/>
    <cellStyle name="Heading 4 49 3" xfId="47586" xr:uid="{00000000-0005-0000-0000-0000DAB90000}"/>
    <cellStyle name="Heading 4 5" xfId="47587" xr:uid="{00000000-0005-0000-0000-0000DBB90000}"/>
    <cellStyle name="Heading 4 5 2" xfId="47588" xr:uid="{00000000-0005-0000-0000-0000DCB90000}"/>
    <cellStyle name="Heading 4 5 2 2" xfId="47589" xr:uid="{00000000-0005-0000-0000-0000DDB90000}"/>
    <cellStyle name="Heading 4 5 3" xfId="47590" xr:uid="{00000000-0005-0000-0000-0000DEB90000}"/>
    <cellStyle name="Heading 4 5 3 2" xfId="47591" xr:uid="{00000000-0005-0000-0000-0000DFB90000}"/>
    <cellStyle name="Heading 4 5 4" xfId="47592" xr:uid="{00000000-0005-0000-0000-0000E0B90000}"/>
    <cellStyle name="Heading 4 5 4 2" xfId="47593" xr:uid="{00000000-0005-0000-0000-0000E1B90000}"/>
    <cellStyle name="Heading 4 5 5" xfId="47594" xr:uid="{00000000-0005-0000-0000-0000E2B90000}"/>
    <cellStyle name="Heading 4 50" xfId="47595" xr:uid="{00000000-0005-0000-0000-0000E3B90000}"/>
    <cellStyle name="Heading 4 50 2" xfId="47596" xr:uid="{00000000-0005-0000-0000-0000E4B90000}"/>
    <cellStyle name="Heading 4 50 2 2" xfId="47597" xr:uid="{00000000-0005-0000-0000-0000E5B90000}"/>
    <cellStyle name="Heading 4 50 3" xfId="47598" xr:uid="{00000000-0005-0000-0000-0000E6B90000}"/>
    <cellStyle name="Heading 4 51" xfId="47599" xr:uid="{00000000-0005-0000-0000-0000E7B90000}"/>
    <cellStyle name="Heading 4 51 2" xfId="47600" xr:uid="{00000000-0005-0000-0000-0000E8B90000}"/>
    <cellStyle name="Heading 4 51 2 2" xfId="47601" xr:uid="{00000000-0005-0000-0000-0000E9B90000}"/>
    <cellStyle name="Heading 4 51 3" xfId="47602" xr:uid="{00000000-0005-0000-0000-0000EAB90000}"/>
    <cellStyle name="Heading 4 52" xfId="47603" xr:uid="{00000000-0005-0000-0000-0000EBB90000}"/>
    <cellStyle name="Heading 4 52 2" xfId="47604" xr:uid="{00000000-0005-0000-0000-0000ECB90000}"/>
    <cellStyle name="Heading 4 52 2 2" xfId="47605" xr:uid="{00000000-0005-0000-0000-0000EDB90000}"/>
    <cellStyle name="Heading 4 52 3" xfId="47606" xr:uid="{00000000-0005-0000-0000-0000EEB90000}"/>
    <cellStyle name="Heading 4 53" xfId="47607" xr:uid="{00000000-0005-0000-0000-0000EFB90000}"/>
    <cellStyle name="Heading 4 53 2" xfId="47608" xr:uid="{00000000-0005-0000-0000-0000F0B90000}"/>
    <cellStyle name="Heading 4 53 2 2" xfId="47609" xr:uid="{00000000-0005-0000-0000-0000F1B90000}"/>
    <cellStyle name="Heading 4 53 3" xfId="47610" xr:uid="{00000000-0005-0000-0000-0000F2B90000}"/>
    <cellStyle name="Heading 4 54" xfId="47611" xr:uid="{00000000-0005-0000-0000-0000F3B90000}"/>
    <cellStyle name="Heading 4 54 2" xfId="47612" xr:uid="{00000000-0005-0000-0000-0000F4B90000}"/>
    <cellStyle name="Heading 4 54 2 2" xfId="47613" xr:uid="{00000000-0005-0000-0000-0000F5B90000}"/>
    <cellStyle name="Heading 4 54 3" xfId="47614" xr:uid="{00000000-0005-0000-0000-0000F6B90000}"/>
    <cellStyle name="Heading 4 55" xfId="47615" xr:uid="{00000000-0005-0000-0000-0000F7B90000}"/>
    <cellStyle name="Heading 4 55 2" xfId="47616" xr:uid="{00000000-0005-0000-0000-0000F8B90000}"/>
    <cellStyle name="Heading 4 55 2 2" xfId="47617" xr:uid="{00000000-0005-0000-0000-0000F9B90000}"/>
    <cellStyle name="Heading 4 55 3" xfId="47618" xr:uid="{00000000-0005-0000-0000-0000FAB90000}"/>
    <cellStyle name="Heading 4 56" xfId="47619" xr:uid="{00000000-0005-0000-0000-0000FBB90000}"/>
    <cellStyle name="Heading 4 56 2" xfId="47620" xr:uid="{00000000-0005-0000-0000-0000FCB90000}"/>
    <cellStyle name="Heading 4 56 2 2" xfId="47621" xr:uid="{00000000-0005-0000-0000-0000FDB90000}"/>
    <cellStyle name="Heading 4 56 3" xfId="47622" xr:uid="{00000000-0005-0000-0000-0000FEB90000}"/>
    <cellStyle name="Heading 4 57" xfId="47623" xr:uid="{00000000-0005-0000-0000-0000FFB90000}"/>
    <cellStyle name="Heading 4 57 2" xfId="47624" xr:uid="{00000000-0005-0000-0000-000000BA0000}"/>
    <cellStyle name="Heading 4 57 2 2" xfId="47625" xr:uid="{00000000-0005-0000-0000-000001BA0000}"/>
    <cellStyle name="Heading 4 57 3" xfId="47626" xr:uid="{00000000-0005-0000-0000-000002BA0000}"/>
    <cellStyle name="Heading 4 58" xfId="47627" xr:uid="{00000000-0005-0000-0000-000003BA0000}"/>
    <cellStyle name="Heading 4 58 2" xfId="47628" xr:uid="{00000000-0005-0000-0000-000004BA0000}"/>
    <cellStyle name="Heading 4 58 2 2" xfId="47629" xr:uid="{00000000-0005-0000-0000-000005BA0000}"/>
    <cellStyle name="Heading 4 58 3" xfId="47630" xr:uid="{00000000-0005-0000-0000-000006BA0000}"/>
    <cellStyle name="Heading 4 59" xfId="47631" xr:uid="{00000000-0005-0000-0000-000007BA0000}"/>
    <cellStyle name="Heading 4 59 2" xfId="47632" xr:uid="{00000000-0005-0000-0000-000008BA0000}"/>
    <cellStyle name="Heading 4 59 2 2" xfId="47633" xr:uid="{00000000-0005-0000-0000-000009BA0000}"/>
    <cellStyle name="Heading 4 59 3" xfId="47634" xr:uid="{00000000-0005-0000-0000-00000ABA0000}"/>
    <cellStyle name="Heading 4 59 3 2" xfId="47635" xr:uid="{00000000-0005-0000-0000-00000BBA0000}"/>
    <cellStyle name="Heading 4 59 4" xfId="47636" xr:uid="{00000000-0005-0000-0000-00000CBA0000}"/>
    <cellStyle name="Heading 4 6" xfId="47637" xr:uid="{00000000-0005-0000-0000-00000DBA0000}"/>
    <cellStyle name="Heading 4 6 2" xfId="47638" xr:uid="{00000000-0005-0000-0000-00000EBA0000}"/>
    <cellStyle name="Heading 4 6 2 2" xfId="47639" xr:uid="{00000000-0005-0000-0000-00000FBA0000}"/>
    <cellStyle name="Heading 4 6 3" xfId="47640" xr:uid="{00000000-0005-0000-0000-000010BA0000}"/>
    <cellStyle name="Heading 4 6 3 2" xfId="47641" xr:uid="{00000000-0005-0000-0000-000011BA0000}"/>
    <cellStyle name="Heading 4 6 4" xfId="47642" xr:uid="{00000000-0005-0000-0000-000012BA0000}"/>
    <cellStyle name="Heading 4 6 4 2" xfId="47643" xr:uid="{00000000-0005-0000-0000-000013BA0000}"/>
    <cellStyle name="Heading 4 6 5" xfId="47644" xr:uid="{00000000-0005-0000-0000-000014BA0000}"/>
    <cellStyle name="Heading 4 60" xfId="47645" xr:uid="{00000000-0005-0000-0000-000015BA0000}"/>
    <cellStyle name="Heading 4 60 2" xfId="47646" xr:uid="{00000000-0005-0000-0000-000016BA0000}"/>
    <cellStyle name="Heading 4 60 2 2" xfId="47647" xr:uid="{00000000-0005-0000-0000-000017BA0000}"/>
    <cellStyle name="Heading 4 60 3" xfId="47648" xr:uid="{00000000-0005-0000-0000-000018BA0000}"/>
    <cellStyle name="Heading 4 61" xfId="47649" xr:uid="{00000000-0005-0000-0000-000019BA0000}"/>
    <cellStyle name="Heading 4 61 2" xfId="47650" xr:uid="{00000000-0005-0000-0000-00001ABA0000}"/>
    <cellStyle name="Heading 4 61 2 2" xfId="47651" xr:uid="{00000000-0005-0000-0000-00001BBA0000}"/>
    <cellStyle name="Heading 4 61 3" xfId="47652" xr:uid="{00000000-0005-0000-0000-00001CBA0000}"/>
    <cellStyle name="Heading 4 62" xfId="47653" xr:uid="{00000000-0005-0000-0000-00001DBA0000}"/>
    <cellStyle name="Heading 4 62 2" xfId="47654" xr:uid="{00000000-0005-0000-0000-00001EBA0000}"/>
    <cellStyle name="Heading 4 62 2 2" xfId="47655" xr:uid="{00000000-0005-0000-0000-00001FBA0000}"/>
    <cellStyle name="Heading 4 62 3" xfId="47656" xr:uid="{00000000-0005-0000-0000-000020BA0000}"/>
    <cellStyle name="Heading 4 63" xfId="47657" xr:uid="{00000000-0005-0000-0000-000021BA0000}"/>
    <cellStyle name="Heading 4 63 2" xfId="47658" xr:uid="{00000000-0005-0000-0000-000022BA0000}"/>
    <cellStyle name="Heading 4 63 2 2" xfId="47659" xr:uid="{00000000-0005-0000-0000-000023BA0000}"/>
    <cellStyle name="Heading 4 63 3" xfId="47660" xr:uid="{00000000-0005-0000-0000-000024BA0000}"/>
    <cellStyle name="Heading 4 64" xfId="47661" xr:uid="{00000000-0005-0000-0000-000025BA0000}"/>
    <cellStyle name="Heading 4 64 2" xfId="47662" xr:uid="{00000000-0005-0000-0000-000026BA0000}"/>
    <cellStyle name="Heading 4 64 2 2" xfId="47663" xr:uid="{00000000-0005-0000-0000-000027BA0000}"/>
    <cellStyle name="Heading 4 64 3" xfId="47664" xr:uid="{00000000-0005-0000-0000-000028BA0000}"/>
    <cellStyle name="Heading 4 65" xfId="47665" xr:uid="{00000000-0005-0000-0000-000029BA0000}"/>
    <cellStyle name="Heading 4 65 2" xfId="47666" xr:uid="{00000000-0005-0000-0000-00002ABA0000}"/>
    <cellStyle name="Heading 4 65 2 2" xfId="47667" xr:uid="{00000000-0005-0000-0000-00002BBA0000}"/>
    <cellStyle name="Heading 4 65 3" xfId="47668" xr:uid="{00000000-0005-0000-0000-00002CBA0000}"/>
    <cellStyle name="Heading 4 66" xfId="47669" xr:uid="{00000000-0005-0000-0000-00002DBA0000}"/>
    <cellStyle name="Heading 4 66 2" xfId="47670" xr:uid="{00000000-0005-0000-0000-00002EBA0000}"/>
    <cellStyle name="Heading 4 66 2 2" xfId="47671" xr:uid="{00000000-0005-0000-0000-00002FBA0000}"/>
    <cellStyle name="Heading 4 66 3" xfId="47672" xr:uid="{00000000-0005-0000-0000-000030BA0000}"/>
    <cellStyle name="Heading 4 67" xfId="47673" xr:uid="{00000000-0005-0000-0000-000031BA0000}"/>
    <cellStyle name="Heading 4 67 2" xfId="47674" xr:uid="{00000000-0005-0000-0000-000032BA0000}"/>
    <cellStyle name="Heading 4 67 2 2" xfId="47675" xr:uid="{00000000-0005-0000-0000-000033BA0000}"/>
    <cellStyle name="Heading 4 67 3" xfId="47676" xr:uid="{00000000-0005-0000-0000-000034BA0000}"/>
    <cellStyle name="Heading 4 68" xfId="47677" xr:uid="{00000000-0005-0000-0000-000035BA0000}"/>
    <cellStyle name="Heading 4 68 2" xfId="47678" xr:uid="{00000000-0005-0000-0000-000036BA0000}"/>
    <cellStyle name="Heading 4 68 2 2" xfId="47679" xr:uid="{00000000-0005-0000-0000-000037BA0000}"/>
    <cellStyle name="Heading 4 68 3" xfId="47680" xr:uid="{00000000-0005-0000-0000-000038BA0000}"/>
    <cellStyle name="Heading 4 69" xfId="47681" xr:uid="{00000000-0005-0000-0000-000039BA0000}"/>
    <cellStyle name="Heading 4 69 2" xfId="47682" xr:uid="{00000000-0005-0000-0000-00003ABA0000}"/>
    <cellStyle name="Heading 4 69 2 2" xfId="47683" xr:uid="{00000000-0005-0000-0000-00003BBA0000}"/>
    <cellStyle name="Heading 4 69 3" xfId="47684" xr:uid="{00000000-0005-0000-0000-00003CBA0000}"/>
    <cellStyle name="Heading 4 7" xfId="47685" xr:uid="{00000000-0005-0000-0000-00003DBA0000}"/>
    <cellStyle name="Heading 4 7 2" xfId="47686" xr:uid="{00000000-0005-0000-0000-00003EBA0000}"/>
    <cellStyle name="Heading 4 7 2 2" xfId="47687" xr:uid="{00000000-0005-0000-0000-00003FBA0000}"/>
    <cellStyle name="Heading 4 7 3" xfId="47688" xr:uid="{00000000-0005-0000-0000-000040BA0000}"/>
    <cellStyle name="Heading 4 7 3 2" xfId="47689" xr:uid="{00000000-0005-0000-0000-000041BA0000}"/>
    <cellStyle name="Heading 4 7 4" xfId="47690" xr:uid="{00000000-0005-0000-0000-000042BA0000}"/>
    <cellStyle name="Heading 4 7 4 2" xfId="47691" xr:uid="{00000000-0005-0000-0000-000043BA0000}"/>
    <cellStyle name="Heading 4 7 5" xfId="47692" xr:uid="{00000000-0005-0000-0000-000044BA0000}"/>
    <cellStyle name="Heading 4 70" xfId="47693" xr:uid="{00000000-0005-0000-0000-000045BA0000}"/>
    <cellStyle name="Heading 4 70 2" xfId="47694" xr:uid="{00000000-0005-0000-0000-000046BA0000}"/>
    <cellStyle name="Heading 4 70 2 2" xfId="47695" xr:uid="{00000000-0005-0000-0000-000047BA0000}"/>
    <cellStyle name="Heading 4 70 3" xfId="47696" xr:uid="{00000000-0005-0000-0000-000048BA0000}"/>
    <cellStyle name="Heading 4 71" xfId="47697" xr:uid="{00000000-0005-0000-0000-000049BA0000}"/>
    <cellStyle name="Heading 4 71 2" xfId="47698" xr:uid="{00000000-0005-0000-0000-00004ABA0000}"/>
    <cellStyle name="Heading 4 71 2 2" xfId="47699" xr:uid="{00000000-0005-0000-0000-00004BBA0000}"/>
    <cellStyle name="Heading 4 71 3" xfId="47700" xr:uid="{00000000-0005-0000-0000-00004CBA0000}"/>
    <cellStyle name="Heading 4 72" xfId="47701" xr:uid="{00000000-0005-0000-0000-00004DBA0000}"/>
    <cellStyle name="Heading 4 72 2" xfId="47702" xr:uid="{00000000-0005-0000-0000-00004EBA0000}"/>
    <cellStyle name="Heading 4 72 2 2" xfId="47703" xr:uid="{00000000-0005-0000-0000-00004FBA0000}"/>
    <cellStyle name="Heading 4 72 3" xfId="47704" xr:uid="{00000000-0005-0000-0000-000050BA0000}"/>
    <cellStyle name="Heading 4 73" xfId="47705" xr:uid="{00000000-0005-0000-0000-000051BA0000}"/>
    <cellStyle name="Heading 4 73 2" xfId="47706" xr:uid="{00000000-0005-0000-0000-000052BA0000}"/>
    <cellStyle name="Heading 4 73 2 2" xfId="47707" xr:uid="{00000000-0005-0000-0000-000053BA0000}"/>
    <cellStyle name="Heading 4 73 3" xfId="47708" xr:uid="{00000000-0005-0000-0000-000054BA0000}"/>
    <cellStyle name="Heading 4 74" xfId="47709" xr:uid="{00000000-0005-0000-0000-000055BA0000}"/>
    <cellStyle name="Heading 4 74 2" xfId="47710" xr:uid="{00000000-0005-0000-0000-000056BA0000}"/>
    <cellStyle name="Heading 4 74 2 2" xfId="47711" xr:uid="{00000000-0005-0000-0000-000057BA0000}"/>
    <cellStyle name="Heading 4 74 3" xfId="47712" xr:uid="{00000000-0005-0000-0000-000058BA0000}"/>
    <cellStyle name="Heading 4 75" xfId="47713" xr:uid="{00000000-0005-0000-0000-000059BA0000}"/>
    <cellStyle name="Heading 4 75 2" xfId="47714" xr:uid="{00000000-0005-0000-0000-00005ABA0000}"/>
    <cellStyle name="Heading 4 75 2 2" xfId="47715" xr:uid="{00000000-0005-0000-0000-00005BBA0000}"/>
    <cellStyle name="Heading 4 75 3" xfId="47716" xr:uid="{00000000-0005-0000-0000-00005CBA0000}"/>
    <cellStyle name="Heading 4 76" xfId="47717" xr:uid="{00000000-0005-0000-0000-00005DBA0000}"/>
    <cellStyle name="Heading 4 76 2" xfId="47718" xr:uid="{00000000-0005-0000-0000-00005EBA0000}"/>
    <cellStyle name="Heading 4 76 2 2" xfId="47719" xr:uid="{00000000-0005-0000-0000-00005FBA0000}"/>
    <cellStyle name="Heading 4 76 3" xfId="47720" xr:uid="{00000000-0005-0000-0000-000060BA0000}"/>
    <cellStyle name="Heading 4 77" xfId="47721" xr:uid="{00000000-0005-0000-0000-000061BA0000}"/>
    <cellStyle name="Heading 4 77 2" xfId="47722" xr:uid="{00000000-0005-0000-0000-000062BA0000}"/>
    <cellStyle name="Heading 4 77 2 2" xfId="47723" xr:uid="{00000000-0005-0000-0000-000063BA0000}"/>
    <cellStyle name="Heading 4 77 3" xfId="47724" xr:uid="{00000000-0005-0000-0000-000064BA0000}"/>
    <cellStyle name="Heading 4 78" xfId="47725" xr:uid="{00000000-0005-0000-0000-000065BA0000}"/>
    <cellStyle name="Heading 4 78 2" xfId="47726" xr:uid="{00000000-0005-0000-0000-000066BA0000}"/>
    <cellStyle name="Heading 4 78 2 2" xfId="47727" xr:uid="{00000000-0005-0000-0000-000067BA0000}"/>
    <cellStyle name="Heading 4 78 3" xfId="47728" xr:uid="{00000000-0005-0000-0000-000068BA0000}"/>
    <cellStyle name="Heading 4 79" xfId="47729" xr:uid="{00000000-0005-0000-0000-000069BA0000}"/>
    <cellStyle name="Heading 4 79 2" xfId="47730" xr:uid="{00000000-0005-0000-0000-00006ABA0000}"/>
    <cellStyle name="Heading 4 79 2 2" xfId="47731" xr:uid="{00000000-0005-0000-0000-00006BBA0000}"/>
    <cellStyle name="Heading 4 79 3" xfId="47732" xr:uid="{00000000-0005-0000-0000-00006CBA0000}"/>
    <cellStyle name="Heading 4 8" xfId="47733" xr:uid="{00000000-0005-0000-0000-00006DBA0000}"/>
    <cellStyle name="Heading 4 8 2" xfId="47734" xr:uid="{00000000-0005-0000-0000-00006EBA0000}"/>
    <cellStyle name="Heading 4 8 2 2" xfId="47735" xr:uid="{00000000-0005-0000-0000-00006FBA0000}"/>
    <cellStyle name="Heading 4 8 3" xfId="47736" xr:uid="{00000000-0005-0000-0000-000070BA0000}"/>
    <cellStyle name="Heading 4 8 3 2" xfId="47737" xr:uid="{00000000-0005-0000-0000-000071BA0000}"/>
    <cellStyle name="Heading 4 8 4" xfId="47738" xr:uid="{00000000-0005-0000-0000-000072BA0000}"/>
    <cellStyle name="Heading 4 8 4 2" xfId="47739" xr:uid="{00000000-0005-0000-0000-000073BA0000}"/>
    <cellStyle name="Heading 4 8 5" xfId="47740" xr:uid="{00000000-0005-0000-0000-000074BA0000}"/>
    <cellStyle name="Heading 4 80" xfId="47741" xr:uid="{00000000-0005-0000-0000-000075BA0000}"/>
    <cellStyle name="Heading 4 80 2" xfId="47742" xr:uid="{00000000-0005-0000-0000-000076BA0000}"/>
    <cellStyle name="Heading 4 80 2 2" xfId="47743" xr:uid="{00000000-0005-0000-0000-000077BA0000}"/>
    <cellStyle name="Heading 4 80 3" xfId="47744" xr:uid="{00000000-0005-0000-0000-000078BA0000}"/>
    <cellStyle name="Heading 4 81" xfId="47745" xr:uid="{00000000-0005-0000-0000-000079BA0000}"/>
    <cellStyle name="Heading 4 81 2" xfId="47746" xr:uid="{00000000-0005-0000-0000-00007ABA0000}"/>
    <cellStyle name="Heading 4 81 2 2" xfId="47747" xr:uid="{00000000-0005-0000-0000-00007BBA0000}"/>
    <cellStyle name="Heading 4 81 3" xfId="47748" xr:uid="{00000000-0005-0000-0000-00007CBA0000}"/>
    <cellStyle name="Heading 4 82" xfId="47749" xr:uid="{00000000-0005-0000-0000-00007DBA0000}"/>
    <cellStyle name="Heading 4 82 2" xfId="47750" xr:uid="{00000000-0005-0000-0000-00007EBA0000}"/>
    <cellStyle name="Heading 4 82 2 2" xfId="47751" xr:uid="{00000000-0005-0000-0000-00007FBA0000}"/>
    <cellStyle name="Heading 4 82 3" xfId="47752" xr:uid="{00000000-0005-0000-0000-000080BA0000}"/>
    <cellStyle name="Heading 4 83" xfId="47753" xr:uid="{00000000-0005-0000-0000-000081BA0000}"/>
    <cellStyle name="Heading 4 83 2" xfId="47754" xr:uid="{00000000-0005-0000-0000-000082BA0000}"/>
    <cellStyle name="Heading 4 83 2 2" xfId="47755" xr:uid="{00000000-0005-0000-0000-000083BA0000}"/>
    <cellStyle name="Heading 4 83 3" xfId="47756" xr:uid="{00000000-0005-0000-0000-000084BA0000}"/>
    <cellStyle name="Heading 4 84" xfId="47757" xr:uid="{00000000-0005-0000-0000-000085BA0000}"/>
    <cellStyle name="Heading 4 84 2" xfId="47758" xr:uid="{00000000-0005-0000-0000-000086BA0000}"/>
    <cellStyle name="Heading 4 84 2 2" xfId="47759" xr:uid="{00000000-0005-0000-0000-000087BA0000}"/>
    <cellStyle name="Heading 4 84 3" xfId="47760" xr:uid="{00000000-0005-0000-0000-000088BA0000}"/>
    <cellStyle name="Heading 4 85" xfId="47761" xr:uid="{00000000-0005-0000-0000-000089BA0000}"/>
    <cellStyle name="Heading 4 85 2" xfId="47762" xr:uid="{00000000-0005-0000-0000-00008ABA0000}"/>
    <cellStyle name="Heading 4 85 2 2" xfId="47763" xr:uid="{00000000-0005-0000-0000-00008BBA0000}"/>
    <cellStyle name="Heading 4 85 3" xfId="47764" xr:uid="{00000000-0005-0000-0000-00008CBA0000}"/>
    <cellStyle name="Heading 4 86" xfId="47765" xr:uid="{00000000-0005-0000-0000-00008DBA0000}"/>
    <cellStyle name="Heading 4 86 2" xfId="47766" xr:uid="{00000000-0005-0000-0000-00008EBA0000}"/>
    <cellStyle name="Heading 4 86 2 2" xfId="47767" xr:uid="{00000000-0005-0000-0000-00008FBA0000}"/>
    <cellStyle name="Heading 4 86 3" xfId="47768" xr:uid="{00000000-0005-0000-0000-000090BA0000}"/>
    <cellStyle name="Heading 4 87" xfId="47769" xr:uid="{00000000-0005-0000-0000-000091BA0000}"/>
    <cellStyle name="Heading 4 87 2" xfId="47770" xr:uid="{00000000-0005-0000-0000-000092BA0000}"/>
    <cellStyle name="Heading 4 87 2 2" xfId="47771" xr:uid="{00000000-0005-0000-0000-000093BA0000}"/>
    <cellStyle name="Heading 4 87 3" xfId="47772" xr:uid="{00000000-0005-0000-0000-000094BA0000}"/>
    <cellStyle name="Heading 4 88" xfId="47773" xr:uid="{00000000-0005-0000-0000-000095BA0000}"/>
    <cellStyle name="Heading 4 88 2" xfId="47774" xr:uid="{00000000-0005-0000-0000-000096BA0000}"/>
    <cellStyle name="Heading 4 88 2 2" xfId="47775" xr:uid="{00000000-0005-0000-0000-000097BA0000}"/>
    <cellStyle name="Heading 4 88 3" xfId="47776" xr:uid="{00000000-0005-0000-0000-000098BA0000}"/>
    <cellStyle name="Heading 4 89" xfId="47777" xr:uid="{00000000-0005-0000-0000-000099BA0000}"/>
    <cellStyle name="Heading 4 89 2" xfId="47778" xr:uid="{00000000-0005-0000-0000-00009ABA0000}"/>
    <cellStyle name="Heading 4 89 2 2" xfId="47779" xr:uid="{00000000-0005-0000-0000-00009BBA0000}"/>
    <cellStyle name="Heading 4 89 3" xfId="47780" xr:uid="{00000000-0005-0000-0000-00009CBA0000}"/>
    <cellStyle name="Heading 4 9" xfId="47781" xr:uid="{00000000-0005-0000-0000-00009DBA0000}"/>
    <cellStyle name="Heading 4 9 2" xfId="47782" xr:uid="{00000000-0005-0000-0000-00009EBA0000}"/>
    <cellStyle name="Heading 4 9 2 2" xfId="47783" xr:uid="{00000000-0005-0000-0000-00009FBA0000}"/>
    <cellStyle name="Heading 4 9 3" xfId="47784" xr:uid="{00000000-0005-0000-0000-0000A0BA0000}"/>
    <cellStyle name="Heading 4 9 3 2" xfId="47785" xr:uid="{00000000-0005-0000-0000-0000A1BA0000}"/>
    <cellStyle name="Heading 4 9 4" xfId="47786" xr:uid="{00000000-0005-0000-0000-0000A2BA0000}"/>
    <cellStyle name="Heading 4 9 4 2" xfId="47787" xr:uid="{00000000-0005-0000-0000-0000A3BA0000}"/>
    <cellStyle name="Heading 4 9 5" xfId="47788" xr:uid="{00000000-0005-0000-0000-0000A4BA0000}"/>
    <cellStyle name="Heading 4 90" xfId="47789" xr:uid="{00000000-0005-0000-0000-0000A5BA0000}"/>
    <cellStyle name="Heading 4 90 2" xfId="47790" xr:uid="{00000000-0005-0000-0000-0000A6BA0000}"/>
    <cellStyle name="Heading 4 90 2 2" xfId="47791" xr:uid="{00000000-0005-0000-0000-0000A7BA0000}"/>
    <cellStyle name="Heading 4 90 3" xfId="47792" xr:uid="{00000000-0005-0000-0000-0000A8BA0000}"/>
    <cellStyle name="Heading 4 91" xfId="47793" xr:uid="{00000000-0005-0000-0000-0000A9BA0000}"/>
    <cellStyle name="Heading 4 91 2" xfId="47794" xr:uid="{00000000-0005-0000-0000-0000AABA0000}"/>
    <cellStyle name="Heading 4 91 2 2" xfId="47795" xr:uid="{00000000-0005-0000-0000-0000ABBA0000}"/>
    <cellStyle name="Heading 4 91 3" xfId="47796" xr:uid="{00000000-0005-0000-0000-0000ACBA0000}"/>
    <cellStyle name="Heading 4 92" xfId="47797" xr:uid="{00000000-0005-0000-0000-0000ADBA0000}"/>
    <cellStyle name="Heading 4 92 2" xfId="47798" xr:uid="{00000000-0005-0000-0000-0000AEBA0000}"/>
    <cellStyle name="Heading 4 92 2 2" xfId="47799" xr:uid="{00000000-0005-0000-0000-0000AFBA0000}"/>
    <cellStyle name="Heading 4 92 3" xfId="47800" xr:uid="{00000000-0005-0000-0000-0000B0BA0000}"/>
    <cellStyle name="Heading 4 93" xfId="47801" xr:uid="{00000000-0005-0000-0000-0000B1BA0000}"/>
    <cellStyle name="Heading 4 93 2" xfId="47802" xr:uid="{00000000-0005-0000-0000-0000B2BA0000}"/>
    <cellStyle name="Heading 4 93 2 2" xfId="47803" xr:uid="{00000000-0005-0000-0000-0000B3BA0000}"/>
    <cellStyle name="Heading 4 93 3" xfId="47804" xr:uid="{00000000-0005-0000-0000-0000B4BA0000}"/>
    <cellStyle name="Heading 4 94" xfId="47805" xr:uid="{00000000-0005-0000-0000-0000B5BA0000}"/>
    <cellStyle name="Heading 4 94 2" xfId="47806" xr:uid="{00000000-0005-0000-0000-0000B6BA0000}"/>
    <cellStyle name="Heading 4 94 2 2" xfId="47807" xr:uid="{00000000-0005-0000-0000-0000B7BA0000}"/>
    <cellStyle name="Heading 4 94 3" xfId="47808" xr:uid="{00000000-0005-0000-0000-0000B8BA0000}"/>
    <cellStyle name="Heading 4 95" xfId="47809" xr:uid="{00000000-0005-0000-0000-0000B9BA0000}"/>
    <cellStyle name="Heading 4 95 2" xfId="47810" xr:uid="{00000000-0005-0000-0000-0000BABA0000}"/>
    <cellStyle name="Heading 4 95 2 2" xfId="47811" xr:uid="{00000000-0005-0000-0000-0000BBBA0000}"/>
    <cellStyle name="Heading 4 95 3" xfId="47812" xr:uid="{00000000-0005-0000-0000-0000BCBA0000}"/>
    <cellStyle name="Heading 4 96" xfId="47813" xr:uid="{00000000-0005-0000-0000-0000BDBA0000}"/>
    <cellStyle name="Heading 4 96 2" xfId="47814" xr:uid="{00000000-0005-0000-0000-0000BEBA0000}"/>
    <cellStyle name="Heading 4 96 2 2" xfId="47815" xr:uid="{00000000-0005-0000-0000-0000BFBA0000}"/>
    <cellStyle name="Heading 4 96 3" xfId="47816" xr:uid="{00000000-0005-0000-0000-0000C0BA0000}"/>
    <cellStyle name="Heading 4 97" xfId="47817" xr:uid="{00000000-0005-0000-0000-0000C1BA0000}"/>
    <cellStyle name="Heading 4 97 2" xfId="47818" xr:uid="{00000000-0005-0000-0000-0000C2BA0000}"/>
    <cellStyle name="Heading 4 97 2 2" xfId="47819" xr:uid="{00000000-0005-0000-0000-0000C3BA0000}"/>
    <cellStyle name="Heading 4 97 3" xfId="47820" xr:uid="{00000000-0005-0000-0000-0000C4BA0000}"/>
    <cellStyle name="Heading 4 98" xfId="47821" xr:uid="{00000000-0005-0000-0000-0000C5BA0000}"/>
    <cellStyle name="Heading 4 98 2" xfId="47822" xr:uid="{00000000-0005-0000-0000-0000C6BA0000}"/>
    <cellStyle name="Heading 4 98 2 2" xfId="47823" xr:uid="{00000000-0005-0000-0000-0000C7BA0000}"/>
    <cellStyle name="Heading 4 98 3" xfId="47824" xr:uid="{00000000-0005-0000-0000-0000C8BA0000}"/>
    <cellStyle name="Heading 4 99" xfId="47825" xr:uid="{00000000-0005-0000-0000-0000C9BA0000}"/>
    <cellStyle name="Heading 4 99 2" xfId="47826" xr:uid="{00000000-0005-0000-0000-0000CABA0000}"/>
    <cellStyle name="Heading 4 99 2 2" xfId="47827" xr:uid="{00000000-0005-0000-0000-0000CBBA0000}"/>
    <cellStyle name="Heading 4 99 3" xfId="47828" xr:uid="{00000000-0005-0000-0000-0000CCBA0000}"/>
    <cellStyle name="heading 5" xfId="47829" xr:uid="{00000000-0005-0000-0000-0000CDBA0000}"/>
    <cellStyle name="heading 5 2" xfId="47830" xr:uid="{00000000-0005-0000-0000-0000CEBA0000}"/>
    <cellStyle name="heading 5 2 2" xfId="47831" xr:uid="{00000000-0005-0000-0000-0000CFBA0000}"/>
    <cellStyle name="heading 5 3" xfId="47832" xr:uid="{00000000-0005-0000-0000-0000D0BA0000}"/>
    <cellStyle name="heading 6" xfId="47833" xr:uid="{00000000-0005-0000-0000-0000D1BA0000}"/>
    <cellStyle name="heading 6 2" xfId="47834" xr:uid="{00000000-0005-0000-0000-0000D2BA0000}"/>
    <cellStyle name="heading 7" xfId="47835" xr:uid="{00000000-0005-0000-0000-0000D3BA0000}"/>
    <cellStyle name="heading 7 2" xfId="47836" xr:uid="{00000000-0005-0000-0000-0000D4BA0000}"/>
    <cellStyle name="heading 8" xfId="47837" xr:uid="{00000000-0005-0000-0000-0000D5BA0000}"/>
    <cellStyle name="heading 8 2" xfId="47838" xr:uid="{00000000-0005-0000-0000-0000D6BA0000}"/>
    <cellStyle name="heading 9" xfId="47839" xr:uid="{00000000-0005-0000-0000-0000D7BA0000}"/>
    <cellStyle name="heading 9 2" xfId="47840" xr:uid="{00000000-0005-0000-0000-0000D8BA0000}"/>
    <cellStyle name="Heading No Underline" xfId="47841" xr:uid="{00000000-0005-0000-0000-0000D9BA0000}"/>
    <cellStyle name="Heading No Underline 2" xfId="47842" xr:uid="{00000000-0005-0000-0000-0000DABA0000}"/>
    <cellStyle name="Heading No Underline 2 2" xfId="47843" xr:uid="{00000000-0005-0000-0000-0000DBBA0000}"/>
    <cellStyle name="Heading No Underline 3" xfId="47844" xr:uid="{00000000-0005-0000-0000-0000DCBA0000}"/>
    <cellStyle name="Heading With Underline" xfId="47845" xr:uid="{00000000-0005-0000-0000-0000DDBA0000}"/>
    <cellStyle name="Heading With Underline 2" xfId="47846" xr:uid="{00000000-0005-0000-0000-0000DEBA0000}"/>
    <cellStyle name="Heading With Underline 2 2" xfId="47847" xr:uid="{00000000-0005-0000-0000-0000DFBA0000}"/>
    <cellStyle name="Heading With Underline 3" xfId="47848" xr:uid="{00000000-0005-0000-0000-0000E0BA0000}"/>
    <cellStyle name="Heading1" xfId="47849" xr:uid="{00000000-0005-0000-0000-0000E1BA0000}"/>
    <cellStyle name="Heading11Bold" xfId="47850" xr:uid="{00000000-0005-0000-0000-0000E2BA0000}"/>
    <cellStyle name="Heading11Bold 2" xfId="47851" xr:uid="{00000000-0005-0000-0000-0000E3BA0000}"/>
    <cellStyle name="Heading11Bold 2 2" xfId="47852" xr:uid="{00000000-0005-0000-0000-0000E4BA0000}"/>
    <cellStyle name="Heading11Bold 2 3" xfId="47853" xr:uid="{00000000-0005-0000-0000-0000E5BA0000}"/>
    <cellStyle name="Heading11Bold 3" xfId="47854" xr:uid="{00000000-0005-0000-0000-0000E6BA0000}"/>
    <cellStyle name="Heading11Bold 4" xfId="47855" xr:uid="{00000000-0005-0000-0000-0000E7BA0000}"/>
    <cellStyle name="Heading12Bold" xfId="47856" xr:uid="{00000000-0005-0000-0000-0000E8BA0000}"/>
    <cellStyle name="Heading12Bold 2" xfId="47857" xr:uid="{00000000-0005-0000-0000-0000E9BA0000}"/>
    <cellStyle name="Heading12Bold 2 2" xfId="47858" xr:uid="{00000000-0005-0000-0000-0000EABA0000}"/>
    <cellStyle name="Heading12Bold 2 3" xfId="47859" xr:uid="{00000000-0005-0000-0000-0000EBBA0000}"/>
    <cellStyle name="Heading12Bold 3" xfId="47860" xr:uid="{00000000-0005-0000-0000-0000ECBA0000}"/>
    <cellStyle name="Heading12Bold 4" xfId="47861" xr:uid="{00000000-0005-0000-0000-0000EDBA0000}"/>
    <cellStyle name="Heading2" xfId="47862" xr:uid="{00000000-0005-0000-0000-0000EEBA0000}"/>
    <cellStyle name="HeadingS" xfId="47863" xr:uid="{00000000-0005-0000-0000-0000EFBA0000}"/>
    <cellStyle name="HeadingS 2" xfId="47864" xr:uid="{00000000-0005-0000-0000-0000F0BA0000}"/>
    <cellStyle name="HeadingS 2 2" xfId="47865" xr:uid="{00000000-0005-0000-0000-0000F1BA0000}"/>
    <cellStyle name="HeadingS 2 2 2" xfId="47866" xr:uid="{00000000-0005-0000-0000-0000F2BA0000}"/>
    <cellStyle name="HeadingS 2 3" xfId="47867" xr:uid="{00000000-0005-0000-0000-0000F3BA0000}"/>
    <cellStyle name="HEADINGS 3" xfId="47868" xr:uid="{00000000-0005-0000-0000-0000F4BA0000}"/>
    <cellStyle name="HEADINGS 3 2" xfId="47869" xr:uid="{00000000-0005-0000-0000-0000F5BA0000}"/>
    <cellStyle name="HEADINGS 3 2 2" xfId="47870" xr:uid="{00000000-0005-0000-0000-0000F6BA0000}"/>
    <cellStyle name="HEADINGS 3 2 3" xfId="47871" xr:uid="{00000000-0005-0000-0000-0000F7BA0000}"/>
    <cellStyle name="HEADINGS 3 3" xfId="47872" xr:uid="{00000000-0005-0000-0000-0000F8BA0000}"/>
    <cellStyle name="HEADINGS 3 3 2" xfId="47873" xr:uid="{00000000-0005-0000-0000-0000F9BA0000}"/>
    <cellStyle name="HEADINGS 3 4" xfId="47874" xr:uid="{00000000-0005-0000-0000-0000FABA0000}"/>
    <cellStyle name="HEADINGS 3 5" xfId="47875" xr:uid="{00000000-0005-0000-0000-0000FBBA0000}"/>
    <cellStyle name="HEADINGS 4" xfId="47876" xr:uid="{00000000-0005-0000-0000-0000FCBA0000}"/>
    <cellStyle name="HEADINGS 4 2" xfId="47877" xr:uid="{00000000-0005-0000-0000-0000FDBA0000}"/>
    <cellStyle name="HEADINGS 4 3" xfId="47878" xr:uid="{00000000-0005-0000-0000-0000FEBA0000}"/>
    <cellStyle name="HEADINGS 5" xfId="47879" xr:uid="{00000000-0005-0000-0000-0000FFBA0000}"/>
    <cellStyle name="HEADINGS 5 2" xfId="47880" xr:uid="{00000000-0005-0000-0000-000000BB0000}"/>
    <cellStyle name="HEADINGS 6" xfId="47881" xr:uid="{00000000-0005-0000-0000-000001BB0000}"/>
    <cellStyle name="HEADINGS 7" xfId="47882" xr:uid="{00000000-0005-0000-0000-000002BB0000}"/>
    <cellStyle name="HEADINGS 8" xfId="47883" xr:uid="{00000000-0005-0000-0000-000003BB0000}"/>
    <cellStyle name="HEADINGSTOP" xfId="47884" xr:uid="{00000000-0005-0000-0000-000004BB0000}"/>
    <cellStyle name="HEADINGSTOP 2" xfId="47885" xr:uid="{00000000-0005-0000-0000-000005BB0000}"/>
    <cellStyle name="HEADINGSTOP 2 2" xfId="47886" xr:uid="{00000000-0005-0000-0000-000006BB0000}"/>
    <cellStyle name="HEADINGSTOP 3" xfId="47887" xr:uid="{00000000-0005-0000-0000-000007BB0000}"/>
    <cellStyle name="Hide" xfId="47888" xr:uid="{00000000-0005-0000-0000-000008BB0000}"/>
    <cellStyle name="Hide 2" xfId="47889" xr:uid="{00000000-0005-0000-0000-000009BB0000}"/>
    <cellStyle name="Hide 2 2" xfId="47890" xr:uid="{00000000-0005-0000-0000-00000ABB0000}"/>
    <cellStyle name="Hide 2 2 2" xfId="47891" xr:uid="{00000000-0005-0000-0000-00000BBB0000}"/>
    <cellStyle name="Hide 2 3" xfId="47892" xr:uid="{00000000-0005-0000-0000-00000CBB0000}"/>
    <cellStyle name="HIDE 3" xfId="47893" xr:uid="{00000000-0005-0000-0000-00000DBB0000}"/>
    <cellStyle name="HIDE 4" xfId="47894" xr:uid="{00000000-0005-0000-0000-00000EBB0000}"/>
    <cellStyle name="HIDE 5" xfId="47895" xr:uid="{00000000-0005-0000-0000-00000FBB0000}"/>
    <cellStyle name="Hiperhivatkoz?s_Diagnostic output summary sheets (part 2).xls Diagram 2" xfId="47896" xr:uid="{00000000-0005-0000-0000-000010BB0000}"/>
    <cellStyle name="Hiperhivatkozás_Diagnostic output summary sheets (part 2).xls Diagram 2" xfId="47897" xr:uid="{00000000-0005-0000-0000-000011BB0000}"/>
    <cellStyle name="Hiperlink" xfId="7" builtinId="8"/>
    <cellStyle name="Hipervínculo" xfId="47898" xr:uid="{00000000-0005-0000-0000-000012BB0000}"/>
    <cellStyle name="Hipervínculo 2" xfId="47899" xr:uid="{00000000-0005-0000-0000-000013BB0000}"/>
    <cellStyle name="Hipervínculo visitado" xfId="47900" xr:uid="{00000000-0005-0000-0000-000014BB0000}"/>
    <cellStyle name="Hipervínculo visitado 2" xfId="47901" xr:uid="{00000000-0005-0000-0000-000015BB0000}"/>
    <cellStyle name="Hipervínculo_1er. envio  P15 PMP" xfId="47902" xr:uid="{00000000-0005-0000-0000-000016BB0000}"/>
    <cellStyle name="hips" xfId="47903" xr:uid="{00000000-0005-0000-0000-000017BB0000}"/>
    <cellStyle name="hips 2" xfId="47904" xr:uid="{00000000-0005-0000-0000-000018BB0000}"/>
    <cellStyle name="hips 2 2" xfId="47905" xr:uid="{00000000-0005-0000-0000-000019BB0000}"/>
    <cellStyle name="hips 3" xfId="47906" xr:uid="{00000000-0005-0000-0000-00001ABB0000}"/>
    <cellStyle name="Hochzahl" xfId="47907" xr:uid="{00000000-0005-0000-0000-00001BBB0000}"/>
    <cellStyle name="Hochzahl 2" xfId="47908" xr:uid="{00000000-0005-0000-0000-00001CBB0000}"/>
    <cellStyle name="Hochzahl 2 2" xfId="47909" xr:uid="{00000000-0005-0000-0000-00001DBB0000}"/>
    <cellStyle name="Hochzahl 3" xfId="47910" xr:uid="{00000000-0005-0000-0000-00001EBB0000}"/>
    <cellStyle name="huidig" xfId="47911" xr:uid="{00000000-0005-0000-0000-00001FBB0000}"/>
    <cellStyle name="huidig 2" xfId="47912" xr:uid="{00000000-0005-0000-0000-000020BB0000}"/>
    <cellStyle name="huidig 2 2" xfId="47913" xr:uid="{00000000-0005-0000-0000-000021BB0000}"/>
    <cellStyle name="huidig 2 3" xfId="47914" xr:uid="{00000000-0005-0000-0000-000022BB0000}"/>
    <cellStyle name="huidig 2 3 2" xfId="47915" xr:uid="{00000000-0005-0000-0000-000023BB0000}"/>
    <cellStyle name="huidig 3" xfId="47916" xr:uid="{00000000-0005-0000-0000-000024BB0000}"/>
    <cellStyle name="huidig 3 2" xfId="47917" xr:uid="{00000000-0005-0000-0000-000025BB0000}"/>
    <cellStyle name="huidig 3 3" xfId="47918" xr:uid="{00000000-0005-0000-0000-000026BB0000}"/>
    <cellStyle name="huidig 3 3 2" xfId="47919" xr:uid="{00000000-0005-0000-0000-000027BB0000}"/>
    <cellStyle name="huidig 4" xfId="47920" xr:uid="{00000000-0005-0000-0000-000028BB0000}"/>
    <cellStyle name="huidig 4 2" xfId="47921" xr:uid="{00000000-0005-0000-0000-000029BB0000}"/>
    <cellStyle name="Hyperlink 2" xfId="47922" xr:uid="{00000000-0005-0000-0000-00002BBB0000}"/>
    <cellStyle name="Hyperlink seguido" xfId="47923" xr:uid="{00000000-0005-0000-0000-00002CBB0000}"/>
    <cellStyle name="Hyperlink seguido 2" xfId="47924" xr:uid="{00000000-0005-0000-0000-00002DBB0000}"/>
    <cellStyle name="Hyperlink seguido 2 2" xfId="47925" xr:uid="{00000000-0005-0000-0000-00002EBB0000}"/>
    <cellStyle name="Hyperlink seguido 3" xfId="47926" xr:uid="{00000000-0005-0000-0000-00002FBB0000}"/>
    <cellStyle name="Iau?iue_vaqduGfTSN7qyUJNWHRlcWo3H" xfId="47927" xr:uid="{00000000-0005-0000-0000-000030BB0000}"/>
    <cellStyle name="Îáû÷íûé_vaqduGfTSN7qyUJNWHRlcWo3H" xfId="47928" xr:uid="{00000000-0005-0000-0000-000031BB0000}"/>
    <cellStyle name="Imput" xfId="47929" xr:uid="{00000000-0005-0000-0000-000032BB0000}"/>
    <cellStyle name="Incorrecto" xfId="47930" xr:uid="{00000000-0005-0000-0000-000033BB0000}"/>
    <cellStyle name="Incorrecto 2" xfId="47931" xr:uid="{00000000-0005-0000-0000-000034BB0000}"/>
    <cellStyle name="Incorrecto 2 2" xfId="47932" xr:uid="{00000000-0005-0000-0000-000035BB0000}"/>
    <cellStyle name="Incorrecto 3" xfId="47933" xr:uid="{00000000-0005-0000-0000-000036BB0000}"/>
    <cellStyle name="Incorreto 2" xfId="47934" xr:uid="{00000000-0005-0000-0000-000037BB0000}"/>
    <cellStyle name="Incorreto 2 2" xfId="47935" xr:uid="{00000000-0005-0000-0000-000038BB0000}"/>
    <cellStyle name="Incorreto 3" xfId="47936" xr:uid="{00000000-0005-0000-0000-000039BB0000}"/>
    <cellStyle name="ind_perf" xfId="47937" xr:uid="{00000000-0005-0000-0000-00003ABB0000}"/>
    <cellStyle name="Indefinido" xfId="47938" xr:uid="{00000000-0005-0000-0000-00003BBB0000}"/>
    <cellStyle name="Indefinido 2" xfId="47939" xr:uid="{00000000-0005-0000-0000-00003CBB0000}"/>
    <cellStyle name="Indefinido 2 2" xfId="47940" xr:uid="{00000000-0005-0000-0000-00003DBB0000}"/>
    <cellStyle name="Indefinido 3" xfId="47941" xr:uid="{00000000-0005-0000-0000-00003EBB0000}"/>
    <cellStyle name="Input - Style1" xfId="47942" xr:uid="{00000000-0005-0000-0000-00003FBB0000}"/>
    <cellStyle name="Input - Style1 2" xfId="47943" xr:uid="{00000000-0005-0000-0000-000040BB0000}"/>
    <cellStyle name="Input - Style1 3" xfId="47944" xr:uid="{00000000-0005-0000-0000-000041BB0000}"/>
    <cellStyle name="Input (%)" xfId="47945" xr:uid="{00000000-0005-0000-0000-000042BB0000}"/>
    <cellStyle name="Input [yellow]" xfId="47946" xr:uid="{00000000-0005-0000-0000-000043BB0000}"/>
    <cellStyle name="Input [yellow] 2" xfId="47947" xr:uid="{00000000-0005-0000-0000-000044BB0000}"/>
    <cellStyle name="Input [yellow] 2 2" xfId="47948" xr:uid="{00000000-0005-0000-0000-000045BB0000}"/>
    <cellStyle name="Input [yellow] 2 3" xfId="47949" xr:uid="{00000000-0005-0000-0000-000046BB0000}"/>
    <cellStyle name="Input [yellow] 2 3 2" xfId="47950" xr:uid="{00000000-0005-0000-0000-000047BB0000}"/>
    <cellStyle name="Input [yellow] 3" xfId="47951" xr:uid="{00000000-0005-0000-0000-000048BB0000}"/>
    <cellStyle name="Input [yellow] 3 2" xfId="47952" xr:uid="{00000000-0005-0000-0000-000049BB0000}"/>
    <cellStyle name="Input [yellow] 3 3" xfId="47953" xr:uid="{00000000-0005-0000-0000-00004ABB0000}"/>
    <cellStyle name="Input [yellow] 3 3 2" xfId="47954" xr:uid="{00000000-0005-0000-0000-00004BBB0000}"/>
    <cellStyle name="Input [yellow] 4" xfId="47955" xr:uid="{00000000-0005-0000-0000-00004CBB0000}"/>
    <cellStyle name="Input [yellow] 4 2" xfId="47956" xr:uid="{00000000-0005-0000-0000-00004DBB0000}"/>
    <cellStyle name="Input 10" xfId="47957" xr:uid="{00000000-0005-0000-0000-00004EBB0000}"/>
    <cellStyle name="Input 10 2" xfId="47958" xr:uid="{00000000-0005-0000-0000-00004FBB0000}"/>
    <cellStyle name="Input 10 2 2" xfId="47959" xr:uid="{00000000-0005-0000-0000-000050BB0000}"/>
    <cellStyle name="Input 10 2 2 2" xfId="47960" xr:uid="{00000000-0005-0000-0000-000051BB0000}"/>
    <cellStyle name="Input 10 2 3" xfId="47961" xr:uid="{00000000-0005-0000-0000-000052BB0000}"/>
    <cellStyle name="Input 10 2 3 2" xfId="47962" xr:uid="{00000000-0005-0000-0000-000053BB0000}"/>
    <cellStyle name="Input 10 2 3 3" xfId="47963" xr:uid="{00000000-0005-0000-0000-000054BB0000}"/>
    <cellStyle name="Input 10 2 4" xfId="47964" xr:uid="{00000000-0005-0000-0000-000055BB0000}"/>
    <cellStyle name="Input 10 2 5" xfId="47965" xr:uid="{00000000-0005-0000-0000-000056BB0000}"/>
    <cellStyle name="Input 10 3" xfId="47966" xr:uid="{00000000-0005-0000-0000-000057BB0000}"/>
    <cellStyle name="Input 10 3 2" xfId="47967" xr:uid="{00000000-0005-0000-0000-000058BB0000}"/>
    <cellStyle name="Input 10 3 3" xfId="47968" xr:uid="{00000000-0005-0000-0000-000059BB0000}"/>
    <cellStyle name="Input 10 4" xfId="47969" xr:uid="{00000000-0005-0000-0000-00005ABB0000}"/>
    <cellStyle name="Input 10 5" xfId="47970" xr:uid="{00000000-0005-0000-0000-00005BBB0000}"/>
    <cellStyle name="Input 100" xfId="47971" xr:uid="{00000000-0005-0000-0000-00005CBB0000}"/>
    <cellStyle name="Input 100 2" xfId="47972" xr:uid="{00000000-0005-0000-0000-00005DBB0000}"/>
    <cellStyle name="Input 100 2 2" xfId="47973" xr:uid="{00000000-0005-0000-0000-00005EBB0000}"/>
    <cellStyle name="Input 100 2 2 2" xfId="47974" xr:uid="{00000000-0005-0000-0000-00005FBB0000}"/>
    <cellStyle name="Input 100 2 3" xfId="47975" xr:uid="{00000000-0005-0000-0000-000060BB0000}"/>
    <cellStyle name="Input 100 2 3 2" xfId="47976" xr:uid="{00000000-0005-0000-0000-000061BB0000}"/>
    <cellStyle name="Input 100 2 3 3" xfId="47977" xr:uid="{00000000-0005-0000-0000-000062BB0000}"/>
    <cellStyle name="Input 100 2 4" xfId="47978" xr:uid="{00000000-0005-0000-0000-000063BB0000}"/>
    <cellStyle name="Input 100 2 5" xfId="47979" xr:uid="{00000000-0005-0000-0000-000064BB0000}"/>
    <cellStyle name="Input 100 3" xfId="47980" xr:uid="{00000000-0005-0000-0000-000065BB0000}"/>
    <cellStyle name="Input 100 3 2" xfId="47981" xr:uid="{00000000-0005-0000-0000-000066BB0000}"/>
    <cellStyle name="Input 100 3 3" xfId="47982" xr:uid="{00000000-0005-0000-0000-000067BB0000}"/>
    <cellStyle name="Input 100 4" xfId="47983" xr:uid="{00000000-0005-0000-0000-000068BB0000}"/>
    <cellStyle name="Input 100 5" xfId="47984" xr:uid="{00000000-0005-0000-0000-000069BB0000}"/>
    <cellStyle name="Input 101" xfId="47985" xr:uid="{00000000-0005-0000-0000-00006ABB0000}"/>
    <cellStyle name="Input 101 2" xfId="47986" xr:uid="{00000000-0005-0000-0000-00006BBB0000}"/>
    <cellStyle name="Input 101 2 2" xfId="47987" xr:uid="{00000000-0005-0000-0000-00006CBB0000}"/>
    <cellStyle name="Input 101 2 2 2" xfId="47988" xr:uid="{00000000-0005-0000-0000-00006DBB0000}"/>
    <cellStyle name="Input 101 2 3" xfId="47989" xr:uid="{00000000-0005-0000-0000-00006EBB0000}"/>
    <cellStyle name="Input 101 2 3 2" xfId="47990" xr:uid="{00000000-0005-0000-0000-00006FBB0000}"/>
    <cellStyle name="Input 101 2 3 3" xfId="47991" xr:uid="{00000000-0005-0000-0000-000070BB0000}"/>
    <cellStyle name="Input 101 2 4" xfId="47992" xr:uid="{00000000-0005-0000-0000-000071BB0000}"/>
    <cellStyle name="Input 101 2 5" xfId="47993" xr:uid="{00000000-0005-0000-0000-000072BB0000}"/>
    <cellStyle name="Input 101 3" xfId="47994" xr:uid="{00000000-0005-0000-0000-000073BB0000}"/>
    <cellStyle name="Input 101 3 2" xfId="47995" xr:uid="{00000000-0005-0000-0000-000074BB0000}"/>
    <cellStyle name="Input 101 3 3" xfId="47996" xr:uid="{00000000-0005-0000-0000-000075BB0000}"/>
    <cellStyle name="Input 101 4" xfId="47997" xr:uid="{00000000-0005-0000-0000-000076BB0000}"/>
    <cellStyle name="Input 101 5" xfId="47998" xr:uid="{00000000-0005-0000-0000-000077BB0000}"/>
    <cellStyle name="Input 102" xfId="47999" xr:uid="{00000000-0005-0000-0000-000078BB0000}"/>
    <cellStyle name="Input 102 2" xfId="48000" xr:uid="{00000000-0005-0000-0000-000079BB0000}"/>
    <cellStyle name="Input 102 2 2" xfId="48001" xr:uid="{00000000-0005-0000-0000-00007ABB0000}"/>
    <cellStyle name="Input 102 2 2 2" xfId="48002" xr:uid="{00000000-0005-0000-0000-00007BBB0000}"/>
    <cellStyle name="Input 102 2 3" xfId="48003" xr:uid="{00000000-0005-0000-0000-00007CBB0000}"/>
    <cellStyle name="Input 102 2 3 2" xfId="48004" xr:uid="{00000000-0005-0000-0000-00007DBB0000}"/>
    <cellStyle name="Input 102 2 3 3" xfId="48005" xr:uid="{00000000-0005-0000-0000-00007EBB0000}"/>
    <cellStyle name="Input 102 2 4" xfId="48006" xr:uid="{00000000-0005-0000-0000-00007FBB0000}"/>
    <cellStyle name="Input 102 2 5" xfId="48007" xr:uid="{00000000-0005-0000-0000-000080BB0000}"/>
    <cellStyle name="Input 102 3" xfId="48008" xr:uid="{00000000-0005-0000-0000-000081BB0000}"/>
    <cellStyle name="Input 102 3 2" xfId="48009" xr:uid="{00000000-0005-0000-0000-000082BB0000}"/>
    <cellStyle name="Input 102 3 3" xfId="48010" xr:uid="{00000000-0005-0000-0000-000083BB0000}"/>
    <cellStyle name="Input 102 4" xfId="48011" xr:uid="{00000000-0005-0000-0000-000084BB0000}"/>
    <cellStyle name="Input 102 5" xfId="48012" xr:uid="{00000000-0005-0000-0000-000085BB0000}"/>
    <cellStyle name="Input 103" xfId="48013" xr:uid="{00000000-0005-0000-0000-000086BB0000}"/>
    <cellStyle name="Input 103 2" xfId="48014" xr:uid="{00000000-0005-0000-0000-000087BB0000}"/>
    <cellStyle name="Input 103 2 2" xfId="48015" xr:uid="{00000000-0005-0000-0000-000088BB0000}"/>
    <cellStyle name="Input 103 2 2 2" xfId="48016" xr:uid="{00000000-0005-0000-0000-000089BB0000}"/>
    <cellStyle name="Input 103 2 3" xfId="48017" xr:uid="{00000000-0005-0000-0000-00008ABB0000}"/>
    <cellStyle name="Input 103 2 3 2" xfId="48018" xr:uid="{00000000-0005-0000-0000-00008BBB0000}"/>
    <cellStyle name="Input 103 2 3 3" xfId="48019" xr:uid="{00000000-0005-0000-0000-00008CBB0000}"/>
    <cellStyle name="Input 103 2 4" xfId="48020" xr:uid="{00000000-0005-0000-0000-00008DBB0000}"/>
    <cellStyle name="Input 103 2 5" xfId="48021" xr:uid="{00000000-0005-0000-0000-00008EBB0000}"/>
    <cellStyle name="Input 103 3" xfId="48022" xr:uid="{00000000-0005-0000-0000-00008FBB0000}"/>
    <cellStyle name="Input 103 3 2" xfId="48023" xr:uid="{00000000-0005-0000-0000-000090BB0000}"/>
    <cellStyle name="Input 103 3 3" xfId="48024" xr:uid="{00000000-0005-0000-0000-000091BB0000}"/>
    <cellStyle name="Input 103 4" xfId="48025" xr:uid="{00000000-0005-0000-0000-000092BB0000}"/>
    <cellStyle name="Input 103 5" xfId="48026" xr:uid="{00000000-0005-0000-0000-000093BB0000}"/>
    <cellStyle name="Input 104" xfId="48027" xr:uid="{00000000-0005-0000-0000-000094BB0000}"/>
    <cellStyle name="Input 104 2" xfId="48028" xr:uid="{00000000-0005-0000-0000-000095BB0000}"/>
    <cellStyle name="Input 104 2 2" xfId="48029" xr:uid="{00000000-0005-0000-0000-000096BB0000}"/>
    <cellStyle name="Input 104 2 2 2" xfId="48030" xr:uid="{00000000-0005-0000-0000-000097BB0000}"/>
    <cellStyle name="Input 104 2 3" xfId="48031" xr:uid="{00000000-0005-0000-0000-000098BB0000}"/>
    <cellStyle name="Input 104 2 3 2" xfId="48032" xr:uid="{00000000-0005-0000-0000-000099BB0000}"/>
    <cellStyle name="Input 104 2 3 3" xfId="48033" xr:uid="{00000000-0005-0000-0000-00009ABB0000}"/>
    <cellStyle name="Input 104 2 4" xfId="48034" xr:uid="{00000000-0005-0000-0000-00009BBB0000}"/>
    <cellStyle name="Input 104 2 5" xfId="48035" xr:uid="{00000000-0005-0000-0000-00009CBB0000}"/>
    <cellStyle name="Input 104 3" xfId="48036" xr:uid="{00000000-0005-0000-0000-00009DBB0000}"/>
    <cellStyle name="Input 104 3 2" xfId="48037" xr:uid="{00000000-0005-0000-0000-00009EBB0000}"/>
    <cellStyle name="Input 104 3 3" xfId="48038" xr:uid="{00000000-0005-0000-0000-00009FBB0000}"/>
    <cellStyle name="Input 104 4" xfId="48039" xr:uid="{00000000-0005-0000-0000-0000A0BB0000}"/>
    <cellStyle name="Input 104 5" xfId="48040" xr:uid="{00000000-0005-0000-0000-0000A1BB0000}"/>
    <cellStyle name="Input 105" xfId="48041" xr:uid="{00000000-0005-0000-0000-0000A2BB0000}"/>
    <cellStyle name="Input 105 2" xfId="48042" xr:uid="{00000000-0005-0000-0000-0000A3BB0000}"/>
    <cellStyle name="Input 105 2 2" xfId="48043" xr:uid="{00000000-0005-0000-0000-0000A4BB0000}"/>
    <cellStyle name="Input 105 2 2 2" xfId="48044" xr:uid="{00000000-0005-0000-0000-0000A5BB0000}"/>
    <cellStyle name="Input 105 2 3" xfId="48045" xr:uid="{00000000-0005-0000-0000-0000A6BB0000}"/>
    <cellStyle name="Input 105 2 3 2" xfId="48046" xr:uid="{00000000-0005-0000-0000-0000A7BB0000}"/>
    <cellStyle name="Input 105 2 3 3" xfId="48047" xr:uid="{00000000-0005-0000-0000-0000A8BB0000}"/>
    <cellStyle name="Input 105 2 4" xfId="48048" xr:uid="{00000000-0005-0000-0000-0000A9BB0000}"/>
    <cellStyle name="Input 105 2 5" xfId="48049" xr:uid="{00000000-0005-0000-0000-0000AABB0000}"/>
    <cellStyle name="Input 105 3" xfId="48050" xr:uid="{00000000-0005-0000-0000-0000ABBB0000}"/>
    <cellStyle name="Input 105 3 2" xfId="48051" xr:uid="{00000000-0005-0000-0000-0000ACBB0000}"/>
    <cellStyle name="Input 105 3 3" xfId="48052" xr:uid="{00000000-0005-0000-0000-0000ADBB0000}"/>
    <cellStyle name="Input 105 4" xfId="48053" xr:uid="{00000000-0005-0000-0000-0000AEBB0000}"/>
    <cellStyle name="Input 105 5" xfId="48054" xr:uid="{00000000-0005-0000-0000-0000AFBB0000}"/>
    <cellStyle name="Input 106" xfId="48055" xr:uid="{00000000-0005-0000-0000-0000B0BB0000}"/>
    <cellStyle name="Input 106 2" xfId="48056" xr:uid="{00000000-0005-0000-0000-0000B1BB0000}"/>
    <cellStyle name="Input 106 2 2" xfId="48057" xr:uid="{00000000-0005-0000-0000-0000B2BB0000}"/>
    <cellStyle name="Input 106 2 2 2" xfId="48058" xr:uid="{00000000-0005-0000-0000-0000B3BB0000}"/>
    <cellStyle name="Input 106 2 3" xfId="48059" xr:uid="{00000000-0005-0000-0000-0000B4BB0000}"/>
    <cellStyle name="Input 106 2 3 2" xfId="48060" xr:uid="{00000000-0005-0000-0000-0000B5BB0000}"/>
    <cellStyle name="Input 106 2 3 3" xfId="48061" xr:uid="{00000000-0005-0000-0000-0000B6BB0000}"/>
    <cellStyle name="Input 106 2 4" xfId="48062" xr:uid="{00000000-0005-0000-0000-0000B7BB0000}"/>
    <cellStyle name="Input 106 2 5" xfId="48063" xr:uid="{00000000-0005-0000-0000-0000B8BB0000}"/>
    <cellStyle name="Input 106 3" xfId="48064" xr:uid="{00000000-0005-0000-0000-0000B9BB0000}"/>
    <cellStyle name="Input 106 3 2" xfId="48065" xr:uid="{00000000-0005-0000-0000-0000BABB0000}"/>
    <cellStyle name="Input 106 3 3" xfId="48066" xr:uid="{00000000-0005-0000-0000-0000BBBB0000}"/>
    <cellStyle name="Input 106 4" xfId="48067" xr:uid="{00000000-0005-0000-0000-0000BCBB0000}"/>
    <cellStyle name="Input 106 5" xfId="48068" xr:uid="{00000000-0005-0000-0000-0000BDBB0000}"/>
    <cellStyle name="Input 107" xfId="48069" xr:uid="{00000000-0005-0000-0000-0000BEBB0000}"/>
    <cellStyle name="Input 107 2" xfId="48070" xr:uid="{00000000-0005-0000-0000-0000BFBB0000}"/>
    <cellStyle name="Input 107 2 2" xfId="48071" xr:uid="{00000000-0005-0000-0000-0000C0BB0000}"/>
    <cellStyle name="Input 107 2 2 2" xfId="48072" xr:uid="{00000000-0005-0000-0000-0000C1BB0000}"/>
    <cellStyle name="Input 107 2 3" xfId="48073" xr:uid="{00000000-0005-0000-0000-0000C2BB0000}"/>
    <cellStyle name="Input 107 2 3 2" xfId="48074" xr:uid="{00000000-0005-0000-0000-0000C3BB0000}"/>
    <cellStyle name="Input 107 2 3 3" xfId="48075" xr:uid="{00000000-0005-0000-0000-0000C4BB0000}"/>
    <cellStyle name="Input 107 2 4" xfId="48076" xr:uid="{00000000-0005-0000-0000-0000C5BB0000}"/>
    <cellStyle name="Input 107 2 5" xfId="48077" xr:uid="{00000000-0005-0000-0000-0000C6BB0000}"/>
    <cellStyle name="Input 107 3" xfId="48078" xr:uid="{00000000-0005-0000-0000-0000C7BB0000}"/>
    <cellStyle name="Input 107 3 2" xfId="48079" xr:uid="{00000000-0005-0000-0000-0000C8BB0000}"/>
    <cellStyle name="Input 107 3 3" xfId="48080" xr:uid="{00000000-0005-0000-0000-0000C9BB0000}"/>
    <cellStyle name="Input 107 4" xfId="48081" xr:uid="{00000000-0005-0000-0000-0000CABB0000}"/>
    <cellStyle name="Input 107 5" xfId="48082" xr:uid="{00000000-0005-0000-0000-0000CBBB0000}"/>
    <cellStyle name="Input 108" xfId="48083" xr:uid="{00000000-0005-0000-0000-0000CCBB0000}"/>
    <cellStyle name="Input 108 2" xfId="48084" xr:uid="{00000000-0005-0000-0000-0000CDBB0000}"/>
    <cellStyle name="Input 108 2 2" xfId="48085" xr:uid="{00000000-0005-0000-0000-0000CEBB0000}"/>
    <cellStyle name="Input 108 2 2 2" xfId="48086" xr:uid="{00000000-0005-0000-0000-0000CFBB0000}"/>
    <cellStyle name="Input 108 2 3" xfId="48087" xr:uid="{00000000-0005-0000-0000-0000D0BB0000}"/>
    <cellStyle name="Input 108 2 3 2" xfId="48088" xr:uid="{00000000-0005-0000-0000-0000D1BB0000}"/>
    <cellStyle name="Input 108 2 3 3" xfId="48089" xr:uid="{00000000-0005-0000-0000-0000D2BB0000}"/>
    <cellStyle name="Input 108 2 4" xfId="48090" xr:uid="{00000000-0005-0000-0000-0000D3BB0000}"/>
    <cellStyle name="Input 108 2 5" xfId="48091" xr:uid="{00000000-0005-0000-0000-0000D4BB0000}"/>
    <cellStyle name="Input 108 3" xfId="48092" xr:uid="{00000000-0005-0000-0000-0000D5BB0000}"/>
    <cellStyle name="Input 108 3 2" xfId="48093" xr:uid="{00000000-0005-0000-0000-0000D6BB0000}"/>
    <cellStyle name="Input 108 3 3" xfId="48094" xr:uid="{00000000-0005-0000-0000-0000D7BB0000}"/>
    <cellStyle name="Input 108 4" xfId="48095" xr:uid="{00000000-0005-0000-0000-0000D8BB0000}"/>
    <cellStyle name="Input 108 5" xfId="48096" xr:uid="{00000000-0005-0000-0000-0000D9BB0000}"/>
    <cellStyle name="Input 109" xfId="48097" xr:uid="{00000000-0005-0000-0000-0000DABB0000}"/>
    <cellStyle name="Input 109 2" xfId="48098" xr:uid="{00000000-0005-0000-0000-0000DBBB0000}"/>
    <cellStyle name="Input 109 2 2" xfId="48099" xr:uid="{00000000-0005-0000-0000-0000DCBB0000}"/>
    <cellStyle name="Input 109 2 2 2" xfId="48100" xr:uid="{00000000-0005-0000-0000-0000DDBB0000}"/>
    <cellStyle name="Input 109 2 3" xfId="48101" xr:uid="{00000000-0005-0000-0000-0000DEBB0000}"/>
    <cellStyle name="Input 109 2 3 2" xfId="48102" xr:uid="{00000000-0005-0000-0000-0000DFBB0000}"/>
    <cellStyle name="Input 109 2 3 3" xfId="48103" xr:uid="{00000000-0005-0000-0000-0000E0BB0000}"/>
    <cellStyle name="Input 109 2 4" xfId="48104" xr:uid="{00000000-0005-0000-0000-0000E1BB0000}"/>
    <cellStyle name="Input 109 2 5" xfId="48105" xr:uid="{00000000-0005-0000-0000-0000E2BB0000}"/>
    <cellStyle name="Input 109 3" xfId="48106" xr:uid="{00000000-0005-0000-0000-0000E3BB0000}"/>
    <cellStyle name="Input 109 3 2" xfId="48107" xr:uid="{00000000-0005-0000-0000-0000E4BB0000}"/>
    <cellStyle name="Input 109 3 3" xfId="48108" xr:uid="{00000000-0005-0000-0000-0000E5BB0000}"/>
    <cellStyle name="Input 109 4" xfId="48109" xr:uid="{00000000-0005-0000-0000-0000E6BB0000}"/>
    <cellStyle name="Input 109 5" xfId="48110" xr:uid="{00000000-0005-0000-0000-0000E7BB0000}"/>
    <cellStyle name="Input 11" xfId="48111" xr:uid="{00000000-0005-0000-0000-0000E8BB0000}"/>
    <cellStyle name="Input 11 2" xfId="48112" xr:uid="{00000000-0005-0000-0000-0000E9BB0000}"/>
    <cellStyle name="Input 11 2 2" xfId="48113" xr:uid="{00000000-0005-0000-0000-0000EABB0000}"/>
    <cellStyle name="Input 11 2 2 2" xfId="48114" xr:uid="{00000000-0005-0000-0000-0000EBBB0000}"/>
    <cellStyle name="Input 11 2 3" xfId="48115" xr:uid="{00000000-0005-0000-0000-0000ECBB0000}"/>
    <cellStyle name="Input 11 2 3 2" xfId="48116" xr:uid="{00000000-0005-0000-0000-0000EDBB0000}"/>
    <cellStyle name="Input 11 2 3 3" xfId="48117" xr:uid="{00000000-0005-0000-0000-0000EEBB0000}"/>
    <cellStyle name="Input 11 2 4" xfId="48118" xr:uid="{00000000-0005-0000-0000-0000EFBB0000}"/>
    <cellStyle name="Input 11 2 5" xfId="48119" xr:uid="{00000000-0005-0000-0000-0000F0BB0000}"/>
    <cellStyle name="Input 11 3" xfId="48120" xr:uid="{00000000-0005-0000-0000-0000F1BB0000}"/>
    <cellStyle name="Input 11 3 2" xfId="48121" xr:uid="{00000000-0005-0000-0000-0000F2BB0000}"/>
    <cellStyle name="Input 11 3 3" xfId="48122" xr:uid="{00000000-0005-0000-0000-0000F3BB0000}"/>
    <cellStyle name="Input 11 4" xfId="48123" xr:uid="{00000000-0005-0000-0000-0000F4BB0000}"/>
    <cellStyle name="Input 11 5" xfId="48124" xr:uid="{00000000-0005-0000-0000-0000F5BB0000}"/>
    <cellStyle name="Input 110" xfId="48125" xr:uid="{00000000-0005-0000-0000-0000F6BB0000}"/>
    <cellStyle name="Input 110 2" xfId="48126" xr:uid="{00000000-0005-0000-0000-0000F7BB0000}"/>
    <cellStyle name="Input 110 2 2" xfId="48127" xr:uid="{00000000-0005-0000-0000-0000F8BB0000}"/>
    <cellStyle name="Input 110 2 2 2" xfId="48128" xr:uid="{00000000-0005-0000-0000-0000F9BB0000}"/>
    <cellStyle name="Input 110 2 3" xfId="48129" xr:uid="{00000000-0005-0000-0000-0000FABB0000}"/>
    <cellStyle name="Input 110 2 3 2" xfId="48130" xr:uid="{00000000-0005-0000-0000-0000FBBB0000}"/>
    <cellStyle name="Input 110 2 3 3" xfId="48131" xr:uid="{00000000-0005-0000-0000-0000FCBB0000}"/>
    <cellStyle name="Input 110 2 4" xfId="48132" xr:uid="{00000000-0005-0000-0000-0000FDBB0000}"/>
    <cellStyle name="Input 110 2 5" xfId="48133" xr:uid="{00000000-0005-0000-0000-0000FEBB0000}"/>
    <cellStyle name="Input 110 3" xfId="48134" xr:uid="{00000000-0005-0000-0000-0000FFBB0000}"/>
    <cellStyle name="Input 110 3 2" xfId="48135" xr:uid="{00000000-0005-0000-0000-000000BC0000}"/>
    <cellStyle name="Input 110 3 3" xfId="48136" xr:uid="{00000000-0005-0000-0000-000001BC0000}"/>
    <cellStyle name="Input 110 4" xfId="48137" xr:uid="{00000000-0005-0000-0000-000002BC0000}"/>
    <cellStyle name="Input 110 5" xfId="48138" xr:uid="{00000000-0005-0000-0000-000003BC0000}"/>
    <cellStyle name="Input 111" xfId="48139" xr:uid="{00000000-0005-0000-0000-000004BC0000}"/>
    <cellStyle name="Input 111 2" xfId="48140" xr:uid="{00000000-0005-0000-0000-000005BC0000}"/>
    <cellStyle name="Input 111 2 2" xfId="48141" xr:uid="{00000000-0005-0000-0000-000006BC0000}"/>
    <cellStyle name="Input 111 2 2 2" xfId="48142" xr:uid="{00000000-0005-0000-0000-000007BC0000}"/>
    <cellStyle name="Input 111 2 3" xfId="48143" xr:uid="{00000000-0005-0000-0000-000008BC0000}"/>
    <cellStyle name="Input 111 2 3 2" xfId="48144" xr:uid="{00000000-0005-0000-0000-000009BC0000}"/>
    <cellStyle name="Input 111 2 3 3" xfId="48145" xr:uid="{00000000-0005-0000-0000-00000ABC0000}"/>
    <cellStyle name="Input 111 2 4" xfId="48146" xr:uid="{00000000-0005-0000-0000-00000BBC0000}"/>
    <cellStyle name="Input 111 2 5" xfId="48147" xr:uid="{00000000-0005-0000-0000-00000CBC0000}"/>
    <cellStyle name="Input 111 3" xfId="48148" xr:uid="{00000000-0005-0000-0000-00000DBC0000}"/>
    <cellStyle name="Input 111 3 2" xfId="48149" xr:uid="{00000000-0005-0000-0000-00000EBC0000}"/>
    <cellStyle name="Input 111 3 3" xfId="48150" xr:uid="{00000000-0005-0000-0000-00000FBC0000}"/>
    <cellStyle name="Input 111 4" xfId="48151" xr:uid="{00000000-0005-0000-0000-000010BC0000}"/>
    <cellStyle name="Input 111 5" xfId="48152" xr:uid="{00000000-0005-0000-0000-000011BC0000}"/>
    <cellStyle name="Input 112" xfId="48153" xr:uid="{00000000-0005-0000-0000-000012BC0000}"/>
    <cellStyle name="Input 112 2" xfId="48154" xr:uid="{00000000-0005-0000-0000-000013BC0000}"/>
    <cellStyle name="Input 112 2 2" xfId="48155" xr:uid="{00000000-0005-0000-0000-000014BC0000}"/>
    <cellStyle name="Input 112 2 2 2" xfId="48156" xr:uid="{00000000-0005-0000-0000-000015BC0000}"/>
    <cellStyle name="Input 112 2 3" xfId="48157" xr:uid="{00000000-0005-0000-0000-000016BC0000}"/>
    <cellStyle name="Input 112 2 3 2" xfId="48158" xr:uid="{00000000-0005-0000-0000-000017BC0000}"/>
    <cellStyle name="Input 112 2 3 3" xfId="48159" xr:uid="{00000000-0005-0000-0000-000018BC0000}"/>
    <cellStyle name="Input 112 2 4" xfId="48160" xr:uid="{00000000-0005-0000-0000-000019BC0000}"/>
    <cellStyle name="Input 112 2 5" xfId="48161" xr:uid="{00000000-0005-0000-0000-00001ABC0000}"/>
    <cellStyle name="Input 112 3" xfId="48162" xr:uid="{00000000-0005-0000-0000-00001BBC0000}"/>
    <cellStyle name="Input 112 3 2" xfId="48163" xr:uid="{00000000-0005-0000-0000-00001CBC0000}"/>
    <cellStyle name="Input 112 3 3" xfId="48164" xr:uid="{00000000-0005-0000-0000-00001DBC0000}"/>
    <cellStyle name="Input 112 4" xfId="48165" xr:uid="{00000000-0005-0000-0000-00001EBC0000}"/>
    <cellStyle name="Input 112 5" xfId="48166" xr:uid="{00000000-0005-0000-0000-00001FBC0000}"/>
    <cellStyle name="Input 113" xfId="48167" xr:uid="{00000000-0005-0000-0000-000020BC0000}"/>
    <cellStyle name="Input 113 2" xfId="48168" xr:uid="{00000000-0005-0000-0000-000021BC0000}"/>
    <cellStyle name="Input 113 2 2" xfId="48169" xr:uid="{00000000-0005-0000-0000-000022BC0000}"/>
    <cellStyle name="Input 113 2 2 2" xfId="48170" xr:uid="{00000000-0005-0000-0000-000023BC0000}"/>
    <cellStyle name="Input 113 2 3" xfId="48171" xr:uid="{00000000-0005-0000-0000-000024BC0000}"/>
    <cellStyle name="Input 113 2 3 2" xfId="48172" xr:uid="{00000000-0005-0000-0000-000025BC0000}"/>
    <cellStyle name="Input 113 2 3 3" xfId="48173" xr:uid="{00000000-0005-0000-0000-000026BC0000}"/>
    <cellStyle name="Input 113 2 4" xfId="48174" xr:uid="{00000000-0005-0000-0000-000027BC0000}"/>
    <cellStyle name="Input 113 2 5" xfId="48175" xr:uid="{00000000-0005-0000-0000-000028BC0000}"/>
    <cellStyle name="Input 113 3" xfId="48176" xr:uid="{00000000-0005-0000-0000-000029BC0000}"/>
    <cellStyle name="Input 113 3 2" xfId="48177" xr:uid="{00000000-0005-0000-0000-00002ABC0000}"/>
    <cellStyle name="Input 113 3 3" xfId="48178" xr:uid="{00000000-0005-0000-0000-00002BBC0000}"/>
    <cellStyle name="Input 113 4" xfId="48179" xr:uid="{00000000-0005-0000-0000-00002CBC0000}"/>
    <cellStyle name="Input 113 5" xfId="48180" xr:uid="{00000000-0005-0000-0000-00002DBC0000}"/>
    <cellStyle name="Input 114" xfId="48181" xr:uid="{00000000-0005-0000-0000-00002EBC0000}"/>
    <cellStyle name="Input 114 2" xfId="48182" xr:uid="{00000000-0005-0000-0000-00002FBC0000}"/>
    <cellStyle name="Input 114 2 2" xfId="48183" xr:uid="{00000000-0005-0000-0000-000030BC0000}"/>
    <cellStyle name="Input 114 2 2 2" xfId="48184" xr:uid="{00000000-0005-0000-0000-000031BC0000}"/>
    <cellStyle name="Input 114 2 3" xfId="48185" xr:uid="{00000000-0005-0000-0000-000032BC0000}"/>
    <cellStyle name="Input 114 2 3 2" xfId="48186" xr:uid="{00000000-0005-0000-0000-000033BC0000}"/>
    <cellStyle name="Input 114 2 3 3" xfId="48187" xr:uid="{00000000-0005-0000-0000-000034BC0000}"/>
    <cellStyle name="Input 114 2 4" xfId="48188" xr:uid="{00000000-0005-0000-0000-000035BC0000}"/>
    <cellStyle name="Input 114 2 5" xfId="48189" xr:uid="{00000000-0005-0000-0000-000036BC0000}"/>
    <cellStyle name="Input 114 3" xfId="48190" xr:uid="{00000000-0005-0000-0000-000037BC0000}"/>
    <cellStyle name="Input 114 3 2" xfId="48191" xr:uid="{00000000-0005-0000-0000-000038BC0000}"/>
    <cellStyle name="Input 114 3 3" xfId="48192" xr:uid="{00000000-0005-0000-0000-000039BC0000}"/>
    <cellStyle name="Input 114 4" xfId="48193" xr:uid="{00000000-0005-0000-0000-00003ABC0000}"/>
    <cellStyle name="Input 114 5" xfId="48194" xr:uid="{00000000-0005-0000-0000-00003BBC0000}"/>
    <cellStyle name="Input 115" xfId="48195" xr:uid="{00000000-0005-0000-0000-00003CBC0000}"/>
    <cellStyle name="Input 115 2" xfId="48196" xr:uid="{00000000-0005-0000-0000-00003DBC0000}"/>
    <cellStyle name="Input 115 2 2" xfId="48197" xr:uid="{00000000-0005-0000-0000-00003EBC0000}"/>
    <cellStyle name="Input 115 2 2 2" xfId="48198" xr:uid="{00000000-0005-0000-0000-00003FBC0000}"/>
    <cellStyle name="Input 115 2 3" xfId="48199" xr:uid="{00000000-0005-0000-0000-000040BC0000}"/>
    <cellStyle name="Input 115 2 3 2" xfId="48200" xr:uid="{00000000-0005-0000-0000-000041BC0000}"/>
    <cellStyle name="Input 115 2 3 3" xfId="48201" xr:uid="{00000000-0005-0000-0000-000042BC0000}"/>
    <cellStyle name="Input 115 2 4" xfId="48202" xr:uid="{00000000-0005-0000-0000-000043BC0000}"/>
    <cellStyle name="Input 115 2 5" xfId="48203" xr:uid="{00000000-0005-0000-0000-000044BC0000}"/>
    <cellStyle name="Input 115 3" xfId="48204" xr:uid="{00000000-0005-0000-0000-000045BC0000}"/>
    <cellStyle name="Input 115 3 2" xfId="48205" xr:uid="{00000000-0005-0000-0000-000046BC0000}"/>
    <cellStyle name="Input 115 3 3" xfId="48206" xr:uid="{00000000-0005-0000-0000-000047BC0000}"/>
    <cellStyle name="Input 115 4" xfId="48207" xr:uid="{00000000-0005-0000-0000-000048BC0000}"/>
    <cellStyle name="Input 115 5" xfId="48208" xr:uid="{00000000-0005-0000-0000-000049BC0000}"/>
    <cellStyle name="Input 116" xfId="48209" xr:uid="{00000000-0005-0000-0000-00004ABC0000}"/>
    <cellStyle name="Input 116 2" xfId="48210" xr:uid="{00000000-0005-0000-0000-00004BBC0000}"/>
    <cellStyle name="Input 116 2 2" xfId="48211" xr:uid="{00000000-0005-0000-0000-00004CBC0000}"/>
    <cellStyle name="Input 116 2 2 2" xfId="48212" xr:uid="{00000000-0005-0000-0000-00004DBC0000}"/>
    <cellStyle name="Input 116 2 3" xfId="48213" xr:uid="{00000000-0005-0000-0000-00004EBC0000}"/>
    <cellStyle name="Input 116 2 3 2" xfId="48214" xr:uid="{00000000-0005-0000-0000-00004FBC0000}"/>
    <cellStyle name="Input 116 2 3 3" xfId="48215" xr:uid="{00000000-0005-0000-0000-000050BC0000}"/>
    <cellStyle name="Input 116 2 4" xfId="48216" xr:uid="{00000000-0005-0000-0000-000051BC0000}"/>
    <cellStyle name="Input 116 2 5" xfId="48217" xr:uid="{00000000-0005-0000-0000-000052BC0000}"/>
    <cellStyle name="Input 116 3" xfId="48218" xr:uid="{00000000-0005-0000-0000-000053BC0000}"/>
    <cellStyle name="Input 116 3 2" xfId="48219" xr:uid="{00000000-0005-0000-0000-000054BC0000}"/>
    <cellStyle name="Input 116 3 3" xfId="48220" xr:uid="{00000000-0005-0000-0000-000055BC0000}"/>
    <cellStyle name="Input 116 4" xfId="48221" xr:uid="{00000000-0005-0000-0000-000056BC0000}"/>
    <cellStyle name="Input 116 5" xfId="48222" xr:uid="{00000000-0005-0000-0000-000057BC0000}"/>
    <cellStyle name="Input 117" xfId="48223" xr:uid="{00000000-0005-0000-0000-000058BC0000}"/>
    <cellStyle name="Input 117 2" xfId="48224" xr:uid="{00000000-0005-0000-0000-000059BC0000}"/>
    <cellStyle name="Input 117 2 2" xfId="48225" xr:uid="{00000000-0005-0000-0000-00005ABC0000}"/>
    <cellStyle name="Input 117 2 2 2" xfId="48226" xr:uid="{00000000-0005-0000-0000-00005BBC0000}"/>
    <cellStyle name="Input 117 2 3" xfId="48227" xr:uid="{00000000-0005-0000-0000-00005CBC0000}"/>
    <cellStyle name="Input 117 2 3 2" xfId="48228" xr:uid="{00000000-0005-0000-0000-00005DBC0000}"/>
    <cellStyle name="Input 117 2 3 3" xfId="48229" xr:uid="{00000000-0005-0000-0000-00005EBC0000}"/>
    <cellStyle name="Input 117 2 4" xfId="48230" xr:uid="{00000000-0005-0000-0000-00005FBC0000}"/>
    <cellStyle name="Input 117 2 5" xfId="48231" xr:uid="{00000000-0005-0000-0000-000060BC0000}"/>
    <cellStyle name="Input 117 3" xfId="48232" xr:uid="{00000000-0005-0000-0000-000061BC0000}"/>
    <cellStyle name="Input 117 3 2" xfId="48233" xr:uid="{00000000-0005-0000-0000-000062BC0000}"/>
    <cellStyle name="Input 117 3 3" xfId="48234" xr:uid="{00000000-0005-0000-0000-000063BC0000}"/>
    <cellStyle name="Input 117 4" xfId="48235" xr:uid="{00000000-0005-0000-0000-000064BC0000}"/>
    <cellStyle name="Input 117 5" xfId="48236" xr:uid="{00000000-0005-0000-0000-000065BC0000}"/>
    <cellStyle name="Input 118" xfId="48237" xr:uid="{00000000-0005-0000-0000-000066BC0000}"/>
    <cellStyle name="Input 118 2" xfId="48238" xr:uid="{00000000-0005-0000-0000-000067BC0000}"/>
    <cellStyle name="Input 118 2 2" xfId="48239" xr:uid="{00000000-0005-0000-0000-000068BC0000}"/>
    <cellStyle name="Input 118 2 2 2" xfId="48240" xr:uid="{00000000-0005-0000-0000-000069BC0000}"/>
    <cellStyle name="Input 118 2 3" xfId="48241" xr:uid="{00000000-0005-0000-0000-00006ABC0000}"/>
    <cellStyle name="Input 118 2 3 2" xfId="48242" xr:uid="{00000000-0005-0000-0000-00006BBC0000}"/>
    <cellStyle name="Input 118 2 3 3" xfId="48243" xr:uid="{00000000-0005-0000-0000-00006CBC0000}"/>
    <cellStyle name="Input 118 2 4" xfId="48244" xr:uid="{00000000-0005-0000-0000-00006DBC0000}"/>
    <cellStyle name="Input 118 2 5" xfId="48245" xr:uid="{00000000-0005-0000-0000-00006EBC0000}"/>
    <cellStyle name="Input 118 3" xfId="48246" xr:uid="{00000000-0005-0000-0000-00006FBC0000}"/>
    <cellStyle name="Input 118 3 2" xfId="48247" xr:uid="{00000000-0005-0000-0000-000070BC0000}"/>
    <cellStyle name="Input 118 3 3" xfId="48248" xr:uid="{00000000-0005-0000-0000-000071BC0000}"/>
    <cellStyle name="Input 118 4" xfId="48249" xr:uid="{00000000-0005-0000-0000-000072BC0000}"/>
    <cellStyle name="Input 118 5" xfId="48250" xr:uid="{00000000-0005-0000-0000-000073BC0000}"/>
    <cellStyle name="Input 119" xfId="48251" xr:uid="{00000000-0005-0000-0000-000074BC0000}"/>
    <cellStyle name="Input 119 2" xfId="48252" xr:uid="{00000000-0005-0000-0000-000075BC0000}"/>
    <cellStyle name="Input 119 2 2" xfId="48253" xr:uid="{00000000-0005-0000-0000-000076BC0000}"/>
    <cellStyle name="Input 119 2 2 2" xfId="48254" xr:uid="{00000000-0005-0000-0000-000077BC0000}"/>
    <cellStyle name="Input 119 2 3" xfId="48255" xr:uid="{00000000-0005-0000-0000-000078BC0000}"/>
    <cellStyle name="Input 119 2 3 2" xfId="48256" xr:uid="{00000000-0005-0000-0000-000079BC0000}"/>
    <cellStyle name="Input 119 2 3 3" xfId="48257" xr:uid="{00000000-0005-0000-0000-00007ABC0000}"/>
    <cellStyle name="Input 119 2 4" xfId="48258" xr:uid="{00000000-0005-0000-0000-00007BBC0000}"/>
    <cellStyle name="Input 119 2 5" xfId="48259" xr:uid="{00000000-0005-0000-0000-00007CBC0000}"/>
    <cellStyle name="Input 119 3" xfId="48260" xr:uid="{00000000-0005-0000-0000-00007DBC0000}"/>
    <cellStyle name="Input 119 3 2" xfId="48261" xr:uid="{00000000-0005-0000-0000-00007EBC0000}"/>
    <cellStyle name="Input 119 3 3" xfId="48262" xr:uid="{00000000-0005-0000-0000-00007FBC0000}"/>
    <cellStyle name="Input 119 4" xfId="48263" xr:uid="{00000000-0005-0000-0000-000080BC0000}"/>
    <cellStyle name="Input 119 5" xfId="48264" xr:uid="{00000000-0005-0000-0000-000081BC0000}"/>
    <cellStyle name="Input 12" xfId="48265" xr:uid="{00000000-0005-0000-0000-000082BC0000}"/>
    <cellStyle name="Input 12 2" xfId="48266" xr:uid="{00000000-0005-0000-0000-000083BC0000}"/>
    <cellStyle name="Input 12 2 2" xfId="48267" xr:uid="{00000000-0005-0000-0000-000084BC0000}"/>
    <cellStyle name="Input 12 2 2 2" xfId="48268" xr:uid="{00000000-0005-0000-0000-000085BC0000}"/>
    <cellStyle name="Input 12 2 3" xfId="48269" xr:uid="{00000000-0005-0000-0000-000086BC0000}"/>
    <cellStyle name="Input 12 2 3 2" xfId="48270" xr:uid="{00000000-0005-0000-0000-000087BC0000}"/>
    <cellStyle name="Input 12 2 3 3" xfId="48271" xr:uid="{00000000-0005-0000-0000-000088BC0000}"/>
    <cellStyle name="Input 12 2 4" xfId="48272" xr:uid="{00000000-0005-0000-0000-000089BC0000}"/>
    <cellStyle name="Input 12 2 5" xfId="48273" xr:uid="{00000000-0005-0000-0000-00008ABC0000}"/>
    <cellStyle name="Input 12 3" xfId="48274" xr:uid="{00000000-0005-0000-0000-00008BBC0000}"/>
    <cellStyle name="Input 12 3 2" xfId="48275" xr:uid="{00000000-0005-0000-0000-00008CBC0000}"/>
    <cellStyle name="Input 12 3 3" xfId="48276" xr:uid="{00000000-0005-0000-0000-00008DBC0000}"/>
    <cellStyle name="Input 12 4" xfId="48277" xr:uid="{00000000-0005-0000-0000-00008EBC0000}"/>
    <cellStyle name="Input 12 5" xfId="48278" xr:uid="{00000000-0005-0000-0000-00008FBC0000}"/>
    <cellStyle name="Input 120" xfId="48279" xr:uid="{00000000-0005-0000-0000-000090BC0000}"/>
    <cellStyle name="Input 120 2" xfId="48280" xr:uid="{00000000-0005-0000-0000-000091BC0000}"/>
    <cellStyle name="Input 120 2 2" xfId="48281" xr:uid="{00000000-0005-0000-0000-000092BC0000}"/>
    <cellStyle name="Input 120 2 2 2" xfId="48282" xr:uid="{00000000-0005-0000-0000-000093BC0000}"/>
    <cellStyle name="Input 120 2 3" xfId="48283" xr:uid="{00000000-0005-0000-0000-000094BC0000}"/>
    <cellStyle name="Input 120 2 3 2" xfId="48284" xr:uid="{00000000-0005-0000-0000-000095BC0000}"/>
    <cellStyle name="Input 120 2 3 3" xfId="48285" xr:uid="{00000000-0005-0000-0000-000096BC0000}"/>
    <cellStyle name="Input 120 2 4" xfId="48286" xr:uid="{00000000-0005-0000-0000-000097BC0000}"/>
    <cellStyle name="Input 120 2 5" xfId="48287" xr:uid="{00000000-0005-0000-0000-000098BC0000}"/>
    <cellStyle name="Input 120 3" xfId="48288" xr:uid="{00000000-0005-0000-0000-000099BC0000}"/>
    <cellStyle name="Input 120 3 2" xfId="48289" xr:uid="{00000000-0005-0000-0000-00009ABC0000}"/>
    <cellStyle name="Input 120 3 3" xfId="48290" xr:uid="{00000000-0005-0000-0000-00009BBC0000}"/>
    <cellStyle name="Input 120 4" xfId="48291" xr:uid="{00000000-0005-0000-0000-00009CBC0000}"/>
    <cellStyle name="Input 120 5" xfId="48292" xr:uid="{00000000-0005-0000-0000-00009DBC0000}"/>
    <cellStyle name="Input 121" xfId="48293" xr:uid="{00000000-0005-0000-0000-00009EBC0000}"/>
    <cellStyle name="Input 121 2" xfId="48294" xr:uid="{00000000-0005-0000-0000-00009FBC0000}"/>
    <cellStyle name="Input 121 2 2" xfId="48295" xr:uid="{00000000-0005-0000-0000-0000A0BC0000}"/>
    <cellStyle name="Input 121 2 2 2" xfId="48296" xr:uid="{00000000-0005-0000-0000-0000A1BC0000}"/>
    <cellStyle name="Input 121 2 3" xfId="48297" xr:uid="{00000000-0005-0000-0000-0000A2BC0000}"/>
    <cellStyle name="Input 121 2 3 2" xfId="48298" xr:uid="{00000000-0005-0000-0000-0000A3BC0000}"/>
    <cellStyle name="Input 121 2 3 3" xfId="48299" xr:uid="{00000000-0005-0000-0000-0000A4BC0000}"/>
    <cellStyle name="Input 121 2 4" xfId="48300" xr:uid="{00000000-0005-0000-0000-0000A5BC0000}"/>
    <cellStyle name="Input 121 2 5" xfId="48301" xr:uid="{00000000-0005-0000-0000-0000A6BC0000}"/>
    <cellStyle name="Input 121 3" xfId="48302" xr:uid="{00000000-0005-0000-0000-0000A7BC0000}"/>
    <cellStyle name="Input 121 3 2" xfId="48303" xr:uid="{00000000-0005-0000-0000-0000A8BC0000}"/>
    <cellStyle name="Input 121 3 3" xfId="48304" xr:uid="{00000000-0005-0000-0000-0000A9BC0000}"/>
    <cellStyle name="Input 121 4" xfId="48305" xr:uid="{00000000-0005-0000-0000-0000AABC0000}"/>
    <cellStyle name="Input 121 5" xfId="48306" xr:uid="{00000000-0005-0000-0000-0000ABBC0000}"/>
    <cellStyle name="Input 122" xfId="48307" xr:uid="{00000000-0005-0000-0000-0000ACBC0000}"/>
    <cellStyle name="Input 122 2" xfId="48308" xr:uid="{00000000-0005-0000-0000-0000ADBC0000}"/>
    <cellStyle name="Input 122 2 2" xfId="48309" xr:uid="{00000000-0005-0000-0000-0000AEBC0000}"/>
    <cellStyle name="Input 122 2 2 2" xfId="48310" xr:uid="{00000000-0005-0000-0000-0000AFBC0000}"/>
    <cellStyle name="Input 122 2 3" xfId="48311" xr:uid="{00000000-0005-0000-0000-0000B0BC0000}"/>
    <cellStyle name="Input 122 2 3 2" xfId="48312" xr:uid="{00000000-0005-0000-0000-0000B1BC0000}"/>
    <cellStyle name="Input 122 2 3 3" xfId="48313" xr:uid="{00000000-0005-0000-0000-0000B2BC0000}"/>
    <cellStyle name="Input 122 2 4" xfId="48314" xr:uid="{00000000-0005-0000-0000-0000B3BC0000}"/>
    <cellStyle name="Input 122 2 5" xfId="48315" xr:uid="{00000000-0005-0000-0000-0000B4BC0000}"/>
    <cellStyle name="Input 122 3" xfId="48316" xr:uid="{00000000-0005-0000-0000-0000B5BC0000}"/>
    <cellStyle name="Input 122 3 2" xfId="48317" xr:uid="{00000000-0005-0000-0000-0000B6BC0000}"/>
    <cellStyle name="Input 122 3 3" xfId="48318" xr:uid="{00000000-0005-0000-0000-0000B7BC0000}"/>
    <cellStyle name="Input 122 4" xfId="48319" xr:uid="{00000000-0005-0000-0000-0000B8BC0000}"/>
    <cellStyle name="Input 122 5" xfId="48320" xr:uid="{00000000-0005-0000-0000-0000B9BC0000}"/>
    <cellStyle name="Input 123" xfId="48321" xr:uid="{00000000-0005-0000-0000-0000BABC0000}"/>
    <cellStyle name="Input 123 2" xfId="48322" xr:uid="{00000000-0005-0000-0000-0000BBBC0000}"/>
    <cellStyle name="Input 123 2 2" xfId="48323" xr:uid="{00000000-0005-0000-0000-0000BCBC0000}"/>
    <cellStyle name="Input 123 2 2 2" xfId="48324" xr:uid="{00000000-0005-0000-0000-0000BDBC0000}"/>
    <cellStyle name="Input 123 2 3" xfId="48325" xr:uid="{00000000-0005-0000-0000-0000BEBC0000}"/>
    <cellStyle name="Input 123 2 3 2" xfId="48326" xr:uid="{00000000-0005-0000-0000-0000BFBC0000}"/>
    <cellStyle name="Input 123 2 3 3" xfId="48327" xr:uid="{00000000-0005-0000-0000-0000C0BC0000}"/>
    <cellStyle name="Input 123 2 4" xfId="48328" xr:uid="{00000000-0005-0000-0000-0000C1BC0000}"/>
    <cellStyle name="Input 123 2 5" xfId="48329" xr:uid="{00000000-0005-0000-0000-0000C2BC0000}"/>
    <cellStyle name="Input 123 3" xfId="48330" xr:uid="{00000000-0005-0000-0000-0000C3BC0000}"/>
    <cellStyle name="Input 123 3 2" xfId="48331" xr:uid="{00000000-0005-0000-0000-0000C4BC0000}"/>
    <cellStyle name="Input 123 3 3" xfId="48332" xr:uid="{00000000-0005-0000-0000-0000C5BC0000}"/>
    <cellStyle name="Input 123 4" xfId="48333" xr:uid="{00000000-0005-0000-0000-0000C6BC0000}"/>
    <cellStyle name="Input 123 5" xfId="48334" xr:uid="{00000000-0005-0000-0000-0000C7BC0000}"/>
    <cellStyle name="Input 124" xfId="48335" xr:uid="{00000000-0005-0000-0000-0000C8BC0000}"/>
    <cellStyle name="Input 124 2" xfId="48336" xr:uid="{00000000-0005-0000-0000-0000C9BC0000}"/>
    <cellStyle name="Input 124 2 2" xfId="48337" xr:uid="{00000000-0005-0000-0000-0000CABC0000}"/>
    <cellStyle name="Input 124 2 2 2" xfId="48338" xr:uid="{00000000-0005-0000-0000-0000CBBC0000}"/>
    <cellStyle name="Input 124 2 3" xfId="48339" xr:uid="{00000000-0005-0000-0000-0000CCBC0000}"/>
    <cellStyle name="Input 124 2 3 2" xfId="48340" xr:uid="{00000000-0005-0000-0000-0000CDBC0000}"/>
    <cellStyle name="Input 124 2 3 3" xfId="48341" xr:uid="{00000000-0005-0000-0000-0000CEBC0000}"/>
    <cellStyle name="Input 124 2 4" xfId="48342" xr:uid="{00000000-0005-0000-0000-0000CFBC0000}"/>
    <cellStyle name="Input 124 2 5" xfId="48343" xr:uid="{00000000-0005-0000-0000-0000D0BC0000}"/>
    <cellStyle name="Input 124 3" xfId="48344" xr:uid="{00000000-0005-0000-0000-0000D1BC0000}"/>
    <cellStyle name="Input 124 3 2" xfId="48345" xr:uid="{00000000-0005-0000-0000-0000D2BC0000}"/>
    <cellStyle name="Input 124 3 3" xfId="48346" xr:uid="{00000000-0005-0000-0000-0000D3BC0000}"/>
    <cellStyle name="Input 124 4" xfId="48347" xr:uid="{00000000-0005-0000-0000-0000D4BC0000}"/>
    <cellStyle name="Input 124 5" xfId="48348" xr:uid="{00000000-0005-0000-0000-0000D5BC0000}"/>
    <cellStyle name="Input 125" xfId="48349" xr:uid="{00000000-0005-0000-0000-0000D6BC0000}"/>
    <cellStyle name="Input 125 2" xfId="48350" xr:uid="{00000000-0005-0000-0000-0000D7BC0000}"/>
    <cellStyle name="Input 125 2 2" xfId="48351" xr:uid="{00000000-0005-0000-0000-0000D8BC0000}"/>
    <cellStyle name="Input 125 2 2 2" xfId="48352" xr:uid="{00000000-0005-0000-0000-0000D9BC0000}"/>
    <cellStyle name="Input 125 2 3" xfId="48353" xr:uid="{00000000-0005-0000-0000-0000DABC0000}"/>
    <cellStyle name="Input 125 2 3 2" xfId="48354" xr:uid="{00000000-0005-0000-0000-0000DBBC0000}"/>
    <cellStyle name="Input 125 2 3 3" xfId="48355" xr:uid="{00000000-0005-0000-0000-0000DCBC0000}"/>
    <cellStyle name="Input 125 2 4" xfId="48356" xr:uid="{00000000-0005-0000-0000-0000DDBC0000}"/>
    <cellStyle name="Input 125 2 5" xfId="48357" xr:uid="{00000000-0005-0000-0000-0000DEBC0000}"/>
    <cellStyle name="Input 125 3" xfId="48358" xr:uid="{00000000-0005-0000-0000-0000DFBC0000}"/>
    <cellStyle name="Input 125 3 2" xfId="48359" xr:uid="{00000000-0005-0000-0000-0000E0BC0000}"/>
    <cellStyle name="Input 125 3 3" xfId="48360" xr:uid="{00000000-0005-0000-0000-0000E1BC0000}"/>
    <cellStyle name="Input 125 4" xfId="48361" xr:uid="{00000000-0005-0000-0000-0000E2BC0000}"/>
    <cellStyle name="Input 125 5" xfId="48362" xr:uid="{00000000-0005-0000-0000-0000E3BC0000}"/>
    <cellStyle name="Input 126" xfId="48363" xr:uid="{00000000-0005-0000-0000-0000E4BC0000}"/>
    <cellStyle name="Input 126 2" xfId="48364" xr:uid="{00000000-0005-0000-0000-0000E5BC0000}"/>
    <cellStyle name="Input 126 2 2" xfId="48365" xr:uid="{00000000-0005-0000-0000-0000E6BC0000}"/>
    <cellStyle name="Input 126 2 2 2" xfId="48366" xr:uid="{00000000-0005-0000-0000-0000E7BC0000}"/>
    <cellStyle name="Input 126 2 3" xfId="48367" xr:uid="{00000000-0005-0000-0000-0000E8BC0000}"/>
    <cellStyle name="Input 126 2 3 2" xfId="48368" xr:uid="{00000000-0005-0000-0000-0000E9BC0000}"/>
    <cellStyle name="Input 126 2 3 3" xfId="48369" xr:uid="{00000000-0005-0000-0000-0000EABC0000}"/>
    <cellStyle name="Input 126 2 4" xfId="48370" xr:uid="{00000000-0005-0000-0000-0000EBBC0000}"/>
    <cellStyle name="Input 126 2 5" xfId="48371" xr:uid="{00000000-0005-0000-0000-0000ECBC0000}"/>
    <cellStyle name="Input 126 3" xfId="48372" xr:uid="{00000000-0005-0000-0000-0000EDBC0000}"/>
    <cellStyle name="Input 126 3 2" xfId="48373" xr:uid="{00000000-0005-0000-0000-0000EEBC0000}"/>
    <cellStyle name="Input 126 3 3" xfId="48374" xr:uid="{00000000-0005-0000-0000-0000EFBC0000}"/>
    <cellStyle name="Input 126 4" xfId="48375" xr:uid="{00000000-0005-0000-0000-0000F0BC0000}"/>
    <cellStyle name="Input 126 5" xfId="48376" xr:uid="{00000000-0005-0000-0000-0000F1BC0000}"/>
    <cellStyle name="Input 127" xfId="48377" xr:uid="{00000000-0005-0000-0000-0000F2BC0000}"/>
    <cellStyle name="Input 127 2" xfId="48378" xr:uid="{00000000-0005-0000-0000-0000F3BC0000}"/>
    <cellStyle name="Input 127 2 2" xfId="48379" xr:uid="{00000000-0005-0000-0000-0000F4BC0000}"/>
    <cellStyle name="Input 127 2 2 2" xfId="48380" xr:uid="{00000000-0005-0000-0000-0000F5BC0000}"/>
    <cellStyle name="Input 127 2 3" xfId="48381" xr:uid="{00000000-0005-0000-0000-0000F6BC0000}"/>
    <cellStyle name="Input 127 2 3 2" xfId="48382" xr:uid="{00000000-0005-0000-0000-0000F7BC0000}"/>
    <cellStyle name="Input 127 2 3 3" xfId="48383" xr:uid="{00000000-0005-0000-0000-0000F8BC0000}"/>
    <cellStyle name="Input 127 2 4" xfId="48384" xr:uid="{00000000-0005-0000-0000-0000F9BC0000}"/>
    <cellStyle name="Input 127 2 5" xfId="48385" xr:uid="{00000000-0005-0000-0000-0000FABC0000}"/>
    <cellStyle name="Input 127 3" xfId="48386" xr:uid="{00000000-0005-0000-0000-0000FBBC0000}"/>
    <cellStyle name="Input 127 3 2" xfId="48387" xr:uid="{00000000-0005-0000-0000-0000FCBC0000}"/>
    <cellStyle name="Input 127 3 3" xfId="48388" xr:uid="{00000000-0005-0000-0000-0000FDBC0000}"/>
    <cellStyle name="Input 127 4" xfId="48389" xr:uid="{00000000-0005-0000-0000-0000FEBC0000}"/>
    <cellStyle name="Input 127 5" xfId="48390" xr:uid="{00000000-0005-0000-0000-0000FFBC0000}"/>
    <cellStyle name="Input 128" xfId="48391" xr:uid="{00000000-0005-0000-0000-000000BD0000}"/>
    <cellStyle name="Input 128 2" xfId="48392" xr:uid="{00000000-0005-0000-0000-000001BD0000}"/>
    <cellStyle name="Input 128 2 2" xfId="48393" xr:uid="{00000000-0005-0000-0000-000002BD0000}"/>
    <cellStyle name="Input 128 2 2 2" xfId="48394" xr:uid="{00000000-0005-0000-0000-000003BD0000}"/>
    <cellStyle name="Input 128 2 3" xfId="48395" xr:uid="{00000000-0005-0000-0000-000004BD0000}"/>
    <cellStyle name="Input 128 2 3 2" xfId="48396" xr:uid="{00000000-0005-0000-0000-000005BD0000}"/>
    <cellStyle name="Input 128 2 3 3" xfId="48397" xr:uid="{00000000-0005-0000-0000-000006BD0000}"/>
    <cellStyle name="Input 128 2 4" xfId="48398" xr:uid="{00000000-0005-0000-0000-000007BD0000}"/>
    <cellStyle name="Input 128 2 5" xfId="48399" xr:uid="{00000000-0005-0000-0000-000008BD0000}"/>
    <cellStyle name="Input 128 3" xfId="48400" xr:uid="{00000000-0005-0000-0000-000009BD0000}"/>
    <cellStyle name="Input 128 3 2" xfId="48401" xr:uid="{00000000-0005-0000-0000-00000ABD0000}"/>
    <cellStyle name="Input 128 3 3" xfId="48402" xr:uid="{00000000-0005-0000-0000-00000BBD0000}"/>
    <cellStyle name="Input 128 4" xfId="48403" xr:uid="{00000000-0005-0000-0000-00000CBD0000}"/>
    <cellStyle name="Input 128 5" xfId="48404" xr:uid="{00000000-0005-0000-0000-00000DBD0000}"/>
    <cellStyle name="Input 129" xfId="48405" xr:uid="{00000000-0005-0000-0000-00000EBD0000}"/>
    <cellStyle name="Input 129 2" xfId="48406" xr:uid="{00000000-0005-0000-0000-00000FBD0000}"/>
    <cellStyle name="Input 129 2 2" xfId="48407" xr:uid="{00000000-0005-0000-0000-000010BD0000}"/>
    <cellStyle name="Input 129 2 2 2" xfId="48408" xr:uid="{00000000-0005-0000-0000-000011BD0000}"/>
    <cellStyle name="Input 129 2 3" xfId="48409" xr:uid="{00000000-0005-0000-0000-000012BD0000}"/>
    <cellStyle name="Input 129 2 3 2" xfId="48410" xr:uid="{00000000-0005-0000-0000-000013BD0000}"/>
    <cellStyle name="Input 129 2 3 3" xfId="48411" xr:uid="{00000000-0005-0000-0000-000014BD0000}"/>
    <cellStyle name="Input 129 2 4" xfId="48412" xr:uid="{00000000-0005-0000-0000-000015BD0000}"/>
    <cellStyle name="Input 129 2 5" xfId="48413" xr:uid="{00000000-0005-0000-0000-000016BD0000}"/>
    <cellStyle name="Input 129 3" xfId="48414" xr:uid="{00000000-0005-0000-0000-000017BD0000}"/>
    <cellStyle name="Input 129 3 2" xfId="48415" xr:uid="{00000000-0005-0000-0000-000018BD0000}"/>
    <cellStyle name="Input 129 3 3" xfId="48416" xr:uid="{00000000-0005-0000-0000-000019BD0000}"/>
    <cellStyle name="Input 129 4" xfId="48417" xr:uid="{00000000-0005-0000-0000-00001ABD0000}"/>
    <cellStyle name="Input 129 5" xfId="48418" xr:uid="{00000000-0005-0000-0000-00001BBD0000}"/>
    <cellStyle name="Input 13" xfId="48419" xr:uid="{00000000-0005-0000-0000-00001CBD0000}"/>
    <cellStyle name="Input 13 2" xfId="48420" xr:uid="{00000000-0005-0000-0000-00001DBD0000}"/>
    <cellStyle name="Input 13 2 2" xfId="48421" xr:uid="{00000000-0005-0000-0000-00001EBD0000}"/>
    <cellStyle name="Input 13 2 2 2" xfId="48422" xr:uid="{00000000-0005-0000-0000-00001FBD0000}"/>
    <cellStyle name="Input 13 2 3" xfId="48423" xr:uid="{00000000-0005-0000-0000-000020BD0000}"/>
    <cellStyle name="Input 13 2 3 2" xfId="48424" xr:uid="{00000000-0005-0000-0000-000021BD0000}"/>
    <cellStyle name="Input 13 2 3 3" xfId="48425" xr:uid="{00000000-0005-0000-0000-000022BD0000}"/>
    <cellStyle name="Input 13 2 4" xfId="48426" xr:uid="{00000000-0005-0000-0000-000023BD0000}"/>
    <cellStyle name="Input 13 2 5" xfId="48427" xr:uid="{00000000-0005-0000-0000-000024BD0000}"/>
    <cellStyle name="Input 13 3" xfId="48428" xr:uid="{00000000-0005-0000-0000-000025BD0000}"/>
    <cellStyle name="Input 13 3 2" xfId="48429" xr:uid="{00000000-0005-0000-0000-000026BD0000}"/>
    <cellStyle name="Input 13 3 3" xfId="48430" xr:uid="{00000000-0005-0000-0000-000027BD0000}"/>
    <cellStyle name="Input 13 4" xfId="48431" xr:uid="{00000000-0005-0000-0000-000028BD0000}"/>
    <cellStyle name="Input 13 5" xfId="48432" xr:uid="{00000000-0005-0000-0000-000029BD0000}"/>
    <cellStyle name="Input 130" xfId="48433" xr:uid="{00000000-0005-0000-0000-00002ABD0000}"/>
    <cellStyle name="Input 130 2" xfId="48434" xr:uid="{00000000-0005-0000-0000-00002BBD0000}"/>
    <cellStyle name="Input 130 2 2" xfId="48435" xr:uid="{00000000-0005-0000-0000-00002CBD0000}"/>
    <cellStyle name="Input 130 2 2 2" xfId="48436" xr:uid="{00000000-0005-0000-0000-00002DBD0000}"/>
    <cellStyle name="Input 130 2 3" xfId="48437" xr:uid="{00000000-0005-0000-0000-00002EBD0000}"/>
    <cellStyle name="Input 130 2 3 2" xfId="48438" xr:uid="{00000000-0005-0000-0000-00002FBD0000}"/>
    <cellStyle name="Input 130 2 3 3" xfId="48439" xr:uid="{00000000-0005-0000-0000-000030BD0000}"/>
    <cellStyle name="Input 130 2 4" xfId="48440" xr:uid="{00000000-0005-0000-0000-000031BD0000}"/>
    <cellStyle name="Input 130 2 5" xfId="48441" xr:uid="{00000000-0005-0000-0000-000032BD0000}"/>
    <cellStyle name="Input 130 3" xfId="48442" xr:uid="{00000000-0005-0000-0000-000033BD0000}"/>
    <cellStyle name="Input 130 3 2" xfId="48443" xr:uid="{00000000-0005-0000-0000-000034BD0000}"/>
    <cellStyle name="Input 130 3 3" xfId="48444" xr:uid="{00000000-0005-0000-0000-000035BD0000}"/>
    <cellStyle name="Input 130 4" xfId="48445" xr:uid="{00000000-0005-0000-0000-000036BD0000}"/>
    <cellStyle name="Input 130 5" xfId="48446" xr:uid="{00000000-0005-0000-0000-000037BD0000}"/>
    <cellStyle name="Input 131" xfId="48447" xr:uid="{00000000-0005-0000-0000-000038BD0000}"/>
    <cellStyle name="Input 131 2" xfId="48448" xr:uid="{00000000-0005-0000-0000-000039BD0000}"/>
    <cellStyle name="Input 131 2 2" xfId="48449" xr:uid="{00000000-0005-0000-0000-00003ABD0000}"/>
    <cellStyle name="Input 131 2 2 2" xfId="48450" xr:uid="{00000000-0005-0000-0000-00003BBD0000}"/>
    <cellStyle name="Input 131 2 3" xfId="48451" xr:uid="{00000000-0005-0000-0000-00003CBD0000}"/>
    <cellStyle name="Input 131 2 3 2" xfId="48452" xr:uid="{00000000-0005-0000-0000-00003DBD0000}"/>
    <cellStyle name="Input 131 2 3 3" xfId="48453" xr:uid="{00000000-0005-0000-0000-00003EBD0000}"/>
    <cellStyle name="Input 131 2 4" xfId="48454" xr:uid="{00000000-0005-0000-0000-00003FBD0000}"/>
    <cellStyle name="Input 131 2 5" xfId="48455" xr:uid="{00000000-0005-0000-0000-000040BD0000}"/>
    <cellStyle name="Input 131 3" xfId="48456" xr:uid="{00000000-0005-0000-0000-000041BD0000}"/>
    <cellStyle name="Input 131 3 2" xfId="48457" xr:uid="{00000000-0005-0000-0000-000042BD0000}"/>
    <cellStyle name="Input 131 3 3" xfId="48458" xr:uid="{00000000-0005-0000-0000-000043BD0000}"/>
    <cellStyle name="Input 131 4" xfId="48459" xr:uid="{00000000-0005-0000-0000-000044BD0000}"/>
    <cellStyle name="Input 131 5" xfId="48460" xr:uid="{00000000-0005-0000-0000-000045BD0000}"/>
    <cellStyle name="Input 132" xfId="48461" xr:uid="{00000000-0005-0000-0000-000046BD0000}"/>
    <cellStyle name="Input 132 2" xfId="48462" xr:uid="{00000000-0005-0000-0000-000047BD0000}"/>
    <cellStyle name="Input 132 2 2" xfId="48463" xr:uid="{00000000-0005-0000-0000-000048BD0000}"/>
    <cellStyle name="Input 132 2 2 2" xfId="48464" xr:uid="{00000000-0005-0000-0000-000049BD0000}"/>
    <cellStyle name="Input 132 2 3" xfId="48465" xr:uid="{00000000-0005-0000-0000-00004ABD0000}"/>
    <cellStyle name="Input 132 2 3 2" xfId="48466" xr:uid="{00000000-0005-0000-0000-00004BBD0000}"/>
    <cellStyle name="Input 132 2 3 3" xfId="48467" xr:uid="{00000000-0005-0000-0000-00004CBD0000}"/>
    <cellStyle name="Input 132 2 4" xfId="48468" xr:uid="{00000000-0005-0000-0000-00004DBD0000}"/>
    <cellStyle name="Input 132 2 5" xfId="48469" xr:uid="{00000000-0005-0000-0000-00004EBD0000}"/>
    <cellStyle name="Input 132 3" xfId="48470" xr:uid="{00000000-0005-0000-0000-00004FBD0000}"/>
    <cellStyle name="Input 132 3 2" xfId="48471" xr:uid="{00000000-0005-0000-0000-000050BD0000}"/>
    <cellStyle name="Input 132 3 3" xfId="48472" xr:uid="{00000000-0005-0000-0000-000051BD0000}"/>
    <cellStyle name="Input 132 4" xfId="48473" xr:uid="{00000000-0005-0000-0000-000052BD0000}"/>
    <cellStyle name="Input 132 5" xfId="48474" xr:uid="{00000000-0005-0000-0000-000053BD0000}"/>
    <cellStyle name="Input 133" xfId="48475" xr:uid="{00000000-0005-0000-0000-000054BD0000}"/>
    <cellStyle name="Input 133 2" xfId="48476" xr:uid="{00000000-0005-0000-0000-000055BD0000}"/>
    <cellStyle name="Input 133 2 2" xfId="48477" xr:uid="{00000000-0005-0000-0000-000056BD0000}"/>
    <cellStyle name="Input 133 2 2 2" xfId="48478" xr:uid="{00000000-0005-0000-0000-000057BD0000}"/>
    <cellStyle name="Input 133 2 3" xfId="48479" xr:uid="{00000000-0005-0000-0000-000058BD0000}"/>
    <cellStyle name="Input 133 2 3 2" xfId="48480" xr:uid="{00000000-0005-0000-0000-000059BD0000}"/>
    <cellStyle name="Input 133 2 3 3" xfId="48481" xr:uid="{00000000-0005-0000-0000-00005ABD0000}"/>
    <cellStyle name="Input 133 2 4" xfId="48482" xr:uid="{00000000-0005-0000-0000-00005BBD0000}"/>
    <cellStyle name="Input 133 2 5" xfId="48483" xr:uid="{00000000-0005-0000-0000-00005CBD0000}"/>
    <cellStyle name="Input 133 3" xfId="48484" xr:uid="{00000000-0005-0000-0000-00005DBD0000}"/>
    <cellStyle name="Input 133 3 2" xfId="48485" xr:uid="{00000000-0005-0000-0000-00005EBD0000}"/>
    <cellStyle name="Input 133 3 3" xfId="48486" xr:uid="{00000000-0005-0000-0000-00005FBD0000}"/>
    <cellStyle name="Input 133 4" xfId="48487" xr:uid="{00000000-0005-0000-0000-000060BD0000}"/>
    <cellStyle name="Input 133 5" xfId="48488" xr:uid="{00000000-0005-0000-0000-000061BD0000}"/>
    <cellStyle name="Input 134" xfId="48489" xr:uid="{00000000-0005-0000-0000-000062BD0000}"/>
    <cellStyle name="Input 134 2" xfId="48490" xr:uid="{00000000-0005-0000-0000-000063BD0000}"/>
    <cellStyle name="Input 134 2 2" xfId="48491" xr:uid="{00000000-0005-0000-0000-000064BD0000}"/>
    <cellStyle name="Input 134 2 2 2" xfId="48492" xr:uid="{00000000-0005-0000-0000-000065BD0000}"/>
    <cellStyle name="Input 134 2 3" xfId="48493" xr:uid="{00000000-0005-0000-0000-000066BD0000}"/>
    <cellStyle name="Input 134 2 3 2" xfId="48494" xr:uid="{00000000-0005-0000-0000-000067BD0000}"/>
    <cellStyle name="Input 134 2 3 3" xfId="48495" xr:uid="{00000000-0005-0000-0000-000068BD0000}"/>
    <cellStyle name="Input 134 2 4" xfId="48496" xr:uid="{00000000-0005-0000-0000-000069BD0000}"/>
    <cellStyle name="Input 134 2 5" xfId="48497" xr:uid="{00000000-0005-0000-0000-00006ABD0000}"/>
    <cellStyle name="Input 134 3" xfId="48498" xr:uid="{00000000-0005-0000-0000-00006BBD0000}"/>
    <cellStyle name="Input 134 3 2" xfId="48499" xr:uid="{00000000-0005-0000-0000-00006CBD0000}"/>
    <cellStyle name="Input 134 3 3" xfId="48500" xr:uid="{00000000-0005-0000-0000-00006DBD0000}"/>
    <cellStyle name="Input 134 4" xfId="48501" xr:uid="{00000000-0005-0000-0000-00006EBD0000}"/>
    <cellStyle name="Input 134 5" xfId="48502" xr:uid="{00000000-0005-0000-0000-00006FBD0000}"/>
    <cellStyle name="Input 135" xfId="48503" xr:uid="{00000000-0005-0000-0000-000070BD0000}"/>
    <cellStyle name="Input 135 2" xfId="48504" xr:uid="{00000000-0005-0000-0000-000071BD0000}"/>
    <cellStyle name="Input 135 2 2" xfId="48505" xr:uid="{00000000-0005-0000-0000-000072BD0000}"/>
    <cellStyle name="Input 135 2 2 2" xfId="48506" xr:uid="{00000000-0005-0000-0000-000073BD0000}"/>
    <cellStyle name="Input 135 2 3" xfId="48507" xr:uid="{00000000-0005-0000-0000-000074BD0000}"/>
    <cellStyle name="Input 135 2 3 2" xfId="48508" xr:uid="{00000000-0005-0000-0000-000075BD0000}"/>
    <cellStyle name="Input 135 2 3 3" xfId="48509" xr:uid="{00000000-0005-0000-0000-000076BD0000}"/>
    <cellStyle name="Input 135 2 4" xfId="48510" xr:uid="{00000000-0005-0000-0000-000077BD0000}"/>
    <cellStyle name="Input 135 2 5" xfId="48511" xr:uid="{00000000-0005-0000-0000-000078BD0000}"/>
    <cellStyle name="Input 135 3" xfId="48512" xr:uid="{00000000-0005-0000-0000-000079BD0000}"/>
    <cellStyle name="Input 135 3 2" xfId="48513" xr:uid="{00000000-0005-0000-0000-00007ABD0000}"/>
    <cellStyle name="Input 135 3 3" xfId="48514" xr:uid="{00000000-0005-0000-0000-00007BBD0000}"/>
    <cellStyle name="Input 135 4" xfId="48515" xr:uid="{00000000-0005-0000-0000-00007CBD0000}"/>
    <cellStyle name="Input 135 5" xfId="48516" xr:uid="{00000000-0005-0000-0000-00007DBD0000}"/>
    <cellStyle name="Input 136" xfId="48517" xr:uid="{00000000-0005-0000-0000-00007EBD0000}"/>
    <cellStyle name="Input 136 2" xfId="48518" xr:uid="{00000000-0005-0000-0000-00007FBD0000}"/>
    <cellStyle name="Input 136 2 2" xfId="48519" xr:uid="{00000000-0005-0000-0000-000080BD0000}"/>
    <cellStyle name="Input 136 2 2 2" xfId="48520" xr:uid="{00000000-0005-0000-0000-000081BD0000}"/>
    <cellStyle name="Input 136 2 3" xfId="48521" xr:uid="{00000000-0005-0000-0000-000082BD0000}"/>
    <cellStyle name="Input 136 2 3 2" xfId="48522" xr:uid="{00000000-0005-0000-0000-000083BD0000}"/>
    <cellStyle name="Input 136 2 3 3" xfId="48523" xr:uid="{00000000-0005-0000-0000-000084BD0000}"/>
    <cellStyle name="Input 136 2 4" xfId="48524" xr:uid="{00000000-0005-0000-0000-000085BD0000}"/>
    <cellStyle name="Input 136 2 5" xfId="48525" xr:uid="{00000000-0005-0000-0000-000086BD0000}"/>
    <cellStyle name="Input 136 3" xfId="48526" xr:uid="{00000000-0005-0000-0000-000087BD0000}"/>
    <cellStyle name="Input 136 3 2" xfId="48527" xr:uid="{00000000-0005-0000-0000-000088BD0000}"/>
    <cellStyle name="Input 136 3 3" xfId="48528" xr:uid="{00000000-0005-0000-0000-000089BD0000}"/>
    <cellStyle name="Input 136 4" xfId="48529" xr:uid="{00000000-0005-0000-0000-00008ABD0000}"/>
    <cellStyle name="Input 136 5" xfId="48530" xr:uid="{00000000-0005-0000-0000-00008BBD0000}"/>
    <cellStyle name="Input 137" xfId="48531" xr:uid="{00000000-0005-0000-0000-00008CBD0000}"/>
    <cellStyle name="Input 137 2" xfId="48532" xr:uid="{00000000-0005-0000-0000-00008DBD0000}"/>
    <cellStyle name="Input 137 2 2" xfId="48533" xr:uid="{00000000-0005-0000-0000-00008EBD0000}"/>
    <cellStyle name="Input 137 3" xfId="48534" xr:uid="{00000000-0005-0000-0000-00008FBD0000}"/>
    <cellStyle name="Input 137 3 2" xfId="48535" xr:uid="{00000000-0005-0000-0000-000090BD0000}"/>
    <cellStyle name="Input 137 3 3" xfId="48536" xr:uid="{00000000-0005-0000-0000-000091BD0000}"/>
    <cellStyle name="Input 137 4" xfId="48537" xr:uid="{00000000-0005-0000-0000-000092BD0000}"/>
    <cellStyle name="Input 138" xfId="48538" xr:uid="{00000000-0005-0000-0000-000093BD0000}"/>
    <cellStyle name="Input 138 2" xfId="48539" xr:uid="{00000000-0005-0000-0000-000094BD0000}"/>
    <cellStyle name="Input 138 2 2" xfId="48540" xr:uid="{00000000-0005-0000-0000-000095BD0000}"/>
    <cellStyle name="Input 138 3" xfId="48541" xr:uid="{00000000-0005-0000-0000-000096BD0000}"/>
    <cellStyle name="Input 138 3 2" xfId="48542" xr:uid="{00000000-0005-0000-0000-000097BD0000}"/>
    <cellStyle name="Input 138 3 3" xfId="48543" xr:uid="{00000000-0005-0000-0000-000098BD0000}"/>
    <cellStyle name="Input 138 4" xfId="48544" xr:uid="{00000000-0005-0000-0000-000099BD0000}"/>
    <cellStyle name="Input 139" xfId="48545" xr:uid="{00000000-0005-0000-0000-00009ABD0000}"/>
    <cellStyle name="Input 139 2" xfId="48546" xr:uid="{00000000-0005-0000-0000-00009BBD0000}"/>
    <cellStyle name="Input 139 2 2" xfId="48547" xr:uid="{00000000-0005-0000-0000-00009CBD0000}"/>
    <cellStyle name="Input 139 3" xfId="48548" xr:uid="{00000000-0005-0000-0000-00009DBD0000}"/>
    <cellStyle name="Input 139 3 2" xfId="48549" xr:uid="{00000000-0005-0000-0000-00009EBD0000}"/>
    <cellStyle name="Input 139 3 3" xfId="48550" xr:uid="{00000000-0005-0000-0000-00009FBD0000}"/>
    <cellStyle name="Input 139 4" xfId="48551" xr:uid="{00000000-0005-0000-0000-0000A0BD0000}"/>
    <cellStyle name="Input 14" xfId="48552" xr:uid="{00000000-0005-0000-0000-0000A1BD0000}"/>
    <cellStyle name="Input 14 2" xfId="48553" xr:uid="{00000000-0005-0000-0000-0000A2BD0000}"/>
    <cellStyle name="Input 14 2 2" xfId="48554" xr:uid="{00000000-0005-0000-0000-0000A3BD0000}"/>
    <cellStyle name="Input 14 2 2 2" xfId="48555" xr:uid="{00000000-0005-0000-0000-0000A4BD0000}"/>
    <cellStyle name="Input 14 2 3" xfId="48556" xr:uid="{00000000-0005-0000-0000-0000A5BD0000}"/>
    <cellStyle name="Input 14 2 3 2" xfId="48557" xr:uid="{00000000-0005-0000-0000-0000A6BD0000}"/>
    <cellStyle name="Input 14 2 3 3" xfId="48558" xr:uid="{00000000-0005-0000-0000-0000A7BD0000}"/>
    <cellStyle name="Input 14 2 4" xfId="48559" xr:uid="{00000000-0005-0000-0000-0000A8BD0000}"/>
    <cellStyle name="Input 14 2 5" xfId="48560" xr:uid="{00000000-0005-0000-0000-0000A9BD0000}"/>
    <cellStyle name="Input 14 3" xfId="48561" xr:uid="{00000000-0005-0000-0000-0000AABD0000}"/>
    <cellStyle name="Input 14 3 2" xfId="48562" xr:uid="{00000000-0005-0000-0000-0000ABBD0000}"/>
    <cellStyle name="Input 14 3 3" xfId="48563" xr:uid="{00000000-0005-0000-0000-0000ACBD0000}"/>
    <cellStyle name="Input 14 4" xfId="48564" xr:uid="{00000000-0005-0000-0000-0000ADBD0000}"/>
    <cellStyle name="Input 14 5" xfId="48565" xr:uid="{00000000-0005-0000-0000-0000AEBD0000}"/>
    <cellStyle name="Input 140" xfId="48566" xr:uid="{00000000-0005-0000-0000-0000AFBD0000}"/>
    <cellStyle name="Input 140 2" xfId="48567" xr:uid="{00000000-0005-0000-0000-0000B0BD0000}"/>
    <cellStyle name="Input 140 2 2" xfId="48568" xr:uid="{00000000-0005-0000-0000-0000B1BD0000}"/>
    <cellStyle name="Input 140 3" xfId="48569" xr:uid="{00000000-0005-0000-0000-0000B2BD0000}"/>
    <cellStyle name="Input 140 3 2" xfId="48570" xr:uid="{00000000-0005-0000-0000-0000B3BD0000}"/>
    <cellStyle name="Input 140 3 3" xfId="48571" xr:uid="{00000000-0005-0000-0000-0000B4BD0000}"/>
    <cellStyle name="Input 140 4" xfId="48572" xr:uid="{00000000-0005-0000-0000-0000B5BD0000}"/>
    <cellStyle name="Input 141" xfId="48573" xr:uid="{00000000-0005-0000-0000-0000B6BD0000}"/>
    <cellStyle name="Input 141 2" xfId="48574" xr:uid="{00000000-0005-0000-0000-0000B7BD0000}"/>
    <cellStyle name="Input 141 2 2" xfId="48575" xr:uid="{00000000-0005-0000-0000-0000B8BD0000}"/>
    <cellStyle name="Input 141 3" xfId="48576" xr:uid="{00000000-0005-0000-0000-0000B9BD0000}"/>
    <cellStyle name="Input 141 3 2" xfId="48577" xr:uid="{00000000-0005-0000-0000-0000BABD0000}"/>
    <cellStyle name="Input 141 3 3" xfId="48578" xr:uid="{00000000-0005-0000-0000-0000BBBD0000}"/>
    <cellStyle name="Input 141 4" xfId="48579" xr:uid="{00000000-0005-0000-0000-0000BCBD0000}"/>
    <cellStyle name="Input 142" xfId="48580" xr:uid="{00000000-0005-0000-0000-0000BDBD0000}"/>
    <cellStyle name="Input 142 2" xfId="48581" xr:uid="{00000000-0005-0000-0000-0000BEBD0000}"/>
    <cellStyle name="Input 142 2 2" xfId="48582" xr:uid="{00000000-0005-0000-0000-0000BFBD0000}"/>
    <cellStyle name="Input 142 3" xfId="48583" xr:uid="{00000000-0005-0000-0000-0000C0BD0000}"/>
    <cellStyle name="Input 142 3 2" xfId="48584" xr:uid="{00000000-0005-0000-0000-0000C1BD0000}"/>
    <cellStyle name="Input 142 3 3" xfId="48585" xr:uid="{00000000-0005-0000-0000-0000C2BD0000}"/>
    <cellStyle name="Input 142 4" xfId="48586" xr:uid="{00000000-0005-0000-0000-0000C3BD0000}"/>
    <cellStyle name="Input 143" xfId="48587" xr:uid="{00000000-0005-0000-0000-0000C4BD0000}"/>
    <cellStyle name="Input 143 2" xfId="48588" xr:uid="{00000000-0005-0000-0000-0000C5BD0000}"/>
    <cellStyle name="Input 143 2 2" xfId="48589" xr:uid="{00000000-0005-0000-0000-0000C6BD0000}"/>
    <cellStyle name="Input 143 3" xfId="48590" xr:uid="{00000000-0005-0000-0000-0000C7BD0000}"/>
    <cellStyle name="Input 143 3 2" xfId="48591" xr:uid="{00000000-0005-0000-0000-0000C8BD0000}"/>
    <cellStyle name="Input 143 3 3" xfId="48592" xr:uid="{00000000-0005-0000-0000-0000C9BD0000}"/>
    <cellStyle name="Input 143 4" xfId="48593" xr:uid="{00000000-0005-0000-0000-0000CABD0000}"/>
    <cellStyle name="Input 144" xfId="48594" xr:uid="{00000000-0005-0000-0000-0000CBBD0000}"/>
    <cellStyle name="Input 144 2" xfId="48595" xr:uid="{00000000-0005-0000-0000-0000CCBD0000}"/>
    <cellStyle name="Input 144 2 2" xfId="48596" xr:uid="{00000000-0005-0000-0000-0000CDBD0000}"/>
    <cellStyle name="Input 144 3" xfId="48597" xr:uid="{00000000-0005-0000-0000-0000CEBD0000}"/>
    <cellStyle name="Input 144 3 2" xfId="48598" xr:uid="{00000000-0005-0000-0000-0000CFBD0000}"/>
    <cellStyle name="Input 144 3 3" xfId="48599" xr:uid="{00000000-0005-0000-0000-0000D0BD0000}"/>
    <cellStyle name="Input 144 4" xfId="48600" xr:uid="{00000000-0005-0000-0000-0000D1BD0000}"/>
    <cellStyle name="Input 145" xfId="48601" xr:uid="{00000000-0005-0000-0000-0000D2BD0000}"/>
    <cellStyle name="Input 145 2" xfId="48602" xr:uid="{00000000-0005-0000-0000-0000D3BD0000}"/>
    <cellStyle name="Input 145 2 2" xfId="48603" xr:uid="{00000000-0005-0000-0000-0000D4BD0000}"/>
    <cellStyle name="Input 145 3" xfId="48604" xr:uid="{00000000-0005-0000-0000-0000D5BD0000}"/>
    <cellStyle name="Input 145 3 2" xfId="48605" xr:uid="{00000000-0005-0000-0000-0000D6BD0000}"/>
    <cellStyle name="Input 145 3 3" xfId="48606" xr:uid="{00000000-0005-0000-0000-0000D7BD0000}"/>
    <cellStyle name="Input 145 4" xfId="48607" xr:uid="{00000000-0005-0000-0000-0000D8BD0000}"/>
    <cellStyle name="Input 146" xfId="48608" xr:uid="{00000000-0005-0000-0000-0000D9BD0000}"/>
    <cellStyle name="Input 146 2" xfId="48609" xr:uid="{00000000-0005-0000-0000-0000DABD0000}"/>
    <cellStyle name="Input 146 2 2" xfId="48610" xr:uid="{00000000-0005-0000-0000-0000DBBD0000}"/>
    <cellStyle name="Input 146 3" xfId="48611" xr:uid="{00000000-0005-0000-0000-0000DCBD0000}"/>
    <cellStyle name="Input 146 3 2" xfId="48612" xr:uid="{00000000-0005-0000-0000-0000DDBD0000}"/>
    <cellStyle name="Input 146 3 3" xfId="48613" xr:uid="{00000000-0005-0000-0000-0000DEBD0000}"/>
    <cellStyle name="Input 146 4" xfId="48614" xr:uid="{00000000-0005-0000-0000-0000DFBD0000}"/>
    <cellStyle name="Input 147" xfId="48615" xr:uid="{00000000-0005-0000-0000-0000E0BD0000}"/>
    <cellStyle name="Input 147 2" xfId="48616" xr:uid="{00000000-0005-0000-0000-0000E1BD0000}"/>
    <cellStyle name="Input 147 2 2" xfId="48617" xr:uid="{00000000-0005-0000-0000-0000E2BD0000}"/>
    <cellStyle name="Input 147 3" xfId="48618" xr:uid="{00000000-0005-0000-0000-0000E3BD0000}"/>
    <cellStyle name="Input 147 3 2" xfId="48619" xr:uid="{00000000-0005-0000-0000-0000E4BD0000}"/>
    <cellStyle name="Input 147 3 3" xfId="48620" xr:uid="{00000000-0005-0000-0000-0000E5BD0000}"/>
    <cellStyle name="Input 147 4" xfId="48621" xr:uid="{00000000-0005-0000-0000-0000E6BD0000}"/>
    <cellStyle name="Input 148" xfId="48622" xr:uid="{00000000-0005-0000-0000-0000E7BD0000}"/>
    <cellStyle name="Input 148 2" xfId="48623" xr:uid="{00000000-0005-0000-0000-0000E8BD0000}"/>
    <cellStyle name="Input 148 2 2" xfId="48624" xr:uid="{00000000-0005-0000-0000-0000E9BD0000}"/>
    <cellStyle name="Input 148 3" xfId="48625" xr:uid="{00000000-0005-0000-0000-0000EABD0000}"/>
    <cellStyle name="Input 148 3 2" xfId="48626" xr:uid="{00000000-0005-0000-0000-0000EBBD0000}"/>
    <cellStyle name="Input 148 3 3" xfId="48627" xr:uid="{00000000-0005-0000-0000-0000ECBD0000}"/>
    <cellStyle name="Input 148 4" xfId="48628" xr:uid="{00000000-0005-0000-0000-0000EDBD0000}"/>
    <cellStyle name="Input 149" xfId="48629" xr:uid="{00000000-0005-0000-0000-0000EEBD0000}"/>
    <cellStyle name="Input 149 2" xfId="48630" xr:uid="{00000000-0005-0000-0000-0000EFBD0000}"/>
    <cellStyle name="Input 149 2 2" xfId="48631" xr:uid="{00000000-0005-0000-0000-0000F0BD0000}"/>
    <cellStyle name="Input 149 3" xfId="48632" xr:uid="{00000000-0005-0000-0000-0000F1BD0000}"/>
    <cellStyle name="Input 149 3 2" xfId="48633" xr:uid="{00000000-0005-0000-0000-0000F2BD0000}"/>
    <cellStyle name="Input 149 3 3" xfId="48634" xr:uid="{00000000-0005-0000-0000-0000F3BD0000}"/>
    <cellStyle name="Input 149 4" xfId="48635" xr:uid="{00000000-0005-0000-0000-0000F4BD0000}"/>
    <cellStyle name="Input 15" xfId="48636" xr:uid="{00000000-0005-0000-0000-0000F5BD0000}"/>
    <cellStyle name="Input 15 2" xfId="48637" xr:uid="{00000000-0005-0000-0000-0000F6BD0000}"/>
    <cellStyle name="Input 15 2 2" xfId="48638" xr:uid="{00000000-0005-0000-0000-0000F7BD0000}"/>
    <cellStyle name="Input 15 2 2 2" xfId="48639" xr:uid="{00000000-0005-0000-0000-0000F8BD0000}"/>
    <cellStyle name="Input 15 2 3" xfId="48640" xr:uid="{00000000-0005-0000-0000-0000F9BD0000}"/>
    <cellStyle name="Input 15 2 3 2" xfId="48641" xr:uid="{00000000-0005-0000-0000-0000FABD0000}"/>
    <cellStyle name="Input 15 2 3 3" xfId="48642" xr:uid="{00000000-0005-0000-0000-0000FBBD0000}"/>
    <cellStyle name="Input 15 2 4" xfId="48643" xr:uid="{00000000-0005-0000-0000-0000FCBD0000}"/>
    <cellStyle name="Input 15 2 5" xfId="48644" xr:uid="{00000000-0005-0000-0000-0000FDBD0000}"/>
    <cellStyle name="Input 15 3" xfId="48645" xr:uid="{00000000-0005-0000-0000-0000FEBD0000}"/>
    <cellStyle name="Input 15 3 2" xfId="48646" xr:uid="{00000000-0005-0000-0000-0000FFBD0000}"/>
    <cellStyle name="Input 15 3 3" xfId="48647" xr:uid="{00000000-0005-0000-0000-000000BE0000}"/>
    <cellStyle name="Input 15 4" xfId="48648" xr:uid="{00000000-0005-0000-0000-000001BE0000}"/>
    <cellStyle name="Input 15 5" xfId="48649" xr:uid="{00000000-0005-0000-0000-000002BE0000}"/>
    <cellStyle name="Input 150" xfId="48650" xr:uid="{00000000-0005-0000-0000-000003BE0000}"/>
    <cellStyle name="Input 150 2" xfId="48651" xr:uid="{00000000-0005-0000-0000-000004BE0000}"/>
    <cellStyle name="Input 150 2 2" xfId="48652" xr:uid="{00000000-0005-0000-0000-000005BE0000}"/>
    <cellStyle name="Input 150 3" xfId="48653" xr:uid="{00000000-0005-0000-0000-000006BE0000}"/>
    <cellStyle name="Input 150 3 2" xfId="48654" xr:uid="{00000000-0005-0000-0000-000007BE0000}"/>
    <cellStyle name="Input 150 3 3" xfId="48655" xr:uid="{00000000-0005-0000-0000-000008BE0000}"/>
    <cellStyle name="Input 150 4" xfId="48656" xr:uid="{00000000-0005-0000-0000-000009BE0000}"/>
    <cellStyle name="Input 151" xfId="48657" xr:uid="{00000000-0005-0000-0000-00000ABE0000}"/>
    <cellStyle name="Input 151 2" xfId="48658" xr:uid="{00000000-0005-0000-0000-00000BBE0000}"/>
    <cellStyle name="Input 151 2 2" xfId="48659" xr:uid="{00000000-0005-0000-0000-00000CBE0000}"/>
    <cellStyle name="Input 151 3" xfId="48660" xr:uid="{00000000-0005-0000-0000-00000DBE0000}"/>
    <cellStyle name="Input 151 3 2" xfId="48661" xr:uid="{00000000-0005-0000-0000-00000EBE0000}"/>
    <cellStyle name="Input 151 3 3" xfId="48662" xr:uid="{00000000-0005-0000-0000-00000FBE0000}"/>
    <cellStyle name="Input 151 4" xfId="48663" xr:uid="{00000000-0005-0000-0000-000010BE0000}"/>
    <cellStyle name="Input 152" xfId="48664" xr:uid="{00000000-0005-0000-0000-000011BE0000}"/>
    <cellStyle name="Input 152 2" xfId="48665" xr:uid="{00000000-0005-0000-0000-000012BE0000}"/>
    <cellStyle name="Input 152 2 2" xfId="48666" xr:uid="{00000000-0005-0000-0000-000013BE0000}"/>
    <cellStyle name="Input 152 3" xfId="48667" xr:uid="{00000000-0005-0000-0000-000014BE0000}"/>
    <cellStyle name="Input 152 3 2" xfId="48668" xr:uid="{00000000-0005-0000-0000-000015BE0000}"/>
    <cellStyle name="Input 152 3 3" xfId="48669" xr:uid="{00000000-0005-0000-0000-000016BE0000}"/>
    <cellStyle name="Input 152 4" xfId="48670" xr:uid="{00000000-0005-0000-0000-000017BE0000}"/>
    <cellStyle name="Input 153" xfId="48671" xr:uid="{00000000-0005-0000-0000-000018BE0000}"/>
    <cellStyle name="Input 153 2" xfId="48672" xr:uid="{00000000-0005-0000-0000-000019BE0000}"/>
    <cellStyle name="Input 153 2 2" xfId="48673" xr:uid="{00000000-0005-0000-0000-00001ABE0000}"/>
    <cellStyle name="Input 153 3" xfId="48674" xr:uid="{00000000-0005-0000-0000-00001BBE0000}"/>
    <cellStyle name="Input 153 3 2" xfId="48675" xr:uid="{00000000-0005-0000-0000-00001CBE0000}"/>
    <cellStyle name="Input 153 3 3" xfId="48676" xr:uid="{00000000-0005-0000-0000-00001DBE0000}"/>
    <cellStyle name="Input 153 4" xfId="48677" xr:uid="{00000000-0005-0000-0000-00001EBE0000}"/>
    <cellStyle name="Input 154" xfId="48678" xr:uid="{00000000-0005-0000-0000-00001FBE0000}"/>
    <cellStyle name="Input 154 2" xfId="48679" xr:uid="{00000000-0005-0000-0000-000020BE0000}"/>
    <cellStyle name="Input 154 2 2" xfId="48680" xr:uid="{00000000-0005-0000-0000-000021BE0000}"/>
    <cellStyle name="Input 154 3" xfId="48681" xr:uid="{00000000-0005-0000-0000-000022BE0000}"/>
    <cellStyle name="Input 154 3 2" xfId="48682" xr:uid="{00000000-0005-0000-0000-000023BE0000}"/>
    <cellStyle name="Input 154 3 3" xfId="48683" xr:uid="{00000000-0005-0000-0000-000024BE0000}"/>
    <cellStyle name="Input 154 4" xfId="48684" xr:uid="{00000000-0005-0000-0000-000025BE0000}"/>
    <cellStyle name="Input 155" xfId="48685" xr:uid="{00000000-0005-0000-0000-000026BE0000}"/>
    <cellStyle name="Input 155 2" xfId="48686" xr:uid="{00000000-0005-0000-0000-000027BE0000}"/>
    <cellStyle name="Input 155 2 2" xfId="48687" xr:uid="{00000000-0005-0000-0000-000028BE0000}"/>
    <cellStyle name="Input 155 3" xfId="48688" xr:uid="{00000000-0005-0000-0000-000029BE0000}"/>
    <cellStyle name="Input 155 3 2" xfId="48689" xr:uid="{00000000-0005-0000-0000-00002ABE0000}"/>
    <cellStyle name="Input 155 3 3" xfId="48690" xr:uid="{00000000-0005-0000-0000-00002BBE0000}"/>
    <cellStyle name="Input 155 4" xfId="48691" xr:uid="{00000000-0005-0000-0000-00002CBE0000}"/>
    <cellStyle name="Input 156" xfId="48692" xr:uid="{00000000-0005-0000-0000-00002DBE0000}"/>
    <cellStyle name="Input 156 2" xfId="48693" xr:uid="{00000000-0005-0000-0000-00002EBE0000}"/>
    <cellStyle name="Input 156 2 2" xfId="48694" xr:uid="{00000000-0005-0000-0000-00002FBE0000}"/>
    <cellStyle name="Input 156 3" xfId="48695" xr:uid="{00000000-0005-0000-0000-000030BE0000}"/>
    <cellStyle name="Input 156 3 2" xfId="48696" xr:uid="{00000000-0005-0000-0000-000031BE0000}"/>
    <cellStyle name="Input 156 3 3" xfId="48697" xr:uid="{00000000-0005-0000-0000-000032BE0000}"/>
    <cellStyle name="Input 156 4" xfId="48698" xr:uid="{00000000-0005-0000-0000-000033BE0000}"/>
    <cellStyle name="Input 157" xfId="48699" xr:uid="{00000000-0005-0000-0000-000034BE0000}"/>
    <cellStyle name="Input 157 2" xfId="48700" xr:uid="{00000000-0005-0000-0000-000035BE0000}"/>
    <cellStyle name="Input 157 2 2" xfId="48701" xr:uid="{00000000-0005-0000-0000-000036BE0000}"/>
    <cellStyle name="Input 157 3" xfId="48702" xr:uid="{00000000-0005-0000-0000-000037BE0000}"/>
    <cellStyle name="Input 157 3 2" xfId="48703" xr:uid="{00000000-0005-0000-0000-000038BE0000}"/>
    <cellStyle name="Input 157 3 3" xfId="48704" xr:uid="{00000000-0005-0000-0000-000039BE0000}"/>
    <cellStyle name="Input 157 4" xfId="48705" xr:uid="{00000000-0005-0000-0000-00003ABE0000}"/>
    <cellStyle name="Input 158" xfId="48706" xr:uid="{00000000-0005-0000-0000-00003BBE0000}"/>
    <cellStyle name="Input 158 2" xfId="48707" xr:uid="{00000000-0005-0000-0000-00003CBE0000}"/>
    <cellStyle name="Input 158 2 2" xfId="48708" xr:uid="{00000000-0005-0000-0000-00003DBE0000}"/>
    <cellStyle name="Input 158 3" xfId="48709" xr:uid="{00000000-0005-0000-0000-00003EBE0000}"/>
    <cellStyle name="Input 158 3 2" xfId="48710" xr:uid="{00000000-0005-0000-0000-00003FBE0000}"/>
    <cellStyle name="Input 158 3 3" xfId="48711" xr:uid="{00000000-0005-0000-0000-000040BE0000}"/>
    <cellStyle name="Input 158 4" xfId="48712" xr:uid="{00000000-0005-0000-0000-000041BE0000}"/>
    <cellStyle name="Input 159" xfId="48713" xr:uid="{00000000-0005-0000-0000-000042BE0000}"/>
    <cellStyle name="Input 159 2" xfId="48714" xr:uid="{00000000-0005-0000-0000-000043BE0000}"/>
    <cellStyle name="Input 16" xfId="48715" xr:uid="{00000000-0005-0000-0000-000044BE0000}"/>
    <cellStyle name="Input 16 2" xfId="48716" xr:uid="{00000000-0005-0000-0000-000045BE0000}"/>
    <cellStyle name="Input 16 2 2" xfId="48717" xr:uid="{00000000-0005-0000-0000-000046BE0000}"/>
    <cellStyle name="Input 16 2 2 2" xfId="48718" xr:uid="{00000000-0005-0000-0000-000047BE0000}"/>
    <cellStyle name="Input 16 2 3" xfId="48719" xr:uid="{00000000-0005-0000-0000-000048BE0000}"/>
    <cellStyle name="Input 16 2 3 2" xfId="48720" xr:uid="{00000000-0005-0000-0000-000049BE0000}"/>
    <cellStyle name="Input 16 2 3 3" xfId="48721" xr:uid="{00000000-0005-0000-0000-00004ABE0000}"/>
    <cellStyle name="Input 16 2 4" xfId="48722" xr:uid="{00000000-0005-0000-0000-00004BBE0000}"/>
    <cellStyle name="Input 16 2 5" xfId="48723" xr:uid="{00000000-0005-0000-0000-00004CBE0000}"/>
    <cellStyle name="Input 16 3" xfId="48724" xr:uid="{00000000-0005-0000-0000-00004DBE0000}"/>
    <cellStyle name="Input 16 3 2" xfId="48725" xr:uid="{00000000-0005-0000-0000-00004EBE0000}"/>
    <cellStyle name="Input 16 3 3" xfId="48726" xr:uid="{00000000-0005-0000-0000-00004FBE0000}"/>
    <cellStyle name="Input 16 4" xfId="48727" xr:uid="{00000000-0005-0000-0000-000050BE0000}"/>
    <cellStyle name="Input 16 5" xfId="48728" xr:uid="{00000000-0005-0000-0000-000051BE0000}"/>
    <cellStyle name="Input 160" xfId="48729" xr:uid="{00000000-0005-0000-0000-000052BE0000}"/>
    <cellStyle name="Input 160 2" xfId="48730" xr:uid="{00000000-0005-0000-0000-000053BE0000}"/>
    <cellStyle name="Input 161" xfId="48731" xr:uid="{00000000-0005-0000-0000-000054BE0000}"/>
    <cellStyle name="Input 161 2" xfId="48732" xr:uid="{00000000-0005-0000-0000-000055BE0000}"/>
    <cellStyle name="Input 162" xfId="48733" xr:uid="{00000000-0005-0000-0000-000056BE0000}"/>
    <cellStyle name="Input 162 2" xfId="48734" xr:uid="{00000000-0005-0000-0000-000057BE0000}"/>
    <cellStyle name="Input 163" xfId="48735" xr:uid="{00000000-0005-0000-0000-000058BE0000}"/>
    <cellStyle name="Input 163 2" xfId="48736" xr:uid="{00000000-0005-0000-0000-000059BE0000}"/>
    <cellStyle name="Input 164" xfId="48737" xr:uid="{00000000-0005-0000-0000-00005ABE0000}"/>
    <cellStyle name="Input 164 2" xfId="48738" xr:uid="{00000000-0005-0000-0000-00005BBE0000}"/>
    <cellStyle name="Input 165" xfId="48739" xr:uid="{00000000-0005-0000-0000-00005CBE0000}"/>
    <cellStyle name="Input 165 2" xfId="48740" xr:uid="{00000000-0005-0000-0000-00005DBE0000}"/>
    <cellStyle name="Input 166" xfId="48741" xr:uid="{00000000-0005-0000-0000-00005EBE0000}"/>
    <cellStyle name="Input 166 2" xfId="48742" xr:uid="{00000000-0005-0000-0000-00005FBE0000}"/>
    <cellStyle name="Input 167" xfId="48743" xr:uid="{00000000-0005-0000-0000-000060BE0000}"/>
    <cellStyle name="Input 167 2" xfId="48744" xr:uid="{00000000-0005-0000-0000-000061BE0000}"/>
    <cellStyle name="Input 168" xfId="48745" xr:uid="{00000000-0005-0000-0000-000062BE0000}"/>
    <cellStyle name="Input 168 2" xfId="48746" xr:uid="{00000000-0005-0000-0000-000063BE0000}"/>
    <cellStyle name="Input 169" xfId="48747" xr:uid="{00000000-0005-0000-0000-000064BE0000}"/>
    <cellStyle name="Input 169 2" xfId="48748" xr:uid="{00000000-0005-0000-0000-000065BE0000}"/>
    <cellStyle name="Input 17" xfId="48749" xr:uid="{00000000-0005-0000-0000-000066BE0000}"/>
    <cellStyle name="Input 17 2" xfId="48750" xr:uid="{00000000-0005-0000-0000-000067BE0000}"/>
    <cellStyle name="Input 17 2 2" xfId="48751" xr:uid="{00000000-0005-0000-0000-000068BE0000}"/>
    <cellStyle name="Input 17 2 2 2" xfId="48752" xr:uid="{00000000-0005-0000-0000-000069BE0000}"/>
    <cellStyle name="Input 17 2 3" xfId="48753" xr:uid="{00000000-0005-0000-0000-00006ABE0000}"/>
    <cellStyle name="Input 17 2 3 2" xfId="48754" xr:uid="{00000000-0005-0000-0000-00006BBE0000}"/>
    <cellStyle name="Input 17 2 3 3" xfId="48755" xr:uid="{00000000-0005-0000-0000-00006CBE0000}"/>
    <cellStyle name="Input 17 2 4" xfId="48756" xr:uid="{00000000-0005-0000-0000-00006DBE0000}"/>
    <cellStyle name="Input 17 2 5" xfId="48757" xr:uid="{00000000-0005-0000-0000-00006EBE0000}"/>
    <cellStyle name="Input 17 3" xfId="48758" xr:uid="{00000000-0005-0000-0000-00006FBE0000}"/>
    <cellStyle name="Input 17 3 2" xfId="48759" xr:uid="{00000000-0005-0000-0000-000070BE0000}"/>
    <cellStyle name="Input 17 3 3" xfId="48760" xr:uid="{00000000-0005-0000-0000-000071BE0000}"/>
    <cellStyle name="Input 17 4" xfId="48761" xr:uid="{00000000-0005-0000-0000-000072BE0000}"/>
    <cellStyle name="Input 17 5" xfId="48762" xr:uid="{00000000-0005-0000-0000-000073BE0000}"/>
    <cellStyle name="Input 170" xfId="48763" xr:uid="{00000000-0005-0000-0000-000074BE0000}"/>
    <cellStyle name="Input 170 2" xfId="48764" xr:uid="{00000000-0005-0000-0000-000075BE0000}"/>
    <cellStyle name="Input 171" xfId="48765" xr:uid="{00000000-0005-0000-0000-000076BE0000}"/>
    <cellStyle name="Input 171 2" xfId="48766" xr:uid="{00000000-0005-0000-0000-000077BE0000}"/>
    <cellStyle name="Input 172" xfId="48767" xr:uid="{00000000-0005-0000-0000-000078BE0000}"/>
    <cellStyle name="Input 172 2" xfId="48768" xr:uid="{00000000-0005-0000-0000-000079BE0000}"/>
    <cellStyle name="Input 173" xfId="48769" xr:uid="{00000000-0005-0000-0000-00007ABE0000}"/>
    <cellStyle name="Input 173 2" xfId="48770" xr:uid="{00000000-0005-0000-0000-00007BBE0000}"/>
    <cellStyle name="Input 174" xfId="48771" xr:uid="{00000000-0005-0000-0000-00007CBE0000}"/>
    <cellStyle name="Input 174 2" xfId="48772" xr:uid="{00000000-0005-0000-0000-00007DBE0000}"/>
    <cellStyle name="Input 175" xfId="48773" xr:uid="{00000000-0005-0000-0000-00007EBE0000}"/>
    <cellStyle name="Input 175 2" xfId="48774" xr:uid="{00000000-0005-0000-0000-00007FBE0000}"/>
    <cellStyle name="Input 176" xfId="48775" xr:uid="{00000000-0005-0000-0000-000080BE0000}"/>
    <cellStyle name="Input 176 2" xfId="48776" xr:uid="{00000000-0005-0000-0000-000081BE0000}"/>
    <cellStyle name="Input 177" xfId="48777" xr:uid="{00000000-0005-0000-0000-000082BE0000}"/>
    <cellStyle name="Input 177 2" xfId="48778" xr:uid="{00000000-0005-0000-0000-000083BE0000}"/>
    <cellStyle name="Input 178" xfId="48779" xr:uid="{00000000-0005-0000-0000-000084BE0000}"/>
    <cellStyle name="Input 178 2" xfId="48780" xr:uid="{00000000-0005-0000-0000-000085BE0000}"/>
    <cellStyle name="Input 179" xfId="48781" xr:uid="{00000000-0005-0000-0000-000086BE0000}"/>
    <cellStyle name="Input 179 2" xfId="48782" xr:uid="{00000000-0005-0000-0000-000087BE0000}"/>
    <cellStyle name="Input 18" xfId="48783" xr:uid="{00000000-0005-0000-0000-000088BE0000}"/>
    <cellStyle name="Input 18 2" xfId="48784" xr:uid="{00000000-0005-0000-0000-000089BE0000}"/>
    <cellStyle name="Input 18 2 2" xfId="48785" xr:uid="{00000000-0005-0000-0000-00008ABE0000}"/>
    <cellStyle name="Input 18 2 2 2" xfId="48786" xr:uid="{00000000-0005-0000-0000-00008BBE0000}"/>
    <cellStyle name="Input 18 2 3" xfId="48787" xr:uid="{00000000-0005-0000-0000-00008CBE0000}"/>
    <cellStyle name="Input 18 2 3 2" xfId="48788" xr:uid="{00000000-0005-0000-0000-00008DBE0000}"/>
    <cellStyle name="Input 18 2 3 3" xfId="48789" xr:uid="{00000000-0005-0000-0000-00008EBE0000}"/>
    <cellStyle name="Input 18 2 4" xfId="48790" xr:uid="{00000000-0005-0000-0000-00008FBE0000}"/>
    <cellStyle name="Input 18 2 5" xfId="48791" xr:uid="{00000000-0005-0000-0000-000090BE0000}"/>
    <cellStyle name="Input 18 3" xfId="48792" xr:uid="{00000000-0005-0000-0000-000091BE0000}"/>
    <cellStyle name="Input 18 3 2" xfId="48793" xr:uid="{00000000-0005-0000-0000-000092BE0000}"/>
    <cellStyle name="Input 18 3 3" xfId="48794" xr:uid="{00000000-0005-0000-0000-000093BE0000}"/>
    <cellStyle name="Input 18 4" xfId="48795" xr:uid="{00000000-0005-0000-0000-000094BE0000}"/>
    <cellStyle name="Input 18 5" xfId="48796" xr:uid="{00000000-0005-0000-0000-000095BE0000}"/>
    <cellStyle name="Input 180" xfId="48797" xr:uid="{00000000-0005-0000-0000-000096BE0000}"/>
    <cellStyle name="Input 180 2" xfId="48798" xr:uid="{00000000-0005-0000-0000-000097BE0000}"/>
    <cellStyle name="Input 181" xfId="48799" xr:uid="{00000000-0005-0000-0000-000098BE0000}"/>
    <cellStyle name="Input 181 2" xfId="48800" xr:uid="{00000000-0005-0000-0000-000099BE0000}"/>
    <cellStyle name="Input 182" xfId="48801" xr:uid="{00000000-0005-0000-0000-00009ABE0000}"/>
    <cellStyle name="Input 182 2" xfId="48802" xr:uid="{00000000-0005-0000-0000-00009BBE0000}"/>
    <cellStyle name="Input 183" xfId="48803" xr:uid="{00000000-0005-0000-0000-00009CBE0000}"/>
    <cellStyle name="Input 183 2" xfId="48804" xr:uid="{00000000-0005-0000-0000-00009DBE0000}"/>
    <cellStyle name="Input 184" xfId="48805" xr:uid="{00000000-0005-0000-0000-00009EBE0000}"/>
    <cellStyle name="Input 184 2" xfId="48806" xr:uid="{00000000-0005-0000-0000-00009FBE0000}"/>
    <cellStyle name="Input 185" xfId="48807" xr:uid="{00000000-0005-0000-0000-0000A0BE0000}"/>
    <cellStyle name="Input 185 2" xfId="48808" xr:uid="{00000000-0005-0000-0000-0000A1BE0000}"/>
    <cellStyle name="Input 186" xfId="48809" xr:uid="{00000000-0005-0000-0000-0000A2BE0000}"/>
    <cellStyle name="Input 186 2" xfId="48810" xr:uid="{00000000-0005-0000-0000-0000A3BE0000}"/>
    <cellStyle name="Input 187" xfId="48811" xr:uid="{00000000-0005-0000-0000-0000A4BE0000}"/>
    <cellStyle name="Input 187 2" xfId="48812" xr:uid="{00000000-0005-0000-0000-0000A5BE0000}"/>
    <cellStyle name="Input 188" xfId="48813" xr:uid="{00000000-0005-0000-0000-0000A6BE0000}"/>
    <cellStyle name="Input 188 2" xfId="48814" xr:uid="{00000000-0005-0000-0000-0000A7BE0000}"/>
    <cellStyle name="Input 189" xfId="48815" xr:uid="{00000000-0005-0000-0000-0000A8BE0000}"/>
    <cellStyle name="Input 189 2" xfId="48816" xr:uid="{00000000-0005-0000-0000-0000A9BE0000}"/>
    <cellStyle name="Input 19" xfId="48817" xr:uid="{00000000-0005-0000-0000-0000AABE0000}"/>
    <cellStyle name="Input 19 2" xfId="48818" xr:uid="{00000000-0005-0000-0000-0000ABBE0000}"/>
    <cellStyle name="Input 19 2 2" xfId="48819" xr:uid="{00000000-0005-0000-0000-0000ACBE0000}"/>
    <cellStyle name="Input 19 2 2 2" xfId="48820" xr:uid="{00000000-0005-0000-0000-0000ADBE0000}"/>
    <cellStyle name="Input 19 2 3" xfId="48821" xr:uid="{00000000-0005-0000-0000-0000AEBE0000}"/>
    <cellStyle name="Input 19 2 3 2" xfId="48822" xr:uid="{00000000-0005-0000-0000-0000AFBE0000}"/>
    <cellStyle name="Input 19 2 3 3" xfId="48823" xr:uid="{00000000-0005-0000-0000-0000B0BE0000}"/>
    <cellStyle name="Input 19 2 4" xfId="48824" xr:uid="{00000000-0005-0000-0000-0000B1BE0000}"/>
    <cellStyle name="Input 19 2 5" xfId="48825" xr:uid="{00000000-0005-0000-0000-0000B2BE0000}"/>
    <cellStyle name="Input 19 3" xfId="48826" xr:uid="{00000000-0005-0000-0000-0000B3BE0000}"/>
    <cellStyle name="Input 19 3 2" xfId="48827" xr:uid="{00000000-0005-0000-0000-0000B4BE0000}"/>
    <cellStyle name="Input 19 3 3" xfId="48828" xr:uid="{00000000-0005-0000-0000-0000B5BE0000}"/>
    <cellStyle name="Input 19 4" xfId="48829" xr:uid="{00000000-0005-0000-0000-0000B6BE0000}"/>
    <cellStyle name="Input 19 5" xfId="48830" xr:uid="{00000000-0005-0000-0000-0000B7BE0000}"/>
    <cellStyle name="Input 190" xfId="48831" xr:uid="{00000000-0005-0000-0000-0000B8BE0000}"/>
    <cellStyle name="Input 190 2" xfId="48832" xr:uid="{00000000-0005-0000-0000-0000B9BE0000}"/>
    <cellStyle name="Input 191" xfId="48833" xr:uid="{00000000-0005-0000-0000-0000BABE0000}"/>
    <cellStyle name="Input 191 2" xfId="48834" xr:uid="{00000000-0005-0000-0000-0000BBBE0000}"/>
    <cellStyle name="Input 192" xfId="48835" xr:uid="{00000000-0005-0000-0000-0000BCBE0000}"/>
    <cellStyle name="Input 192 2" xfId="48836" xr:uid="{00000000-0005-0000-0000-0000BDBE0000}"/>
    <cellStyle name="Input 193" xfId="48837" xr:uid="{00000000-0005-0000-0000-0000BEBE0000}"/>
    <cellStyle name="Input 193 2" xfId="48838" xr:uid="{00000000-0005-0000-0000-0000BFBE0000}"/>
    <cellStyle name="Input 194" xfId="48839" xr:uid="{00000000-0005-0000-0000-0000C0BE0000}"/>
    <cellStyle name="Input 194 2" xfId="48840" xr:uid="{00000000-0005-0000-0000-0000C1BE0000}"/>
    <cellStyle name="Input 195" xfId="48841" xr:uid="{00000000-0005-0000-0000-0000C2BE0000}"/>
    <cellStyle name="Input 195 2" xfId="48842" xr:uid="{00000000-0005-0000-0000-0000C3BE0000}"/>
    <cellStyle name="Input 196" xfId="48843" xr:uid="{00000000-0005-0000-0000-0000C4BE0000}"/>
    <cellStyle name="Input 196 2" xfId="48844" xr:uid="{00000000-0005-0000-0000-0000C5BE0000}"/>
    <cellStyle name="Input 197" xfId="48845" xr:uid="{00000000-0005-0000-0000-0000C6BE0000}"/>
    <cellStyle name="Input 197 2" xfId="48846" xr:uid="{00000000-0005-0000-0000-0000C7BE0000}"/>
    <cellStyle name="Input 198" xfId="48847" xr:uid="{00000000-0005-0000-0000-0000C8BE0000}"/>
    <cellStyle name="Input 198 2" xfId="48848" xr:uid="{00000000-0005-0000-0000-0000C9BE0000}"/>
    <cellStyle name="Input 2" xfId="48849" xr:uid="{00000000-0005-0000-0000-0000CABE0000}"/>
    <cellStyle name="Input 2 2" xfId="48850" xr:uid="{00000000-0005-0000-0000-0000CBBE0000}"/>
    <cellStyle name="Input 2 2 2" xfId="48851" xr:uid="{00000000-0005-0000-0000-0000CCBE0000}"/>
    <cellStyle name="Input 2 2 2 2" xfId="48852" xr:uid="{00000000-0005-0000-0000-0000CDBE0000}"/>
    <cellStyle name="Input 2 2 2 2 2" xfId="48853" xr:uid="{00000000-0005-0000-0000-0000CEBE0000}"/>
    <cellStyle name="Input 2 2 2 2 2 2" xfId="48854" xr:uid="{00000000-0005-0000-0000-0000CFBE0000}"/>
    <cellStyle name="Input 2 2 2 2 3" xfId="48855" xr:uid="{00000000-0005-0000-0000-0000D0BE0000}"/>
    <cellStyle name="Input 2 2 2 2 4" xfId="48856" xr:uid="{00000000-0005-0000-0000-0000D1BE0000}"/>
    <cellStyle name="Input 2 2 2 3" xfId="48857" xr:uid="{00000000-0005-0000-0000-0000D2BE0000}"/>
    <cellStyle name="Input 2 2 3" xfId="48858" xr:uid="{00000000-0005-0000-0000-0000D3BE0000}"/>
    <cellStyle name="Input 2 2 3 2" xfId="48859" xr:uid="{00000000-0005-0000-0000-0000D4BE0000}"/>
    <cellStyle name="Input 2 2 4" xfId="48860" xr:uid="{00000000-0005-0000-0000-0000D5BE0000}"/>
    <cellStyle name="Input 2 2 4 2" xfId="48861" xr:uid="{00000000-0005-0000-0000-0000D6BE0000}"/>
    <cellStyle name="Input 2 2 5" xfId="48862" xr:uid="{00000000-0005-0000-0000-0000D7BE0000}"/>
    <cellStyle name="Input 2 2 5 2" xfId="48863" xr:uid="{00000000-0005-0000-0000-0000D8BE0000}"/>
    <cellStyle name="Input 2 2 6" xfId="48864" xr:uid="{00000000-0005-0000-0000-0000D9BE0000}"/>
    <cellStyle name="Input 2 2 6 2" xfId="48865" xr:uid="{00000000-0005-0000-0000-0000DABE0000}"/>
    <cellStyle name="Input 2 2 6 3" xfId="48866" xr:uid="{00000000-0005-0000-0000-0000DBBE0000}"/>
    <cellStyle name="Input 2 3" xfId="48867" xr:uid="{00000000-0005-0000-0000-0000DCBE0000}"/>
    <cellStyle name="Input 2 4" xfId="48868" xr:uid="{00000000-0005-0000-0000-0000DDBE0000}"/>
    <cellStyle name="Input 2 5" xfId="48869" xr:uid="{00000000-0005-0000-0000-0000DEBE0000}"/>
    <cellStyle name="Input 2 5 2" xfId="48870" xr:uid="{00000000-0005-0000-0000-0000DFBE0000}"/>
    <cellStyle name="Input 2 6" xfId="48871" xr:uid="{00000000-0005-0000-0000-0000E0BE0000}"/>
    <cellStyle name="Input 2 6 2" xfId="48872" xr:uid="{00000000-0005-0000-0000-0000E1BE0000}"/>
    <cellStyle name="Input 2 6 3" xfId="48873" xr:uid="{00000000-0005-0000-0000-0000E2BE0000}"/>
    <cellStyle name="Input 2 7" xfId="48874" xr:uid="{00000000-0005-0000-0000-0000E3BE0000}"/>
    <cellStyle name="Input 2 8" xfId="48875" xr:uid="{00000000-0005-0000-0000-0000E4BE0000}"/>
    <cellStyle name="Input 20" xfId="48876" xr:uid="{00000000-0005-0000-0000-0000E5BE0000}"/>
    <cellStyle name="Input 20 2" xfId="48877" xr:uid="{00000000-0005-0000-0000-0000E6BE0000}"/>
    <cellStyle name="Input 20 2 2" xfId="48878" xr:uid="{00000000-0005-0000-0000-0000E7BE0000}"/>
    <cellStyle name="Input 20 2 2 2" xfId="48879" xr:uid="{00000000-0005-0000-0000-0000E8BE0000}"/>
    <cellStyle name="Input 20 2 3" xfId="48880" xr:uid="{00000000-0005-0000-0000-0000E9BE0000}"/>
    <cellStyle name="Input 20 2 3 2" xfId="48881" xr:uid="{00000000-0005-0000-0000-0000EABE0000}"/>
    <cellStyle name="Input 20 2 3 3" xfId="48882" xr:uid="{00000000-0005-0000-0000-0000EBBE0000}"/>
    <cellStyle name="Input 20 2 4" xfId="48883" xr:uid="{00000000-0005-0000-0000-0000ECBE0000}"/>
    <cellStyle name="Input 20 2 5" xfId="48884" xr:uid="{00000000-0005-0000-0000-0000EDBE0000}"/>
    <cellStyle name="Input 20 3" xfId="48885" xr:uid="{00000000-0005-0000-0000-0000EEBE0000}"/>
    <cellStyle name="Input 20 3 2" xfId="48886" xr:uid="{00000000-0005-0000-0000-0000EFBE0000}"/>
    <cellStyle name="Input 20 3 3" xfId="48887" xr:uid="{00000000-0005-0000-0000-0000F0BE0000}"/>
    <cellStyle name="Input 20 4" xfId="48888" xr:uid="{00000000-0005-0000-0000-0000F1BE0000}"/>
    <cellStyle name="Input 20 5" xfId="48889" xr:uid="{00000000-0005-0000-0000-0000F2BE0000}"/>
    <cellStyle name="Input 21" xfId="48890" xr:uid="{00000000-0005-0000-0000-0000F3BE0000}"/>
    <cellStyle name="Input 21 2" xfId="48891" xr:uid="{00000000-0005-0000-0000-0000F4BE0000}"/>
    <cellStyle name="Input 21 2 2" xfId="48892" xr:uid="{00000000-0005-0000-0000-0000F5BE0000}"/>
    <cellStyle name="Input 21 2 2 2" xfId="48893" xr:uid="{00000000-0005-0000-0000-0000F6BE0000}"/>
    <cellStyle name="Input 21 2 3" xfId="48894" xr:uid="{00000000-0005-0000-0000-0000F7BE0000}"/>
    <cellStyle name="Input 21 2 3 2" xfId="48895" xr:uid="{00000000-0005-0000-0000-0000F8BE0000}"/>
    <cellStyle name="Input 21 2 3 3" xfId="48896" xr:uid="{00000000-0005-0000-0000-0000F9BE0000}"/>
    <cellStyle name="Input 21 2 4" xfId="48897" xr:uid="{00000000-0005-0000-0000-0000FABE0000}"/>
    <cellStyle name="Input 21 2 5" xfId="48898" xr:uid="{00000000-0005-0000-0000-0000FBBE0000}"/>
    <cellStyle name="Input 21 3" xfId="48899" xr:uid="{00000000-0005-0000-0000-0000FCBE0000}"/>
    <cellStyle name="Input 21 3 2" xfId="48900" xr:uid="{00000000-0005-0000-0000-0000FDBE0000}"/>
    <cellStyle name="Input 21 3 3" xfId="48901" xr:uid="{00000000-0005-0000-0000-0000FEBE0000}"/>
    <cellStyle name="Input 21 4" xfId="48902" xr:uid="{00000000-0005-0000-0000-0000FFBE0000}"/>
    <cellStyle name="Input 21 5" xfId="48903" xr:uid="{00000000-0005-0000-0000-000000BF0000}"/>
    <cellStyle name="Input 22" xfId="48904" xr:uid="{00000000-0005-0000-0000-000001BF0000}"/>
    <cellStyle name="Input 22 2" xfId="48905" xr:uid="{00000000-0005-0000-0000-000002BF0000}"/>
    <cellStyle name="Input 22 2 2" xfId="48906" xr:uid="{00000000-0005-0000-0000-000003BF0000}"/>
    <cellStyle name="Input 22 2 2 2" xfId="48907" xr:uid="{00000000-0005-0000-0000-000004BF0000}"/>
    <cellStyle name="Input 22 2 3" xfId="48908" xr:uid="{00000000-0005-0000-0000-000005BF0000}"/>
    <cellStyle name="Input 22 2 3 2" xfId="48909" xr:uid="{00000000-0005-0000-0000-000006BF0000}"/>
    <cellStyle name="Input 22 2 3 3" xfId="48910" xr:uid="{00000000-0005-0000-0000-000007BF0000}"/>
    <cellStyle name="Input 22 2 4" xfId="48911" xr:uid="{00000000-0005-0000-0000-000008BF0000}"/>
    <cellStyle name="Input 22 2 5" xfId="48912" xr:uid="{00000000-0005-0000-0000-000009BF0000}"/>
    <cellStyle name="Input 22 3" xfId="48913" xr:uid="{00000000-0005-0000-0000-00000ABF0000}"/>
    <cellStyle name="Input 22 3 2" xfId="48914" xr:uid="{00000000-0005-0000-0000-00000BBF0000}"/>
    <cellStyle name="Input 22 3 3" xfId="48915" xr:uid="{00000000-0005-0000-0000-00000CBF0000}"/>
    <cellStyle name="Input 22 4" xfId="48916" xr:uid="{00000000-0005-0000-0000-00000DBF0000}"/>
    <cellStyle name="Input 22 5" xfId="48917" xr:uid="{00000000-0005-0000-0000-00000EBF0000}"/>
    <cellStyle name="Input 23" xfId="48918" xr:uid="{00000000-0005-0000-0000-00000FBF0000}"/>
    <cellStyle name="Input 23 2" xfId="48919" xr:uid="{00000000-0005-0000-0000-000010BF0000}"/>
    <cellStyle name="Input 23 2 2" xfId="48920" xr:uid="{00000000-0005-0000-0000-000011BF0000}"/>
    <cellStyle name="Input 23 2 2 2" xfId="48921" xr:uid="{00000000-0005-0000-0000-000012BF0000}"/>
    <cellStyle name="Input 23 2 3" xfId="48922" xr:uid="{00000000-0005-0000-0000-000013BF0000}"/>
    <cellStyle name="Input 23 2 3 2" xfId="48923" xr:uid="{00000000-0005-0000-0000-000014BF0000}"/>
    <cellStyle name="Input 23 2 3 3" xfId="48924" xr:uid="{00000000-0005-0000-0000-000015BF0000}"/>
    <cellStyle name="Input 23 2 4" xfId="48925" xr:uid="{00000000-0005-0000-0000-000016BF0000}"/>
    <cellStyle name="Input 23 2 5" xfId="48926" xr:uid="{00000000-0005-0000-0000-000017BF0000}"/>
    <cellStyle name="Input 23 3" xfId="48927" xr:uid="{00000000-0005-0000-0000-000018BF0000}"/>
    <cellStyle name="Input 23 3 2" xfId="48928" xr:uid="{00000000-0005-0000-0000-000019BF0000}"/>
    <cellStyle name="Input 23 3 3" xfId="48929" xr:uid="{00000000-0005-0000-0000-00001ABF0000}"/>
    <cellStyle name="Input 23 4" xfId="48930" xr:uid="{00000000-0005-0000-0000-00001BBF0000}"/>
    <cellStyle name="Input 23 5" xfId="48931" xr:uid="{00000000-0005-0000-0000-00001CBF0000}"/>
    <cellStyle name="Input 24" xfId="48932" xr:uid="{00000000-0005-0000-0000-00001DBF0000}"/>
    <cellStyle name="Input 24 2" xfId="48933" xr:uid="{00000000-0005-0000-0000-00001EBF0000}"/>
    <cellStyle name="Input 24 2 2" xfId="48934" xr:uid="{00000000-0005-0000-0000-00001FBF0000}"/>
    <cellStyle name="Input 24 2 2 2" xfId="48935" xr:uid="{00000000-0005-0000-0000-000020BF0000}"/>
    <cellStyle name="Input 24 2 3" xfId="48936" xr:uid="{00000000-0005-0000-0000-000021BF0000}"/>
    <cellStyle name="Input 24 2 3 2" xfId="48937" xr:uid="{00000000-0005-0000-0000-000022BF0000}"/>
    <cellStyle name="Input 24 2 3 3" xfId="48938" xr:uid="{00000000-0005-0000-0000-000023BF0000}"/>
    <cellStyle name="Input 24 2 4" xfId="48939" xr:uid="{00000000-0005-0000-0000-000024BF0000}"/>
    <cellStyle name="Input 24 2 5" xfId="48940" xr:uid="{00000000-0005-0000-0000-000025BF0000}"/>
    <cellStyle name="Input 24 3" xfId="48941" xr:uid="{00000000-0005-0000-0000-000026BF0000}"/>
    <cellStyle name="Input 24 3 2" xfId="48942" xr:uid="{00000000-0005-0000-0000-000027BF0000}"/>
    <cellStyle name="Input 24 3 3" xfId="48943" xr:uid="{00000000-0005-0000-0000-000028BF0000}"/>
    <cellStyle name="Input 24 4" xfId="48944" xr:uid="{00000000-0005-0000-0000-000029BF0000}"/>
    <cellStyle name="Input 24 5" xfId="48945" xr:uid="{00000000-0005-0000-0000-00002ABF0000}"/>
    <cellStyle name="Input 25" xfId="48946" xr:uid="{00000000-0005-0000-0000-00002BBF0000}"/>
    <cellStyle name="Input 25 2" xfId="48947" xr:uid="{00000000-0005-0000-0000-00002CBF0000}"/>
    <cellStyle name="Input 25 2 2" xfId="48948" xr:uid="{00000000-0005-0000-0000-00002DBF0000}"/>
    <cellStyle name="Input 25 2 2 2" xfId="48949" xr:uid="{00000000-0005-0000-0000-00002EBF0000}"/>
    <cellStyle name="Input 25 2 3" xfId="48950" xr:uid="{00000000-0005-0000-0000-00002FBF0000}"/>
    <cellStyle name="Input 25 2 3 2" xfId="48951" xr:uid="{00000000-0005-0000-0000-000030BF0000}"/>
    <cellStyle name="Input 25 2 3 3" xfId="48952" xr:uid="{00000000-0005-0000-0000-000031BF0000}"/>
    <cellStyle name="Input 25 2 4" xfId="48953" xr:uid="{00000000-0005-0000-0000-000032BF0000}"/>
    <cellStyle name="Input 25 2 5" xfId="48954" xr:uid="{00000000-0005-0000-0000-000033BF0000}"/>
    <cellStyle name="Input 25 3" xfId="48955" xr:uid="{00000000-0005-0000-0000-000034BF0000}"/>
    <cellStyle name="Input 25 3 2" xfId="48956" xr:uid="{00000000-0005-0000-0000-000035BF0000}"/>
    <cellStyle name="Input 25 3 3" xfId="48957" xr:uid="{00000000-0005-0000-0000-000036BF0000}"/>
    <cellStyle name="Input 25 4" xfId="48958" xr:uid="{00000000-0005-0000-0000-000037BF0000}"/>
    <cellStyle name="Input 25 5" xfId="48959" xr:uid="{00000000-0005-0000-0000-000038BF0000}"/>
    <cellStyle name="Input 26" xfId="48960" xr:uid="{00000000-0005-0000-0000-000039BF0000}"/>
    <cellStyle name="Input 26 2" xfId="48961" xr:uid="{00000000-0005-0000-0000-00003ABF0000}"/>
    <cellStyle name="Input 26 2 2" xfId="48962" xr:uid="{00000000-0005-0000-0000-00003BBF0000}"/>
    <cellStyle name="Input 26 2 2 2" xfId="48963" xr:uid="{00000000-0005-0000-0000-00003CBF0000}"/>
    <cellStyle name="Input 26 2 3" xfId="48964" xr:uid="{00000000-0005-0000-0000-00003DBF0000}"/>
    <cellStyle name="Input 26 2 3 2" xfId="48965" xr:uid="{00000000-0005-0000-0000-00003EBF0000}"/>
    <cellStyle name="Input 26 2 3 3" xfId="48966" xr:uid="{00000000-0005-0000-0000-00003FBF0000}"/>
    <cellStyle name="Input 26 2 4" xfId="48967" xr:uid="{00000000-0005-0000-0000-000040BF0000}"/>
    <cellStyle name="Input 26 2 5" xfId="48968" xr:uid="{00000000-0005-0000-0000-000041BF0000}"/>
    <cellStyle name="Input 26 3" xfId="48969" xr:uid="{00000000-0005-0000-0000-000042BF0000}"/>
    <cellStyle name="Input 26 3 2" xfId="48970" xr:uid="{00000000-0005-0000-0000-000043BF0000}"/>
    <cellStyle name="Input 26 3 3" xfId="48971" xr:uid="{00000000-0005-0000-0000-000044BF0000}"/>
    <cellStyle name="Input 26 4" xfId="48972" xr:uid="{00000000-0005-0000-0000-000045BF0000}"/>
    <cellStyle name="Input 26 5" xfId="48973" xr:uid="{00000000-0005-0000-0000-000046BF0000}"/>
    <cellStyle name="Input 27" xfId="48974" xr:uid="{00000000-0005-0000-0000-000047BF0000}"/>
    <cellStyle name="Input 27 2" xfId="48975" xr:uid="{00000000-0005-0000-0000-000048BF0000}"/>
    <cellStyle name="Input 27 2 2" xfId="48976" xr:uid="{00000000-0005-0000-0000-000049BF0000}"/>
    <cellStyle name="Input 27 2 2 2" xfId="48977" xr:uid="{00000000-0005-0000-0000-00004ABF0000}"/>
    <cellStyle name="Input 27 2 3" xfId="48978" xr:uid="{00000000-0005-0000-0000-00004BBF0000}"/>
    <cellStyle name="Input 27 2 3 2" xfId="48979" xr:uid="{00000000-0005-0000-0000-00004CBF0000}"/>
    <cellStyle name="Input 27 2 3 3" xfId="48980" xr:uid="{00000000-0005-0000-0000-00004DBF0000}"/>
    <cellStyle name="Input 27 2 4" xfId="48981" xr:uid="{00000000-0005-0000-0000-00004EBF0000}"/>
    <cellStyle name="Input 27 2 5" xfId="48982" xr:uid="{00000000-0005-0000-0000-00004FBF0000}"/>
    <cellStyle name="Input 27 3" xfId="48983" xr:uid="{00000000-0005-0000-0000-000050BF0000}"/>
    <cellStyle name="Input 27 3 2" xfId="48984" xr:uid="{00000000-0005-0000-0000-000051BF0000}"/>
    <cellStyle name="Input 27 3 3" xfId="48985" xr:uid="{00000000-0005-0000-0000-000052BF0000}"/>
    <cellStyle name="Input 27 4" xfId="48986" xr:uid="{00000000-0005-0000-0000-000053BF0000}"/>
    <cellStyle name="Input 27 5" xfId="48987" xr:uid="{00000000-0005-0000-0000-000054BF0000}"/>
    <cellStyle name="Input 28" xfId="48988" xr:uid="{00000000-0005-0000-0000-000055BF0000}"/>
    <cellStyle name="Input 28 2" xfId="48989" xr:uid="{00000000-0005-0000-0000-000056BF0000}"/>
    <cellStyle name="Input 28 2 2" xfId="48990" xr:uid="{00000000-0005-0000-0000-000057BF0000}"/>
    <cellStyle name="Input 28 2 2 2" xfId="48991" xr:uid="{00000000-0005-0000-0000-000058BF0000}"/>
    <cellStyle name="Input 28 2 3" xfId="48992" xr:uid="{00000000-0005-0000-0000-000059BF0000}"/>
    <cellStyle name="Input 28 2 3 2" xfId="48993" xr:uid="{00000000-0005-0000-0000-00005ABF0000}"/>
    <cellStyle name="Input 28 2 3 3" xfId="48994" xr:uid="{00000000-0005-0000-0000-00005BBF0000}"/>
    <cellStyle name="Input 28 2 4" xfId="48995" xr:uid="{00000000-0005-0000-0000-00005CBF0000}"/>
    <cellStyle name="Input 28 2 5" xfId="48996" xr:uid="{00000000-0005-0000-0000-00005DBF0000}"/>
    <cellStyle name="Input 28 3" xfId="48997" xr:uid="{00000000-0005-0000-0000-00005EBF0000}"/>
    <cellStyle name="Input 28 3 2" xfId="48998" xr:uid="{00000000-0005-0000-0000-00005FBF0000}"/>
    <cellStyle name="Input 28 3 3" xfId="48999" xr:uid="{00000000-0005-0000-0000-000060BF0000}"/>
    <cellStyle name="Input 28 4" xfId="49000" xr:uid="{00000000-0005-0000-0000-000061BF0000}"/>
    <cellStyle name="Input 28 5" xfId="49001" xr:uid="{00000000-0005-0000-0000-000062BF0000}"/>
    <cellStyle name="Input 29" xfId="49002" xr:uid="{00000000-0005-0000-0000-000063BF0000}"/>
    <cellStyle name="Input 29 2" xfId="49003" xr:uid="{00000000-0005-0000-0000-000064BF0000}"/>
    <cellStyle name="Input 29 2 2" xfId="49004" xr:uid="{00000000-0005-0000-0000-000065BF0000}"/>
    <cellStyle name="Input 29 2 2 2" xfId="49005" xr:uid="{00000000-0005-0000-0000-000066BF0000}"/>
    <cellStyle name="Input 29 2 3" xfId="49006" xr:uid="{00000000-0005-0000-0000-000067BF0000}"/>
    <cellStyle name="Input 29 2 3 2" xfId="49007" xr:uid="{00000000-0005-0000-0000-000068BF0000}"/>
    <cellStyle name="Input 29 2 3 3" xfId="49008" xr:uid="{00000000-0005-0000-0000-000069BF0000}"/>
    <cellStyle name="Input 29 2 4" xfId="49009" xr:uid="{00000000-0005-0000-0000-00006ABF0000}"/>
    <cellStyle name="Input 29 2 5" xfId="49010" xr:uid="{00000000-0005-0000-0000-00006BBF0000}"/>
    <cellStyle name="Input 29 3" xfId="49011" xr:uid="{00000000-0005-0000-0000-00006CBF0000}"/>
    <cellStyle name="Input 29 3 2" xfId="49012" xr:uid="{00000000-0005-0000-0000-00006DBF0000}"/>
    <cellStyle name="Input 29 3 3" xfId="49013" xr:uid="{00000000-0005-0000-0000-00006EBF0000}"/>
    <cellStyle name="Input 29 4" xfId="49014" xr:uid="{00000000-0005-0000-0000-00006FBF0000}"/>
    <cellStyle name="Input 29 5" xfId="49015" xr:uid="{00000000-0005-0000-0000-000070BF0000}"/>
    <cellStyle name="Input 3" xfId="49016" xr:uid="{00000000-0005-0000-0000-000071BF0000}"/>
    <cellStyle name="Input 3 2" xfId="49017" xr:uid="{00000000-0005-0000-0000-000072BF0000}"/>
    <cellStyle name="Input 3 2 2" xfId="49018" xr:uid="{00000000-0005-0000-0000-000073BF0000}"/>
    <cellStyle name="Input 3 2 2 2" xfId="49019" xr:uid="{00000000-0005-0000-0000-000074BF0000}"/>
    <cellStyle name="Input 3 2 3" xfId="49020" xr:uid="{00000000-0005-0000-0000-000075BF0000}"/>
    <cellStyle name="Input 3 2 3 2" xfId="49021" xr:uid="{00000000-0005-0000-0000-000076BF0000}"/>
    <cellStyle name="Input 3 2 3 3" xfId="49022" xr:uid="{00000000-0005-0000-0000-000077BF0000}"/>
    <cellStyle name="Input 3 2 4" xfId="49023" xr:uid="{00000000-0005-0000-0000-000078BF0000}"/>
    <cellStyle name="Input 3 3" xfId="49024" xr:uid="{00000000-0005-0000-0000-000079BF0000}"/>
    <cellStyle name="Input 3 3 2" xfId="49025" xr:uid="{00000000-0005-0000-0000-00007ABF0000}"/>
    <cellStyle name="Input 3 4" xfId="49026" xr:uid="{00000000-0005-0000-0000-00007BBF0000}"/>
    <cellStyle name="Input 3 4 2" xfId="49027" xr:uid="{00000000-0005-0000-0000-00007CBF0000}"/>
    <cellStyle name="Input 3 4 3" xfId="49028" xr:uid="{00000000-0005-0000-0000-00007DBF0000}"/>
    <cellStyle name="Input 3 5" xfId="49029" xr:uid="{00000000-0005-0000-0000-00007EBF0000}"/>
    <cellStyle name="Input 3 6" xfId="49030" xr:uid="{00000000-0005-0000-0000-00007FBF0000}"/>
    <cellStyle name="Input 30" xfId="49031" xr:uid="{00000000-0005-0000-0000-000080BF0000}"/>
    <cellStyle name="Input 30 2" xfId="49032" xr:uid="{00000000-0005-0000-0000-000081BF0000}"/>
    <cellStyle name="Input 30 2 2" xfId="49033" xr:uid="{00000000-0005-0000-0000-000082BF0000}"/>
    <cellStyle name="Input 30 2 2 2" xfId="49034" xr:uid="{00000000-0005-0000-0000-000083BF0000}"/>
    <cellStyle name="Input 30 2 3" xfId="49035" xr:uid="{00000000-0005-0000-0000-000084BF0000}"/>
    <cellStyle name="Input 30 2 3 2" xfId="49036" xr:uid="{00000000-0005-0000-0000-000085BF0000}"/>
    <cellStyle name="Input 30 2 3 3" xfId="49037" xr:uid="{00000000-0005-0000-0000-000086BF0000}"/>
    <cellStyle name="Input 30 2 4" xfId="49038" xr:uid="{00000000-0005-0000-0000-000087BF0000}"/>
    <cellStyle name="Input 30 2 5" xfId="49039" xr:uid="{00000000-0005-0000-0000-000088BF0000}"/>
    <cellStyle name="Input 30 3" xfId="49040" xr:uid="{00000000-0005-0000-0000-000089BF0000}"/>
    <cellStyle name="Input 30 3 2" xfId="49041" xr:uid="{00000000-0005-0000-0000-00008ABF0000}"/>
    <cellStyle name="Input 30 3 3" xfId="49042" xr:uid="{00000000-0005-0000-0000-00008BBF0000}"/>
    <cellStyle name="Input 30 4" xfId="49043" xr:uid="{00000000-0005-0000-0000-00008CBF0000}"/>
    <cellStyle name="Input 30 5" xfId="49044" xr:uid="{00000000-0005-0000-0000-00008DBF0000}"/>
    <cellStyle name="Input 31" xfId="49045" xr:uid="{00000000-0005-0000-0000-00008EBF0000}"/>
    <cellStyle name="Input 31 2" xfId="49046" xr:uid="{00000000-0005-0000-0000-00008FBF0000}"/>
    <cellStyle name="Input 31 2 2" xfId="49047" xr:uid="{00000000-0005-0000-0000-000090BF0000}"/>
    <cellStyle name="Input 31 2 2 2" xfId="49048" xr:uid="{00000000-0005-0000-0000-000091BF0000}"/>
    <cellStyle name="Input 31 2 3" xfId="49049" xr:uid="{00000000-0005-0000-0000-000092BF0000}"/>
    <cellStyle name="Input 31 2 3 2" xfId="49050" xr:uid="{00000000-0005-0000-0000-000093BF0000}"/>
    <cellStyle name="Input 31 2 3 3" xfId="49051" xr:uid="{00000000-0005-0000-0000-000094BF0000}"/>
    <cellStyle name="Input 31 2 4" xfId="49052" xr:uid="{00000000-0005-0000-0000-000095BF0000}"/>
    <cellStyle name="Input 31 2 5" xfId="49053" xr:uid="{00000000-0005-0000-0000-000096BF0000}"/>
    <cellStyle name="Input 31 3" xfId="49054" xr:uid="{00000000-0005-0000-0000-000097BF0000}"/>
    <cellStyle name="Input 31 3 2" xfId="49055" xr:uid="{00000000-0005-0000-0000-000098BF0000}"/>
    <cellStyle name="Input 31 3 3" xfId="49056" xr:uid="{00000000-0005-0000-0000-000099BF0000}"/>
    <cellStyle name="Input 31 4" xfId="49057" xr:uid="{00000000-0005-0000-0000-00009ABF0000}"/>
    <cellStyle name="Input 31 5" xfId="49058" xr:uid="{00000000-0005-0000-0000-00009BBF0000}"/>
    <cellStyle name="Input 32" xfId="49059" xr:uid="{00000000-0005-0000-0000-00009CBF0000}"/>
    <cellStyle name="Input 32 2" xfId="49060" xr:uid="{00000000-0005-0000-0000-00009DBF0000}"/>
    <cellStyle name="Input 32 2 2" xfId="49061" xr:uid="{00000000-0005-0000-0000-00009EBF0000}"/>
    <cellStyle name="Input 32 2 2 2" xfId="49062" xr:uid="{00000000-0005-0000-0000-00009FBF0000}"/>
    <cellStyle name="Input 32 2 3" xfId="49063" xr:uid="{00000000-0005-0000-0000-0000A0BF0000}"/>
    <cellStyle name="Input 32 2 3 2" xfId="49064" xr:uid="{00000000-0005-0000-0000-0000A1BF0000}"/>
    <cellStyle name="Input 32 2 3 3" xfId="49065" xr:uid="{00000000-0005-0000-0000-0000A2BF0000}"/>
    <cellStyle name="Input 32 2 4" xfId="49066" xr:uid="{00000000-0005-0000-0000-0000A3BF0000}"/>
    <cellStyle name="Input 32 2 5" xfId="49067" xr:uid="{00000000-0005-0000-0000-0000A4BF0000}"/>
    <cellStyle name="Input 32 3" xfId="49068" xr:uid="{00000000-0005-0000-0000-0000A5BF0000}"/>
    <cellStyle name="Input 32 3 2" xfId="49069" xr:uid="{00000000-0005-0000-0000-0000A6BF0000}"/>
    <cellStyle name="Input 32 3 3" xfId="49070" xr:uid="{00000000-0005-0000-0000-0000A7BF0000}"/>
    <cellStyle name="Input 32 4" xfId="49071" xr:uid="{00000000-0005-0000-0000-0000A8BF0000}"/>
    <cellStyle name="Input 32 5" xfId="49072" xr:uid="{00000000-0005-0000-0000-0000A9BF0000}"/>
    <cellStyle name="Input 33" xfId="49073" xr:uid="{00000000-0005-0000-0000-0000AABF0000}"/>
    <cellStyle name="Input 33 2" xfId="49074" xr:uid="{00000000-0005-0000-0000-0000ABBF0000}"/>
    <cellStyle name="Input 33 2 2" xfId="49075" xr:uid="{00000000-0005-0000-0000-0000ACBF0000}"/>
    <cellStyle name="Input 33 2 2 2" xfId="49076" xr:uid="{00000000-0005-0000-0000-0000ADBF0000}"/>
    <cellStyle name="Input 33 2 3" xfId="49077" xr:uid="{00000000-0005-0000-0000-0000AEBF0000}"/>
    <cellStyle name="Input 33 2 3 2" xfId="49078" xr:uid="{00000000-0005-0000-0000-0000AFBF0000}"/>
    <cellStyle name="Input 33 2 3 3" xfId="49079" xr:uid="{00000000-0005-0000-0000-0000B0BF0000}"/>
    <cellStyle name="Input 33 2 4" xfId="49080" xr:uid="{00000000-0005-0000-0000-0000B1BF0000}"/>
    <cellStyle name="Input 33 2 5" xfId="49081" xr:uid="{00000000-0005-0000-0000-0000B2BF0000}"/>
    <cellStyle name="Input 33 3" xfId="49082" xr:uid="{00000000-0005-0000-0000-0000B3BF0000}"/>
    <cellStyle name="Input 33 3 2" xfId="49083" xr:uid="{00000000-0005-0000-0000-0000B4BF0000}"/>
    <cellStyle name="Input 33 3 3" xfId="49084" xr:uid="{00000000-0005-0000-0000-0000B5BF0000}"/>
    <cellStyle name="Input 33 4" xfId="49085" xr:uid="{00000000-0005-0000-0000-0000B6BF0000}"/>
    <cellStyle name="Input 33 5" xfId="49086" xr:uid="{00000000-0005-0000-0000-0000B7BF0000}"/>
    <cellStyle name="Input 34" xfId="49087" xr:uid="{00000000-0005-0000-0000-0000B8BF0000}"/>
    <cellStyle name="Input 34 2" xfId="49088" xr:uid="{00000000-0005-0000-0000-0000B9BF0000}"/>
    <cellStyle name="Input 34 2 2" xfId="49089" xr:uid="{00000000-0005-0000-0000-0000BABF0000}"/>
    <cellStyle name="Input 34 2 2 2" xfId="49090" xr:uid="{00000000-0005-0000-0000-0000BBBF0000}"/>
    <cellStyle name="Input 34 2 3" xfId="49091" xr:uid="{00000000-0005-0000-0000-0000BCBF0000}"/>
    <cellStyle name="Input 34 2 3 2" xfId="49092" xr:uid="{00000000-0005-0000-0000-0000BDBF0000}"/>
    <cellStyle name="Input 34 2 3 3" xfId="49093" xr:uid="{00000000-0005-0000-0000-0000BEBF0000}"/>
    <cellStyle name="Input 34 2 4" xfId="49094" xr:uid="{00000000-0005-0000-0000-0000BFBF0000}"/>
    <cellStyle name="Input 34 2 5" xfId="49095" xr:uid="{00000000-0005-0000-0000-0000C0BF0000}"/>
    <cellStyle name="Input 34 3" xfId="49096" xr:uid="{00000000-0005-0000-0000-0000C1BF0000}"/>
    <cellStyle name="Input 34 3 2" xfId="49097" xr:uid="{00000000-0005-0000-0000-0000C2BF0000}"/>
    <cellStyle name="Input 34 3 3" xfId="49098" xr:uid="{00000000-0005-0000-0000-0000C3BF0000}"/>
    <cellStyle name="Input 34 4" xfId="49099" xr:uid="{00000000-0005-0000-0000-0000C4BF0000}"/>
    <cellStyle name="Input 34 5" xfId="49100" xr:uid="{00000000-0005-0000-0000-0000C5BF0000}"/>
    <cellStyle name="Input 35" xfId="49101" xr:uid="{00000000-0005-0000-0000-0000C6BF0000}"/>
    <cellStyle name="Input 35 2" xfId="49102" xr:uid="{00000000-0005-0000-0000-0000C7BF0000}"/>
    <cellStyle name="Input 35 2 2" xfId="49103" xr:uid="{00000000-0005-0000-0000-0000C8BF0000}"/>
    <cellStyle name="Input 35 2 2 2" xfId="49104" xr:uid="{00000000-0005-0000-0000-0000C9BF0000}"/>
    <cellStyle name="Input 35 2 3" xfId="49105" xr:uid="{00000000-0005-0000-0000-0000CABF0000}"/>
    <cellStyle name="Input 35 2 3 2" xfId="49106" xr:uid="{00000000-0005-0000-0000-0000CBBF0000}"/>
    <cellStyle name="Input 35 2 3 3" xfId="49107" xr:uid="{00000000-0005-0000-0000-0000CCBF0000}"/>
    <cellStyle name="Input 35 2 4" xfId="49108" xr:uid="{00000000-0005-0000-0000-0000CDBF0000}"/>
    <cellStyle name="Input 35 2 5" xfId="49109" xr:uid="{00000000-0005-0000-0000-0000CEBF0000}"/>
    <cellStyle name="Input 35 3" xfId="49110" xr:uid="{00000000-0005-0000-0000-0000CFBF0000}"/>
    <cellStyle name="Input 35 3 2" xfId="49111" xr:uid="{00000000-0005-0000-0000-0000D0BF0000}"/>
    <cellStyle name="Input 35 3 3" xfId="49112" xr:uid="{00000000-0005-0000-0000-0000D1BF0000}"/>
    <cellStyle name="Input 35 4" xfId="49113" xr:uid="{00000000-0005-0000-0000-0000D2BF0000}"/>
    <cellStyle name="Input 35 5" xfId="49114" xr:uid="{00000000-0005-0000-0000-0000D3BF0000}"/>
    <cellStyle name="Input 36" xfId="49115" xr:uid="{00000000-0005-0000-0000-0000D4BF0000}"/>
    <cellStyle name="Input 36 2" xfId="49116" xr:uid="{00000000-0005-0000-0000-0000D5BF0000}"/>
    <cellStyle name="Input 36 2 2" xfId="49117" xr:uid="{00000000-0005-0000-0000-0000D6BF0000}"/>
    <cellStyle name="Input 36 2 2 2" xfId="49118" xr:uid="{00000000-0005-0000-0000-0000D7BF0000}"/>
    <cellStyle name="Input 36 2 3" xfId="49119" xr:uid="{00000000-0005-0000-0000-0000D8BF0000}"/>
    <cellStyle name="Input 36 2 3 2" xfId="49120" xr:uid="{00000000-0005-0000-0000-0000D9BF0000}"/>
    <cellStyle name="Input 36 2 3 3" xfId="49121" xr:uid="{00000000-0005-0000-0000-0000DABF0000}"/>
    <cellStyle name="Input 36 2 4" xfId="49122" xr:uid="{00000000-0005-0000-0000-0000DBBF0000}"/>
    <cellStyle name="Input 36 2 5" xfId="49123" xr:uid="{00000000-0005-0000-0000-0000DCBF0000}"/>
    <cellStyle name="Input 36 3" xfId="49124" xr:uid="{00000000-0005-0000-0000-0000DDBF0000}"/>
    <cellStyle name="Input 36 3 2" xfId="49125" xr:uid="{00000000-0005-0000-0000-0000DEBF0000}"/>
    <cellStyle name="Input 36 3 3" xfId="49126" xr:uid="{00000000-0005-0000-0000-0000DFBF0000}"/>
    <cellStyle name="Input 36 4" xfId="49127" xr:uid="{00000000-0005-0000-0000-0000E0BF0000}"/>
    <cellStyle name="Input 36 5" xfId="49128" xr:uid="{00000000-0005-0000-0000-0000E1BF0000}"/>
    <cellStyle name="Input 37" xfId="49129" xr:uid="{00000000-0005-0000-0000-0000E2BF0000}"/>
    <cellStyle name="Input 37 2" xfId="49130" xr:uid="{00000000-0005-0000-0000-0000E3BF0000}"/>
    <cellStyle name="Input 37 2 2" xfId="49131" xr:uid="{00000000-0005-0000-0000-0000E4BF0000}"/>
    <cellStyle name="Input 37 2 2 2" xfId="49132" xr:uid="{00000000-0005-0000-0000-0000E5BF0000}"/>
    <cellStyle name="Input 37 2 3" xfId="49133" xr:uid="{00000000-0005-0000-0000-0000E6BF0000}"/>
    <cellStyle name="Input 37 2 3 2" xfId="49134" xr:uid="{00000000-0005-0000-0000-0000E7BF0000}"/>
    <cellStyle name="Input 37 2 3 3" xfId="49135" xr:uid="{00000000-0005-0000-0000-0000E8BF0000}"/>
    <cellStyle name="Input 37 2 4" xfId="49136" xr:uid="{00000000-0005-0000-0000-0000E9BF0000}"/>
    <cellStyle name="Input 37 2 5" xfId="49137" xr:uid="{00000000-0005-0000-0000-0000EABF0000}"/>
    <cellStyle name="Input 37 3" xfId="49138" xr:uid="{00000000-0005-0000-0000-0000EBBF0000}"/>
    <cellStyle name="Input 37 3 2" xfId="49139" xr:uid="{00000000-0005-0000-0000-0000ECBF0000}"/>
    <cellStyle name="Input 37 3 3" xfId="49140" xr:uid="{00000000-0005-0000-0000-0000EDBF0000}"/>
    <cellStyle name="Input 37 4" xfId="49141" xr:uid="{00000000-0005-0000-0000-0000EEBF0000}"/>
    <cellStyle name="Input 37 5" xfId="49142" xr:uid="{00000000-0005-0000-0000-0000EFBF0000}"/>
    <cellStyle name="Input 38" xfId="49143" xr:uid="{00000000-0005-0000-0000-0000F0BF0000}"/>
    <cellStyle name="Input 38 2" xfId="49144" xr:uid="{00000000-0005-0000-0000-0000F1BF0000}"/>
    <cellStyle name="Input 38 2 2" xfId="49145" xr:uid="{00000000-0005-0000-0000-0000F2BF0000}"/>
    <cellStyle name="Input 38 2 2 2" xfId="49146" xr:uid="{00000000-0005-0000-0000-0000F3BF0000}"/>
    <cellStyle name="Input 38 2 3" xfId="49147" xr:uid="{00000000-0005-0000-0000-0000F4BF0000}"/>
    <cellStyle name="Input 38 2 3 2" xfId="49148" xr:uid="{00000000-0005-0000-0000-0000F5BF0000}"/>
    <cellStyle name="Input 38 2 3 3" xfId="49149" xr:uid="{00000000-0005-0000-0000-0000F6BF0000}"/>
    <cellStyle name="Input 38 2 4" xfId="49150" xr:uid="{00000000-0005-0000-0000-0000F7BF0000}"/>
    <cellStyle name="Input 38 2 5" xfId="49151" xr:uid="{00000000-0005-0000-0000-0000F8BF0000}"/>
    <cellStyle name="Input 38 3" xfId="49152" xr:uid="{00000000-0005-0000-0000-0000F9BF0000}"/>
    <cellStyle name="Input 38 3 2" xfId="49153" xr:uid="{00000000-0005-0000-0000-0000FABF0000}"/>
    <cellStyle name="Input 38 3 3" xfId="49154" xr:uid="{00000000-0005-0000-0000-0000FBBF0000}"/>
    <cellStyle name="Input 38 4" xfId="49155" xr:uid="{00000000-0005-0000-0000-0000FCBF0000}"/>
    <cellStyle name="Input 38 5" xfId="49156" xr:uid="{00000000-0005-0000-0000-0000FDBF0000}"/>
    <cellStyle name="Input 39" xfId="49157" xr:uid="{00000000-0005-0000-0000-0000FEBF0000}"/>
    <cellStyle name="Input 39 2" xfId="49158" xr:uid="{00000000-0005-0000-0000-0000FFBF0000}"/>
    <cellStyle name="Input 39 2 2" xfId="49159" xr:uid="{00000000-0005-0000-0000-000000C00000}"/>
    <cellStyle name="Input 39 2 2 2" xfId="49160" xr:uid="{00000000-0005-0000-0000-000001C00000}"/>
    <cellStyle name="Input 39 2 3" xfId="49161" xr:uid="{00000000-0005-0000-0000-000002C00000}"/>
    <cellStyle name="Input 39 2 3 2" xfId="49162" xr:uid="{00000000-0005-0000-0000-000003C00000}"/>
    <cellStyle name="Input 39 2 3 3" xfId="49163" xr:uid="{00000000-0005-0000-0000-000004C00000}"/>
    <cellStyle name="Input 39 2 4" xfId="49164" xr:uid="{00000000-0005-0000-0000-000005C00000}"/>
    <cellStyle name="Input 39 2 5" xfId="49165" xr:uid="{00000000-0005-0000-0000-000006C00000}"/>
    <cellStyle name="Input 39 3" xfId="49166" xr:uid="{00000000-0005-0000-0000-000007C00000}"/>
    <cellStyle name="Input 39 3 2" xfId="49167" xr:uid="{00000000-0005-0000-0000-000008C00000}"/>
    <cellStyle name="Input 39 3 3" xfId="49168" xr:uid="{00000000-0005-0000-0000-000009C00000}"/>
    <cellStyle name="Input 39 4" xfId="49169" xr:uid="{00000000-0005-0000-0000-00000AC00000}"/>
    <cellStyle name="Input 39 5" xfId="49170" xr:uid="{00000000-0005-0000-0000-00000BC00000}"/>
    <cellStyle name="Input 4" xfId="49171" xr:uid="{00000000-0005-0000-0000-00000CC00000}"/>
    <cellStyle name="Input 4 2" xfId="49172" xr:uid="{00000000-0005-0000-0000-00000DC00000}"/>
    <cellStyle name="Input 4 2 2" xfId="49173" xr:uid="{00000000-0005-0000-0000-00000EC00000}"/>
    <cellStyle name="Input 4 2 2 2" xfId="49174" xr:uid="{00000000-0005-0000-0000-00000FC00000}"/>
    <cellStyle name="Input 4 2 3" xfId="49175" xr:uid="{00000000-0005-0000-0000-000010C00000}"/>
    <cellStyle name="Input 4 2 3 2" xfId="49176" xr:uid="{00000000-0005-0000-0000-000011C00000}"/>
    <cellStyle name="Input 4 2 3 3" xfId="49177" xr:uid="{00000000-0005-0000-0000-000012C00000}"/>
    <cellStyle name="Input 4 2 4" xfId="49178" xr:uid="{00000000-0005-0000-0000-000013C00000}"/>
    <cellStyle name="Input 4 3" xfId="49179" xr:uid="{00000000-0005-0000-0000-000014C00000}"/>
    <cellStyle name="Input 4 3 2" xfId="49180" xr:uid="{00000000-0005-0000-0000-000015C00000}"/>
    <cellStyle name="Input 4 4" xfId="49181" xr:uid="{00000000-0005-0000-0000-000016C00000}"/>
    <cellStyle name="Input 4 4 2" xfId="49182" xr:uid="{00000000-0005-0000-0000-000017C00000}"/>
    <cellStyle name="Input 4 4 3" xfId="49183" xr:uid="{00000000-0005-0000-0000-000018C00000}"/>
    <cellStyle name="Input 4 5" xfId="49184" xr:uid="{00000000-0005-0000-0000-000019C00000}"/>
    <cellStyle name="Input 4 6" xfId="49185" xr:uid="{00000000-0005-0000-0000-00001AC00000}"/>
    <cellStyle name="Input 40" xfId="49186" xr:uid="{00000000-0005-0000-0000-00001BC00000}"/>
    <cellStyle name="Input 40 2" xfId="49187" xr:uid="{00000000-0005-0000-0000-00001CC00000}"/>
    <cellStyle name="Input 40 2 2" xfId="49188" xr:uid="{00000000-0005-0000-0000-00001DC00000}"/>
    <cellStyle name="Input 40 2 2 2" xfId="49189" xr:uid="{00000000-0005-0000-0000-00001EC00000}"/>
    <cellStyle name="Input 40 2 3" xfId="49190" xr:uid="{00000000-0005-0000-0000-00001FC00000}"/>
    <cellStyle name="Input 40 2 3 2" xfId="49191" xr:uid="{00000000-0005-0000-0000-000020C00000}"/>
    <cellStyle name="Input 40 2 3 3" xfId="49192" xr:uid="{00000000-0005-0000-0000-000021C00000}"/>
    <cellStyle name="Input 40 2 4" xfId="49193" xr:uid="{00000000-0005-0000-0000-000022C00000}"/>
    <cellStyle name="Input 40 2 5" xfId="49194" xr:uid="{00000000-0005-0000-0000-000023C00000}"/>
    <cellStyle name="Input 40 3" xfId="49195" xr:uid="{00000000-0005-0000-0000-000024C00000}"/>
    <cellStyle name="Input 40 3 2" xfId="49196" xr:uid="{00000000-0005-0000-0000-000025C00000}"/>
    <cellStyle name="Input 40 3 3" xfId="49197" xr:uid="{00000000-0005-0000-0000-000026C00000}"/>
    <cellStyle name="Input 40 4" xfId="49198" xr:uid="{00000000-0005-0000-0000-000027C00000}"/>
    <cellStyle name="Input 40 5" xfId="49199" xr:uid="{00000000-0005-0000-0000-000028C00000}"/>
    <cellStyle name="Input 41" xfId="49200" xr:uid="{00000000-0005-0000-0000-000029C00000}"/>
    <cellStyle name="Input 41 2" xfId="49201" xr:uid="{00000000-0005-0000-0000-00002AC00000}"/>
    <cellStyle name="Input 41 2 2" xfId="49202" xr:uid="{00000000-0005-0000-0000-00002BC00000}"/>
    <cellStyle name="Input 41 2 2 2" xfId="49203" xr:uid="{00000000-0005-0000-0000-00002CC00000}"/>
    <cellStyle name="Input 41 2 3" xfId="49204" xr:uid="{00000000-0005-0000-0000-00002DC00000}"/>
    <cellStyle name="Input 41 2 3 2" xfId="49205" xr:uid="{00000000-0005-0000-0000-00002EC00000}"/>
    <cellStyle name="Input 41 2 3 3" xfId="49206" xr:uid="{00000000-0005-0000-0000-00002FC00000}"/>
    <cellStyle name="Input 41 2 4" xfId="49207" xr:uid="{00000000-0005-0000-0000-000030C00000}"/>
    <cellStyle name="Input 41 2 5" xfId="49208" xr:uid="{00000000-0005-0000-0000-000031C00000}"/>
    <cellStyle name="Input 41 3" xfId="49209" xr:uid="{00000000-0005-0000-0000-000032C00000}"/>
    <cellStyle name="Input 41 3 2" xfId="49210" xr:uid="{00000000-0005-0000-0000-000033C00000}"/>
    <cellStyle name="Input 41 3 3" xfId="49211" xr:uid="{00000000-0005-0000-0000-000034C00000}"/>
    <cellStyle name="Input 41 4" xfId="49212" xr:uid="{00000000-0005-0000-0000-000035C00000}"/>
    <cellStyle name="Input 41 5" xfId="49213" xr:uid="{00000000-0005-0000-0000-000036C00000}"/>
    <cellStyle name="Input 42" xfId="49214" xr:uid="{00000000-0005-0000-0000-000037C00000}"/>
    <cellStyle name="Input 42 2" xfId="49215" xr:uid="{00000000-0005-0000-0000-000038C00000}"/>
    <cellStyle name="Input 42 2 2" xfId="49216" xr:uid="{00000000-0005-0000-0000-000039C00000}"/>
    <cellStyle name="Input 42 2 2 2" xfId="49217" xr:uid="{00000000-0005-0000-0000-00003AC00000}"/>
    <cellStyle name="Input 42 2 3" xfId="49218" xr:uid="{00000000-0005-0000-0000-00003BC00000}"/>
    <cellStyle name="Input 42 2 3 2" xfId="49219" xr:uid="{00000000-0005-0000-0000-00003CC00000}"/>
    <cellStyle name="Input 42 2 3 3" xfId="49220" xr:uid="{00000000-0005-0000-0000-00003DC00000}"/>
    <cellStyle name="Input 42 2 4" xfId="49221" xr:uid="{00000000-0005-0000-0000-00003EC00000}"/>
    <cellStyle name="Input 42 2 5" xfId="49222" xr:uid="{00000000-0005-0000-0000-00003FC00000}"/>
    <cellStyle name="Input 42 3" xfId="49223" xr:uid="{00000000-0005-0000-0000-000040C00000}"/>
    <cellStyle name="Input 42 3 2" xfId="49224" xr:uid="{00000000-0005-0000-0000-000041C00000}"/>
    <cellStyle name="Input 42 3 3" xfId="49225" xr:uid="{00000000-0005-0000-0000-000042C00000}"/>
    <cellStyle name="Input 42 4" xfId="49226" xr:uid="{00000000-0005-0000-0000-000043C00000}"/>
    <cellStyle name="Input 42 5" xfId="49227" xr:uid="{00000000-0005-0000-0000-000044C00000}"/>
    <cellStyle name="Input 43" xfId="49228" xr:uid="{00000000-0005-0000-0000-000045C00000}"/>
    <cellStyle name="Input 43 2" xfId="49229" xr:uid="{00000000-0005-0000-0000-000046C00000}"/>
    <cellStyle name="Input 43 2 2" xfId="49230" xr:uid="{00000000-0005-0000-0000-000047C00000}"/>
    <cellStyle name="Input 43 2 2 2" xfId="49231" xr:uid="{00000000-0005-0000-0000-000048C00000}"/>
    <cellStyle name="Input 43 2 3" xfId="49232" xr:uid="{00000000-0005-0000-0000-000049C00000}"/>
    <cellStyle name="Input 43 2 3 2" xfId="49233" xr:uid="{00000000-0005-0000-0000-00004AC00000}"/>
    <cellStyle name="Input 43 2 3 3" xfId="49234" xr:uid="{00000000-0005-0000-0000-00004BC00000}"/>
    <cellStyle name="Input 43 2 4" xfId="49235" xr:uid="{00000000-0005-0000-0000-00004CC00000}"/>
    <cellStyle name="Input 43 2 5" xfId="49236" xr:uid="{00000000-0005-0000-0000-00004DC00000}"/>
    <cellStyle name="Input 43 3" xfId="49237" xr:uid="{00000000-0005-0000-0000-00004EC00000}"/>
    <cellStyle name="Input 43 3 2" xfId="49238" xr:uid="{00000000-0005-0000-0000-00004FC00000}"/>
    <cellStyle name="Input 43 3 3" xfId="49239" xr:uid="{00000000-0005-0000-0000-000050C00000}"/>
    <cellStyle name="Input 43 4" xfId="49240" xr:uid="{00000000-0005-0000-0000-000051C00000}"/>
    <cellStyle name="Input 43 5" xfId="49241" xr:uid="{00000000-0005-0000-0000-000052C00000}"/>
    <cellStyle name="Input 44" xfId="49242" xr:uid="{00000000-0005-0000-0000-000053C00000}"/>
    <cellStyle name="Input 44 2" xfId="49243" xr:uid="{00000000-0005-0000-0000-000054C00000}"/>
    <cellStyle name="Input 44 2 2" xfId="49244" xr:uid="{00000000-0005-0000-0000-000055C00000}"/>
    <cellStyle name="Input 44 2 2 2" xfId="49245" xr:uid="{00000000-0005-0000-0000-000056C00000}"/>
    <cellStyle name="Input 44 2 3" xfId="49246" xr:uid="{00000000-0005-0000-0000-000057C00000}"/>
    <cellStyle name="Input 44 2 3 2" xfId="49247" xr:uid="{00000000-0005-0000-0000-000058C00000}"/>
    <cellStyle name="Input 44 2 3 3" xfId="49248" xr:uid="{00000000-0005-0000-0000-000059C00000}"/>
    <cellStyle name="Input 44 2 4" xfId="49249" xr:uid="{00000000-0005-0000-0000-00005AC00000}"/>
    <cellStyle name="Input 44 2 5" xfId="49250" xr:uid="{00000000-0005-0000-0000-00005BC00000}"/>
    <cellStyle name="Input 44 3" xfId="49251" xr:uid="{00000000-0005-0000-0000-00005CC00000}"/>
    <cellStyle name="Input 44 3 2" xfId="49252" xr:uid="{00000000-0005-0000-0000-00005DC00000}"/>
    <cellStyle name="Input 44 3 3" xfId="49253" xr:uid="{00000000-0005-0000-0000-00005EC00000}"/>
    <cellStyle name="Input 44 4" xfId="49254" xr:uid="{00000000-0005-0000-0000-00005FC00000}"/>
    <cellStyle name="Input 44 5" xfId="49255" xr:uid="{00000000-0005-0000-0000-000060C00000}"/>
    <cellStyle name="Input 45" xfId="49256" xr:uid="{00000000-0005-0000-0000-000061C00000}"/>
    <cellStyle name="Input 45 2" xfId="49257" xr:uid="{00000000-0005-0000-0000-000062C00000}"/>
    <cellStyle name="Input 45 2 2" xfId="49258" xr:uid="{00000000-0005-0000-0000-000063C00000}"/>
    <cellStyle name="Input 45 2 2 2" xfId="49259" xr:uid="{00000000-0005-0000-0000-000064C00000}"/>
    <cellStyle name="Input 45 2 3" xfId="49260" xr:uid="{00000000-0005-0000-0000-000065C00000}"/>
    <cellStyle name="Input 45 2 3 2" xfId="49261" xr:uid="{00000000-0005-0000-0000-000066C00000}"/>
    <cellStyle name="Input 45 2 3 3" xfId="49262" xr:uid="{00000000-0005-0000-0000-000067C00000}"/>
    <cellStyle name="Input 45 2 4" xfId="49263" xr:uid="{00000000-0005-0000-0000-000068C00000}"/>
    <cellStyle name="Input 45 2 5" xfId="49264" xr:uid="{00000000-0005-0000-0000-000069C00000}"/>
    <cellStyle name="Input 45 3" xfId="49265" xr:uid="{00000000-0005-0000-0000-00006AC00000}"/>
    <cellStyle name="Input 45 3 2" xfId="49266" xr:uid="{00000000-0005-0000-0000-00006BC00000}"/>
    <cellStyle name="Input 45 3 3" xfId="49267" xr:uid="{00000000-0005-0000-0000-00006CC00000}"/>
    <cellStyle name="Input 45 4" xfId="49268" xr:uid="{00000000-0005-0000-0000-00006DC00000}"/>
    <cellStyle name="Input 45 5" xfId="49269" xr:uid="{00000000-0005-0000-0000-00006EC00000}"/>
    <cellStyle name="Input 46" xfId="49270" xr:uid="{00000000-0005-0000-0000-00006FC00000}"/>
    <cellStyle name="Input 46 2" xfId="49271" xr:uid="{00000000-0005-0000-0000-000070C00000}"/>
    <cellStyle name="Input 46 2 2" xfId="49272" xr:uid="{00000000-0005-0000-0000-000071C00000}"/>
    <cellStyle name="Input 46 2 2 2" xfId="49273" xr:uid="{00000000-0005-0000-0000-000072C00000}"/>
    <cellStyle name="Input 46 2 3" xfId="49274" xr:uid="{00000000-0005-0000-0000-000073C00000}"/>
    <cellStyle name="Input 46 2 3 2" xfId="49275" xr:uid="{00000000-0005-0000-0000-000074C00000}"/>
    <cellStyle name="Input 46 2 3 3" xfId="49276" xr:uid="{00000000-0005-0000-0000-000075C00000}"/>
    <cellStyle name="Input 46 2 4" xfId="49277" xr:uid="{00000000-0005-0000-0000-000076C00000}"/>
    <cellStyle name="Input 46 2 5" xfId="49278" xr:uid="{00000000-0005-0000-0000-000077C00000}"/>
    <cellStyle name="Input 46 3" xfId="49279" xr:uid="{00000000-0005-0000-0000-000078C00000}"/>
    <cellStyle name="Input 46 3 2" xfId="49280" xr:uid="{00000000-0005-0000-0000-000079C00000}"/>
    <cellStyle name="Input 46 3 3" xfId="49281" xr:uid="{00000000-0005-0000-0000-00007AC00000}"/>
    <cellStyle name="Input 46 4" xfId="49282" xr:uid="{00000000-0005-0000-0000-00007BC00000}"/>
    <cellStyle name="Input 46 5" xfId="49283" xr:uid="{00000000-0005-0000-0000-00007CC00000}"/>
    <cellStyle name="Input 47" xfId="49284" xr:uid="{00000000-0005-0000-0000-00007DC00000}"/>
    <cellStyle name="Input 47 2" xfId="49285" xr:uid="{00000000-0005-0000-0000-00007EC00000}"/>
    <cellStyle name="Input 47 2 2" xfId="49286" xr:uid="{00000000-0005-0000-0000-00007FC00000}"/>
    <cellStyle name="Input 47 2 2 2" xfId="49287" xr:uid="{00000000-0005-0000-0000-000080C00000}"/>
    <cellStyle name="Input 47 2 3" xfId="49288" xr:uid="{00000000-0005-0000-0000-000081C00000}"/>
    <cellStyle name="Input 47 2 3 2" xfId="49289" xr:uid="{00000000-0005-0000-0000-000082C00000}"/>
    <cellStyle name="Input 47 2 3 3" xfId="49290" xr:uid="{00000000-0005-0000-0000-000083C00000}"/>
    <cellStyle name="Input 47 2 4" xfId="49291" xr:uid="{00000000-0005-0000-0000-000084C00000}"/>
    <cellStyle name="Input 47 2 5" xfId="49292" xr:uid="{00000000-0005-0000-0000-000085C00000}"/>
    <cellStyle name="Input 47 3" xfId="49293" xr:uid="{00000000-0005-0000-0000-000086C00000}"/>
    <cellStyle name="Input 47 3 2" xfId="49294" xr:uid="{00000000-0005-0000-0000-000087C00000}"/>
    <cellStyle name="Input 47 3 3" xfId="49295" xr:uid="{00000000-0005-0000-0000-000088C00000}"/>
    <cellStyle name="Input 47 4" xfId="49296" xr:uid="{00000000-0005-0000-0000-000089C00000}"/>
    <cellStyle name="Input 47 5" xfId="49297" xr:uid="{00000000-0005-0000-0000-00008AC00000}"/>
    <cellStyle name="Input 48" xfId="49298" xr:uid="{00000000-0005-0000-0000-00008BC00000}"/>
    <cellStyle name="Input 48 2" xfId="49299" xr:uid="{00000000-0005-0000-0000-00008CC00000}"/>
    <cellStyle name="Input 48 2 2" xfId="49300" xr:uid="{00000000-0005-0000-0000-00008DC00000}"/>
    <cellStyle name="Input 48 2 2 2" xfId="49301" xr:uid="{00000000-0005-0000-0000-00008EC00000}"/>
    <cellStyle name="Input 48 2 3" xfId="49302" xr:uid="{00000000-0005-0000-0000-00008FC00000}"/>
    <cellStyle name="Input 48 2 3 2" xfId="49303" xr:uid="{00000000-0005-0000-0000-000090C00000}"/>
    <cellStyle name="Input 48 2 3 3" xfId="49304" xr:uid="{00000000-0005-0000-0000-000091C00000}"/>
    <cellStyle name="Input 48 2 4" xfId="49305" xr:uid="{00000000-0005-0000-0000-000092C00000}"/>
    <cellStyle name="Input 48 2 5" xfId="49306" xr:uid="{00000000-0005-0000-0000-000093C00000}"/>
    <cellStyle name="Input 48 3" xfId="49307" xr:uid="{00000000-0005-0000-0000-000094C00000}"/>
    <cellStyle name="Input 48 3 2" xfId="49308" xr:uid="{00000000-0005-0000-0000-000095C00000}"/>
    <cellStyle name="Input 48 3 3" xfId="49309" xr:uid="{00000000-0005-0000-0000-000096C00000}"/>
    <cellStyle name="Input 48 4" xfId="49310" xr:uid="{00000000-0005-0000-0000-000097C00000}"/>
    <cellStyle name="Input 48 5" xfId="49311" xr:uid="{00000000-0005-0000-0000-000098C00000}"/>
    <cellStyle name="Input 49" xfId="49312" xr:uid="{00000000-0005-0000-0000-000099C00000}"/>
    <cellStyle name="Input 49 2" xfId="49313" xr:uid="{00000000-0005-0000-0000-00009AC00000}"/>
    <cellStyle name="Input 49 2 2" xfId="49314" xr:uid="{00000000-0005-0000-0000-00009BC00000}"/>
    <cellStyle name="Input 49 2 2 2" xfId="49315" xr:uid="{00000000-0005-0000-0000-00009CC00000}"/>
    <cellStyle name="Input 49 2 3" xfId="49316" xr:uid="{00000000-0005-0000-0000-00009DC00000}"/>
    <cellStyle name="Input 49 2 3 2" xfId="49317" xr:uid="{00000000-0005-0000-0000-00009EC00000}"/>
    <cellStyle name="Input 49 2 3 3" xfId="49318" xr:uid="{00000000-0005-0000-0000-00009FC00000}"/>
    <cellStyle name="Input 49 2 4" xfId="49319" xr:uid="{00000000-0005-0000-0000-0000A0C00000}"/>
    <cellStyle name="Input 49 2 5" xfId="49320" xr:uid="{00000000-0005-0000-0000-0000A1C00000}"/>
    <cellStyle name="Input 49 3" xfId="49321" xr:uid="{00000000-0005-0000-0000-0000A2C00000}"/>
    <cellStyle name="Input 49 3 2" xfId="49322" xr:uid="{00000000-0005-0000-0000-0000A3C00000}"/>
    <cellStyle name="Input 49 3 3" xfId="49323" xr:uid="{00000000-0005-0000-0000-0000A4C00000}"/>
    <cellStyle name="Input 49 4" xfId="49324" xr:uid="{00000000-0005-0000-0000-0000A5C00000}"/>
    <cellStyle name="Input 49 5" xfId="49325" xr:uid="{00000000-0005-0000-0000-0000A6C00000}"/>
    <cellStyle name="Input 5" xfId="49326" xr:uid="{00000000-0005-0000-0000-0000A7C00000}"/>
    <cellStyle name="Input 5 2" xfId="49327" xr:uid="{00000000-0005-0000-0000-0000A8C00000}"/>
    <cellStyle name="Input 5 2 2" xfId="49328" xr:uid="{00000000-0005-0000-0000-0000A9C00000}"/>
    <cellStyle name="Input 5 2 2 2" xfId="49329" xr:uid="{00000000-0005-0000-0000-0000AAC00000}"/>
    <cellStyle name="Input 5 2 3" xfId="49330" xr:uid="{00000000-0005-0000-0000-0000ABC00000}"/>
    <cellStyle name="Input 5 2 3 2" xfId="49331" xr:uid="{00000000-0005-0000-0000-0000ACC00000}"/>
    <cellStyle name="Input 5 2 3 3" xfId="49332" xr:uid="{00000000-0005-0000-0000-0000ADC00000}"/>
    <cellStyle name="Input 5 2 4" xfId="49333" xr:uid="{00000000-0005-0000-0000-0000AEC00000}"/>
    <cellStyle name="Input 5 3" xfId="49334" xr:uid="{00000000-0005-0000-0000-0000AFC00000}"/>
    <cellStyle name="Input 5 3 2" xfId="49335" xr:uid="{00000000-0005-0000-0000-0000B0C00000}"/>
    <cellStyle name="Input 5 4" xfId="49336" xr:uid="{00000000-0005-0000-0000-0000B1C00000}"/>
    <cellStyle name="Input 5 4 2" xfId="49337" xr:uid="{00000000-0005-0000-0000-0000B2C00000}"/>
    <cellStyle name="Input 5 4 3" xfId="49338" xr:uid="{00000000-0005-0000-0000-0000B3C00000}"/>
    <cellStyle name="Input 5 5" xfId="49339" xr:uid="{00000000-0005-0000-0000-0000B4C00000}"/>
    <cellStyle name="Input 5 6" xfId="49340" xr:uid="{00000000-0005-0000-0000-0000B5C00000}"/>
    <cellStyle name="Input 50" xfId="49341" xr:uid="{00000000-0005-0000-0000-0000B6C00000}"/>
    <cellStyle name="Input 50 2" xfId="49342" xr:uid="{00000000-0005-0000-0000-0000B7C00000}"/>
    <cellStyle name="Input 50 2 2" xfId="49343" xr:uid="{00000000-0005-0000-0000-0000B8C00000}"/>
    <cellStyle name="Input 50 2 2 2" xfId="49344" xr:uid="{00000000-0005-0000-0000-0000B9C00000}"/>
    <cellStyle name="Input 50 2 3" xfId="49345" xr:uid="{00000000-0005-0000-0000-0000BAC00000}"/>
    <cellStyle name="Input 50 2 3 2" xfId="49346" xr:uid="{00000000-0005-0000-0000-0000BBC00000}"/>
    <cellStyle name="Input 50 2 3 3" xfId="49347" xr:uid="{00000000-0005-0000-0000-0000BCC00000}"/>
    <cellStyle name="Input 50 2 4" xfId="49348" xr:uid="{00000000-0005-0000-0000-0000BDC00000}"/>
    <cellStyle name="Input 50 2 5" xfId="49349" xr:uid="{00000000-0005-0000-0000-0000BEC00000}"/>
    <cellStyle name="Input 50 3" xfId="49350" xr:uid="{00000000-0005-0000-0000-0000BFC00000}"/>
    <cellStyle name="Input 50 3 2" xfId="49351" xr:uid="{00000000-0005-0000-0000-0000C0C00000}"/>
    <cellStyle name="Input 50 3 3" xfId="49352" xr:uid="{00000000-0005-0000-0000-0000C1C00000}"/>
    <cellStyle name="Input 50 4" xfId="49353" xr:uid="{00000000-0005-0000-0000-0000C2C00000}"/>
    <cellStyle name="Input 50 5" xfId="49354" xr:uid="{00000000-0005-0000-0000-0000C3C00000}"/>
    <cellStyle name="Input 51" xfId="49355" xr:uid="{00000000-0005-0000-0000-0000C4C00000}"/>
    <cellStyle name="Input 51 2" xfId="49356" xr:uid="{00000000-0005-0000-0000-0000C5C00000}"/>
    <cellStyle name="Input 51 2 2" xfId="49357" xr:uid="{00000000-0005-0000-0000-0000C6C00000}"/>
    <cellStyle name="Input 51 2 2 2" xfId="49358" xr:uid="{00000000-0005-0000-0000-0000C7C00000}"/>
    <cellStyle name="Input 51 2 3" xfId="49359" xr:uid="{00000000-0005-0000-0000-0000C8C00000}"/>
    <cellStyle name="Input 51 2 3 2" xfId="49360" xr:uid="{00000000-0005-0000-0000-0000C9C00000}"/>
    <cellStyle name="Input 51 2 3 3" xfId="49361" xr:uid="{00000000-0005-0000-0000-0000CAC00000}"/>
    <cellStyle name="Input 51 2 4" xfId="49362" xr:uid="{00000000-0005-0000-0000-0000CBC00000}"/>
    <cellStyle name="Input 51 2 5" xfId="49363" xr:uid="{00000000-0005-0000-0000-0000CCC00000}"/>
    <cellStyle name="Input 51 3" xfId="49364" xr:uid="{00000000-0005-0000-0000-0000CDC00000}"/>
    <cellStyle name="Input 51 3 2" xfId="49365" xr:uid="{00000000-0005-0000-0000-0000CEC00000}"/>
    <cellStyle name="Input 51 3 3" xfId="49366" xr:uid="{00000000-0005-0000-0000-0000CFC00000}"/>
    <cellStyle name="Input 51 4" xfId="49367" xr:uid="{00000000-0005-0000-0000-0000D0C00000}"/>
    <cellStyle name="Input 51 5" xfId="49368" xr:uid="{00000000-0005-0000-0000-0000D1C00000}"/>
    <cellStyle name="Input 52" xfId="49369" xr:uid="{00000000-0005-0000-0000-0000D2C00000}"/>
    <cellStyle name="Input 52 2" xfId="49370" xr:uid="{00000000-0005-0000-0000-0000D3C00000}"/>
    <cellStyle name="Input 52 2 2" xfId="49371" xr:uid="{00000000-0005-0000-0000-0000D4C00000}"/>
    <cellStyle name="Input 52 2 2 2" xfId="49372" xr:uid="{00000000-0005-0000-0000-0000D5C00000}"/>
    <cellStyle name="Input 52 2 3" xfId="49373" xr:uid="{00000000-0005-0000-0000-0000D6C00000}"/>
    <cellStyle name="Input 52 2 3 2" xfId="49374" xr:uid="{00000000-0005-0000-0000-0000D7C00000}"/>
    <cellStyle name="Input 52 2 3 3" xfId="49375" xr:uid="{00000000-0005-0000-0000-0000D8C00000}"/>
    <cellStyle name="Input 52 2 4" xfId="49376" xr:uid="{00000000-0005-0000-0000-0000D9C00000}"/>
    <cellStyle name="Input 52 2 5" xfId="49377" xr:uid="{00000000-0005-0000-0000-0000DAC00000}"/>
    <cellStyle name="Input 52 3" xfId="49378" xr:uid="{00000000-0005-0000-0000-0000DBC00000}"/>
    <cellStyle name="Input 52 3 2" xfId="49379" xr:uid="{00000000-0005-0000-0000-0000DCC00000}"/>
    <cellStyle name="Input 52 3 3" xfId="49380" xr:uid="{00000000-0005-0000-0000-0000DDC00000}"/>
    <cellStyle name="Input 52 4" xfId="49381" xr:uid="{00000000-0005-0000-0000-0000DEC00000}"/>
    <cellStyle name="Input 52 5" xfId="49382" xr:uid="{00000000-0005-0000-0000-0000DFC00000}"/>
    <cellStyle name="Input 53" xfId="49383" xr:uid="{00000000-0005-0000-0000-0000E0C00000}"/>
    <cellStyle name="Input 53 2" xfId="49384" xr:uid="{00000000-0005-0000-0000-0000E1C00000}"/>
    <cellStyle name="Input 53 2 2" xfId="49385" xr:uid="{00000000-0005-0000-0000-0000E2C00000}"/>
    <cellStyle name="Input 53 2 2 2" xfId="49386" xr:uid="{00000000-0005-0000-0000-0000E3C00000}"/>
    <cellStyle name="Input 53 2 3" xfId="49387" xr:uid="{00000000-0005-0000-0000-0000E4C00000}"/>
    <cellStyle name="Input 53 2 3 2" xfId="49388" xr:uid="{00000000-0005-0000-0000-0000E5C00000}"/>
    <cellStyle name="Input 53 2 3 3" xfId="49389" xr:uid="{00000000-0005-0000-0000-0000E6C00000}"/>
    <cellStyle name="Input 53 2 4" xfId="49390" xr:uid="{00000000-0005-0000-0000-0000E7C00000}"/>
    <cellStyle name="Input 53 2 5" xfId="49391" xr:uid="{00000000-0005-0000-0000-0000E8C00000}"/>
    <cellStyle name="Input 53 3" xfId="49392" xr:uid="{00000000-0005-0000-0000-0000E9C00000}"/>
    <cellStyle name="Input 53 3 2" xfId="49393" xr:uid="{00000000-0005-0000-0000-0000EAC00000}"/>
    <cellStyle name="Input 53 3 3" xfId="49394" xr:uid="{00000000-0005-0000-0000-0000EBC00000}"/>
    <cellStyle name="Input 53 4" xfId="49395" xr:uid="{00000000-0005-0000-0000-0000ECC00000}"/>
    <cellStyle name="Input 53 5" xfId="49396" xr:uid="{00000000-0005-0000-0000-0000EDC00000}"/>
    <cellStyle name="Input 54" xfId="49397" xr:uid="{00000000-0005-0000-0000-0000EEC00000}"/>
    <cellStyle name="Input 54 2" xfId="49398" xr:uid="{00000000-0005-0000-0000-0000EFC00000}"/>
    <cellStyle name="Input 54 2 2" xfId="49399" xr:uid="{00000000-0005-0000-0000-0000F0C00000}"/>
    <cellStyle name="Input 54 2 2 2" xfId="49400" xr:uid="{00000000-0005-0000-0000-0000F1C00000}"/>
    <cellStyle name="Input 54 2 3" xfId="49401" xr:uid="{00000000-0005-0000-0000-0000F2C00000}"/>
    <cellStyle name="Input 54 2 3 2" xfId="49402" xr:uid="{00000000-0005-0000-0000-0000F3C00000}"/>
    <cellStyle name="Input 54 2 3 3" xfId="49403" xr:uid="{00000000-0005-0000-0000-0000F4C00000}"/>
    <cellStyle name="Input 54 2 4" xfId="49404" xr:uid="{00000000-0005-0000-0000-0000F5C00000}"/>
    <cellStyle name="Input 54 2 5" xfId="49405" xr:uid="{00000000-0005-0000-0000-0000F6C00000}"/>
    <cellStyle name="Input 54 3" xfId="49406" xr:uid="{00000000-0005-0000-0000-0000F7C00000}"/>
    <cellStyle name="Input 54 3 2" xfId="49407" xr:uid="{00000000-0005-0000-0000-0000F8C00000}"/>
    <cellStyle name="Input 54 3 3" xfId="49408" xr:uid="{00000000-0005-0000-0000-0000F9C00000}"/>
    <cellStyle name="Input 54 4" xfId="49409" xr:uid="{00000000-0005-0000-0000-0000FAC00000}"/>
    <cellStyle name="Input 54 5" xfId="49410" xr:uid="{00000000-0005-0000-0000-0000FBC00000}"/>
    <cellStyle name="Input 55" xfId="49411" xr:uid="{00000000-0005-0000-0000-0000FCC00000}"/>
    <cellStyle name="Input 55 2" xfId="49412" xr:uid="{00000000-0005-0000-0000-0000FDC00000}"/>
    <cellStyle name="Input 55 2 2" xfId="49413" xr:uid="{00000000-0005-0000-0000-0000FEC00000}"/>
    <cellStyle name="Input 55 2 2 2" xfId="49414" xr:uid="{00000000-0005-0000-0000-0000FFC00000}"/>
    <cellStyle name="Input 55 2 3" xfId="49415" xr:uid="{00000000-0005-0000-0000-000000C10000}"/>
    <cellStyle name="Input 55 2 3 2" xfId="49416" xr:uid="{00000000-0005-0000-0000-000001C10000}"/>
    <cellStyle name="Input 55 2 3 3" xfId="49417" xr:uid="{00000000-0005-0000-0000-000002C10000}"/>
    <cellStyle name="Input 55 2 4" xfId="49418" xr:uid="{00000000-0005-0000-0000-000003C10000}"/>
    <cellStyle name="Input 55 2 5" xfId="49419" xr:uid="{00000000-0005-0000-0000-000004C10000}"/>
    <cellStyle name="Input 55 3" xfId="49420" xr:uid="{00000000-0005-0000-0000-000005C10000}"/>
    <cellStyle name="Input 55 3 2" xfId="49421" xr:uid="{00000000-0005-0000-0000-000006C10000}"/>
    <cellStyle name="Input 55 3 3" xfId="49422" xr:uid="{00000000-0005-0000-0000-000007C10000}"/>
    <cellStyle name="Input 55 4" xfId="49423" xr:uid="{00000000-0005-0000-0000-000008C10000}"/>
    <cellStyle name="Input 55 5" xfId="49424" xr:uid="{00000000-0005-0000-0000-000009C10000}"/>
    <cellStyle name="Input 56" xfId="49425" xr:uid="{00000000-0005-0000-0000-00000AC10000}"/>
    <cellStyle name="Input 56 2" xfId="49426" xr:uid="{00000000-0005-0000-0000-00000BC10000}"/>
    <cellStyle name="Input 56 2 2" xfId="49427" xr:uid="{00000000-0005-0000-0000-00000CC10000}"/>
    <cellStyle name="Input 56 2 2 2" xfId="49428" xr:uid="{00000000-0005-0000-0000-00000DC10000}"/>
    <cellStyle name="Input 56 2 3" xfId="49429" xr:uid="{00000000-0005-0000-0000-00000EC10000}"/>
    <cellStyle name="Input 56 2 3 2" xfId="49430" xr:uid="{00000000-0005-0000-0000-00000FC10000}"/>
    <cellStyle name="Input 56 2 3 3" xfId="49431" xr:uid="{00000000-0005-0000-0000-000010C10000}"/>
    <cellStyle name="Input 56 2 4" xfId="49432" xr:uid="{00000000-0005-0000-0000-000011C10000}"/>
    <cellStyle name="Input 56 2 5" xfId="49433" xr:uid="{00000000-0005-0000-0000-000012C10000}"/>
    <cellStyle name="Input 56 3" xfId="49434" xr:uid="{00000000-0005-0000-0000-000013C10000}"/>
    <cellStyle name="Input 56 3 2" xfId="49435" xr:uid="{00000000-0005-0000-0000-000014C10000}"/>
    <cellStyle name="Input 56 3 3" xfId="49436" xr:uid="{00000000-0005-0000-0000-000015C10000}"/>
    <cellStyle name="Input 56 4" xfId="49437" xr:uid="{00000000-0005-0000-0000-000016C10000}"/>
    <cellStyle name="Input 56 5" xfId="49438" xr:uid="{00000000-0005-0000-0000-000017C10000}"/>
    <cellStyle name="Input 57" xfId="49439" xr:uid="{00000000-0005-0000-0000-000018C10000}"/>
    <cellStyle name="Input 57 2" xfId="49440" xr:uid="{00000000-0005-0000-0000-000019C10000}"/>
    <cellStyle name="Input 57 2 2" xfId="49441" xr:uid="{00000000-0005-0000-0000-00001AC10000}"/>
    <cellStyle name="Input 57 2 2 2" xfId="49442" xr:uid="{00000000-0005-0000-0000-00001BC10000}"/>
    <cellStyle name="Input 57 2 3" xfId="49443" xr:uid="{00000000-0005-0000-0000-00001CC10000}"/>
    <cellStyle name="Input 57 2 3 2" xfId="49444" xr:uid="{00000000-0005-0000-0000-00001DC10000}"/>
    <cellStyle name="Input 57 2 3 3" xfId="49445" xr:uid="{00000000-0005-0000-0000-00001EC10000}"/>
    <cellStyle name="Input 57 2 4" xfId="49446" xr:uid="{00000000-0005-0000-0000-00001FC10000}"/>
    <cellStyle name="Input 57 2 5" xfId="49447" xr:uid="{00000000-0005-0000-0000-000020C10000}"/>
    <cellStyle name="Input 57 3" xfId="49448" xr:uid="{00000000-0005-0000-0000-000021C10000}"/>
    <cellStyle name="Input 57 3 2" xfId="49449" xr:uid="{00000000-0005-0000-0000-000022C10000}"/>
    <cellStyle name="Input 57 3 3" xfId="49450" xr:uid="{00000000-0005-0000-0000-000023C10000}"/>
    <cellStyle name="Input 57 4" xfId="49451" xr:uid="{00000000-0005-0000-0000-000024C10000}"/>
    <cellStyle name="Input 57 5" xfId="49452" xr:uid="{00000000-0005-0000-0000-000025C10000}"/>
    <cellStyle name="Input 58" xfId="49453" xr:uid="{00000000-0005-0000-0000-000026C10000}"/>
    <cellStyle name="Input 58 2" xfId="49454" xr:uid="{00000000-0005-0000-0000-000027C10000}"/>
    <cellStyle name="Input 58 2 2" xfId="49455" xr:uid="{00000000-0005-0000-0000-000028C10000}"/>
    <cellStyle name="Input 58 2 2 2" xfId="49456" xr:uid="{00000000-0005-0000-0000-000029C10000}"/>
    <cellStyle name="Input 58 2 3" xfId="49457" xr:uid="{00000000-0005-0000-0000-00002AC10000}"/>
    <cellStyle name="Input 58 2 3 2" xfId="49458" xr:uid="{00000000-0005-0000-0000-00002BC10000}"/>
    <cellStyle name="Input 58 2 3 3" xfId="49459" xr:uid="{00000000-0005-0000-0000-00002CC10000}"/>
    <cellStyle name="Input 58 2 4" xfId="49460" xr:uid="{00000000-0005-0000-0000-00002DC10000}"/>
    <cellStyle name="Input 58 2 5" xfId="49461" xr:uid="{00000000-0005-0000-0000-00002EC10000}"/>
    <cellStyle name="Input 58 3" xfId="49462" xr:uid="{00000000-0005-0000-0000-00002FC10000}"/>
    <cellStyle name="Input 58 3 2" xfId="49463" xr:uid="{00000000-0005-0000-0000-000030C10000}"/>
    <cellStyle name="Input 58 3 3" xfId="49464" xr:uid="{00000000-0005-0000-0000-000031C10000}"/>
    <cellStyle name="Input 58 4" xfId="49465" xr:uid="{00000000-0005-0000-0000-000032C10000}"/>
    <cellStyle name="Input 58 5" xfId="49466" xr:uid="{00000000-0005-0000-0000-000033C10000}"/>
    <cellStyle name="Input 59" xfId="49467" xr:uid="{00000000-0005-0000-0000-000034C10000}"/>
    <cellStyle name="Input 59 2" xfId="49468" xr:uid="{00000000-0005-0000-0000-000035C10000}"/>
    <cellStyle name="Input 59 2 2" xfId="49469" xr:uid="{00000000-0005-0000-0000-000036C10000}"/>
    <cellStyle name="Input 59 2 2 2" xfId="49470" xr:uid="{00000000-0005-0000-0000-000037C10000}"/>
    <cellStyle name="Input 59 2 3" xfId="49471" xr:uid="{00000000-0005-0000-0000-000038C10000}"/>
    <cellStyle name="Input 59 2 3 2" xfId="49472" xr:uid="{00000000-0005-0000-0000-000039C10000}"/>
    <cellStyle name="Input 59 2 3 3" xfId="49473" xr:uid="{00000000-0005-0000-0000-00003AC10000}"/>
    <cellStyle name="Input 59 2 4" xfId="49474" xr:uid="{00000000-0005-0000-0000-00003BC10000}"/>
    <cellStyle name="Input 59 3" xfId="49475" xr:uid="{00000000-0005-0000-0000-00003CC10000}"/>
    <cellStyle name="Input 59 3 2" xfId="49476" xr:uid="{00000000-0005-0000-0000-00003DC10000}"/>
    <cellStyle name="Input 59 3 3" xfId="49477" xr:uid="{00000000-0005-0000-0000-00003EC10000}"/>
    <cellStyle name="Input 59 4" xfId="49478" xr:uid="{00000000-0005-0000-0000-00003FC10000}"/>
    <cellStyle name="Input 59 5" xfId="49479" xr:uid="{00000000-0005-0000-0000-000040C10000}"/>
    <cellStyle name="Input 6" xfId="49480" xr:uid="{00000000-0005-0000-0000-000041C10000}"/>
    <cellStyle name="Input 6 2" xfId="49481" xr:uid="{00000000-0005-0000-0000-000042C10000}"/>
    <cellStyle name="Input 6 2 2" xfId="49482" xr:uid="{00000000-0005-0000-0000-000043C10000}"/>
    <cellStyle name="Input 6 2 2 2" xfId="49483" xr:uid="{00000000-0005-0000-0000-000044C10000}"/>
    <cellStyle name="Input 6 2 3" xfId="49484" xr:uid="{00000000-0005-0000-0000-000045C10000}"/>
    <cellStyle name="Input 6 2 3 2" xfId="49485" xr:uid="{00000000-0005-0000-0000-000046C10000}"/>
    <cellStyle name="Input 6 2 3 3" xfId="49486" xr:uid="{00000000-0005-0000-0000-000047C10000}"/>
    <cellStyle name="Input 6 2 4" xfId="49487" xr:uid="{00000000-0005-0000-0000-000048C10000}"/>
    <cellStyle name="Input 6 3" xfId="49488" xr:uid="{00000000-0005-0000-0000-000049C10000}"/>
    <cellStyle name="Input 6 3 2" xfId="49489" xr:uid="{00000000-0005-0000-0000-00004AC10000}"/>
    <cellStyle name="Input 6 4" xfId="49490" xr:uid="{00000000-0005-0000-0000-00004BC10000}"/>
    <cellStyle name="Input 6 4 2" xfId="49491" xr:uid="{00000000-0005-0000-0000-00004CC10000}"/>
    <cellStyle name="Input 6 4 3" xfId="49492" xr:uid="{00000000-0005-0000-0000-00004DC10000}"/>
    <cellStyle name="Input 6 5" xfId="49493" xr:uid="{00000000-0005-0000-0000-00004EC10000}"/>
    <cellStyle name="Input 6 6" xfId="49494" xr:uid="{00000000-0005-0000-0000-00004FC10000}"/>
    <cellStyle name="Input 60" xfId="49495" xr:uid="{00000000-0005-0000-0000-000050C10000}"/>
    <cellStyle name="Input 60 2" xfId="49496" xr:uid="{00000000-0005-0000-0000-000051C10000}"/>
    <cellStyle name="Input 60 2 2" xfId="49497" xr:uid="{00000000-0005-0000-0000-000052C10000}"/>
    <cellStyle name="Input 60 2 2 2" xfId="49498" xr:uid="{00000000-0005-0000-0000-000053C10000}"/>
    <cellStyle name="Input 60 2 3" xfId="49499" xr:uid="{00000000-0005-0000-0000-000054C10000}"/>
    <cellStyle name="Input 60 2 3 2" xfId="49500" xr:uid="{00000000-0005-0000-0000-000055C10000}"/>
    <cellStyle name="Input 60 2 3 3" xfId="49501" xr:uid="{00000000-0005-0000-0000-000056C10000}"/>
    <cellStyle name="Input 60 2 4" xfId="49502" xr:uid="{00000000-0005-0000-0000-000057C10000}"/>
    <cellStyle name="Input 60 2 5" xfId="49503" xr:uid="{00000000-0005-0000-0000-000058C10000}"/>
    <cellStyle name="Input 60 3" xfId="49504" xr:uid="{00000000-0005-0000-0000-000059C10000}"/>
    <cellStyle name="Input 60 3 2" xfId="49505" xr:uid="{00000000-0005-0000-0000-00005AC10000}"/>
    <cellStyle name="Input 60 3 3" xfId="49506" xr:uid="{00000000-0005-0000-0000-00005BC10000}"/>
    <cellStyle name="Input 60 4" xfId="49507" xr:uid="{00000000-0005-0000-0000-00005CC10000}"/>
    <cellStyle name="Input 60 5" xfId="49508" xr:uid="{00000000-0005-0000-0000-00005DC10000}"/>
    <cellStyle name="Input 61" xfId="49509" xr:uid="{00000000-0005-0000-0000-00005EC10000}"/>
    <cellStyle name="Input 61 2" xfId="49510" xr:uid="{00000000-0005-0000-0000-00005FC10000}"/>
    <cellStyle name="Input 61 2 2" xfId="49511" xr:uid="{00000000-0005-0000-0000-000060C10000}"/>
    <cellStyle name="Input 61 2 2 2" xfId="49512" xr:uid="{00000000-0005-0000-0000-000061C10000}"/>
    <cellStyle name="Input 61 2 3" xfId="49513" xr:uid="{00000000-0005-0000-0000-000062C10000}"/>
    <cellStyle name="Input 61 2 3 2" xfId="49514" xr:uid="{00000000-0005-0000-0000-000063C10000}"/>
    <cellStyle name="Input 61 2 3 3" xfId="49515" xr:uid="{00000000-0005-0000-0000-000064C10000}"/>
    <cellStyle name="Input 61 2 4" xfId="49516" xr:uid="{00000000-0005-0000-0000-000065C10000}"/>
    <cellStyle name="Input 61 2 5" xfId="49517" xr:uid="{00000000-0005-0000-0000-000066C10000}"/>
    <cellStyle name="Input 61 3" xfId="49518" xr:uid="{00000000-0005-0000-0000-000067C10000}"/>
    <cellStyle name="Input 61 3 2" xfId="49519" xr:uid="{00000000-0005-0000-0000-000068C10000}"/>
    <cellStyle name="Input 61 3 3" xfId="49520" xr:uid="{00000000-0005-0000-0000-000069C10000}"/>
    <cellStyle name="Input 61 4" xfId="49521" xr:uid="{00000000-0005-0000-0000-00006AC10000}"/>
    <cellStyle name="Input 61 5" xfId="49522" xr:uid="{00000000-0005-0000-0000-00006BC10000}"/>
    <cellStyle name="Input 62" xfId="49523" xr:uid="{00000000-0005-0000-0000-00006CC10000}"/>
    <cellStyle name="Input 62 2" xfId="49524" xr:uid="{00000000-0005-0000-0000-00006DC10000}"/>
    <cellStyle name="Input 62 2 2" xfId="49525" xr:uid="{00000000-0005-0000-0000-00006EC10000}"/>
    <cellStyle name="Input 62 2 2 2" xfId="49526" xr:uid="{00000000-0005-0000-0000-00006FC10000}"/>
    <cellStyle name="Input 62 2 3" xfId="49527" xr:uid="{00000000-0005-0000-0000-000070C10000}"/>
    <cellStyle name="Input 62 2 3 2" xfId="49528" xr:uid="{00000000-0005-0000-0000-000071C10000}"/>
    <cellStyle name="Input 62 2 3 3" xfId="49529" xr:uid="{00000000-0005-0000-0000-000072C10000}"/>
    <cellStyle name="Input 62 2 4" xfId="49530" xr:uid="{00000000-0005-0000-0000-000073C10000}"/>
    <cellStyle name="Input 62 2 5" xfId="49531" xr:uid="{00000000-0005-0000-0000-000074C10000}"/>
    <cellStyle name="Input 62 3" xfId="49532" xr:uid="{00000000-0005-0000-0000-000075C10000}"/>
    <cellStyle name="Input 62 3 2" xfId="49533" xr:uid="{00000000-0005-0000-0000-000076C10000}"/>
    <cellStyle name="Input 62 3 3" xfId="49534" xr:uid="{00000000-0005-0000-0000-000077C10000}"/>
    <cellStyle name="Input 62 4" xfId="49535" xr:uid="{00000000-0005-0000-0000-000078C10000}"/>
    <cellStyle name="Input 62 5" xfId="49536" xr:uid="{00000000-0005-0000-0000-000079C10000}"/>
    <cellStyle name="Input 63" xfId="49537" xr:uid="{00000000-0005-0000-0000-00007AC10000}"/>
    <cellStyle name="Input 63 2" xfId="49538" xr:uid="{00000000-0005-0000-0000-00007BC10000}"/>
    <cellStyle name="Input 63 2 2" xfId="49539" xr:uid="{00000000-0005-0000-0000-00007CC10000}"/>
    <cellStyle name="Input 63 2 2 2" xfId="49540" xr:uid="{00000000-0005-0000-0000-00007DC10000}"/>
    <cellStyle name="Input 63 2 3" xfId="49541" xr:uid="{00000000-0005-0000-0000-00007EC10000}"/>
    <cellStyle name="Input 63 2 3 2" xfId="49542" xr:uid="{00000000-0005-0000-0000-00007FC10000}"/>
    <cellStyle name="Input 63 2 3 3" xfId="49543" xr:uid="{00000000-0005-0000-0000-000080C10000}"/>
    <cellStyle name="Input 63 2 4" xfId="49544" xr:uid="{00000000-0005-0000-0000-000081C10000}"/>
    <cellStyle name="Input 63 2 5" xfId="49545" xr:uid="{00000000-0005-0000-0000-000082C10000}"/>
    <cellStyle name="Input 63 3" xfId="49546" xr:uid="{00000000-0005-0000-0000-000083C10000}"/>
    <cellStyle name="Input 63 3 2" xfId="49547" xr:uid="{00000000-0005-0000-0000-000084C10000}"/>
    <cellStyle name="Input 63 3 3" xfId="49548" xr:uid="{00000000-0005-0000-0000-000085C10000}"/>
    <cellStyle name="Input 63 4" xfId="49549" xr:uid="{00000000-0005-0000-0000-000086C10000}"/>
    <cellStyle name="Input 63 5" xfId="49550" xr:uid="{00000000-0005-0000-0000-000087C10000}"/>
    <cellStyle name="Input 64" xfId="49551" xr:uid="{00000000-0005-0000-0000-000088C10000}"/>
    <cellStyle name="Input 64 2" xfId="49552" xr:uid="{00000000-0005-0000-0000-000089C10000}"/>
    <cellStyle name="Input 64 2 2" xfId="49553" xr:uid="{00000000-0005-0000-0000-00008AC10000}"/>
    <cellStyle name="Input 64 2 2 2" xfId="49554" xr:uid="{00000000-0005-0000-0000-00008BC10000}"/>
    <cellStyle name="Input 64 2 3" xfId="49555" xr:uid="{00000000-0005-0000-0000-00008CC10000}"/>
    <cellStyle name="Input 64 2 3 2" xfId="49556" xr:uid="{00000000-0005-0000-0000-00008DC10000}"/>
    <cellStyle name="Input 64 2 3 3" xfId="49557" xr:uid="{00000000-0005-0000-0000-00008EC10000}"/>
    <cellStyle name="Input 64 2 4" xfId="49558" xr:uid="{00000000-0005-0000-0000-00008FC10000}"/>
    <cellStyle name="Input 64 2 5" xfId="49559" xr:uid="{00000000-0005-0000-0000-000090C10000}"/>
    <cellStyle name="Input 64 3" xfId="49560" xr:uid="{00000000-0005-0000-0000-000091C10000}"/>
    <cellStyle name="Input 64 3 2" xfId="49561" xr:uid="{00000000-0005-0000-0000-000092C10000}"/>
    <cellStyle name="Input 64 3 3" xfId="49562" xr:uid="{00000000-0005-0000-0000-000093C10000}"/>
    <cellStyle name="Input 64 4" xfId="49563" xr:uid="{00000000-0005-0000-0000-000094C10000}"/>
    <cellStyle name="Input 64 5" xfId="49564" xr:uid="{00000000-0005-0000-0000-000095C10000}"/>
    <cellStyle name="Input 65" xfId="49565" xr:uid="{00000000-0005-0000-0000-000096C10000}"/>
    <cellStyle name="Input 65 2" xfId="49566" xr:uid="{00000000-0005-0000-0000-000097C10000}"/>
    <cellStyle name="Input 65 2 2" xfId="49567" xr:uid="{00000000-0005-0000-0000-000098C10000}"/>
    <cellStyle name="Input 65 2 2 2" xfId="49568" xr:uid="{00000000-0005-0000-0000-000099C10000}"/>
    <cellStyle name="Input 65 2 3" xfId="49569" xr:uid="{00000000-0005-0000-0000-00009AC10000}"/>
    <cellStyle name="Input 65 2 3 2" xfId="49570" xr:uid="{00000000-0005-0000-0000-00009BC10000}"/>
    <cellStyle name="Input 65 2 3 3" xfId="49571" xr:uid="{00000000-0005-0000-0000-00009CC10000}"/>
    <cellStyle name="Input 65 2 4" xfId="49572" xr:uid="{00000000-0005-0000-0000-00009DC10000}"/>
    <cellStyle name="Input 65 2 5" xfId="49573" xr:uid="{00000000-0005-0000-0000-00009EC10000}"/>
    <cellStyle name="Input 65 3" xfId="49574" xr:uid="{00000000-0005-0000-0000-00009FC10000}"/>
    <cellStyle name="Input 65 3 2" xfId="49575" xr:uid="{00000000-0005-0000-0000-0000A0C10000}"/>
    <cellStyle name="Input 65 3 3" xfId="49576" xr:uid="{00000000-0005-0000-0000-0000A1C10000}"/>
    <cellStyle name="Input 65 4" xfId="49577" xr:uid="{00000000-0005-0000-0000-0000A2C10000}"/>
    <cellStyle name="Input 65 5" xfId="49578" xr:uid="{00000000-0005-0000-0000-0000A3C10000}"/>
    <cellStyle name="Input 66" xfId="49579" xr:uid="{00000000-0005-0000-0000-0000A4C10000}"/>
    <cellStyle name="Input 66 2" xfId="49580" xr:uid="{00000000-0005-0000-0000-0000A5C10000}"/>
    <cellStyle name="Input 66 2 2" xfId="49581" xr:uid="{00000000-0005-0000-0000-0000A6C10000}"/>
    <cellStyle name="Input 66 2 2 2" xfId="49582" xr:uid="{00000000-0005-0000-0000-0000A7C10000}"/>
    <cellStyle name="Input 66 2 3" xfId="49583" xr:uid="{00000000-0005-0000-0000-0000A8C10000}"/>
    <cellStyle name="Input 66 2 3 2" xfId="49584" xr:uid="{00000000-0005-0000-0000-0000A9C10000}"/>
    <cellStyle name="Input 66 2 3 3" xfId="49585" xr:uid="{00000000-0005-0000-0000-0000AAC10000}"/>
    <cellStyle name="Input 66 2 4" xfId="49586" xr:uid="{00000000-0005-0000-0000-0000ABC10000}"/>
    <cellStyle name="Input 66 2 5" xfId="49587" xr:uid="{00000000-0005-0000-0000-0000ACC10000}"/>
    <cellStyle name="Input 66 3" xfId="49588" xr:uid="{00000000-0005-0000-0000-0000ADC10000}"/>
    <cellStyle name="Input 66 3 2" xfId="49589" xr:uid="{00000000-0005-0000-0000-0000AEC10000}"/>
    <cellStyle name="Input 66 3 3" xfId="49590" xr:uid="{00000000-0005-0000-0000-0000AFC10000}"/>
    <cellStyle name="Input 66 4" xfId="49591" xr:uid="{00000000-0005-0000-0000-0000B0C10000}"/>
    <cellStyle name="Input 66 5" xfId="49592" xr:uid="{00000000-0005-0000-0000-0000B1C10000}"/>
    <cellStyle name="Input 67" xfId="49593" xr:uid="{00000000-0005-0000-0000-0000B2C10000}"/>
    <cellStyle name="Input 67 2" xfId="49594" xr:uid="{00000000-0005-0000-0000-0000B3C10000}"/>
    <cellStyle name="Input 67 2 2" xfId="49595" xr:uid="{00000000-0005-0000-0000-0000B4C10000}"/>
    <cellStyle name="Input 67 2 2 2" xfId="49596" xr:uid="{00000000-0005-0000-0000-0000B5C10000}"/>
    <cellStyle name="Input 67 2 3" xfId="49597" xr:uid="{00000000-0005-0000-0000-0000B6C10000}"/>
    <cellStyle name="Input 67 2 3 2" xfId="49598" xr:uid="{00000000-0005-0000-0000-0000B7C10000}"/>
    <cellStyle name="Input 67 2 3 3" xfId="49599" xr:uid="{00000000-0005-0000-0000-0000B8C10000}"/>
    <cellStyle name="Input 67 2 4" xfId="49600" xr:uid="{00000000-0005-0000-0000-0000B9C10000}"/>
    <cellStyle name="Input 67 2 5" xfId="49601" xr:uid="{00000000-0005-0000-0000-0000BAC10000}"/>
    <cellStyle name="Input 67 3" xfId="49602" xr:uid="{00000000-0005-0000-0000-0000BBC10000}"/>
    <cellStyle name="Input 67 3 2" xfId="49603" xr:uid="{00000000-0005-0000-0000-0000BCC10000}"/>
    <cellStyle name="Input 67 3 3" xfId="49604" xr:uid="{00000000-0005-0000-0000-0000BDC10000}"/>
    <cellStyle name="Input 67 4" xfId="49605" xr:uid="{00000000-0005-0000-0000-0000BEC10000}"/>
    <cellStyle name="Input 67 5" xfId="49606" xr:uid="{00000000-0005-0000-0000-0000BFC10000}"/>
    <cellStyle name="Input 68" xfId="49607" xr:uid="{00000000-0005-0000-0000-0000C0C10000}"/>
    <cellStyle name="Input 68 2" xfId="49608" xr:uid="{00000000-0005-0000-0000-0000C1C10000}"/>
    <cellStyle name="Input 68 2 2" xfId="49609" xr:uid="{00000000-0005-0000-0000-0000C2C10000}"/>
    <cellStyle name="Input 68 2 2 2" xfId="49610" xr:uid="{00000000-0005-0000-0000-0000C3C10000}"/>
    <cellStyle name="Input 68 2 3" xfId="49611" xr:uid="{00000000-0005-0000-0000-0000C4C10000}"/>
    <cellStyle name="Input 68 2 3 2" xfId="49612" xr:uid="{00000000-0005-0000-0000-0000C5C10000}"/>
    <cellStyle name="Input 68 2 3 3" xfId="49613" xr:uid="{00000000-0005-0000-0000-0000C6C10000}"/>
    <cellStyle name="Input 68 2 4" xfId="49614" xr:uid="{00000000-0005-0000-0000-0000C7C10000}"/>
    <cellStyle name="Input 68 2 5" xfId="49615" xr:uid="{00000000-0005-0000-0000-0000C8C10000}"/>
    <cellStyle name="Input 68 3" xfId="49616" xr:uid="{00000000-0005-0000-0000-0000C9C10000}"/>
    <cellStyle name="Input 68 3 2" xfId="49617" xr:uid="{00000000-0005-0000-0000-0000CAC10000}"/>
    <cellStyle name="Input 68 3 3" xfId="49618" xr:uid="{00000000-0005-0000-0000-0000CBC10000}"/>
    <cellStyle name="Input 68 4" xfId="49619" xr:uid="{00000000-0005-0000-0000-0000CCC10000}"/>
    <cellStyle name="Input 68 5" xfId="49620" xr:uid="{00000000-0005-0000-0000-0000CDC10000}"/>
    <cellStyle name="Input 69" xfId="49621" xr:uid="{00000000-0005-0000-0000-0000CEC10000}"/>
    <cellStyle name="Input 69 2" xfId="49622" xr:uid="{00000000-0005-0000-0000-0000CFC10000}"/>
    <cellStyle name="Input 69 2 2" xfId="49623" xr:uid="{00000000-0005-0000-0000-0000D0C10000}"/>
    <cellStyle name="Input 69 2 2 2" xfId="49624" xr:uid="{00000000-0005-0000-0000-0000D1C10000}"/>
    <cellStyle name="Input 69 2 3" xfId="49625" xr:uid="{00000000-0005-0000-0000-0000D2C10000}"/>
    <cellStyle name="Input 69 2 3 2" xfId="49626" xr:uid="{00000000-0005-0000-0000-0000D3C10000}"/>
    <cellStyle name="Input 69 2 3 3" xfId="49627" xr:uid="{00000000-0005-0000-0000-0000D4C10000}"/>
    <cellStyle name="Input 69 2 4" xfId="49628" xr:uid="{00000000-0005-0000-0000-0000D5C10000}"/>
    <cellStyle name="Input 69 2 5" xfId="49629" xr:uid="{00000000-0005-0000-0000-0000D6C10000}"/>
    <cellStyle name="Input 69 3" xfId="49630" xr:uid="{00000000-0005-0000-0000-0000D7C10000}"/>
    <cellStyle name="Input 69 3 2" xfId="49631" xr:uid="{00000000-0005-0000-0000-0000D8C10000}"/>
    <cellStyle name="Input 69 3 3" xfId="49632" xr:uid="{00000000-0005-0000-0000-0000D9C10000}"/>
    <cellStyle name="Input 69 4" xfId="49633" xr:uid="{00000000-0005-0000-0000-0000DAC10000}"/>
    <cellStyle name="Input 69 5" xfId="49634" xr:uid="{00000000-0005-0000-0000-0000DBC10000}"/>
    <cellStyle name="Input 7" xfId="49635" xr:uid="{00000000-0005-0000-0000-0000DCC10000}"/>
    <cellStyle name="Input 7 2" xfId="49636" xr:uid="{00000000-0005-0000-0000-0000DDC10000}"/>
    <cellStyle name="Input 7 2 2" xfId="49637" xr:uid="{00000000-0005-0000-0000-0000DEC10000}"/>
    <cellStyle name="Input 7 2 2 2" xfId="49638" xr:uid="{00000000-0005-0000-0000-0000DFC10000}"/>
    <cellStyle name="Input 7 2 3" xfId="49639" xr:uid="{00000000-0005-0000-0000-0000E0C10000}"/>
    <cellStyle name="Input 7 2 3 2" xfId="49640" xr:uid="{00000000-0005-0000-0000-0000E1C10000}"/>
    <cellStyle name="Input 7 2 3 3" xfId="49641" xr:uid="{00000000-0005-0000-0000-0000E2C10000}"/>
    <cellStyle name="Input 7 2 4" xfId="49642" xr:uid="{00000000-0005-0000-0000-0000E3C10000}"/>
    <cellStyle name="Input 7 3" xfId="49643" xr:uid="{00000000-0005-0000-0000-0000E4C10000}"/>
    <cellStyle name="Input 7 3 2" xfId="49644" xr:uid="{00000000-0005-0000-0000-0000E5C10000}"/>
    <cellStyle name="Input 7 4" xfId="49645" xr:uid="{00000000-0005-0000-0000-0000E6C10000}"/>
    <cellStyle name="Input 7 4 2" xfId="49646" xr:uid="{00000000-0005-0000-0000-0000E7C10000}"/>
    <cellStyle name="Input 7 4 3" xfId="49647" xr:uid="{00000000-0005-0000-0000-0000E8C10000}"/>
    <cellStyle name="Input 7 5" xfId="49648" xr:uid="{00000000-0005-0000-0000-0000E9C10000}"/>
    <cellStyle name="Input 7 6" xfId="49649" xr:uid="{00000000-0005-0000-0000-0000EAC10000}"/>
    <cellStyle name="Input 70" xfId="49650" xr:uid="{00000000-0005-0000-0000-0000EBC10000}"/>
    <cellStyle name="Input 70 2" xfId="49651" xr:uid="{00000000-0005-0000-0000-0000ECC10000}"/>
    <cellStyle name="Input 70 2 2" xfId="49652" xr:uid="{00000000-0005-0000-0000-0000EDC10000}"/>
    <cellStyle name="Input 70 2 2 2" xfId="49653" xr:uid="{00000000-0005-0000-0000-0000EEC10000}"/>
    <cellStyle name="Input 70 2 3" xfId="49654" xr:uid="{00000000-0005-0000-0000-0000EFC10000}"/>
    <cellStyle name="Input 70 2 3 2" xfId="49655" xr:uid="{00000000-0005-0000-0000-0000F0C10000}"/>
    <cellStyle name="Input 70 2 3 3" xfId="49656" xr:uid="{00000000-0005-0000-0000-0000F1C10000}"/>
    <cellStyle name="Input 70 2 4" xfId="49657" xr:uid="{00000000-0005-0000-0000-0000F2C10000}"/>
    <cellStyle name="Input 70 2 5" xfId="49658" xr:uid="{00000000-0005-0000-0000-0000F3C10000}"/>
    <cellStyle name="Input 70 3" xfId="49659" xr:uid="{00000000-0005-0000-0000-0000F4C10000}"/>
    <cellStyle name="Input 70 3 2" xfId="49660" xr:uid="{00000000-0005-0000-0000-0000F5C10000}"/>
    <cellStyle name="Input 70 3 3" xfId="49661" xr:uid="{00000000-0005-0000-0000-0000F6C10000}"/>
    <cellStyle name="Input 70 4" xfId="49662" xr:uid="{00000000-0005-0000-0000-0000F7C10000}"/>
    <cellStyle name="Input 70 5" xfId="49663" xr:uid="{00000000-0005-0000-0000-0000F8C10000}"/>
    <cellStyle name="Input 71" xfId="49664" xr:uid="{00000000-0005-0000-0000-0000F9C10000}"/>
    <cellStyle name="Input 71 2" xfId="49665" xr:uid="{00000000-0005-0000-0000-0000FAC10000}"/>
    <cellStyle name="Input 71 2 2" xfId="49666" xr:uid="{00000000-0005-0000-0000-0000FBC10000}"/>
    <cellStyle name="Input 71 2 2 2" xfId="49667" xr:uid="{00000000-0005-0000-0000-0000FCC10000}"/>
    <cellStyle name="Input 71 2 3" xfId="49668" xr:uid="{00000000-0005-0000-0000-0000FDC10000}"/>
    <cellStyle name="Input 71 2 3 2" xfId="49669" xr:uid="{00000000-0005-0000-0000-0000FEC10000}"/>
    <cellStyle name="Input 71 2 3 3" xfId="49670" xr:uid="{00000000-0005-0000-0000-0000FFC10000}"/>
    <cellStyle name="Input 71 2 4" xfId="49671" xr:uid="{00000000-0005-0000-0000-000000C20000}"/>
    <cellStyle name="Input 71 2 5" xfId="49672" xr:uid="{00000000-0005-0000-0000-000001C20000}"/>
    <cellStyle name="Input 71 3" xfId="49673" xr:uid="{00000000-0005-0000-0000-000002C20000}"/>
    <cellStyle name="Input 71 3 2" xfId="49674" xr:uid="{00000000-0005-0000-0000-000003C20000}"/>
    <cellStyle name="Input 71 3 3" xfId="49675" xr:uid="{00000000-0005-0000-0000-000004C20000}"/>
    <cellStyle name="Input 71 4" xfId="49676" xr:uid="{00000000-0005-0000-0000-000005C20000}"/>
    <cellStyle name="Input 71 5" xfId="49677" xr:uid="{00000000-0005-0000-0000-000006C20000}"/>
    <cellStyle name="Input 72" xfId="49678" xr:uid="{00000000-0005-0000-0000-000007C20000}"/>
    <cellStyle name="Input 72 2" xfId="49679" xr:uid="{00000000-0005-0000-0000-000008C20000}"/>
    <cellStyle name="Input 72 2 2" xfId="49680" xr:uid="{00000000-0005-0000-0000-000009C20000}"/>
    <cellStyle name="Input 72 2 2 2" xfId="49681" xr:uid="{00000000-0005-0000-0000-00000AC20000}"/>
    <cellStyle name="Input 72 2 3" xfId="49682" xr:uid="{00000000-0005-0000-0000-00000BC20000}"/>
    <cellStyle name="Input 72 2 3 2" xfId="49683" xr:uid="{00000000-0005-0000-0000-00000CC20000}"/>
    <cellStyle name="Input 72 2 3 3" xfId="49684" xr:uid="{00000000-0005-0000-0000-00000DC20000}"/>
    <cellStyle name="Input 72 2 4" xfId="49685" xr:uid="{00000000-0005-0000-0000-00000EC20000}"/>
    <cellStyle name="Input 72 2 5" xfId="49686" xr:uid="{00000000-0005-0000-0000-00000FC20000}"/>
    <cellStyle name="Input 72 3" xfId="49687" xr:uid="{00000000-0005-0000-0000-000010C20000}"/>
    <cellStyle name="Input 72 3 2" xfId="49688" xr:uid="{00000000-0005-0000-0000-000011C20000}"/>
    <cellStyle name="Input 72 3 3" xfId="49689" xr:uid="{00000000-0005-0000-0000-000012C20000}"/>
    <cellStyle name="Input 72 4" xfId="49690" xr:uid="{00000000-0005-0000-0000-000013C20000}"/>
    <cellStyle name="Input 72 5" xfId="49691" xr:uid="{00000000-0005-0000-0000-000014C20000}"/>
    <cellStyle name="Input 73" xfId="49692" xr:uid="{00000000-0005-0000-0000-000015C20000}"/>
    <cellStyle name="Input 73 2" xfId="49693" xr:uid="{00000000-0005-0000-0000-000016C20000}"/>
    <cellStyle name="Input 73 2 2" xfId="49694" xr:uid="{00000000-0005-0000-0000-000017C20000}"/>
    <cellStyle name="Input 73 2 2 2" xfId="49695" xr:uid="{00000000-0005-0000-0000-000018C20000}"/>
    <cellStyle name="Input 73 2 3" xfId="49696" xr:uid="{00000000-0005-0000-0000-000019C20000}"/>
    <cellStyle name="Input 73 2 3 2" xfId="49697" xr:uid="{00000000-0005-0000-0000-00001AC20000}"/>
    <cellStyle name="Input 73 2 3 3" xfId="49698" xr:uid="{00000000-0005-0000-0000-00001BC20000}"/>
    <cellStyle name="Input 73 2 4" xfId="49699" xr:uid="{00000000-0005-0000-0000-00001CC20000}"/>
    <cellStyle name="Input 73 2 5" xfId="49700" xr:uid="{00000000-0005-0000-0000-00001DC20000}"/>
    <cellStyle name="Input 73 3" xfId="49701" xr:uid="{00000000-0005-0000-0000-00001EC20000}"/>
    <cellStyle name="Input 73 3 2" xfId="49702" xr:uid="{00000000-0005-0000-0000-00001FC20000}"/>
    <cellStyle name="Input 73 3 3" xfId="49703" xr:uid="{00000000-0005-0000-0000-000020C20000}"/>
    <cellStyle name="Input 73 4" xfId="49704" xr:uid="{00000000-0005-0000-0000-000021C20000}"/>
    <cellStyle name="Input 73 5" xfId="49705" xr:uid="{00000000-0005-0000-0000-000022C20000}"/>
    <cellStyle name="Input 74" xfId="49706" xr:uid="{00000000-0005-0000-0000-000023C20000}"/>
    <cellStyle name="Input 74 2" xfId="49707" xr:uid="{00000000-0005-0000-0000-000024C20000}"/>
    <cellStyle name="Input 74 2 2" xfId="49708" xr:uid="{00000000-0005-0000-0000-000025C20000}"/>
    <cellStyle name="Input 74 2 2 2" xfId="49709" xr:uid="{00000000-0005-0000-0000-000026C20000}"/>
    <cellStyle name="Input 74 2 3" xfId="49710" xr:uid="{00000000-0005-0000-0000-000027C20000}"/>
    <cellStyle name="Input 74 2 3 2" xfId="49711" xr:uid="{00000000-0005-0000-0000-000028C20000}"/>
    <cellStyle name="Input 74 2 3 3" xfId="49712" xr:uid="{00000000-0005-0000-0000-000029C20000}"/>
    <cellStyle name="Input 74 2 4" xfId="49713" xr:uid="{00000000-0005-0000-0000-00002AC20000}"/>
    <cellStyle name="Input 74 2 5" xfId="49714" xr:uid="{00000000-0005-0000-0000-00002BC20000}"/>
    <cellStyle name="Input 74 3" xfId="49715" xr:uid="{00000000-0005-0000-0000-00002CC20000}"/>
    <cellStyle name="Input 74 3 2" xfId="49716" xr:uid="{00000000-0005-0000-0000-00002DC20000}"/>
    <cellStyle name="Input 74 3 3" xfId="49717" xr:uid="{00000000-0005-0000-0000-00002EC20000}"/>
    <cellStyle name="Input 74 4" xfId="49718" xr:uid="{00000000-0005-0000-0000-00002FC20000}"/>
    <cellStyle name="Input 74 5" xfId="49719" xr:uid="{00000000-0005-0000-0000-000030C20000}"/>
    <cellStyle name="Input 75" xfId="49720" xr:uid="{00000000-0005-0000-0000-000031C20000}"/>
    <cellStyle name="Input 75 2" xfId="49721" xr:uid="{00000000-0005-0000-0000-000032C20000}"/>
    <cellStyle name="Input 75 2 2" xfId="49722" xr:uid="{00000000-0005-0000-0000-000033C20000}"/>
    <cellStyle name="Input 75 2 2 2" xfId="49723" xr:uid="{00000000-0005-0000-0000-000034C20000}"/>
    <cellStyle name="Input 75 2 3" xfId="49724" xr:uid="{00000000-0005-0000-0000-000035C20000}"/>
    <cellStyle name="Input 75 2 3 2" xfId="49725" xr:uid="{00000000-0005-0000-0000-000036C20000}"/>
    <cellStyle name="Input 75 2 3 3" xfId="49726" xr:uid="{00000000-0005-0000-0000-000037C20000}"/>
    <cellStyle name="Input 75 2 4" xfId="49727" xr:uid="{00000000-0005-0000-0000-000038C20000}"/>
    <cellStyle name="Input 75 2 5" xfId="49728" xr:uid="{00000000-0005-0000-0000-000039C20000}"/>
    <cellStyle name="Input 75 3" xfId="49729" xr:uid="{00000000-0005-0000-0000-00003AC20000}"/>
    <cellStyle name="Input 75 3 2" xfId="49730" xr:uid="{00000000-0005-0000-0000-00003BC20000}"/>
    <cellStyle name="Input 75 3 3" xfId="49731" xr:uid="{00000000-0005-0000-0000-00003CC20000}"/>
    <cellStyle name="Input 75 4" xfId="49732" xr:uid="{00000000-0005-0000-0000-00003DC20000}"/>
    <cellStyle name="Input 75 5" xfId="49733" xr:uid="{00000000-0005-0000-0000-00003EC20000}"/>
    <cellStyle name="Input 76" xfId="49734" xr:uid="{00000000-0005-0000-0000-00003FC20000}"/>
    <cellStyle name="Input 76 2" xfId="49735" xr:uid="{00000000-0005-0000-0000-000040C20000}"/>
    <cellStyle name="Input 76 2 2" xfId="49736" xr:uid="{00000000-0005-0000-0000-000041C20000}"/>
    <cellStyle name="Input 76 2 2 2" xfId="49737" xr:uid="{00000000-0005-0000-0000-000042C20000}"/>
    <cellStyle name="Input 76 2 3" xfId="49738" xr:uid="{00000000-0005-0000-0000-000043C20000}"/>
    <cellStyle name="Input 76 2 3 2" xfId="49739" xr:uid="{00000000-0005-0000-0000-000044C20000}"/>
    <cellStyle name="Input 76 2 3 3" xfId="49740" xr:uid="{00000000-0005-0000-0000-000045C20000}"/>
    <cellStyle name="Input 76 2 4" xfId="49741" xr:uid="{00000000-0005-0000-0000-000046C20000}"/>
    <cellStyle name="Input 76 2 5" xfId="49742" xr:uid="{00000000-0005-0000-0000-000047C20000}"/>
    <cellStyle name="Input 76 3" xfId="49743" xr:uid="{00000000-0005-0000-0000-000048C20000}"/>
    <cellStyle name="Input 76 3 2" xfId="49744" xr:uid="{00000000-0005-0000-0000-000049C20000}"/>
    <cellStyle name="Input 76 3 3" xfId="49745" xr:uid="{00000000-0005-0000-0000-00004AC20000}"/>
    <cellStyle name="Input 76 4" xfId="49746" xr:uid="{00000000-0005-0000-0000-00004BC20000}"/>
    <cellStyle name="Input 76 5" xfId="49747" xr:uid="{00000000-0005-0000-0000-00004CC20000}"/>
    <cellStyle name="Input 77" xfId="49748" xr:uid="{00000000-0005-0000-0000-00004DC20000}"/>
    <cellStyle name="Input 77 2" xfId="49749" xr:uid="{00000000-0005-0000-0000-00004EC20000}"/>
    <cellStyle name="Input 77 2 2" xfId="49750" xr:uid="{00000000-0005-0000-0000-00004FC20000}"/>
    <cellStyle name="Input 77 2 2 2" xfId="49751" xr:uid="{00000000-0005-0000-0000-000050C20000}"/>
    <cellStyle name="Input 77 2 3" xfId="49752" xr:uid="{00000000-0005-0000-0000-000051C20000}"/>
    <cellStyle name="Input 77 2 3 2" xfId="49753" xr:uid="{00000000-0005-0000-0000-000052C20000}"/>
    <cellStyle name="Input 77 2 3 3" xfId="49754" xr:uid="{00000000-0005-0000-0000-000053C20000}"/>
    <cellStyle name="Input 77 2 4" xfId="49755" xr:uid="{00000000-0005-0000-0000-000054C20000}"/>
    <cellStyle name="Input 77 2 5" xfId="49756" xr:uid="{00000000-0005-0000-0000-000055C20000}"/>
    <cellStyle name="Input 77 3" xfId="49757" xr:uid="{00000000-0005-0000-0000-000056C20000}"/>
    <cellStyle name="Input 77 3 2" xfId="49758" xr:uid="{00000000-0005-0000-0000-000057C20000}"/>
    <cellStyle name="Input 77 3 3" xfId="49759" xr:uid="{00000000-0005-0000-0000-000058C20000}"/>
    <cellStyle name="Input 77 4" xfId="49760" xr:uid="{00000000-0005-0000-0000-000059C20000}"/>
    <cellStyle name="Input 77 5" xfId="49761" xr:uid="{00000000-0005-0000-0000-00005AC20000}"/>
    <cellStyle name="Input 78" xfId="49762" xr:uid="{00000000-0005-0000-0000-00005BC20000}"/>
    <cellStyle name="Input 78 2" xfId="49763" xr:uid="{00000000-0005-0000-0000-00005CC20000}"/>
    <cellStyle name="Input 78 2 2" xfId="49764" xr:uid="{00000000-0005-0000-0000-00005DC20000}"/>
    <cellStyle name="Input 78 2 2 2" xfId="49765" xr:uid="{00000000-0005-0000-0000-00005EC20000}"/>
    <cellStyle name="Input 78 2 3" xfId="49766" xr:uid="{00000000-0005-0000-0000-00005FC20000}"/>
    <cellStyle name="Input 78 2 3 2" xfId="49767" xr:uid="{00000000-0005-0000-0000-000060C20000}"/>
    <cellStyle name="Input 78 2 3 3" xfId="49768" xr:uid="{00000000-0005-0000-0000-000061C20000}"/>
    <cellStyle name="Input 78 2 4" xfId="49769" xr:uid="{00000000-0005-0000-0000-000062C20000}"/>
    <cellStyle name="Input 78 2 5" xfId="49770" xr:uid="{00000000-0005-0000-0000-000063C20000}"/>
    <cellStyle name="Input 78 3" xfId="49771" xr:uid="{00000000-0005-0000-0000-000064C20000}"/>
    <cellStyle name="Input 78 3 2" xfId="49772" xr:uid="{00000000-0005-0000-0000-000065C20000}"/>
    <cellStyle name="Input 78 3 3" xfId="49773" xr:uid="{00000000-0005-0000-0000-000066C20000}"/>
    <cellStyle name="Input 78 4" xfId="49774" xr:uid="{00000000-0005-0000-0000-000067C20000}"/>
    <cellStyle name="Input 78 5" xfId="49775" xr:uid="{00000000-0005-0000-0000-000068C20000}"/>
    <cellStyle name="Input 79" xfId="49776" xr:uid="{00000000-0005-0000-0000-000069C20000}"/>
    <cellStyle name="Input 79 2" xfId="49777" xr:uid="{00000000-0005-0000-0000-00006AC20000}"/>
    <cellStyle name="Input 79 2 2" xfId="49778" xr:uid="{00000000-0005-0000-0000-00006BC20000}"/>
    <cellStyle name="Input 79 2 2 2" xfId="49779" xr:uid="{00000000-0005-0000-0000-00006CC20000}"/>
    <cellStyle name="Input 79 2 3" xfId="49780" xr:uid="{00000000-0005-0000-0000-00006DC20000}"/>
    <cellStyle name="Input 79 2 3 2" xfId="49781" xr:uid="{00000000-0005-0000-0000-00006EC20000}"/>
    <cellStyle name="Input 79 2 3 3" xfId="49782" xr:uid="{00000000-0005-0000-0000-00006FC20000}"/>
    <cellStyle name="Input 79 2 4" xfId="49783" xr:uid="{00000000-0005-0000-0000-000070C20000}"/>
    <cellStyle name="Input 79 2 5" xfId="49784" xr:uid="{00000000-0005-0000-0000-000071C20000}"/>
    <cellStyle name="Input 79 3" xfId="49785" xr:uid="{00000000-0005-0000-0000-000072C20000}"/>
    <cellStyle name="Input 79 3 2" xfId="49786" xr:uid="{00000000-0005-0000-0000-000073C20000}"/>
    <cellStyle name="Input 79 3 3" xfId="49787" xr:uid="{00000000-0005-0000-0000-000074C20000}"/>
    <cellStyle name="Input 79 4" xfId="49788" xr:uid="{00000000-0005-0000-0000-000075C20000}"/>
    <cellStyle name="Input 79 5" xfId="49789" xr:uid="{00000000-0005-0000-0000-000076C20000}"/>
    <cellStyle name="Input 8" xfId="49790" xr:uid="{00000000-0005-0000-0000-000077C20000}"/>
    <cellStyle name="Input 8 2" xfId="49791" xr:uid="{00000000-0005-0000-0000-000078C20000}"/>
    <cellStyle name="Input 8 2 2" xfId="49792" xr:uid="{00000000-0005-0000-0000-000079C20000}"/>
    <cellStyle name="Input 8 2 2 2" xfId="49793" xr:uid="{00000000-0005-0000-0000-00007AC20000}"/>
    <cellStyle name="Input 8 2 3" xfId="49794" xr:uid="{00000000-0005-0000-0000-00007BC20000}"/>
    <cellStyle name="Input 8 2 3 2" xfId="49795" xr:uid="{00000000-0005-0000-0000-00007CC20000}"/>
    <cellStyle name="Input 8 2 3 3" xfId="49796" xr:uid="{00000000-0005-0000-0000-00007DC20000}"/>
    <cellStyle name="Input 8 2 4" xfId="49797" xr:uid="{00000000-0005-0000-0000-00007EC20000}"/>
    <cellStyle name="Input 8 3" xfId="49798" xr:uid="{00000000-0005-0000-0000-00007FC20000}"/>
    <cellStyle name="Input 8 3 2" xfId="49799" xr:uid="{00000000-0005-0000-0000-000080C20000}"/>
    <cellStyle name="Input 8 4" xfId="49800" xr:uid="{00000000-0005-0000-0000-000081C20000}"/>
    <cellStyle name="Input 8 4 2" xfId="49801" xr:uid="{00000000-0005-0000-0000-000082C20000}"/>
    <cellStyle name="Input 8 4 3" xfId="49802" xr:uid="{00000000-0005-0000-0000-000083C20000}"/>
    <cellStyle name="Input 8 5" xfId="49803" xr:uid="{00000000-0005-0000-0000-000084C20000}"/>
    <cellStyle name="Input 8 6" xfId="49804" xr:uid="{00000000-0005-0000-0000-000085C20000}"/>
    <cellStyle name="Input 80" xfId="49805" xr:uid="{00000000-0005-0000-0000-000086C20000}"/>
    <cellStyle name="Input 80 2" xfId="49806" xr:uid="{00000000-0005-0000-0000-000087C20000}"/>
    <cellStyle name="Input 80 2 2" xfId="49807" xr:uid="{00000000-0005-0000-0000-000088C20000}"/>
    <cellStyle name="Input 80 2 2 2" xfId="49808" xr:uid="{00000000-0005-0000-0000-000089C20000}"/>
    <cellStyle name="Input 80 2 3" xfId="49809" xr:uid="{00000000-0005-0000-0000-00008AC20000}"/>
    <cellStyle name="Input 80 2 3 2" xfId="49810" xr:uid="{00000000-0005-0000-0000-00008BC20000}"/>
    <cellStyle name="Input 80 2 3 3" xfId="49811" xr:uid="{00000000-0005-0000-0000-00008CC20000}"/>
    <cellStyle name="Input 80 2 4" xfId="49812" xr:uid="{00000000-0005-0000-0000-00008DC20000}"/>
    <cellStyle name="Input 80 2 5" xfId="49813" xr:uid="{00000000-0005-0000-0000-00008EC20000}"/>
    <cellStyle name="Input 80 3" xfId="49814" xr:uid="{00000000-0005-0000-0000-00008FC20000}"/>
    <cellStyle name="Input 80 3 2" xfId="49815" xr:uid="{00000000-0005-0000-0000-000090C20000}"/>
    <cellStyle name="Input 80 3 3" xfId="49816" xr:uid="{00000000-0005-0000-0000-000091C20000}"/>
    <cellStyle name="Input 80 4" xfId="49817" xr:uid="{00000000-0005-0000-0000-000092C20000}"/>
    <cellStyle name="Input 80 5" xfId="49818" xr:uid="{00000000-0005-0000-0000-000093C20000}"/>
    <cellStyle name="Input 81" xfId="49819" xr:uid="{00000000-0005-0000-0000-000094C20000}"/>
    <cellStyle name="Input 81 2" xfId="49820" xr:uid="{00000000-0005-0000-0000-000095C20000}"/>
    <cellStyle name="Input 81 2 2" xfId="49821" xr:uid="{00000000-0005-0000-0000-000096C20000}"/>
    <cellStyle name="Input 81 2 2 2" xfId="49822" xr:uid="{00000000-0005-0000-0000-000097C20000}"/>
    <cellStyle name="Input 81 2 3" xfId="49823" xr:uid="{00000000-0005-0000-0000-000098C20000}"/>
    <cellStyle name="Input 81 2 3 2" xfId="49824" xr:uid="{00000000-0005-0000-0000-000099C20000}"/>
    <cellStyle name="Input 81 2 3 3" xfId="49825" xr:uid="{00000000-0005-0000-0000-00009AC20000}"/>
    <cellStyle name="Input 81 2 4" xfId="49826" xr:uid="{00000000-0005-0000-0000-00009BC20000}"/>
    <cellStyle name="Input 81 2 5" xfId="49827" xr:uid="{00000000-0005-0000-0000-00009CC20000}"/>
    <cellStyle name="Input 81 3" xfId="49828" xr:uid="{00000000-0005-0000-0000-00009DC20000}"/>
    <cellStyle name="Input 81 3 2" xfId="49829" xr:uid="{00000000-0005-0000-0000-00009EC20000}"/>
    <cellStyle name="Input 81 3 3" xfId="49830" xr:uid="{00000000-0005-0000-0000-00009FC20000}"/>
    <cellStyle name="Input 81 4" xfId="49831" xr:uid="{00000000-0005-0000-0000-0000A0C20000}"/>
    <cellStyle name="Input 81 5" xfId="49832" xr:uid="{00000000-0005-0000-0000-0000A1C20000}"/>
    <cellStyle name="Input 82" xfId="49833" xr:uid="{00000000-0005-0000-0000-0000A2C20000}"/>
    <cellStyle name="Input 82 2" xfId="49834" xr:uid="{00000000-0005-0000-0000-0000A3C20000}"/>
    <cellStyle name="Input 82 2 2" xfId="49835" xr:uid="{00000000-0005-0000-0000-0000A4C20000}"/>
    <cellStyle name="Input 82 2 2 2" xfId="49836" xr:uid="{00000000-0005-0000-0000-0000A5C20000}"/>
    <cellStyle name="Input 82 2 3" xfId="49837" xr:uid="{00000000-0005-0000-0000-0000A6C20000}"/>
    <cellStyle name="Input 82 2 3 2" xfId="49838" xr:uid="{00000000-0005-0000-0000-0000A7C20000}"/>
    <cellStyle name="Input 82 2 3 3" xfId="49839" xr:uid="{00000000-0005-0000-0000-0000A8C20000}"/>
    <cellStyle name="Input 82 2 4" xfId="49840" xr:uid="{00000000-0005-0000-0000-0000A9C20000}"/>
    <cellStyle name="Input 82 2 5" xfId="49841" xr:uid="{00000000-0005-0000-0000-0000AAC20000}"/>
    <cellStyle name="Input 82 3" xfId="49842" xr:uid="{00000000-0005-0000-0000-0000ABC20000}"/>
    <cellStyle name="Input 82 3 2" xfId="49843" xr:uid="{00000000-0005-0000-0000-0000ACC20000}"/>
    <cellStyle name="Input 82 3 3" xfId="49844" xr:uid="{00000000-0005-0000-0000-0000ADC20000}"/>
    <cellStyle name="Input 82 4" xfId="49845" xr:uid="{00000000-0005-0000-0000-0000AEC20000}"/>
    <cellStyle name="Input 82 5" xfId="49846" xr:uid="{00000000-0005-0000-0000-0000AFC20000}"/>
    <cellStyle name="Input 83" xfId="49847" xr:uid="{00000000-0005-0000-0000-0000B0C20000}"/>
    <cellStyle name="Input 83 2" xfId="49848" xr:uid="{00000000-0005-0000-0000-0000B1C20000}"/>
    <cellStyle name="Input 83 2 2" xfId="49849" xr:uid="{00000000-0005-0000-0000-0000B2C20000}"/>
    <cellStyle name="Input 83 2 2 2" xfId="49850" xr:uid="{00000000-0005-0000-0000-0000B3C20000}"/>
    <cellStyle name="Input 83 2 3" xfId="49851" xr:uid="{00000000-0005-0000-0000-0000B4C20000}"/>
    <cellStyle name="Input 83 2 3 2" xfId="49852" xr:uid="{00000000-0005-0000-0000-0000B5C20000}"/>
    <cellStyle name="Input 83 2 3 3" xfId="49853" xr:uid="{00000000-0005-0000-0000-0000B6C20000}"/>
    <cellStyle name="Input 83 2 4" xfId="49854" xr:uid="{00000000-0005-0000-0000-0000B7C20000}"/>
    <cellStyle name="Input 83 2 5" xfId="49855" xr:uid="{00000000-0005-0000-0000-0000B8C20000}"/>
    <cellStyle name="Input 83 3" xfId="49856" xr:uid="{00000000-0005-0000-0000-0000B9C20000}"/>
    <cellStyle name="Input 83 3 2" xfId="49857" xr:uid="{00000000-0005-0000-0000-0000BAC20000}"/>
    <cellStyle name="Input 83 3 3" xfId="49858" xr:uid="{00000000-0005-0000-0000-0000BBC20000}"/>
    <cellStyle name="Input 83 4" xfId="49859" xr:uid="{00000000-0005-0000-0000-0000BCC20000}"/>
    <cellStyle name="Input 83 5" xfId="49860" xr:uid="{00000000-0005-0000-0000-0000BDC20000}"/>
    <cellStyle name="Input 84" xfId="49861" xr:uid="{00000000-0005-0000-0000-0000BEC20000}"/>
    <cellStyle name="Input 84 2" xfId="49862" xr:uid="{00000000-0005-0000-0000-0000BFC20000}"/>
    <cellStyle name="Input 84 2 2" xfId="49863" xr:uid="{00000000-0005-0000-0000-0000C0C20000}"/>
    <cellStyle name="Input 84 2 2 2" xfId="49864" xr:uid="{00000000-0005-0000-0000-0000C1C20000}"/>
    <cellStyle name="Input 84 2 3" xfId="49865" xr:uid="{00000000-0005-0000-0000-0000C2C20000}"/>
    <cellStyle name="Input 84 2 3 2" xfId="49866" xr:uid="{00000000-0005-0000-0000-0000C3C20000}"/>
    <cellStyle name="Input 84 2 3 3" xfId="49867" xr:uid="{00000000-0005-0000-0000-0000C4C20000}"/>
    <cellStyle name="Input 84 2 4" xfId="49868" xr:uid="{00000000-0005-0000-0000-0000C5C20000}"/>
    <cellStyle name="Input 84 2 5" xfId="49869" xr:uid="{00000000-0005-0000-0000-0000C6C20000}"/>
    <cellStyle name="Input 84 3" xfId="49870" xr:uid="{00000000-0005-0000-0000-0000C7C20000}"/>
    <cellStyle name="Input 84 3 2" xfId="49871" xr:uid="{00000000-0005-0000-0000-0000C8C20000}"/>
    <cellStyle name="Input 84 3 3" xfId="49872" xr:uid="{00000000-0005-0000-0000-0000C9C20000}"/>
    <cellStyle name="Input 84 4" xfId="49873" xr:uid="{00000000-0005-0000-0000-0000CAC20000}"/>
    <cellStyle name="Input 84 5" xfId="49874" xr:uid="{00000000-0005-0000-0000-0000CBC20000}"/>
    <cellStyle name="Input 85" xfId="49875" xr:uid="{00000000-0005-0000-0000-0000CCC20000}"/>
    <cellStyle name="Input 85 2" xfId="49876" xr:uid="{00000000-0005-0000-0000-0000CDC20000}"/>
    <cellStyle name="Input 85 2 2" xfId="49877" xr:uid="{00000000-0005-0000-0000-0000CEC20000}"/>
    <cellStyle name="Input 85 2 2 2" xfId="49878" xr:uid="{00000000-0005-0000-0000-0000CFC20000}"/>
    <cellStyle name="Input 85 2 3" xfId="49879" xr:uid="{00000000-0005-0000-0000-0000D0C20000}"/>
    <cellStyle name="Input 85 2 3 2" xfId="49880" xr:uid="{00000000-0005-0000-0000-0000D1C20000}"/>
    <cellStyle name="Input 85 2 3 3" xfId="49881" xr:uid="{00000000-0005-0000-0000-0000D2C20000}"/>
    <cellStyle name="Input 85 2 4" xfId="49882" xr:uid="{00000000-0005-0000-0000-0000D3C20000}"/>
    <cellStyle name="Input 85 2 5" xfId="49883" xr:uid="{00000000-0005-0000-0000-0000D4C20000}"/>
    <cellStyle name="Input 85 3" xfId="49884" xr:uid="{00000000-0005-0000-0000-0000D5C20000}"/>
    <cellStyle name="Input 85 3 2" xfId="49885" xr:uid="{00000000-0005-0000-0000-0000D6C20000}"/>
    <cellStyle name="Input 85 3 3" xfId="49886" xr:uid="{00000000-0005-0000-0000-0000D7C20000}"/>
    <cellStyle name="Input 85 4" xfId="49887" xr:uid="{00000000-0005-0000-0000-0000D8C20000}"/>
    <cellStyle name="Input 85 5" xfId="49888" xr:uid="{00000000-0005-0000-0000-0000D9C20000}"/>
    <cellStyle name="Input 86" xfId="49889" xr:uid="{00000000-0005-0000-0000-0000DAC20000}"/>
    <cellStyle name="Input 86 2" xfId="49890" xr:uid="{00000000-0005-0000-0000-0000DBC20000}"/>
    <cellStyle name="Input 86 2 2" xfId="49891" xr:uid="{00000000-0005-0000-0000-0000DCC20000}"/>
    <cellStyle name="Input 86 2 2 2" xfId="49892" xr:uid="{00000000-0005-0000-0000-0000DDC20000}"/>
    <cellStyle name="Input 86 2 3" xfId="49893" xr:uid="{00000000-0005-0000-0000-0000DEC20000}"/>
    <cellStyle name="Input 86 2 3 2" xfId="49894" xr:uid="{00000000-0005-0000-0000-0000DFC20000}"/>
    <cellStyle name="Input 86 2 3 3" xfId="49895" xr:uid="{00000000-0005-0000-0000-0000E0C20000}"/>
    <cellStyle name="Input 86 2 4" xfId="49896" xr:uid="{00000000-0005-0000-0000-0000E1C20000}"/>
    <cellStyle name="Input 86 2 5" xfId="49897" xr:uid="{00000000-0005-0000-0000-0000E2C20000}"/>
    <cellStyle name="Input 86 3" xfId="49898" xr:uid="{00000000-0005-0000-0000-0000E3C20000}"/>
    <cellStyle name="Input 86 3 2" xfId="49899" xr:uid="{00000000-0005-0000-0000-0000E4C20000}"/>
    <cellStyle name="Input 86 3 3" xfId="49900" xr:uid="{00000000-0005-0000-0000-0000E5C20000}"/>
    <cellStyle name="Input 86 4" xfId="49901" xr:uid="{00000000-0005-0000-0000-0000E6C20000}"/>
    <cellStyle name="Input 86 5" xfId="49902" xr:uid="{00000000-0005-0000-0000-0000E7C20000}"/>
    <cellStyle name="Input 87" xfId="49903" xr:uid="{00000000-0005-0000-0000-0000E8C20000}"/>
    <cellStyle name="Input 87 2" xfId="49904" xr:uid="{00000000-0005-0000-0000-0000E9C20000}"/>
    <cellStyle name="Input 87 2 2" xfId="49905" xr:uid="{00000000-0005-0000-0000-0000EAC20000}"/>
    <cellStyle name="Input 87 2 2 2" xfId="49906" xr:uid="{00000000-0005-0000-0000-0000EBC20000}"/>
    <cellStyle name="Input 87 2 3" xfId="49907" xr:uid="{00000000-0005-0000-0000-0000ECC20000}"/>
    <cellStyle name="Input 87 2 3 2" xfId="49908" xr:uid="{00000000-0005-0000-0000-0000EDC20000}"/>
    <cellStyle name="Input 87 2 3 3" xfId="49909" xr:uid="{00000000-0005-0000-0000-0000EEC20000}"/>
    <cellStyle name="Input 87 2 4" xfId="49910" xr:uid="{00000000-0005-0000-0000-0000EFC20000}"/>
    <cellStyle name="Input 87 2 5" xfId="49911" xr:uid="{00000000-0005-0000-0000-0000F0C20000}"/>
    <cellStyle name="Input 87 3" xfId="49912" xr:uid="{00000000-0005-0000-0000-0000F1C20000}"/>
    <cellStyle name="Input 87 3 2" xfId="49913" xr:uid="{00000000-0005-0000-0000-0000F2C20000}"/>
    <cellStyle name="Input 87 3 3" xfId="49914" xr:uid="{00000000-0005-0000-0000-0000F3C20000}"/>
    <cellStyle name="Input 87 4" xfId="49915" xr:uid="{00000000-0005-0000-0000-0000F4C20000}"/>
    <cellStyle name="Input 87 5" xfId="49916" xr:uid="{00000000-0005-0000-0000-0000F5C20000}"/>
    <cellStyle name="Input 88" xfId="49917" xr:uid="{00000000-0005-0000-0000-0000F6C20000}"/>
    <cellStyle name="Input 88 2" xfId="49918" xr:uid="{00000000-0005-0000-0000-0000F7C20000}"/>
    <cellStyle name="Input 88 2 2" xfId="49919" xr:uid="{00000000-0005-0000-0000-0000F8C20000}"/>
    <cellStyle name="Input 88 2 2 2" xfId="49920" xr:uid="{00000000-0005-0000-0000-0000F9C20000}"/>
    <cellStyle name="Input 88 2 3" xfId="49921" xr:uid="{00000000-0005-0000-0000-0000FAC20000}"/>
    <cellStyle name="Input 88 2 3 2" xfId="49922" xr:uid="{00000000-0005-0000-0000-0000FBC20000}"/>
    <cellStyle name="Input 88 2 3 3" xfId="49923" xr:uid="{00000000-0005-0000-0000-0000FCC20000}"/>
    <cellStyle name="Input 88 2 4" xfId="49924" xr:uid="{00000000-0005-0000-0000-0000FDC20000}"/>
    <cellStyle name="Input 88 2 5" xfId="49925" xr:uid="{00000000-0005-0000-0000-0000FEC20000}"/>
    <cellStyle name="Input 88 3" xfId="49926" xr:uid="{00000000-0005-0000-0000-0000FFC20000}"/>
    <cellStyle name="Input 88 3 2" xfId="49927" xr:uid="{00000000-0005-0000-0000-000000C30000}"/>
    <cellStyle name="Input 88 3 3" xfId="49928" xr:uid="{00000000-0005-0000-0000-000001C30000}"/>
    <cellStyle name="Input 88 4" xfId="49929" xr:uid="{00000000-0005-0000-0000-000002C30000}"/>
    <cellStyle name="Input 88 5" xfId="49930" xr:uid="{00000000-0005-0000-0000-000003C30000}"/>
    <cellStyle name="Input 89" xfId="49931" xr:uid="{00000000-0005-0000-0000-000004C30000}"/>
    <cellStyle name="Input 89 2" xfId="49932" xr:uid="{00000000-0005-0000-0000-000005C30000}"/>
    <cellStyle name="Input 89 2 2" xfId="49933" xr:uid="{00000000-0005-0000-0000-000006C30000}"/>
    <cellStyle name="Input 89 2 2 2" xfId="49934" xr:uid="{00000000-0005-0000-0000-000007C30000}"/>
    <cellStyle name="Input 89 2 3" xfId="49935" xr:uid="{00000000-0005-0000-0000-000008C30000}"/>
    <cellStyle name="Input 89 2 3 2" xfId="49936" xr:uid="{00000000-0005-0000-0000-000009C30000}"/>
    <cellStyle name="Input 89 2 3 3" xfId="49937" xr:uid="{00000000-0005-0000-0000-00000AC30000}"/>
    <cellStyle name="Input 89 2 4" xfId="49938" xr:uid="{00000000-0005-0000-0000-00000BC30000}"/>
    <cellStyle name="Input 89 2 5" xfId="49939" xr:uid="{00000000-0005-0000-0000-00000CC30000}"/>
    <cellStyle name="Input 89 3" xfId="49940" xr:uid="{00000000-0005-0000-0000-00000DC30000}"/>
    <cellStyle name="Input 89 3 2" xfId="49941" xr:uid="{00000000-0005-0000-0000-00000EC30000}"/>
    <cellStyle name="Input 89 3 3" xfId="49942" xr:uid="{00000000-0005-0000-0000-00000FC30000}"/>
    <cellStyle name="Input 89 4" xfId="49943" xr:uid="{00000000-0005-0000-0000-000010C30000}"/>
    <cellStyle name="Input 89 5" xfId="49944" xr:uid="{00000000-0005-0000-0000-000011C30000}"/>
    <cellStyle name="Input 9" xfId="49945" xr:uid="{00000000-0005-0000-0000-000012C30000}"/>
    <cellStyle name="Input 9 2" xfId="49946" xr:uid="{00000000-0005-0000-0000-000013C30000}"/>
    <cellStyle name="Input 9 2 2" xfId="49947" xr:uid="{00000000-0005-0000-0000-000014C30000}"/>
    <cellStyle name="Input 9 2 2 2" xfId="49948" xr:uid="{00000000-0005-0000-0000-000015C30000}"/>
    <cellStyle name="Input 9 2 3" xfId="49949" xr:uid="{00000000-0005-0000-0000-000016C30000}"/>
    <cellStyle name="Input 9 2 3 2" xfId="49950" xr:uid="{00000000-0005-0000-0000-000017C30000}"/>
    <cellStyle name="Input 9 2 3 3" xfId="49951" xr:uid="{00000000-0005-0000-0000-000018C30000}"/>
    <cellStyle name="Input 9 2 4" xfId="49952" xr:uid="{00000000-0005-0000-0000-000019C30000}"/>
    <cellStyle name="Input 9 3" xfId="49953" xr:uid="{00000000-0005-0000-0000-00001AC30000}"/>
    <cellStyle name="Input 9 3 2" xfId="49954" xr:uid="{00000000-0005-0000-0000-00001BC30000}"/>
    <cellStyle name="Input 9 4" xfId="49955" xr:uid="{00000000-0005-0000-0000-00001CC30000}"/>
    <cellStyle name="Input 9 4 2" xfId="49956" xr:uid="{00000000-0005-0000-0000-00001DC30000}"/>
    <cellStyle name="Input 9 4 3" xfId="49957" xr:uid="{00000000-0005-0000-0000-00001EC30000}"/>
    <cellStyle name="Input 9 5" xfId="49958" xr:uid="{00000000-0005-0000-0000-00001FC30000}"/>
    <cellStyle name="Input 9 6" xfId="49959" xr:uid="{00000000-0005-0000-0000-000020C30000}"/>
    <cellStyle name="Input 90" xfId="49960" xr:uid="{00000000-0005-0000-0000-000021C30000}"/>
    <cellStyle name="Input 90 2" xfId="49961" xr:uid="{00000000-0005-0000-0000-000022C30000}"/>
    <cellStyle name="Input 90 2 2" xfId="49962" xr:uid="{00000000-0005-0000-0000-000023C30000}"/>
    <cellStyle name="Input 90 2 2 2" xfId="49963" xr:uid="{00000000-0005-0000-0000-000024C30000}"/>
    <cellStyle name="Input 90 2 3" xfId="49964" xr:uid="{00000000-0005-0000-0000-000025C30000}"/>
    <cellStyle name="Input 90 2 3 2" xfId="49965" xr:uid="{00000000-0005-0000-0000-000026C30000}"/>
    <cellStyle name="Input 90 2 3 3" xfId="49966" xr:uid="{00000000-0005-0000-0000-000027C30000}"/>
    <cellStyle name="Input 90 2 4" xfId="49967" xr:uid="{00000000-0005-0000-0000-000028C30000}"/>
    <cellStyle name="Input 90 2 5" xfId="49968" xr:uid="{00000000-0005-0000-0000-000029C30000}"/>
    <cellStyle name="Input 90 3" xfId="49969" xr:uid="{00000000-0005-0000-0000-00002AC30000}"/>
    <cellStyle name="Input 90 3 2" xfId="49970" xr:uid="{00000000-0005-0000-0000-00002BC30000}"/>
    <cellStyle name="Input 90 3 3" xfId="49971" xr:uid="{00000000-0005-0000-0000-00002CC30000}"/>
    <cellStyle name="Input 90 4" xfId="49972" xr:uid="{00000000-0005-0000-0000-00002DC30000}"/>
    <cellStyle name="Input 90 5" xfId="49973" xr:uid="{00000000-0005-0000-0000-00002EC30000}"/>
    <cellStyle name="Input 91" xfId="49974" xr:uid="{00000000-0005-0000-0000-00002FC30000}"/>
    <cellStyle name="Input 91 2" xfId="49975" xr:uid="{00000000-0005-0000-0000-000030C30000}"/>
    <cellStyle name="Input 91 2 2" xfId="49976" xr:uid="{00000000-0005-0000-0000-000031C30000}"/>
    <cellStyle name="Input 91 2 2 2" xfId="49977" xr:uid="{00000000-0005-0000-0000-000032C30000}"/>
    <cellStyle name="Input 91 2 3" xfId="49978" xr:uid="{00000000-0005-0000-0000-000033C30000}"/>
    <cellStyle name="Input 91 2 3 2" xfId="49979" xr:uid="{00000000-0005-0000-0000-000034C30000}"/>
    <cellStyle name="Input 91 2 3 3" xfId="49980" xr:uid="{00000000-0005-0000-0000-000035C30000}"/>
    <cellStyle name="Input 91 2 4" xfId="49981" xr:uid="{00000000-0005-0000-0000-000036C30000}"/>
    <cellStyle name="Input 91 2 5" xfId="49982" xr:uid="{00000000-0005-0000-0000-000037C30000}"/>
    <cellStyle name="Input 91 3" xfId="49983" xr:uid="{00000000-0005-0000-0000-000038C30000}"/>
    <cellStyle name="Input 91 3 2" xfId="49984" xr:uid="{00000000-0005-0000-0000-000039C30000}"/>
    <cellStyle name="Input 91 3 3" xfId="49985" xr:uid="{00000000-0005-0000-0000-00003AC30000}"/>
    <cellStyle name="Input 91 4" xfId="49986" xr:uid="{00000000-0005-0000-0000-00003BC30000}"/>
    <cellStyle name="Input 91 5" xfId="49987" xr:uid="{00000000-0005-0000-0000-00003CC30000}"/>
    <cellStyle name="Input 92" xfId="49988" xr:uid="{00000000-0005-0000-0000-00003DC30000}"/>
    <cellStyle name="Input 92 2" xfId="49989" xr:uid="{00000000-0005-0000-0000-00003EC30000}"/>
    <cellStyle name="Input 92 2 2" xfId="49990" xr:uid="{00000000-0005-0000-0000-00003FC30000}"/>
    <cellStyle name="Input 92 2 2 2" xfId="49991" xr:uid="{00000000-0005-0000-0000-000040C30000}"/>
    <cellStyle name="Input 92 2 3" xfId="49992" xr:uid="{00000000-0005-0000-0000-000041C30000}"/>
    <cellStyle name="Input 92 2 3 2" xfId="49993" xr:uid="{00000000-0005-0000-0000-000042C30000}"/>
    <cellStyle name="Input 92 2 3 3" xfId="49994" xr:uid="{00000000-0005-0000-0000-000043C30000}"/>
    <cellStyle name="Input 92 2 4" xfId="49995" xr:uid="{00000000-0005-0000-0000-000044C30000}"/>
    <cellStyle name="Input 92 2 5" xfId="49996" xr:uid="{00000000-0005-0000-0000-000045C30000}"/>
    <cellStyle name="Input 92 3" xfId="49997" xr:uid="{00000000-0005-0000-0000-000046C30000}"/>
    <cellStyle name="Input 92 3 2" xfId="49998" xr:uid="{00000000-0005-0000-0000-000047C30000}"/>
    <cellStyle name="Input 92 3 3" xfId="49999" xr:uid="{00000000-0005-0000-0000-000048C30000}"/>
    <cellStyle name="Input 92 4" xfId="50000" xr:uid="{00000000-0005-0000-0000-000049C30000}"/>
    <cellStyle name="Input 92 5" xfId="50001" xr:uid="{00000000-0005-0000-0000-00004AC30000}"/>
    <cellStyle name="Input 93" xfId="50002" xr:uid="{00000000-0005-0000-0000-00004BC30000}"/>
    <cellStyle name="Input 93 2" xfId="50003" xr:uid="{00000000-0005-0000-0000-00004CC30000}"/>
    <cellStyle name="Input 93 2 2" xfId="50004" xr:uid="{00000000-0005-0000-0000-00004DC30000}"/>
    <cellStyle name="Input 93 2 2 2" xfId="50005" xr:uid="{00000000-0005-0000-0000-00004EC30000}"/>
    <cellStyle name="Input 93 2 3" xfId="50006" xr:uid="{00000000-0005-0000-0000-00004FC30000}"/>
    <cellStyle name="Input 93 2 3 2" xfId="50007" xr:uid="{00000000-0005-0000-0000-000050C30000}"/>
    <cellStyle name="Input 93 2 3 3" xfId="50008" xr:uid="{00000000-0005-0000-0000-000051C30000}"/>
    <cellStyle name="Input 93 2 4" xfId="50009" xr:uid="{00000000-0005-0000-0000-000052C30000}"/>
    <cellStyle name="Input 93 2 5" xfId="50010" xr:uid="{00000000-0005-0000-0000-000053C30000}"/>
    <cellStyle name="Input 93 3" xfId="50011" xr:uid="{00000000-0005-0000-0000-000054C30000}"/>
    <cellStyle name="Input 93 3 2" xfId="50012" xr:uid="{00000000-0005-0000-0000-000055C30000}"/>
    <cellStyle name="Input 93 3 3" xfId="50013" xr:uid="{00000000-0005-0000-0000-000056C30000}"/>
    <cellStyle name="Input 93 4" xfId="50014" xr:uid="{00000000-0005-0000-0000-000057C30000}"/>
    <cellStyle name="Input 93 5" xfId="50015" xr:uid="{00000000-0005-0000-0000-000058C30000}"/>
    <cellStyle name="Input 94" xfId="50016" xr:uid="{00000000-0005-0000-0000-000059C30000}"/>
    <cellStyle name="Input 94 2" xfId="50017" xr:uid="{00000000-0005-0000-0000-00005AC30000}"/>
    <cellStyle name="Input 94 2 2" xfId="50018" xr:uid="{00000000-0005-0000-0000-00005BC30000}"/>
    <cellStyle name="Input 94 2 2 2" xfId="50019" xr:uid="{00000000-0005-0000-0000-00005CC30000}"/>
    <cellStyle name="Input 94 2 3" xfId="50020" xr:uid="{00000000-0005-0000-0000-00005DC30000}"/>
    <cellStyle name="Input 94 2 3 2" xfId="50021" xr:uid="{00000000-0005-0000-0000-00005EC30000}"/>
    <cellStyle name="Input 94 2 3 3" xfId="50022" xr:uid="{00000000-0005-0000-0000-00005FC30000}"/>
    <cellStyle name="Input 94 2 4" xfId="50023" xr:uid="{00000000-0005-0000-0000-000060C30000}"/>
    <cellStyle name="Input 94 2 5" xfId="50024" xr:uid="{00000000-0005-0000-0000-000061C30000}"/>
    <cellStyle name="Input 94 3" xfId="50025" xr:uid="{00000000-0005-0000-0000-000062C30000}"/>
    <cellStyle name="Input 94 3 2" xfId="50026" xr:uid="{00000000-0005-0000-0000-000063C30000}"/>
    <cellStyle name="Input 94 3 3" xfId="50027" xr:uid="{00000000-0005-0000-0000-000064C30000}"/>
    <cellStyle name="Input 94 4" xfId="50028" xr:uid="{00000000-0005-0000-0000-000065C30000}"/>
    <cellStyle name="Input 94 5" xfId="50029" xr:uid="{00000000-0005-0000-0000-000066C30000}"/>
    <cellStyle name="Input 95" xfId="50030" xr:uid="{00000000-0005-0000-0000-000067C30000}"/>
    <cellStyle name="Input 95 2" xfId="50031" xr:uid="{00000000-0005-0000-0000-000068C30000}"/>
    <cellStyle name="Input 95 2 2" xfId="50032" xr:uid="{00000000-0005-0000-0000-000069C30000}"/>
    <cellStyle name="Input 95 2 2 2" xfId="50033" xr:uid="{00000000-0005-0000-0000-00006AC30000}"/>
    <cellStyle name="Input 95 2 3" xfId="50034" xr:uid="{00000000-0005-0000-0000-00006BC30000}"/>
    <cellStyle name="Input 95 2 3 2" xfId="50035" xr:uid="{00000000-0005-0000-0000-00006CC30000}"/>
    <cellStyle name="Input 95 2 3 3" xfId="50036" xr:uid="{00000000-0005-0000-0000-00006DC30000}"/>
    <cellStyle name="Input 95 2 4" xfId="50037" xr:uid="{00000000-0005-0000-0000-00006EC30000}"/>
    <cellStyle name="Input 95 2 5" xfId="50038" xr:uid="{00000000-0005-0000-0000-00006FC30000}"/>
    <cellStyle name="Input 95 3" xfId="50039" xr:uid="{00000000-0005-0000-0000-000070C30000}"/>
    <cellStyle name="Input 95 3 2" xfId="50040" xr:uid="{00000000-0005-0000-0000-000071C30000}"/>
    <cellStyle name="Input 95 3 3" xfId="50041" xr:uid="{00000000-0005-0000-0000-000072C30000}"/>
    <cellStyle name="Input 95 4" xfId="50042" xr:uid="{00000000-0005-0000-0000-000073C30000}"/>
    <cellStyle name="Input 95 5" xfId="50043" xr:uid="{00000000-0005-0000-0000-000074C30000}"/>
    <cellStyle name="Input 96" xfId="50044" xr:uid="{00000000-0005-0000-0000-000075C30000}"/>
    <cellStyle name="Input 96 2" xfId="50045" xr:uid="{00000000-0005-0000-0000-000076C30000}"/>
    <cellStyle name="Input 96 2 2" xfId="50046" xr:uid="{00000000-0005-0000-0000-000077C30000}"/>
    <cellStyle name="Input 96 2 2 2" xfId="50047" xr:uid="{00000000-0005-0000-0000-000078C30000}"/>
    <cellStyle name="Input 96 2 3" xfId="50048" xr:uid="{00000000-0005-0000-0000-000079C30000}"/>
    <cellStyle name="Input 96 2 3 2" xfId="50049" xr:uid="{00000000-0005-0000-0000-00007AC30000}"/>
    <cellStyle name="Input 96 2 3 3" xfId="50050" xr:uid="{00000000-0005-0000-0000-00007BC30000}"/>
    <cellStyle name="Input 96 2 4" xfId="50051" xr:uid="{00000000-0005-0000-0000-00007CC30000}"/>
    <cellStyle name="Input 96 2 5" xfId="50052" xr:uid="{00000000-0005-0000-0000-00007DC30000}"/>
    <cellStyle name="Input 96 3" xfId="50053" xr:uid="{00000000-0005-0000-0000-00007EC30000}"/>
    <cellStyle name="Input 96 3 2" xfId="50054" xr:uid="{00000000-0005-0000-0000-00007FC30000}"/>
    <cellStyle name="Input 96 3 3" xfId="50055" xr:uid="{00000000-0005-0000-0000-000080C30000}"/>
    <cellStyle name="Input 96 4" xfId="50056" xr:uid="{00000000-0005-0000-0000-000081C30000}"/>
    <cellStyle name="Input 96 5" xfId="50057" xr:uid="{00000000-0005-0000-0000-000082C30000}"/>
    <cellStyle name="Input 97" xfId="50058" xr:uid="{00000000-0005-0000-0000-000083C30000}"/>
    <cellStyle name="Input 97 2" xfId="50059" xr:uid="{00000000-0005-0000-0000-000084C30000}"/>
    <cellStyle name="Input 97 2 2" xfId="50060" xr:uid="{00000000-0005-0000-0000-000085C30000}"/>
    <cellStyle name="Input 97 2 2 2" xfId="50061" xr:uid="{00000000-0005-0000-0000-000086C30000}"/>
    <cellStyle name="Input 97 2 3" xfId="50062" xr:uid="{00000000-0005-0000-0000-000087C30000}"/>
    <cellStyle name="Input 97 2 3 2" xfId="50063" xr:uid="{00000000-0005-0000-0000-000088C30000}"/>
    <cellStyle name="Input 97 2 3 3" xfId="50064" xr:uid="{00000000-0005-0000-0000-000089C30000}"/>
    <cellStyle name="Input 97 2 4" xfId="50065" xr:uid="{00000000-0005-0000-0000-00008AC30000}"/>
    <cellStyle name="Input 97 2 5" xfId="50066" xr:uid="{00000000-0005-0000-0000-00008BC30000}"/>
    <cellStyle name="Input 97 3" xfId="50067" xr:uid="{00000000-0005-0000-0000-00008CC30000}"/>
    <cellStyle name="Input 97 3 2" xfId="50068" xr:uid="{00000000-0005-0000-0000-00008DC30000}"/>
    <cellStyle name="Input 97 3 3" xfId="50069" xr:uid="{00000000-0005-0000-0000-00008EC30000}"/>
    <cellStyle name="Input 97 4" xfId="50070" xr:uid="{00000000-0005-0000-0000-00008FC30000}"/>
    <cellStyle name="Input 97 5" xfId="50071" xr:uid="{00000000-0005-0000-0000-000090C30000}"/>
    <cellStyle name="Input 98" xfId="50072" xr:uid="{00000000-0005-0000-0000-000091C30000}"/>
    <cellStyle name="Input 98 2" xfId="50073" xr:uid="{00000000-0005-0000-0000-000092C30000}"/>
    <cellStyle name="Input 98 2 2" xfId="50074" xr:uid="{00000000-0005-0000-0000-000093C30000}"/>
    <cellStyle name="Input 98 2 2 2" xfId="50075" xr:uid="{00000000-0005-0000-0000-000094C30000}"/>
    <cellStyle name="Input 98 2 3" xfId="50076" xr:uid="{00000000-0005-0000-0000-000095C30000}"/>
    <cellStyle name="Input 98 2 3 2" xfId="50077" xr:uid="{00000000-0005-0000-0000-000096C30000}"/>
    <cellStyle name="Input 98 2 3 3" xfId="50078" xr:uid="{00000000-0005-0000-0000-000097C30000}"/>
    <cellStyle name="Input 98 2 4" xfId="50079" xr:uid="{00000000-0005-0000-0000-000098C30000}"/>
    <cellStyle name="Input 98 2 5" xfId="50080" xr:uid="{00000000-0005-0000-0000-000099C30000}"/>
    <cellStyle name="Input 98 3" xfId="50081" xr:uid="{00000000-0005-0000-0000-00009AC30000}"/>
    <cellStyle name="Input 98 3 2" xfId="50082" xr:uid="{00000000-0005-0000-0000-00009BC30000}"/>
    <cellStyle name="Input 98 3 3" xfId="50083" xr:uid="{00000000-0005-0000-0000-00009CC30000}"/>
    <cellStyle name="Input 98 4" xfId="50084" xr:uid="{00000000-0005-0000-0000-00009DC30000}"/>
    <cellStyle name="Input 98 5" xfId="50085" xr:uid="{00000000-0005-0000-0000-00009EC30000}"/>
    <cellStyle name="Input 99" xfId="50086" xr:uid="{00000000-0005-0000-0000-00009FC30000}"/>
    <cellStyle name="Input 99 2" xfId="50087" xr:uid="{00000000-0005-0000-0000-0000A0C30000}"/>
    <cellStyle name="Input 99 2 2" xfId="50088" xr:uid="{00000000-0005-0000-0000-0000A1C30000}"/>
    <cellStyle name="Input 99 2 2 2" xfId="50089" xr:uid="{00000000-0005-0000-0000-0000A2C30000}"/>
    <cellStyle name="Input 99 2 3" xfId="50090" xr:uid="{00000000-0005-0000-0000-0000A3C30000}"/>
    <cellStyle name="Input 99 2 3 2" xfId="50091" xr:uid="{00000000-0005-0000-0000-0000A4C30000}"/>
    <cellStyle name="Input 99 2 3 3" xfId="50092" xr:uid="{00000000-0005-0000-0000-0000A5C30000}"/>
    <cellStyle name="Input 99 2 4" xfId="50093" xr:uid="{00000000-0005-0000-0000-0000A6C30000}"/>
    <cellStyle name="Input 99 2 5" xfId="50094" xr:uid="{00000000-0005-0000-0000-0000A7C30000}"/>
    <cellStyle name="Input 99 3" xfId="50095" xr:uid="{00000000-0005-0000-0000-0000A8C30000}"/>
    <cellStyle name="Input 99 3 2" xfId="50096" xr:uid="{00000000-0005-0000-0000-0000A9C30000}"/>
    <cellStyle name="Input 99 3 3" xfId="50097" xr:uid="{00000000-0005-0000-0000-0000AAC30000}"/>
    <cellStyle name="Input 99 4" xfId="50098" xr:uid="{00000000-0005-0000-0000-0000ABC30000}"/>
    <cellStyle name="Input 99 5" xfId="50099" xr:uid="{00000000-0005-0000-0000-0000ACC30000}"/>
    <cellStyle name="InputBlueFont" xfId="50100" xr:uid="{00000000-0005-0000-0000-0000ADC30000}"/>
    <cellStyle name="InputBlueFont 2" xfId="50101" xr:uid="{00000000-0005-0000-0000-0000AEC30000}"/>
    <cellStyle name="InputBlueFont 2 2" xfId="50102" xr:uid="{00000000-0005-0000-0000-0000AFC30000}"/>
    <cellStyle name="InputBlueFont 3" xfId="50103" xr:uid="{00000000-0005-0000-0000-0000B0C30000}"/>
    <cellStyle name="InputCurrency" xfId="50104" xr:uid="{00000000-0005-0000-0000-0000B1C30000}"/>
    <cellStyle name="InputCurrency2" xfId="50105" xr:uid="{00000000-0005-0000-0000-0000B2C30000}"/>
    <cellStyle name="InputMultiple1" xfId="50106" xr:uid="{00000000-0005-0000-0000-0000B3C30000}"/>
    <cellStyle name="InputMultiple1 2" xfId="50107" xr:uid="{00000000-0005-0000-0000-0000B4C30000}"/>
    <cellStyle name="InputMultiple1 2 2" xfId="50108" xr:uid="{00000000-0005-0000-0000-0000B5C30000}"/>
    <cellStyle name="InputMultiple1 3" xfId="50109" xr:uid="{00000000-0005-0000-0000-0000B6C30000}"/>
    <cellStyle name="InputPercent1" xfId="50110" xr:uid="{00000000-0005-0000-0000-0000B7C30000}"/>
    <cellStyle name="Inputs" xfId="50111" xr:uid="{00000000-0005-0000-0000-0000B8C30000}"/>
    <cellStyle name="Inputs (%)" xfId="50112" xr:uid="{00000000-0005-0000-0000-0000B9C30000}"/>
    <cellStyle name="Insatisfaisant" xfId="50113" xr:uid="{00000000-0005-0000-0000-0000BAC30000}"/>
    <cellStyle name="Insatisfaisant 2" xfId="50114" xr:uid="{00000000-0005-0000-0000-0000BBC30000}"/>
    <cellStyle name="Insatisfaisant 2 2" xfId="50115" xr:uid="{00000000-0005-0000-0000-0000BCC30000}"/>
    <cellStyle name="Insatisfaisant 3" xfId="50116" xr:uid="{00000000-0005-0000-0000-0000BDC30000}"/>
    <cellStyle name="J.P.M. input" xfId="50117" xr:uid="{00000000-0005-0000-0000-0000BEC30000}"/>
    <cellStyle name="J.P.M. input 2" xfId="50118" xr:uid="{00000000-0005-0000-0000-0000BFC30000}"/>
    <cellStyle name="J.P.M. input 2 2" xfId="50119" xr:uid="{00000000-0005-0000-0000-0000C0C30000}"/>
    <cellStyle name="J.P.M. input 3" xfId="50120" xr:uid="{00000000-0005-0000-0000-0000C1C30000}"/>
    <cellStyle name="JustOneDec" xfId="50121" xr:uid="{00000000-0005-0000-0000-0000C2C30000}"/>
    <cellStyle name="Key Output" xfId="50122" xr:uid="{00000000-0005-0000-0000-0000C3C30000}"/>
    <cellStyle name="Key Output 2" xfId="50123" xr:uid="{00000000-0005-0000-0000-0000C4C30000}"/>
    <cellStyle name="Komma [0]_Algemeen" xfId="50124" xr:uid="{00000000-0005-0000-0000-0000C5C30000}"/>
    <cellStyle name="Komma_Algemeen" xfId="50125" xr:uid="{00000000-0005-0000-0000-0000C6C30000}"/>
    <cellStyle name="Kurs" xfId="50126" xr:uid="{00000000-0005-0000-0000-0000C7C30000}"/>
    <cellStyle name="LeftSubtitle" xfId="50127" xr:uid="{00000000-0005-0000-0000-0000C8C30000}"/>
    <cellStyle name="LeftSubtitle 2" xfId="50128" xr:uid="{00000000-0005-0000-0000-0000C9C30000}"/>
    <cellStyle name="LeftSubtitle 2 2" xfId="50129" xr:uid="{00000000-0005-0000-0000-0000CAC30000}"/>
    <cellStyle name="LeftSubtitle 3" xfId="50130" xr:uid="{00000000-0005-0000-0000-0000CBC30000}"/>
    <cellStyle name="Lien hypertexte visité_A.II - Brand Health &amp; brand Profitability" xfId="50131" xr:uid="{00000000-0005-0000-0000-0000CCC30000}"/>
    <cellStyle name="Lien hypertexte_A.II - Brand Health &amp; brand Profitability" xfId="50132" xr:uid="{00000000-0005-0000-0000-0000CDC30000}"/>
    <cellStyle name="LineItem" xfId="50133" xr:uid="{00000000-0005-0000-0000-0000CEC30000}"/>
    <cellStyle name="LineItems" xfId="50134" xr:uid="{00000000-0005-0000-0000-0000CFC30000}"/>
    <cellStyle name="Link" xfId="50135" xr:uid="{00000000-0005-0000-0000-0000D0C30000}"/>
    <cellStyle name="Link Currency (0)" xfId="50136" xr:uid="{00000000-0005-0000-0000-0000D1C30000}"/>
    <cellStyle name="Link Currency (0) 2" xfId="50137" xr:uid="{00000000-0005-0000-0000-0000D2C30000}"/>
    <cellStyle name="Link Currency (0) 2 2" xfId="50138" xr:uid="{00000000-0005-0000-0000-0000D3C30000}"/>
    <cellStyle name="Link Currency (0) 3" xfId="50139" xr:uid="{00000000-0005-0000-0000-0000D4C30000}"/>
    <cellStyle name="Link Currency (2)" xfId="50140" xr:uid="{00000000-0005-0000-0000-0000D5C30000}"/>
    <cellStyle name="Link Currency (2) 2" xfId="50141" xr:uid="{00000000-0005-0000-0000-0000D6C30000}"/>
    <cellStyle name="Link Currency (2) 2 2" xfId="50142" xr:uid="{00000000-0005-0000-0000-0000D7C30000}"/>
    <cellStyle name="Link Currency (2) 3" xfId="50143" xr:uid="{00000000-0005-0000-0000-0000D8C30000}"/>
    <cellStyle name="Link Units (0)" xfId="50144" xr:uid="{00000000-0005-0000-0000-0000D9C30000}"/>
    <cellStyle name="Link Units (0) 2" xfId="50145" xr:uid="{00000000-0005-0000-0000-0000DAC30000}"/>
    <cellStyle name="Link Units (0) 2 2" xfId="50146" xr:uid="{00000000-0005-0000-0000-0000DBC30000}"/>
    <cellStyle name="Link Units (0) 3" xfId="50147" xr:uid="{00000000-0005-0000-0000-0000DCC30000}"/>
    <cellStyle name="Link Units (1)" xfId="50148" xr:uid="{00000000-0005-0000-0000-0000DDC30000}"/>
    <cellStyle name="Link Units (1) 2" xfId="50149" xr:uid="{00000000-0005-0000-0000-0000DEC30000}"/>
    <cellStyle name="Link Units (1) 2 2" xfId="50150" xr:uid="{00000000-0005-0000-0000-0000DFC30000}"/>
    <cellStyle name="Link Units (1) 3" xfId="50151" xr:uid="{00000000-0005-0000-0000-0000E0C30000}"/>
    <cellStyle name="Link Units (2)" xfId="50152" xr:uid="{00000000-0005-0000-0000-0000E1C30000}"/>
    <cellStyle name="Link Units (2) 2" xfId="50153" xr:uid="{00000000-0005-0000-0000-0000E2C30000}"/>
    <cellStyle name="Link Units (2) 2 2" xfId="50154" xr:uid="{00000000-0005-0000-0000-0000E3C30000}"/>
    <cellStyle name="Link Units (2) 3" xfId="50155" xr:uid="{00000000-0005-0000-0000-0000E4C30000}"/>
    <cellStyle name="Linked Cell 10" xfId="50156" xr:uid="{00000000-0005-0000-0000-0000E5C30000}"/>
    <cellStyle name="Linked Cell 10 2" xfId="50157" xr:uid="{00000000-0005-0000-0000-0000E6C30000}"/>
    <cellStyle name="Linked Cell 10 2 2" xfId="50158" xr:uid="{00000000-0005-0000-0000-0000E7C30000}"/>
    <cellStyle name="Linked Cell 10 3" xfId="50159" xr:uid="{00000000-0005-0000-0000-0000E8C30000}"/>
    <cellStyle name="Linked Cell 100" xfId="50160" xr:uid="{00000000-0005-0000-0000-0000E9C30000}"/>
    <cellStyle name="Linked Cell 100 2" xfId="50161" xr:uid="{00000000-0005-0000-0000-0000EAC30000}"/>
    <cellStyle name="Linked Cell 100 2 2" xfId="50162" xr:uid="{00000000-0005-0000-0000-0000EBC30000}"/>
    <cellStyle name="Linked Cell 100 3" xfId="50163" xr:uid="{00000000-0005-0000-0000-0000ECC30000}"/>
    <cellStyle name="Linked Cell 101" xfId="50164" xr:uid="{00000000-0005-0000-0000-0000EDC30000}"/>
    <cellStyle name="Linked Cell 101 2" xfId="50165" xr:uid="{00000000-0005-0000-0000-0000EEC30000}"/>
    <cellStyle name="Linked Cell 101 2 2" xfId="50166" xr:uid="{00000000-0005-0000-0000-0000EFC30000}"/>
    <cellStyle name="Linked Cell 101 3" xfId="50167" xr:uid="{00000000-0005-0000-0000-0000F0C30000}"/>
    <cellStyle name="Linked Cell 102" xfId="50168" xr:uid="{00000000-0005-0000-0000-0000F1C30000}"/>
    <cellStyle name="Linked Cell 102 2" xfId="50169" xr:uid="{00000000-0005-0000-0000-0000F2C30000}"/>
    <cellStyle name="Linked Cell 102 2 2" xfId="50170" xr:uid="{00000000-0005-0000-0000-0000F3C30000}"/>
    <cellStyle name="Linked Cell 102 3" xfId="50171" xr:uid="{00000000-0005-0000-0000-0000F4C30000}"/>
    <cellStyle name="Linked Cell 103" xfId="50172" xr:uid="{00000000-0005-0000-0000-0000F5C30000}"/>
    <cellStyle name="Linked Cell 103 2" xfId="50173" xr:uid="{00000000-0005-0000-0000-0000F6C30000}"/>
    <cellStyle name="Linked Cell 103 2 2" xfId="50174" xr:uid="{00000000-0005-0000-0000-0000F7C30000}"/>
    <cellStyle name="Linked Cell 103 3" xfId="50175" xr:uid="{00000000-0005-0000-0000-0000F8C30000}"/>
    <cellStyle name="Linked Cell 104" xfId="50176" xr:uid="{00000000-0005-0000-0000-0000F9C30000}"/>
    <cellStyle name="Linked Cell 104 2" xfId="50177" xr:uid="{00000000-0005-0000-0000-0000FAC30000}"/>
    <cellStyle name="Linked Cell 104 2 2" xfId="50178" xr:uid="{00000000-0005-0000-0000-0000FBC30000}"/>
    <cellStyle name="Linked Cell 104 3" xfId="50179" xr:uid="{00000000-0005-0000-0000-0000FCC30000}"/>
    <cellStyle name="Linked Cell 105" xfId="50180" xr:uid="{00000000-0005-0000-0000-0000FDC30000}"/>
    <cellStyle name="Linked Cell 105 2" xfId="50181" xr:uid="{00000000-0005-0000-0000-0000FEC30000}"/>
    <cellStyle name="Linked Cell 105 2 2" xfId="50182" xr:uid="{00000000-0005-0000-0000-0000FFC30000}"/>
    <cellStyle name="Linked Cell 105 3" xfId="50183" xr:uid="{00000000-0005-0000-0000-000000C40000}"/>
    <cellStyle name="Linked Cell 106" xfId="50184" xr:uid="{00000000-0005-0000-0000-000001C40000}"/>
    <cellStyle name="Linked Cell 106 2" xfId="50185" xr:uid="{00000000-0005-0000-0000-000002C40000}"/>
    <cellStyle name="Linked Cell 106 2 2" xfId="50186" xr:uid="{00000000-0005-0000-0000-000003C40000}"/>
    <cellStyle name="Linked Cell 106 3" xfId="50187" xr:uid="{00000000-0005-0000-0000-000004C40000}"/>
    <cellStyle name="Linked Cell 107" xfId="50188" xr:uid="{00000000-0005-0000-0000-000005C40000}"/>
    <cellStyle name="Linked Cell 107 2" xfId="50189" xr:uid="{00000000-0005-0000-0000-000006C40000}"/>
    <cellStyle name="Linked Cell 107 2 2" xfId="50190" xr:uid="{00000000-0005-0000-0000-000007C40000}"/>
    <cellStyle name="Linked Cell 107 3" xfId="50191" xr:uid="{00000000-0005-0000-0000-000008C40000}"/>
    <cellStyle name="Linked Cell 108" xfId="50192" xr:uid="{00000000-0005-0000-0000-000009C40000}"/>
    <cellStyle name="Linked Cell 108 2" xfId="50193" xr:uid="{00000000-0005-0000-0000-00000AC40000}"/>
    <cellStyle name="Linked Cell 108 2 2" xfId="50194" xr:uid="{00000000-0005-0000-0000-00000BC40000}"/>
    <cellStyle name="Linked Cell 108 3" xfId="50195" xr:uid="{00000000-0005-0000-0000-00000CC40000}"/>
    <cellStyle name="Linked Cell 109" xfId="50196" xr:uid="{00000000-0005-0000-0000-00000DC40000}"/>
    <cellStyle name="Linked Cell 109 2" xfId="50197" xr:uid="{00000000-0005-0000-0000-00000EC40000}"/>
    <cellStyle name="Linked Cell 109 2 2" xfId="50198" xr:uid="{00000000-0005-0000-0000-00000FC40000}"/>
    <cellStyle name="Linked Cell 109 3" xfId="50199" xr:uid="{00000000-0005-0000-0000-000010C40000}"/>
    <cellStyle name="Linked Cell 11" xfId="50200" xr:uid="{00000000-0005-0000-0000-000011C40000}"/>
    <cellStyle name="Linked Cell 11 2" xfId="50201" xr:uid="{00000000-0005-0000-0000-000012C40000}"/>
    <cellStyle name="Linked Cell 11 2 2" xfId="50202" xr:uid="{00000000-0005-0000-0000-000013C40000}"/>
    <cellStyle name="Linked Cell 11 3" xfId="50203" xr:uid="{00000000-0005-0000-0000-000014C40000}"/>
    <cellStyle name="Linked Cell 110" xfId="50204" xr:uid="{00000000-0005-0000-0000-000015C40000}"/>
    <cellStyle name="Linked Cell 110 2" xfId="50205" xr:uid="{00000000-0005-0000-0000-000016C40000}"/>
    <cellStyle name="Linked Cell 110 2 2" xfId="50206" xr:uid="{00000000-0005-0000-0000-000017C40000}"/>
    <cellStyle name="Linked Cell 110 3" xfId="50207" xr:uid="{00000000-0005-0000-0000-000018C40000}"/>
    <cellStyle name="Linked Cell 111" xfId="50208" xr:uid="{00000000-0005-0000-0000-000019C40000}"/>
    <cellStyle name="Linked Cell 111 2" xfId="50209" xr:uid="{00000000-0005-0000-0000-00001AC40000}"/>
    <cellStyle name="Linked Cell 111 2 2" xfId="50210" xr:uid="{00000000-0005-0000-0000-00001BC40000}"/>
    <cellStyle name="Linked Cell 111 3" xfId="50211" xr:uid="{00000000-0005-0000-0000-00001CC40000}"/>
    <cellStyle name="Linked Cell 112" xfId="50212" xr:uid="{00000000-0005-0000-0000-00001DC40000}"/>
    <cellStyle name="Linked Cell 112 2" xfId="50213" xr:uid="{00000000-0005-0000-0000-00001EC40000}"/>
    <cellStyle name="Linked Cell 112 2 2" xfId="50214" xr:uid="{00000000-0005-0000-0000-00001FC40000}"/>
    <cellStyle name="Linked Cell 112 3" xfId="50215" xr:uid="{00000000-0005-0000-0000-000020C40000}"/>
    <cellStyle name="Linked Cell 113" xfId="50216" xr:uid="{00000000-0005-0000-0000-000021C40000}"/>
    <cellStyle name="Linked Cell 113 2" xfId="50217" xr:uid="{00000000-0005-0000-0000-000022C40000}"/>
    <cellStyle name="Linked Cell 113 2 2" xfId="50218" xr:uid="{00000000-0005-0000-0000-000023C40000}"/>
    <cellStyle name="Linked Cell 113 3" xfId="50219" xr:uid="{00000000-0005-0000-0000-000024C40000}"/>
    <cellStyle name="Linked Cell 114" xfId="50220" xr:uid="{00000000-0005-0000-0000-000025C40000}"/>
    <cellStyle name="Linked Cell 114 2" xfId="50221" xr:uid="{00000000-0005-0000-0000-000026C40000}"/>
    <cellStyle name="Linked Cell 114 2 2" xfId="50222" xr:uid="{00000000-0005-0000-0000-000027C40000}"/>
    <cellStyle name="Linked Cell 114 3" xfId="50223" xr:uid="{00000000-0005-0000-0000-000028C40000}"/>
    <cellStyle name="Linked Cell 115" xfId="50224" xr:uid="{00000000-0005-0000-0000-000029C40000}"/>
    <cellStyle name="Linked Cell 115 2" xfId="50225" xr:uid="{00000000-0005-0000-0000-00002AC40000}"/>
    <cellStyle name="Linked Cell 115 2 2" xfId="50226" xr:uid="{00000000-0005-0000-0000-00002BC40000}"/>
    <cellStyle name="Linked Cell 115 3" xfId="50227" xr:uid="{00000000-0005-0000-0000-00002CC40000}"/>
    <cellStyle name="Linked Cell 116" xfId="50228" xr:uid="{00000000-0005-0000-0000-00002DC40000}"/>
    <cellStyle name="Linked Cell 116 2" xfId="50229" xr:uid="{00000000-0005-0000-0000-00002EC40000}"/>
    <cellStyle name="Linked Cell 116 2 2" xfId="50230" xr:uid="{00000000-0005-0000-0000-00002FC40000}"/>
    <cellStyle name="Linked Cell 116 3" xfId="50231" xr:uid="{00000000-0005-0000-0000-000030C40000}"/>
    <cellStyle name="Linked Cell 117" xfId="50232" xr:uid="{00000000-0005-0000-0000-000031C40000}"/>
    <cellStyle name="Linked Cell 117 2" xfId="50233" xr:uid="{00000000-0005-0000-0000-000032C40000}"/>
    <cellStyle name="Linked Cell 117 2 2" xfId="50234" xr:uid="{00000000-0005-0000-0000-000033C40000}"/>
    <cellStyle name="Linked Cell 117 3" xfId="50235" xr:uid="{00000000-0005-0000-0000-000034C40000}"/>
    <cellStyle name="Linked Cell 118" xfId="50236" xr:uid="{00000000-0005-0000-0000-000035C40000}"/>
    <cellStyle name="Linked Cell 118 2" xfId="50237" xr:uid="{00000000-0005-0000-0000-000036C40000}"/>
    <cellStyle name="Linked Cell 118 2 2" xfId="50238" xr:uid="{00000000-0005-0000-0000-000037C40000}"/>
    <cellStyle name="Linked Cell 118 3" xfId="50239" xr:uid="{00000000-0005-0000-0000-000038C40000}"/>
    <cellStyle name="Linked Cell 119" xfId="50240" xr:uid="{00000000-0005-0000-0000-000039C40000}"/>
    <cellStyle name="Linked Cell 119 2" xfId="50241" xr:uid="{00000000-0005-0000-0000-00003AC40000}"/>
    <cellStyle name="Linked Cell 119 2 2" xfId="50242" xr:uid="{00000000-0005-0000-0000-00003BC40000}"/>
    <cellStyle name="Linked Cell 119 3" xfId="50243" xr:uid="{00000000-0005-0000-0000-00003CC40000}"/>
    <cellStyle name="Linked Cell 12" xfId="50244" xr:uid="{00000000-0005-0000-0000-00003DC40000}"/>
    <cellStyle name="Linked Cell 12 2" xfId="50245" xr:uid="{00000000-0005-0000-0000-00003EC40000}"/>
    <cellStyle name="Linked Cell 12 2 2" xfId="50246" xr:uid="{00000000-0005-0000-0000-00003FC40000}"/>
    <cellStyle name="Linked Cell 12 3" xfId="50247" xr:uid="{00000000-0005-0000-0000-000040C40000}"/>
    <cellStyle name="Linked Cell 120" xfId="50248" xr:uid="{00000000-0005-0000-0000-000041C40000}"/>
    <cellStyle name="Linked Cell 120 2" xfId="50249" xr:uid="{00000000-0005-0000-0000-000042C40000}"/>
    <cellStyle name="Linked Cell 120 2 2" xfId="50250" xr:uid="{00000000-0005-0000-0000-000043C40000}"/>
    <cellStyle name="Linked Cell 120 3" xfId="50251" xr:uid="{00000000-0005-0000-0000-000044C40000}"/>
    <cellStyle name="Linked Cell 121" xfId="50252" xr:uid="{00000000-0005-0000-0000-000045C40000}"/>
    <cellStyle name="Linked Cell 121 2" xfId="50253" xr:uid="{00000000-0005-0000-0000-000046C40000}"/>
    <cellStyle name="Linked Cell 121 2 2" xfId="50254" xr:uid="{00000000-0005-0000-0000-000047C40000}"/>
    <cellStyle name="Linked Cell 121 3" xfId="50255" xr:uid="{00000000-0005-0000-0000-000048C40000}"/>
    <cellStyle name="Linked Cell 122" xfId="50256" xr:uid="{00000000-0005-0000-0000-000049C40000}"/>
    <cellStyle name="Linked Cell 122 2" xfId="50257" xr:uid="{00000000-0005-0000-0000-00004AC40000}"/>
    <cellStyle name="Linked Cell 122 2 2" xfId="50258" xr:uid="{00000000-0005-0000-0000-00004BC40000}"/>
    <cellStyle name="Linked Cell 122 3" xfId="50259" xr:uid="{00000000-0005-0000-0000-00004CC40000}"/>
    <cellStyle name="Linked Cell 123" xfId="50260" xr:uid="{00000000-0005-0000-0000-00004DC40000}"/>
    <cellStyle name="Linked Cell 123 2" xfId="50261" xr:uid="{00000000-0005-0000-0000-00004EC40000}"/>
    <cellStyle name="Linked Cell 123 2 2" xfId="50262" xr:uid="{00000000-0005-0000-0000-00004FC40000}"/>
    <cellStyle name="Linked Cell 123 3" xfId="50263" xr:uid="{00000000-0005-0000-0000-000050C40000}"/>
    <cellStyle name="Linked Cell 124" xfId="50264" xr:uid="{00000000-0005-0000-0000-000051C40000}"/>
    <cellStyle name="Linked Cell 124 2" xfId="50265" xr:uid="{00000000-0005-0000-0000-000052C40000}"/>
    <cellStyle name="Linked Cell 124 2 2" xfId="50266" xr:uid="{00000000-0005-0000-0000-000053C40000}"/>
    <cellStyle name="Linked Cell 124 3" xfId="50267" xr:uid="{00000000-0005-0000-0000-000054C40000}"/>
    <cellStyle name="Linked Cell 125" xfId="50268" xr:uid="{00000000-0005-0000-0000-000055C40000}"/>
    <cellStyle name="Linked Cell 125 2" xfId="50269" xr:uid="{00000000-0005-0000-0000-000056C40000}"/>
    <cellStyle name="Linked Cell 125 2 2" xfId="50270" xr:uid="{00000000-0005-0000-0000-000057C40000}"/>
    <cellStyle name="Linked Cell 125 3" xfId="50271" xr:uid="{00000000-0005-0000-0000-000058C40000}"/>
    <cellStyle name="Linked Cell 126" xfId="50272" xr:uid="{00000000-0005-0000-0000-000059C40000}"/>
    <cellStyle name="Linked Cell 126 2" xfId="50273" xr:uid="{00000000-0005-0000-0000-00005AC40000}"/>
    <cellStyle name="Linked Cell 126 2 2" xfId="50274" xr:uid="{00000000-0005-0000-0000-00005BC40000}"/>
    <cellStyle name="Linked Cell 126 3" xfId="50275" xr:uid="{00000000-0005-0000-0000-00005CC40000}"/>
    <cellStyle name="Linked Cell 127" xfId="50276" xr:uid="{00000000-0005-0000-0000-00005DC40000}"/>
    <cellStyle name="Linked Cell 127 2" xfId="50277" xr:uid="{00000000-0005-0000-0000-00005EC40000}"/>
    <cellStyle name="Linked Cell 127 2 2" xfId="50278" xr:uid="{00000000-0005-0000-0000-00005FC40000}"/>
    <cellStyle name="Linked Cell 127 3" xfId="50279" xr:uid="{00000000-0005-0000-0000-000060C40000}"/>
    <cellStyle name="Linked Cell 128" xfId="50280" xr:uid="{00000000-0005-0000-0000-000061C40000}"/>
    <cellStyle name="Linked Cell 128 2" xfId="50281" xr:uid="{00000000-0005-0000-0000-000062C40000}"/>
    <cellStyle name="Linked Cell 128 2 2" xfId="50282" xr:uid="{00000000-0005-0000-0000-000063C40000}"/>
    <cellStyle name="Linked Cell 128 3" xfId="50283" xr:uid="{00000000-0005-0000-0000-000064C40000}"/>
    <cellStyle name="Linked Cell 129" xfId="50284" xr:uid="{00000000-0005-0000-0000-000065C40000}"/>
    <cellStyle name="Linked Cell 129 2" xfId="50285" xr:uid="{00000000-0005-0000-0000-000066C40000}"/>
    <cellStyle name="Linked Cell 129 2 2" xfId="50286" xr:uid="{00000000-0005-0000-0000-000067C40000}"/>
    <cellStyle name="Linked Cell 129 3" xfId="50287" xr:uid="{00000000-0005-0000-0000-000068C40000}"/>
    <cellStyle name="Linked Cell 13" xfId="50288" xr:uid="{00000000-0005-0000-0000-000069C40000}"/>
    <cellStyle name="Linked Cell 13 2" xfId="50289" xr:uid="{00000000-0005-0000-0000-00006AC40000}"/>
    <cellStyle name="Linked Cell 13 2 2" xfId="50290" xr:uid="{00000000-0005-0000-0000-00006BC40000}"/>
    <cellStyle name="Linked Cell 13 3" xfId="50291" xr:uid="{00000000-0005-0000-0000-00006CC40000}"/>
    <cellStyle name="Linked Cell 130" xfId="50292" xr:uid="{00000000-0005-0000-0000-00006DC40000}"/>
    <cellStyle name="Linked Cell 130 2" xfId="50293" xr:uid="{00000000-0005-0000-0000-00006EC40000}"/>
    <cellStyle name="Linked Cell 130 2 2" xfId="50294" xr:uid="{00000000-0005-0000-0000-00006FC40000}"/>
    <cellStyle name="Linked Cell 130 3" xfId="50295" xr:uid="{00000000-0005-0000-0000-000070C40000}"/>
    <cellStyle name="Linked Cell 131" xfId="50296" xr:uid="{00000000-0005-0000-0000-000071C40000}"/>
    <cellStyle name="Linked Cell 131 2" xfId="50297" xr:uid="{00000000-0005-0000-0000-000072C40000}"/>
    <cellStyle name="Linked Cell 131 2 2" xfId="50298" xr:uid="{00000000-0005-0000-0000-000073C40000}"/>
    <cellStyle name="Linked Cell 131 3" xfId="50299" xr:uid="{00000000-0005-0000-0000-000074C40000}"/>
    <cellStyle name="Linked Cell 132" xfId="50300" xr:uid="{00000000-0005-0000-0000-000075C40000}"/>
    <cellStyle name="Linked Cell 132 2" xfId="50301" xr:uid="{00000000-0005-0000-0000-000076C40000}"/>
    <cellStyle name="Linked Cell 132 2 2" xfId="50302" xr:uid="{00000000-0005-0000-0000-000077C40000}"/>
    <cellStyle name="Linked Cell 132 3" xfId="50303" xr:uid="{00000000-0005-0000-0000-000078C40000}"/>
    <cellStyle name="Linked Cell 133" xfId="50304" xr:uid="{00000000-0005-0000-0000-000079C40000}"/>
    <cellStyle name="Linked Cell 133 2" xfId="50305" xr:uid="{00000000-0005-0000-0000-00007AC40000}"/>
    <cellStyle name="Linked Cell 133 2 2" xfId="50306" xr:uid="{00000000-0005-0000-0000-00007BC40000}"/>
    <cellStyle name="Linked Cell 133 3" xfId="50307" xr:uid="{00000000-0005-0000-0000-00007CC40000}"/>
    <cellStyle name="Linked Cell 134" xfId="50308" xr:uid="{00000000-0005-0000-0000-00007DC40000}"/>
    <cellStyle name="Linked Cell 134 2" xfId="50309" xr:uid="{00000000-0005-0000-0000-00007EC40000}"/>
    <cellStyle name="Linked Cell 134 2 2" xfId="50310" xr:uid="{00000000-0005-0000-0000-00007FC40000}"/>
    <cellStyle name="Linked Cell 134 3" xfId="50311" xr:uid="{00000000-0005-0000-0000-000080C40000}"/>
    <cellStyle name="Linked Cell 135" xfId="50312" xr:uid="{00000000-0005-0000-0000-000081C40000}"/>
    <cellStyle name="Linked Cell 135 2" xfId="50313" xr:uid="{00000000-0005-0000-0000-000082C40000}"/>
    <cellStyle name="Linked Cell 135 2 2" xfId="50314" xr:uid="{00000000-0005-0000-0000-000083C40000}"/>
    <cellStyle name="Linked Cell 135 3" xfId="50315" xr:uid="{00000000-0005-0000-0000-000084C40000}"/>
    <cellStyle name="Linked Cell 136" xfId="50316" xr:uid="{00000000-0005-0000-0000-000085C40000}"/>
    <cellStyle name="Linked Cell 136 2" xfId="50317" xr:uid="{00000000-0005-0000-0000-000086C40000}"/>
    <cellStyle name="Linked Cell 136 2 2" xfId="50318" xr:uid="{00000000-0005-0000-0000-000087C40000}"/>
    <cellStyle name="Linked Cell 136 3" xfId="50319" xr:uid="{00000000-0005-0000-0000-000088C40000}"/>
    <cellStyle name="Linked Cell 137" xfId="50320" xr:uid="{00000000-0005-0000-0000-000089C40000}"/>
    <cellStyle name="Linked Cell 137 2" xfId="50321" xr:uid="{00000000-0005-0000-0000-00008AC40000}"/>
    <cellStyle name="Linked Cell 137 2 2" xfId="50322" xr:uid="{00000000-0005-0000-0000-00008BC40000}"/>
    <cellStyle name="Linked Cell 137 3" xfId="50323" xr:uid="{00000000-0005-0000-0000-00008CC40000}"/>
    <cellStyle name="Linked Cell 138" xfId="50324" xr:uid="{00000000-0005-0000-0000-00008DC40000}"/>
    <cellStyle name="Linked Cell 138 2" xfId="50325" xr:uid="{00000000-0005-0000-0000-00008EC40000}"/>
    <cellStyle name="Linked Cell 138 2 2" xfId="50326" xr:uid="{00000000-0005-0000-0000-00008FC40000}"/>
    <cellStyle name="Linked Cell 138 3" xfId="50327" xr:uid="{00000000-0005-0000-0000-000090C40000}"/>
    <cellStyle name="Linked Cell 139" xfId="50328" xr:uid="{00000000-0005-0000-0000-000091C40000}"/>
    <cellStyle name="Linked Cell 139 2" xfId="50329" xr:uid="{00000000-0005-0000-0000-000092C40000}"/>
    <cellStyle name="Linked Cell 139 2 2" xfId="50330" xr:uid="{00000000-0005-0000-0000-000093C40000}"/>
    <cellStyle name="Linked Cell 139 3" xfId="50331" xr:uid="{00000000-0005-0000-0000-000094C40000}"/>
    <cellStyle name="Linked Cell 14" xfId="50332" xr:uid="{00000000-0005-0000-0000-000095C40000}"/>
    <cellStyle name="Linked Cell 14 2" xfId="50333" xr:uid="{00000000-0005-0000-0000-000096C40000}"/>
    <cellStyle name="Linked Cell 14 2 2" xfId="50334" xr:uid="{00000000-0005-0000-0000-000097C40000}"/>
    <cellStyle name="Linked Cell 14 3" xfId="50335" xr:uid="{00000000-0005-0000-0000-000098C40000}"/>
    <cellStyle name="Linked Cell 140" xfId="50336" xr:uid="{00000000-0005-0000-0000-000099C40000}"/>
    <cellStyle name="Linked Cell 140 2" xfId="50337" xr:uid="{00000000-0005-0000-0000-00009AC40000}"/>
    <cellStyle name="Linked Cell 140 2 2" xfId="50338" xr:uid="{00000000-0005-0000-0000-00009BC40000}"/>
    <cellStyle name="Linked Cell 140 3" xfId="50339" xr:uid="{00000000-0005-0000-0000-00009CC40000}"/>
    <cellStyle name="Linked Cell 141" xfId="50340" xr:uid="{00000000-0005-0000-0000-00009DC40000}"/>
    <cellStyle name="Linked Cell 141 2" xfId="50341" xr:uid="{00000000-0005-0000-0000-00009EC40000}"/>
    <cellStyle name="Linked Cell 141 2 2" xfId="50342" xr:uid="{00000000-0005-0000-0000-00009FC40000}"/>
    <cellStyle name="Linked Cell 141 3" xfId="50343" xr:uid="{00000000-0005-0000-0000-0000A0C40000}"/>
    <cellStyle name="Linked Cell 142" xfId="50344" xr:uid="{00000000-0005-0000-0000-0000A1C40000}"/>
    <cellStyle name="Linked Cell 142 2" xfId="50345" xr:uid="{00000000-0005-0000-0000-0000A2C40000}"/>
    <cellStyle name="Linked Cell 142 2 2" xfId="50346" xr:uid="{00000000-0005-0000-0000-0000A3C40000}"/>
    <cellStyle name="Linked Cell 142 3" xfId="50347" xr:uid="{00000000-0005-0000-0000-0000A4C40000}"/>
    <cellStyle name="Linked Cell 143" xfId="50348" xr:uid="{00000000-0005-0000-0000-0000A5C40000}"/>
    <cellStyle name="Linked Cell 143 2" xfId="50349" xr:uid="{00000000-0005-0000-0000-0000A6C40000}"/>
    <cellStyle name="Linked Cell 143 2 2" xfId="50350" xr:uid="{00000000-0005-0000-0000-0000A7C40000}"/>
    <cellStyle name="Linked Cell 143 3" xfId="50351" xr:uid="{00000000-0005-0000-0000-0000A8C40000}"/>
    <cellStyle name="Linked Cell 144" xfId="50352" xr:uid="{00000000-0005-0000-0000-0000A9C40000}"/>
    <cellStyle name="Linked Cell 144 2" xfId="50353" xr:uid="{00000000-0005-0000-0000-0000AAC40000}"/>
    <cellStyle name="Linked Cell 144 2 2" xfId="50354" xr:uid="{00000000-0005-0000-0000-0000ABC40000}"/>
    <cellStyle name="Linked Cell 144 3" xfId="50355" xr:uid="{00000000-0005-0000-0000-0000ACC40000}"/>
    <cellStyle name="Linked Cell 145" xfId="50356" xr:uid="{00000000-0005-0000-0000-0000ADC40000}"/>
    <cellStyle name="Linked Cell 145 2" xfId="50357" xr:uid="{00000000-0005-0000-0000-0000AEC40000}"/>
    <cellStyle name="Linked Cell 145 2 2" xfId="50358" xr:uid="{00000000-0005-0000-0000-0000AFC40000}"/>
    <cellStyle name="Linked Cell 145 3" xfId="50359" xr:uid="{00000000-0005-0000-0000-0000B0C40000}"/>
    <cellStyle name="Linked Cell 146" xfId="50360" xr:uid="{00000000-0005-0000-0000-0000B1C40000}"/>
    <cellStyle name="Linked Cell 146 2" xfId="50361" xr:uid="{00000000-0005-0000-0000-0000B2C40000}"/>
    <cellStyle name="Linked Cell 146 2 2" xfId="50362" xr:uid="{00000000-0005-0000-0000-0000B3C40000}"/>
    <cellStyle name="Linked Cell 146 3" xfId="50363" xr:uid="{00000000-0005-0000-0000-0000B4C40000}"/>
    <cellStyle name="Linked Cell 147" xfId="50364" xr:uid="{00000000-0005-0000-0000-0000B5C40000}"/>
    <cellStyle name="Linked Cell 147 2" xfId="50365" xr:uid="{00000000-0005-0000-0000-0000B6C40000}"/>
    <cellStyle name="Linked Cell 147 2 2" xfId="50366" xr:uid="{00000000-0005-0000-0000-0000B7C40000}"/>
    <cellStyle name="Linked Cell 147 3" xfId="50367" xr:uid="{00000000-0005-0000-0000-0000B8C40000}"/>
    <cellStyle name="Linked Cell 148" xfId="50368" xr:uid="{00000000-0005-0000-0000-0000B9C40000}"/>
    <cellStyle name="Linked Cell 148 2" xfId="50369" xr:uid="{00000000-0005-0000-0000-0000BAC40000}"/>
    <cellStyle name="Linked Cell 148 2 2" xfId="50370" xr:uid="{00000000-0005-0000-0000-0000BBC40000}"/>
    <cellStyle name="Linked Cell 148 3" xfId="50371" xr:uid="{00000000-0005-0000-0000-0000BCC40000}"/>
    <cellStyle name="Linked Cell 149" xfId="50372" xr:uid="{00000000-0005-0000-0000-0000BDC40000}"/>
    <cellStyle name="Linked Cell 149 2" xfId="50373" xr:uid="{00000000-0005-0000-0000-0000BEC40000}"/>
    <cellStyle name="Linked Cell 149 2 2" xfId="50374" xr:uid="{00000000-0005-0000-0000-0000BFC40000}"/>
    <cellStyle name="Linked Cell 149 3" xfId="50375" xr:uid="{00000000-0005-0000-0000-0000C0C40000}"/>
    <cellStyle name="Linked Cell 15" xfId="50376" xr:uid="{00000000-0005-0000-0000-0000C1C40000}"/>
    <cellStyle name="Linked Cell 15 2" xfId="50377" xr:uid="{00000000-0005-0000-0000-0000C2C40000}"/>
    <cellStyle name="Linked Cell 15 2 2" xfId="50378" xr:uid="{00000000-0005-0000-0000-0000C3C40000}"/>
    <cellStyle name="Linked Cell 15 3" xfId="50379" xr:uid="{00000000-0005-0000-0000-0000C4C40000}"/>
    <cellStyle name="Linked Cell 150" xfId="50380" xr:uid="{00000000-0005-0000-0000-0000C5C40000}"/>
    <cellStyle name="Linked Cell 150 2" xfId="50381" xr:uid="{00000000-0005-0000-0000-0000C6C40000}"/>
    <cellStyle name="Linked Cell 150 2 2" xfId="50382" xr:uid="{00000000-0005-0000-0000-0000C7C40000}"/>
    <cellStyle name="Linked Cell 150 3" xfId="50383" xr:uid="{00000000-0005-0000-0000-0000C8C40000}"/>
    <cellStyle name="Linked Cell 151" xfId="50384" xr:uid="{00000000-0005-0000-0000-0000C9C40000}"/>
    <cellStyle name="Linked Cell 151 2" xfId="50385" xr:uid="{00000000-0005-0000-0000-0000CAC40000}"/>
    <cellStyle name="Linked Cell 151 2 2" xfId="50386" xr:uid="{00000000-0005-0000-0000-0000CBC40000}"/>
    <cellStyle name="Linked Cell 151 3" xfId="50387" xr:uid="{00000000-0005-0000-0000-0000CCC40000}"/>
    <cellStyle name="Linked Cell 152" xfId="50388" xr:uid="{00000000-0005-0000-0000-0000CDC40000}"/>
    <cellStyle name="Linked Cell 152 2" xfId="50389" xr:uid="{00000000-0005-0000-0000-0000CEC40000}"/>
    <cellStyle name="Linked Cell 152 2 2" xfId="50390" xr:uid="{00000000-0005-0000-0000-0000CFC40000}"/>
    <cellStyle name="Linked Cell 152 3" xfId="50391" xr:uid="{00000000-0005-0000-0000-0000D0C40000}"/>
    <cellStyle name="Linked Cell 153" xfId="50392" xr:uid="{00000000-0005-0000-0000-0000D1C40000}"/>
    <cellStyle name="Linked Cell 153 2" xfId="50393" xr:uid="{00000000-0005-0000-0000-0000D2C40000}"/>
    <cellStyle name="Linked Cell 153 2 2" xfId="50394" xr:uid="{00000000-0005-0000-0000-0000D3C40000}"/>
    <cellStyle name="Linked Cell 153 3" xfId="50395" xr:uid="{00000000-0005-0000-0000-0000D4C40000}"/>
    <cellStyle name="Linked Cell 154" xfId="50396" xr:uid="{00000000-0005-0000-0000-0000D5C40000}"/>
    <cellStyle name="Linked Cell 154 2" xfId="50397" xr:uid="{00000000-0005-0000-0000-0000D6C40000}"/>
    <cellStyle name="Linked Cell 154 2 2" xfId="50398" xr:uid="{00000000-0005-0000-0000-0000D7C40000}"/>
    <cellStyle name="Linked Cell 154 3" xfId="50399" xr:uid="{00000000-0005-0000-0000-0000D8C40000}"/>
    <cellStyle name="Linked Cell 155" xfId="50400" xr:uid="{00000000-0005-0000-0000-0000D9C40000}"/>
    <cellStyle name="Linked Cell 155 2" xfId="50401" xr:uid="{00000000-0005-0000-0000-0000DAC40000}"/>
    <cellStyle name="Linked Cell 155 2 2" xfId="50402" xr:uid="{00000000-0005-0000-0000-0000DBC40000}"/>
    <cellStyle name="Linked Cell 155 3" xfId="50403" xr:uid="{00000000-0005-0000-0000-0000DCC40000}"/>
    <cellStyle name="Linked Cell 156" xfId="50404" xr:uid="{00000000-0005-0000-0000-0000DDC40000}"/>
    <cellStyle name="Linked Cell 156 2" xfId="50405" xr:uid="{00000000-0005-0000-0000-0000DEC40000}"/>
    <cellStyle name="Linked Cell 156 2 2" xfId="50406" xr:uid="{00000000-0005-0000-0000-0000DFC40000}"/>
    <cellStyle name="Linked Cell 156 3" xfId="50407" xr:uid="{00000000-0005-0000-0000-0000E0C40000}"/>
    <cellStyle name="Linked Cell 157" xfId="50408" xr:uid="{00000000-0005-0000-0000-0000E1C40000}"/>
    <cellStyle name="Linked Cell 157 2" xfId="50409" xr:uid="{00000000-0005-0000-0000-0000E2C40000}"/>
    <cellStyle name="Linked Cell 157 2 2" xfId="50410" xr:uid="{00000000-0005-0000-0000-0000E3C40000}"/>
    <cellStyle name="Linked Cell 157 3" xfId="50411" xr:uid="{00000000-0005-0000-0000-0000E4C40000}"/>
    <cellStyle name="Linked Cell 158" xfId="50412" xr:uid="{00000000-0005-0000-0000-0000E5C40000}"/>
    <cellStyle name="Linked Cell 158 2" xfId="50413" xr:uid="{00000000-0005-0000-0000-0000E6C40000}"/>
    <cellStyle name="Linked Cell 158 2 2" xfId="50414" xr:uid="{00000000-0005-0000-0000-0000E7C40000}"/>
    <cellStyle name="Linked Cell 158 3" xfId="50415" xr:uid="{00000000-0005-0000-0000-0000E8C40000}"/>
    <cellStyle name="Linked Cell 159" xfId="50416" xr:uid="{00000000-0005-0000-0000-0000E9C40000}"/>
    <cellStyle name="Linked Cell 159 2" xfId="50417" xr:uid="{00000000-0005-0000-0000-0000EAC40000}"/>
    <cellStyle name="Linked Cell 16" xfId="50418" xr:uid="{00000000-0005-0000-0000-0000EBC40000}"/>
    <cellStyle name="Linked Cell 16 2" xfId="50419" xr:uid="{00000000-0005-0000-0000-0000ECC40000}"/>
    <cellStyle name="Linked Cell 16 2 2" xfId="50420" xr:uid="{00000000-0005-0000-0000-0000EDC40000}"/>
    <cellStyle name="Linked Cell 16 3" xfId="50421" xr:uid="{00000000-0005-0000-0000-0000EEC40000}"/>
    <cellStyle name="Linked Cell 160" xfId="50422" xr:uid="{00000000-0005-0000-0000-0000EFC40000}"/>
    <cellStyle name="Linked Cell 160 2" xfId="50423" xr:uid="{00000000-0005-0000-0000-0000F0C40000}"/>
    <cellStyle name="Linked Cell 161" xfId="50424" xr:uid="{00000000-0005-0000-0000-0000F1C40000}"/>
    <cellStyle name="Linked Cell 161 2" xfId="50425" xr:uid="{00000000-0005-0000-0000-0000F2C40000}"/>
    <cellStyle name="Linked Cell 162" xfId="50426" xr:uid="{00000000-0005-0000-0000-0000F3C40000}"/>
    <cellStyle name="Linked Cell 162 2" xfId="50427" xr:uid="{00000000-0005-0000-0000-0000F4C40000}"/>
    <cellStyle name="Linked Cell 163" xfId="50428" xr:uid="{00000000-0005-0000-0000-0000F5C40000}"/>
    <cellStyle name="Linked Cell 163 2" xfId="50429" xr:uid="{00000000-0005-0000-0000-0000F6C40000}"/>
    <cellStyle name="Linked Cell 164" xfId="50430" xr:uid="{00000000-0005-0000-0000-0000F7C40000}"/>
    <cellStyle name="Linked Cell 164 2" xfId="50431" xr:uid="{00000000-0005-0000-0000-0000F8C40000}"/>
    <cellStyle name="Linked Cell 165" xfId="50432" xr:uid="{00000000-0005-0000-0000-0000F9C40000}"/>
    <cellStyle name="Linked Cell 165 2" xfId="50433" xr:uid="{00000000-0005-0000-0000-0000FAC40000}"/>
    <cellStyle name="Linked Cell 166" xfId="50434" xr:uid="{00000000-0005-0000-0000-0000FBC40000}"/>
    <cellStyle name="Linked Cell 166 2" xfId="50435" xr:uid="{00000000-0005-0000-0000-0000FCC40000}"/>
    <cellStyle name="Linked Cell 167" xfId="50436" xr:uid="{00000000-0005-0000-0000-0000FDC40000}"/>
    <cellStyle name="Linked Cell 167 2" xfId="50437" xr:uid="{00000000-0005-0000-0000-0000FEC40000}"/>
    <cellStyle name="Linked Cell 168" xfId="50438" xr:uid="{00000000-0005-0000-0000-0000FFC40000}"/>
    <cellStyle name="Linked Cell 168 2" xfId="50439" xr:uid="{00000000-0005-0000-0000-000000C50000}"/>
    <cellStyle name="Linked Cell 169" xfId="50440" xr:uid="{00000000-0005-0000-0000-000001C50000}"/>
    <cellStyle name="Linked Cell 169 2" xfId="50441" xr:uid="{00000000-0005-0000-0000-000002C50000}"/>
    <cellStyle name="Linked Cell 17" xfId="50442" xr:uid="{00000000-0005-0000-0000-000003C50000}"/>
    <cellStyle name="Linked Cell 17 2" xfId="50443" xr:uid="{00000000-0005-0000-0000-000004C50000}"/>
    <cellStyle name="Linked Cell 17 2 2" xfId="50444" xr:uid="{00000000-0005-0000-0000-000005C50000}"/>
    <cellStyle name="Linked Cell 17 3" xfId="50445" xr:uid="{00000000-0005-0000-0000-000006C50000}"/>
    <cellStyle name="Linked Cell 170" xfId="50446" xr:uid="{00000000-0005-0000-0000-000007C50000}"/>
    <cellStyle name="Linked Cell 170 2" xfId="50447" xr:uid="{00000000-0005-0000-0000-000008C50000}"/>
    <cellStyle name="Linked Cell 171" xfId="50448" xr:uid="{00000000-0005-0000-0000-000009C50000}"/>
    <cellStyle name="Linked Cell 171 2" xfId="50449" xr:uid="{00000000-0005-0000-0000-00000AC50000}"/>
    <cellStyle name="Linked Cell 172" xfId="50450" xr:uid="{00000000-0005-0000-0000-00000BC50000}"/>
    <cellStyle name="Linked Cell 172 2" xfId="50451" xr:uid="{00000000-0005-0000-0000-00000CC50000}"/>
    <cellStyle name="Linked Cell 173" xfId="50452" xr:uid="{00000000-0005-0000-0000-00000DC50000}"/>
    <cellStyle name="Linked Cell 173 2" xfId="50453" xr:uid="{00000000-0005-0000-0000-00000EC50000}"/>
    <cellStyle name="Linked Cell 174" xfId="50454" xr:uid="{00000000-0005-0000-0000-00000FC50000}"/>
    <cellStyle name="Linked Cell 174 2" xfId="50455" xr:uid="{00000000-0005-0000-0000-000010C50000}"/>
    <cellStyle name="Linked Cell 175" xfId="50456" xr:uid="{00000000-0005-0000-0000-000011C50000}"/>
    <cellStyle name="Linked Cell 175 2" xfId="50457" xr:uid="{00000000-0005-0000-0000-000012C50000}"/>
    <cellStyle name="Linked Cell 176" xfId="50458" xr:uid="{00000000-0005-0000-0000-000013C50000}"/>
    <cellStyle name="Linked Cell 176 2" xfId="50459" xr:uid="{00000000-0005-0000-0000-000014C50000}"/>
    <cellStyle name="Linked Cell 177" xfId="50460" xr:uid="{00000000-0005-0000-0000-000015C50000}"/>
    <cellStyle name="Linked Cell 177 2" xfId="50461" xr:uid="{00000000-0005-0000-0000-000016C50000}"/>
    <cellStyle name="Linked Cell 178" xfId="50462" xr:uid="{00000000-0005-0000-0000-000017C50000}"/>
    <cellStyle name="Linked Cell 178 2" xfId="50463" xr:uid="{00000000-0005-0000-0000-000018C50000}"/>
    <cellStyle name="Linked Cell 179" xfId="50464" xr:uid="{00000000-0005-0000-0000-000019C50000}"/>
    <cellStyle name="Linked Cell 179 2" xfId="50465" xr:uid="{00000000-0005-0000-0000-00001AC50000}"/>
    <cellStyle name="Linked Cell 18" xfId="50466" xr:uid="{00000000-0005-0000-0000-00001BC50000}"/>
    <cellStyle name="Linked Cell 18 2" xfId="50467" xr:uid="{00000000-0005-0000-0000-00001CC50000}"/>
    <cellStyle name="Linked Cell 18 2 2" xfId="50468" xr:uid="{00000000-0005-0000-0000-00001DC50000}"/>
    <cellStyle name="Linked Cell 18 3" xfId="50469" xr:uid="{00000000-0005-0000-0000-00001EC50000}"/>
    <cellStyle name="Linked Cell 180" xfId="50470" xr:uid="{00000000-0005-0000-0000-00001FC50000}"/>
    <cellStyle name="Linked Cell 180 2" xfId="50471" xr:uid="{00000000-0005-0000-0000-000020C50000}"/>
    <cellStyle name="Linked Cell 181" xfId="50472" xr:uid="{00000000-0005-0000-0000-000021C50000}"/>
    <cellStyle name="Linked Cell 181 2" xfId="50473" xr:uid="{00000000-0005-0000-0000-000022C50000}"/>
    <cellStyle name="Linked Cell 182" xfId="50474" xr:uid="{00000000-0005-0000-0000-000023C50000}"/>
    <cellStyle name="Linked Cell 182 2" xfId="50475" xr:uid="{00000000-0005-0000-0000-000024C50000}"/>
    <cellStyle name="Linked Cell 183" xfId="50476" xr:uid="{00000000-0005-0000-0000-000025C50000}"/>
    <cellStyle name="Linked Cell 183 2" xfId="50477" xr:uid="{00000000-0005-0000-0000-000026C50000}"/>
    <cellStyle name="Linked Cell 184" xfId="50478" xr:uid="{00000000-0005-0000-0000-000027C50000}"/>
    <cellStyle name="Linked Cell 184 2" xfId="50479" xr:uid="{00000000-0005-0000-0000-000028C50000}"/>
    <cellStyle name="Linked Cell 185" xfId="50480" xr:uid="{00000000-0005-0000-0000-000029C50000}"/>
    <cellStyle name="Linked Cell 185 2" xfId="50481" xr:uid="{00000000-0005-0000-0000-00002AC50000}"/>
    <cellStyle name="Linked Cell 186" xfId="50482" xr:uid="{00000000-0005-0000-0000-00002BC50000}"/>
    <cellStyle name="Linked Cell 186 2" xfId="50483" xr:uid="{00000000-0005-0000-0000-00002CC50000}"/>
    <cellStyle name="Linked Cell 187" xfId="50484" xr:uid="{00000000-0005-0000-0000-00002DC50000}"/>
    <cellStyle name="Linked Cell 187 2" xfId="50485" xr:uid="{00000000-0005-0000-0000-00002EC50000}"/>
    <cellStyle name="Linked Cell 188" xfId="50486" xr:uid="{00000000-0005-0000-0000-00002FC50000}"/>
    <cellStyle name="Linked Cell 188 2" xfId="50487" xr:uid="{00000000-0005-0000-0000-000030C50000}"/>
    <cellStyle name="Linked Cell 189" xfId="50488" xr:uid="{00000000-0005-0000-0000-000031C50000}"/>
    <cellStyle name="Linked Cell 189 2" xfId="50489" xr:uid="{00000000-0005-0000-0000-000032C50000}"/>
    <cellStyle name="Linked Cell 19" xfId="50490" xr:uid="{00000000-0005-0000-0000-000033C50000}"/>
    <cellStyle name="Linked Cell 19 2" xfId="50491" xr:uid="{00000000-0005-0000-0000-000034C50000}"/>
    <cellStyle name="Linked Cell 19 2 2" xfId="50492" xr:uid="{00000000-0005-0000-0000-000035C50000}"/>
    <cellStyle name="Linked Cell 19 3" xfId="50493" xr:uid="{00000000-0005-0000-0000-000036C50000}"/>
    <cellStyle name="Linked Cell 190" xfId="50494" xr:uid="{00000000-0005-0000-0000-000037C50000}"/>
    <cellStyle name="Linked Cell 190 2" xfId="50495" xr:uid="{00000000-0005-0000-0000-000038C50000}"/>
    <cellStyle name="Linked Cell 191" xfId="50496" xr:uid="{00000000-0005-0000-0000-000039C50000}"/>
    <cellStyle name="Linked Cell 191 2" xfId="50497" xr:uid="{00000000-0005-0000-0000-00003AC50000}"/>
    <cellStyle name="Linked Cell 192" xfId="50498" xr:uid="{00000000-0005-0000-0000-00003BC50000}"/>
    <cellStyle name="Linked Cell 192 2" xfId="50499" xr:uid="{00000000-0005-0000-0000-00003CC50000}"/>
    <cellStyle name="Linked Cell 193" xfId="50500" xr:uid="{00000000-0005-0000-0000-00003DC50000}"/>
    <cellStyle name="Linked Cell 193 2" xfId="50501" xr:uid="{00000000-0005-0000-0000-00003EC50000}"/>
    <cellStyle name="Linked Cell 194" xfId="50502" xr:uid="{00000000-0005-0000-0000-00003FC50000}"/>
    <cellStyle name="Linked Cell 194 2" xfId="50503" xr:uid="{00000000-0005-0000-0000-000040C50000}"/>
    <cellStyle name="Linked Cell 195" xfId="50504" xr:uid="{00000000-0005-0000-0000-000041C50000}"/>
    <cellStyle name="Linked Cell 195 2" xfId="50505" xr:uid="{00000000-0005-0000-0000-000042C50000}"/>
    <cellStyle name="Linked Cell 196" xfId="50506" xr:uid="{00000000-0005-0000-0000-000043C50000}"/>
    <cellStyle name="Linked Cell 196 2" xfId="50507" xr:uid="{00000000-0005-0000-0000-000044C50000}"/>
    <cellStyle name="Linked Cell 197" xfId="50508" xr:uid="{00000000-0005-0000-0000-000045C50000}"/>
    <cellStyle name="Linked Cell 197 2" xfId="50509" xr:uid="{00000000-0005-0000-0000-000046C50000}"/>
    <cellStyle name="Linked Cell 198" xfId="50510" xr:uid="{00000000-0005-0000-0000-000047C50000}"/>
    <cellStyle name="Linked Cell 198 2" xfId="50511" xr:uid="{00000000-0005-0000-0000-000048C50000}"/>
    <cellStyle name="Linked Cell 2" xfId="50512" xr:uid="{00000000-0005-0000-0000-000049C50000}"/>
    <cellStyle name="Linked Cell 2 2" xfId="50513" xr:uid="{00000000-0005-0000-0000-00004AC50000}"/>
    <cellStyle name="Linked Cell 2 2 2" xfId="50514" xr:uid="{00000000-0005-0000-0000-00004BC50000}"/>
    <cellStyle name="Linked Cell 2 2 2 2" xfId="50515" xr:uid="{00000000-0005-0000-0000-00004CC50000}"/>
    <cellStyle name="Linked Cell 2 2 2 2 2" xfId="50516" xr:uid="{00000000-0005-0000-0000-00004DC50000}"/>
    <cellStyle name="Linked Cell 2 2 2 2 2 2" xfId="50517" xr:uid="{00000000-0005-0000-0000-00004EC50000}"/>
    <cellStyle name="Linked Cell 2 2 2 2 3" xfId="50518" xr:uid="{00000000-0005-0000-0000-00004FC50000}"/>
    <cellStyle name="Linked Cell 2 2 2 3" xfId="50519" xr:uid="{00000000-0005-0000-0000-000050C50000}"/>
    <cellStyle name="Linked Cell 2 2 3" xfId="50520" xr:uid="{00000000-0005-0000-0000-000051C50000}"/>
    <cellStyle name="Linked Cell 2 2 3 2" xfId="50521" xr:uid="{00000000-0005-0000-0000-000052C50000}"/>
    <cellStyle name="Linked Cell 2 2 4" xfId="50522" xr:uid="{00000000-0005-0000-0000-000053C50000}"/>
    <cellStyle name="Linked Cell 2 2 4 2" xfId="50523" xr:uid="{00000000-0005-0000-0000-000054C50000}"/>
    <cellStyle name="Linked Cell 2 2 5" xfId="50524" xr:uid="{00000000-0005-0000-0000-000055C50000}"/>
    <cellStyle name="Linked Cell 2 3" xfId="50525" xr:uid="{00000000-0005-0000-0000-000056C50000}"/>
    <cellStyle name="Linked Cell 2 3 2" xfId="50526" xr:uid="{00000000-0005-0000-0000-000057C50000}"/>
    <cellStyle name="Linked Cell 2 4" xfId="50527" xr:uid="{00000000-0005-0000-0000-000058C50000}"/>
    <cellStyle name="Linked Cell 2 4 2" xfId="50528" xr:uid="{00000000-0005-0000-0000-000059C50000}"/>
    <cellStyle name="Linked Cell 2 5" xfId="50529" xr:uid="{00000000-0005-0000-0000-00005AC50000}"/>
    <cellStyle name="Linked Cell 2 5 2" xfId="50530" xr:uid="{00000000-0005-0000-0000-00005BC50000}"/>
    <cellStyle name="Linked Cell 2 6" xfId="50531" xr:uid="{00000000-0005-0000-0000-00005CC50000}"/>
    <cellStyle name="Linked Cell 20" xfId="50532" xr:uid="{00000000-0005-0000-0000-00005DC50000}"/>
    <cellStyle name="Linked Cell 20 2" xfId="50533" xr:uid="{00000000-0005-0000-0000-00005EC50000}"/>
    <cellStyle name="Linked Cell 20 2 2" xfId="50534" xr:uid="{00000000-0005-0000-0000-00005FC50000}"/>
    <cellStyle name="Linked Cell 20 3" xfId="50535" xr:uid="{00000000-0005-0000-0000-000060C50000}"/>
    <cellStyle name="Linked Cell 21" xfId="50536" xr:uid="{00000000-0005-0000-0000-000061C50000}"/>
    <cellStyle name="Linked Cell 21 2" xfId="50537" xr:uid="{00000000-0005-0000-0000-000062C50000}"/>
    <cellStyle name="Linked Cell 21 2 2" xfId="50538" xr:uid="{00000000-0005-0000-0000-000063C50000}"/>
    <cellStyle name="Linked Cell 21 3" xfId="50539" xr:uid="{00000000-0005-0000-0000-000064C50000}"/>
    <cellStyle name="Linked Cell 22" xfId="50540" xr:uid="{00000000-0005-0000-0000-000065C50000}"/>
    <cellStyle name="Linked Cell 22 2" xfId="50541" xr:uid="{00000000-0005-0000-0000-000066C50000}"/>
    <cellStyle name="Linked Cell 22 2 2" xfId="50542" xr:uid="{00000000-0005-0000-0000-000067C50000}"/>
    <cellStyle name="Linked Cell 22 3" xfId="50543" xr:uid="{00000000-0005-0000-0000-000068C50000}"/>
    <cellStyle name="Linked Cell 23" xfId="50544" xr:uid="{00000000-0005-0000-0000-000069C50000}"/>
    <cellStyle name="Linked Cell 23 2" xfId="50545" xr:uid="{00000000-0005-0000-0000-00006AC50000}"/>
    <cellStyle name="Linked Cell 23 2 2" xfId="50546" xr:uid="{00000000-0005-0000-0000-00006BC50000}"/>
    <cellStyle name="Linked Cell 23 3" xfId="50547" xr:uid="{00000000-0005-0000-0000-00006CC50000}"/>
    <cellStyle name="Linked Cell 24" xfId="50548" xr:uid="{00000000-0005-0000-0000-00006DC50000}"/>
    <cellStyle name="Linked Cell 24 2" xfId="50549" xr:uid="{00000000-0005-0000-0000-00006EC50000}"/>
    <cellStyle name="Linked Cell 24 2 2" xfId="50550" xr:uid="{00000000-0005-0000-0000-00006FC50000}"/>
    <cellStyle name="Linked Cell 24 3" xfId="50551" xr:uid="{00000000-0005-0000-0000-000070C50000}"/>
    <cellStyle name="Linked Cell 25" xfId="50552" xr:uid="{00000000-0005-0000-0000-000071C50000}"/>
    <cellStyle name="Linked Cell 25 2" xfId="50553" xr:uid="{00000000-0005-0000-0000-000072C50000}"/>
    <cellStyle name="Linked Cell 25 2 2" xfId="50554" xr:uid="{00000000-0005-0000-0000-000073C50000}"/>
    <cellStyle name="Linked Cell 25 3" xfId="50555" xr:uid="{00000000-0005-0000-0000-000074C50000}"/>
    <cellStyle name="Linked Cell 26" xfId="50556" xr:uid="{00000000-0005-0000-0000-000075C50000}"/>
    <cellStyle name="Linked Cell 26 2" xfId="50557" xr:uid="{00000000-0005-0000-0000-000076C50000}"/>
    <cellStyle name="Linked Cell 26 2 2" xfId="50558" xr:uid="{00000000-0005-0000-0000-000077C50000}"/>
    <cellStyle name="Linked Cell 26 3" xfId="50559" xr:uid="{00000000-0005-0000-0000-000078C50000}"/>
    <cellStyle name="Linked Cell 27" xfId="50560" xr:uid="{00000000-0005-0000-0000-000079C50000}"/>
    <cellStyle name="Linked Cell 27 2" xfId="50561" xr:uid="{00000000-0005-0000-0000-00007AC50000}"/>
    <cellStyle name="Linked Cell 27 2 2" xfId="50562" xr:uid="{00000000-0005-0000-0000-00007BC50000}"/>
    <cellStyle name="Linked Cell 27 3" xfId="50563" xr:uid="{00000000-0005-0000-0000-00007CC50000}"/>
    <cellStyle name="Linked Cell 28" xfId="50564" xr:uid="{00000000-0005-0000-0000-00007DC50000}"/>
    <cellStyle name="Linked Cell 28 2" xfId="50565" xr:uid="{00000000-0005-0000-0000-00007EC50000}"/>
    <cellStyle name="Linked Cell 28 2 2" xfId="50566" xr:uid="{00000000-0005-0000-0000-00007FC50000}"/>
    <cellStyle name="Linked Cell 28 3" xfId="50567" xr:uid="{00000000-0005-0000-0000-000080C50000}"/>
    <cellStyle name="Linked Cell 29" xfId="50568" xr:uid="{00000000-0005-0000-0000-000081C50000}"/>
    <cellStyle name="Linked Cell 29 2" xfId="50569" xr:uid="{00000000-0005-0000-0000-000082C50000}"/>
    <cellStyle name="Linked Cell 29 2 2" xfId="50570" xr:uid="{00000000-0005-0000-0000-000083C50000}"/>
    <cellStyle name="Linked Cell 29 3" xfId="50571" xr:uid="{00000000-0005-0000-0000-000084C50000}"/>
    <cellStyle name="Linked Cell 3" xfId="50572" xr:uid="{00000000-0005-0000-0000-000085C50000}"/>
    <cellStyle name="Linked Cell 3 2" xfId="50573" xr:uid="{00000000-0005-0000-0000-000086C50000}"/>
    <cellStyle name="Linked Cell 3 2 2" xfId="50574" xr:uid="{00000000-0005-0000-0000-000087C50000}"/>
    <cellStyle name="Linked Cell 3 3" xfId="50575" xr:uid="{00000000-0005-0000-0000-000088C50000}"/>
    <cellStyle name="Linked Cell 3 3 2" xfId="50576" xr:uid="{00000000-0005-0000-0000-000089C50000}"/>
    <cellStyle name="Linked Cell 3 4" xfId="50577" xr:uid="{00000000-0005-0000-0000-00008AC50000}"/>
    <cellStyle name="Linked Cell 3 4 2" xfId="50578" xr:uid="{00000000-0005-0000-0000-00008BC50000}"/>
    <cellStyle name="Linked Cell 3 5" xfId="50579" xr:uid="{00000000-0005-0000-0000-00008CC50000}"/>
    <cellStyle name="Linked Cell 30" xfId="50580" xr:uid="{00000000-0005-0000-0000-00008DC50000}"/>
    <cellStyle name="Linked Cell 30 2" xfId="50581" xr:uid="{00000000-0005-0000-0000-00008EC50000}"/>
    <cellStyle name="Linked Cell 30 2 2" xfId="50582" xr:uid="{00000000-0005-0000-0000-00008FC50000}"/>
    <cellStyle name="Linked Cell 30 3" xfId="50583" xr:uid="{00000000-0005-0000-0000-000090C50000}"/>
    <cellStyle name="Linked Cell 31" xfId="50584" xr:uid="{00000000-0005-0000-0000-000091C50000}"/>
    <cellStyle name="Linked Cell 31 2" xfId="50585" xr:uid="{00000000-0005-0000-0000-000092C50000}"/>
    <cellStyle name="Linked Cell 31 2 2" xfId="50586" xr:uid="{00000000-0005-0000-0000-000093C50000}"/>
    <cellStyle name="Linked Cell 31 3" xfId="50587" xr:uid="{00000000-0005-0000-0000-000094C50000}"/>
    <cellStyle name="Linked Cell 32" xfId="50588" xr:uid="{00000000-0005-0000-0000-000095C50000}"/>
    <cellStyle name="Linked Cell 32 2" xfId="50589" xr:uid="{00000000-0005-0000-0000-000096C50000}"/>
    <cellStyle name="Linked Cell 32 2 2" xfId="50590" xr:uid="{00000000-0005-0000-0000-000097C50000}"/>
    <cellStyle name="Linked Cell 32 3" xfId="50591" xr:uid="{00000000-0005-0000-0000-000098C50000}"/>
    <cellStyle name="Linked Cell 33" xfId="50592" xr:uid="{00000000-0005-0000-0000-000099C50000}"/>
    <cellStyle name="Linked Cell 33 2" xfId="50593" xr:uid="{00000000-0005-0000-0000-00009AC50000}"/>
    <cellStyle name="Linked Cell 33 2 2" xfId="50594" xr:uid="{00000000-0005-0000-0000-00009BC50000}"/>
    <cellStyle name="Linked Cell 33 3" xfId="50595" xr:uid="{00000000-0005-0000-0000-00009CC50000}"/>
    <cellStyle name="Linked Cell 34" xfId="50596" xr:uid="{00000000-0005-0000-0000-00009DC50000}"/>
    <cellStyle name="Linked Cell 34 2" xfId="50597" xr:uid="{00000000-0005-0000-0000-00009EC50000}"/>
    <cellStyle name="Linked Cell 34 2 2" xfId="50598" xr:uid="{00000000-0005-0000-0000-00009FC50000}"/>
    <cellStyle name="Linked Cell 34 3" xfId="50599" xr:uid="{00000000-0005-0000-0000-0000A0C50000}"/>
    <cellStyle name="Linked Cell 35" xfId="50600" xr:uid="{00000000-0005-0000-0000-0000A1C50000}"/>
    <cellStyle name="Linked Cell 35 2" xfId="50601" xr:uid="{00000000-0005-0000-0000-0000A2C50000}"/>
    <cellStyle name="Linked Cell 35 2 2" xfId="50602" xr:uid="{00000000-0005-0000-0000-0000A3C50000}"/>
    <cellStyle name="Linked Cell 35 3" xfId="50603" xr:uid="{00000000-0005-0000-0000-0000A4C50000}"/>
    <cellStyle name="Linked Cell 36" xfId="50604" xr:uid="{00000000-0005-0000-0000-0000A5C50000}"/>
    <cellStyle name="Linked Cell 36 2" xfId="50605" xr:uid="{00000000-0005-0000-0000-0000A6C50000}"/>
    <cellStyle name="Linked Cell 36 2 2" xfId="50606" xr:uid="{00000000-0005-0000-0000-0000A7C50000}"/>
    <cellStyle name="Linked Cell 36 3" xfId="50607" xr:uid="{00000000-0005-0000-0000-0000A8C50000}"/>
    <cellStyle name="Linked Cell 37" xfId="50608" xr:uid="{00000000-0005-0000-0000-0000A9C50000}"/>
    <cellStyle name="Linked Cell 37 2" xfId="50609" xr:uid="{00000000-0005-0000-0000-0000AAC50000}"/>
    <cellStyle name="Linked Cell 37 2 2" xfId="50610" xr:uid="{00000000-0005-0000-0000-0000ABC50000}"/>
    <cellStyle name="Linked Cell 37 3" xfId="50611" xr:uid="{00000000-0005-0000-0000-0000ACC50000}"/>
    <cellStyle name="Linked Cell 38" xfId="50612" xr:uid="{00000000-0005-0000-0000-0000ADC50000}"/>
    <cellStyle name="Linked Cell 38 2" xfId="50613" xr:uid="{00000000-0005-0000-0000-0000AEC50000}"/>
    <cellStyle name="Linked Cell 38 2 2" xfId="50614" xr:uid="{00000000-0005-0000-0000-0000AFC50000}"/>
    <cellStyle name="Linked Cell 38 3" xfId="50615" xr:uid="{00000000-0005-0000-0000-0000B0C50000}"/>
    <cellStyle name="Linked Cell 39" xfId="50616" xr:uid="{00000000-0005-0000-0000-0000B1C50000}"/>
    <cellStyle name="Linked Cell 39 2" xfId="50617" xr:uid="{00000000-0005-0000-0000-0000B2C50000}"/>
    <cellStyle name="Linked Cell 39 2 2" xfId="50618" xr:uid="{00000000-0005-0000-0000-0000B3C50000}"/>
    <cellStyle name="Linked Cell 39 3" xfId="50619" xr:uid="{00000000-0005-0000-0000-0000B4C50000}"/>
    <cellStyle name="Linked Cell 4" xfId="50620" xr:uid="{00000000-0005-0000-0000-0000B5C50000}"/>
    <cellStyle name="Linked Cell 4 2" xfId="50621" xr:uid="{00000000-0005-0000-0000-0000B6C50000}"/>
    <cellStyle name="Linked Cell 4 2 2" xfId="50622" xr:uid="{00000000-0005-0000-0000-0000B7C50000}"/>
    <cellStyle name="Linked Cell 4 3" xfId="50623" xr:uid="{00000000-0005-0000-0000-0000B8C50000}"/>
    <cellStyle name="Linked Cell 4 3 2" xfId="50624" xr:uid="{00000000-0005-0000-0000-0000B9C50000}"/>
    <cellStyle name="Linked Cell 4 4" xfId="50625" xr:uid="{00000000-0005-0000-0000-0000BAC50000}"/>
    <cellStyle name="Linked Cell 4 4 2" xfId="50626" xr:uid="{00000000-0005-0000-0000-0000BBC50000}"/>
    <cellStyle name="Linked Cell 4 5" xfId="50627" xr:uid="{00000000-0005-0000-0000-0000BCC50000}"/>
    <cellStyle name="Linked Cell 40" xfId="50628" xr:uid="{00000000-0005-0000-0000-0000BDC50000}"/>
    <cellStyle name="Linked Cell 40 2" xfId="50629" xr:uid="{00000000-0005-0000-0000-0000BEC50000}"/>
    <cellStyle name="Linked Cell 40 2 2" xfId="50630" xr:uid="{00000000-0005-0000-0000-0000BFC50000}"/>
    <cellStyle name="Linked Cell 40 3" xfId="50631" xr:uid="{00000000-0005-0000-0000-0000C0C50000}"/>
    <cellStyle name="Linked Cell 41" xfId="50632" xr:uid="{00000000-0005-0000-0000-0000C1C50000}"/>
    <cellStyle name="Linked Cell 41 2" xfId="50633" xr:uid="{00000000-0005-0000-0000-0000C2C50000}"/>
    <cellStyle name="Linked Cell 41 2 2" xfId="50634" xr:uid="{00000000-0005-0000-0000-0000C3C50000}"/>
    <cellStyle name="Linked Cell 41 3" xfId="50635" xr:uid="{00000000-0005-0000-0000-0000C4C50000}"/>
    <cellStyle name="Linked Cell 42" xfId="50636" xr:uid="{00000000-0005-0000-0000-0000C5C50000}"/>
    <cellStyle name="Linked Cell 42 2" xfId="50637" xr:uid="{00000000-0005-0000-0000-0000C6C50000}"/>
    <cellStyle name="Linked Cell 42 2 2" xfId="50638" xr:uid="{00000000-0005-0000-0000-0000C7C50000}"/>
    <cellStyle name="Linked Cell 42 3" xfId="50639" xr:uid="{00000000-0005-0000-0000-0000C8C50000}"/>
    <cellStyle name="Linked Cell 43" xfId="50640" xr:uid="{00000000-0005-0000-0000-0000C9C50000}"/>
    <cellStyle name="Linked Cell 43 2" xfId="50641" xr:uid="{00000000-0005-0000-0000-0000CAC50000}"/>
    <cellStyle name="Linked Cell 43 2 2" xfId="50642" xr:uid="{00000000-0005-0000-0000-0000CBC50000}"/>
    <cellStyle name="Linked Cell 43 3" xfId="50643" xr:uid="{00000000-0005-0000-0000-0000CCC50000}"/>
    <cellStyle name="Linked Cell 44" xfId="50644" xr:uid="{00000000-0005-0000-0000-0000CDC50000}"/>
    <cellStyle name="Linked Cell 44 2" xfId="50645" xr:uid="{00000000-0005-0000-0000-0000CEC50000}"/>
    <cellStyle name="Linked Cell 44 2 2" xfId="50646" xr:uid="{00000000-0005-0000-0000-0000CFC50000}"/>
    <cellStyle name="Linked Cell 44 3" xfId="50647" xr:uid="{00000000-0005-0000-0000-0000D0C50000}"/>
    <cellStyle name="Linked Cell 45" xfId="50648" xr:uid="{00000000-0005-0000-0000-0000D1C50000}"/>
    <cellStyle name="Linked Cell 45 2" xfId="50649" xr:uid="{00000000-0005-0000-0000-0000D2C50000}"/>
    <cellStyle name="Linked Cell 45 2 2" xfId="50650" xr:uid="{00000000-0005-0000-0000-0000D3C50000}"/>
    <cellStyle name="Linked Cell 45 3" xfId="50651" xr:uid="{00000000-0005-0000-0000-0000D4C50000}"/>
    <cellStyle name="Linked Cell 46" xfId="50652" xr:uid="{00000000-0005-0000-0000-0000D5C50000}"/>
    <cellStyle name="Linked Cell 46 2" xfId="50653" xr:uid="{00000000-0005-0000-0000-0000D6C50000}"/>
    <cellStyle name="Linked Cell 46 2 2" xfId="50654" xr:uid="{00000000-0005-0000-0000-0000D7C50000}"/>
    <cellStyle name="Linked Cell 46 3" xfId="50655" xr:uid="{00000000-0005-0000-0000-0000D8C50000}"/>
    <cellStyle name="Linked Cell 47" xfId="50656" xr:uid="{00000000-0005-0000-0000-0000D9C50000}"/>
    <cellStyle name="Linked Cell 47 2" xfId="50657" xr:uid="{00000000-0005-0000-0000-0000DAC50000}"/>
    <cellStyle name="Linked Cell 47 2 2" xfId="50658" xr:uid="{00000000-0005-0000-0000-0000DBC50000}"/>
    <cellStyle name="Linked Cell 47 3" xfId="50659" xr:uid="{00000000-0005-0000-0000-0000DCC50000}"/>
    <cellStyle name="Linked Cell 48" xfId="50660" xr:uid="{00000000-0005-0000-0000-0000DDC50000}"/>
    <cellStyle name="Linked Cell 48 2" xfId="50661" xr:uid="{00000000-0005-0000-0000-0000DEC50000}"/>
    <cellStyle name="Linked Cell 48 2 2" xfId="50662" xr:uid="{00000000-0005-0000-0000-0000DFC50000}"/>
    <cellStyle name="Linked Cell 48 3" xfId="50663" xr:uid="{00000000-0005-0000-0000-0000E0C50000}"/>
    <cellStyle name="Linked Cell 49" xfId="50664" xr:uid="{00000000-0005-0000-0000-0000E1C50000}"/>
    <cellStyle name="Linked Cell 49 2" xfId="50665" xr:uid="{00000000-0005-0000-0000-0000E2C50000}"/>
    <cellStyle name="Linked Cell 49 2 2" xfId="50666" xr:uid="{00000000-0005-0000-0000-0000E3C50000}"/>
    <cellStyle name="Linked Cell 49 3" xfId="50667" xr:uid="{00000000-0005-0000-0000-0000E4C50000}"/>
    <cellStyle name="Linked Cell 5" xfId="50668" xr:uid="{00000000-0005-0000-0000-0000E5C50000}"/>
    <cellStyle name="Linked Cell 5 2" xfId="50669" xr:uid="{00000000-0005-0000-0000-0000E6C50000}"/>
    <cellStyle name="Linked Cell 5 2 2" xfId="50670" xr:uid="{00000000-0005-0000-0000-0000E7C50000}"/>
    <cellStyle name="Linked Cell 5 3" xfId="50671" xr:uid="{00000000-0005-0000-0000-0000E8C50000}"/>
    <cellStyle name="Linked Cell 5 3 2" xfId="50672" xr:uid="{00000000-0005-0000-0000-0000E9C50000}"/>
    <cellStyle name="Linked Cell 5 4" xfId="50673" xr:uid="{00000000-0005-0000-0000-0000EAC50000}"/>
    <cellStyle name="Linked Cell 5 4 2" xfId="50674" xr:uid="{00000000-0005-0000-0000-0000EBC50000}"/>
    <cellStyle name="Linked Cell 5 5" xfId="50675" xr:uid="{00000000-0005-0000-0000-0000ECC50000}"/>
    <cellStyle name="Linked Cell 50" xfId="50676" xr:uid="{00000000-0005-0000-0000-0000EDC50000}"/>
    <cellStyle name="Linked Cell 50 2" xfId="50677" xr:uid="{00000000-0005-0000-0000-0000EEC50000}"/>
    <cellStyle name="Linked Cell 50 2 2" xfId="50678" xr:uid="{00000000-0005-0000-0000-0000EFC50000}"/>
    <cellStyle name="Linked Cell 50 3" xfId="50679" xr:uid="{00000000-0005-0000-0000-0000F0C50000}"/>
    <cellStyle name="Linked Cell 51" xfId="50680" xr:uid="{00000000-0005-0000-0000-0000F1C50000}"/>
    <cellStyle name="Linked Cell 51 2" xfId="50681" xr:uid="{00000000-0005-0000-0000-0000F2C50000}"/>
    <cellStyle name="Linked Cell 51 2 2" xfId="50682" xr:uid="{00000000-0005-0000-0000-0000F3C50000}"/>
    <cellStyle name="Linked Cell 51 3" xfId="50683" xr:uid="{00000000-0005-0000-0000-0000F4C50000}"/>
    <cellStyle name="Linked Cell 52" xfId="50684" xr:uid="{00000000-0005-0000-0000-0000F5C50000}"/>
    <cellStyle name="Linked Cell 52 2" xfId="50685" xr:uid="{00000000-0005-0000-0000-0000F6C50000}"/>
    <cellStyle name="Linked Cell 52 2 2" xfId="50686" xr:uid="{00000000-0005-0000-0000-0000F7C50000}"/>
    <cellStyle name="Linked Cell 52 3" xfId="50687" xr:uid="{00000000-0005-0000-0000-0000F8C50000}"/>
    <cellStyle name="Linked Cell 53" xfId="50688" xr:uid="{00000000-0005-0000-0000-0000F9C50000}"/>
    <cellStyle name="Linked Cell 53 2" xfId="50689" xr:uid="{00000000-0005-0000-0000-0000FAC50000}"/>
    <cellStyle name="Linked Cell 53 2 2" xfId="50690" xr:uid="{00000000-0005-0000-0000-0000FBC50000}"/>
    <cellStyle name="Linked Cell 53 3" xfId="50691" xr:uid="{00000000-0005-0000-0000-0000FCC50000}"/>
    <cellStyle name="Linked Cell 54" xfId="50692" xr:uid="{00000000-0005-0000-0000-0000FDC50000}"/>
    <cellStyle name="Linked Cell 54 2" xfId="50693" xr:uid="{00000000-0005-0000-0000-0000FEC50000}"/>
    <cellStyle name="Linked Cell 54 2 2" xfId="50694" xr:uid="{00000000-0005-0000-0000-0000FFC50000}"/>
    <cellStyle name="Linked Cell 54 3" xfId="50695" xr:uid="{00000000-0005-0000-0000-000000C60000}"/>
    <cellStyle name="Linked Cell 55" xfId="50696" xr:uid="{00000000-0005-0000-0000-000001C60000}"/>
    <cellStyle name="Linked Cell 55 2" xfId="50697" xr:uid="{00000000-0005-0000-0000-000002C60000}"/>
    <cellStyle name="Linked Cell 55 2 2" xfId="50698" xr:uid="{00000000-0005-0000-0000-000003C60000}"/>
    <cellStyle name="Linked Cell 55 3" xfId="50699" xr:uid="{00000000-0005-0000-0000-000004C60000}"/>
    <cellStyle name="Linked Cell 56" xfId="50700" xr:uid="{00000000-0005-0000-0000-000005C60000}"/>
    <cellStyle name="Linked Cell 56 2" xfId="50701" xr:uid="{00000000-0005-0000-0000-000006C60000}"/>
    <cellStyle name="Linked Cell 56 2 2" xfId="50702" xr:uid="{00000000-0005-0000-0000-000007C60000}"/>
    <cellStyle name="Linked Cell 56 3" xfId="50703" xr:uid="{00000000-0005-0000-0000-000008C60000}"/>
    <cellStyle name="Linked Cell 57" xfId="50704" xr:uid="{00000000-0005-0000-0000-000009C60000}"/>
    <cellStyle name="Linked Cell 57 2" xfId="50705" xr:uid="{00000000-0005-0000-0000-00000AC60000}"/>
    <cellStyle name="Linked Cell 57 2 2" xfId="50706" xr:uid="{00000000-0005-0000-0000-00000BC60000}"/>
    <cellStyle name="Linked Cell 57 3" xfId="50707" xr:uid="{00000000-0005-0000-0000-00000CC60000}"/>
    <cellStyle name="Linked Cell 58" xfId="50708" xr:uid="{00000000-0005-0000-0000-00000DC60000}"/>
    <cellStyle name="Linked Cell 58 2" xfId="50709" xr:uid="{00000000-0005-0000-0000-00000EC60000}"/>
    <cellStyle name="Linked Cell 58 2 2" xfId="50710" xr:uid="{00000000-0005-0000-0000-00000FC60000}"/>
    <cellStyle name="Linked Cell 58 3" xfId="50711" xr:uid="{00000000-0005-0000-0000-000010C60000}"/>
    <cellStyle name="Linked Cell 59" xfId="50712" xr:uid="{00000000-0005-0000-0000-000011C60000}"/>
    <cellStyle name="Linked Cell 59 2" xfId="50713" xr:uid="{00000000-0005-0000-0000-000012C60000}"/>
    <cellStyle name="Linked Cell 59 2 2" xfId="50714" xr:uid="{00000000-0005-0000-0000-000013C60000}"/>
    <cellStyle name="Linked Cell 59 3" xfId="50715" xr:uid="{00000000-0005-0000-0000-000014C60000}"/>
    <cellStyle name="Linked Cell 59 3 2" xfId="50716" xr:uid="{00000000-0005-0000-0000-000015C60000}"/>
    <cellStyle name="Linked Cell 59 4" xfId="50717" xr:uid="{00000000-0005-0000-0000-000016C60000}"/>
    <cellStyle name="Linked Cell 6" xfId="50718" xr:uid="{00000000-0005-0000-0000-000017C60000}"/>
    <cellStyle name="Linked Cell 6 2" xfId="50719" xr:uid="{00000000-0005-0000-0000-000018C60000}"/>
    <cellStyle name="Linked Cell 6 2 2" xfId="50720" xr:uid="{00000000-0005-0000-0000-000019C60000}"/>
    <cellStyle name="Linked Cell 6 3" xfId="50721" xr:uid="{00000000-0005-0000-0000-00001AC60000}"/>
    <cellStyle name="Linked Cell 6 3 2" xfId="50722" xr:uid="{00000000-0005-0000-0000-00001BC60000}"/>
    <cellStyle name="Linked Cell 6 4" xfId="50723" xr:uid="{00000000-0005-0000-0000-00001CC60000}"/>
    <cellStyle name="Linked Cell 6 4 2" xfId="50724" xr:uid="{00000000-0005-0000-0000-00001DC60000}"/>
    <cellStyle name="Linked Cell 6 5" xfId="50725" xr:uid="{00000000-0005-0000-0000-00001EC60000}"/>
    <cellStyle name="Linked Cell 60" xfId="50726" xr:uid="{00000000-0005-0000-0000-00001FC60000}"/>
    <cellStyle name="Linked Cell 60 2" xfId="50727" xr:uid="{00000000-0005-0000-0000-000020C60000}"/>
    <cellStyle name="Linked Cell 60 2 2" xfId="50728" xr:uid="{00000000-0005-0000-0000-000021C60000}"/>
    <cellStyle name="Linked Cell 60 3" xfId="50729" xr:uid="{00000000-0005-0000-0000-000022C60000}"/>
    <cellStyle name="Linked Cell 61" xfId="50730" xr:uid="{00000000-0005-0000-0000-000023C60000}"/>
    <cellStyle name="Linked Cell 61 2" xfId="50731" xr:uid="{00000000-0005-0000-0000-000024C60000}"/>
    <cellStyle name="Linked Cell 61 2 2" xfId="50732" xr:uid="{00000000-0005-0000-0000-000025C60000}"/>
    <cellStyle name="Linked Cell 61 3" xfId="50733" xr:uid="{00000000-0005-0000-0000-000026C60000}"/>
    <cellStyle name="Linked Cell 62" xfId="50734" xr:uid="{00000000-0005-0000-0000-000027C60000}"/>
    <cellStyle name="Linked Cell 62 2" xfId="50735" xr:uid="{00000000-0005-0000-0000-000028C60000}"/>
    <cellStyle name="Linked Cell 62 2 2" xfId="50736" xr:uid="{00000000-0005-0000-0000-000029C60000}"/>
    <cellStyle name="Linked Cell 62 3" xfId="50737" xr:uid="{00000000-0005-0000-0000-00002AC60000}"/>
    <cellStyle name="Linked Cell 63" xfId="50738" xr:uid="{00000000-0005-0000-0000-00002BC60000}"/>
    <cellStyle name="Linked Cell 63 2" xfId="50739" xr:uid="{00000000-0005-0000-0000-00002CC60000}"/>
    <cellStyle name="Linked Cell 63 2 2" xfId="50740" xr:uid="{00000000-0005-0000-0000-00002DC60000}"/>
    <cellStyle name="Linked Cell 63 3" xfId="50741" xr:uid="{00000000-0005-0000-0000-00002EC60000}"/>
    <cellStyle name="Linked Cell 64" xfId="50742" xr:uid="{00000000-0005-0000-0000-00002FC60000}"/>
    <cellStyle name="Linked Cell 64 2" xfId="50743" xr:uid="{00000000-0005-0000-0000-000030C60000}"/>
    <cellStyle name="Linked Cell 64 2 2" xfId="50744" xr:uid="{00000000-0005-0000-0000-000031C60000}"/>
    <cellStyle name="Linked Cell 64 3" xfId="50745" xr:uid="{00000000-0005-0000-0000-000032C60000}"/>
    <cellStyle name="Linked Cell 65" xfId="50746" xr:uid="{00000000-0005-0000-0000-000033C60000}"/>
    <cellStyle name="Linked Cell 65 2" xfId="50747" xr:uid="{00000000-0005-0000-0000-000034C60000}"/>
    <cellStyle name="Linked Cell 65 2 2" xfId="50748" xr:uid="{00000000-0005-0000-0000-000035C60000}"/>
    <cellStyle name="Linked Cell 65 3" xfId="50749" xr:uid="{00000000-0005-0000-0000-000036C60000}"/>
    <cellStyle name="Linked Cell 66" xfId="50750" xr:uid="{00000000-0005-0000-0000-000037C60000}"/>
    <cellStyle name="Linked Cell 66 2" xfId="50751" xr:uid="{00000000-0005-0000-0000-000038C60000}"/>
    <cellStyle name="Linked Cell 66 2 2" xfId="50752" xr:uid="{00000000-0005-0000-0000-000039C60000}"/>
    <cellStyle name="Linked Cell 66 3" xfId="50753" xr:uid="{00000000-0005-0000-0000-00003AC60000}"/>
    <cellStyle name="Linked Cell 67" xfId="50754" xr:uid="{00000000-0005-0000-0000-00003BC60000}"/>
    <cellStyle name="Linked Cell 67 2" xfId="50755" xr:uid="{00000000-0005-0000-0000-00003CC60000}"/>
    <cellStyle name="Linked Cell 67 2 2" xfId="50756" xr:uid="{00000000-0005-0000-0000-00003DC60000}"/>
    <cellStyle name="Linked Cell 67 3" xfId="50757" xr:uid="{00000000-0005-0000-0000-00003EC60000}"/>
    <cellStyle name="Linked Cell 68" xfId="50758" xr:uid="{00000000-0005-0000-0000-00003FC60000}"/>
    <cellStyle name="Linked Cell 68 2" xfId="50759" xr:uid="{00000000-0005-0000-0000-000040C60000}"/>
    <cellStyle name="Linked Cell 68 2 2" xfId="50760" xr:uid="{00000000-0005-0000-0000-000041C60000}"/>
    <cellStyle name="Linked Cell 68 3" xfId="50761" xr:uid="{00000000-0005-0000-0000-000042C60000}"/>
    <cellStyle name="Linked Cell 69" xfId="50762" xr:uid="{00000000-0005-0000-0000-000043C60000}"/>
    <cellStyle name="Linked Cell 69 2" xfId="50763" xr:uid="{00000000-0005-0000-0000-000044C60000}"/>
    <cellStyle name="Linked Cell 69 2 2" xfId="50764" xr:uid="{00000000-0005-0000-0000-000045C60000}"/>
    <cellStyle name="Linked Cell 69 3" xfId="50765" xr:uid="{00000000-0005-0000-0000-000046C60000}"/>
    <cellStyle name="Linked Cell 7" xfId="50766" xr:uid="{00000000-0005-0000-0000-000047C60000}"/>
    <cellStyle name="Linked Cell 7 2" xfId="50767" xr:uid="{00000000-0005-0000-0000-000048C60000}"/>
    <cellStyle name="Linked Cell 7 2 2" xfId="50768" xr:uid="{00000000-0005-0000-0000-000049C60000}"/>
    <cellStyle name="Linked Cell 7 3" xfId="50769" xr:uid="{00000000-0005-0000-0000-00004AC60000}"/>
    <cellStyle name="Linked Cell 7 3 2" xfId="50770" xr:uid="{00000000-0005-0000-0000-00004BC60000}"/>
    <cellStyle name="Linked Cell 7 4" xfId="50771" xr:uid="{00000000-0005-0000-0000-00004CC60000}"/>
    <cellStyle name="Linked Cell 7 4 2" xfId="50772" xr:uid="{00000000-0005-0000-0000-00004DC60000}"/>
    <cellStyle name="Linked Cell 7 5" xfId="50773" xr:uid="{00000000-0005-0000-0000-00004EC60000}"/>
    <cellStyle name="Linked Cell 70" xfId="50774" xr:uid="{00000000-0005-0000-0000-00004FC60000}"/>
    <cellStyle name="Linked Cell 70 2" xfId="50775" xr:uid="{00000000-0005-0000-0000-000050C60000}"/>
    <cellStyle name="Linked Cell 70 2 2" xfId="50776" xr:uid="{00000000-0005-0000-0000-000051C60000}"/>
    <cellStyle name="Linked Cell 70 3" xfId="50777" xr:uid="{00000000-0005-0000-0000-000052C60000}"/>
    <cellStyle name="Linked Cell 71" xfId="50778" xr:uid="{00000000-0005-0000-0000-000053C60000}"/>
    <cellStyle name="Linked Cell 71 2" xfId="50779" xr:uid="{00000000-0005-0000-0000-000054C60000}"/>
    <cellStyle name="Linked Cell 71 2 2" xfId="50780" xr:uid="{00000000-0005-0000-0000-000055C60000}"/>
    <cellStyle name="Linked Cell 71 3" xfId="50781" xr:uid="{00000000-0005-0000-0000-000056C60000}"/>
    <cellStyle name="Linked Cell 72" xfId="50782" xr:uid="{00000000-0005-0000-0000-000057C60000}"/>
    <cellStyle name="Linked Cell 72 2" xfId="50783" xr:uid="{00000000-0005-0000-0000-000058C60000}"/>
    <cellStyle name="Linked Cell 72 2 2" xfId="50784" xr:uid="{00000000-0005-0000-0000-000059C60000}"/>
    <cellStyle name="Linked Cell 72 3" xfId="50785" xr:uid="{00000000-0005-0000-0000-00005AC60000}"/>
    <cellStyle name="Linked Cell 73" xfId="50786" xr:uid="{00000000-0005-0000-0000-00005BC60000}"/>
    <cellStyle name="Linked Cell 73 2" xfId="50787" xr:uid="{00000000-0005-0000-0000-00005CC60000}"/>
    <cellStyle name="Linked Cell 73 2 2" xfId="50788" xr:uid="{00000000-0005-0000-0000-00005DC60000}"/>
    <cellStyle name="Linked Cell 73 3" xfId="50789" xr:uid="{00000000-0005-0000-0000-00005EC60000}"/>
    <cellStyle name="Linked Cell 74" xfId="50790" xr:uid="{00000000-0005-0000-0000-00005FC60000}"/>
    <cellStyle name="Linked Cell 74 2" xfId="50791" xr:uid="{00000000-0005-0000-0000-000060C60000}"/>
    <cellStyle name="Linked Cell 74 2 2" xfId="50792" xr:uid="{00000000-0005-0000-0000-000061C60000}"/>
    <cellStyle name="Linked Cell 74 3" xfId="50793" xr:uid="{00000000-0005-0000-0000-000062C60000}"/>
    <cellStyle name="Linked Cell 75" xfId="50794" xr:uid="{00000000-0005-0000-0000-000063C60000}"/>
    <cellStyle name="Linked Cell 75 2" xfId="50795" xr:uid="{00000000-0005-0000-0000-000064C60000}"/>
    <cellStyle name="Linked Cell 75 2 2" xfId="50796" xr:uid="{00000000-0005-0000-0000-000065C60000}"/>
    <cellStyle name="Linked Cell 75 3" xfId="50797" xr:uid="{00000000-0005-0000-0000-000066C60000}"/>
    <cellStyle name="Linked Cell 76" xfId="50798" xr:uid="{00000000-0005-0000-0000-000067C60000}"/>
    <cellStyle name="Linked Cell 76 2" xfId="50799" xr:uid="{00000000-0005-0000-0000-000068C60000}"/>
    <cellStyle name="Linked Cell 76 2 2" xfId="50800" xr:uid="{00000000-0005-0000-0000-000069C60000}"/>
    <cellStyle name="Linked Cell 76 3" xfId="50801" xr:uid="{00000000-0005-0000-0000-00006AC60000}"/>
    <cellStyle name="Linked Cell 77" xfId="50802" xr:uid="{00000000-0005-0000-0000-00006BC60000}"/>
    <cellStyle name="Linked Cell 77 2" xfId="50803" xr:uid="{00000000-0005-0000-0000-00006CC60000}"/>
    <cellStyle name="Linked Cell 77 2 2" xfId="50804" xr:uid="{00000000-0005-0000-0000-00006DC60000}"/>
    <cellStyle name="Linked Cell 77 3" xfId="50805" xr:uid="{00000000-0005-0000-0000-00006EC60000}"/>
    <cellStyle name="Linked Cell 78" xfId="50806" xr:uid="{00000000-0005-0000-0000-00006FC60000}"/>
    <cellStyle name="Linked Cell 78 2" xfId="50807" xr:uid="{00000000-0005-0000-0000-000070C60000}"/>
    <cellStyle name="Linked Cell 78 2 2" xfId="50808" xr:uid="{00000000-0005-0000-0000-000071C60000}"/>
    <cellStyle name="Linked Cell 78 3" xfId="50809" xr:uid="{00000000-0005-0000-0000-000072C60000}"/>
    <cellStyle name="Linked Cell 79" xfId="50810" xr:uid="{00000000-0005-0000-0000-000073C60000}"/>
    <cellStyle name="Linked Cell 79 2" xfId="50811" xr:uid="{00000000-0005-0000-0000-000074C60000}"/>
    <cellStyle name="Linked Cell 79 2 2" xfId="50812" xr:uid="{00000000-0005-0000-0000-000075C60000}"/>
    <cellStyle name="Linked Cell 79 3" xfId="50813" xr:uid="{00000000-0005-0000-0000-000076C60000}"/>
    <cellStyle name="Linked Cell 8" xfId="50814" xr:uid="{00000000-0005-0000-0000-000077C60000}"/>
    <cellStyle name="Linked Cell 8 2" xfId="50815" xr:uid="{00000000-0005-0000-0000-000078C60000}"/>
    <cellStyle name="Linked Cell 8 2 2" xfId="50816" xr:uid="{00000000-0005-0000-0000-000079C60000}"/>
    <cellStyle name="Linked Cell 8 3" xfId="50817" xr:uid="{00000000-0005-0000-0000-00007AC60000}"/>
    <cellStyle name="Linked Cell 8 3 2" xfId="50818" xr:uid="{00000000-0005-0000-0000-00007BC60000}"/>
    <cellStyle name="Linked Cell 8 4" xfId="50819" xr:uid="{00000000-0005-0000-0000-00007CC60000}"/>
    <cellStyle name="Linked Cell 8 4 2" xfId="50820" xr:uid="{00000000-0005-0000-0000-00007DC60000}"/>
    <cellStyle name="Linked Cell 8 5" xfId="50821" xr:uid="{00000000-0005-0000-0000-00007EC60000}"/>
    <cellStyle name="Linked Cell 80" xfId="50822" xr:uid="{00000000-0005-0000-0000-00007FC60000}"/>
    <cellStyle name="Linked Cell 80 2" xfId="50823" xr:uid="{00000000-0005-0000-0000-000080C60000}"/>
    <cellStyle name="Linked Cell 80 2 2" xfId="50824" xr:uid="{00000000-0005-0000-0000-000081C60000}"/>
    <cellStyle name="Linked Cell 80 3" xfId="50825" xr:uid="{00000000-0005-0000-0000-000082C60000}"/>
    <cellStyle name="Linked Cell 81" xfId="50826" xr:uid="{00000000-0005-0000-0000-000083C60000}"/>
    <cellStyle name="Linked Cell 81 2" xfId="50827" xr:uid="{00000000-0005-0000-0000-000084C60000}"/>
    <cellStyle name="Linked Cell 81 2 2" xfId="50828" xr:uid="{00000000-0005-0000-0000-000085C60000}"/>
    <cellStyle name="Linked Cell 81 3" xfId="50829" xr:uid="{00000000-0005-0000-0000-000086C60000}"/>
    <cellStyle name="Linked Cell 82" xfId="50830" xr:uid="{00000000-0005-0000-0000-000087C60000}"/>
    <cellStyle name="Linked Cell 82 2" xfId="50831" xr:uid="{00000000-0005-0000-0000-000088C60000}"/>
    <cellStyle name="Linked Cell 82 2 2" xfId="50832" xr:uid="{00000000-0005-0000-0000-000089C60000}"/>
    <cellStyle name="Linked Cell 82 3" xfId="50833" xr:uid="{00000000-0005-0000-0000-00008AC60000}"/>
    <cellStyle name="Linked Cell 83" xfId="50834" xr:uid="{00000000-0005-0000-0000-00008BC60000}"/>
    <cellStyle name="Linked Cell 83 2" xfId="50835" xr:uid="{00000000-0005-0000-0000-00008CC60000}"/>
    <cellStyle name="Linked Cell 83 2 2" xfId="50836" xr:uid="{00000000-0005-0000-0000-00008DC60000}"/>
    <cellStyle name="Linked Cell 83 3" xfId="50837" xr:uid="{00000000-0005-0000-0000-00008EC60000}"/>
    <cellStyle name="Linked Cell 84" xfId="50838" xr:uid="{00000000-0005-0000-0000-00008FC60000}"/>
    <cellStyle name="Linked Cell 84 2" xfId="50839" xr:uid="{00000000-0005-0000-0000-000090C60000}"/>
    <cellStyle name="Linked Cell 84 2 2" xfId="50840" xr:uid="{00000000-0005-0000-0000-000091C60000}"/>
    <cellStyle name="Linked Cell 84 3" xfId="50841" xr:uid="{00000000-0005-0000-0000-000092C60000}"/>
    <cellStyle name="Linked Cell 85" xfId="50842" xr:uid="{00000000-0005-0000-0000-000093C60000}"/>
    <cellStyle name="Linked Cell 85 2" xfId="50843" xr:uid="{00000000-0005-0000-0000-000094C60000}"/>
    <cellStyle name="Linked Cell 85 2 2" xfId="50844" xr:uid="{00000000-0005-0000-0000-000095C60000}"/>
    <cellStyle name="Linked Cell 85 3" xfId="50845" xr:uid="{00000000-0005-0000-0000-000096C60000}"/>
    <cellStyle name="Linked Cell 86" xfId="50846" xr:uid="{00000000-0005-0000-0000-000097C60000}"/>
    <cellStyle name="Linked Cell 86 2" xfId="50847" xr:uid="{00000000-0005-0000-0000-000098C60000}"/>
    <cellStyle name="Linked Cell 86 2 2" xfId="50848" xr:uid="{00000000-0005-0000-0000-000099C60000}"/>
    <cellStyle name="Linked Cell 86 3" xfId="50849" xr:uid="{00000000-0005-0000-0000-00009AC60000}"/>
    <cellStyle name="Linked Cell 87" xfId="50850" xr:uid="{00000000-0005-0000-0000-00009BC60000}"/>
    <cellStyle name="Linked Cell 87 2" xfId="50851" xr:uid="{00000000-0005-0000-0000-00009CC60000}"/>
    <cellStyle name="Linked Cell 87 2 2" xfId="50852" xr:uid="{00000000-0005-0000-0000-00009DC60000}"/>
    <cellStyle name="Linked Cell 87 3" xfId="50853" xr:uid="{00000000-0005-0000-0000-00009EC60000}"/>
    <cellStyle name="Linked Cell 88" xfId="50854" xr:uid="{00000000-0005-0000-0000-00009FC60000}"/>
    <cellStyle name="Linked Cell 88 2" xfId="50855" xr:uid="{00000000-0005-0000-0000-0000A0C60000}"/>
    <cellStyle name="Linked Cell 88 2 2" xfId="50856" xr:uid="{00000000-0005-0000-0000-0000A1C60000}"/>
    <cellStyle name="Linked Cell 88 3" xfId="50857" xr:uid="{00000000-0005-0000-0000-0000A2C60000}"/>
    <cellStyle name="Linked Cell 89" xfId="50858" xr:uid="{00000000-0005-0000-0000-0000A3C60000}"/>
    <cellStyle name="Linked Cell 89 2" xfId="50859" xr:uid="{00000000-0005-0000-0000-0000A4C60000}"/>
    <cellStyle name="Linked Cell 89 2 2" xfId="50860" xr:uid="{00000000-0005-0000-0000-0000A5C60000}"/>
    <cellStyle name="Linked Cell 89 3" xfId="50861" xr:uid="{00000000-0005-0000-0000-0000A6C60000}"/>
    <cellStyle name="Linked Cell 9" xfId="50862" xr:uid="{00000000-0005-0000-0000-0000A7C60000}"/>
    <cellStyle name="Linked Cell 9 2" xfId="50863" xr:uid="{00000000-0005-0000-0000-0000A8C60000}"/>
    <cellStyle name="Linked Cell 9 2 2" xfId="50864" xr:uid="{00000000-0005-0000-0000-0000A9C60000}"/>
    <cellStyle name="Linked Cell 9 3" xfId="50865" xr:uid="{00000000-0005-0000-0000-0000AAC60000}"/>
    <cellStyle name="Linked Cell 9 3 2" xfId="50866" xr:uid="{00000000-0005-0000-0000-0000ABC60000}"/>
    <cellStyle name="Linked Cell 9 4" xfId="50867" xr:uid="{00000000-0005-0000-0000-0000ACC60000}"/>
    <cellStyle name="Linked Cell 9 4 2" xfId="50868" xr:uid="{00000000-0005-0000-0000-0000ADC60000}"/>
    <cellStyle name="Linked Cell 9 5" xfId="50869" xr:uid="{00000000-0005-0000-0000-0000AEC60000}"/>
    <cellStyle name="Linked Cell 90" xfId="50870" xr:uid="{00000000-0005-0000-0000-0000AFC60000}"/>
    <cellStyle name="Linked Cell 90 2" xfId="50871" xr:uid="{00000000-0005-0000-0000-0000B0C60000}"/>
    <cellStyle name="Linked Cell 90 2 2" xfId="50872" xr:uid="{00000000-0005-0000-0000-0000B1C60000}"/>
    <cellStyle name="Linked Cell 90 3" xfId="50873" xr:uid="{00000000-0005-0000-0000-0000B2C60000}"/>
    <cellStyle name="Linked Cell 91" xfId="50874" xr:uid="{00000000-0005-0000-0000-0000B3C60000}"/>
    <cellStyle name="Linked Cell 91 2" xfId="50875" xr:uid="{00000000-0005-0000-0000-0000B4C60000}"/>
    <cellStyle name="Linked Cell 91 2 2" xfId="50876" xr:uid="{00000000-0005-0000-0000-0000B5C60000}"/>
    <cellStyle name="Linked Cell 91 3" xfId="50877" xr:uid="{00000000-0005-0000-0000-0000B6C60000}"/>
    <cellStyle name="Linked Cell 92" xfId="50878" xr:uid="{00000000-0005-0000-0000-0000B7C60000}"/>
    <cellStyle name="Linked Cell 92 2" xfId="50879" xr:uid="{00000000-0005-0000-0000-0000B8C60000}"/>
    <cellStyle name="Linked Cell 92 2 2" xfId="50880" xr:uid="{00000000-0005-0000-0000-0000B9C60000}"/>
    <cellStyle name="Linked Cell 92 3" xfId="50881" xr:uid="{00000000-0005-0000-0000-0000BAC60000}"/>
    <cellStyle name="Linked Cell 93" xfId="50882" xr:uid="{00000000-0005-0000-0000-0000BBC60000}"/>
    <cellStyle name="Linked Cell 93 2" xfId="50883" xr:uid="{00000000-0005-0000-0000-0000BCC60000}"/>
    <cellStyle name="Linked Cell 93 2 2" xfId="50884" xr:uid="{00000000-0005-0000-0000-0000BDC60000}"/>
    <cellStyle name="Linked Cell 93 3" xfId="50885" xr:uid="{00000000-0005-0000-0000-0000BEC60000}"/>
    <cellStyle name="Linked Cell 94" xfId="50886" xr:uid="{00000000-0005-0000-0000-0000BFC60000}"/>
    <cellStyle name="Linked Cell 94 2" xfId="50887" xr:uid="{00000000-0005-0000-0000-0000C0C60000}"/>
    <cellStyle name="Linked Cell 94 2 2" xfId="50888" xr:uid="{00000000-0005-0000-0000-0000C1C60000}"/>
    <cellStyle name="Linked Cell 94 3" xfId="50889" xr:uid="{00000000-0005-0000-0000-0000C2C60000}"/>
    <cellStyle name="Linked Cell 95" xfId="50890" xr:uid="{00000000-0005-0000-0000-0000C3C60000}"/>
    <cellStyle name="Linked Cell 95 2" xfId="50891" xr:uid="{00000000-0005-0000-0000-0000C4C60000}"/>
    <cellStyle name="Linked Cell 95 2 2" xfId="50892" xr:uid="{00000000-0005-0000-0000-0000C5C60000}"/>
    <cellStyle name="Linked Cell 95 3" xfId="50893" xr:uid="{00000000-0005-0000-0000-0000C6C60000}"/>
    <cellStyle name="Linked Cell 96" xfId="50894" xr:uid="{00000000-0005-0000-0000-0000C7C60000}"/>
    <cellStyle name="Linked Cell 96 2" xfId="50895" xr:uid="{00000000-0005-0000-0000-0000C8C60000}"/>
    <cellStyle name="Linked Cell 96 2 2" xfId="50896" xr:uid="{00000000-0005-0000-0000-0000C9C60000}"/>
    <cellStyle name="Linked Cell 96 3" xfId="50897" xr:uid="{00000000-0005-0000-0000-0000CAC60000}"/>
    <cellStyle name="Linked Cell 97" xfId="50898" xr:uid="{00000000-0005-0000-0000-0000CBC60000}"/>
    <cellStyle name="Linked Cell 97 2" xfId="50899" xr:uid="{00000000-0005-0000-0000-0000CCC60000}"/>
    <cellStyle name="Linked Cell 97 2 2" xfId="50900" xr:uid="{00000000-0005-0000-0000-0000CDC60000}"/>
    <cellStyle name="Linked Cell 97 3" xfId="50901" xr:uid="{00000000-0005-0000-0000-0000CEC60000}"/>
    <cellStyle name="Linked Cell 98" xfId="50902" xr:uid="{00000000-0005-0000-0000-0000CFC60000}"/>
    <cellStyle name="Linked Cell 98 2" xfId="50903" xr:uid="{00000000-0005-0000-0000-0000D0C60000}"/>
    <cellStyle name="Linked Cell 98 2 2" xfId="50904" xr:uid="{00000000-0005-0000-0000-0000D1C60000}"/>
    <cellStyle name="Linked Cell 98 3" xfId="50905" xr:uid="{00000000-0005-0000-0000-0000D2C60000}"/>
    <cellStyle name="Linked Cell 99" xfId="50906" xr:uid="{00000000-0005-0000-0000-0000D3C60000}"/>
    <cellStyle name="Linked Cell 99 2" xfId="50907" xr:uid="{00000000-0005-0000-0000-0000D4C60000}"/>
    <cellStyle name="Linked Cell 99 2 2" xfId="50908" xr:uid="{00000000-0005-0000-0000-0000D5C60000}"/>
    <cellStyle name="Linked Cell 99 3" xfId="50909" xr:uid="{00000000-0005-0000-0000-0000D6C60000}"/>
    <cellStyle name="m?ny_Budget Book" xfId="50910" xr:uid="{00000000-0005-0000-0000-0000D7C60000}"/>
    <cellStyle name="M?r l?tott hiperhivatkoz?s_Diagnostic output summary sheets (part 2).xls Diagram 2" xfId="50911" xr:uid="{00000000-0005-0000-0000-0000D8C60000}"/>
    <cellStyle name="MacroCode" xfId="50912" xr:uid="{00000000-0005-0000-0000-0000D9C60000}"/>
    <cellStyle name="MacroCode 2" xfId="50913" xr:uid="{00000000-0005-0000-0000-0000DAC60000}"/>
    <cellStyle name="MacroCode 2 2" xfId="50914" xr:uid="{00000000-0005-0000-0000-0000DBC60000}"/>
    <cellStyle name="MacroCode 3" xfId="50915" xr:uid="{00000000-0005-0000-0000-0000DCC60000}"/>
    <cellStyle name="Main Title" xfId="50916" xr:uid="{00000000-0005-0000-0000-0000DDC60000}"/>
    <cellStyle name="Main Title 2" xfId="50917" xr:uid="{00000000-0005-0000-0000-0000DEC60000}"/>
    <cellStyle name="MANUAL" xfId="50918" xr:uid="{00000000-0005-0000-0000-0000DFC60000}"/>
    <cellStyle name="Már látott hiperhivatkozás_Diagnostic output summary sheets (part 2).xls Diagram 2" xfId="50919" xr:uid="{00000000-0005-0000-0000-0000E0C60000}"/>
    <cellStyle name="material" xfId="50920" xr:uid="{00000000-0005-0000-0000-0000E1C60000}"/>
    <cellStyle name="material 2" xfId="50921" xr:uid="{00000000-0005-0000-0000-0000E2C60000}"/>
    <cellStyle name="material 2 2" xfId="50922" xr:uid="{00000000-0005-0000-0000-0000E3C60000}"/>
    <cellStyle name="material 3" xfId="50923" xr:uid="{00000000-0005-0000-0000-0000E4C60000}"/>
    <cellStyle name="měny_Budget Book" xfId="50924" xr:uid="{00000000-0005-0000-0000-0000E5C60000}"/>
    <cellStyle name="Migliaia (0)" xfId="50925" xr:uid="{00000000-0005-0000-0000-0000E6C60000}"/>
    <cellStyle name="Migliaia (0) 2" xfId="50926" xr:uid="{00000000-0005-0000-0000-0000E7C60000}"/>
    <cellStyle name="Migliaia (0) 2 2" xfId="50927" xr:uid="{00000000-0005-0000-0000-0000E8C60000}"/>
    <cellStyle name="Migliaia (0) 2 2 2" xfId="50928" xr:uid="{00000000-0005-0000-0000-0000E9C60000}"/>
    <cellStyle name="Migliaia (0) 2 3" xfId="50929" xr:uid="{00000000-0005-0000-0000-0000EAC60000}"/>
    <cellStyle name="Migliaia_Italy_WEU_Budget_S&amp;D_ZBB_110808" xfId="50930" xr:uid="{00000000-0005-0000-0000-0000EBC60000}"/>
    <cellStyle name="Mike" xfId="50931" xr:uid="{00000000-0005-0000-0000-0000ECC60000}"/>
    <cellStyle name="Mike 2" xfId="50932" xr:uid="{00000000-0005-0000-0000-0000EDC60000}"/>
    <cellStyle name="Mike 2 2" xfId="50933" xr:uid="{00000000-0005-0000-0000-0000EEC60000}"/>
    <cellStyle name="Mike 3" xfId="50934" xr:uid="{00000000-0005-0000-0000-0000EFC60000}"/>
    <cellStyle name="mil" xfId="50935" xr:uid="{00000000-0005-0000-0000-0000F0C60000}"/>
    <cellStyle name="Millares [0]_045" xfId="50936" xr:uid="{00000000-0005-0000-0000-0000F1C60000}"/>
    <cellStyle name="Millares 2" xfId="50937" xr:uid="{00000000-0005-0000-0000-0000F2C60000}"/>
    <cellStyle name="Millares 3" xfId="50938" xr:uid="{00000000-0005-0000-0000-0000F3C60000}"/>
    <cellStyle name="Millares 3 2" xfId="50939" xr:uid="{00000000-0005-0000-0000-0000F4C60000}"/>
    <cellStyle name="Millares 4" xfId="50940" xr:uid="{00000000-0005-0000-0000-0000F5C60000}"/>
    <cellStyle name="Millares 4 2" xfId="50941" xr:uid="{00000000-0005-0000-0000-0000F6C60000}"/>
    <cellStyle name="Millares 4 2 2" xfId="50942" xr:uid="{00000000-0005-0000-0000-0000F7C60000}"/>
    <cellStyle name="Millares 4 3" xfId="50943" xr:uid="{00000000-0005-0000-0000-0000F8C60000}"/>
    <cellStyle name="Millares 4 3 2" xfId="50944" xr:uid="{00000000-0005-0000-0000-0000F9C60000}"/>
    <cellStyle name="Millares 4 4" xfId="50945" xr:uid="{00000000-0005-0000-0000-0000FAC60000}"/>
    <cellStyle name="Millares 4 4 2" xfId="50946" xr:uid="{00000000-0005-0000-0000-0000FBC60000}"/>
    <cellStyle name="Millares 4 5" xfId="50947" xr:uid="{00000000-0005-0000-0000-0000FCC60000}"/>
    <cellStyle name="Millares 5" xfId="50948" xr:uid="{00000000-0005-0000-0000-0000FDC60000}"/>
    <cellStyle name="Millares 5 2" xfId="50949" xr:uid="{00000000-0005-0000-0000-0000FEC60000}"/>
    <cellStyle name="Millares 5 2 2" xfId="50950" xr:uid="{00000000-0005-0000-0000-0000FFC60000}"/>
    <cellStyle name="Millares 5 3" xfId="50951" xr:uid="{00000000-0005-0000-0000-000000C70000}"/>
    <cellStyle name="Millares 6" xfId="50952" xr:uid="{00000000-0005-0000-0000-000001C70000}"/>
    <cellStyle name="Millares 6 2" xfId="50953" xr:uid="{00000000-0005-0000-0000-000002C70000}"/>
    <cellStyle name="Millares 7" xfId="50954" xr:uid="{00000000-0005-0000-0000-000003C70000}"/>
    <cellStyle name="Millares 7 2" xfId="50955" xr:uid="{00000000-0005-0000-0000-000004C70000}"/>
    <cellStyle name="Millares 8" xfId="50956" xr:uid="{00000000-0005-0000-0000-000005C70000}"/>
    <cellStyle name="Millares 8 2" xfId="50957" xr:uid="{00000000-0005-0000-0000-000006C70000}"/>
    <cellStyle name="Millares 9" xfId="50958" xr:uid="{00000000-0005-0000-0000-000007C70000}"/>
    <cellStyle name="Millares 9 2" xfId="50959" xr:uid="{00000000-0005-0000-0000-000008C70000}"/>
    <cellStyle name="Millares_045" xfId="50960" xr:uid="{00000000-0005-0000-0000-000009C70000}"/>
    <cellStyle name="Milliers [0]_A.II - Brand Health &amp; brand Profitability" xfId="50961" xr:uid="{00000000-0005-0000-0000-00000AC70000}"/>
    <cellStyle name="Milliers 2" xfId="50962" xr:uid="{00000000-0005-0000-0000-00000BC70000}"/>
    <cellStyle name="Milliers_A.II - Brand Health &amp; brand Profitability" xfId="50963" xr:uid="{00000000-0005-0000-0000-00000CC70000}"/>
    <cellStyle name="MJB1 [0% ] Sh" xfId="50964" xr:uid="{00000000-0005-0000-0000-00000DC70000}"/>
    <cellStyle name="MJB1 [0.0% ] Sh" xfId="50965" xr:uid="{00000000-0005-0000-0000-00000EC70000}"/>
    <cellStyle name="MJB2 [0 ]    Sh" xfId="50966" xr:uid="{00000000-0005-0000-0000-00000FC70000}"/>
    <cellStyle name="MJB2 [0.0]   Sh" xfId="50967" xr:uid="{00000000-0005-0000-0000-000010C70000}"/>
    <cellStyle name="MJB2 [0.00]  Sh" xfId="50968" xr:uid="{00000000-0005-0000-0000-000011C70000}"/>
    <cellStyle name="MJB3 [£0 ]     Sh" xfId="50969" xr:uid="{00000000-0005-0000-0000-000012C70000}"/>
    <cellStyle name="MJB3 [£0.00 ] Sh" xfId="50970" xr:uid="{00000000-0005-0000-0000-000013C70000}"/>
    <cellStyle name="Mon?taire [0]_BUDGET" xfId="50971" xr:uid="{00000000-0005-0000-0000-000014C70000}"/>
    <cellStyle name="Mon?taire_BUDGET" xfId="50972" xr:uid="{00000000-0005-0000-0000-000015C70000}"/>
    <cellStyle name="Moneda [0]_045" xfId="50973" xr:uid="{00000000-0005-0000-0000-000016C70000}"/>
    <cellStyle name="Moneda 2" xfId="50974" xr:uid="{00000000-0005-0000-0000-000017C70000}"/>
    <cellStyle name="Moneda 2 2" xfId="50975" xr:uid="{00000000-0005-0000-0000-000018C70000}"/>
    <cellStyle name="Moneda 3" xfId="50976" xr:uid="{00000000-0005-0000-0000-000019C70000}"/>
    <cellStyle name="Moneda 3 2" xfId="50977" xr:uid="{00000000-0005-0000-0000-00001AC70000}"/>
    <cellStyle name="Moneda 4" xfId="50978" xr:uid="{00000000-0005-0000-0000-00001BC70000}"/>
    <cellStyle name="Moneda 4 2" xfId="50979" xr:uid="{00000000-0005-0000-0000-00001CC70000}"/>
    <cellStyle name="Moneda_045" xfId="50980" xr:uid="{00000000-0005-0000-0000-00001DC70000}"/>
    <cellStyle name="Moneda0" xfId="50981" xr:uid="{00000000-0005-0000-0000-00001EC70000}"/>
    <cellStyle name="Moneda0 2" xfId="50982" xr:uid="{00000000-0005-0000-0000-00001FC70000}"/>
    <cellStyle name="Monétaire [0]_A.II - Brand Health &amp; brand Profitability" xfId="50983" xr:uid="{00000000-0005-0000-0000-000020C70000}"/>
    <cellStyle name="Monétaire_A.II - Brand Health &amp; brand Profitability" xfId="50984" xr:uid="{00000000-0005-0000-0000-000021C70000}"/>
    <cellStyle name="Monetario" xfId="50985" xr:uid="{00000000-0005-0000-0000-000022C70000}"/>
    <cellStyle name="Monetario 2" xfId="50986" xr:uid="{00000000-0005-0000-0000-000023C70000}"/>
    <cellStyle name="Monetario0" xfId="50987" xr:uid="{00000000-0005-0000-0000-000024C70000}"/>
    <cellStyle name="Monetario0 2" xfId="50988" xr:uid="{00000000-0005-0000-0000-000025C70000}"/>
    <cellStyle name="MSprotect" xfId="50989" xr:uid="{00000000-0005-0000-0000-000026C70000}"/>
    <cellStyle name="MSprotect 2" xfId="50990" xr:uid="{00000000-0005-0000-0000-000027C70000}"/>
    <cellStyle name="MSprotect 2 2" xfId="50991" xr:uid="{00000000-0005-0000-0000-000028C70000}"/>
    <cellStyle name="MSprotect 3" xfId="50992" xr:uid="{00000000-0005-0000-0000-000029C70000}"/>
    <cellStyle name="Mult" xfId="50993" xr:uid="{00000000-0005-0000-0000-00002AC70000}"/>
    <cellStyle name="Multiple" xfId="50994" xr:uid="{00000000-0005-0000-0000-00002BC70000}"/>
    <cellStyle name="Multiple [0]" xfId="50995" xr:uid="{00000000-0005-0000-0000-00002CC70000}"/>
    <cellStyle name="Multiple [0] 2" xfId="50996" xr:uid="{00000000-0005-0000-0000-00002DC70000}"/>
    <cellStyle name="Multiple [1]" xfId="50997" xr:uid="{00000000-0005-0000-0000-00002EC70000}"/>
    <cellStyle name="Multiple [1] 2" xfId="50998" xr:uid="{00000000-0005-0000-0000-00002FC70000}"/>
    <cellStyle name="Multiple 10" xfId="50999" xr:uid="{00000000-0005-0000-0000-000030C70000}"/>
    <cellStyle name="Multiple 11" xfId="51000" xr:uid="{00000000-0005-0000-0000-000031C70000}"/>
    <cellStyle name="Multiple 2" xfId="51001" xr:uid="{00000000-0005-0000-0000-000032C70000}"/>
    <cellStyle name="Multiple 3" xfId="51002" xr:uid="{00000000-0005-0000-0000-000033C70000}"/>
    <cellStyle name="Multiple 4" xfId="51003" xr:uid="{00000000-0005-0000-0000-000034C70000}"/>
    <cellStyle name="Multiple 5" xfId="51004" xr:uid="{00000000-0005-0000-0000-000035C70000}"/>
    <cellStyle name="Multiple 6" xfId="51005" xr:uid="{00000000-0005-0000-0000-000036C70000}"/>
    <cellStyle name="Multiple 7" xfId="51006" xr:uid="{00000000-0005-0000-0000-000037C70000}"/>
    <cellStyle name="Multiple 8" xfId="51007" xr:uid="{00000000-0005-0000-0000-000038C70000}"/>
    <cellStyle name="Multiple 9" xfId="51008" xr:uid="{00000000-0005-0000-0000-000039C70000}"/>
    <cellStyle name="Multiple x" xfId="51009" xr:uid="{00000000-0005-0000-0000-00003AC70000}"/>
    <cellStyle name="Multiple x 2" xfId="51010" xr:uid="{00000000-0005-0000-0000-00003BC70000}"/>
    <cellStyle name="Multiple_0908 Gabarito exchange rate" xfId="51011" xr:uid="{00000000-0005-0000-0000-00003CC70000}"/>
    <cellStyle name="Multiple1" xfId="51012" xr:uid="{00000000-0005-0000-0000-00003DC70000}"/>
    <cellStyle name="Multiple1 2" xfId="51013" xr:uid="{00000000-0005-0000-0000-00003EC70000}"/>
    <cellStyle name="Multiple1 2 2" xfId="51014" xr:uid="{00000000-0005-0000-0000-00003FC70000}"/>
    <cellStyle name="Multiple1 3" xfId="51015" xr:uid="{00000000-0005-0000-0000-000040C70000}"/>
    <cellStyle name="N" xfId="51016" xr:uid="{00000000-0005-0000-0000-000041C70000}"/>
    <cellStyle name="N 2" xfId="51017" xr:uid="{00000000-0005-0000-0000-000042C70000}"/>
    <cellStyle name="N 2 2" xfId="51018" xr:uid="{00000000-0005-0000-0000-000043C70000}"/>
    <cellStyle name="N 3" xfId="51019" xr:uid="{00000000-0005-0000-0000-000044C70000}"/>
    <cellStyle name="N_Book2" xfId="51020" xr:uid="{00000000-0005-0000-0000-000045C70000}"/>
    <cellStyle name="N_Book2 2" xfId="51021" xr:uid="{00000000-0005-0000-0000-000046C70000}"/>
    <cellStyle name="N⇯rmal_712b_4" xfId="51022" xr:uid="{00000000-0005-0000-0000-000047C70000}"/>
    <cellStyle name="n2" xfId="51023" xr:uid="{00000000-0005-0000-0000-000048C70000}"/>
    <cellStyle name="Neutra 2" xfId="51024" xr:uid="{00000000-0005-0000-0000-000049C70000}"/>
    <cellStyle name="Neutra 2 2" xfId="51025" xr:uid="{00000000-0005-0000-0000-00004AC70000}"/>
    <cellStyle name="Neutra 3" xfId="51026" xr:uid="{00000000-0005-0000-0000-00004BC70000}"/>
    <cellStyle name="Neutral 10" xfId="51027" xr:uid="{00000000-0005-0000-0000-00004CC70000}"/>
    <cellStyle name="Neutral 10 2" xfId="51028" xr:uid="{00000000-0005-0000-0000-00004DC70000}"/>
    <cellStyle name="Neutral 10 2 2" xfId="51029" xr:uid="{00000000-0005-0000-0000-00004EC70000}"/>
    <cellStyle name="Neutral 10 3" xfId="51030" xr:uid="{00000000-0005-0000-0000-00004FC70000}"/>
    <cellStyle name="Neutral 100" xfId="51031" xr:uid="{00000000-0005-0000-0000-000050C70000}"/>
    <cellStyle name="Neutral 100 2" xfId="51032" xr:uid="{00000000-0005-0000-0000-000051C70000}"/>
    <cellStyle name="Neutral 100 2 2" xfId="51033" xr:uid="{00000000-0005-0000-0000-000052C70000}"/>
    <cellStyle name="Neutral 100 3" xfId="51034" xr:uid="{00000000-0005-0000-0000-000053C70000}"/>
    <cellStyle name="Neutral 101" xfId="51035" xr:uid="{00000000-0005-0000-0000-000054C70000}"/>
    <cellStyle name="Neutral 101 2" xfId="51036" xr:uid="{00000000-0005-0000-0000-000055C70000}"/>
    <cellStyle name="Neutral 101 2 2" xfId="51037" xr:uid="{00000000-0005-0000-0000-000056C70000}"/>
    <cellStyle name="Neutral 101 3" xfId="51038" xr:uid="{00000000-0005-0000-0000-000057C70000}"/>
    <cellStyle name="Neutral 102" xfId="51039" xr:uid="{00000000-0005-0000-0000-000058C70000}"/>
    <cellStyle name="Neutral 102 2" xfId="51040" xr:uid="{00000000-0005-0000-0000-000059C70000}"/>
    <cellStyle name="Neutral 102 2 2" xfId="51041" xr:uid="{00000000-0005-0000-0000-00005AC70000}"/>
    <cellStyle name="Neutral 102 3" xfId="51042" xr:uid="{00000000-0005-0000-0000-00005BC70000}"/>
    <cellStyle name="Neutral 103" xfId="51043" xr:uid="{00000000-0005-0000-0000-00005CC70000}"/>
    <cellStyle name="Neutral 103 2" xfId="51044" xr:uid="{00000000-0005-0000-0000-00005DC70000}"/>
    <cellStyle name="Neutral 103 2 2" xfId="51045" xr:uid="{00000000-0005-0000-0000-00005EC70000}"/>
    <cellStyle name="Neutral 103 3" xfId="51046" xr:uid="{00000000-0005-0000-0000-00005FC70000}"/>
    <cellStyle name="Neutral 104" xfId="51047" xr:uid="{00000000-0005-0000-0000-000060C70000}"/>
    <cellStyle name="Neutral 104 2" xfId="51048" xr:uid="{00000000-0005-0000-0000-000061C70000}"/>
    <cellStyle name="Neutral 104 2 2" xfId="51049" xr:uid="{00000000-0005-0000-0000-000062C70000}"/>
    <cellStyle name="Neutral 104 3" xfId="51050" xr:uid="{00000000-0005-0000-0000-000063C70000}"/>
    <cellStyle name="Neutral 105" xfId="51051" xr:uid="{00000000-0005-0000-0000-000064C70000}"/>
    <cellStyle name="Neutral 105 2" xfId="51052" xr:uid="{00000000-0005-0000-0000-000065C70000}"/>
    <cellStyle name="Neutral 105 2 2" xfId="51053" xr:uid="{00000000-0005-0000-0000-000066C70000}"/>
    <cellStyle name="Neutral 105 3" xfId="51054" xr:uid="{00000000-0005-0000-0000-000067C70000}"/>
    <cellStyle name="Neutral 106" xfId="51055" xr:uid="{00000000-0005-0000-0000-000068C70000}"/>
    <cellStyle name="Neutral 106 2" xfId="51056" xr:uid="{00000000-0005-0000-0000-000069C70000}"/>
    <cellStyle name="Neutral 106 2 2" xfId="51057" xr:uid="{00000000-0005-0000-0000-00006AC70000}"/>
    <cellStyle name="Neutral 106 3" xfId="51058" xr:uid="{00000000-0005-0000-0000-00006BC70000}"/>
    <cellStyle name="Neutral 107" xfId="51059" xr:uid="{00000000-0005-0000-0000-00006CC70000}"/>
    <cellStyle name="Neutral 107 2" xfId="51060" xr:uid="{00000000-0005-0000-0000-00006DC70000}"/>
    <cellStyle name="Neutral 107 2 2" xfId="51061" xr:uid="{00000000-0005-0000-0000-00006EC70000}"/>
    <cellStyle name="Neutral 107 3" xfId="51062" xr:uid="{00000000-0005-0000-0000-00006FC70000}"/>
    <cellStyle name="Neutral 108" xfId="51063" xr:uid="{00000000-0005-0000-0000-000070C70000}"/>
    <cellStyle name="Neutral 108 2" xfId="51064" xr:uid="{00000000-0005-0000-0000-000071C70000}"/>
    <cellStyle name="Neutral 108 2 2" xfId="51065" xr:uid="{00000000-0005-0000-0000-000072C70000}"/>
    <cellStyle name="Neutral 108 3" xfId="51066" xr:uid="{00000000-0005-0000-0000-000073C70000}"/>
    <cellStyle name="Neutral 109" xfId="51067" xr:uid="{00000000-0005-0000-0000-000074C70000}"/>
    <cellStyle name="Neutral 109 2" xfId="51068" xr:uid="{00000000-0005-0000-0000-000075C70000}"/>
    <cellStyle name="Neutral 109 2 2" xfId="51069" xr:uid="{00000000-0005-0000-0000-000076C70000}"/>
    <cellStyle name="Neutral 109 3" xfId="51070" xr:uid="{00000000-0005-0000-0000-000077C70000}"/>
    <cellStyle name="Neutral 11" xfId="51071" xr:uid="{00000000-0005-0000-0000-000078C70000}"/>
    <cellStyle name="Neutral 11 2" xfId="51072" xr:uid="{00000000-0005-0000-0000-000079C70000}"/>
    <cellStyle name="Neutral 11 2 2" xfId="51073" xr:uid="{00000000-0005-0000-0000-00007AC70000}"/>
    <cellStyle name="Neutral 11 3" xfId="51074" xr:uid="{00000000-0005-0000-0000-00007BC70000}"/>
    <cellStyle name="Neutral 110" xfId="51075" xr:uid="{00000000-0005-0000-0000-00007CC70000}"/>
    <cellStyle name="Neutral 110 2" xfId="51076" xr:uid="{00000000-0005-0000-0000-00007DC70000}"/>
    <cellStyle name="Neutral 110 2 2" xfId="51077" xr:uid="{00000000-0005-0000-0000-00007EC70000}"/>
    <cellStyle name="Neutral 110 3" xfId="51078" xr:uid="{00000000-0005-0000-0000-00007FC70000}"/>
    <cellStyle name="Neutral 111" xfId="51079" xr:uid="{00000000-0005-0000-0000-000080C70000}"/>
    <cellStyle name="Neutral 111 2" xfId="51080" xr:uid="{00000000-0005-0000-0000-000081C70000}"/>
    <cellStyle name="Neutral 111 2 2" xfId="51081" xr:uid="{00000000-0005-0000-0000-000082C70000}"/>
    <cellStyle name="Neutral 111 3" xfId="51082" xr:uid="{00000000-0005-0000-0000-000083C70000}"/>
    <cellStyle name="Neutral 112" xfId="51083" xr:uid="{00000000-0005-0000-0000-000084C70000}"/>
    <cellStyle name="Neutral 112 2" xfId="51084" xr:uid="{00000000-0005-0000-0000-000085C70000}"/>
    <cellStyle name="Neutral 112 2 2" xfId="51085" xr:uid="{00000000-0005-0000-0000-000086C70000}"/>
    <cellStyle name="Neutral 112 3" xfId="51086" xr:uid="{00000000-0005-0000-0000-000087C70000}"/>
    <cellStyle name="Neutral 113" xfId="51087" xr:uid="{00000000-0005-0000-0000-000088C70000}"/>
    <cellStyle name="Neutral 113 2" xfId="51088" xr:uid="{00000000-0005-0000-0000-000089C70000}"/>
    <cellStyle name="Neutral 113 2 2" xfId="51089" xr:uid="{00000000-0005-0000-0000-00008AC70000}"/>
    <cellStyle name="Neutral 113 3" xfId="51090" xr:uid="{00000000-0005-0000-0000-00008BC70000}"/>
    <cellStyle name="Neutral 114" xfId="51091" xr:uid="{00000000-0005-0000-0000-00008CC70000}"/>
    <cellStyle name="Neutral 114 2" xfId="51092" xr:uid="{00000000-0005-0000-0000-00008DC70000}"/>
    <cellStyle name="Neutral 114 2 2" xfId="51093" xr:uid="{00000000-0005-0000-0000-00008EC70000}"/>
    <cellStyle name="Neutral 114 3" xfId="51094" xr:uid="{00000000-0005-0000-0000-00008FC70000}"/>
    <cellStyle name="Neutral 115" xfId="51095" xr:uid="{00000000-0005-0000-0000-000090C70000}"/>
    <cellStyle name="Neutral 115 2" xfId="51096" xr:uid="{00000000-0005-0000-0000-000091C70000}"/>
    <cellStyle name="Neutral 115 2 2" xfId="51097" xr:uid="{00000000-0005-0000-0000-000092C70000}"/>
    <cellStyle name="Neutral 115 3" xfId="51098" xr:uid="{00000000-0005-0000-0000-000093C70000}"/>
    <cellStyle name="Neutral 116" xfId="51099" xr:uid="{00000000-0005-0000-0000-000094C70000}"/>
    <cellStyle name="Neutral 116 2" xfId="51100" xr:uid="{00000000-0005-0000-0000-000095C70000}"/>
    <cellStyle name="Neutral 116 2 2" xfId="51101" xr:uid="{00000000-0005-0000-0000-000096C70000}"/>
    <cellStyle name="Neutral 116 3" xfId="51102" xr:uid="{00000000-0005-0000-0000-000097C70000}"/>
    <cellStyle name="Neutral 117" xfId="51103" xr:uid="{00000000-0005-0000-0000-000098C70000}"/>
    <cellStyle name="Neutral 117 2" xfId="51104" xr:uid="{00000000-0005-0000-0000-000099C70000}"/>
    <cellStyle name="Neutral 117 2 2" xfId="51105" xr:uid="{00000000-0005-0000-0000-00009AC70000}"/>
    <cellStyle name="Neutral 117 3" xfId="51106" xr:uid="{00000000-0005-0000-0000-00009BC70000}"/>
    <cellStyle name="Neutral 118" xfId="51107" xr:uid="{00000000-0005-0000-0000-00009CC70000}"/>
    <cellStyle name="Neutral 118 2" xfId="51108" xr:uid="{00000000-0005-0000-0000-00009DC70000}"/>
    <cellStyle name="Neutral 118 2 2" xfId="51109" xr:uid="{00000000-0005-0000-0000-00009EC70000}"/>
    <cellStyle name="Neutral 118 3" xfId="51110" xr:uid="{00000000-0005-0000-0000-00009FC70000}"/>
    <cellStyle name="Neutral 119" xfId="51111" xr:uid="{00000000-0005-0000-0000-0000A0C70000}"/>
    <cellStyle name="Neutral 119 2" xfId="51112" xr:uid="{00000000-0005-0000-0000-0000A1C70000}"/>
    <cellStyle name="Neutral 119 2 2" xfId="51113" xr:uid="{00000000-0005-0000-0000-0000A2C70000}"/>
    <cellStyle name="Neutral 119 3" xfId="51114" xr:uid="{00000000-0005-0000-0000-0000A3C70000}"/>
    <cellStyle name="Neutral 12" xfId="51115" xr:uid="{00000000-0005-0000-0000-0000A4C70000}"/>
    <cellStyle name="Neutral 12 2" xfId="51116" xr:uid="{00000000-0005-0000-0000-0000A5C70000}"/>
    <cellStyle name="Neutral 12 2 2" xfId="51117" xr:uid="{00000000-0005-0000-0000-0000A6C70000}"/>
    <cellStyle name="Neutral 12 3" xfId="51118" xr:uid="{00000000-0005-0000-0000-0000A7C70000}"/>
    <cellStyle name="Neutral 120" xfId="51119" xr:uid="{00000000-0005-0000-0000-0000A8C70000}"/>
    <cellStyle name="Neutral 120 2" xfId="51120" xr:uid="{00000000-0005-0000-0000-0000A9C70000}"/>
    <cellStyle name="Neutral 120 2 2" xfId="51121" xr:uid="{00000000-0005-0000-0000-0000AAC70000}"/>
    <cellStyle name="Neutral 120 3" xfId="51122" xr:uid="{00000000-0005-0000-0000-0000ABC70000}"/>
    <cellStyle name="Neutral 121" xfId="51123" xr:uid="{00000000-0005-0000-0000-0000ACC70000}"/>
    <cellStyle name="Neutral 121 2" xfId="51124" xr:uid="{00000000-0005-0000-0000-0000ADC70000}"/>
    <cellStyle name="Neutral 121 2 2" xfId="51125" xr:uid="{00000000-0005-0000-0000-0000AEC70000}"/>
    <cellStyle name="Neutral 121 3" xfId="51126" xr:uid="{00000000-0005-0000-0000-0000AFC70000}"/>
    <cellStyle name="Neutral 122" xfId="51127" xr:uid="{00000000-0005-0000-0000-0000B0C70000}"/>
    <cellStyle name="Neutral 122 2" xfId="51128" xr:uid="{00000000-0005-0000-0000-0000B1C70000}"/>
    <cellStyle name="Neutral 122 2 2" xfId="51129" xr:uid="{00000000-0005-0000-0000-0000B2C70000}"/>
    <cellStyle name="Neutral 122 3" xfId="51130" xr:uid="{00000000-0005-0000-0000-0000B3C70000}"/>
    <cellStyle name="Neutral 123" xfId="51131" xr:uid="{00000000-0005-0000-0000-0000B4C70000}"/>
    <cellStyle name="Neutral 123 2" xfId="51132" xr:uid="{00000000-0005-0000-0000-0000B5C70000}"/>
    <cellStyle name="Neutral 123 2 2" xfId="51133" xr:uid="{00000000-0005-0000-0000-0000B6C70000}"/>
    <cellStyle name="Neutral 123 3" xfId="51134" xr:uid="{00000000-0005-0000-0000-0000B7C70000}"/>
    <cellStyle name="Neutral 124" xfId="51135" xr:uid="{00000000-0005-0000-0000-0000B8C70000}"/>
    <cellStyle name="Neutral 124 2" xfId="51136" xr:uid="{00000000-0005-0000-0000-0000B9C70000}"/>
    <cellStyle name="Neutral 124 2 2" xfId="51137" xr:uid="{00000000-0005-0000-0000-0000BAC70000}"/>
    <cellStyle name="Neutral 124 3" xfId="51138" xr:uid="{00000000-0005-0000-0000-0000BBC70000}"/>
    <cellStyle name="Neutral 125" xfId="51139" xr:uid="{00000000-0005-0000-0000-0000BCC70000}"/>
    <cellStyle name="Neutral 125 2" xfId="51140" xr:uid="{00000000-0005-0000-0000-0000BDC70000}"/>
    <cellStyle name="Neutral 125 2 2" xfId="51141" xr:uid="{00000000-0005-0000-0000-0000BEC70000}"/>
    <cellStyle name="Neutral 125 3" xfId="51142" xr:uid="{00000000-0005-0000-0000-0000BFC70000}"/>
    <cellStyle name="Neutral 126" xfId="51143" xr:uid="{00000000-0005-0000-0000-0000C0C70000}"/>
    <cellStyle name="Neutral 126 2" xfId="51144" xr:uid="{00000000-0005-0000-0000-0000C1C70000}"/>
    <cellStyle name="Neutral 126 2 2" xfId="51145" xr:uid="{00000000-0005-0000-0000-0000C2C70000}"/>
    <cellStyle name="Neutral 126 3" xfId="51146" xr:uid="{00000000-0005-0000-0000-0000C3C70000}"/>
    <cellStyle name="Neutral 127" xfId="51147" xr:uid="{00000000-0005-0000-0000-0000C4C70000}"/>
    <cellStyle name="Neutral 127 2" xfId="51148" xr:uid="{00000000-0005-0000-0000-0000C5C70000}"/>
    <cellStyle name="Neutral 127 2 2" xfId="51149" xr:uid="{00000000-0005-0000-0000-0000C6C70000}"/>
    <cellStyle name="Neutral 127 3" xfId="51150" xr:uid="{00000000-0005-0000-0000-0000C7C70000}"/>
    <cellStyle name="Neutral 128" xfId="51151" xr:uid="{00000000-0005-0000-0000-0000C8C70000}"/>
    <cellStyle name="Neutral 128 2" xfId="51152" xr:uid="{00000000-0005-0000-0000-0000C9C70000}"/>
    <cellStyle name="Neutral 128 2 2" xfId="51153" xr:uid="{00000000-0005-0000-0000-0000CAC70000}"/>
    <cellStyle name="Neutral 128 3" xfId="51154" xr:uid="{00000000-0005-0000-0000-0000CBC70000}"/>
    <cellStyle name="Neutral 129" xfId="51155" xr:uid="{00000000-0005-0000-0000-0000CCC70000}"/>
    <cellStyle name="Neutral 129 2" xfId="51156" xr:uid="{00000000-0005-0000-0000-0000CDC70000}"/>
    <cellStyle name="Neutral 129 2 2" xfId="51157" xr:uid="{00000000-0005-0000-0000-0000CEC70000}"/>
    <cellStyle name="Neutral 129 3" xfId="51158" xr:uid="{00000000-0005-0000-0000-0000CFC70000}"/>
    <cellStyle name="Neutral 13" xfId="51159" xr:uid="{00000000-0005-0000-0000-0000D0C70000}"/>
    <cellStyle name="Neutral 13 2" xfId="51160" xr:uid="{00000000-0005-0000-0000-0000D1C70000}"/>
    <cellStyle name="Neutral 13 2 2" xfId="51161" xr:uid="{00000000-0005-0000-0000-0000D2C70000}"/>
    <cellStyle name="Neutral 13 3" xfId="51162" xr:uid="{00000000-0005-0000-0000-0000D3C70000}"/>
    <cellStyle name="Neutral 130" xfId="51163" xr:uid="{00000000-0005-0000-0000-0000D4C70000}"/>
    <cellStyle name="Neutral 130 2" xfId="51164" xr:uid="{00000000-0005-0000-0000-0000D5C70000}"/>
    <cellStyle name="Neutral 130 2 2" xfId="51165" xr:uid="{00000000-0005-0000-0000-0000D6C70000}"/>
    <cellStyle name="Neutral 130 3" xfId="51166" xr:uid="{00000000-0005-0000-0000-0000D7C70000}"/>
    <cellStyle name="Neutral 131" xfId="51167" xr:uid="{00000000-0005-0000-0000-0000D8C70000}"/>
    <cellStyle name="Neutral 131 2" xfId="51168" xr:uid="{00000000-0005-0000-0000-0000D9C70000}"/>
    <cellStyle name="Neutral 131 2 2" xfId="51169" xr:uid="{00000000-0005-0000-0000-0000DAC70000}"/>
    <cellStyle name="Neutral 131 3" xfId="51170" xr:uid="{00000000-0005-0000-0000-0000DBC70000}"/>
    <cellStyle name="Neutral 132" xfId="51171" xr:uid="{00000000-0005-0000-0000-0000DCC70000}"/>
    <cellStyle name="Neutral 132 2" xfId="51172" xr:uid="{00000000-0005-0000-0000-0000DDC70000}"/>
    <cellStyle name="Neutral 132 2 2" xfId="51173" xr:uid="{00000000-0005-0000-0000-0000DEC70000}"/>
    <cellStyle name="Neutral 132 3" xfId="51174" xr:uid="{00000000-0005-0000-0000-0000DFC70000}"/>
    <cellStyle name="Neutral 133" xfId="51175" xr:uid="{00000000-0005-0000-0000-0000E0C70000}"/>
    <cellStyle name="Neutral 133 2" xfId="51176" xr:uid="{00000000-0005-0000-0000-0000E1C70000}"/>
    <cellStyle name="Neutral 133 2 2" xfId="51177" xr:uid="{00000000-0005-0000-0000-0000E2C70000}"/>
    <cellStyle name="Neutral 133 3" xfId="51178" xr:uid="{00000000-0005-0000-0000-0000E3C70000}"/>
    <cellStyle name="Neutral 134" xfId="51179" xr:uid="{00000000-0005-0000-0000-0000E4C70000}"/>
    <cellStyle name="Neutral 134 2" xfId="51180" xr:uid="{00000000-0005-0000-0000-0000E5C70000}"/>
    <cellStyle name="Neutral 134 2 2" xfId="51181" xr:uid="{00000000-0005-0000-0000-0000E6C70000}"/>
    <cellStyle name="Neutral 134 3" xfId="51182" xr:uid="{00000000-0005-0000-0000-0000E7C70000}"/>
    <cellStyle name="Neutral 135" xfId="51183" xr:uid="{00000000-0005-0000-0000-0000E8C70000}"/>
    <cellStyle name="Neutral 135 2" xfId="51184" xr:uid="{00000000-0005-0000-0000-0000E9C70000}"/>
    <cellStyle name="Neutral 135 2 2" xfId="51185" xr:uid="{00000000-0005-0000-0000-0000EAC70000}"/>
    <cellStyle name="Neutral 135 3" xfId="51186" xr:uid="{00000000-0005-0000-0000-0000EBC70000}"/>
    <cellStyle name="Neutral 136" xfId="51187" xr:uid="{00000000-0005-0000-0000-0000ECC70000}"/>
    <cellStyle name="Neutral 136 2" xfId="51188" xr:uid="{00000000-0005-0000-0000-0000EDC70000}"/>
    <cellStyle name="Neutral 136 2 2" xfId="51189" xr:uid="{00000000-0005-0000-0000-0000EEC70000}"/>
    <cellStyle name="Neutral 136 3" xfId="51190" xr:uid="{00000000-0005-0000-0000-0000EFC70000}"/>
    <cellStyle name="Neutral 137" xfId="51191" xr:uid="{00000000-0005-0000-0000-0000F0C70000}"/>
    <cellStyle name="Neutral 137 2" xfId="51192" xr:uid="{00000000-0005-0000-0000-0000F1C70000}"/>
    <cellStyle name="Neutral 137 2 2" xfId="51193" xr:uid="{00000000-0005-0000-0000-0000F2C70000}"/>
    <cellStyle name="Neutral 137 3" xfId="51194" xr:uid="{00000000-0005-0000-0000-0000F3C70000}"/>
    <cellStyle name="Neutral 138" xfId="51195" xr:uid="{00000000-0005-0000-0000-0000F4C70000}"/>
    <cellStyle name="Neutral 138 2" xfId="51196" xr:uid="{00000000-0005-0000-0000-0000F5C70000}"/>
    <cellStyle name="Neutral 138 2 2" xfId="51197" xr:uid="{00000000-0005-0000-0000-0000F6C70000}"/>
    <cellStyle name="Neutral 138 3" xfId="51198" xr:uid="{00000000-0005-0000-0000-0000F7C70000}"/>
    <cellStyle name="Neutral 139" xfId="51199" xr:uid="{00000000-0005-0000-0000-0000F8C70000}"/>
    <cellStyle name="Neutral 139 2" xfId="51200" xr:uid="{00000000-0005-0000-0000-0000F9C70000}"/>
    <cellStyle name="Neutral 139 2 2" xfId="51201" xr:uid="{00000000-0005-0000-0000-0000FAC70000}"/>
    <cellStyle name="Neutral 139 3" xfId="51202" xr:uid="{00000000-0005-0000-0000-0000FBC70000}"/>
    <cellStyle name="Neutral 14" xfId="51203" xr:uid="{00000000-0005-0000-0000-0000FCC70000}"/>
    <cellStyle name="Neutral 14 2" xfId="51204" xr:uid="{00000000-0005-0000-0000-0000FDC70000}"/>
    <cellStyle name="Neutral 14 2 2" xfId="51205" xr:uid="{00000000-0005-0000-0000-0000FEC70000}"/>
    <cellStyle name="Neutral 14 3" xfId="51206" xr:uid="{00000000-0005-0000-0000-0000FFC70000}"/>
    <cellStyle name="Neutral 140" xfId="51207" xr:uid="{00000000-0005-0000-0000-000000C80000}"/>
    <cellStyle name="Neutral 140 2" xfId="51208" xr:uid="{00000000-0005-0000-0000-000001C80000}"/>
    <cellStyle name="Neutral 140 2 2" xfId="51209" xr:uid="{00000000-0005-0000-0000-000002C80000}"/>
    <cellStyle name="Neutral 140 3" xfId="51210" xr:uid="{00000000-0005-0000-0000-000003C80000}"/>
    <cellStyle name="Neutral 141" xfId="51211" xr:uid="{00000000-0005-0000-0000-000004C80000}"/>
    <cellStyle name="Neutral 141 2" xfId="51212" xr:uid="{00000000-0005-0000-0000-000005C80000}"/>
    <cellStyle name="Neutral 141 2 2" xfId="51213" xr:uid="{00000000-0005-0000-0000-000006C80000}"/>
    <cellStyle name="Neutral 141 3" xfId="51214" xr:uid="{00000000-0005-0000-0000-000007C80000}"/>
    <cellStyle name="Neutral 142" xfId="51215" xr:uid="{00000000-0005-0000-0000-000008C80000}"/>
    <cellStyle name="Neutral 142 2" xfId="51216" xr:uid="{00000000-0005-0000-0000-000009C80000}"/>
    <cellStyle name="Neutral 142 2 2" xfId="51217" xr:uid="{00000000-0005-0000-0000-00000AC80000}"/>
    <cellStyle name="Neutral 142 3" xfId="51218" xr:uid="{00000000-0005-0000-0000-00000BC80000}"/>
    <cellStyle name="Neutral 143" xfId="51219" xr:uid="{00000000-0005-0000-0000-00000CC80000}"/>
    <cellStyle name="Neutral 143 2" xfId="51220" xr:uid="{00000000-0005-0000-0000-00000DC80000}"/>
    <cellStyle name="Neutral 143 2 2" xfId="51221" xr:uid="{00000000-0005-0000-0000-00000EC80000}"/>
    <cellStyle name="Neutral 143 3" xfId="51222" xr:uid="{00000000-0005-0000-0000-00000FC80000}"/>
    <cellStyle name="Neutral 144" xfId="51223" xr:uid="{00000000-0005-0000-0000-000010C80000}"/>
    <cellStyle name="Neutral 144 2" xfId="51224" xr:uid="{00000000-0005-0000-0000-000011C80000}"/>
    <cellStyle name="Neutral 144 2 2" xfId="51225" xr:uid="{00000000-0005-0000-0000-000012C80000}"/>
    <cellStyle name="Neutral 144 3" xfId="51226" xr:uid="{00000000-0005-0000-0000-000013C80000}"/>
    <cellStyle name="Neutral 145" xfId="51227" xr:uid="{00000000-0005-0000-0000-000014C80000}"/>
    <cellStyle name="Neutral 145 2" xfId="51228" xr:uid="{00000000-0005-0000-0000-000015C80000}"/>
    <cellStyle name="Neutral 145 2 2" xfId="51229" xr:uid="{00000000-0005-0000-0000-000016C80000}"/>
    <cellStyle name="Neutral 145 3" xfId="51230" xr:uid="{00000000-0005-0000-0000-000017C80000}"/>
    <cellStyle name="Neutral 146" xfId="51231" xr:uid="{00000000-0005-0000-0000-000018C80000}"/>
    <cellStyle name="Neutral 146 2" xfId="51232" xr:uid="{00000000-0005-0000-0000-000019C80000}"/>
    <cellStyle name="Neutral 146 2 2" xfId="51233" xr:uid="{00000000-0005-0000-0000-00001AC80000}"/>
    <cellStyle name="Neutral 146 3" xfId="51234" xr:uid="{00000000-0005-0000-0000-00001BC80000}"/>
    <cellStyle name="Neutral 147" xfId="51235" xr:uid="{00000000-0005-0000-0000-00001CC80000}"/>
    <cellStyle name="Neutral 147 2" xfId="51236" xr:uid="{00000000-0005-0000-0000-00001DC80000}"/>
    <cellStyle name="Neutral 147 2 2" xfId="51237" xr:uid="{00000000-0005-0000-0000-00001EC80000}"/>
    <cellStyle name="Neutral 147 3" xfId="51238" xr:uid="{00000000-0005-0000-0000-00001FC80000}"/>
    <cellStyle name="Neutral 148" xfId="51239" xr:uid="{00000000-0005-0000-0000-000020C80000}"/>
    <cellStyle name="Neutral 148 2" xfId="51240" xr:uid="{00000000-0005-0000-0000-000021C80000}"/>
    <cellStyle name="Neutral 148 2 2" xfId="51241" xr:uid="{00000000-0005-0000-0000-000022C80000}"/>
    <cellStyle name="Neutral 148 3" xfId="51242" xr:uid="{00000000-0005-0000-0000-000023C80000}"/>
    <cellStyle name="Neutral 149" xfId="51243" xr:uid="{00000000-0005-0000-0000-000024C80000}"/>
    <cellStyle name="Neutral 149 2" xfId="51244" xr:uid="{00000000-0005-0000-0000-000025C80000}"/>
    <cellStyle name="Neutral 149 2 2" xfId="51245" xr:uid="{00000000-0005-0000-0000-000026C80000}"/>
    <cellStyle name="Neutral 149 3" xfId="51246" xr:uid="{00000000-0005-0000-0000-000027C80000}"/>
    <cellStyle name="Neutral 15" xfId="51247" xr:uid="{00000000-0005-0000-0000-000028C80000}"/>
    <cellStyle name="Neutral 15 2" xfId="51248" xr:uid="{00000000-0005-0000-0000-000029C80000}"/>
    <cellStyle name="Neutral 15 2 2" xfId="51249" xr:uid="{00000000-0005-0000-0000-00002AC80000}"/>
    <cellStyle name="Neutral 15 3" xfId="51250" xr:uid="{00000000-0005-0000-0000-00002BC80000}"/>
    <cellStyle name="Neutral 150" xfId="51251" xr:uid="{00000000-0005-0000-0000-00002CC80000}"/>
    <cellStyle name="Neutral 150 2" xfId="51252" xr:uid="{00000000-0005-0000-0000-00002DC80000}"/>
    <cellStyle name="Neutral 150 2 2" xfId="51253" xr:uid="{00000000-0005-0000-0000-00002EC80000}"/>
    <cellStyle name="Neutral 150 3" xfId="51254" xr:uid="{00000000-0005-0000-0000-00002FC80000}"/>
    <cellStyle name="Neutral 151" xfId="51255" xr:uid="{00000000-0005-0000-0000-000030C80000}"/>
    <cellStyle name="Neutral 151 2" xfId="51256" xr:uid="{00000000-0005-0000-0000-000031C80000}"/>
    <cellStyle name="Neutral 151 2 2" xfId="51257" xr:uid="{00000000-0005-0000-0000-000032C80000}"/>
    <cellStyle name="Neutral 151 3" xfId="51258" xr:uid="{00000000-0005-0000-0000-000033C80000}"/>
    <cellStyle name="Neutral 152" xfId="51259" xr:uid="{00000000-0005-0000-0000-000034C80000}"/>
    <cellStyle name="Neutral 152 2" xfId="51260" xr:uid="{00000000-0005-0000-0000-000035C80000}"/>
    <cellStyle name="Neutral 152 2 2" xfId="51261" xr:uid="{00000000-0005-0000-0000-000036C80000}"/>
    <cellStyle name="Neutral 152 3" xfId="51262" xr:uid="{00000000-0005-0000-0000-000037C80000}"/>
    <cellStyle name="Neutral 153" xfId="51263" xr:uid="{00000000-0005-0000-0000-000038C80000}"/>
    <cellStyle name="Neutral 153 2" xfId="51264" xr:uid="{00000000-0005-0000-0000-000039C80000}"/>
    <cellStyle name="Neutral 153 2 2" xfId="51265" xr:uid="{00000000-0005-0000-0000-00003AC80000}"/>
    <cellStyle name="Neutral 153 3" xfId="51266" xr:uid="{00000000-0005-0000-0000-00003BC80000}"/>
    <cellStyle name="Neutral 154" xfId="51267" xr:uid="{00000000-0005-0000-0000-00003CC80000}"/>
    <cellStyle name="Neutral 154 2" xfId="51268" xr:uid="{00000000-0005-0000-0000-00003DC80000}"/>
    <cellStyle name="Neutral 154 2 2" xfId="51269" xr:uid="{00000000-0005-0000-0000-00003EC80000}"/>
    <cellStyle name="Neutral 154 3" xfId="51270" xr:uid="{00000000-0005-0000-0000-00003FC80000}"/>
    <cellStyle name="Neutral 155" xfId="51271" xr:uid="{00000000-0005-0000-0000-000040C80000}"/>
    <cellStyle name="Neutral 155 2" xfId="51272" xr:uid="{00000000-0005-0000-0000-000041C80000}"/>
    <cellStyle name="Neutral 155 2 2" xfId="51273" xr:uid="{00000000-0005-0000-0000-000042C80000}"/>
    <cellStyle name="Neutral 155 3" xfId="51274" xr:uid="{00000000-0005-0000-0000-000043C80000}"/>
    <cellStyle name="Neutral 156" xfId="51275" xr:uid="{00000000-0005-0000-0000-000044C80000}"/>
    <cellStyle name="Neutral 156 2" xfId="51276" xr:uid="{00000000-0005-0000-0000-000045C80000}"/>
    <cellStyle name="Neutral 156 2 2" xfId="51277" xr:uid="{00000000-0005-0000-0000-000046C80000}"/>
    <cellStyle name="Neutral 156 3" xfId="51278" xr:uid="{00000000-0005-0000-0000-000047C80000}"/>
    <cellStyle name="Neutral 157" xfId="51279" xr:uid="{00000000-0005-0000-0000-000048C80000}"/>
    <cellStyle name="Neutral 157 2" xfId="51280" xr:uid="{00000000-0005-0000-0000-000049C80000}"/>
    <cellStyle name="Neutral 157 2 2" xfId="51281" xr:uid="{00000000-0005-0000-0000-00004AC80000}"/>
    <cellStyle name="Neutral 157 3" xfId="51282" xr:uid="{00000000-0005-0000-0000-00004BC80000}"/>
    <cellStyle name="Neutral 158" xfId="51283" xr:uid="{00000000-0005-0000-0000-00004CC80000}"/>
    <cellStyle name="Neutral 158 2" xfId="51284" xr:uid="{00000000-0005-0000-0000-00004DC80000}"/>
    <cellStyle name="Neutral 158 2 2" xfId="51285" xr:uid="{00000000-0005-0000-0000-00004EC80000}"/>
    <cellStyle name="Neutral 158 3" xfId="51286" xr:uid="{00000000-0005-0000-0000-00004FC80000}"/>
    <cellStyle name="Neutral 159" xfId="51287" xr:uid="{00000000-0005-0000-0000-000050C80000}"/>
    <cellStyle name="Neutral 159 2" xfId="51288" xr:uid="{00000000-0005-0000-0000-000051C80000}"/>
    <cellStyle name="Neutral 16" xfId="51289" xr:uid="{00000000-0005-0000-0000-000052C80000}"/>
    <cellStyle name="Neutral 16 2" xfId="51290" xr:uid="{00000000-0005-0000-0000-000053C80000}"/>
    <cellStyle name="Neutral 16 2 2" xfId="51291" xr:uid="{00000000-0005-0000-0000-000054C80000}"/>
    <cellStyle name="Neutral 16 3" xfId="51292" xr:uid="{00000000-0005-0000-0000-000055C80000}"/>
    <cellStyle name="Neutral 160" xfId="51293" xr:uid="{00000000-0005-0000-0000-000056C80000}"/>
    <cellStyle name="Neutral 160 2" xfId="51294" xr:uid="{00000000-0005-0000-0000-000057C80000}"/>
    <cellStyle name="Neutral 161" xfId="51295" xr:uid="{00000000-0005-0000-0000-000058C80000}"/>
    <cellStyle name="Neutral 161 2" xfId="51296" xr:uid="{00000000-0005-0000-0000-000059C80000}"/>
    <cellStyle name="Neutral 162" xfId="51297" xr:uid="{00000000-0005-0000-0000-00005AC80000}"/>
    <cellStyle name="Neutral 162 2" xfId="51298" xr:uid="{00000000-0005-0000-0000-00005BC80000}"/>
    <cellStyle name="Neutral 163" xfId="51299" xr:uid="{00000000-0005-0000-0000-00005CC80000}"/>
    <cellStyle name="Neutral 163 2" xfId="51300" xr:uid="{00000000-0005-0000-0000-00005DC80000}"/>
    <cellStyle name="Neutral 164" xfId="51301" xr:uid="{00000000-0005-0000-0000-00005EC80000}"/>
    <cellStyle name="Neutral 164 2" xfId="51302" xr:uid="{00000000-0005-0000-0000-00005FC80000}"/>
    <cellStyle name="Neutral 165" xfId="51303" xr:uid="{00000000-0005-0000-0000-000060C80000}"/>
    <cellStyle name="Neutral 165 2" xfId="51304" xr:uid="{00000000-0005-0000-0000-000061C80000}"/>
    <cellStyle name="Neutral 166" xfId="51305" xr:uid="{00000000-0005-0000-0000-000062C80000}"/>
    <cellStyle name="Neutral 166 2" xfId="51306" xr:uid="{00000000-0005-0000-0000-000063C80000}"/>
    <cellStyle name="Neutral 167" xfId="51307" xr:uid="{00000000-0005-0000-0000-000064C80000}"/>
    <cellStyle name="Neutral 167 2" xfId="51308" xr:uid="{00000000-0005-0000-0000-000065C80000}"/>
    <cellStyle name="Neutral 168" xfId="51309" xr:uid="{00000000-0005-0000-0000-000066C80000}"/>
    <cellStyle name="Neutral 168 2" xfId="51310" xr:uid="{00000000-0005-0000-0000-000067C80000}"/>
    <cellStyle name="Neutral 169" xfId="51311" xr:uid="{00000000-0005-0000-0000-000068C80000}"/>
    <cellStyle name="Neutral 169 2" xfId="51312" xr:uid="{00000000-0005-0000-0000-000069C80000}"/>
    <cellStyle name="Neutral 17" xfId="51313" xr:uid="{00000000-0005-0000-0000-00006AC80000}"/>
    <cellStyle name="Neutral 17 2" xfId="51314" xr:uid="{00000000-0005-0000-0000-00006BC80000}"/>
    <cellStyle name="Neutral 17 2 2" xfId="51315" xr:uid="{00000000-0005-0000-0000-00006CC80000}"/>
    <cellStyle name="Neutral 17 3" xfId="51316" xr:uid="{00000000-0005-0000-0000-00006DC80000}"/>
    <cellStyle name="Neutral 170" xfId="51317" xr:uid="{00000000-0005-0000-0000-00006EC80000}"/>
    <cellStyle name="Neutral 170 2" xfId="51318" xr:uid="{00000000-0005-0000-0000-00006FC80000}"/>
    <cellStyle name="Neutral 171" xfId="51319" xr:uid="{00000000-0005-0000-0000-000070C80000}"/>
    <cellStyle name="Neutral 171 2" xfId="51320" xr:uid="{00000000-0005-0000-0000-000071C80000}"/>
    <cellStyle name="Neutral 172" xfId="51321" xr:uid="{00000000-0005-0000-0000-000072C80000}"/>
    <cellStyle name="Neutral 172 2" xfId="51322" xr:uid="{00000000-0005-0000-0000-000073C80000}"/>
    <cellStyle name="Neutral 173" xfId="51323" xr:uid="{00000000-0005-0000-0000-000074C80000}"/>
    <cellStyle name="Neutral 173 2" xfId="51324" xr:uid="{00000000-0005-0000-0000-000075C80000}"/>
    <cellStyle name="Neutral 174" xfId="51325" xr:uid="{00000000-0005-0000-0000-000076C80000}"/>
    <cellStyle name="Neutral 174 2" xfId="51326" xr:uid="{00000000-0005-0000-0000-000077C80000}"/>
    <cellStyle name="Neutral 175" xfId="51327" xr:uid="{00000000-0005-0000-0000-000078C80000}"/>
    <cellStyle name="Neutral 175 2" xfId="51328" xr:uid="{00000000-0005-0000-0000-000079C80000}"/>
    <cellStyle name="Neutral 176" xfId="51329" xr:uid="{00000000-0005-0000-0000-00007AC80000}"/>
    <cellStyle name="Neutral 176 2" xfId="51330" xr:uid="{00000000-0005-0000-0000-00007BC80000}"/>
    <cellStyle name="Neutral 177" xfId="51331" xr:uid="{00000000-0005-0000-0000-00007CC80000}"/>
    <cellStyle name="Neutral 177 2" xfId="51332" xr:uid="{00000000-0005-0000-0000-00007DC80000}"/>
    <cellStyle name="Neutral 178" xfId="51333" xr:uid="{00000000-0005-0000-0000-00007EC80000}"/>
    <cellStyle name="Neutral 178 2" xfId="51334" xr:uid="{00000000-0005-0000-0000-00007FC80000}"/>
    <cellStyle name="Neutral 179" xfId="51335" xr:uid="{00000000-0005-0000-0000-000080C80000}"/>
    <cellStyle name="Neutral 179 2" xfId="51336" xr:uid="{00000000-0005-0000-0000-000081C80000}"/>
    <cellStyle name="Neutral 18" xfId="51337" xr:uid="{00000000-0005-0000-0000-000082C80000}"/>
    <cellStyle name="Neutral 18 2" xfId="51338" xr:uid="{00000000-0005-0000-0000-000083C80000}"/>
    <cellStyle name="Neutral 18 2 2" xfId="51339" xr:uid="{00000000-0005-0000-0000-000084C80000}"/>
    <cellStyle name="Neutral 18 3" xfId="51340" xr:uid="{00000000-0005-0000-0000-000085C80000}"/>
    <cellStyle name="Neutral 180" xfId="51341" xr:uid="{00000000-0005-0000-0000-000086C80000}"/>
    <cellStyle name="Neutral 180 2" xfId="51342" xr:uid="{00000000-0005-0000-0000-000087C80000}"/>
    <cellStyle name="Neutral 181" xfId="51343" xr:uid="{00000000-0005-0000-0000-000088C80000}"/>
    <cellStyle name="Neutral 181 2" xfId="51344" xr:uid="{00000000-0005-0000-0000-000089C80000}"/>
    <cellStyle name="Neutral 182" xfId="51345" xr:uid="{00000000-0005-0000-0000-00008AC80000}"/>
    <cellStyle name="Neutral 182 2" xfId="51346" xr:uid="{00000000-0005-0000-0000-00008BC80000}"/>
    <cellStyle name="Neutral 183" xfId="51347" xr:uid="{00000000-0005-0000-0000-00008CC80000}"/>
    <cellStyle name="Neutral 183 2" xfId="51348" xr:uid="{00000000-0005-0000-0000-00008DC80000}"/>
    <cellStyle name="Neutral 184" xfId="51349" xr:uid="{00000000-0005-0000-0000-00008EC80000}"/>
    <cellStyle name="Neutral 184 2" xfId="51350" xr:uid="{00000000-0005-0000-0000-00008FC80000}"/>
    <cellStyle name="Neutral 185" xfId="51351" xr:uid="{00000000-0005-0000-0000-000090C80000}"/>
    <cellStyle name="Neutral 185 2" xfId="51352" xr:uid="{00000000-0005-0000-0000-000091C80000}"/>
    <cellStyle name="Neutral 186" xfId="51353" xr:uid="{00000000-0005-0000-0000-000092C80000}"/>
    <cellStyle name="Neutral 186 2" xfId="51354" xr:uid="{00000000-0005-0000-0000-000093C80000}"/>
    <cellStyle name="Neutral 187" xfId="51355" xr:uid="{00000000-0005-0000-0000-000094C80000}"/>
    <cellStyle name="Neutral 187 2" xfId="51356" xr:uid="{00000000-0005-0000-0000-000095C80000}"/>
    <cellStyle name="Neutral 188" xfId="51357" xr:uid="{00000000-0005-0000-0000-000096C80000}"/>
    <cellStyle name="Neutral 188 2" xfId="51358" xr:uid="{00000000-0005-0000-0000-000097C80000}"/>
    <cellStyle name="Neutral 189" xfId="51359" xr:uid="{00000000-0005-0000-0000-000098C80000}"/>
    <cellStyle name="Neutral 189 2" xfId="51360" xr:uid="{00000000-0005-0000-0000-000099C80000}"/>
    <cellStyle name="Neutral 19" xfId="51361" xr:uid="{00000000-0005-0000-0000-00009AC80000}"/>
    <cellStyle name="Neutral 19 2" xfId="51362" xr:uid="{00000000-0005-0000-0000-00009BC80000}"/>
    <cellStyle name="Neutral 19 2 2" xfId="51363" xr:uid="{00000000-0005-0000-0000-00009CC80000}"/>
    <cellStyle name="Neutral 19 3" xfId="51364" xr:uid="{00000000-0005-0000-0000-00009DC80000}"/>
    <cellStyle name="Neutral 190" xfId="51365" xr:uid="{00000000-0005-0000-0000-00009EC80000}"/>
    <cellStyle name="Neutral 190 2" xfId="51366" xr:uid="{00000000-0005-0000-0000-00009FC80000}"/>
    <cellStyle name="Neutral 191" xfId="51367" xr:uid="{00000000-0005-0000-0000-0000A0C80000}"/>
    <cellStyle name="Neutral 191 2" xfId="51368" xr:uid="{00000000-0005-0000-0000-0000A1C80000}"/>
    <cellStyle name="Neutral 192" xfId="51369" xr:uid="{00000000-0005-0000-0000-0000A2C80000}"/>
    <cellStyle name="Neutral 192 2" xfId="51370" xr:uid="{00000000-0005-0000-0000-0000A3C80000}"/>
    <cellStyle name="Neutral 193" xfId="51371" xr:uid="{00000000-0005-0000-0000-0000A4C80000}"/>
    <cellStyle name="Neutral 193 2" xfId="51372" xr:uid="{00000000-0005-0000-0000-0000A5C80000}"/>
    <cellStyle name="Neutral 194" xfId="51373" xr:uid="{00000000-0005-0000-0000-0000A6C80000}"/>
    <cellStyle name="Neutral 194 2" xfId="51374" xr:uid="{00000000-0005-0000-0000-0000A7C80000}"/>
    <cellStyle name="Neutral 195" xfId="51375" xr:uid="{00000000-0005-0000-0000-0000A8C80000}"/>
    <cellStyle name="Neutral 195 2" xfId="51376" xr:uid="{00000000-0005-0000-0000-0000A9C80000}"/>
    <cellStyle name="Neutral 196" xfId="51377" xr:uid="{00000000-0005-0000-0000-0000AAC80000}"/>
    <cellStyle name="Neutral 196 2" xfId="51378" xr:uid="{00000000-0005-0000-0000-0000ABC80000}"/>
    <cellStyle name="Neutral 197" xfId="51379" xr:uid="{00000000-0005-0000-0000-0000ACC80000}"/>
    <cellStyle name="Neutral 197 2" xfId="51380" xr:uid="{00000000-0005-0000-0000-0000ADC80000}"/>
    <cellStyle name="Neutral 198" xfId="51381" xr:uid="{00000000-0005-0000-0000-0000AEC80000}"/>
    <cellStyle name="Neutral 198 2" xfId="51382" xr:uid="{00000000-0005-0000-0000-0000AFC80000}"/>
    <cellStyle name="Neutral 2" xfId="51383" xr:uid="{00000000-0005-0000-0000-0000B0C80000}"/>
    <cellStyle name="Neutral 2 2" xfId="51384" xr:uid="{00000000-0005-0000-0000-0000B1C80000}"/>
    <cellStyle name="Neutral 2 2 2" xfId="51385" xr:uid="{00000000-0005-0000-0000-0000B2C80000}"/>
    <cellStyle name="Neutral 2 2 2 2" xfId="51386" xr:uid="{00000000-0005-0000-0000-0000B3C80000}"/>
    <cellStyle name="Neutral 2 2 2 2 2" xfId="51387" xr:uid="{00000000-0005-0000-0000-0000B4C80000}"/>
    <cellStyle name="Neutral 2 2 2 2 2 2" xfId="51388" xr:uid="{00000000-0005-0000-0000-0000B5C80000}"/>
    <cellStyle name="Neutral 2 2 2 2 3" xfId="51389" xr:uid="{00000000-0005-0000-0000-0000B6C80000}"/>
    <cellStyle name="Neutral 2 2 2 3" xfId="51390" xr:uid="{00000000-0005-0000-0000-0000B7C80000}"/>
    <cellStyle name="Neutral 2 2 3" xfId="51391" xr:uid="{00000000-0005-0000-0000-0000B8C80000}"/>
    <cellStyle name="Neutral 2 2 3 2" xfId="51392" xr:uid="{00000000-0005-0000-0000-0000B9C80000}"/>
    <cellStyle name="Neutral 2 2 4" xfId="51393" xr:uid="{00000000-0005-0000-0000-0000BAC80000}"/>
    <cellStyle name="Neutral 2 2 4 2" xfId="51394" xr:uid="{00000000-0005-0000-0000-0000BBC80000}"/>
    <cellStyle name="Neutral 2 2 5" xfId="51395" xr:uid="{00000000-0005-0000-0000-0000BCC80000}"/>
    <cellStyle name="Neutral 2 3" xfId="51396" xr:uid="{00000000-0005-0000-0000-0000BDC80000}"/>
    <cellStyle name="Neutral 2 3 2" xfId="51397" xr:uid="{00000000-0005-0000-0000-0000BEC80000}"/>
    <cellStyle name="Neutral 2 4" xfId="51398" xr:uid="{00000000-0005-0000-0000-0000BFC80000}"/>
    <cellStyle name="Neutral 2 4 2" xfId="51399" xr:uid="{00000000-0005-0000-0000-0000C0C80000}"/>
    <cellStyle name="Neutral 2 5" xfId="51400" xr:uid="{00000000-0005-0000-0000-0000C1C80000}"/>
    <cellStyle name="Neutral 2 5 2" xfId="51401" xr:uid="{00000000-0005-0000-0000-0000C2C80000}"/>
    <cellStyle name="Neutral 2 6" xfId="51402" xr:uid="{00000000-0005-0000-0000-0000C3C80000}"/>
    <cellStyle name="Neutral 20" xfId="51403" xr:uid="{00000000-0005-0000-0000-0000C4C80000}"/>
    <cellStyle name="Neutral 20 2" xfId="51404" xr:uid="{00000000-0005-0000-0000-0000C5C80000}"/>
    <cellStyle name="Neutral 20 2 2" xfId="51405" xr:uid="{00000000-0005-0000-0000-0000C6C80000}"/>
    <cellStyle name="Neutral 20 3" xfId="51406" xr:uid="{00000000-0005-0000-0000-0000C7C80000}"/>
    <cellStyle name="Neutral 21" xfId="51407" xr:uid="{00000000-0005-0000-0000-0000C8C80000}"/>
    <cellStyle name="Neutral 21 2" xfId="51408" xr:uid="{00000000-0005-0000-0000-0000C9C80000}"/>
    <cellStyle name="Neutral 21 2 2" xfId="51409" xr:uid="{00000000-0005-0000-0000-0000CAC80000}"/>
    <cellStyle name="Neutral 21 3" xfId="51410" xr:uid="{00000000-0005-0000-0000-0000CBC80000}"/>
    <cellStyle name="Neutral 22" xfId="51411" xr:uid="{00000000-0005-0000-0000-0000CCC80000}"/>
    <cellStyle name="Neutral 22 2" xfId="51412" xr:uid="{00000000-0005-0000-0000-0000CDC80000}"/>
    <cellStyle name="Neutral 22 2 2" xfId="51413" xr:uid="{00000000-0005-0000-0000-0000CEC80000}"/>
    <cellStyle name="Neutral 22 3" xfId="51414" xr:uid="{00000000-0005-0000-0000-0000CFC80000}"/>
    <cellStyle name="Neutral 23" xfId="51415" xr:uid="{00000000-0005-0000-0000-0000D0C80000}"/>
    <cellStyle name="Neutral 23 2" xfId="51416" xr:uid="{00000000-0005-0000-0000-0000D1C80000}"/>
    <cellStyle name="Neutral 23 2 2" xfId="51417" xr:uid="{00000000-0005-0000-0000-0000D2C80000}"/>
    <cellStyle name="Neutral 23 3" xfId="51418" xr:uid="{00000000-0005-0000-0000-0000D3C80000}"/>
    <cellStyle name="Neutral 24" xfId="51419" xr:uid="{00000000-0005-0000-0000-0000D4C80000}"/>
    <cellStyle name="Neutral 24 2" xfId="51420" xr:uid="{00000000-0005-0000-0000-0000D5C80000}"/>
    <cellStyle name="Neutral 24 2 2" xfId="51421" xr:uid="{00000000-0005-0000-0000-0000D6C80000}"/>
    <cellStyle name="Neutral 24 3" xfId="51422" xr:uid="{00000000-0005-0000-0000-0000D7C80000}"/>
    <cellStyle name="Neutral 25" xfId="51423" xr:uid="{00000000-0005-0000-0000-0000D8C80000}"/>
    <cellStyle name="Neutral 25 2" xfId="51424" xr:uid="{00000000-0005-0000-0000-0000D9C80000}"/>
    <cellStyle name="Neutral 25 2 2" xfId="51425" xr:uid="{00000000-0005-0000-0000-0000DAC80000}"/>
    <cellStyle name="Neutral 25 3" xfId="51426" xr:uid="{00000000-0005-0000-0000-0000DBC80000}"/>
    <cellStyle name="Neutral 26" xfId="51427" xr:uid="{00000000-0005-0000-0000-0000DCC80000}"/>
    <cellStyle name="Neutral 26 2" xfId="51428" xr:uid="{00000000-0005-0000-0000-0000DDC80000}"/>
    <cellStyle name="Neutral 26 2 2" xfId="51429" xr:uid="{00000000-0005-0000-0000-0000DEC80000}"/>
    <cellStyle name="Neutral 26 3" xfId="51430" xr:uid="{00000000-0005-0000-0000-0000DFC80000}"/>
    <cellStyle name="Neutral 27" xfId="51431" xr:uid="{00000000-0005-0000-0000-0000E0C80000}"/>
    <cellStyle name="Neutral 27 2" xfId="51432" xr:uid="{00000000-0005-0000-0000-0000E1C80000}"/>
    <cellStyle name="Neutral 27 2 2" xfId="51433" xr:uid="{00000000-0005-0000-0000-0000E2C80000}"/>
    <cellStyle name="Neutral 27 3" xfId="51434" xr:uid="{00000000-0005-0000-0000-0000E3C80000}"/>
    <cellStyle name="Neutral 28" xfId="51435" xr:uid="{00000000-0005-0000-0000-0000E4C80000}"/>
    <cellStyle name="Neutral 28 2" xfId="51436" xr:uid="{00000000-0005-0000-0000-0000E5C80000}"/>
    <cellStyle name="Neutral 28 2 2" xfId="51437" xr:uid="{00000000-0005-0000-0000-0000E6C80000}"/>
    <cellStyle name="Neutral 28 3" xfId="51438" xr:uid="{00000000-0005-0000-0000-0000E7C80000}"/>
    <cellStyle name="Neutral 29" xfId="51439" xr:uid="{00000000-0005-0000-0000-0000E8C80000}"/>
    <cellStyle name="Neutral 29 2" xfId="51440" xr:uid="{00000000-0005-0000-0000-0000E9C80000}"/>
    <cellStyle name="Neutral 29 2 2" xfId="51441" xr:uid="{00000000-0005-0000-0000-0000EAC80000}"/>
    <cellStyle name="Neutral 29 3" xfId="51442" xr:uid="{00000000-0005-0000-0000-0000EBC80000}"/>
    <cellStyle name="Neutral 3" xfId="51443" xr:uid="{00000000-0005-0000-0000-0000ECC80000}"/>
    <cellStyle name="Neutral 3 2" xfId="51444" xr:uid="{00000000-0005-0000-0000-0000EDC80000}"/>
    <cellStyle name="Neutral 3 2 2" xfId="51445" xr:uid="{00000000-0005-0000-0000-0000EEC80000}"/>
    <cellStyle name="Neutral 3 3" xfId="51446" xr:uid="{00000000-0005-0000-0000-0000EFC80000}"/>
    <cellStyle name="Neutral 3 3 2" xfId="51447" xr:uid="{00000000-0005-0000-0000-0000F0C80000}"/>
    <cellStyle name="Neutral 3 4" xfId="51448" xr:uid="{00000000-0005-0000-0000-0000F1C80000}"/>
    <cellStyle name="Neutral 3 4 2" xfId="51449" xr:uid="{00000000-0005-0000-0000-0000F2C80000}"/>
    <cellStyle name="Neutral 3 5" xfId="51450" xr:uid="{00000000-0005-0000-0000-0000F3C80000}"/>
    <cellStyle name="Neutral 30" xfId="51451" xr:uid="{00000000-0005-0000-0000-0000F4C80000}"/>
    <cellStyle name="Neutral 30 2" xfId="51452" xr:uid="{00000000-0005-0000-0000-0000F5C80000}"/>
    <cellStyle name="Neutral 30 2 2" xfId="51453" xr:uid="{00000000-0005-0000-0000-0000F6C80000}"/>
    <cellStyle name="Neutral 30 3" xfId="51454" xr:uid="{00000000-0005-0000-0000-0000F7C80000}"/>
    <cellStyle name="Neutral 31" xfId="51455" xr:uid="{00000000-0005-0000-0000-0000F8C80000}"/>
    <cellStyle name="Neutral 31 2" xfId="51456" xr:uid="{00000000-0005-0000-0000-0000F9C80000}"/>
    <cellStyle name="Neutral 31 2 2" xfId="51457" xr:uid="{00000000-0005-0000-0000-0000FAC80000}"/>
    <cellStyle name="Neutral 31 3" xfId="51458" xr:uid="{00000000-0005-0000-0000-0000FBC80000}"/>
    <cellStyle name="Neutral 32" xfId="51459" xr:uid="{00000000-0005-0000-0000-0000FCC80000}"/>
    <cellStyle name="Neutral 32 2" xfId="51460" xr:uid="{00000000-0005-0000-0000-0000FDC80000}"/>
    <cellStyle name="Neutral 32 2 2" xfId="51461" xr:uid="{00000000-0005-0000-0000-0000FEC80000}"/>
    <cellStyle name="Neutral 32 3" xfId="51462" xr:uid="{00000000-0005-0000-0000-0000FFC80000}"/>
    <cellStyle name="Neutral 33" xfId="51463" xr:uid="{00000000-0005-0000-0000-000000C90000}"/>
    <cellStyle name="Neutral 33 2" xfId="51464" xr:uid="{00000000-0005-0000-0000-000001C90000}"/>
    <cellStyle name="Neutral 33 2 2" xfId="51465" xr:uid="{00000000-0005-0000-0000-000002C90000}"/>
    <cellStyle name="Neutral 33 3" xfId="51466" xr:uid="{00000000-0005-0000-0000-000003C90000}"/>
    <cellStyle name="Neutral 34" xfId="51467" xr:uid="{00000000-0005-0000-0000-000004C90000}"/>
    <cellStyle name="Neutral 34 2" xfId="51468" xr:uid="{00000000-0005-0000-0000-000005C90000}"/>
    <cellStyle name="Neutral 34 2 2" xfId="51469" xr:uid="{00000000-0005-0000-0000-000006C90000}"/>
    <cellStyle name="Neutral 34 3" xfId="51470" xr:uid="{00000000-0005-0000-0000-000007C90000}"/>
    <cellStyle name="Neutral 35" xfId="51471" xr:uid="{00000000-0005-0000-0000-000008C90000}"/>
    <cellStyle name="Neutral 35 2" xfId="51472" xr:uid="{00000000-0005-0000-0000-000009C90000}"/>
    <cellStyle name="Neutral 35 2 2" xfId="51473" xr:uid="{00000000-0005-0000-0000-00000AC90000}"/>
    <cellStyle name="Neutral 35 3" xfId="51474" xr:uid="{00000000-0005-0000-0000-00000BC90000}"/>
    <cellStyle name="Neutral 36" xfId="51475" xr:uid="{00000000-0005-0000-0000-00000CC90000}"/>
    <cellStyle name="Neutral 36 2" xfId="51476" xr:uid="{00000000-0005-0000-0000-00000DC90000}"/>
    <cellStyle name="Neutral 36 2 2" xfId="51477" xr:uid="{00000000-0005-0000-0000-00000EC90000}"/>
    <cellStyle name="Neutral 36 3" xfId="51478" xr:uid="{00000000-0005-0000-0000-00000FC90000}"/>
    <cellStyle name="Neutral 37" xfId="51479" xr:uid="{00000000-0005-0000-0000-000010C90000}"/>
    <cellStyle name="Neutral 37 2" xfId="51480" xr:uid="{00000000-0005-0000-0000-000011C90000}"/>
    <cellStyle name="Neutral 37 2 2" xfId="51481" xr:uid="{00000000-0005-0000-0000-000012C90000}"/>
    <cellStyle name="Neutral 37 3" xfId="51482" xr:uid="{00000000-0005-0000-0000-000013C90000}"/>
    <cellStyle name="Neutral 38" xfId="51483" xr:uid="{00000000-0005-0000-0000-000014C90000}"/>
    <cellStyle name="Neutral 38 2" xfId="51484" xr:uid="{00000000-0005-0000-0000-000015C90000}"/>
    <cellStyle name="Neutral 38 2 2" xfId="51485" xr:uid="{00000000-0005-0000-0000-000016C90000}"/>
    <cellStyle name="Neutral 38 3" xfId="51486" xr:uid="{00000000-0005-0000-0000-000017C90000}"/>
    <cellStyle name="Neutral 39" xfId="51487" xr:uid="{00000000-0005-0000-0000-000018C90000}"/>
    <cellStyle name="Neutral 39 2" xfId="51488" xr:uid="{00000000-0005-0000-0000-000019C90000}"/>
    <cellStyle name="Neutral 39 2 2" xfId="51489" xr:uid="{00000000-0005-0000-0000-00001AC90000}"/>
    <cellStyle name="Neutral 39 3" xfId="51490" xr:uid="{00000000-0005-0000-0000-00001BC90000}"/>
    <cellStyle name="Neutral 4" xfId="51491" xr:uid="{00000000-0005-0000-0000-00001CC90000}"/>
    <cellStyle name="Neutral 4 2" xfId="51492" xr:uid="{00000000-0005-0000-0000-00001DC90000}"/>
    <cellStyle name="Neutral 4 2 2" xfId="51493" xr:uid="{00000000-0005-0000-0000-00001EC90000}"/>
    <cellStyle name="Neutral 4 3" xfId="51494" xr:uid="{00000000-0005-0000-0000-00001FC90000}"/>
    <cellStyle name="Neutral 4 3 2" xfId="51495" xr:uid="{00000000-0005-0000-0000-000020C90000}"/>
    <cellStyle name="Neutral 4 4" xfId="51496" xr:uid="{00000000-0005-0000-0000-000021C90000}"/>
    <cellStyle name="Neutral 4 4 2" xfId="51497" xr:uid="{00000000-0005-0000-0000-000022C90000}"/>
    <cellStyle name="Neutral 4 5" xfId="51498" xr:uid="{00000000-0005-0000-0000-000023C90000}"/>
    <cellStyle name="Neutral 40" xfId="51499" xr:uid="{00000000-0005-0000-0000-000024C90000}"/>
    <cellStyle name="Neutral 40 2" xfId="51500" xr:uid="{00000000-0005-0000-0000-000025C90000}"/>
    <cellStyle name="Neutral 40 2 2" xfId="51501" xr:uid="{00000000-0005-0000-0000-000026C90000}"/>
    <cellStyle name="Neutral 40 3" xfId="51502" xr:uid="{00000000-0005-0000-0000-000027C90000}"/>
    <cellStyle name="Neutral 41" xfId="51503" xr:uid="{00000000-0005-0000-0000-000028C90000}"/>
    <cellStyle name="Neutral 41 2" xfId="51504" xr:uid="{00000000-0005-0000-0000-000029C90000}"/>
    <cellStyle name="Neutral 41 2 2" xfId="51505" xr:uid="{00000000-0005-0000-0000-00002AC90000}"/>
    <cellStyle name="Neutral 41 3" xfId="51506" xr:uid="{00000000-0005-0000-0000-00002BC90000}"/>
    <cellStyle name="Neutral 42" xfId="51507" xr:uid="{00000000-0005-0000-0000-00002CC90000}"/>
    <cellStyle name="Neutral 42 2" xfId="51508" xr:uid="{00000000-0005-0000-0000-00002DC90000}"/>
    <cellStyle name="Neutral 42 2 2" xfId="51509" xr:uid="{00000000-0005-0000-0000-00002EC90000}"/>
    <cellStyle name="Neutral 42 3" xfId="51510" xr:uid="{00000000-0005-0000-0000-00002FC90000}"/>
    <cellStyle name="Neutral 43" xfId="51511" xr:uid="{00000000-0005-0000-0000-000030C90000}"/>
    <cellStyle name="Neutral 43 2" xfId="51512" xr:uid="{00000000-0005-0000-0000-000031C90000}"/>
    <cellStyle name="Neutral 43 2 2" xfId="51513" xr:uid="{00000000-0005-0000-0000-000032C90000}"/>
    <cellStyle name="Neutral 43 3" xfId="51514" xr:uid="{00000000-0005-0000-0000-000033C90000}"/>
    <cellStyle name="Neutral 44" xfId="51515" xr:uid="{00000000-0005-0000-0000-000034C90000}"/>
    <cellStyle name="Neutral 44 2" xfId="51516" xr:uid="{00000000-0005-0000-0000-000035C90000}"/>
    <cellStyle name="Neutral 44 2 2" xfId="51517" xr:uid="{00000000-0005-0000-0000-000036C90000}"/>
    <cellStyle name="Neutral 44 3" xfId="51518" xr:uid="{00000000-0005-0000-0000-000037C90000}"/>
    <cellStyle name="Neutral 45" xfId="51519" xr:uid="{00000000-0005-0000-0000-000038C90000}"/>
    <cellStyle name="Neutral 45 2" xfId="51520" xr:uid="{00000000-0005-0000-0000-000039C90000}"/>
    <cellStyle name="Neutral 45 2 2" xfId="51521" xr:uid="{00000000-0005-0000-0000-00003AC90000}"/>
    <cellStyle name="Neutral 45 3" xfId="51522" xr:uid="{00000000-0005-0000-0000-00003BC90000}"/>
    <cellStyle name="Neutral 46" xfId="51523" xr:uid="{00000000-0005-0000-0000-00003CC90000}"/>
    <cellStyle name="Neutral 46 2" xfId="51524" xr:uid="{00000000-0005-0000-0000-00003DC90000}"/>
    <cellStyle name="Neutral 46 2 2" xfId="51525" xr:uid="{00000000-0005-0000-0000-00003EC90000}"/>
    <cellStyle name="Neutral 46 3" xfId="51526" xr:uid="{00000000-0005-0000-0000-00003FC90000}"/>
    <cellStyle name="Neutral 47" xfId="51527" xr:uid="{00000000-0005-0000-0000-000040C90000}"/>
    <cellStyle name="Neutral 47 2" xfId="51528" xr:uid="{00000000-0005-0000-0000-000041C90000}"/>
    <cellStyle name="Neutral 47 2 2" xfId="51529" xr:uid="{00000000-0005-0000-0000-000042C90000}"/>
    <cellStyle name="Neutral 47 3" xfId="51530" xr:uid="{00000000-0005-0000-0000-000043C90000}"/>
    <cellStyle name="Neutral 48" xfId="51531" xr:uid="{00000000-0005-0000-0000-000044C90000}"/>
    <cellStyle name="Neutral 48 2" xfId="51532" xr:uid="{00000000-0005-0000-0000-000045C90000}"/>
    <cellStyle name="Neutral 48 2 2" xfId="51533" xr:uid="{00000000-0005-0000-0000-000046C90000}"/>
    <cellStyle name="Neutral 48 3" xfId="51534" xr:uid="{00000000-0005-0000-0000-000047C90000}"/>
    <cellStyle name="Neutral 49" xfId="51535" xr:uid="{00000000-0005-0000-0000-000048C90000}"/>
    <cellStyle name="Neutral 49 2" xfId="51536" xr:uid="{00000000-0005-0000-0000-000049C90000}"/>
    <cellStyle name="Neutral 49 2 2" xfId="51537" xr:uid="{00000000-0005-0000-0000-00004AC90000}"/>
    <cellStyle name="Neutral 49 3" xfId="51538" xr:uid="{00000000-0005-0000-0000-00004BC90000}"/>
    <cellStyle name="Neutral 5" xfId="51539" xr:uid="{00000000-0005-0000-0000-00004CC90000}"/>
    <cellStyle name="Neutral 5 2" xfId="51540" xr:uid="{00000000-0005-0000-0000-00004DC90000}"/>
    <cellStyle name="Neutral 5 2 2" xfId="51541" xr:uid="{00000000-0005-0000-0000-00004EC90000}"/>
    <cellStyle name="Neutral 5 3" xfId="51542" xr:uid="{00000000-0005-0000-0000-00004FC90000}"/>
    <cellStyle name="Neutral 5 3 2" xfId="51543" xr:uid="{00000000-0005-0000-0000-000050C90000}"/>
    <cellStyle name="Neutral 5 4" xfId="51544" xr:uid="{00000000-0005-0000-0000-000051C90000}"/>
    <cellStyle name="Neutral 5 4 2" xfId="51545" xr:uid="{00000000-0005-0000-0000-000052C90000}"/>
    <cellStyle name="Neutral 5 5" xfId="51546" xr:uid="{00000000-0005-0000-0000-000053C90000}"/>
    <cellStyle name="Neutral 50" xfId="51547" xr:uid="{00000000-0005-0000-0000-000054C90000}"/>
    <cellStyle name="Neutral 50 2" xfId="51548" xr:uid="{00000000-0005-0000-0000-000055C90000}"/>
    <cellStyle name="Neutral 50 2 2" xfId="51549" xr:uid="{00000000-0005-0000-0000-000056C90000}"/>
    <cellStyle name="Neutral 50 3" xfId="51550" xr:uid="{00000000-0005-0000-0000-000057C90000}"/>
    <cellStyle name="Neutral 51" xfId="51551" xr:uid="{00000000-0005-0000-0000-000058C90000}"/>
    <cellStyle name="Neutral 51 2" xfId="51552" xr:uid="{00000000-0005-0000-0000-000059C90000}"/>
    <cellStyle name="Neutral 51 2 2" xfId="51553" xr:uid="{00000000-0005-0000-0000-00005AC90000}"/>
    <cellStyle name="Neutral 51 3" xfId="51554" xr:uid="{00000000-0005-0000-0000-00005BC90000}"/>
    <cellStyle name="Neutral 52" xfId="51555" xr:uid="{00000000-0005-0000-0000-00005CC90000}"/>
    <cellStyle name="Neutral 52 2" xfId="51556" xr:uid="{00000000-0005-0000-0000-00005DC90000}"/>
    <cellStyle name="Neutral 52 2 2" xfId="51557" xr:uid="{00000000-0005-0000-0000-00005EC90000}"/>
    <cellStyle name="Neutral 52 3" xfId="51558" xr:uid="{00000000-0005-0000-0000-00005FC90000}"/>
    <cellStyle name="Neutral 53" xfId="51559" xr:uid="{00000000-0005-0000-0000-000060C90000}"/>
    <cellStyle name="Neutral 53 2" xfId="51560" xr:uid="{00000000-0005-0000-0000-000061C90000}"/>
    <cellStyle name="Neutral 53 2 2" xfId="51561" xr:uid="{00000000-0005-0000-0000-000062C90000}"/>
    <cellStyle name="Neutral 53 3" xfId="51562" xr:uid="{00000000-0005-0000-0000-000063C90000}"/>
    <cellStyle name="Neutral 54" xfId="51563" xr:uid="{00000000-0005-0000-0000-000064C90000}"/>
    <cellStyle name="Neutral 54 2" xfId="51564" xr:uid="{00000000-0005-0000-0000-000065C90000}"/>
    <cellStyle name="Neutral 54 2 2" xfId="51565" xr:uid="{00000000-0005-0000-0000-000066C90000}"/>
    <cellStyle name="Neutral 54 3" xfId="51566" xr:uid="{00000000-0005-0000-0000-000067C90000}"/>
    <cellStyle name="Neutral 55" xfId="51567" xr:uid="{00000000-0005-0000-0000-000068C90000}"/>
    <cellStyle name="Neutral 55 2" xfId="51568" xr:uid="{00000000-0005-0000-0000-000069C90000}"/>
    <cellStyle name="Neutral 55 2 2" xfId="51569" xr:uid="{00000000-0005-0000-0000-00006AC90000}"/>
    <cellStyle name="Neutral 55 3" xfId="51570" xr:uid="{00000000-0005-0000-0000-00006BC90000}"/>
    <cellStyle name="Neutral 56" xfId="51571" xr:uid="{00000000-0005-0000-0000-00006CC90000}"/>
    <cellStyle name="Neutral 56 2" xfId="51572" xr:uid="{00000000-0005-0000-0000-00006DC90000}"/>
    <cellStyle name="Neutral 56 2 2" xfId="51573" xr:uid="{00000000-0005-0000-0000-00006EC90000}"/>
    <cellStyle name="Neutral 56 3" xfId="51574" xr:uid="{00000000-0005-0000-0000-00006FC90000}"/>
    <cellStyle name="Neutral 57" xfId="51575" xr:uid="{00000000-0005-0000-0000-000070C90000}"/>
    <cellStyle name="Neutral 57 2" xfId="51576" xr:uid="{00000000-0005-0000-0000-000071C90000}"/>
    <cellStyle name="Neutral 57 2 2" xfId="51577" xr:uid="{00000000-0005-0000-0000-000072C90000}"/>
    <cellStyle name="Neutral 57 3" xfId="51578" xr:uid="{00000000-0005-0000-0000-000073C90000}"/>
    <cellStyle name="Neutral 58" xfId="51579" xr:uid="{00000000-0005-0000-0000-000074C90000}"/>
    <cellStyle name="Neutral 58 2" xfId="51580" xr:uid="{00000000-0005-0000-0000-000075C90000}"/>
    <cellStyle name="Neutral 58 2 2" xfId="51581" xr:uid="{00000000-0005-0000-0000-000076C90000}"/>
    <cellStyle name="Neutral 58 3" xfId="51582" xr:uid="{00000000-0005-0000-0000-000077C90000}"/>
    <cellStyle name="Neutral 59" xfId="51583" xr:uid="{00000000-0005-0000-0000-000078C90000}"/>
    <cellStyle name="Neutral 59 2" xfId="51584" xr:uid="{00000000-0005-0000-0000-000079C90000}"/>
    <cellStyle name="Neutral 59 2 2" xfId="51585" xr:uid="{00000000-0005-0000-0000-00007AC90000}"/>
    <cellStyle name="Neutral 59 3" xfId="51586" xr:uid="{00000000-0005-0000-0000-00007BC90000}"/>
    <cellStyle name="Neutral 59 3 2" xfId="51587" xr:uid="{00000000-0005-0000-0000-00007CC90000}"/>
    <cellStyle name="Neutral 59 4" xfId="51588" xr:uid="{00000000-0005-0000-0000-00007DC90000}"/>
    <cellStyle name="Neutral 6" xfId="51589" xr:uid="{00000000-0005-0000-0000-00007EC90000}"/>
    <cellStyle name="Neutral 6 2" xfId="51590" xr:uid="{00000000-0005-0000-0000-00007FC90000}"/>
    <cellStyle name="Neutral 6 2 2" xfId="51591" xr:uid="{00000000-0005-0000-0000-000080C90000}"/>
    <cellStyle name="Neutral 6 3" xfId="51592" xr:uid="{00000000-0005-0000-0000-000081C90000}"/>
    <cellStyle name="Neutral 6 3 2" xfId="51593" xr:uid="{00000000-0005-0000-0000-000082C90000}"/>
    <cellStyle name="Neutral 6 4" xfId="51594" xr:uid="{00000000-0005-0000-0000-000083C90000}"/>
    <cellStyle name="Neutral 6 4 2" xfId="51595" xr:uid="{00000000-0005-0000-0000-000084C90000}"/>
    <cellStyle name="Neutral 6 5" xfId="51596" xr:uid="{00000000-0005-0000-0000-000085C90000}"/>
    <cellStyle name="Neutral 60" xfId="51597" xr:uid="{00000000-0005-0000-0000-000086C90000}"/>
    <cellStyle name="Neutral 60 2" xfId="51598" xr:uid="{00000000-0005-0000-0000-000087C90000}"/>
    <cellStyle name="Neutral 60 2 2" xfId="51599" xr:uid="{00000000-0005-0000-0000-000088C90000}"/>
    <cellStyle name="Neutral 60 3" xfId="51600" xr:uid="{00000000-0005-0000-0000-000089C90000}"/>
    <cellStyle name="Neutral 61" xfId="51601" xr:uid="{00000000-0005-0000-0000-00008AC90000}"/>
    <cellStyle name="Neutral 61 2" xfId="51602" xr:uid="{00000000-0005-0000-0000-00008BC90000}"/>
    <cellStyle name="Neutral 61 2 2" xfId="51603" xr:uid="{00000000-0005-0000-0000-00008CC90000}"/>
    <cellStyle name="Neutral 61 3" xfId="51604" xr:uid="{00000000-0005-0000-0000-00008DC90000}"/>
    <cellStyle name="Neutral 62" xfId="51605" xr:uid="{00000000-0005-0000-0000-00008EC90000}"/>
    <cellStyle name="Neutral 62 2" xfId="51606" xr:uid="{00000000-0005-0000-0000-00008FC90000}"/>
    <cellStyle name="Neutral 62 2 2" xfId="51607" xr:uid="{00000000-0005-0000-0000-000090C90000}"/>
    <cellStyle name="Neutral 62 3" xfId="51608" xr:uid="{00000000-0005-0000-0000-000091C90000}"/>
    <cellStyle name="Neutral 63" xfId="51609" xr:uid="{00000000-0005-0000-0000-000092C90000}"/>
    <cellStyle name="Neutral 63 2" xfId="51610" xr:uid="{00000000-0005-0000-0000-000093C90000}"/>
    <cellStyle name="Neutral 63 2 2" xfId="51611" xr:uid="{00000000-0005-0000-0000-000094C90000}"/>
    <cellStyle name="Neutral 63 3" xfId="51612" xr:uid="{00000000-0005-0000-0000-000095C90000}"/>
    <cellStyle name="Neutral 64" xfId="51613" xr:uid="{00000000-0005-0000-0000-000096C90000}"/>
    <cellStyle name="Neutral 64 2" xfId="51614" xr:uid="{00000000-0005-0000-0000-000097C90000}"/>
    <cellStyle name="Neutral 64 2 2" xfId="51615" xr:uid="{00000000-0005-0000-0000-000098C90000}"/>
    <cellStyle name="Neutral 64 3" xfId="51616" xr:uid="{00000000-0005-0000-0000-000099C90000}"/>
    <cellStyle name="Neutral 65" xfId="51617" xr:uid="{00000000-0005-0000-0000-00009AC90000}"/>
    <cellStyle name="Neutral 65 2" xfId="51618" xr:uid="{00000000-0005-0000-0000-00009BC90000}"/>
    <cellStyle name="Neutral 65 2 2" xfId="51619" xr:uid="{00000000-0005-0000-0000-00009CC90000}"/>
    <cellStyle name="Neutral 65 3" xfId="51620" xr:uid="{00000000-0005-0000-0000-00009DC90000}"/>
    <cellStyle name="Neutral 66" xfId="51621" xr:uid="{00000000-0005-0000-0000-00009EC90000}"/>
    <cellStyle name="Neutral 66 2" xfId="51622" xr:uid="{00000000-0005-0000-0000-00009FC90000}"/>
    <cellStyle name="Neutral 66 2 2" xfId="51623" xr:uid="{00000000-0005-0000-0000-0000A0C90000}"/>
    <cellStyle name="Neutral 66 3" xfId="51624" xr:uid="{00000000-0005-0000-0000-0000A1C90000}"/>
    <cellStyle name="Neutral 67" xfId="51625" xr:uid="{00000000-0005-0000-0000-0000A2C90000}"/>
    <cellStyle name="Neutral 67 2" xfId="51626" xr:uid="{00000000-0005-0000-0000-0000A3C90000}"/>
    <cellStyle name="Neutral 67 2 2" xfId="51627" xr:uid="{00000000-0005-0000-0000-0000A4C90000}"/>
    <cellStyle name="Neutral 67 3" xfId="51628" xr:uid="{00000000-0005-0000-0000-0000A5C90000}"/>
    <cellStyle name="Neutral 68" xfId="51629" xr:uid="{00000000-0005-0000-0000-0000A6C90000}"/>
    <cellStyle name="Neutral 68 2" xfId="51630" xr:uid="{00000000-0005-0000-0000-0000A7C90000}"/>
    <cellStyle name="Neutral 68 2 2" xfId="51631" xr:uid="{00000000-0005-0000-0000-0000A8C90000}"/>
    <cellStyle name="Neutral 68 3" xfId="51632" xr:uid="{00000000-0005-0000-0000-0000A9C90000}"/>
    <cellStyle name="Neutral 69" xfId="51633" xr:uid="{00000000-0005-0000-0000-0000AAC90000}"/>
    <cellStyle name="Neutral 69 2" xfId="51634" xr:uid="{00000000-0005-0000-0000-0000ABC90000}"/>
    <cellStyle name="Neutral 69 2 2" xfId="51635" xr:uid="{00000000-0005-0000-0000-0000ACC90000}"/>
    <cellStyle name="Neutral 69 3" xfId="51636" xr:uid="{00000000-0005-0000-0000-0000ADC90000}"/>
    <cellStyle name="Neutral 7" xfId="51637" xr:uid="{00000000-0005-0000-0000-0000AEC90000}"/>
    <cellStyle name="Neutral 7 2" xfId="51638" xr:uid="{00000000-0005-0000-0000-0000AFC90000}"/>
    <cellStyle name="Neutral 7 2 2" xfId="51639" xr:uid="{00000000-0005-0000-0000-0000B0C90000}"/>
    <cellStyle name="Neutral 7 3" xfId="51640" xr:uid="{00000000-0005-0000-0000-0000B1C90000}"/>
    <cellStyle name="Neutral 7 3 2" xfId="51641" xr:uid="{00000000-0005-0000-0000-0000B2C90000}"/>
    <cellStyle name="Neutral 7 4" xfId="51642" xr:uid="{00000000-0005-0000-0000-0000B3C90000}"/>
    <cellStyle name="Neutral 7 4 2" xfId="51643" xr:uid="{00000000-0005-0000-0000-0000B4C90000}"/>
    <cellStyle name="Neutral 7 5" xfId="51644" xr:uid="{00000000-0005-0000-0000-0000B5C90000}"/>
    <cellStyle name="Neutral 70" xfId="51645" xr:uid="{00000000-0005-0000-0000-0000B6C90000}"/>
    <cellStyle name="Neutral 70 2" xfId="51646" xr:uid="{00000000-0005-0000-0000-0000B7C90000}"/>
    <cellStyle name="Neutral 70 2 2" xfId="51647" xr:uid="{00000000-0005-0000-0000-0000B8C90000}"/>
    <cellStyle name="Neutral 70 3" xfId="51648" xr:uid="{00000000-0005-0000-0000-0000B9C90000}"/>
    <cellStyle name="Neutral 71" xfId="51649" xr:uid="{00000000-0005-0000-0000-0000BAC90000}"/>
    <cellStyle name="Neutral 71 2" xfId="51650" xr:uid="{00000000-0005-0000-0000-0000BBC90000}"/>
    <cellStyle name="Neutral 71 2 2" xfId="51651" xr:uid="{00000000-0005-0000-0000-0000BCC90000}"/>
    <cellStyle name="Neutral 71 3" xfId="51652" xr:uid="{00000000-0005-0000-0000-0000BDC90000}"/>
    <cellStyle name="Neutral 72" xfId="51653" xr:uid="{00000000-0005-0000-0000-0000BEC90000}"/>
    <cellStyle name="Neutral 72 2" xfId="51654" xr:uid="{00000000-0005-0000-0000-0000BFC90000}"/>
    <cellStyle name="Neutral 72 2 2" xfId="51655" xr:uid="{00000000-0005-0000-0000-0000C0C90000}"/>
    <cellStyle name="Neutral 72 3" xfId="51656" xr:uid="{00000000-0005-0000-0000-0000C1C90000}"/>
    <cellStyle name="Neutral 73" xfId="51657" xr:uid="{00000000-0005-0000-0000-0000C2C90000}"/>
    <cellStyle name="Neutral 73 2" xfId="51658" xr:uid="{00000000-0005-0000-0000-0000C3C90000}"/>
    <cellStyle name="Neutral 73 2 2" xfId="51659" xr:uid="{00000000-0005-0000-0000-0000C4C90000}"/>
    <cellStyle name="Neutral 73 3" xfId="51660" xr:uid="{00000000-0005-0000-0000-0000C5C90000}"/>
    <cellStyle name="Neutral 74" xfId="51661" xr:uid="{00000000-0005-0000-0000-0000C6C90000}"/>
    <cellStyle name="Neutral 74 2" xfId="51662" xr:uid="{00000000-0005-0000-0000-0000C7C90000}"/>
    <cellStyle name="Neutral 74 2 2" xfId="51663" xr:uid="{00000000-0005-0000-0000-0000C8C90000}"/>
    <cellStyle name="Neutral 74 3" xfId="51664" xr:uid="{00000000-0005-0000-0000-0000C9C90000}"/>
    <cellStyle name="Neutral 75" xfId="51665" xr:uid="{00000000-0005-0000-0000-0000CAC90000}"/>
    <cellStyle name="Neutral 75 2" xfId="51666" xr:uid="{00000000-0005-0000-0000-0000CBC90000}"/>
    <cellStyle name="Neutral 75 2 2" xfId="51667" xr:uid="{00000000-0005-0000-0000-0000CCC90000}"/>
    <cellStyle name="Neutral 75 3" xfId="51668" xr:uid="{00000000-0005-0000-0000-0000CDC90000}"/>
    <cellStyle name="Neutral 76" xfId="51669" xr:uid="{00000000-0005-0000-0000-0000CEC90000}"/>
    <cellStyle name="Neutral 76 2" xfId="51670" xr:uid="{00000000-0005-0000-0000-0000CFC90000}"/>
    <cellStyle name="Neutral 76 2 2" xfId="51671" xr:uid="{00000000-0005-0000-0000-0000D0C90000}"/>
    <cellStyle name="Neutral 76 3" xfId="51672" xr:uid="{00000000-0005-0000-0000-0000D1C90000}"/>
    <cellStyle name="Neutral 77" xfId="51673" xr:uid="{00000000-0005-0000-0000-0000D2C90000}"/>
    <cellStyle name="Neutral 77 2" xfId="51674" xr:uid="{00000000-0005-0000-0000-0000D3C90000}"/>
    <cellStyle name="Neutral 77 2 2" xfId="51675" xr:uid="{00000000-0005-0000-0000-0000D4C90000}"/>
    <cellStyle name="Neutral 77 3" xfId="51676" xr:uid="{00000000-0005-0000-0000-0000D5C90000}"/>
    <cellStyle name="Neutral 78" xfId="51677" xr:uid="{00000000-0005-0000-0000-0000D6C90000}"/>
    <cellStyle name="Neutral 78 2" xfId="51678" xr:uid="{00000000-0005-0000-0000-0000D7C90000}"/>
    <cellStyle name="Neutral 78 2 2" xfId="51679" xr:uid="{00000000-0005-0000-0000-0000D8C90000}"/>
    <cellStyle name="Neutral 78 3" xfId="51680" xr:uid="{00000000-0005-0000-0000-0000D9C90000}"/>
    <cellStyle name="Neutral 79" xfId="51681" xr:uid="{00000000-0005-0000-0000-0000DAC90000}"/>
    <cellStyle name="Neutral 79 2" xfId="51682" xr:uid="{00000000-0005-0000-0000-0000DBC90000}"/>
    <cellStyle name="Neutral 79 2 2" xfId="51683" xr:uid="{00000000-0005-0000-0000-0000DCC90000}"/>
    <cellStyle name="Neutral 79 3" xfId="51684" xr:uid="{00000000-0005-0000-0000-0000DDC90000}"/>
    <cellStyle name="Neutral 8" xfId="51685" xr:uid="{00000000-0005-0000-0000-0000DEC90000}"/>
    <cellStyle name="Neutral 8 2" xfId="51686" xr:uid="{00000000-0005-0000-0000-0000DFC90000}"/>
    <cellStyle name="Neutral 8 2 2" xfId="51687" xr:uid="{00000000-0005-0000-0000-0000E0C90000}"/>
    <cellStyle name="Neutral 8 3" xfId="51688" xr:uid="{00000000-0005-0000-0000-0000E1C90000}"/>
    <cellStyle name="Neutral 8 3 2" xfId="51689" xr:uid="{00000000-0005-0000-0000-0000E2C90000}"/>
    <cellStyle name="Neutral 8 4" xfId="51690" xr:uid="{00000000-0005-0000-0000-0000E3C90000}"/>
    <cellStyle name="Neutral 8 4 2" xfId="51691" xr:uid="{00000000-0005-0000-0000-0000E4C90000}"/>
    <cellStyle name="Neutral 8 5" xfId="51692" xr:uid="{00000000-0005-0000-0000-0000E5C90000}"/>
    <cellStyle name="Neutral 80" xfId="51693" xr:uid="{00000000-0005-0000-0000-0000E6C90000}"/>
    <cellStyle name="Neutral 80 2" xfId="51694" xr:uid="{00000000-0005-0000-0000-0000E7C90000}"/>
    <cellStyle name="Neutral 80 2 2" xfId="51695" xr:uid="{00000000-0005-0000-0000-0000E8C90000}"/>
    <cellStyle name="Neutral 80 3" xfId="51696" xr:uid="{00000000-0005-0000-0000-0000E9C90000}"/>
    <cellStyle name="Neutral 81" xfId="51697" xr:uid="{00000000-0005-0000-0000-0000EAC90000}"/>
    <cellStyle name="Neutral 81 2" xfId="51698" xr:uid="{00000000-0005-0000-0000-0000EBC90000}"/>
    <cellStyle name="Neutral 81 2 2" xfId="51699" xr:uid="{00000000-0005-0000-0000-0000ECC90000}"/>
    <cellStyle name="Neutral 81 3" xfId="51700" xr:uid="{00000000-0005-0000-0000-0000EDC90000}"/>
    <cellStyle name="Neutral 82" xfId="51701" xr:uid="{00000000-0005-0000-0000-0000EEC90000}"/>
    <cellStyle name="Neutral 82 2" xfId="51702" xr:uid="{00000000-0005-0000-0000-0000EFC90000}"/>
    <cellStyle name="Neutral 82 2 2" xfId="51703" xr:uid="{00000000-0005-0000-0000-0000F0C90000}"/>
    <cellStyle name="Neutral 82 3" xfId="51704" xr:uid="{00000000-0005-0000-0000-0000F1C90000}"/>
    <cellStyle name="Neutral 83" xfId="51705" xr:uid="{00000000-0005-0000-0000-0000F2C90000}"/>
    <cellStyle name="Neutral 83 2" xfId="51706" xr:uid="{00000000-0005-0000-0000-0000F3C90000}"/>
    <cellStyle name="Neutral 83 2 2" xfId="51707" xr:uid="{00000000-0005-0000-0000-0000F4C90000}"/>
    <cellStyle name="Neutral 83 3" xfId="51708" xr:uid="{00000000-0005-0000-0000-0000F5C90000}"/>
    <cellStyle name="Neutral 84" xfId="51709" xr:uid="{00000000-0005-0000-0000-0000F6C90000}"/>
    <cellStyle name="Neutral 84 2" xfId="51710" xr:uid="{00000000-0005-0000-0000-0000F7C90000}"/>
    <cellStyle name="Neutral 84 2 2" xfId="51711" xr:uid="{00000000-0005-0000-0000-0000F8C90000}"/>
    <cellStyle name="Neutral 84 3" xfId="51712" xr:uid="{00000000-0005-0000-0000-0000F9C90000}"/>
    <cellStyle name="Neutral 85" xfId="51713" xr:uid="{00000000-0005-0000-0000-0000FAC90000}"/>
    <cellStyle name="Neutral 85 2" xfId="51714" xr:uid="{00000000-0005-0000-0000-0000FBC90000}"/>
    <cellStyle name="Neutral 85 2 2" xfId="51715" xr:uid="{00000000-0005-0000-0000-0000FCC90000}"/>
    <cellStyle name="Neutral 85 3" xfId="51716" xr:uid="{00000000-0005-0000-0000-0000FDC90000}"/>
    <cellStyle name="Neutral 86" xfId="51717" xr:uid="{00000000-0005-0000-0000-0000FEC90000}"/>
    <cellStyle name="Neutral 86 2" xfId="51718" xr:uid="{00000000-0005-0000-0000-0000FFC90000}"/>
    <cellStyle name="Neutral 86 2 2" xfId="51719" xr:uid="{00000000-0005-0000-0000-000000CA0000}"/>
    <cellStyle name="Neutral 86 3" xfId="51720" xr:uid="{00000000-0005-0000-0000-000001CA0000}"/>
    <cellStyle name="Neutral 87" xfId="51721" xr:uid="{00000000-0005-0000-0000-000002CA0000}"/>
    <cellStyle name="Neutral 87 2" xfId="51722" xr:uid="{00000000-0005-0000-0000-000003CA0000}"/>
    <cellStyle name="Neutral 87 2 2" xfId="51723" xr:uid="{00000000-0005-0000-0000-000004CA0000}"/>
    <cellStyle name="Neutral 87 3" xfId="51724" xr:uid="{00000000-0005-0000-0000-000005CA0000}"/>
    <cellStyle name="Neutral 88" xfId="51725" xr:uid="{00000000-0005-0000-0000-000006CA0000}"/>
    <cellStyle name="Neutral 88 2" xfId="51726" xr:uid="{00000000-0005-0000-0000-000007CA0000}"/>
    <cellStyle name="Neutral 88 2 2" xfId="51727" xr:uid="{00000000-0005-0000-0000-000008CA0000}"/>
    <cellStyle name="Neutral 88 3" xfId="51728" xr:uid="{00000000-0005-0000-0000-000009CA0000}"/>
    <cellStyle name="Neutral 89" xfId="51729" xr:uid="{00000000-0005-0000-0000-00000ACA0000}"/>
    <cellStyle name="Neutral 89 2" xfId="51730" xr:uid="{00000000-0005-0000-0000-00000BCA0000}"/>
    <cellStyle name="Neutral 89 2 2" xfId="51731" xr:uid="{00000000-0005-0000-0000-00000CCA0000}"/>
    <cellStyle name="Neutral 89 3" xfId="51732" xr:uid="{00000000-0005-0000-0000-00000DCA0000}"/>
    <cellStyle name="Neutral 9" xfId="51733" xr:uid="{00000000-0005-0000-0000-00000ECA0000}"/>
    <cellStyle name="Neutral 9 2" xfId="51734" xr:uid="{00000000-0005-0000-0000-00000FCA0000}"/>
    <cellStyle name="Neutral 9 2 2" xfId="51735" xr:uid="{00000000-0005-0000-0000-000010CA0000}"/>
    <cellStyle name="Neutral 9 3" xfId="51736" xr:uid="{00000000-0005-0000-0000-000011CA0000}"/>
    <cellStyle name="Neutral 9 3 2" xfId="51737" xr:uid="{00000000-0005-0000-0000-000012CA0000}"/>
    <cellStyle name="Neutral 9 4" xfId="51738" xr:uid="{00000000-0005-0000-0000-000013CA0000}"/>
    <cellStyle name="Neutral 9 4 2" xfId="51739" xr:uid="{00000000-0005-0000-0000-000014CA0000}"/>
    <cellStyle name="Neutral 9 5" xfId="51740" xr:uid="{00000000-0005-0000-0000-000015CA0000}"/>
    <cellStyle name="Neutral 90" xfId="51741" xr:uid="{00000000-0005-0000-0000-000016CA0000}"/>
    <cellStyle name="Neutral 90 2" xfId="51742" xr:uid="{00000000-0005-0000-0000-000017CA0000}"/>
    <cellStyle name="Neutral 90 2 2" xfId="51743" xr:uid="{00000000-0005-0000-0000-000018CA0000}"/>
    <cellStyle name="Neutral 90 3" xfId="51744" xr:uid="{00000000-0005-0000-0000-000019CA0000}"/>
    <cellStyle name="Neutral 91" xfId="51745" xr:uid="{00000000-0005-0000-0000-00001ACA0000}"/>
    <cellStyle name="Neutral 91 2" xfId="51746" xr:uid="{00000000-0005-0000-0000-00001BCA0000}"/>
    <cellStyle name="Neutral 91 2 2" xfId="51747" xr:uid="{00000000-0005-0000-0000-00001CCA0000}"/>
    <cellStyle name="Neutral 91 3" xfId="51748" xr:uid="{00000000-0005-0000-0000-00001DCA0000}"/>
    <cellStyle name="Neutral 92" xfId="51749" xr:uid="{00000000-0005-0000-0000-00001ECA0000}"/>
    <cellStyle name="Neutral 92 2" xfId="51750" xr:uid="{00000000-0005-0000-0000-00001FCA0000}"/>
    <cellStyle name="Neutral 92 2 2" xfId="51751" xr:uid="{00000000-0005-0000-0000-000020CA0000}"/>
    <cellStyle name="Neutral 92 3" xfId="51752" xr:uid="{00000000-0005-0000-0000-000021CA0000}"/>
    <cellStyle name="Neutral 93" xfId="51753" xr:uid="{00000000-0005-0000-0000-000022CA0000}"/>
    <cellStyle name="Neutral 93 2" xfId="51754" xr:uid="{00000000-0005-0000-0000-000023CA0000}"/>
    <cellStyle name="Neutral 93 2 2" xfId="51755" xr:uid="{00000000-0005-0000-0000-000024CA0000}"/>
    <cellStyle name="Neutral 93 3" xfId="51756" xr:uid="{00000000-0005-0000-0000-000025CA0000}"/>
    <cellStyle name="Neutral 94" xfId="51757" xr:uid="{00000000-0005-0000-0000-000026CA0000}"/>
    <cellStyle name="Neutral 94 2" xfId="51758" xr:uid="{00000000-0005-0000-0000-000027CA0000}"/>
    <cellStyle name="Neutral 94 2 2" xfId="51759" xr:uid="{00000000-0005-0000-0000-000028CA0000}"/>
    <cellStyle name="Neutral 94 3" xfId="51760" xr:uid="{00000000-0005-0000-0000-000029CA0000}"/>
    <cellStyle name="Neutral 95" xfId="51761" xr:uid="{00000000-0005-0000-0000-00002ACA0000}"/>
    <cellStyle name="Neutral 95 2" xfId="51762" xr:uid="{00000000-0005-0000-0000-00002BCA0000}"/>
    <cellStyle name="Neutral 95 2 2" xfId="51763" xr:uid="{00000000-0005-0000-0000-00002CCA0000}"/>
    <cellStyle name="Neutral 95 3" xfId="51764" xr:uid="{00000000-0005-0000-0000-00002DCA0000}"/>
    <cellStyle name="Neutral 96" xfId="51765" xr:uid="{00000000-0005-0000-0000-00002ECA0000}"/>
    <cellStyle name="Neutral 96 2" xfId="51766" xr:uid="{00000000-0005-0000-0000-00002FCA0000}"/>
    <cellStyle name="Neutral 96 2 2" xfId="51767" xr:uid="{00000000-0005-0000-0000-000030CA0000}"/>
    <cellStyle name="Neutral 96 3" xfId="51768" xr:uid="{00000000-0005-0000-0000-000031CA0000}"/>
    <cellStyle name="Neutral 97" xfId="51769" xr:uid="{00000000-0005-0000-0000-000032CA0000}"/>
    <cellStyle name="Neutral 97 2" xfId="51770" xr:uid="{00000000-0005-0000-0000-000033CA0000}"/>
    <cellStyle name="Neutral 97 2 2" xfId="51771" xr:uid="{00000000-0005-0000-0000-000034CA0000}"/>
    <cellStyle name="Neutral 97 3" xfId="51772" xr:uid="{00000000-0005-0000-0000-000035CA0000}"/>
    <cellStyle name="Neutral 98" xfId="51773" xr:uid="{00000000-0005-0000-0000-000036CA0000}"/>
    <cellStyle name="Neutral 98 2" xfId="51774" xr:uid="{00000000-0005-0000-0000-000037CA0000}"/>
    <cellStyle name="Neutral 98 2 2" xfId="51775" xr:uid="{00000000-0005-0000-0000-000038CA0000}"/>
    <cellStyle name="Neutral 98 3" xfId="51776" xr:uid="{00000000-0005-0000-0000-000039CA0000}"/>
    <cellStyle name="Neutral 99" xfId="51777" xr:uid="{00000000-0005-0000-0000-00003ACA0000}"/>
    <cellStyle name="Neutral 99 2" xfId="51778" xr:uid="{00000000-0005-0000-0000-00003BCA0000}"/>
    <cellStyle name="Neutral 99 2 2" xfId="51779" xr:uid="{00000000-0005-0000-0000-00003CCA0000}"/>
    <cellStyle name="Neutral 99 3" xfId="51780" xr:uid="{00000000-0005-0000-0000-00003DCA0000}"/>
    <cellStyle name="Neutre" xfId="51781" xr:uid="{00000000-0005-0000-0000-00003ECA0000}"/>
    <cellStyle name="Neutre 2" xfId="51782" xr:uid="{00000000-0005-0000-0000-00003FCA0000}"/>
    <cellStyle name="Neutre 2 2" xfId="51783" xr:uid="{00000000-0005-0000-0000-000040CA0000}"/>
    <cellStyle name="Neutre 3" xfId="51784" xr:uid="{00000000-0005-0000-0000-000041CA0000}"/>
    <cellStyle name="new" xfId="51785" xr:uid="{00000000-0005-0000-0000-000042CA0000}"/>
    <cellStyle name="NewPeso" xfId="51786" xr:uid="{00000000-0005-0000-0000-000043CA0000}"/>
    <cellStyle name="no" xfId="51787" xr:uid="{00000000-0005-0000-0000-000044CA0000}"/>
    <cellStyle name="no 2" xfId="51788" xr:uid="{00000000-0005-0000-0000-000045CA0000}"/>
    <cellStyle name="no 2 2" xfId="51789" xr:uid="{00000000-0005-0000-0000-000046CA0000}"/>
    <cellStyle name="no 3" xfId="51790" xr:uid="{00000000-0005-0000-0000-000047CA0000}"/>
    <cellStyle name="no dec" xfId="51791" xr:uid="{00000000-0005-0000-0000-000048CA0000}"/>
    <cellStyle name="no dec 2" xfId="51792" xr:uid="{00000000-0005-0000-0000-000049CA0000}"/>
    <cellStyle name="No Decimal" xfId="51793" xr:uid="{00000000-0005-0000-0000-00004ACA0000}"/>
    <cellStyle name="NoBmal_DECLARATION" xfId="51794" xr:uid="{00000000-0005-0000-0000-00004BCA0000}"/>
    <cellStyle name="Norm" xfId="51795" xr:uid="{00000000-0005-0000-0000-00004CCA0000}"/>
    <cellStyle name="Norm?l_1." xfId="51796" xr:uid="{00000000-0005-0000-0000-00004DCA0000}"/>
    <cellStyle name="norm?ln?_2.4.2.1" xfId="51797" xr:uid="{00000000-0005-0000-0000-00004ECA0000}"/>
    <cellStyle name="Normal" xfId="0" builtinId="0"/>
    <cellStyle name="Normal - Style1" xfId="51798" xr:uid="{00000000-0005-0000-0000-000050CA0000}"/>
    <cellStyle name="Normal - Style1 2" xfId="51799" xr:uid="{00000000-0005-0000-0000-000051CA0000}"/>
    <cellStyle name="Normal - Style1 2 2" xfId="51800" xr:uid="{00000000-0005-0000-0000-000052CA0000}"/>
    <cellStyle name="Normal - Style1 3" xfId="51801" xr:uid="{00000000-0005-0000-0000-000053CA0000}"/>
    <cellStyle name="Normal - Style1 3 2" xfId="51802" xr:uid="{00000000-0005-0000-0000-000054CA0000}"/>
    <cellStyle name="Normal - Style1 4" xfId="51803" xr:uid="{00000000-0005-0000-0000-000055CA0000}"/>
    <cellStyle name="Normal - Style1 5" xfId="51804" xr:uid="{00000000-0005-0000-0000-000056CA0000}"/>
    <cellStyle name="Normal - Style1 5 2" xfId="51805" xr:uid="{00000000-0005-0000-0000-000057CA0000}"/>
    <cellStyle name="Normal - Style1 6" xfId="51806" xr:uid="{00000000-0005-0000-0000-000058CA0000}"/>
    <cellStyle name="Normal - Style2" xfId="51807" xr:uid="{00000000-0005-0000-0000-000059CA0000}"/>
    <cellStyle name="Normal - Style2 2" xfId="51808" xr:uid="{00000000-0005-0000-0000-00005ACA0000}"/>
    <cellStyle name="Normal - Style2 2 2" xfId="51809" xr:uid="{00000000-0005-0000-0000-00005BCA0000}"/>
    <cellStyle name="Normal - Style2 2 2 2" xfId="51810" xr:uid="{00000000-0005-0000-0000-00005CCA0000}"/>
    <cellStyle name="Normal - Style2 2 3" xfId="51811" xr:uid="{00000000-0005-0000-0000-00005DCA0000}"/>
    <cellStyle name="Normal - Style2 3" xfId="51812" xr:uid="{00000000-0005-0000-0000-00005ECA0000}"/>
    <cellStyle name="Normal - Style2 4" xfId="51813" xr:uid="{00000000-0005-0000-0000-00005FCA0000}"/>
    <cellStyle name="Normal - Style2 4 2" xfId="51814" xr:uid="{00000000-0005-0000-0000-000060CA0000}"/>
    <cellStyle name="Normal - Style2 5" xfId="51815" xr:uid="{00000000-0005-0000-0000-000061CA0000}"/>
    <cellStyle name="Normal - Style3" xfId="51816" xr:uid="{00000000-0005-0000-0000-000062CA0000}"/>
    <cellStyle name="Normal - Style3 2" xfId="51817" xr:uid="{00000000-0005-0000-0000-000063CA0000}"/>
    <cellStyle name="Normal - Style3 2 2" xfId="51818" xr:uid="{00000000-0005-0000-0000-000064CA0000}"/>
    <cellStyle name="Normal - Style3 2 2 2" xfId="51819" xr:uid="{00000000-0005-0000-0000-000065CA0000}"/>
    <cellStyle name="Normal - Style3 2 3" xfId="51820" xr:uid="{00000000-0005-0000-0000-000066CA0000}"/>
    <cellStyle name="Normal - Style3 3" xfId="51821" xr:uid="{00000000-0005-0000-0000-000067CA0000}"/>
    <cellStyle name="Normal - Style3 4" xfId="51822" xr:uid="{00000000-0005-0000-0000-000068CA0000}"/>
    <cellStyle name="Normal - Style3 4 2" xfId="51823" xr:uid="{00000000-0005-0000-0000-000069CA0000}"/>
    <cellStyle name="Normal - Style3 5" xfId="51824" xr:uid="{00000000-0005-0000-0000-00006ACA0000}"/>
    <cellStyle name="Normal - Style4" xfId="51825" xr:uid="{00000000-0005-0000-0000-00006BCA0000}"/>
    <cellStyle name="Normal - Style4 2" xfId="51826" xr:uid="{00000000-0005-0000-0000-00006CCA0000}"/>
    <cellStyle name="Normal - Style4 2 2" xfId="51827" xr:uid="{00000000-0005-0000-0000-00006DCA0000}"/>
    <cellStyle name="Normal - Style4 2 2 2" xfId="51828" xr:uid="{00000000-0005-0000-0000-00006ECA0000}"/>
    <cellStyle name="Normal - Style4 2 3" xfId="51829" xr:uid="{00000000-0005-0000-0000-00006FCA0000}"/>
    <cellStyle name="Normal - Style4 3" xfId="51830" xr:uid="{00000000-0005-0000-0000-000070CA0000}"/>
    <cellStyle name="Normal - Style4 4" xfId="51831" xr:uid="{00000000-0005-0000-0000-000071CA0000}"/>
    <cellStyle name="Normal - Style4 4 2" xfId="51832" xr:uid="{00000000-0005-0000-0000-000072CA0000}"/>
    <cellStyle name="Normal - Style4 5" xfId="51833" xr:uid="{00000000-0005-0000-0000-000073CA0000}"/>
    <cellStyle name="Normal - Style5" xfId="51834" xr:uid="{00000000-0005-0000-0000-000074CA0000}"/>
    <cellStyle name="Normal - Style5 2" xfId="51835" xr:uid="{00000000-0005-0000-0000-000075CA0000}"/>
    <cellStyle name="Normal - Style5 2 2" xfId="51836" xr:uid="{00000000-0005-0000-0000-000076CA0000}"/>
    <cellStyle name="Normal - Style5 2 2 2" xfId="51837" xr:uid="{00000000-0005-0000-0000-000077CA0000}"/>
    <cellStyle name="Normal - Style5 2 3" xfId="51838" xr:uid="{00000000-0005-0000-0000-000078CA0000}"/>
    <cellStyle name="Normal - Style5 3" xfId="51839" xr:uid="{00000000-0005-0000-0000-000079CA0000}"/>
    <cellStyle name="Normal - Style5 4" xfId="51840" xr:uid="{00000000-0005-0000-0000-00007ACA0000}"/>
    <cellStyle name="Normal - Style5 4 2" xfId="51841" xr:uid="{00000000-0005-0000-0000-00007BCA0000}"/>
    <cellStyle name="Normal - Style5 5" xfId="51842" xr:uid="{00000000-0005-0000-0000-00007CCA0000}"/>
    <cellStyle name="Normal - Style6" xfId="51843" xr:uid="{00000000-0005-0000-0000-00007DCA0000}"/>
    <cellStyle name="Normal - Style7" xfId="51844" xr:uid="{00000000-0005-0000-0000-00007ECA0000}"/>
    <cellStyle name="Normal - Style8" xfId="51845" xr:uid="{00000000-0005-0000-0000-00007FCA0000}"/>
    <cellStyle name="Normal (%)" xfId="51846" xr:uid="{00000000-0005-0000-0000-000080CA0000}"/>
    <cellStyle name="Normal (£m)" xfId="51847" xr:uid="{00000000-0005-0000-0000-000081CA0000}"/>
    <cellStyle name="Normal (B)" xfId="51848" xr:uid="{00000000-0005-0000-0000-000082CA0000}"/>
    <cellStyle name="Normal (G)" xfId="51849" xr:uid="{00000000-0005-0000-0000-000083CA0000}"/>
    <cellStyle name="Normal (No)" xfId="51850" xr:uid="{00000000-0005-0000-0000-000084CA0000}"/>
    <cellStyle name="Normal (number)" xfId="51851" xr:uid="{00000000-0005-0000-0000-000085CA0000}"/>
    <cellStyle name="Normal 10" xfId="51852" xr:uid="{00000000-0005-0000-0000-000086CA0000}"/>
    <cellStyle name="Normal 10 2" xfId="51853" xr:uid="{00000000-0005-0000-0000-000087CA0000}"/>
    <cellStyle name="Normal 10 2 2" xfId="51854" xr:uid="{00000000-0005-0000-0000-000088CA0000}"/>
    <cellStyle name="Normal 10 3" xfId="51855" xr:uid="{00000000-0005-0000-0000-000089CA0000}"/>
    <cellStyle name="Normal 10 3 2" xfId="51856" xr:uid="{00000000-0005-0000-0000-00008ACA0000}"/>
    <cellStyle name="Normal 10 4" xfId="51857" xr:uid="{00000000-0005-0000-0000-00008BCA0000}"/>
    <cellStyle name="Normal 10 4 2" xfId="51858" xr:uid="{00000000-0005-0000-0000-00008CCA0000}"/>
    <cellStyle name="Normal 10 5" xfId="51859" xr:uid="{00000000-0005-0000-0000-00008DCA0000}"/>
    <cellStyle name="Normal 100" xfId="51860" xr:uid="{00000000-0005-0000-0000-00008ECA0000}"/>
    <cellStyle name="Normal 101" xfId="51861" xr:uid="{00000000-0005-0000-0000-00008FCA0000}"/>
    <cellStyle name="Normal 102" xfId="51862" xr:uid="{00000000-0005-0000-0000-000090CA0000}"/>
    <cellStyle name="Normal 103" xfId="51863" xr:uid="{00000000-0005-0000-0000-000091CA0000}"/>
    <cellStyle name="Normal 104" xfId="51864" xr:uid="{00000000-0005-0000-0000-000092CA0000}"/>
    <cellStyle name="Normal 105" xfId="51865" xr:uid="{00000000-0005-0000-0000-000093CA0000}"/>
    <cellStyle name="Normal 106" xfId="51866" xr:uid="{00000000-0005-0000-0000-000094CA0000}"/>
    <cellStyle name="Normal 107" xfId="51867" xr:uid="{00000000-0005-0000-0000-000095CA0000}"/>
    <cellStyle name="Normal 108" xfId="51868" xr:uid="{00000000-0005-0000-0000-000096CA0000}"/>
    <cellStyle name="Normal 109" xfId="51869" xr:uid="{00000000-0005-0000-0000-000097CA0000}"/>
    <cellStyle name="Normal 11" xfId="51870" xr:uid="{00000000-0005-0000-0000-000098CA0000}"/>
    <cellStyle name="Normal 11 2" xfId="51871" xr:uid="{00000000-0005-0000-0000-000099CA0000}"/>
    <cellStyle name="Normal 11 2 2" xfId="51872" xr:uid="{00000000-0005-0000-0000-00009ACA0000}"/>
    <cellStyle name="Normal 11 3" xfId="51873" xr:uid="{00000000-0005-0000-0000-00009BCA0000}"/>
    <cellStyle name="Normal 11 3 2" xfId="51874" xr:uid="{00000000-0005-0000-0000-00009CCA0000}"/>
    <cellStyle name="Normal 11 4" xfId="51875" xr:uid="{00000000-0005-0000-0000-00009DCA0000}"/>
    <cellStyle name="Normal 11 4 2" xfId="51876" xr:uid="{00000000-0005-0000-0000-00009ECA0000}"/>
    <cellStyle name="Normal 11 5" xfId="51877" xr:uid="{00000000-0005-0000-0000-00009FCA0000}"/>
    <cellStyle name="Normal 11 5 2" xfId="51878" xr:uid="{00000000-0005-0000-0000-0000A0CA0000}"/>
    <cellStyle name="Normal 11 6" xfId="51879" xr:uid="{00000000-0005-0000-0000-0000A1CA0000}"/>
    <cellStyle name="Normal 110" xfId="51880" xr:uid="{00000000-0005-0000-0000-0000A2CA0000}"/>
    <cellStyle name="Normal 111" xfId="51881" xr:uid="{00000000-0005-0000-0000-0000A3CA0000}"/>
    <cellStyle name="Normal 112" xfId="51882" xr:uid="{00000000-0005-0000-0000-0000A4CA0000}"/>
    <cellStyle name="Normal 113" xfId="51883" xr:uid="{00000000-0005-0000-0000-0000A5CA0000}"/>
    <cellStyle name="Normal 114" xfId="51884" xr:uid="{00000000-0005-0000-0000-0000A6CA0000}"/>
    <cellStyle name="Normal 115" xfId="51885" xr:uid="{00000000-0005-0000-0000-0000A7CA0000}"/>
    <cellStyle name="Normal 12" xfId="51886" xr:uid="{00000000-0005-0000-0000-0000A8CA0000}"/>
    <cellStyle name="Normal 12 2" xfId="51887" xr:uid="{00000000-0005-0000-0000-0000A9CA0000}"/>
    <cellStyle name="Normal 12 2 2" xfId="51888" xr:uid="{00000000-0005-0000-0000-0000AACA0000}"/>
    <cellStyle name="Normal 12 3" xfId="51889" xr:uid="{00000000-0005-0000-0000-0000ABCA0000}"/>
    <cellStyle name="Normal 13" xfId="51890" xr:uid="{00000000-0005-0000-0000-0000ACCA0000}"/>
    <cellStyle name="Normal 13 2" xfId="51891" xr:uid="{00000000-0005-0000-0000-0000ADCA0000}"/>
    <cellStyle name="Normal 13 2 2" xfId="51892" xr:uid="{00000000-0005-0000-0000-0000AECA0000}"/>
    <cellStyle name="Normal 13 3" xfId="51893" xr:uid="{00000000-0005-0000-0000-0000AFCA0000}"/>
    <cellStyle name="Normal 14" xfId="51894" xr:uid="{00000000-0005-0000-0000-0000B0CA0000}"/>
    <cellStyle name="Normal 14 2" xfId="51895" xr:uid="{00000000-0005-0000-0000-0000B1CA0000}"/>
    <cellStyle name="Normal 14 2 2" xfId="51896" xr:uid="{00000000-0005-0000-0000-0000B2CA0000}"/>
    <cellStyle name="Normal 14 3" xfId="51897" xr:uid="{00000000-0005-0000-0000-0000B3CA0000}"/>
    <cellStyle name="Normal 15" xfId="51898" xr:uid="{00000000-0005-0000-0000-0000B4CA0000}"/>
    <cellStyle name="Normal 15 2" xfId="51899" xr:uid="{00000000-0005-0000-0000-0000B5CA0000}"/>
    <cellStyle name="Normal 15 2 2" xfId="51900" xr:uid="{00000000-0005-0000-0000-0000B6CA0000}"/>
    <cellStyle name="Normal 15 3" xfId="51901" xr:uid="{00000000-0005-0000-0000-0000B7CA0000}"/>
    <cellStyle name="Normal 16" xfId="51902" xr:uid="{00000000-0005-0000-0000-0000B8CA0000}"/>
    <cellStyle name="Normal 16 2" xfId="51903" xr:uid="{00000000-0005-0000-0000-0000B9CA0000}"/>
    <cellStyle name="Normal 16 2 2" xfId="51904" xr:uid="{00000000-0005-0000-0000-0000BACA0000}"/>
    <cellStyle name="Normal 16 3" xfId="51905" xr:uid="{00000000-0005-0000-0000-0000BBCA0000}"/>
    <cellStyle name="Normal 17" xfId="51906" xr:uid="{00000000-0005-0000-0000-0000BCCA0000}"/>
    <cellStyle name="Normal 17 2" xfId="51907" xr:uid="{00000000-0005-0000-0000-0000BDCA0000}"/>
    <cellStyle name="Normal 17 2 2" xfId="51908" xr:uid="{00000000-0005-0000-0000-0000BECA0000}"/>
    <cellStyle name="Normal 17 3" xfId="51909" xr:uid="{00000000-0005-0000-0000-0000BFCA0000}"/>
    <cellStyle name="Normal 18" xfId="51910" xr:uid="{00000000-0005-0000-0000-0000C0CA0000}"/>
    <cellStyle name="Normal 18 2" xfId="51911" xr:uid="{00000000-0005-0000-0000-0000C1CA0000}"/>
    <cellStyle name="Normal 18 2 2" xfId="51912" xr:uid="{00000000-0005-0000-0000-0000C2CA0000}"/>
    <cellStyle name="Normal 18 3" xfId="51913" xr:uid="{00000000-0005-0000-0000-0000C3CA0000}"/>
    <cellStyle name="Normal 19" xfId="51914" xr:uid="{00000000-0005-0000-0000-0000C4CA0000}"/>
    <cellStyle name="Normal 19 2" xfId="51915" xr:uid="{00000000-0005-0000-0000-0000C5CA0000}"/>
    <cellStyle name="Normal 19 2 2" xfId="51916" xr:uid="{00000000-0005-0000-0000-0000C6CA0000}"/>
    <cellStyle name="Normal 19 3" xfId="51917" xr:uid="{00000000-0005-0000-0000-0000C7CA0000}"/>
    <cellStyle name="Normal 2" xfId="3" xr:uid="{00000000-0005-0000-0000-0000C8CA0000}"/>
    <cellStyle name="Normal 2 10" xfId="51918" xr:uid="{00000000-0005-0000-0000-0000C9CA0000}"/>
    <cellStyle name="Normal 2 10 2" xfId="51919" xr:uid="{00000000-0005-0000-0000-0000CACA0000}"/>
    <cellStyle name="Normal 2 11" xfId="51920" xr:uid="{00000000-0005-0000-0000-0000CBCA0000}"/>
    <cellStyle name="Normal 2 11 2" xfId="51921" xr:uid="{00000000-0005-0000-0000-0000CCCA0000}"/>
    <cellStyle name="Normal 2 12" xfId="51922" xr:uid="{00000000-0005-0000-0000-0000CDCA0000}"/>
    <cellStyle name="Normal 2 12 2" xfId="51923" xr:uid="{00000000-0005-0000-0000-0000CECA0000}"/>
    <cellStyle name="Normal 2 13" xfId="51924" xr:uid="{00000000-0005-0000-0000-0000CFCA0000}"/>
    <cellStyle name="Normal 2 14" xfId="51925" xr:uid="{00000000-0005-0000-0000-0000D0CA0000}"/>
    <cellStyle name="Normal 2 2" xfId="51926" xr:uid="{00000000-0005-0000-0000-0000D1CA0000}"/>
    <cellStyle name="Normal 2 2 10" xfId="6" xr:uid="{00000000-0005-0000-0000-0000D2CA0000}"/>
    <cellStyle name="Normal 2 2 11" xfId="51927" xr:uid="{00000000-0005-0000-0000-0000D3CA0000}"/>
    <cellStyle name="Normal 2 2 2" xfId="51928" xr:uid="{00000000-0005-0000-0000-0000D4CA0000}"/>
    <cellStyle name="Normal 2 2 2 10" xfId="51929" xr:uid="{00000000-0005-0000-0000-0000D5CA0000}"/>
    <cellStyle name="Normal 2 2 2 11" xfId="51930" xr:uid="{00000000-0005-0000-0000-0000D6CA0000}"/>
    <cellStyle name="Normal 2 2 2 2" xfId="51931" xr:uid="{00000000-0005-0000-0000-0000D7CA0000}"/>
    <cellStyle name="Normal 2 2 2 2 2" xfId="51932" xr:uid="{00000000-0005-0000-0000-0000D8CA0000}"/>
    <cellStyle name="Normal 2 2 2 2 2 2" xfId="51933" xr:uid="{00000000-0005-0000-0000-0000D9CA0000}"/>
    <cellStyle name="Normal 2 2 2 2 2 2 2" xfId="51934" xr:uid="{00000000-0005-0000-0000-0000DACA0000}"/>
    <cellStyle name="Normal 2 2 2 2 2 2 3" xfId="51935" xr:uid="{00000000-0005-0000-0000-0000DBCA0000}"/>
    <cellStyle name="Normal 2 2 2 2 2 3" xfId="51936" xr:uid="{00000000-0005-0000-0000-0000DCCA0000}"/>
    <cellStyle name="Normal 2 2 2 2 2 4" xfId="51937" xr:uid="{00000000-0005-0000-0000-0000DDCA0000}"/>
    <cellStyle name="Normal 2 2 2 2 2 5" xfId="51938" xr:uid="{00000000-0005-0000-0000-0000DECA0000}"/>
    <cellStyle name="Normal 2 2 2 2 3" xfId="51939" xr:uid="{00000000-0005-0000-0000-0000DFCA0000}"/>
    <cellStyle name="Normal 2 2 2 2 4" xfId="51940" xr:uid="{00000000-0005-0000-0000-0000E0CA0000}"/>
    <cellStyle name="Normal 2 2 2 2 5" xfId="51941" xr:uid="{00000000-0005-0000-0000-0000E1CA0000}"/>
    <cellStyle name="Normal 2 2 2 3" xfId="51942" xr:uid="{00000000-0005-0000-0000-0000E2CA0000}"/>
    <cellStyle name="Normal 2 2 2 4" xfId="51943" xr:uid="{00000000-0005-0000-0000-0000E3CA0000}"/>
    <cellStyle name="Normal 2 2 2 5" xfId="51944" xr:uid="{00000000-0005-0000-0000-0000E4CA0000}"/>
    <cellStyle name="Normal 2 2 2 6" xfId="51945" xr:uid="{00000000-0005-0000-0000-0000E5CA0000}"/>
    <cellStyle name="Normal 2 2 2 7" xfId="51946" xr:uid="{00000000-0005-0000-0000-0000E6CA0000}"/>
    <cellStyle name="Normal 2 2 2 8" xfId="51947" xr:uid="{00000000-0005-0000-0000-0000E7CA0000}"/>
    <cellStyle name="Normal 2 2 2 9" xfId="51948" xr:uid="{00000000-0005-0000-0000-0000E8CA0000}"/>
    <cellStyle name="Normal 2 2 3" xfId="51949" xr:uid="{00000000-0005-0000-0000-0000E9CA0000}"/>
    <cellStyle name="Normal 2 2 3 2" xfId="51950" xr:uid="{00000000-0005-0000-0000-0000EACA0000}"/>
    <cellStyle name="Normal 2 2 3 2 2" xfId="51951" xr:uid="{00000000-0005-0000-0000-0000EBCA0000}"/>
    <cellStyle name="Normal 2 2 3 2 3" xfId="51952" xr:uid="{00000000-0005-0000-0000-0000ECCA0000}"/>
    <cellStyle name="Normal 2 2 3 2 4" xfId="51953" xr:uid="{00000000-0005-0000-0000-0000EDCA0000}"/>
    <cellStyle name="Normal 2 2 3 3" xfId="51954" xr:uid="{00000000-0005-0000-0000-0000EECA0000}"/>
    <cellStyle name="Normal 2 2 3 4" xfId="51955" xr:uid="{00000000-0005-0000-0000-0000EFCA0000}"/>
    <cellStyle name="Normal 2 2 4" xfId="51956" xr:uid="{00000000-0005-0000-0000-0000F0CA0000}"/>
    <cellStyle name="Normal 2 2 4 2" xfId="51957" xr:uid="{00000000-0005-0000-0000-0000F1CA0000}"/>
    <cellStyle name="Normal 2 2 5" xfId="51958" xr:uid="{00000000-0005-0000-0000-0000F2CA0000}"/>
    <cellStyle name="Normal 2 2 5 2" xfId="51959" xr:uid="{00000000-0005-0000-0000-0000F3CA0000}"/>
    <cellStyle name="Normal 2 2 6" xfId="51960" xr:uid="{00000000-0005-0000-0000-0000F4CA0000}"/>
    <cellStyle name="Normal 2 2 6 2" xfId="51961" xr:uid="{00000000-0005-0000-0000-0000F5CA0000}"/>
    <cellStyle name="Normal 2 2 7" xfId="51962" xr:uid="{00000000-0005-0000-0000-0000F6CA0000}"/>
    <cellStyle name="Normal 2 2 7 2" xfId="51963" xr:uid="{00000000-0005-0000-0000-0000F7CA0000}"/>
    <cellStyle name="Normal 2 2 8" xfId="51964" xr:uid="{00000000-0005-0000-0000-0000F8CA0000}"/>
    <cellStyle name="Normal 2 2 9" xfId="51965" xr:uid="{00000000-0005-0000-0000-0000F9CA0000}"/>
    <cellStyle name="Normal 2 3" xfId="51966" xr:uid="{00000000-0005-0000-0000-0000FACA0000}"/>
    <cellStyle name="Normal 2 3 2" xfId="51967" xr:uid="{00000000-0005-0000-0000-0000FBCA0000}"/>
    <cellStyle name="Normal 2 3 2 2" xfId="51968" xr:uid="{00000000-0005-0000-0000-0000FCCA0000}"/>
    <cellStyle name="Normal 2 3 2 2 2" xfId="51969" xr:uid="{00000000-0005-0000-0000-0000FDCA0000}"/>
    <cellStyle name="Normal 2 3 2 3" xfId="51970" xr:uid="{00000000-0005-0000-0000-0000FECA0000}"/>
    <cellStyle name="Normal 2 3 3" xfId="51971" xr:uid="{00000000-0005-0000-0000-0000FFCA0000}"/>
    <cellStyle name="Normal 2 3 3 2" xfId="51972" xr:uid="{00000000-0005-0000-0000-000000CB0000}"/>
    <cellStyle name="Normal 2 3 4" xfId="51973" xr:uid="{00000000-0005-0000-0000-000001CB0000}"/>
    <cellStyle name="Normal 2 3 4 2" xfId="51974" xr:uid="{00000000-0005-0000-0000-000002CB0000}"/>
    <cellStyle name="Normal 2 3 5" xfId="51975" xr:uid="{00000000-0005-0000-0000-000003CB0000}"/>
    <cellStyle name="Normal 2 4" xfId="51976" xr:uid="{00000000-0005-0000-0000-000004CB0000}"/>
    <cellStyle name="Normal 2 4 2" xfId="51977" xr:uid="{00000000-0005-0000-0000-000005CB0000}"/>
    <cellStyle name="Normal 2 4 2 2" xfId="51978" xr:uid="{00000000-0005-0000-0000-000006CB0000}"/>
    <cellStyle name="Normal 2 5" xfId="51979" xr:uid="{00000000-0005-0000-0000-000007CB0000}"/>
    <cellStyle name="Normal 2 5 2" xfId="51980" xr:uid="{00000000-0005-0000-0000-000008CB0000}"/>
    <cellStyle name="Normal 2 6" xfId="51981" xr:uid="{00000000-0005-0000-0000-000009CB0000}"/>
    <cellStyle name="Normal 2 6 2" xfId="51982" xr:uid="{00000000-0005-0000-0000-00000ACB0000}"/>
    <cellStyle name="Normal 2 7" xfId="51983" xr:uid="{00000000-0005-0000-0000-00000BCB0000}"/>
    <cellStyle name="Normal 2 7 2" xfId="51984" xr:uid="{00000000-0005-0000-0000-00000CCB0000}"/>
    <cellStyle name="Normal 2 8" xfId="51985" xr:uid="{00000000-0005-0000-0000-00000DCB0000}"/>
    <cellStyle name="Normal 2 8 2" xfId="51986" xr:uid="{00000000-0005-0000-0000-00000ECB0000}"/>
    <cellStyle name="Normal 2 9" xfId="51987" xr:uid="{00000000-0005-0000-0000-00000FCB0000}"/>
    <cellStyle name="Normal 2 9 2" xfId="51988" xr:uid="{00000000-0005-0000-0000-000010CB0000}"/>
    <cellStyle name="Normal 2_Spreadheet Presentación OB 2009 Sin 2007" xfId="51989" xr:uid="{00000000-0005-0000-0000-000011CB0000}"/>
    <cellStyle name="Normal 20" xfId="51990" xr:uid="{00000000-0005-0000-0000-000012CB0000}"/>
    <cellStyle name="Normal 20 2" xfId="51991" xr:uid="{00000000-0005-0000-0000-000013CB0000}"/>
    <cellStyle name="Normal 20 2 2" xfId="51992" xr:uid="{00000000-0005-0000-0000-000014CB0000}"/>
    <cellStyle name="Normal 20 3" xfId="51993" xr:uid="{00000000-0005-0000-0000-000015CB0000}"/>
    <cellStyle name="Normal 21" xfId="51994" xr:uid="{00000000-0005-0000-0000-000016CB0000}"/>
    <cellStyle name="Normal 21 2" xfId="51995" xr:uid="{00000000-0005-0000-0000-000017CB0000}"/>
    <cellStyle name="Normal 21 2 2" xfId="51996" xr:uid="{00000000-0005-0000-0000-000018CB0000}"/>
    <cellStyle name="Normal 21 3" xfId="51997" xr:uid="{00000000-0005-0000-0000-000019CB0000}"/>
    <cellStyle name="Normal 22" xfId="51998" xr:uid="{00000000-0005-0000-0000-00001ACB0000}"/>
    <cellStyle name="Normal 22 2" xfId="51999" xr:uid="{00000000-0005-0000-0000-00001BCB0000}"/>
    <cellStyle name="Normal 22 2 2" xfId="52000" xr:uid="{00000000-0005-0000-0000-00001CCB0000}"/>
    <cellStyle name="Normal 22 3" xfId="52001" xr:uid="{00000000-0005-0000-0000-00001DCB0000}"/>
    <cellStyle name="Normal 23" xfId="52002" xr:uid="{00000000-0005-0000-0000-00001ECB0000}"/>
    <cellStyle name="Normal 23 2" xfId="52003" xr:uid="{00000000-0005-0000-0000-00001FCB0000}"/>
    <cellStyle name="Normal 23 2 2" xfId="52004" xr:uid="{00000000-0005-0000-0000-000020CB0000}"/>
    <cellStyle name="Normal 23 3" xfId="52005" xr:uid="{00000000-0005-0000-0000-000021CB0000}"/>
    <cellStyle name="Normal 24" xfId="52006" xr:uid="{00000000-0005-0000-0000-000022CB0000}"/>
    <cellStyle name="Normal 24 2" xfId="52007" xr:uid="{00000000-0005-0000-0000-000023CB0000}"/>
    <cellStyle name="Normal 24 2 2" xfId="52008" xr:uid="{00000000-0005-0000-0000-000024CB0000}"/>
    <cellStyle name="Normal 24 3" xfId="52009" xr:uid="{00000000-0005-0000-0000-000025CB0000}"/>
    <cellStyle name="Normal 25" xfId="52010" xr:uid="{00000000-0005-0000-0000-000026CB0000}"/>
    <cellStyle name="Normal 25 2" xfId="52011" xr:uid="{00000000-0005-0000-0000-000027CB0000}"/>
    <cellStyle name="Normal 25 2 2" xfId="52012" xr:uid="{00000000-0005-0000-0000-000028CB0000}"/>
    <cellStyle name="Normal 25 3" xfId="52013" xr:uid="{00000000-0005-0000-0000-000029CB0000}"/>
    <cellStyle name="Normal 26" xfId="52014" xr:uid="{00000000-0005-0000-0000-00002ACB0000}"/>
    <cellStyle name="Normal 26 2" xfId="52015" xr:uid="{00000000-0005-0000-0000-00002BCB0000}"/>
    <cellStyle name="Normal 26 2 2" xfId="52016" xr:uid="{00000000-0005-0000-0000-00002CCB0000}"/>
    <cellStyle name="Normal 26 3" xfId="52017" xr:uid="{00000000-0005-0000-0000-00002DCB0000}"/>
    <cellStyle name="Normal 27" xfId="52018" xr:uid="{00000000-0005-0000-0000-00002ECB0000}"/>
    <cellStyle name="Normal 27 2" xfId="52019" xr:uid="{00000000-0005-0000-0000-00002FCB0000}"/>
    <cellStyle name="Normal 27 2 2" xfId="52020" xr:uid="{00000000-0005-0000-0000-000030CB0000}"/>
    <cellStyle name="Normal 27 3" xfId="52021" xr:uid="{00000000-0005-0000-0000-000031CB0000}"/>
    <cellStyle name="Normal 27 3 2" xfId="52022" xr:uid="{00000000-0005-0000-0000-000032CB0000}"/>
    <cellStyle name="Normal 27 4" xfId="52023" xr:uid="{00000000-0005-0000-0000-000033CB0000}"/>
    <cellStyle name="Normal 28" xfId="52024" xr:uid="{00000000-0005-0000-0000-000034CB0000}"/>
    <cellStyle name="Normal 28 2" xfId="52025" xr:uid="{00000000-0005-0000-0000-000035CB0000}"/>
    <cellStyle name="Normal 28 2 2" xfId="52026" xr:uid="{00000000-0005-0000-0000-000036CB0000}"/>
    <cellStyle name="Normal 28 3" xfId="52027" xr:uid="{00000000-0005-0000-0000-000037CB0000}"/>
    <cellStyle name="Normal 29" xfId="52028" xr:uid="{00000000-0005-0000-0000-000038CB0000}"/>
    <cellStyle name="Normal 29 2" xfId="52029" xr:uid="{00000000-0005-0000-0000-000039CB0000}"/>
    <cellStyle name="Normal 29 2 2" xfId="52030" xr:uid="{00000000-0005-0000-0000-00003ACB0000}"/>
    <cellStyle name="Normal 29 3" xfId="52031" xr:uid="{00000000-0005-0000-0000-00003BCB0000}"/>
    <cellStyle name="Normal 29 3 2" xfId="52032" xr:uid="{00000000-0005-0000-0000-00003CCB0000}"/>
    <cellStyle name="Normal 29 4" xfId="52033" xr:uid="{00000000-0005-0000-0000-00003DCB0000}"/>
    <cellStyle name="Normal 3" xfId="52034" xr:uid="{00000000-0005-0000-0000-00003ECB0000}"/>
    <cellStyle name="Normal 3 10" xfId="52035" xr:uid="{00000000-0005-0000-0000-00003FCB0000}"/>
    <cellStyle name="Normal 3 11" xfId="52036" xr:uid="{00000000-0005-0000-0000-000040CB0000}"/>
    <cellStyle name="Normal 3 12" xfId="52037" xr:uid="{00000000-0005-0000-0000-000041CB0000}"/>
    <cellStyle name="Normal 3 13" xfId="52038" xr:uid="{00000000-0005-0000-0000-000042CB0000}"/>
    <cellStyle name="Normal 3 2" xfId="52039" xr:uid="{00000000-0005-0000-0000-000043CB0000}"/>
    <cellStyle name="Normal 3 2 2" xfId="52040" xr:uid="{00000000-0005-0000-0000-000044CB0000}"/>
    <cellStyle name="Normal 3 2 2 2" xfId="52041" xr:uid="{00000000-0005-0000-0000-000045CB0000}"/>
    <cellStyle name="Normal 3 2 3" xfId="52042" xr:uid="{00000000-0005-0000-0000-000046CB0000}"/>
    <cellStyle name="Normal 3 2 4" xfId="52043" xr:uid="{00000000-0005-0000-0000-000047CB0000}"/>
    <cellStyle name="Normal 3 2 5" xfId="52044" xr:uid="{00000000-0005-0000-0000-000048CB0000}"/>
    <cellStyle name="Normal 3 2 6" xfId="52045" xr:uid="{00000000-0005-0000-0000-000049CB0000}"/>
    <cellStyle name="Normal 3 2 7" xfId="52046" xr:uid="{00000000-0005-0000-0000-00004ACB0000}"/>
    <cellStyle name="Normal 3 2 8" xfId="52047" xr:uid="{00000000-0005-0000-0000-00004BCB0000}"/>
    <cellStyle name="Normal 3 2 9" xfId="52048" xr:uid="{00000000-0005-0000-0000-00004CCB0000}"/>
    <cellStyle name="Normal 3 3" xfId="52049" xr:uid="{00000000-0005-0000-0000-00004DCB0000}"/>
    <cellStyle name="Normal 3 3 2" xfId="52050" xr:uid="{00000000-0005-0000-0000-00004ECB0000}"/>
    <cellStyle name="Normal 3 3 2 2" xfId="52051" xr:uid="{00000000-0005-0000-0000-00004FCB0000}"/>
    <cellStyle name="Normal 3 3 3" xfId="52052" xr:uid="{00000000-0005-0000-0000-000050CB0000}"/>
    <cellStyle name="Normal 3 4" xfId="52053" xr:uid="{00000000-0005-0000-0000-000051CB0000}"/>
    <cellStyle name="Normal 3 4 2" xfId="52054" xr:uid="{00000000-0005-0000-0000-000052CB0000}"/>
    <cellStyle name="Normal 3 5" xfId="52055" xr:uid="{00000000-0005-0000-0000-000053CB0000}"/>
    <cellStyle name="Normal 3 5 2" xfId="52056" xr:uid="{00000000-0005-0000-0000-000054CB0000}"/>
    <cellStyle name="Normal 3 6" xfId="52057" xr:uid="{00000000-0005-0000-0000-000055CB0000}"/>
    <cellStyle name="Normal 3 6 2" xfId="52058" xr:uid="{00000000-0005-0000-0000-000056CB0000}"/>
    <cellStyle name="Normal 3 7" xfId="52059" xr:uid="{00000000-0005-0000-0000-000057CB0000}"/>
    <cellStyle name="Normal 3 7 2" xfId="52060" xr:uid="{00000000-0005-0000-0000-000058CB0000}"/>
    <cellStyle name="Normal 3 8" xfId="52061" xr:uid="{00000000-0005-0000-0000-000059CB0000}"/>
    <cellStyle name="Normal 3 8 2" xfId="52062" xr:uid="{00000000-0005-0000-0000-00005ACB0000}"/>
    <cellStyle name="Normal 3 9" xfId="52063" xr:uid="{00000000-0005-0000-0000-00005BCB0000}"/>
    <cellStyle name="Normal 30" xfId="52064" xr:uid="{00000000-0005-0000-0000-00005CCB0000}"/>
    <cellStyle name="Normal 30 2" xfId="52065" xr:uid="{00000000-0005-0000-0000-00005DCB0000}"/>
    <cellStyle name="Normal 30 2 2" xfId="52066" xr:uid="{00000000-0005-0000-0000-00005ECB0000}"/>
    <cellStyle name="Normal 30 3" xfId="52067" xr:uid="{00000000-0005-0000-0000-00005FCB0000}"/>
    <cellStyle name="Normal 31" xfId="52068" xr:uid="{00000000-0005-0000-0000-000060CB0000}"/>
    <cellStyle name="Normal 31 2" xfId="52069" xr:uid="{00000000-0005-0000-0000-000061CB0000}"/>
    <cellStyle name="Normal 31 2 2" xfId="52070" xr:uid="{00000000-0005-0000-0000-000062CB0000}"/>
    <cellStyle name="Normal 31 3" xfId="52071" xr:uid="{00000000-0005-0000-0000-000063CB0000}"/>
    <cellStyle name="Normal 32" xfId="52072" xr:uid="{00000000-0005-0000-0000-000064CB0000}"/>
    <cellStyle name="Normal 32 2" xfId="52073" xr:uid="{00000000-0005-0000-0000-000065CB0000}"/>
    <cellStyle name="Normal 32 2 2" xfId="52074" xr:uid="{00000000-0005-0000-0000-000066CB0000}"/>
    <cellStyle name="Normal 32 3" xfId="52075" xr:uid="{00000000-0005-0000-0000-000067CB0000}"/>
    <cellStyle name="Normal 33" xfId="52076" xr:uid="{00000000-0005-0000-0000-000068CB0000}"/>
    <cellStyle name="Normal 33 2" xfId="52077" xr:uid="{00000000-0005-0000-0000-000069CB0000}"/>
    <cellStyle name="Normal 33 2 2" xfId="52078" xr:uid="{00000000-0005-0000-0000-00006ACB0000}"/>
    <cellStyle name="Normal 33 3" xfId="52079" xr:uid="{00000000-0005-0000-0000-00006BCB0000}"/>
    <cellStyle name="Normal 34" xfId="52080" xr:uid="{00000000-0005-0000-0000-00006CCB0000}"/>
    <cellStyle name="Normal 34 2" xfId="52081" xr:uid="{00000000-0005-0000-0000-00006DCB0000}"/>
    <cellStyle name="Normal 34 2 2" xfId="52082" xr:uid="{00000000-0005-0000-0000-00006ECB0000}"/>
    <cellStyle name="Normal 34 3" xfId="52083" xr:uid="{00000000-0005-0000-0000-00006FCB0000}"/>
    <cellStyle name="Normal 35" xfId="52084" xr:uid="{00000000-0005-0000-0000-000070CB0000}"/>
    <cellStyle name="Normal 35 2" xfId="52085" xr:uid="{00000000-0005-0000-0000-000071CB0000}"/>
    <cellStyle name="Normal 35 2 2" xfId="52086" xr:uid="{00000000-0005-0000-0000-000072CB0000}"/>
    <cellStyle name="Normal 35 3" xfId="52087" xr:uid="{00000000-0005-0000-0000-000073CB0000}"/>
    <cellStyle name="Normal 36" xfId="52088" xr:uid="{00000000-0005-0000-0000-000074CB0000}"/>
    <cellStyle name="Normal 36 2" xfId="52089" xr:uid="{00000000-0005-0000-0000-000075CB0000}"/>
    <cellStyle name="Normal 37" xfId="52090" xr:uid="{00000000-0005-0000-0000-000076CB0000}"/>
    <cellStyle name="Normal 37 2" xfId="52091" xr:uid="{00000000-0005-0000-0000-000077CB0000}"/>
    <cellStyle name="Normal 38" xfId="52092" xr:uid="{00000000-0005-0000-0000-000078CB0000}"/>
    <cellStyle name="Normal 38 2" xfId="52093" xr:uid="{00000000-0005-0000-0000-000079CB0000}"/>
    <cellStyle name="Normal 39" xfId="52094" xr:uid="{00000000-0005-0000-0000-00007ACB0000}"/>
    <cellStyle name="Normal 39 2" xfId="52095" xr:uid="{00000000-0005-0000-0000-00007BCB0000}"/>
    <cellStyle name="Normal 4" xfId="52096" xr:uid="{00000000-0005-0000-0000-00007CCB0000}"/>
    <cellStyle name="Normal 4 10" xfId="52097" xr:uid="{00000000-0005-0000-0000-00007DCB0000}"/>
    <cellStyle name="Normal 4 2" xfId="52098" xr:uid="{00000000-0005-0000-0000-00007ECB0000}"/>
    <cellStyle name="Normal 4 2 2" xfId="52099" xr:uid="{00000000-0005-0000-0000-00007FCB0000}"/>
    <cellStyle name="Normal 4 2 2 2" xfId="52100" xr:uid="{00000000-0005-0000-0000-000080CB0000}"/>
    <cellStyle name="Normal 4 2 3" xfId="52101" xr:uid="{00000000-0005-0000-0000-000081CB0000}"/>
    <cellStyle name="Normal 4 3" xfId="52102" xr:uid="{00000000-0005-0000-0000-000082CB0000}"/>
    <cellStyle name="Normal 4 3 2" xfId="52103" xr:uid="{00000000-0005-0000-0000-000083CB0000}"/>
    <cellStyle name="Normal 4 3 2 2" xfId="52104" xr:uid="{00000000-0005-0000-0000-000084CB0000}"/>
    <cellStyle name="Normal 4 3 3" xfId="52105" xr:uid="{00000000-0005-0000-0000-000085CB0000}"/>
    <cellStyle name="Normal 4 4" xfId="52106" xr:uid="{00000000-0005-0000-0000-000086CB0000}"/>
    <cellStyle name="Normal 4 4 2" xfId="52107" xr:uid="{00000000-0005-0000-0000-000087CB0000}"/>
    <cellStyle name="Normal 4 5" xfId="52108" xr:uid="{00000000-0005-0000-0000-000088CB0000}"/>
    <cellStyle name="Normal 4 5 2" xfId="52109" xr:uid="{00000000-0005-0000-0000-000089CB0000}"/>
    <cellStyle name="Normal 4 6" xfId="52110" xr:uid="{00000000-0005-0000-0000-00008ACB0000}"/>
    <cellStyle name="Normal 4 6 2" xfId="52111" xr:uid="{00000000-0005-0000-0000-00008BCB0000}"/>
    <cellStyle name="Normal 4 7" xfId="52112" xr:uid="{00000000-0005-0000-0000-00008CCB0000}"/>
    <cellStyle name="Normal 4 7 2" xfId="52113" xr:uid="{00000000-0005-0000-0000-00008DCB0000}"/>
    <cellStyle name="Normal 4 8" xfId="52114" xr:uid="{00000000-0005-0000-0000-00008ECB0000}"/>
    <cellStyle name="Normal 4 9" xfId="52115" xr:uid="{00000000-0005-0000-0000-00008FCB0000}"/>
    <cellStyle name="Normal 40" xfId="52116" xr:uid="{00000000-0005-0000-0000-000090CB0000}"/>
    <cellStyle name="Normal 40 2" xfId="52117" xr:uid="{00000000-0005-0000-0000-000091CB0000}"/>
    <cellStyle name="Normal 41" xfId="52118" xr:uid="{00000000-0005-0000-0000-000092CB0000}"/>
    <cellStyle name="Normal 41 2" xfId="52119" xr:uid="{00000000-0005-0000-0000-000093CB0000}"/>
    <cellStyle name="Normal 42" xfId="52120" xr:uid="{00000000-0005-0000-0000-000094CB0000}"/>
    <cellStyle name="Normal 42 2" xfId="52121" xr:uid="{00000000-0005-0000-0000-000095CB0000}"/>
    <cellStyle name="Normal 43" xfId="52122" xr:uid="{00000000-0005-0000-0000-000096CB0000}"/>
    <cellStyle name="Normal 43 2" xfId="52123" xr:uid="{00000000-0005-0000-0000-000097CB0000}"/>
    <cellStyle name="Normal 44" xfId="52124" xr:uid="{00000000-0005-0000-0000-000098CB0000}"/>
    <cellStyle name="Normal 44 2" xfId="52125" xr:uid="{00000000-0005-0000-0000-000099CB0000}"/>
    <cellStyle name="Normal 45" xfId="52126" xr:uid="{00000000-0005-0000-0000-00009ACB0000}"/>
    <cellStyle name="Normal 45 2" xfId="52127" xr:uid="{00000000-0005-0000-0000-00009BCB0000}"/>
    <cellStyle name="Normal 46" xfId="52128" xr:uid="{00000000-0005-0000-0000-00009CCB0000}"/>
    <cellStyle name="Normal 46 2" xfId="52129" xr:uid="{00000000-0005-0000-0000-00009DCB0000}"/>
    <cellStyle name="Normal 47" xfId="52130" xr:uid="{00000000-0005-0000-0000-00009ECB0000}"/>
    <cellStyle name="Normal 47 2" xfId="52131" xr:uid="{00000000-0005-0000-0000-00009FCB0000}"/>
    <cellStyle name="Normal 48" xfId="52132" xr:uid="{00000000-0005-0000-0000-0000A0CB0000}"/>
    <cellStyle name="Normal 48 2" xfId="52133" xr:uid="{00000000-0005-0000-0000-0000A1CB0000}"/>
    <cellStyle name="Normal 49" xfId="52134" xr:uid="{00000000-0005-0000-0000-0000A2CB0000}"/>
    <cellStyle name="Normal 49 2" xfId="52135" xr:uid="{00000000-0005-0000-0000-0000A3CB0000}"/>
    <cellStyle name="Normal 5" xfId="52136" xr:uid="{00000000-0005-0000-0000-0000A4CB0000}"/>
    <cellStyle name="Normal 5 2" xfId="52137" xr:uid="{00000000-0005-0000-0000-0000A5CB0000}"/>
    <cellStyle name="Normal 5 2 2" xfId="52138" xr:uid="{00000000-0005-0000-0000-0000A6CB0000}"/>
    <cellStyle name="Normal 5 3" xfId="52139" xr:uid="{00000000-0005-0000-0000-0000A7CB0000}"/>
    <cellStyle name="Normal 5 3 2" xfId="52140" xr:uid="{00000000-0005-0000-0000-0000A8CB0000}"/>
    <cellStyle name="Normal 5 4" xfId="52141" xr:uid="{00000000-0005-0000-0000-0000A9CB0000}"/>
    <cellStyle name="Normal 5 4 2" xfId="52142" xr:uid="{00000000-0005-0000-0000-0000AACB0000}"/>
    <cellStyle name="Normal 5 5" xfId="52143" xr:uid="{00000000-0005-0000-0000-0000ABCB0000}"/>
    <cellStyle name="Normal 5 5 2" xfId="52144" xr:uid="{00000000-0005-0000-0000-0000ACCB0000}"/>
    <cellStyle name="Normal 5 6" xfId="52145" xr:uid="{00000000-0005-0000-0000-0000ADCB0000}"/>
    <cellStyle name="Normal 5 6 2" xfId="52146" xr:uid="{00000000-0005-0000-0000-0000AECB0000}"/>
    <cellStyle name="Normal 5 7" xfId="52147" xr:uid="{00000000-0005-0000-0000-0000AFCB0000}"/>
    <cellStyle name="Normal 5 7 2" xfId="52148" xr:uid="{00000000-0005-0000-0000-0000B0CB0000}"/>
    <cellStyle name="Normal 5 8" xfId="52149" xr:uid="{00000000-0005-0000-0000-0000B1CB0000}"/>
    <cellStyle name="Normal 5 9" xfId="52150" xr:uid="{00000000-0005-0000-0000-0000B2CB0000}"/>
    <cellStyle name="Normal 50" xfId="52151" xr:uid="{00000000-0005-0000-0000-0000B3CB0000}"/>
    <cellStyle name="Normal 50 2" xfId="52152" xr:uid="{00000000-0005-0000-0000-0000B4CB0000}"/>
    <cellStyle name="Normal 50 2 2" xfId="52153" xr:uid="{00000000-0005-0000-0000-0000B5CB0000}"/>
    <cellStyle name="Normal 50 3" xfId="52154" xr:uid="{00000000-0005-0000-0000-0000B6CB0000}"/>
    <cellStyle name="Normal 51" xfId="52155" xr:uid="{00000000-0005-0000-0000-0000B7CB0000}"/>
    <cellStyle name="Normal 51 2" xfId="52156" xr:uid="{00000000-0005-0000-0000-0000B8CB0000}"/>
    <cellStyle name="Normal 52" xfId="52157" xr:uid="{00000000-0005-0000-0000-0000B9CB0000}"/>
    <cellStyle name="Normal 52 2" xfId="52158" xr:uid="{00000000-0005-0000-0000-0000BACB0000}"/>
    <cellStyle name="Normal 53" xfId="52159" xr:uid="{00000000-0005-0000-0000-0000BBCB0000}"/>
    <cellStyle name="Normal 53 2" xfId="52160" xr:uid="{00000000-0005-0000-0000-0000BCCB0000}"/>
    <cellStyle name="Normal 54" xfId="52161" xr:uid="{00000000-0005-0000-0000-0000BDCB0000}"/>
    <cellStyle name="Normal 54 2" xfId="52162" xr:uid="{00000000-0005-0000-0000-0000BECB0000}"/>
    <cellStyle name="Normal 55" xfId="52163" xr:uid="{00000000-0005-0000-0000-0000BFCB0000}"/>
    <cellStyle name="Normal 55 2" xfId="52164" xr:uid="{00000000-0005-0000-0000-0000C0CB0000}"/>
    <cellStyle name="Normal 56" xfId="52165" xr:uid="{00000000-0005-0000-0000-0000C1CB0000}"/>
    <cellStyle name="Normal 56 2" xfId="52166" xr:uid="{00000000-0005-0000-0000-0000C2CB0000}"/>
    <cellStyle name="Normal 57" xfId="52167" xr:uid="{00000000-0005-0000-0000-0000C3CB0000}"/>
    <cellStyle name="Normal 57 2" xfId="52168" xr:uid="{00000000-0005-0000-0000-0000C4CB0000}"/>
    <cellStyle name="Normal 58" xfId="52169" xr:uid="{00000000-0005-0000-0000-0000C5CB0000}"/>
    <cellStyle name="Normal 58 2" xfId="52170" xr:uid="{00000000-0005-0000-0000-0000C6CB0000}"/>
    <cellStyle name="Normal 59" xfId="52171" xr:uid="{00000000-0005-0000-0000-0000C7CB0000}"/>
    <cellStyle name="Normal 59 2" xfId="52172" xr:uid="{00000000-0005-0000-0000-0000C8CB0000}"/>
    <cellStyle name="Normal 6" xfId="52173" xr:uid="{00000000-0005-0000-0000-0000C9CB0000}"/>
    <cellStyle name="Normal 6 2" xfId="52174" xr:uid="{00000000-0005-0000-0000-0000CACB0000}"/>
    <cellStyle name="Normal 6 2 2" xfId="52175" xr:uid="{00000000-0005-0000-0000-0000CBCB0000}"/>
    <cellStyle name="Normal 6 3" xfId="52176" xr:uid="{00000000-0005-0000-0000-0000CCCB0000}"/>
    <cellStyle name="Normal 6 3 2" xfId="52177" xr:uid="{00000000-0005-0000-0000-0000CDCB0000}"/>
    <cellStyle name="Normal 6 4" xfId="52178" xr:uid="{00000000-0005-0000-0000-0000CECB0000}"/>
    <cellStyle name="Normal 6 4 2" xfId="52179" xr:uid="{00000000-0005-0000-0000-0000CFCB0000}"/>
    <cellStyle name="Normal 6 5" xfId="52180" xr:uid="{00000000-0005-0000-0000-0000D0CB0000}"/>
    <cellStyle name="Normal 6 5 2" xfId="52181" xr:uid="{00000000-0005-0000-0000-0000D1CB0000}"/>
    <cellStyle name="Normal 6 6" xfId="52182" xr:uid="{00000000-0005-0000-0000-0000D2CB0000}"/>
    <cellStyle name="Normal 6 6 2" xfId="52183" xr:uid="{00000000-0005-0000-0000-0000D3CB0000}"/>
    <cellStyle name="Normal 6 7" xfId="52184" xr:uid="{00000000-0005-0000-0000-0000D4CB0000}"/>
    <cellStyle name="Normal 6 7 2" xfId="52185" xr:uid="{00000000-0005-0000-0000-0000D5CB0000}"/>
    <cellStyle name="Normal 6 8" xfId="52186" xr:uid="{00000000-0005-0000-0000-0000D6CB0000}"/>
    <cellStyle name="Normal 60" xfId="52187" xr:uid="{00000000-0005-0000-0000-0000D7CB0000}"/>
    <cellStyle name="Normal 60 2" xfId="52188" xr:uid="{00000000-0005-0000-0000-0000D8CB0000}"/>
    <cellStyle name="Normal 61" xfId="52189" xr:uid="{00000000-0005-0000-0000-0000D9CB0000}"/>
    <cellStyle name="Normal 61 2" xfId="52190" xr:uid="{00000000-0005-0000-0000-0000DACB0000}"/>
    <cellStyle name="Normal 62" xfId="52191" xr:uid="{00000000-0005-0000-0000-0000DBCB0000}"/>
    <cellStyle name="Normal 62 2" xfId="52192" xr:uid="{00000000-0005-0000-0000-0000DCCB0000}"/>
    <cellStyle name="Normal 63" xfId="52193" xr:uid="{00000000-0005-0000-0000-0000DDCB0000}"/>
    <cellStyle name="Normal 63 2" xfId="52194" xr:uid="{00000000-0005-0000-0000-0000DECB0000}"/>
    <cellStyle name="Normal 64" xfId="52195" xr:uid="{00000000-0005-0000-0000-0000DFCB0000}"/>
    <cellStyle name="Normal 64 2" xfId="52196" xr:uid="{00000000-0005-0000-0000-0000E0CB0000}"/>
    <cellStyle name="Normal 65" xfId="52197" xr:uid="{00000000-0005-0000-0000-0000E1CB0000}"/>
    <cellStyle name="Normal 65 2" xfId="52198" xr:uid="{00000000-0005-0000-0000-0000E2CB0000}"/>
    <cellStyle name="Normal 66" xfId="52199" xr:uid="{00000000-0005-0000-0000-0000E3CB0000}"/>
    <cellStyle name="Normal 66 2" xfId="52200" xr:uid="{00000000-0005-0000-0000-0000E4CB0000}"/>
    <cellStyle name="Normal 67" xfId="52201" xr:uid="{00000000-0005-0000-0000-0000E5CB0000}"/>
    <cellStyle name="Normal 67 2" xfId="52202" xr:uid="{00000000-0005-0000-0000-0000E6CB0000}"/>
    <cellStyle name="Normal 68" xfId="52203" xr:uid="{00000000-0005-0000-0000-0000E7CB0000}"/>
    <cellStyle name="Normal 68 2" xfId="52204" xr:uid="{00000000-0005-0000-0000-0000E8CB0000}"/>
    <cellStyle name="Normal 69" xfId="52205" xr:uid="{00000000-0005-0000-0000-0000E9CB0000}"/>
    <cellStyle name="Normal 69 2" xfId="52206" xr:uid="{00000000-0005-0000-0000-0000EACB0000}"/>
    <cellStyle name="Normal 7" xfId="52207" xr:uid="{00000000-0005-0000-0000-0000EBCB0000}"/>
    <cellStyle name="Normal 7 2" xfId="52208" xr:uid="{00000000-0005-0000-0000-0000ECCB0000}"/>
    <cellStyle name="Normal 7 3" xfId="52209" xr:uid="{00000000-0005-0000-0000-0000EDCB0000}"/>
    <cellStyle name="Normal 7 3 2" xfId="52210" xr:uid="{00000000-0005-0000-0000-0000EECB0000}"/>
    <cellStyle name="Normal 7 4" xfId="52211" xr:uid="{00000000-0005-0000-0000-0000EFCB0000}"/>
    <cellStyle name="Normal 7 4 2" xfId="52212" xr:uid="{00000000-0005-0000-0000-0000F0CB0000}"/>
    <cellStyle name="Normal 7 5" xfId="52213" xr:uid="{00000000-0005-0000-0000-0000F1CB0000}"/>
    <cellStyle name="Normal 7 5 2" xfId="52214" xr:uid="{00000000-0005-0000-0000-0000F2CB0000}"/>
    <cellStyle name="Normal 7 6" xfId="52215" xr:uid="{00000000-0005-0000-0000-0000F3CB0000}"/>
    <cellStyle name="Normal 7 6 2" xfId="52216" xr:uid="{00000000-0005-0000-0000-0000F4CB0000}"/>
    <cellStyle name="Normal 7 7" xfId="52217" xr:uid="{00000000-0005-0000-0000-0000F5CB0000}"/>
    <cellStyle name="Normal 70" xfId="52218" xr:uid="{00000000-0005-0000-0000-0000F6CB0000}"/>
    <cellStyle name="Normal 70 2" xfId="52219" xr:uid="{00000000-0005-0000-0000-0000F7CB0000}"/>
    <cellStyle name="Normal 71" xfId="52220" xr:uid="{00000000-0005-0000-0000-0000F8CB0000}"/>
    <cellStyle name="Normal 71 2" xfId="52221" xr:uid="{00000000-0005-0000-0000-0000F9CB0000}"/>
    <cellStyle name="Normal 72" xfId="52222" xr:uid="{00000000-0005-0000-0000-0000FACB0000}"/>
    <cellStyle name="Normal 72 2" xfId="52223" xr:uid="{00000000-0005-0000-0000-0000FBCB0000}"/>
    <cellStyle name="Normal 73" xfId="52224" xr:uid="{00000000-0005-0000-0000-0000FCCB0000}"/>
    <cellStyle name="Normal 73 2" xfId="52225" xr:uid="{00000000-0005-0000-0000-0000FDCB0000}"/>
    <cellStyle name="Normal 74" xfId="52226" xr:uid="{00000000-0005-0000-0000-0000FECB0000}"/>
    <cellStyle name="Normal 74 2" xfId="52227" xr:uid="{00000000-0005-0000-0000-0000FFCB0000}"/>
    <cellStyle name="Normal 75" xfId="52228" xr:uid="{00000000-0005-0000-0000-000000CC0000}"/>
    <cellStyle name="Normal 75 2" xfId="52229" xr:uid="{00000000-0005-0000-0000-000001CC0000}"/>
    <cellStyle name="Normal 76" xfId="52230" xr:uid="{00000000-0005-0000-0000-000002CC0000}"/>
    <cellStyle name="Normal 76 2" xfId="52231" xr:uid="{00000000-0005-0000-0000-000003CC0000}"/>
    <cellStyle name="Normal 77" xfId="52232" xr:uid="{00000000-0005-0000-0000-000004CC0000}"/>
    <cellStyle name="Normal 77 2" xfId="52233" xr:uid="{00000000-0005-0000-0000-000005CC0000}"/>
    <cellStyle name="Normal 77 3" xfId="52234" xr:uid="{00000000-0005-0000-0000-000006CC0000}"/>
    <cellStyle name="Normal 78" xfId="52235" xr:uid="{00000000-0005-0000-0000-000007CC0000}"/>
    <cellStyle name="Normal 78 2" xfId="52236" xr:uid="{00000000-0005-0000-0000-000008CC0000}"/>
    <cellStyle name="Normal 79" xfId="52237" xr:uid="{00000000-0005-0000-0000-000009CC0000}"/>
    <cellStyle name="Normal 79 2" xfId="52238" xr:uid="{00000000-0005-0000-0000-00000ACC0000}"/>
    <cellStyle name="Normal 8" xfId="52239" xr:uid="{00000000-0005-0000-0000-00000BCC0000}"/>
    <cellStyle name="Normal 8 2" xfId="52240" xr:uid="{00000000-0005-0000-0000-00000CCC0000}"/>
    <cellStyle name="Normal 8 3" xfId="52241" xr:uid="{00000000-0005-0000-0000-00000DCC0000}"/>
    <cellStyle name="Normal 8 3 2" xfId="52242" xr:uid="{00000000-0005-0000-0000-00000ECC0000}"/>
    <cellStyle name="Normal 8 4" xfId="52243" xr:uid="{00000000-0005-0000-0000-00000FCC0000}"/>
    <cellStyle name="Normal 80" xfId="52244" xr:uid="{00000000-0005-0000-0000-000010CC0000}"/>
    <cellStyle name="Normal 80 2" xfId="52245" xr:uid="{00000000-0005-0000-0000-000011CC0000}"/>
    <cellStyle name="Normal 81" xfId="52246" xr:uid="{00000000-0005-0000-0000-000012CC0000}"/>
    <cellStyle name="Normal 81 2" xfId="52247" xr:uid="{00000000-0005-0000-0000-000013CC0000}"/>
    <cellStyle name="Normal 82" xfId="52248" xr:uid="{00000000-0005-0000-0000-000014CC0000}"/>
    <cellStyle name="Normal 82 2" xfId="52249" xr:uid="{00000000-0005-0000-0000-000015CC0000}"/>
    <cellStyle name="Normal 83" xfId="52250" xr:uid="{00000000-0005-0000-0000-000016CC0000}"/>
    <cellStyle name="Normal 83 2" xfId="52251" xr:uid="{00000000-0005-0000-0000-000017CC0000}"/>
    <cellStyle name="Normal 84" xfId="52252" xr:uid="{00000000-0005-0000-0000-000018CC0000}"/>
    <cellStyle name="Normal 84 2" xfId="52253" xr:uid="{00000000-0005-0000-0000-000019CC0000}"/>
    <cellStyle name="Normal 85" xfId="52254" xr:uid="{00000000-0005-0000-0000-00001ACC0000}"/>
    <cellStyle name="Normal 85 2" xfId="52255" xr:uid="{00000000-0005-0000-0000-00001BCC0000}"/>
    <cellStyle name="Normal 86" xfId="52256" xr:uid="{00000000-0005-0000-0000-00001CCC0000}"/>
    <cellStyle name="Normal 86 2" xfId="52257" xr:uid="{00000000-0005-0000-0000-00001DCC0000}"/>
    <cellStyle name="Normal 87" xfId="52258" xr:uid="{00000000-0005-0000-0000-00001ECC0000}"/>
    <cellStyle name="Normal 87 2" xfId="52259" xr:uid="{00000000-0005-0000-0000-00001FCC0000}"/>
    <cellStyle name="Normal 88" xfId="52260" xr:uid="{00000000-0005-0000-0000-000020CC0000}"/>
    <cellStyle name="Normal 88 2" xfId="52261" xr:uid="{00000000-0005-0000-0000-000021CC0000}"/>
    <cellStyle name="Normal 89" xfId="52262" xr:uid="{00000000-0005-0000-0000-000022CC0000}"/>
    <cellStyle name="Normal 89 2" xfId="52263" xr:uid="{00000000-0005-0000-0000-000023CC0000}"/>
    <cellStyle name="Normal 89 3" xfId="52264" xr:uid="{00000000-0005-0000-0000-000024CC0000}"/>
    <cellStyle name="Normal 9" xfId="52265" xr:uid="{00000000-0005-0000-0000-000025CC0000}"/>
    <cellStyle name="Normal 9 2" xfId="52266" xr:uid="{00000000-0005-0000-0000-000026CC0000}"/>
    <cellStyle name="Normal 9 3" xfId="52267" xr:uid="{00000000-0005-0000-0000-000027CC0000}"/>
    <cellStyle name="Normal 9 3 2" xfId="52268" xr:uid="{00000000-0005-0000-0000-000028CC0000}"/>
    <cellStyle name="Normal 9 4" xfId="52269" xr:uid="{00000000-0005-0000-0000-000029CC0000}"/>
    <cellStyle name="Normal 90" xfId="52270" xr:uid="{00000000-0005-0000-0000-00002ACC0000}"/>
    <cellStyle name="Normal 90 2" xfId="52271" xr:uid="{00000000-0005-0000-0000-00002BCC0000}"/>
    <cellStyle name="Normal 90 3" xfId="52272" xr:uid="{00000000-0005-0000-0000-00002CCC0000}"/>
    <cellStyle name="Normal 91" xfId="52273" xr:uid="{00000000-0005-0000-0000-00002DCC0000}"/>
    <cellStyle name="Normal 91 2" xfId="52274" xr:uid="{00000000-0005-0000-0000-00002ECC0000}"/>
    <cellStyle name="Normal 92" xfId="52275" xr:uid="{00000000-0005-0000-0000-00002FCC0000}"/>
    <cellStyle name="Normal 92 2" xfId="52276" xr:uid="{00000000-0005-0000-0000-000030CC0000}"/>
    <cellStyle name="Normal 93" xfId="52277" xr:uid="{00000000-0005-0000-0000-000031CC0000}"/>
    <cellStyle name="Normal 93 2" xfId="52278" xr:uid="{00000000-0005-0000-0000-000032CC0000}"/>
    <cellStyle name="Normal 94" xfId="52279" xr:uid="{00000000-0005-0000-0000-000033CC0000}"/>
    <cellStyle name="Normal 94 2" xfId="52280" xr:uid="{00000000-0005-0000-0000-000034CC0000}"/>
    <cellStyle name="Normal 95" xfId="52281" xr:uid="{00000000-0005-0000-0000-000035CC0000}"/>
    <cellStyle name="Normal 95 2" xfId="52282" xr:uid="{00000000-0005-0000-0000-000036CC0000}"/>
    <cellStyle name="Normal 96" xfId="52283" xr:uid="{00000000-0005-0000-0000-000037CC0000}"/>
    <cellStyle name="Normal 96 2" xfId="52284" xr:uid="{00000000-0005-0000-0000-000038CC0000}"/>
    <cellStyle name="Normal 97" xfId="52285" xr:uid="{00000000-0005-0000-0000-000039CC0000}"/>
    <cellStyle name="Normal 97 2" xfId="52286" xr:uid="{00000000-0005-0000-0000-00003ACC0000}"/>
    <cellStyle name="Normal 98" xfId="52287" xr:uid="{00000000-0005-0000-0000-00003BCC0000}"/>
    <cellStyle name="Normal 98 2" xfId="52288" xr:uid="{00000000-0005-0000-0000-00003CCC0000}"/>
    <cellStyle name="Normal 99" xfId="52289" xr:uid="{00000000-0005-0000-0000-00003DCC0000}"/>
    <cellStyle name="Normal Title" xfId="52290" xr:uid="{00000000-0005-0000-0000-00003ECC0000}"/>
    <cellStyle name="Normal Year" xfId="52291" xr:uid="{00000000-0005-0000-0000-00003FCC0000}"/>
    <cellStyle name="Normal.00" xfId="52292" xr:uid="{00000000-0005-0000-0000-000040CC0000}"/>
    <cellStyle name="Normál_1." xfId="52293" xr:uid="{00000000-0005-0000-0000-000041CC0000}"/>
    <cellStyle name="Normal1" xfId="52294" xr:uid="{00000000-0005-0000-0000-000042CC0000}"/>
    <cellStyle name="Normal1 2" xfId="52295" xr:uid="{00000000-0005-0000-0000-000043CC0000}"/>
    <cellStyle name="Normal1 2 2" xfId="52296" xr:uid="{00000000-0005-0000-0000-000044CC0000}"/>
    <cellStyle name="Normal1 3" xfId="52297" xr:uid="{00000000-0005-0000-0000-000045CC0000}"/>
    <cellStyle name="Normal10pt" xfId="52298" xr:uid="{00000000-0005-0000-0000-000046CC0000}"/>
    <cellStyle name="Normal10pt 2" xfId="52299" xr:uid="{00000000-0005-0000-0000-000047CC0000}"/>
    <cellStyle name="Normal10pt 2 2" xfId="52300" xr:uid="{00000000-0005-0000-0000-000048CC0000}"/>
    <cellStyle name="Normal10pt 3" xfId="52301" xr:uid="{00000000-0005-0000-0000-000049CC0000}"/>
    <cellStyle name="Normal2" xfId="52302" xr:uid="{00000000-0005-0000-0000-00004ACC0000}"/>
    <cellStyle name="Normal9pt" xfId="52303" xr:uid="{00000000-0005-0000-0000-00004BCC0000}"/>
    <cellStyle name="Normal9pt 2" xfId="52304" xr:uid="{00000000-0005-0000-0000-00004CCC0000}"/>
    <cellStyle name="Normal9pt 2 2" xfId="52305" xr:uid="{00000000-0005-0000-0000-00004DCC0000}"/>
    <cellStyle name="Normal9pt 3" xfId="52306" xr:uid="{00000000-0005-0000-0000-00004ECC0000}"/>
    <cellStyle name="normalbold" xfId="52307" xr:uid="{00000000-0005-0000-0000-00004FCC0000}"/>
    <cellStyle name="Normale_datiDKB" xfId="52308" xr:uid="{00000000-0005-0000-0000-000050CC0000}"/>
    <cellStyle name="NormalEPS" xfId="52309" xr:uid="{00000000-0005-0000-0000-000051CC0000}"/>
    <cellStyle name="NormalGB" xfId="52310" xr:uid="{00000000-0005-0000-0000-000052CC0000}"/>
    <cellStyle name="NormalGB 2" xfId="52311" xr:uid="{00000000-0005-0000-0000-000053CC0000}"/>
    <cellStyle name="NormalGB 2 2" xfId="52312" xr:uid="{00000000-0005-0000-0000-000054CC0000}"/>
    <cellStyle name="NormalGB 2 2 2" xfId="52313" xr:uid="{00000000-0005-0000-0000-000055CC0000}"/>
    <cellStyle name="NormalGB 2 3" xfId="52314" xr:uid="{00000000-0005-0000-0000-000056CC0000}"/>
    <cellStyle name="NormalGB 3" xfId="52315" xr:uid="{00000000-0005-0000-0000-000057CC0000}"/>
    <cellStyle name="NormalGB 3 2" xfId="52316" xr:uid="{00000000-0005-0000-0000-000058CC0000}"/>
    <cellStyle name="NormalGB 4" xfId="52317" xr:uid="{00000000-0005-0000-0000-000059CC0000}"/>
    <cellStyle name="normální_2.4.2.1" xfId="52318" xr:uid="{00000000-0005-0000-0000-00005ACC0000}"/>
    <cellStyle name="NormalOCode Auto" xfId="52319" xr:uid="{00000000-0005-0000-0000-00005BCC0000}"/>
    <cellStyle name="NormalOCode Auto 2" xfId="52320" xr:uid="{00000000-0005-0000-0000-00005CCC0000}"/>
    <cellStyle name="NormalOCode Server" xfId="52321" xr:uid="{00000000-0005-0000-0000-00005DCC0000}"/>
    <cellStyle name="NormalOCode Server 2" xfId="52322" xr:uid="{00000000-0005-0000-0000-00005ECC0000}"/>
    <cellStyle name="NormalOCode Utilities (2)" xfId="52323" xr:uid="{00000000-0005-0000-0000-00005FCC0000}"/>
    <cellStyle name="NormalOCode Utilities (2) 2" xfId="52324" xr:uid="{00000000-0005-0000-0000-000060CC0000}"/>
    <cellStyle name="NormalOTemplates - Step 1_Templates _x000d_ Step 2_1" xfId="52325" xr:uid="{00000000-0005-0000-0000-000061CC0000}"/>
    <cellStyle name="NormalOTemplates - Step 3_1" xfId="52326" xr:uid="{00000000-0005-0000-0000-000062CC0000}"/>
    <cellStyle name="NormalPop" xfId="52327" xr:uid="{00000000-0005-0000-0000-000063CC0000}"/>
    <cellStyle name="Nota 2" xfId="52328" xr:uid="{00000000-0005-0000-0000-000064CC0000}"/>
    <cellStyle name="Nota 2 2" xfId="52329" xr:uid="{00000000-0005-0000-0000-000065CC0000}"/>
    <cellStyle name="Nota 2 2 2" xfId="52330" xr:uid="{00000000-0005-0000-0000-000066CC0000}"/>
    <cellStyle name="Nota 2 3" xfId="52331" xr:uid="{00000000-0005-0000-0000-000067CC0000}"/>
    <cellStyle name="Nota 2 3 2" xfId="52332" xr:uid="{00000000-0005-0000-0000-000068CC0000}"/>
    <cellStyle name="Nota 2 3 3" xfId="52333" xr:uid="{00000000-0005-0000-0000-000069CC0000}"/>
    <cellStyle name="Nota 2 4" xfId="52334" xr:uid="{00000000-0005-0000-0000-00006ACC0000}"/>
    <cellStyle name="Nota 2 5" xfId="52335" xr:uid="{00000000-0005-0000-0000-00006BCC0000}"/>
    <cellStyle name="Nota 3" xfId="52336" xr:uid="{00000000-0005-0000-0000-00006CCC0000}"/>
    <cellStyle name="Nota 3 2" xfId="52337" xr:uid="{00000000-0005-0000-0000-00006DCC0000}"/>
    <cellStyle name="Nota 4" xfId="52338" xr:uid="{00000000-0005-0000-0000-00006ECC0000}"/>
    <cellStyle name="Nota 4 2" xfId="52339" xr:uid="{00000000-0005-0000-0000-00006FCC0000}"/>
    <cellStyle name="Nota 4 3" xfId="52340" xr:uid="{00000000-0005-0000-0000-000070CC0000}"/>
    <cellStyle name="Nota 5" xfId="52341" xr:uid="{00000000-0005-0000-0000-000071CC0000}"/>
    <cellStyle name="Nota 6" xfId="52342" xr:uid="{00000000-0005-0000-0000-000072CC0000}"/>
    <cellStyle name="Notas" xfId="52343" xr:uid="{00000000-0005-0000-0000-000073CC0000}"/>
    <cellStyle name="Notas 2" xfId="52344" xr:uid="{00000000-0005-0000-0000-000074CC0000}"/>
    <cellStyle name="Notas 2 2" xfId="52345" xr:uid="{00000000-0005-0000-0000-000075CC0000}"/>
    <cellStyle name="Notas 2 2 2" xfId="52346" xr:uid="{00000000-0005-0000-0000-000076CC0000}"/>
    <cellStyle name="Notas 2 3" xfId="52347" xr:uid="{00000000-0005-0000-0000-000077CC0000}"/>
    <cellStyle name="Notas 2 3 2" xfId="52348" xr:uid="{00000000-0005-0000-0000-000078CC0000}"/>
    <cellStyle name="Notas 2 3 3" xfId="52349" xr:uid="{00000000-0005-0000-0000-000079CC0000}"/>
    <cellStyle name="Notas 2 4" xfId="52350" xr:uid="{00000000-0005-0000-0000-00007ACC0000}"/>
    <cellStyle name="Notas 2 5" xfId="52351" xr:uid="{00000000-0005-0000-0000-00007BCC0000}"/>
    <cellStyle name="Notas 3" xfId="52352" xr:uid="{00000000-0005-0000-0000-00007CCC0000}"/>
    <cellStyle name="Notas 3 2" xfId="52353" xr:uid="{00000000-0005-0000-0000-00007DCC0000}"/>
    <cellStyle name="Notas 4" xfId="52354" xr:uid="{00000000-0005-0000-0000-00007ECC0000}"/>
    <cellStyle name="Notas 4 2" xfId="52355" xr:uid="{00000000-0005-0000-0000-00007FCC0000}"/>
    <cellStyle name="Notas 4 3" xfId="52356" xr:uid="{00000000-0005-0000-0000-000080CC0000}"/>
    <cellStyle name="Notas 5" xfId="52357" xr:uid="{00000000-0005-0000-0000-000081CC0000}"/>
    <cellStyle name="Notas 6" xfId="52358" xr:uid="{00000000-0005-0000-0000-000082CC0000}"/>
    <cellStyle name="Note 10" xfId="52359" xr:uid="{00000000-0005-0000-0000-000083CC0000}"/>
    <cellStyle name="Note 10 2" xfId="52360" xr:uid="{00000000-0005-0000-0000-000084CC0000}"/>
    <cellStyle name="Note 10 2 2" xfId="52361" xr:uid="{00000000-0005-0000-0000-000085CC0000}"/>
    <cellStyle name="Note 10 2 2 2" xfId="52362" xr:uid="{00000000-0005-0000-0000-000086CC0000}"/>
    <cellStyle name="Note 10 2 3" xfId="52363" xr:uid="{00000000-0005-0000-0000-000087CC0000}"/>
    <cellStyle name="Note 10 2 3 2" xfId="52364" xr:uid="{00000000-0005-0000-0000-000088CC0000}"/>
    <cellStyle name="Note 10 2 3 3" xfId="52365" xr:uid="{00000000-0005-0000-0000-000089CC0000}"/>
    <cellStyle name="Note 10 2 4" xfId="52366" xr:uid="{00000000-0005-0000-0000-00008ACC0000}"/>
    <cellStyle name="Note 10 3" xfId="52367" xr:uid="{00000000-0005-0000-0000-00008BCC0000}"/>
    <cellStyle name="Note 10 3 2" xfId="52368" xr:uid="{00000000-0005-0000-0000-00008CCC0000}"/>
    <cellStyle name="Note 10 4" xfId="52369" xr:uid="{00000000-0005-0000-0000-00008DCC0000}"/>
    <cellStyle name="Note 10 4 2" xfId="52370" xr:uid="{00000000-0005-0000-0000-00008ECC0000}"/>
    <cellStyle name="Note 10 5" xfId="52371" xr:uid="{00000000-0005-0000-0000-00008FCC0000}"/>
    <cellStyle name="Note 10 5 2" xfId="52372" xr:uid="{00000000-0005-0000-0000-000090CC0000}"/>
    <cellStyle name="Note 10 6" xfId="52373" xr:uid="{00000000-0005-0000-0000-000091CC0000}"/>
    <cellStyle name="Note 10 6 2" xfId="52374" xr:uid="{00000000-0005-0000-0000-000092CC0000}"/>
    <cellStyle name="Note 10 6 3" xfId="52375" xr:uid="{00000000-0005-0000-0000-000093CC0000}"/>
    <cellStyle name="Note 10 7" xfId="52376" xr:uid="{00000000-0005-0000-0000-000094CC0000}"/>
    <cellStyle name="Note 10 8" xfId="52377" xr:uid="{00000000-0005-0000-0000-000095CC0000}"/>
    <cellStyle name="Note 100" xfId="52378" xr:uid="{00000000-0005-0000-0000-000096CC0000}"/>
    <cellStyle name="Note 100 2" xfId="52379" xr:uid="{00000000-0005-0000-0000-000097CC0000}"/>
    <cellStyle name="Note 100 2 2" xfId="52380" xr:uid="{00000000-0005-0000-0000-000098CC0000}"/>
    <cellStyle name="Note 100 2 2 2" xfId="52381" xr:uid="{00000000-0005-0000-0000-000099CC0000}"/>
    <cellStyle name="Note 100 2 3" xfId="52382" xr:uid="{00000000-0005-0000-0000-00009ACC0000}"/>
    <cellStyle name="Note 100 2 3 2" xfId="52383" xr:uid="{00000000-0005-0000-0000-00009BCC0000}"/>
    <cellStyle name="Note 100 2 3 3" xfId="52384" xr:uid="{00000000-0005-0000-0000-00009CCC0000}"/>
    <cellStyle name="Note 100 2 4" xfId="52385" xr:uid="{00000000-0005-0000-0000-00009DCC0000}"/>
    <cellStyle name="Note 100 2 5" xfId="52386" xr:uid="{00000000-0005-0000-0000-00009ECC0000}"/>
    <cellStyle name="Note 100 3" xfId="52387" xr:uid="{00000000-0005-0000-0000-00009FCC0000}"/>
    <cellStyle name="Note 100 3 2" xfId="52388" xr:uid="{00000000-0005-0000-0000-0000A0CC0000}"/>
    <cellStyle name="Note 100 3 3" xfId="52389" xr:uid="{00000000-0005-0000-0000-0000A1CC0000}"/>
    <cellStyle name="Note 100 4" xfId="52390" xr:uid="{00000000-0005-0000-0000-0000A2CC0000}"/>
    <cellStyle name="Note 100 5" xfId="52391" xr:uid="{00000000-0005-0000-0000-0000A3CC0000}"/>
    <cellStyle name="Note 101" xfId="52392" xr:uid="{00000000-0005-0000-0000-0000A4CC0000}"/>
    <cellStyle name="Note 101 2" xfId="52393" xr:uid="{00000000-0005-0000-0000-0000A5CC0000}"/>
    <cellStyle name="Note 101 2 2" xfId="52394" xr:uid="{00000000-0005-0000-0000-0000A6CC0000}"/>
    <cellStyle name="Note 101 2 2 2" xfId="52395" xr:uid="{00000000-0005-0000-0000-0000A7CC0000}"/>
    <cellStyle name="Note 101 2 3" xfId="52396" xr:uid="{00000000-0005-0000-0000-0000A8CC0000}"/>
    <cellStyle name="Note 101 2 3 2" xfId="52397" xr:uid="{00000000-0005-0000-0000-0000A9CC0000}"/>
    <cellStyle name="Note 101 2 3 3" xfId="52398" xr:uid="{00000000-0005-0000-0000-0000AACC0000}"/>
    <cellStyle name="Note 101 2 4" xfId="52399" xr:uid="{00000000-0005-0000-0000-0000ABCC0000}"/>
    <cellStyle name="Note 101 2 5" xfId="52400" xr:uid="{00000000-0005-0000-0000-0000ACCC0000}"/>
    <cellStyle name="Note 101 3" xfId="52401" xr:uid="{00000000-0005-0000-0000-0000ADCC0000}"/>
    <cellStyle name="Note 101 3 2" xfId="52402" xr:uid="{00000000-0005-0000-0000-0000AECC0000}"/>
    <cellStyle name="Note 101 3 3" xfId="52403" xr:uid="{00000000-0005-0000-0000-0000AFCC0000}"/>
    <cellStyle name="Note 101 4" xfId="52404" xr:uid="{00000000-0005-0000-0000-0000B0CC0000}"/>
    <cellStyle name="Note 101 5" xfId="52405" xr:uid="{00000000-0005-0000-0000-0000B1CC0000}"/>
    <cellStyle name="Note 102" xfId="52406" xr:uid="{00000000-0005-0000-0000-0000B2CC0000}"/>
    <cellStyle name="Note 102 2" xfId="52407" xr:uid="{00000000-0005-0000-0000-0000B3CC0000}"/>
    <cellStyle name="Note 102 2 2" xfId="52408" xr:uid="{00000000-0005-0000-0000-0000B4CC0000}"/>
    <cellStyle name="Note 102 2 2 2" xfId="52409" xr:uid="{00000000-0005-0000-0000-0000B5CC0000}"/>
    <cellStyle name="Note 102 2 3" xfId="52410" xr:uid="{00000000-0005-0000-0000-0000B6CC0000}"/>
    <cellStyle name="Note 102 2 3 2" xfId="52411" xr:uid="{00000000-0005-0000-0000-0000B7CC0000}"/>
    <cellStyle name="Note 102 2 3 3" xfId="52412" xr:uid="{00000000-0005-0000-0000-0000B8CC0000}"/>
    <cellStyle name="Note 102 2 4" xfId="52413" xr:uid="{00000000-0005-0000-0000-0000B9CC0000}"/>
    <cellStyle name="Note 102 2 5" xfId="52414" xr:uid="{00000000-0005-0000-0000-0000BACC0000}"/>
    <cellStyle name="Note 102 3" xfId="52415" xr:uid="{00000000-0005-0000-0000-0000BBCC0000}"/>
    <cellStyle name="Note 102 3 2" xfId="52416" xr:uid="{00000000-0005-0000-0000-0000BCCC0000}"/>
    <cellStyle name="Note 102 3 3" xfId="52417" xr:uid="{00000000-0005-0000-0000-0000BDCC0000}"/>
    <cellStyle name="Note 102 4" xfId="52418" xr:uid="{00000000-0005-0000-0000-0000BECC0000}"/>
    <cellStyle name="Note 102 5" xfId="52419" xr:uid="{00000000-0005-0000-0000-0000BFCC0000}"/>
    <cellStyle name="Note 103" xfId="52420" xr:uid="{00000000-0005-0000-0000-0000C0CC0000}"/>
    <cellStyle name="Note 103 2" xfId="52421" xr:uid="{00000000-0005-0000-0000-0000C1CC0000}"/>
    <cellStyle name="Note 103 2 2" xfId="52422" xr:uid="{00000000-0005-0000-0000-0000C2CC0000}"/>
    <cellStyle name="Note 103 2 2 2" xfId="52423" xr:uid="{00000000-0005-0000-0000-0000C3CC0000}"/>
    <cellStyle name="Note 103 2 3" xfId="52424" xr:uid="{00000000-0005-0000-0000-0000C4CC0000}"/>
    <cellStyle name="Note 103 2 3 2" xfId="52425" xr:uid="{00000000-0005-0000-0000-0000C5CC0000}"/>
    <cellStyle name="Note 103 2 3 3" xfId="52426" xr:uid="{00000000-0005-0000-0000-0000C6CC0000}"/>
    <cellStyle name="Note 103 2 4" xfId="52427" xr:uid="{00000000-0005-0000-0000-0000C7CC0000}"/>
    <cellStyle name="Note 103 2 5" xfId="52428" xr:uid="{00000000-0005-0000-0000-0000C8CC0000}"/>
    <cellStyle name="Note 103 3" xfId="52429" xr:uid="{00000000-0005-0000-0000-0000C9CC0000}"/>
    <cellStyle name="Note 103 3 2" xfId="52430" xr:uid="{00000000-0005-0000-0000-0000CACC0000}"/>
    <cellStyle name="Note 103 3 3" xfId="52431" xr:uid="{00000000-0005-0000-0000-0000CBCC0000}"/>
    <cellStyle name="Note 103 4" xfId="52432" xr:uid="{00000000-0005-0000-0000-0000CCCC0000}"/>
    <cellStyle name="Note 103 5" xfId="52433" xr:uid="{00000000-0005-0000-0000-0000CDCC0000}"/>
    <cellStyle name="Note 104" xfId="52434" xr:uid="{00000000-0005-0000-0000-0000CECC0000}"/>
    <cellStyle name="Note 104 2" xfId="52435" xr:uid="{00000000-0005-0000-0000-0000CFCC0000}"/>
    <cellStyle name="Note 104 2 2" xfId="52436" xr:uid="{00000000-0005-0000-0000-0000D0CC0000}"/>
    <cellStyle name="Note 104 2 2 2" xfId="52437" xr:uid="{00000000-0005-0000-0000-0000D1CC0000}"/>
    <cellStyle name="Note 104 2 3" xfId="52438" xr:uid="{00000000-0005-0000-0000-0000D2CC0000}"/>
    <cellStyle name="Note 104 2 3 2" xfId="52439" xr:uid="{00000000-0005-0000-0000-0000D3CC0000}"/>
    <cellStyle name="Note 104 2 3 3" xfId="52440" xr:uid="{00000000-0005-0000-0000-0000D4CC0000}"/>
    <cellStyle name="Note 104 2 4" xfId="52441" xr:uid="{00000000-0005-0000-0000-0000D5CC0000}"/>
    <cellStyle name="Note 104 2 5" xfId="52442" xr:uid="{00000000-0005-0000-0000-0000D6CC0000}"/>
    <cellStyle name="Note 104 3" xfId="52443" xr:uid="{00000000-0005-0000-0000-0000D7CC0000}"/>
    <cellStyle name="Note 104 3 2" xfId="52444" xr:uid="{00000000-0005-0000-0000-0000D8CC0000}"/>
    <cellStyle name="Note 104 3 3" xfId="52445" xr:uid="{00000000-0005-0000-0000-0000D9CC0000}"/>
    <cellStyle name="Note 104 4" xfId="52446" xr:uid="{00000000-0005-0000-0000-0000DACC0000}"/>
    <cellStyle name="Note 104 5" xfId="52447" xr:uid="{00000000-0005-0000-0000-0000DBCC0000}"/>
    <cellStyle name="Note 105" xfId="52448" xr:uid="{00000000-0005-0000-0000-0000DCCC0000}"/>
    <cellStyle name="Note 105 2" xfId="52449" xr:uid="{00000000-0005-0000-0000-0000DDCC0000}"/>
    <cellStyle name="Note 105 2 2" xfId="52450" xr:uid="{00000000-0005-0000-0000-0000DECC0000}"/>
    <cellStyle name="Note 105 2 2 2" xfId="52451" xr:uid="{00000000-0005-0000-0000-0000DFCC0000}"/>
    <cellStyle name="Note 105 2 3" xfId="52452" xr:uid="{00000000-0005-0000-0000-0000E0CC0000}"/>
    <cellStyle name="Note 105 2 3 2" xfId="52453" xr:uid="{00000000-0005-0000-0000-0000E1CC0000}"/>
    <cellStyle name="Note 105 2 3 3" xfId="52454" xr:uid="{00000000-0005-0000-0000-0000E2CC0000}"/>
    <cellStyle name="Note 105 2 4" xfId="52455" xr:uid="{00000000-0005-0000-0000-0000E3CC0000}"/>
    <cellStyle name="Note 105 2 5" xfId="52456" xr:uid="{00000000-0005-0000-0000-0000E4CC0000}"/>
    <cellStyle name="Note 105 3" xfId="52457" xr:uid="{00000000-0005-0000-0000-0000E5CC0000}"/>
    <cellStyle name="Note 105 3 2" xfId="52458" xr:uid="{00000000-0005-0000-0000-0000E6CC0000}"/>
    <cellStyle name="Note 105 3 3" xfId="52459" xr:uid="{00000000-0005-0000-0000-0000E7CC0000}"/>
    <cellStyle name="Note 105 4" xfId="52460" xr:uid="{00000000-0005-0000-0000-0000E8CC0000}"/>
    <cellStyle name="Note 105 5" xfId="52461" xr:uid="{00000000-0005-0000-0000-0000E9CC0000}"/>
    <cellStyle name="Note 106" xfId="52462" xr:uid="{00000000-0005-0000-0000-0000EACC0000}"/>
    <cellStyle name="Note 106 2" xfId="52463" xr:uid="{00000000-0005-0000-0000-0000EBCC0000}"/>
    <cellStyle name="Note 106 2 2" xfId="52464" xr:uid="{00000000-0005-0000-0000-0000ECCC0000}"/>
    <cellStyle name="Note 106 2 2 2" xfId="52465" xr:uid="{00000000-0005-0000-0000-0000EDCC0000}"/>
    <cellStyle name="Note 106 2 3" xfId="52466" xr:uid="{00000000-0005-0000-0000-0000EECC0000}"/>
    <cellStyle name="Note 106 2 3 2" xfId="52467" xr:uid="{00000000-0005-0000-0000-0000EFCC0000}"/>
    <cellStyle name="Note 106 2 3 3" xfId="52468" xr:uid="{00000000-0005-0000-0000-0000F0CC0000}"/>
    <cellStyle name="Note 106 2 4" xfId="52469" xr:uid="{00000000-0005-0000-0000-0000F1CC0000}"/>
    <cellStyle name="Note 106 2 5" xfId="52470" xr:uid="{00000000-0005-0000-0000-0000F2CC0000}"/>
    <cellStyle name="Note 106 3" xfId="52471" xr:uid="{00000000-0005-0000-0000-0000F3CC0000}"/>
    <cellStyle name="Note 106 3 2" xfId="52472" xr:uid="{00000000-0005-0000-0000-0000F4CC0000}"/>
    <cellStyle name="Note 106 3 3" xfId="52473" xr:uid="{00000000-0005-0000-0000-0000F5CC0000}"/>
    <cellStyle name="Note 106 4" xfId="52474" xr:uid="{00000000-0005-0000-0000-0000F6CC0000}"/>
    <cellStyle name="Note 106 5" xfId="52475" xr:uid="{00000000-0005-0000-0000-0000F7CC0000}"/>
    <cellStyle name="Note 107" xfId="52476" xr:uid="{00000000-0005-0000-0000-0000F8CC0000}"/>
    <cellStyle name="Note 107 2" xfId="52477" xr:uid="{00000000-0005-0000-0000-0000F9CC0000}"/>
    <cellStyle name="Note 107 2 2" xfId="52478" xr:uid="{00000000-0005-0000-0000-0000FACC0000}"/>
    <cellStyle name="Note 107 2 2 2" xfId="52479" xr:uid="{00000000-0005-0000-0000-0000FBCC0000}"/>
    <cellStyle name="Note 107 2 3" xfId="52480" xr:uid="{00000000-0005-0000-0000-0000FCCC0000}"/>
    <cellStyle name="Note 107 2 3 2" xfId="52481" xr:uid="{00000000-0005-0000-0000-0000FDCC0000}"/>
    <cellStyle name="Note 107 2 3 3" xfId="52482" xr:uid="{00000000-0005-0000-0000-0000FECC0000}"/>
    <cellStyle name="Note 107 2 4" xfId="52483" xr:uid="{00000000-0005-0000-0000-0000FFCC0000}"/>
    <cellStyle name="Note 107 2 5" xfId="52484" xr:uid="{00000000-0005-0000-0000-000000CD0000}"/>
    <cellStyle name="Note 107 3" xfId="52485" xr:uid="{00000000-0005-0000-0000-000001CD0000}"/>
    <cellStyle name="Note 107 3 2" xfId="52486" xr:uid="{00000000-0005-0000-0000-000002CD0000}"/>
    <cellStyle name="Note 107 3 3" xfId="52487" xr:uid="{00000000-0005-0000-0000-000003CD0000}"/>
    <cellStyle name="Note 107 4" xfId="52488" xr:uid="{00000000-0005-0000-0000-000004CD0000}"/>
    <cellStyle name="Note 107 5" xfId="52489" xr:uid="{00000000-0005-0000-0000-000005CD0000}"/>
    <cellStyle name="Note 108" xfId="52490" xr:uid="{00000000-0005-0000-0000-000006CD0000}"/>
    <cellStyle name="Note 108 2" xfId="52491" xr:uid="{00000000-0005-0000-0000-000007CD0000}"/>
    <cellStyle name="Note 108 2 2" xfId="52492" xr:uid="{00000000-0005-0000-0000-000008CD0000}"/>
    <cellStyle name="Note 108 2 2 2" xfId="52493" xr:uid="{00000000-0005-0000-0000-000009CD0000}"/>
    <cellStyle name="Note 108 2 3" xfId="52494" xr:uid="{00000000-0005-0000-0000-00000ACD0000}"/>
    <cellStyle name="Note 108 2 3 2" xfId="52495" xr:uid="{00000000-0005-0000-0000-00000BCD0000}"/>
    <cellStyle name="Note 108 2 3 3" xfId="52496" xr:uid="{00000000-0005-0000-0000-00000CCD0000}"/>
    <cellStyle name="Note 108 2 4" xfId="52497" xr:uid="{00000000-0005-0000-0000-00000DCD0000}"/>
    <cellStyle name="Note 108 2 5" xfId="52498" xr:uid="{00000000-0005-0000-0000-00000ECD0000}"/>
    <cellStyle name="Note 108 3" xfId="52499" xr:uid="{00000000-0005-0000-0000-00000FCD0000}"/>
    <cellStyle name="Note 108 3 2" xfId="52500" xr:uid="{00000000-0005-0000-0000-000010CD0000}"/>
    <cellStyle name="Note 108 3 3" xfId="52501" xr:uid="{00000000-0005-0000-0000-000011CD0000}"/>
    <cellStyle name="Note 108 4" xfId="52502" xr:uid="{00000000-0005-0000-0000-000012CD0000}"/>
    <cellStyle name="Note 108 5" xfId="52503" xr:uid="{00000000-0005-0000-0000-000013CD0000}"/>
    <cellStyle name="Note 109" xfId="52504" xr:uid="{00000000-0005-0000-0000-000014CD0000}"/>
    <cellStyle name="Note 109 2" xfId="52505" xr:uid="{00000000-0005-0000-0000-000015CD0000}"/>
    <cellStyle name="Note 109 2 2" xfId="52506" xr:uid="{00000000-0005-0000-0000-000016CD0000}"/>
    <cellStyle name="Note 109 2 2 2" xfId="52507" xr:uid="{00000000-0005-0000-0000-000017CD0000}"/>
    <cellStyle name="Note 109 2 3" xfId="52508" xr:uid="{00000000-0005-0000-0000-000018CD0000}"/>
    <cellStyle name="Note 109 2 3 2" xfId="52509" xr:uid="{00000000-0005-0000-0000-000019CD0000}"/>
    <cellStyle name="Note 109 2 3 3" xfId="52510" xr:uid="{00000000-0005-0000-0000-00001ACD0000}"/>
    <cellStyle name="Note 109 2 4" xfId="52511" xr:uid="{00000000-0005-0000-0000-00001BCD0000}"/>
    <cellStyle name="Note 109 2 5" xfId="52512" xr:uid="{00000000-0005-0000-0000-00001CCD0000}"/>
    <cellStyle name="Note 109 3" xfId="52513" xr:uid="{00000000-0005-0000-0000-00001DCD0000}"/>
    <cellStyle name="Note 109 3 2" xfId="52514" xr:uid="{00000000-0005-0000-0000-00001ECD0000}"/>
    <cellStyle name="Note 109 3 3" xfId="52515" xr:uid="{00000000-0005-0000-0000-00001FCD0000}"/>
    <cellStyle name="Note 109 4" xfId="52516" xr:uid="{00000000-0005-0000-0000-000020CD0000}"/>
    <cellStyle name="Note 109 5" xfId="52517" xr:uid="{00000000-0005-0000-0000-000021CD0000}"/>
    <cellStyle name="Note 11" xfId="52518" xr:uid="{00000000-0005-0000-0000-000022CD0000}"/>
    <cellStyle name="Note 11 2" xfId="52519" xr:uid="{00000000-0005-0000-0000-000023CD0000}"/>
    <cellStyle name="Note 11 2 2" xfId="52520" xr:uid="{00000000-0005-0000-0000-000024CD0000}"/>
    <cellStyle name="Note 11 2 2 2" xfId="52521" xr:uid="{00000000-0005-0000-0000-000025CD0000}"/>
    <cellStyle name="Note 11 2 3" xfId="52522" xr:uid="{00000000-0005-0000-0000-000026CD0000}"/>
    <cellStyle name="Note 11 2 3 2" xfId="52523" xr:uid="{00000000-0005-0000-0000-000027CD0000}"/>
    <cellStyle name="Note 11 2 3 3" xfId="52524" xr:uid="{00000000-0005-0000-0000-000028CD0000}"/>
    <cellStyle name="Note 11 2 4" xfId="52525" xr:uid="{00000000-0005-0000-0000-000029CD0000}"/>
    <cellStyle name="Note 11 3" xfId="52526" xr:uid="{00000000-0005-0000-0000-00002ACD0000}"/>
    <cellStyle name="Note 11 3 2" xfId="52527" xr:uid="{00000000-0005-0000-0000-00002BCD0000}"/>
    <cellStyle name="Note 11 4" xfId="52528" xr:uid="{00000000-0005-0000-0000-00002CCD0000}"/>
    <cellStyle name="Note 11 4 2" xfId="52529" xr:uid="{00000000-0005-0000-0000-00002DCD0000}"/>
    <cellStyle name="Note 11 5" xfId="52530" xr:uid="{00000000-0005-0000-0000-00002ECD0000}"/>
    <cellStyle name="Note 11 5 2" xfId="52531" xr:uid="{00000000-0005-0000-0000-00002FCD0000}"/>
    <cellStyle name="Note 11 6" xfId="52532" xr:uid="{00000000-0005-0000-0000-000030CD0000}"/>
    <cellStyle name="Note 11 6 2" xfId="52533" xr:uid="{00000000-0005-0000-0000-000031CD0000}"/>
    <cellStyle name="Note 11 6 3" xfId="52534" xr:uid="{00000000-0005-0000-0000-000032CD0000}"/>
    <cellStyle name="Note 11 7" xfId="52535" xr:uid="{00000000-0005-0000-0000-000033CD0000}"/>
    <cellStyle name="Note 11 8" xfId="52536" xr:uid="{00000000-0005-0000-0000-000034CD0000}"/>
    <cellStyle name="Note 110" xfId="52537" xr:uid="{00000000-0005-0000-0000-000035CD0000}"/>
    <cellStyle name="Note 110 2" xfId="52538" xr:uid="{00000000-0005-0000-0000-000036CD0000}"/>
    <cellStyle name="Note 110 2 2" xfId="52539" xr:uid="{00000000-0005-0000-0000-000037CD0000}"/>
    <cellStyle name="Note 110 2 2 2" xfId="52540" xr:uid="{00000000-0005-0000-0000-000038CD0000}"/>
    <cellStyle name="Note 110 2 3" xfId="52541" xr:uid="{00000000-0005-0000-0000-000039CD0000}"/>
    <cellStyle name="Note 110 2 3 2" xfId="52542" xr:uid="{00000000-0005-0000-0000-00003ACD0000}"/>
    <cellStyle name="Note 110 2 3 3" xfId="52543" xr:uid="{00000000-0005-0000-0000-00003BCD0000}"/>
    <cellStyle name="Note 110 2 4" xfId="52544" xr:uid="{00000000-0005-0000-0000-00003CCD0000}"/>
    <cellStyle name="Note 110 2 5" xfId="52545" xr:uid="{00000000-0005-0000-0000-00003DCD0000}"/>
    <cellStyle name="Note 110 3" xfId="52546" xr:uid="{00000000-0005-0000-0000-00003ECD0000}"/>
    <cellStyle name="Note 110 3 2" xfId="52547" xr:uid="{00000000-0005-0000-0000-00003FCD0000}"/>
    <cellStyle name="Note 110 3 3" xfId="52548" xr:uid="{00000000-0005-0000-0000-000040CD0000}"/>
    <cellStyle name="Note 110 4" xfId="52549" xr:uid="{00000000-0005-0000-0000-000041CD0000}"/>
    <cellStyle name="Note 110 5" xfId="52550" xr:uid="{00000000-0005-0000-0000-000042CD0000}"/>
    <cellStyle name="Note 111" xfId="52551" xr:uid="{00000000-0005-0000-0000-000043CD0000}"/>
    <cellStyle name="Note 111 2" xfId="52552" xr:uid="{00000000-0005-0000-0000-000044CD0000}"/>
    <cellStyle name="Note 111 2 2" xfId="52553" xr:uid="{00000000-0005-0000-0000-000045CD0000}"/>
    <cellStyle name="Note 111 2 2 2" xfId="52554" xr:uid="{00000000-0005-0000-0000-000046CD0000}"/>
    <cellStyle name="Note 111 2 3" xfId="52555" xr:uid="{00000000-0005-0000-0000-000047CD0000}"/>
    <cellStyle name="Note 111 2 3 2" xfId="52556" xr:uid="{00000000-0005-0000-0000-000048CD0000}"/>
    <cellStyle name="Note 111 2 3 3" xfId="52557" xr:uid="{00000000-0005-0000-0000-000049CD0000}"/>
    <cellStyle name="Note 111 2 4" xfId="52558" xr:uid="{00000000-0005-0000-0000-00004ACD0000}"/>
    <cellStyle name="Note 111 2 5" xfId="52559" xr:uid="{00000000-0005-0000-0000-00004BCD0000}"/>
    <cellStyle name="Note 111 3" xfId="52560" xr:uid="{00000000-0005-0000-0000-00004CCD0000}"/>
    <cellStyle name="Note 111 3 2" xfId="52561" xr:uid="{00000000-0005-0000-0000-00004DCD0000}"/>
    <cellStyle name="Note 111 3 3" xfId="52562" xr:uid="{00000000-0005-0000-0000-00004ECD0000}"/>
    <cellStyle name="Note 111 4" xfId="52563" xr:uid="{00000000-0005-0000-0000-00004FCD0000}"/>
    <cellStyle name="Note 111 5" xfId="52564" xr:uid="{00000000-0005-0000-0000-000050CD0000}"/>
    <cellStyle name="Note 112" xfId="52565" xr:uid="{00000000-0005-0000-0000-000051CD0000}"/>
    <cellStyle name="Note 112 2" xfId="52566" xr:uid="{00000000-0005-0000-0000-000052CD0000}"/>
    <cellStyle name="Note 112 2 2" xfId="52567" xr:uid="{00000000-0005-0000-0000-000053CD0000}"/>
    <cellStyle name="Note 112 2 2 2" xfId="52568" xr:uid="{00000000-0005-0000-0000-000054CD0000}"/>
    <cellStyle name="Note 112 2 3" xfId="52569" xr:uid="{00000000-0005-0000-0000-000055CD0000}"/>
    <cellStyle name="Note 112 2 3 2" xfId="52570" xr:uid="{00000000-0005-0000-0000-000056CD0000}"/>
    <cellStyle name="Note 112 2 3 3" xfId="52571" xr:uid="{00000000-0005-0000-0000-000057CD0000}"/>
    <cellStyle name="Note 112 2 4" xfId="52572" xr:uid="{00000000-0005-0000-0000-000058CD0000}"/>
    <cellStyle name="Note 112 2 5" xfId="52573" xr:uid="{00000000-0005-0000-0000-000059CD0000}"/>
    <cellStyle name="Note 112 3" xfId="52574" xr:uid="{00000000-0005-0000-0000-00005ACD0000}"/>
    <cellStyle name="Note 112 3 2" xfId="52575" xr:uid="{00000000-0005-0000-0000-00005BCD0000}"/>
    <cellStyle name="Note 112 3 3" xfId="52576" xr:uid="{00000000-0005-0000-0000-00005CCD0000}"/>
    <cellStyle name="Note 112 4" xfId="52577" xr:uid="{00000000-0005-0000-0000-00005DCD0000}"/>
    <cellStyle name="Note 112 5" xfId="52578" xr:uid="{00000000-0005-0000-0000-00005ECD0000}"/>
    <cellStyle name="Note 113" xfId="52579" xr:uid="{00000000-0005-0000-0000-00005FCD0000}"/>
    <cellStyle name="Note 113 2" xfId="52580" xr:uid="{00000000-0005-0000-0000-000060CD0000}"/>
    <cellStyle name="Note 113 2 2" xfId="52581" xr:uid="{00000000-0005-0000-0000-000061CD0000}"/>
    <cellStyle name="Note 113 2 2 2" xfId="52582" xr:uid="{00000000-0005-0000-0000-000062CD0000}"/>
    <cellStyle name="Note 113 2 3" xfId="52583" xr:uid="{00000000-0005-0000-0000-000063CD0000}"/>
    <cellStyle name="Note 113 2 3 2" xfId="52584" xr:uid="{00000000-0005-0000-0000-000064CD0000}"/>
    <cellStyle name="Note 113 2 3 3" xfId="52585" xr:uid="{00000000-0005-0000-0000-000065CD0000}"/>
    <cellStyle name="Note 113 2 4" xfId="52586" xr:uid="{00000000-0005-0000-0000-000066CD0000}"/>
    <cellStyle name="Note 113 2 5" xfId="52587" xr:uid="{00000000-0005-0000-0000-000067CD0000}"/>
    <cellStyle name="Note 113 3" xfId="52588" xr:uid="{00000000-0005-0000-0000-000068CD0000}"/>
    <cellStyle name="Note 113 3 2" xfId="52589" xr:uid="{00000000-0005-0000-0000-000069CD0000}"/>
    <cellStyle name="Note 113 3 3" xfId="52590" xr:uid="{00000000-0005-0000-0000-00006ACD0000}"/>
    <cellStyle name="Note 113 4" xfId="52591" xr:uid="{00000000-0005-0000-0000-00006BCD0000}"/>
    <cellStyle name="Note 113 5" xfId="52592" xr:uid="{00000000-0005-0000-0000-00006CCD0000}"/>
    <cellStyle name="Note 114" xfId="52593" xr:uid="{00000000-0005-0000-0000-00006DCD0000}"/>
    <cellStyle name="Note 114 2" xfId="52594" xr:uid="{00000000-0005-0000-0000-00006ECD0000}"/>
    <cellStyle name="Note 114 2 2" xfId="52595" xr:uid="{00000000-0005-0000-0000-00006FCD0000}"/>
    <cellStyle name="Note 114 2 2 2" xfId="52596" xr:uid="{00000000-0005-0000-0000-000070CD0000}"/>
    <cellStyle name="Note 114 2 3" xfId="52597" xr:uid="{00000000-0005-0000-0000-000071CD0000}"/>
    <cellStyle name="Note 114 2 3 2" xfId="52598" xr:uid="{00000000-0005-0000-0000-000072CD0000}"/>
    <cellStyle name="Note 114 2 3 3" xfId="52599" xr:uid="{00000000-0005-0000-0000-000073CD0000}"/>
    <cellStyle name="Note 114 2 4" xfId="52600" xr:uid="{00000000-0005-0000-0000-000074CD0000}"/>
    <cellStyle name="Note 114 2 5" xfId="52601" xr:uid="{00000000-0005-0000-0000-000075CD0000}"/>
    <cellStyle name="Note 114 3" xfId="52602" xr:uid="{00000000-0005-0000-0000-000076CD0000}"/>
    <cellStyle name="Note 114 3 2" xfId="52603" xr:uid="{00000000-0005-0000-0000-000077CD0000}"/>
    <cellStyle name="Note 114 3 3" xfId="52604" xr:uid="{00000000-0005-0000-0000-000078CD0000}"/>
    <cellStyle name="Note 114 4" xfId="52605" xr:uid="{00000000-0005-0000-0000-000079CD0000}"/>
    <cellStyle name="Note 114 5" xfId="52606" xr:uid="{00000000-0005-0000-0000-00007ACD0000}"/>
    <cellStyle name="Note 115" xfId="52607" xr:uid="{00000000-0005-0000-0000-00007BCD0000}"/>
    <cellStyle name="Note 115 2" xfId="52608" xr:uid="{00000000-0005-0000-0000-00007CCD0000}"/>
    <cellStyle name="Note 115 2 2" xfId="52609" xr:uid="{00000000-0005-0000-0000-00007DCD0000}"/>
    <cellStyle name="Note 115 2 2 2" xfId="52610" xr:uid="{00000000-0005-0000-0000-00007ECD0000}"/>
    <cellStyle name="Note 115 2 3" xfId="52611" xr:uid="{00000000-0005-0000-0000-00007FCD0000}"/>
    <cellStyle name="Note 115 2 3 2" xfId="52612" xr:uid="{00000000-0005-0000-0000-000080CD0000}"/>
    <cellStyle name="Note 115 2 3 3" xfId="52613" xr:uid="{00000000-0005-0000-0000-000081CD0000}"/>
    <cellStyle name="Note 115 2 4" xfId="52614" xr:uid="{00000000-0005-0000-0000-000082CD0000}"/>
    <cellStyle name="Note 115 2 5" xfId="52615" xr:uid="{00000000-0005-0000-0000-000083CD0000}"/>
    <cellStyle name="Note 115 3" xfId="52616" xr:uid="{00000000-0005-0000-0000-000084CD0000}"/>
    <cellStyle name="Note 115 3 2" xfId="52617" xr:uid="{00000000-0005-0000-0000-000085CD0000}"/>
    <cellStyle name="Note 115 3 3" xfId="52618" xr:uid="{00000000-0005-0000-0000-000086CD0000}"/>
    <cellStyle name="Note 115 4" xfId="52619" xr:uid="{00000000-0005-0000-0000-000087CD0000}"/>
    <cellStyle name="Note 115 5" xfId="52620" xr:uid="{00000000-0005-0000-0000-000088CD0000}"/>
    <cellStyle name="Note 116" xfId="52621" xr:uid="{00000000-0005-0000-0000-000089CD0000}"/>
    <cellStyle name="Note 116 2" xfId="52622" xr:uid="{00000000-0005-0000-0000-00008ACD0000}"/>
    <cellStyle name="Note 116 2 2" xfId="52623" xr:uid="{00000000-0005-0000-0000-00008BCD0000}"/>
    <cellStyle name="Note 116 2 2 2" xfId="52624" xr:uid="{00000000-0005-0000-0000-00008CCD0000}"/>
    <cellStyle name="Note 116 2 3" xfId="52625" xr:uid="{00000000-0005-0000-0000-00008DCD0000}"/>
    <cellStyle name="Note 116 2 3 2" xfId="52626" xr:uid="{00000000-0005-0000-0000-00008ECD0000}"/>
    <cellStyle name="Note 116 2 3 3" xfId="52627" xr:uid="{00000000-0005-0000-0000-00008FCD0000}"/>
    <cellStyle name="Note 116 2 4" xfId="52628" xr:uid="{00000000-0005-0000-0000-000090CD0000}"/>
    <cellStyle name="Note 116 2 5" xfId="52629" xr:uid="{00000000-0005-0000-0000-000091CD0000}"/>
    <cellStyle name="Note 116 3" xfId="52630" xr:uid="{00000000-0005-0000-0000-000092CD0000}"/>
    <cellStyle name="Note 116 3 2" xfId="52631" xr:uid="{00000000-0005-0000-0000-000093CD0000}"/>
    <cellStyle name="Note 116 3 3" xfId="52632" xr:uid="{00000000-0005-0000-0000-000094CD0000}"/>
    <cellStyle name="Note 116 4" xfId="52633" xr:uid="{00000000-0005-0000-0000-000095CD0000}"/>
    <cellStyle name="Note 116 5" xfId="52634" xr:uid="{00000000-0005-0000-0000-000096CD0000}"/>
    <cellStyle name="Note 117" xfId="52635" xr:uid="{00000000-0005-0000-0000-000097CD0000}"/>
    <cellStyle name="Note 117 2" xfId="52636" xr:uid="{00000000-0005-0000-0000-000098CD0000}"/>
    <cellStyle name="Note 117 2 2" xfId="52637" xr:uid="{00000000-0005-0000-0000-000099CD0000}"/>
    <cellStyle name="Note 117 2 2 2" xfId="52638" xr:uid="{00000000-0005-0000-0000-00009ACD0000}"/>
    <cellStyle name="Note 117 2 3" xfId="52639" xr:uid="{00000000-0005-0000-0000-00009BCD0000}"/>
    <cellStyle name="Note 117 2 3 2" xfId="52640" xr:uid="{00000000-0005-0000-0000-00009CCD0000}"/>
    <cellStyle name="Note 117 2 3 3" xfId="52641" xr:uid="{00000000-0005-0000-0000-00009DCD0000}"/>
    <cellStyle name="Note 117 2 4" xfId="52642" xr:uid="{00000000-0005-0000-0000-00009ECD0000}"/>
    <cellStyle name="Note 117 2 5" xfId="52643" xr:uid="{00000000-0005-0000-0000-00009FCD0000}"/>
    <cellStyle name="Note 117 3" xfId="52644" xr:uid="{00000000-0005-0000-0000-0000A0CD0000}"/>
    <cellStyle name="Note 117 3 2" xfId="52645" xr:uid="{00000000-0005-0000-0000-0000A1CD0000}"/>
    <cellStyle name="Note 117 3 3" xfId="52646" xr:uid="{00000000-0005-0000-0000-0000A2CD0000}"/>
    <cellStyle name="Note 117 4" xfId="52647" xr:uid="{00000000-0005-0000-0000-0000A3CD0000}"/>
    <cellStyle name="Note 117 5" xfId="52648" xr:uid="{00000000-0005-0000-0000-0000A4CD0000}"/>
    <cellStyle name="Note 118" xfId="52649" xr:uid="{00000000-0005-0000-0000-0000A5CD0000}"/>
    <cellStyle name="Note 118 2" xfId="52650" xr:uid="{00000000-0005-0000-0000-0000A6CD0000}"/>
    <cellStyle name="Note 118 2 2" xfId="52651" xr:uid="{00000000-0005-0000-0000-0000A7CD0000}"/>
    <cellStyle name="Note 118 2 2 2" xfId="52652" xr:uid="{00000000-0005-0000-0000-0000A8CD0000}"/>
    <cellStyle name="Note 118 2 3" xfId="52653" xr:uid="{00000000-0005-0000-0000-0000A9CD0000}"/>
    <cellStyle name="Note 118 2 3 2" xfId="52654" xr:uid="{00000000-0005-0000-0000-0000AACD0000}"/>
    <cellStyle name="Note 118 2 3 3" xfId="52655" xr:uid="{00000000-0005-0000-0000-0000ABCD0000}"/>
    <cellStyle name="Note 118 2 4" xfId="52656" xr:uid="{00000000-0005-0000-0000-0000ACCD0000}"/>
    <cellStyle name="Note 118 2 5" xfId="52657" xr:uid="{00000000-0005-0000-0000-0000ADCD0000}"/>
    <cellStyle name="Note 118 3" xfId="52658" xr:uid="{00000000-0005-0000-0000-0000AECD0000}"/>
    <cellStyle name="Note 118 3 2" xfId="52659" xr:uid="{00000000-0005-0000-0000-0000AFCD0000}"/>
    <cellStyle name="Note 118 3 3" xfId="52660" xr:uid="{00000000-0005-0000-0000-0000B0CD0000}"/>
    <cellStyle name="Note 118 4" xfId="52661" xr:uid="{00000000-0005-0000-0000-0000B1CD0000}"/>
    <cellStyle name="Note 118 5" xfId="52662" xr:uid="{00000000-0005-0000-0000-0000B2CD0000}"/>
    <cellStyle name="Note 119" xfId="52663" xr:uid="{00000000-0005-0000-0000-0000B3CD0000}"/>
    <cellStyle name="Note 119 2" xfId="52664" xr:uid="{00000000-0005-0000-0000-0000B4CD0000}"/>
    <cellStyle name="Note 119 2 2" xfId="52665" xr:uid="{00000000-0005-0000-0000-0000B5CD0000}"/>
    <cellStyle name="Note 119 2 2 2" xfId="52666" xr:uid="{00000000-0005-0000-0000-0000B6CD0000}"/>
    <cellStyle name="Note 119 2 3" xfId="52667" xr:uid="{00000000-0005-0000-0000-0000B7CD0000}"/>
    <cellStyle name="Note 119 2 3 2" xfId="52668" xr:uid="{00000000-0005-0000-0000-0000B8CD0000}"/>
    <cellStyle name="Note 119 2 3 3" xfId="52669" xr:uid="{00000000-0005-0000-0000-0000B9CD0000}"/>
    <cellStyle name="Note 119 2 4" xfId="52670" xr:uid="{00000000-0005-0000-0000-0000BACD0000}"/>
    <cellStyle name="Note 119 2 5" xfId="52671" xr:uid="{00000000-0005-0000-0000-0000BBCD0000}"/>
    <cellStyle name="Note 119 3" xfId="52672" xr:uid="{00000000-0005-0000-0000-0000BCCD0000}"/>
    <cellStyle name="Note 119 3 2" xfId="52673" xr:uid="{00000000-0005-0000-0000-0000BDCD0000}"/>
    <cellStyle name="Note 119 3 3" xfId="52674" xr:uid="{00000000-0005-0000-0000-0000BECD0000}"/>
    <cellStyle name="Note 119 4" xfId="52675" xr:uid="{00000000-0005-0000-0000-0000BFCD0000}"/>
    <cellStyle name="Note 119 5" xfId="52676" xr:uid="{00000000-0005-0000-0000-0000C0CD0000}"/>
    <cellStyle name="Note 12" xfId="52677" xr:uid="{00000000-0005-0000-0000-0000C1CD0000}"/>
    <cellStyle name="Note 12 2" xfId="52678" xr:uid="{00000000-0005-0000-0000-0000C2CD0000}"/>
    <cellStyle name="Note 12 2 2" xfId="52679" xr:uid="{00000000-0005-0000-0000-0000C3CD0000}"/>
    <cellStyle name="Note 12 2 2 2" xfId="52680" xr:uid="{00000000-0005-0000-0000-0000C4CD0000}"/>
    <cellStyle name="Note 12 2 3" xfId="52681" xr:uid="{00000000-0005-0000-0000-0000C5CD0000}"/>
    <cellStyle name="Note 12 2 3 2" xfId="52682" xr:uid="{00000000-0005-0000-0000-0000C6CD0000}"/>
    <cellStyle name="Note 12 2 4" xfId="52683" xr:uid="{00000000-0005-0000-0000-0000C7CD0000}"/>
    <cellStyle name="Note 12 2 4 2" xfId="52684" xr:uid="{00000000-0005-0000-0000-0000C8CD0000}"/>
    <cellStyle name="Note 12 2 5" xfId="52685" xr:uid="{00000000-0005-0000-0000-0000C9CD0000}"/>
    <cellStyle name="Note 12 2 5 2" xfId="52686" xr:uid="{00000000-0005-0000-0000-0000CACD0000}"/>
    <cellStyle name="Note 12 2 5 3" xfId="52687" xr:uid="{00000000-0005-0000-0000-0000CBCD0000}"/>
    <cellStyle name="Note 12 2 6" xfId="52688" xr:uid="{00000000-0005-0000-0000-0000CCCD0000}"/>
    <cellStyle name="Note 12 3" xfId="52689" xr:uid="{00000000-0005-0000-0000-0000CDCD0000}"/>
    <cellStyle name="Note 12 3 2" xfId="52690" xr:uid="{00000000-0005-0000-0000-0000CECD0000}"/>
    <cellStyle name="Note 12 3 2 2" xfId="52691" xr:uid="{00000000-0005-0000-0000-0000CFCD0000}"/>
    <cellStyle name="Note 12 3 3" xfId="52692" xr:uid="{00000000-0005-0000-0000-0000D0CD0000}"/>
    <cellStyle name="Note 12 3 3 2" xfId="52693" xr:uid="{00000000-0005-0000-0000-0000D1CD0000}"/>
    <cellStyle name="Note 12 3 4" xfId="52694" xr:uid="{00000000-0005-0000-0000-0000D2CD0000}"/>
    <cellStyle name="Note 12 4" xfId="52695" xr:uid="{00000000-0005-0000-0000-0000D3CD0000}"/>
    <cellStyle name="Note 12 4 2" xfId="52696" xr:uid="{00000000-0005-0000-0000-0000D4CD0000}"/>
    <cellStyle name="Note 12 5" xfId="52697" xr:uid="{00000000-0005-0000-0000-0000D5CD0000}"/>
    <cellStyle name="Note 12 5 2" xfId="52698" xr:uid="{00000000-0005-0000-0000-0000D6CD0000}"/>
    <cellStyle name="Note 12 6" xfId="52699" xr:uid="{00000000-0005-0000-0000-0000D7CD0000}"/>
    <cellStyle name="Note 12 6 2" xfId="52700" xr:uid="{00000000-0005-0000-0000-0000D8CD0000}"/>
    <cellStyle name="Note 12 7" xfId="52701" xr:uid="{00000000-0005-0000-0000-0000D9CD0000}"/>
    <cellStyle name="Note 12 7 2" xfId="52702" xr:uid="{00000000-0005-0000-0000-0000DACD0000}"/>
    <cellStyle name="Note 12 7 3" xfId="52703" xr:uid="{00000000-0005-0000-0000-0000DBCD0000}"/>
    <cellStyle name="Note 12 8" xfId="52704" xr:uid="{00000000-0005-0000-0000-0000DCCD0000}"/>
    <cellStyle name="Note 12 9" xfId="52705" xr:uid="{00000000-0005-0000-0000-0000DDCD0000}"/>
    <cellStyle name="Note 120" xfId="52706" xr:uid="{00000000-0005-0000-0000-0000DECD0000}"/>
    <cellStyle name="Note 120 2" xfId="52707" xr:uid="{00000000-0005-0000-0000-0000DFCD0000}"/>
    <cellStyle name="Note 120 2 2" xfId="52708" xr:uid="{00000000-0005-0000-0000-0000E0CD0000}"/>
    <cellStyle name="Note 120 2 2 2" xfId="52709" xr:uid="{00000000-0005-0000-0000-0000E1CD0000}"/>
    <cellStyle name="Note 120 2 3" xfId="52710" xr:uid="{00000000-0005-0000-0000-0000E2CD0000}"/>
    <cellStyle name="Note 120 2 3 2" xfId="52711" xr:uid="{00000000-0005-0000-0000-0000E3CD0000}"/>
    <cellStyle name="Note 120 2 3 3" xfId="52712" xr:uid="{00000000-0005-0000-0000-0000E4CD0000}"/>
    <cellStyle name="Note 120 2 4" xfId="52713" xr:uid="{00000000-0005-0000-0000-0000E5CD0000}"/>
    <cellStyle name="Note 120 2 5" xfId="52714" xr:uid="{00000000-0005-0000-0000-0000E6CD0000}"/>
    <cellStyle name="Note 120 3" xfId="52715" xr:uid="{00000000-0005-0000-0000-0000E7CD0000}"/>
    <cellStyle name="Note 120 3 2" xfId="52716" xr:uid="{00000000-0005-0000-0000-0000E8CD0000}"/>
    <cellStyle name="Note 120 3 3" xfId="52717" xr:uid="{00000000-0005-0000-0000-0000E9CD0000}"/>
    <cellStyle name="Note 120 4" xfId="52718" xr:uid="{00000000-0005-0000-0000-0000EACD0000}"/>
    <cellStyle name="Note 120 5" xfId="52719" xr:uid="{00000000-0005-0000-0000-0000EBCD0000}"/>
    <cellStyle name="Note 121" xfId="52720" xr:uid="{00000000-0005-0000-0000-0000ECCD0000}"/>
    <cellStyle name="Note 121 2" xfId="52721" xr:uid="{00000000-0005-0000-0000-0000EDCD0000}"/>
    <cellStyle name="Note 121 2 2" xfId="52722" xr:uid="{00000000-0005-0000-0000-0000EECD0000}"/>
    <cellStyle name="Note 121 2 2 2" xfId="52723" xr:uid="{00000000-0005-0000-0000-0000EFCD0000}"/>
    <cellStyle name="Note 121 2 3" xfId="52724" xr:uid="{00000000-0005-0000-0000-0000F0CD0000}"/>
    <cellStyle name="Note 121 2 3 2" xfId="52725" xr:uid="{00000000-0005-0000-0000-0000F1CD0000}"/>
    <cellStyle name="Note 121 2 3 3" xfId="52726" xr:uid="{00000000-0005-0000-0000-0000F2CD0000}"/>
    <cellStyle name="Note 121 2 4" xfId="52727" xr:uid="{00000000-0005-0000-0000-0000F3CD0000}"/>
    <cellStyle name="Note 121 2 5" xfId="52728" xr:uid="{00000000-0005-0000-0000-0000F4CD0000}"/>
    <cellStyle name="Note 121 3" xfId="52729" xr:uid="{00000000-0005-0000-0000-0000F5CD0000}"/>
    <cellStyle name="Note 121 3 2" xfId="52730" xr:uid="{00000000-0005-0000-0000-0000F6CD0000}"/>
    <cellStyle name="Note 121 3 3" xfId="52731" xr:uid="{00000000-0005-0000-0000-0000F7CD0000}"/>
    <cellStyle name="Note 121 4" xfId="52732" xr:uid="{00000000-0005-0000-0000-0000F8CD0000}"/>
    <cellStyle name="Note 121 5" xfId="52733" xr:uid="{00000000-0005-0000-0000-0000F9CD0000}"/>
    <cellStyle name="Note 122" xfId="52734" xr:uid="{00000000-0005-0000-0000-0000FACD0000}"/>
    <cellStyle name="Note 122 2" xfId="52735" xr:uid="{00000000-0005-0000-0000-0000FBCD0000}"/>
    <cellStyle name="Note 122 2 2" xfId="52736" xr:uid="{00000000-0005-0000-0000-0000FCCD0000}"/>
    <cellStyle name="Note 122 2 2 2" xfId="52737" xr:uid="{00000000-0005-0000-0000-0000FDCD0000}"/>
    <cellStyle name="Note 122 2 3" xfId="52738" xr:uid="{00000000-0005-0000-0000-0000FECD0000}"/>
    <cellStyle name="Note 122 2 3 2" xfId="52739" xr:uid="{00000000-0005-0000-0000-0000FFCD0000}"/>
    <cellStyle name="Note 122 2 3 3" xfId="52740" xr:uid="{00000000-0005-0000-0000-000000CE0000}"/>
    <cellStyle name="Note 122 2 4" xfId="52741" xr:uid="{00000000-0005-0000-0000-000001CE0000}"/>
    <cellStyle name="Note 122 2 5" xfId="52742" xr:uid="{00000000-0005-0000-0000-000002CE0000}"/>
    <cellStyle name="Note 122 3" xfId="52743" xr:uid="{00000000-0005-0000-0000-000003CE0000}"/>
    <cellStyle name="Note 122 3 2" xfId="52744" xr:uid="{00000000-0005-0000-0000-000004CE0000}"/>
    <cellStyle name="Note 122 3 3" xfId="52745" xr:uid="{00000000-0005-0000-0000-000005CE0000}"/>
    <cellStyle name="Note 122 4" xfId="52746" xr:uid="{00000000-0005-0000-0000-000006CE0000}"/>
    <cellStyle name="Note 122 5" xfId="52747" xr:uid="{00000000-0005-0000-0000-000007CE0000}"/>
    <cellStyle name="Note 123" xfId="52748" xr:uid="{00000000-0005-0000-0000-000008CE0000}"/>
    <cellStyle name="Note 123 2" xfId="52749" xr:uid="{00000000-0005-0000-0000-000009CE0000}"/>
    <cellStyle name="Note 123 2 2" xfId="52750" xr:uid="{00000000-0005-0000-0000-00000ACE0000}"/>
    <cellStyle name="Note 123 2 2 2" xfId="52751" xr:uid="{00000000-0005-0000-0000-00000BCE0000}"/>
    <cellStyle name="Note 123 2 3" xfId="52752" xr:uid="{00000000-0005-0000-0000-00000CCE0000}"/>
    <cellStyle name="Note 123 2 3 2" xfId="52753" xr:uid="{00000000-0005-0000-0000-00000DCE0000}"/>
    <cellStyle name="Note 123 2 3 3" xfId="52754" xr:uid="{00000000-0005-0000-0000-00000ECE0000}"/>
    <cellStyle name="Note 123 2 4" xfId="52755" xr:uid="{00000000-0005-0000-0000-00000FCE0000}"/>
    <cellStyle name="Note 123 2 5" xfId="52756" xr:uid="{00000000-0005-0000-0000-000010CE0000}"/>
    <cellStyle name="Note 123 3" xfId="52757" xr:uid="{00000000-0005-0000-0000-000011CE0000}"/>
    <cellStyle name="Note 123 3 2" xfId="52758" xr:uid="{00000000-0005-0000-0000-000012CE0000}"/>
    <cellStyle name="Note 123 3 3" xfId="52759" xr:uid="{00000000-0005-0000-0000-000013CE0000}"/>
    <cellStyle name="Note 123 4" xfId="52760" xr:uid="{00000000-0005-0000-0000-000014CE0000}"/>
    <cellStyle name="Note 123 5" xfId="52761" xr:uid="{00000000-0005-0000-0000-000015CE0000}"/>
    <cellStyle name="Note 124" xfId="52762" xr:uid="{00000000-0005-0000-0000-000016CE0000}"/>
    <cellStyle name="Note 124 2" xfId="52763" xr:uid="{00000000-0005-0000-0000-000017CE0000}"/>
    <cellStyle name="Note 124 2 2" xfId="52764" xr:uid="{00000000-0005-0000-0000-000018CE0000}"/>
    <cellStyle name="Note 124 2 2 2" xfId="52765" xr:uid="{00000000-0005-0000-0000-000019CE0000}"/>
    <cellStyle name="Note 124 2 3" xfId="52766" xr:uid="{00000000-0005-0000-0000-00001ACE0000}"/>
    <cellStyle name="Note 124 2 3 2" xfId="52767" xr:uid="{00000000-0005-0000-0000-00001BCE0000}"/>
    <cellStyle name="Note 124 2 3 3" xfId="52768" xr:uid="{00000000-0005-0000-0000-00001CCE0000}"/>
    <cellStyle name="Note 124 2 4" xfId="52769" xr:uid="{00000000-0005-0000-0000-00001DCE0000}"/>
    <cellStyle name="Note 124 2 5" xfId="52770" xr:uid="{00000000-0005-0000-0000-00001ECE0000}"/>
    <cellStyle name="Note 124 3" xfId="52771" xr:uid="{00000000-0005-0000-0000-00001FCE0000}"/>
    <cellStyle name="Note 124 3 2" xfId="52772" xr:uid="{00000000-0005-0000-0000-000020CE0000}"/>
    <cellStyle name="Note 124 3 3" xfId="52773" xr:uid="{00000000-0005-0000-0000-000021CE0000}"/>
    <cellStyle name="Note 124 4" xfId="52774" xr:uid="{00000000-0005-0000-0000-000022CE0000}"/>
    <cellStyle name="Note 124 5" xfId="52775" xr:uid="{00000000-0005-0000-0000-000023CE0000}"/>
    <cellStyle name="Note 125" xfId="52776" xr:uid="{00000000-0005-0000-0000-000024CE0000}"/>
    <cellStyle name="Note 125 2" xfId="52777" xr:uid="{00000000-0005-0000-0000-000025CE0000}"/>
    <cellStyle name="Note 125 2 2" xfId="52778" xr:uid="{00000000-0005-0000-0000-000026CE0000}"/>
    <cellStyle name="Note 125 2 2 2" xfId="52779" xr:uid="{00000000-0005-0000-0000-000027CE0000}"/>
    <cellStyle name="Note 125 2 3" xfId="52780" xr:uid="{00000000-0005-0000-0000-000028CE0000}"/>
    <cellStyle name="Note 125 2 3 2" xfId="52781" xr:uid="{00000000-0005-0000-0000-000029CE0000}"/>
    <cellStyle name="Note 125 2 3 3" xfId="52782" xr:uid="{00000000-0005-0000-0000-00002ACE0000}"/>
    <cellStyle name="Note 125 2 4" xfId="52783" xr:uid="{00000000-0005-0000-0000-00002BCE0000}"/>
    <cellStyle name="Note 125 2 5" xfId="52784" xr:uid="{00000000-0005-0000-0000-00002CCE0000}"/>
    <cellStyle name="Note 125 3" xfId="52785" xr:uid="{00000000-0005-0000-0000-00002DCE0000}"/>
    <cellStyle name="Note 125 3 2" xfId="52786" xr:uid="{00000000-0005-0000-0000-00002ECE0000}"/>
    <cellStyle name="Note 125 3 3" xfId="52787" xr:uid="{00000000-0005-0000-0000-00002FCE0000}"/>
    <cellStyle name="Note 125 4" xfId="52788" xr:uid="{00000000-0005-0000-0000-000030CE0000}"/>
    <cellStyle name="Note 125 5" xfId="52789" xr:uid="{00000000-0005-0000-0000-000031CE0000}"/>
    <cellStyle name="Note 126" xfId="52790" xr:uid="{00000000-0005-0000-0000-000032CE0000}"/>
    <cellStyle name="Note 126 2" xfId="52791" xr:uid="{00000000-0005-0000-0000-000033CE0000}"/>
    <cellStyle name="Note 126 2 2" xfId="52792" xr:uid="{00000000-0005-0000-0000-000034CE0000}"/>
    <cellStyle name="Note 126 2 2 2" xfId="52793" xr:uid="{00000000-0005-0000-0000-000035CE0000}"/>
    <cellStyle name="Note 126 2 3" xfId="52794" xr:uid="{00000000-0005-0000-0000-000036CE0000}"/>
    <cellStyle name="Note 126 2 3 2" xfId="52795" xr:uid="{00000000-0005-0000-0000-000037CE0000}"/>
    <cellStyle name="Note 126 2 3 3" xfId="52796" xr:uid="{00000000-0005-0000-0000-000038CE0000}"/>
    <cellStyle name="Note 126 2 4" xfId="52797" xr:uid="{00000000-0005-0000-0000-000039CE0000}"/>
    <cellStyle name="Note 126 2 5" xfId="52798" xr:uid="{00000000-0005-0000-0000-00003ACE0000}"/>
    <cellStyle name="Note 126 3" xfId="52799" xr:uid="{00000000-0005-0000-0000-00003BCE0000}"/>
    <cellStyle name="Note 126 3 2" xfId="52800" xr:uid="{00000000-0005-0000-0000-00003CCE0000}"/>
    <cellStyle name="Note 126 3 3" xfId="52801" xr:uid="{00000000-0005-0000-0000-00003DCE0000}"/>
    <cellStyle name="Note 126 4" xfId="52802" xr:uid="{00000000-0005-0000-0000-00003ECE0000}"/>
    <cellStyle name="Note 126 5" xfId="52803" xr:uid="{00000000-0005-0000-0000-00003FCE0000}"/>
    <cellStyle name="Note 127" xfId="52804" xr:uid="{00000000-0005-0000-0000-000040CE0000}"/>
    <cellStyle name="Note 127 2" xfId="52805" xr:uid="{00000000-0005-0000-0000-000041CE0000}"/>
    <cellStyle name="Note 127 2 2" xfId="52806" xr:uid="{00000000-0005-0000-0000-000042CE0000}"/>
    <cellStyle name="Note 127 2 2 2" xfId="52807" xr:uid="{00000000-0005-0000-0000-000043CE0000}"/>
    <cellStyle name="Note 127 2 3" xfId="52808" xr:uid="{00000000-0005-0000-0000-000044CE0000}"/>
    <cellStyle name="Note 127 2 3 2" xfId="52809" xr:uid="{00000000-0005-0000-0000-000045CE0000}"/>
    <cellStyle name="Note 127 2 3 3" xfId="52810" xr:uid="{00000000-0005-0000-0000-000046CE0000}"/>
    <cellStyle name="Note 127 2 4" xfId="52811" xr:uid="{00000000-0005-0000-0000-000047CE0000}"/>
    <cellStyle name="Note 127 2 5" xfId="52812" xr:uid="{00000000-0005-0000-0000-000048CE0000}"/>
    <cellStyle name="Note 127 3" xfId="52813" xr:uid="{00000000-0005-0000-0000-000049CE0000}"/>
    <cellStyle name="Note 127 3 2" xfId="52814" xr:uid="{00000000-0005-0000-0000-00004ACE0000}"/>
    <cellStyle name="Note 127 3 3" xfId="52815" xr:uid="{00000000-0005-0000-0000-00004BCE0000}"/>
    <cellStyle name="Note 127 4" xfId="52816" xr:uid="{00000000-0005-0000-0000-00004CCE0000}"/>
    <cellStyle name="Note 127 5" xfId="52817" xr:uid="{00000000-0005-0000-0000-00004DCE0000}"/>
    <cellStyle name="Note 128" xfId="52818" xr:uid="{00000000-0005-0000-0000-00004ECE0000}"/>
    <cellStyle name="Note 128 2" xfId="52819" xr:uid="{00000000-0005-0000-0000-00004FCE0000}"/>
    <cellStyle name="Note 128 2 2" xfId="52820" xr:uid="{00000000-0005-0000-0000-000050CE0000}"/>
    <cellStyle name="Note 128 2 2 2" xfId="52821" xr:uid="{00000000-0005-0000-0000-000051CE0000}"/>
    <cellStyle name="Note 128 2 3" xfId="52822" xr:uid="{00000000-0005-0000-0000-000052CE0000}"/>
    <cellStyle name="Note 128 2 3 2" xfId="52823" xr:uid="{00000000-0005-0000-0000-000053CE0000}"/>
    <cellStyle name="Note 128 2 3 3" xfId="52824" xr:uid="{00000000-0005-0000-0000-000054CE0000}"/>
    <cellStyle name="Note 128 2 4" xfId="52825" xr:uid="{00000000-0005-0000-0000-000055CE0000}"/>
    <cellStyle name="Note 128 2 5" xfId="52826" xr:uid="{00000000-0005-0000-0000-000056CE0000}"/>
    <cellStyle name="Note 128 3" xfId="52827" xr:uid="{00000000-0005-0000-0000-000057CE0000}"/>
    <cellStyle name="Note 128 3 2" xfId="52828" xr:uid="{00000000-0005-0000-0000-000058CE0000}"/>
    <cellStyle name="Note 128 3 3" xfId="52829" xr:uid="{00000000-0005-0000-0000-000059CE0000}"/>
    <cellStyle name="Note 128 4" xfId="52830" xr:uid="{00000000-0005-0000-0000-00005ACE0000}"/>
    <cellStyle name="Note 128 5" xfId="52831" xr:uid="{00000000-0005-0000-0000-00005BCE0000}"/>
    <cellStyle name="Note 129" xfId="52832" xr:uid="{00000000-0005-0000-0000-00005CCE0000}"/>
    <cellStyle name="Note 129 2" xfId="52833" xr:uid="{00000000-0005-0000-0000-00005DCE0000}"/>
    <cellStyle name="Note 129 2 2" xfId="52834" xr:uid="{00000000-0005-0000-0000-00005ECE0000}"/>
    <cellStyle name="Note 129 2 2 2" xfId="52835" xr:uid="{00000000-0005-0000-0000-00005FCE0000}"/>
    <cellStyle name="Note 129 2 3" xfId="52836" xr:uid="{00000000-0005-0000-0000-000060CE0000}"/>
    <cellStyle name="Note 129 2 3 2" xfId="52837" xr:uid="{00000000-0005-0000-0000-000061CE0000}"/>
    <cellStyle name="Note 129 2 3 3" xfId="52838" xr:uid="{00000000-0005-0000-0000-000062CE0000}"/>
    <cellStyle name="Note 129 2 4" xfId="52839" xr:uid="{00000000-0005-0000-0000-000063CE0000}"/>
    <cellStyle name="Note 129 2 5" xfId="52840" xr:uid="{00000000-0005-0000-0000-000064CE0000}"/>
    <cellStyle name="Note 129 3" xfId="52841" xr:uid="{00000000-0005-0000-0000-000065CE0000}"/>
    <cellStyle name="Note 129 3 2" xfId="52842" xr:uid="{00000000-0005-0000-0000-000066CE0000}"/>
    <cellStyle name="Note 129 3 3" xfId="52843" xr:uid="{00000000-0005-0000-0000-000067CE0000}"/>
    <cellStyle name="Note 129 4" xfId="52844" xr:uid="{00000000-0005-0000-0000-000068CE0000}"/>
    <cellStyle name="Note 129 5" xfId="52845" xr:uid="{00000000-0005-0000-0000-000069CE0000}"/>
    <cellStyle name="Note 13" xfId="52846" xr:uid="{00000000-0005-0000-0000-00006ACE0000}"/>
    <cellStyle name="Note 13 2" xfId="52847" xr:uid="{00000000-0005-0000-0000-00006BCE0000}"/>
    <cellStyle name="Note 13 2 2" xfId="52848" xr:uid="{00000000-0005-0000-0000-00006CCE0000}"/>
    <cellStyle name="Note 13 2 2 2" xfId="52849" xr:uid="{00000000-0005-0000-0000-00006DCE0000}"/>
    <cellStyle name="Note 13 2 3" xfId="52850" xr:uid="{00000000-0005-0000-0000-00006ECE0000}"/>
    <cellStyle name="Note 13 2 3 2" xfId="52851" xr:uid="{00000000-0005-0000-0000-00006FCE0000}"/>
    <cellStyle name="Note 13 2 3 3" xfId="52852" xr:uid="{00000000-0005-0000-0000-000070CE0000}"/>
    <cellStyle name="Note 13 2 4" xfId="52853" xr:uid="{00000000-0005-0000-0000-000071CE0000}"/>
    <cellStyle name="Note 13 3" xfId="52854" xr:uid="{00000000-0005-0000-0000-000072CE0000}"/>
    <cellStyle name="Note 13 3 2" xfId="52855" xr:uid="{00000000-0005-0000-0000-000073CE0000}"/>
    <cellStyle name="Note 13 4" xfId="52856" xr:uid="{00000000-0005-0000-0000-000074CE0000}"/>
    <cellStyle name="Note 13 4 2" xfId="52857" xr:uid="{00000000-0005-0000-0000-000075CE0000}"/>
    <cellStyle name="Note 13 4 3" xfId="52858" xr:uid="{00000000-0005-0000-0000-000076CE0000}"/>
    <cellStyle name="Note 13 5" xfId="52859" xr:uid="{00000000-0005-0000-0000-000077CE0000}"/>
    <cellStyle name="Note 13 6" xfId="52860" xr:uid="{00000000-0005-0000-0000-000078CE0000}"/>
    <cellStyle name="Note 130" xfId="52861" xr:uid="{00000000-0005-0000-0000-000079CE0000}"/>
    <cellStyle name="Note 130 2" xfId="52862" xr:uid="{00000000-0005-0000-0000-00007ACE0000}"/>
    <cellStyle name="Note 130 2 2" xfId="52863" xr:uid="{00000000-0005-0000-0000-00007BCE0000}"/>
    <cellStyle name="Note 130 2 2 2" xfId="52864" xr:uid="{00000000-0005-0000-0000-00007CCE0000}"/>
    <cellStyle name="Note 130 2 3" xfId="52865" xr:uid="{00000000-0005-0000-0000-00007DCE0000}"/>
    <cellStyle name="Note 130 2 3 2" xfId="52866" xr:uid="{00000000-0005-0000-0000-00007ECE0000}"/>
    <cellStyle name="Note 130 2 3 3" xfId="52867" xr:uid="{00000000-0005-0000-0000-00007FCE0000}"/>
    <cellStyle name="Note 130 2 4" xfId="52868" xr:uid="{00000000-0005-0000-0000-000080CE0000}"/>
    <cellStyle name="Note 130 2 5" xfId="52869" xr:uid="{00000000-0005-0000-0000-000081CE0000}"/>
    <cellStyle name="Note 130 3" xfId="52870" xr:uid="{00000000-0005-0000-0000-000082CE0000}"/>
    <cellStyle name="Note 130 3 2" xfId="52871" xr:uid="{00000000-0005-0000-0000-000083CE0000}"/>
    <cellStyle name="Note 130 3 3" xfId="52872" xr:uid="{00000000-0005-0000-0000-000084CE0000}"/>
    <cellStyle name="Note 130 4" xfId="52873" xr:uid="{00000000-0005-0000-0000-000085CE0000}"/>
    <cellStyle name="Note 130 5" xfId="52874" xr:uid="{00000000-0005-0000-0000-000086CE0000}"/>
    <cellStyle name="Note 131" xfId="52875" xr:uid="{00000000-0005-0000-0000-000087CE0000}"/>
    <cellStyle name="Note 131 2" xfId="52876" xr:uid="{00000000-0005-0000-0000-000088CE0000}"/>
    <cellStyle name="Note 131 2 2" xfId="52877" xr:uid="{00000000-0005-0000-0000-000089CE0000}"/>
    <cellStyle name="Note 131 2 2 2" xfId="52878" xr:uid="{00000000-0005-0000-0000-00008ACE0000}"/>
    <cellStyle name="Note 131 2 3" xfId="52879" xr:uid="{00000000-0005-0000-0000-00008BCE0000}"/>
    <cellStyle name="Note 131 2 3 2" xfId="52880" xr:uid="{00000000-0005-0000-0000-00008CCE0000}"/>
    <cellStyle name="Note 131 2 3 3" xfId="52881" xr:uid="{00000000-0005-0000-0000-00008DCE0000}"/>
    <cellStyle name="Note 131 2 4" xfId="52882" xr:uid="{00000000-0005-0000-0000-00008ECE0000}"/>
    <cellStyle name="Note 131 2 5" xfId="52883" xr:uid="{00000000-0005-0000-0000-00008FCE0000}"/>
    <cellStyle name="Note 131 3" xfId="52884" xr:uid="{00000000-0005-0000-0000-000090CE0000}"/>
    <cellStyle name="Note 131 3 2" xfId="52885" xr:uid="{00000000-0005-0000-0000-000091CE0000}"/>
    <cellStyle name="Note 131 3 3" xfId="52886" xr:uid="{00000000-0005-0000-0000-000092CE0000}"/>
    <cellStyle name="Note 131 4" xfId="52887" xr:uid="{00000000-0005-0000-0000-000093CE0000}"/>
    <cellStyle name="Note 131 5" xfId="52888" xr:uid="{00000000-0005-0000-0000-000094CE0000}"/>
    <cellStyle name="Note 132" xfId="52889" xr:uid="{00000000-0005-0000-0000-000095CE0000}"/>
    <cellStyle name="Note 132 2" xfId="52890" xr:uid="{00000000-0005-0000-0000-000096CE0000}"/>
    <cellStyle name="Note 132 2 2" xfId="52891" xr:uid="{00000000-0005-0000-0000-000097CE0000}"/>
    <cellStyle name="Note 132 2 2 2" xfId="52892" xr:uid="{00000000-0005-0000-0000-000098CE0000}"/>
    <cellStyle name="Note 132 2 3" xfId="52893" xr:uid="{00000000-0005-0000-0000-000099CE0000}"/>
    <cellStyle name="Note 132 2 3 2" xfId="52894" xr:uid="{00000000-0005-0000-0000-00009ACE0000}"/>
    <cellStyle name="Note 132 2 3 3" xfId="52895" xr:uid="{00000000-0005-0000-0000-00009BCE0000}"/>
    <cellStyle name="Note 132 2 4" xfId="52896" xr:uid="{00000000-0005-0000-0000-00009CCE0000}"/>
    <cellStyle name="Note 132 2 5" xfId="52897" xr:uid="{00000000-0005-0000-0000-00009DCE0000}"/>
    <cellStyle name="Note 132 3" xfId="52898" xr:uid="{00000000-0005-0000-0000-00009ECE0000}"/>
    <cellStyle name="Note 132 3 2" xfId="52899" xr:uid="{00000000-0005-0000-0000-00009FCE0000}"/>
    <cellStyle name="Note 132 3 3" xfId="52900" xr:uid="{00000000-0005-0000-0000-0000A0CE0000}"/>
    <cellStyle name="Note 132 4" xfId="52901" xr:uid="{00000000-0005-0000-0000-0000A1CE0000}"/>
    <cellStyle name="Note 132 5" xfId="52902" xr:uid="{00000000-0005-0000-0000-0000A2CE0000}"/>
    <cellStyle name="Note 133" xfId="52903" xr:uid="{00000000-0005-0000-0000-0000A3CE0000}"/>
    <cellStyle name="Note 133 2" xfId="52904" xr:uid="{00000000-0005-0000-0000-0000A4CE0000}"/>
    <cellStyle name="Note 133 2 2" xfId="52905" xr:uid="{00000000-0005-0000-0000-0000A5CE0000}"/>
    <cellStyle name="Note 133 2 2 2" xfId="52906" xr:uid="{00000000-0005-0000-0000-0000A6CE0000}"/>
    <cellStyle name="Note 133 2 3" xfId="52907" xr:uid="{00000000-0005-0000-0000-0000A7CE0000}"/>
    <cellStyle name="Note 133 2 3 2" xfId="52908" xr:uid="{00000000-0005-0000-0000-0000A8CE0000}"/>
    <cellStyle name="Note 133 2 3 3" xfId="52909" xr:uid="{00000000-0005-0000-0000-0000A9CE0000}"/>
    <cellStyle name="Note 133 2 4" xfId="52910" xr:uid="{00000000-0005-0000-0000-0000AACE0000}"/>
    <cellStyle name="Note 133 2 5" xfId="52911" xr:uid="{00000000-0005-0000-0000-0000ABCE0000}"/>
    <cellStyle name="Note 133 3" xfId="52912" xr:uid="{00000000-0005-0000-0000-0000ACCE0000}"/>
    <cellStyle name="Note 133 3 2" xfId="52913" xr:uid="{00000000-0005-0000-0000-0000ADCE0000}"/>
    <cellStyle name="Note 133 3 3" xfId="52914" xr:uid="{00000000-0005-0000-0000-0000AECE0000}"/>
    <cellStyle name="Note 133 4" xfId="52915" xr:uid="{00000000-0005-0000-0000-0000AFCE0000}"/>
    <cellStyle name="Note 133 5" xfId="52916" xr:uid="{00000000-0005-0000-0000-0000B0CE0000}"/>
    <cellStyle name="Note 134" xfId="52917" xr:uid="{00000000-0005-0000-0000-0000B1CE0000}"/>
    <cellStyle name="Note 134 2" xfId="52918" xr:uid="{00000000-0005-0000-0000-0000B2CE0000}"/>
    <cellStyle name="Note 134 2 2" xfId="52919" xr:uid="{00000000-0005-0000-0000-0000B3CE0000}"/>
    <cellStyle name="Note 134 2 2 2" xfId="52920" xr:uid="{00000000-0005-0000-0000-0000B4CE0000}"/>
    <cellStyle name="Note 134 2 3" xfId="52921" xr:uid="{00000000-0005-0000-0000-0000B5CE0000}"/>
    <cellStyle name="Note 134 2 3 2" xfId="52922" xr:uid="{00000000-0005-0000-0000-0000B6CE0000}"/>
    <cellStyle name="Note 134 2 3 3" xfId="52923" xr:uid="{00000000-0005-0000-0000-0000B7CE0000}"/>
    <cellStyle name="Note 134 2 4" xfId="52924" xr:uid="{00000000-0005-0000-0000-0000B8CE0000}"/>
    <cellStyle name="Note 134 2 5" xfId="52925" xr:uid="{00000000-0005-0000-0000-0000B9CE0000}"/>
    <cellStyle name="Note 134 3" xfId="52926" xr:uid="{00000000-0005-0000-0000-0000BACE0000}"/>
    <cellStyle name="Note 134 3 2" xfId="52927" xr:uid="{00000000-0005-0000-0000-0000BBCE0000}"/>
    <cellStyle name="Note 134 3 3" xfId="52928" xr:uid="{00000000-0005-0000-0000-0000BCCE0000}"/>
    <cellStyle name="Note 134 4" xfId="52929" xr:uid="{00000000-0005-0000-0000-0000BDCE0000}"/>
    <cellStyle name="Note 134 5" xfId="52930" xr:uid="{00000000-0005-0000-0000-0000BECE0000}"/>
    <cellStyle name="Note 135" xfId="52931" xr:uid="{00000000-0005-0000-0000-0000BFCE0000}"/>
    <cellStyle name="Note 135 2" xfId="52932" xr:uid="{00000000-0005-0000-0000-0000C0CE0000}"/>
    <cellStyle name="Note 135 2 2" xfId="52933" xr:uid="{00000000-0005-0000-0000-0000C1CE0000}"/>
    <cellStyle name="Note 135 2 2 2" xfId="52934" xr:uid="{00000000-0005-0000-0000-0000C2CE0000}"/>
    <cellStyle name="Note 135 2 3" xfId="52935" xr:uid="{00000000-0005-0000-0000-0000C3CE0000}"/>
    <cellStyle name="Note 135 2 3 2" xfId="52936" xr:uid="{00000000-0005-0000-0000-0000C4CE0000}"/>
    <cellStyle name="Note 135 2 3 3" xfId="52937" xr:uid="{00000000-0005-0000-0000-0000C5CE0000}"/>
    <cellStyle name="Note 135 2 4" xfId="52938" xr:uid="{00000000-0005-0000-0000-0000C6CE0000}"/>
    <cellStyle name="Note 135 2 5" xfId="52939" xr:uid="{00000000-0005-0000-0000-0000C7CE0000}"/>
    <cellStyle name="Note 135 3" xfId="52940" xr:uid="{00000000-0005-0000-0000-0000C8CE0000}"/>
    <cellStyle name="Note 135 3 2" xfId="52941" xr:uid="{00000000-0005-0000-0000-0000C9CE0000}"/>
    <cellStyle name="Note 135 3 3" xfId="52942" xr:uid="{00000000-0005-0000-0000-0000CACE0000}"/>
    <cellStyle name="Note 135 4" xfId="52943" xr:uid="{00000000-0005-0000-0000-0000CBCE0000}"/>
    <cellStyle name="Note 135 5" xfId="52944" xr:uid="{00000000-0005-0000-0000-0000CCCE0000}"/>
    <cellStyle name="Note 136" xfId="52945" xr:uid="{00000000-0005-0000-0000-0000CDCE0000}"/>
    <cellStyle name="Note 136 2" xfId="52946" xr:uid="{00000000-0005-0000-0000-0000CECE0000}"/>
    <cellStyle name="Note 136 2 2" xfId="52947" xr:uid="{00000000-0005-0000-0000-0000CFCE0000}"/>
    <cellStyle name="Note 136 2 2 2" xfId="52948" xr:uid="{00000000-0005-0000-0000-0000D0CE0000}"/>
    <cellStyle name="Note 136 2 3" xfId="52949" xr:uid="{00000000-0005-0000-0000-0000D1CE0000}"/>
    <cellStyle name="Note 136 2 3 2" xfId="52950" xr:uid="{00000000-0005-0000-0000-0000D2CE0000}"/>
    <cellStyle name="Note 136 2 3 3" xfId="52951" xr:uid="{00000000-0005-0000-0000-0000D3CE0000}"/>
    <cellStyle name="Note 136 2 4" xfId="52952" xr:uid="{00000000-0005-0000-0000-0000D4CE0000}"/>
    <cellStyle name="Note 136 2 5" xfId="52953" xr:uid="{00000000-0005-0000-0000-0000D5CE0000}"/>
    <cellStyle name="Note 136 3" xfId="52954" xr:uid="{00000000-0005-0000-0000-0000D6CE0000}"/>
    <cellStyle name="Note 136 3 2" xfId="52955" xr:uid="{00000000-0005-0000-0000-0000D7CE0000}"/>
    <cellStyle name="Note 136 3 3" xfId="52956" xr:uid="{00000000-0005-0000-0000-0000D8CE0000}"/>
    <cellStyle name="Note 136 4" xfId="52957" xr:uid="{00000000-0005-0000-0000-0000D9CE0000}"/>
    <cellStyle name="Note 136 5" xfId="52958" xr:uid="{00000000-0005-0000-0000-0000DACE0000}"/>
    <cellStyle name="Note 137" xfId="52959" xr:uid="{00000000-0005-0000-0000-0000DBCE0000}"/>
    <cellStyle name="Note 137 2" xfId="52960" xr:uid="{00000000-0005-0000-0000-0000DCCE0000}"/>
    <cellStyle name="Note 137 2 2" xfId="52961" xr:uid="{00000000-0005-0000-0000-0000DDCE0000}"/>
    <cellStyle name="Note 137 3" xfId="52962" xr:uid="{00000000-0005-0000-0000-0000DECE0000}"/>
    <cellStyle name="Note 137 3 2" xfId="52963" xr:uid="{00000000-0005-0000-0000-0000DFCE0000}"/>
    <cellStyle name="Note 137 3 3" xfId="52964" xr:uid="{00000000-0005-0000-0000-0000E0CE0000}"/>
    <cellStyle name="Note 137 4" xfId="52965" xr:uid="{00000000-0005-0000-0000-0000E1CE0000}"/>
    <cellStyle name="Note 138" xfId="52966" xr:uid="{00000000-0005-0000-0000-0000E2CE0000}"/>
    <cellStyle name="Note 138 2" xfId="52967" xr:uid="{00000000-0005-0000-0000-0000E3CE0000}"/>
    <cellStyle name="Note 138 2 2" xfId="52968" xr:uid="{00000000-0005-0000-0000-0000E4CE0000}"/>
    <cellStyle name="Note 138 3" xfId="52969" xr:uid="{00000000-0005-0000-0000-0000E5CE0000}"/>
    <cellStyle name="Note 138 3 2" xfId="52970" xr:uid="{00000000-0005-0000-0000-0000E6CE0000}"/>
    <cellStyle name="Note 138 3 3" xfId="52971" xr:uid="{00000000-0005-0000-0000-0000E7CE0000}"/>
    <cellStyle name="Note 138 4" xfId="52972" xr:uid="{00000000-0005-0000-0000-0000E8CE0000}"/>
    <cellStyle name="Note 139" xfId="52973" xr:uid="{00000000-0005-0000-0000-0000E9CE0000}"/>
    <cellStyle name="Note 139 2" xfId="52974" xr:uid="{00000000-0005-0000-0000-0000EACE0000}"/>
    <cellStyle name="Note 139 2 2" xfId="52975" xr:uid="{00000000-0005-0000-0000-0000EBCE0000}"/>
    <cellStyle name="Note 139 3" xfId="52976" xr:uid="{00000000-0005-0000-0000-0000ECCE0000}"/>
    <cellStyle name="Note 139 3 2" xfId="52977" xr:uid="{00000000-0005-0000-0000-0000EDCE0000}"/>
    <cellStyle name="Note 139 3 3" xfId="52978" xr:uid="{00000000-0005-0000-0000-0000EECE0000}"/>
    <cellStyle name="Note 139 4" xfId="52979" xr:uid="{00000000-0005-0000-0000-0000EFCE0000}"/>
    <cellStyle name="Note 14" xfId="52980" xr:uid="{00000000-0005-0000-0000-0000F0CE0000}"/>
    <cellStyle name="Note 14 2" xfId="52981" xr:uid="{00000000-0005-0000-0000-0000F1CE0000}"/>
    <cellStyle name="Note 14 2 2" xfId="52982" xr:uid="{00000000-0005-0000-0000-0000F2CE0000}"/>
    <cellStyle name="Note 14 2 2 2" xfId="52983" xr:uid="{00000000-0005-0000-0000-0000F3CE0000}"/>
    <cellStyle name="Note 14 2 3" xfId="52984" xr:uid="{00000000-0005-0000-0000-0000F4CE0000}"/>
    <cellStyle name="Note 14 2 3 2" xfId="52985" xr:uid="{00000000-0005-0000-0000-0000F5CE0000}"/>
    <cellStyle name="Note 14 2 3 3" xfId="52986" xr:uid="{00000000-0005-0000-0000-0000F6CE0000}"/>
    <cellStyle name="Note 14 2 4" xfId="52987" xr:uid="{00000000-0005-0000-0000-0000F7CE0000}"/>
    <cellStyle name="Note 14 3" xfId="52988" xr:uid="{00000000-0005-0000-0000-0000F8CE0000}"/>
    <cellStyle name="Note 14 3 2" xfId="52989" xr:uid="{00000000-0005-0000-0000-0000F9CE0000}"/>
    <cellStyle name="Note 14 4" xfId="52990" xr:uid="{00000000-0005-0000-0000-0000FACE0000}"/>
    <cellStyle name="Note 14 4 2" xfId="52991" xr:uid="{00000000-0005-0000-0000-0000FBCE0000}"/>
    <cellStyle name="Note 14 4 3" xfId="52992" xr:uid="{00000000-0005-0000-0000-0000FCCE0000}"/>
    <cellStyle name="Note 14 5" xfId="52993" xr:uid="{00000000-0005-0000-0000-0000FDCE0000}"/>
    <cellStyle name="Note 14 6" xfId="52994" xr:uid="{00000000-0005-0000-0000-0000FECE0000}"/>
    <cellStyle name="Note 140" xfId="52995" xr:uid="{00000000-0005-0000-0000-0000FFCE0000}"/>
    <cellStyle name="Note 140 2" xfId="52996" xr:uid="{00000000-0005-0000-0000-000000CF0000}"/>
    <cellStyle name="Note 140 2 2" xfId="52997" xr:uid="{00000000-0005-0000-0000-000001CF0000}"/>
    <cellStyle name="Note 140 3" xfId="52998" xr:uid="{00000000-0005-0000-0000-000002CF0000}"/>
    <cellStyle name="Note 140 3 2" xfId="52999" xr:uid="{00000000-0005-0000-0000-000003CF0000}"/>
    <cellStyle name="Note 140 3 3" xfId="53000" xr:uid="{00000000-0005-0000-0000-000004CF0000}"/>
    <cellStyle name="Note 140 4" xfId="53001" xr:uid="{00000000-0005-0000-0000-000005CF0000}"/>
    <cellStyle name="Note 141" xfId="53002" xr:uid="{00000000-0005-0000-0000-000006CF0000}"/>
    <cellStyle name="Note 141 2" xfId="53003" xr:uid="{00000000-0005-0000-0000-000007CF0000}"/>
    <cellStyle name="Note 141 2 2" xfId="53004" xr:uid="{00000000-0005-0000-0000-000008CF0000}"/>
    <cellStyle name="Note 141 3" xfId="53005" xr:uid="{00000000-0005-0000-0000-000009CF0000}"/>
    <cellStyle name="Note 141 3 2" xfId="53006" xr:uid="{00000000-0005-0000-0000-00000ACF0000}"/>
    <cellStyle name="Note 141 3 3" xfId="53007" xr:uid="{00000000-0005-0000-0000-00000BCF0000}"/>
    <cellStyle name="Note 141 4" xfId="53008" xr:uid="{00000000-0005-0000-0000-00000CCF0000}"/>
    <cellStyle name="Note 142" xfId="53009" xr:uid="{00000000-0005-0000-0000-00000DCF0000}"/>
    <cellStyle name="Note 142 2" xfId="53010" xr:uid="{00000000-0005-0000-0000-00000ECF0000}"/>
    <cellStyle name="Note 142 2 2" xfId="53011" xr:uid="{00000000-0005-0000-0000-00000FCF0000}"/>
    <cellStyle name="Note 142 3" xfId="53012" xr:uid="{00000000-0005-0000-0000-000010CF0000}"/>
    <cellStyle name="Note 142 3 2" xfId="53013" xr:uid="{00000000-0005-0000-0000-000011CF0000}"/>
    <cellStyle name="Note 142 3 3" xfId="53014" xr:uid="{00000000-0005-0000-0000-000012CF0000}"/>
    <cellStyle name="Note 142 4" xfId="53015" xr:uid="{00000000-0005-0000-0000-000013CF0000}"/>
    <cellStyle name="Note 143" xfId="53016" xr:uid="{00000000-0005-0000-0000-000014CF0000}"/>
    <cellStyle name="Note 143 2" xfId="53017" xr:uid="{00000000-0005-0000-0000-000015CF0000}"/>
    <cellStyle name="Note 143 2 2" xfId="53018" xr:uid="{00000000-0005-0000-0000-000016CF0000}"/>
    <cellStyle name="Note 143 3" xfId="53019" xr:uid="{00000000-0005-0000-0000-000017CF0000}"/>
    <cellStyle name="Note 143 3 2" xfId="53020" xr:uid="{00000000-0005-0000-0000-000018CF0000}"/>
    <cellStyle name="Note 143 3 3" xfId="53021" xr:uid="{00000000-0005-0000-0000-000019CF0000}"/>
    <cellStyle name="Note 143 4" xfId="53022" xr:uid="{00000000-0005-0000-0000-00001ACF0000}"/>
    <cellStyle name="Note 144" xfId="53023" xr:uid="{00000000-0005-0000-0000-00001BCF0000}"/>
    <cellStyle name="Note 144 2" xfId="53024" xr:uid="{00000000-0005-0000-0000-00001CCF0000}"/>
    <cellStyle name="Note 144 2 2" xfId="53025" xr:uid="{00000000-0005-0000-0000-00001DCF0000}"/>
    <cellStyle name="Note 144 3" xfId="53026" xr:uid="{00000000-0005-0000-0000-00001ECF0000}"/>
    <cellStyle name="Note 144 3 2" xfId="53027" xr:uid="{00000000-0005-0000-0000-00001FCF0000}"/>
    <cellStyle name="Note 144 3 3" xfId="53028" xr:uid="{00000000-0005-0000-0000-000020CF0000}"/>
    <cellStyle name="Note 144 4" xfId="53029" xr:uid="{00000000-0005-0000-0000-000021CF0000}"/>
    <cellStyle name="Note 145" xfId="53030" xr:uid="{00000000-0005-0000-0000-000022CF0000}"/>
    <cellStyle name="Note 145 2" xfId="53031" xr:uid="{00000000-0005-0000-0000-000023CF0000}"/>
    <cellStyle name="Note 145 2 2" xfId="53032" xr:uid="{00000000-0005-0000-0000-000024CF0000}"/>
    <cellStyle name="Note 145 3" xfId="53033" xr:uid="{00000000-0005-0000-0000-000025CF0000}"/>
    <cellStyle name="Note 145 3 2" xfId="53034" xr:uid="{00000000-0005-0000-0000-000026CF0000}"/>
    <cellStyle name="Note 145 3 3" xfId="53035" xr:uid="{00000000-0005-0000-0000-000027CF0000}"/>
    <cellStyle name="Note 145 4" xfId="53036" xr:uid="{00000000-0005-0000-0000-000028CF0000}"/>
    <cellStyle name="Note 146" xfId="53037" xr:uid="{00000000-0005-0000-0000-000029CF0000}"/>
    <cellStyle name="Note 146 2" xfId="53038" xr:uid="{00000000-0005-0000-0000-00002ACF0000}"/>
    <cellStyle name="Note 146 2 2" xfId="53039" xr:uid="{00000000-0005-0000-0000-00002BCF0000}"/>
    <cellStyle name="Note 146 3" xfId="53040" xr:uid="{00000000-0005-0000-0000-00002CCF0000}"/>
    <cellStyle name="Note 146 3 2" xfId="53041" xr:uid="{00000000-0005-0000-0000-00002DCF0000}"/>
    <cellStyle name="Note 146 3 3" xfId="53042" xr:uid="{00000000-0005-0000-0000-00002ECF0000}"/>
    <cellStyle name="Note 146 4" xfId="53043" xr:uid="{00000000-0005-0000-0000-00002FCF0000}"/>
    <cellStyle name="Note 147" xfId="53044" xr:uid="{00000000-0005-0000-0000-000030CF0000}"/>
    <cellStyle name="Note 147 2" xfId="53045" xr:uid="{00000000-0005-0000-0000-000031CF0000}"/>
    <cellStyle name="Note 147 2 2" xfId="53046" xr:uid="{00000000-0005-0000-0000-000032CF0000}"/>
    <cellStyle name="Note 147 3" xfId="53047" xr:uid="{00000000-0005-0000-0000-000033CF0000}"/>
    <cellStyle name="Note 147 3 2" xfId="53048" xr:uid="{00000000-0005-0000-0000-000034CF0000}"/>
    <cellStyle name="Note 147 3 3" xfId="53049" xr:uid="{00000000-0005-0000-0000-000035CF0000}"/>
    <cellStyle name="Note 147 4" xfId="53050" xr:uid="{00000000-0005-0000-0000-000036CF0000}"/>
    <cellStyle name="Note 148" xfId="53051" xr:uid="{00000000-0005-0000-0000-000037CF0000}"/>
    <cellStyle name="Note 148 2" xfId="53052" xr:uid="{00000000-0005-0000-0000-000038CF0000}"/>
    <cellStyle name="Note 148 2 2" xfId="53053" xr:uid="{00000000-0005-0000-0000-000039CF0000}"/>
    <cellStyle name="Note 148 3" xfId="53054" xr:uid="{00000000-0005-0000-0000-00003ACF0000}"/>
    <cellStyle name="Note 148 3 2" xfId="53055" xr:uid="{00000000-0005-0000-0000-00003BCF0000}"/>
    <cellStyle name="Note 148 3 3" xfId="53056" xr:uid="{00000000-0005-0000-0000-00003CCF0000}"/>
    <cellStyle name="Note 148 4" xfId="53057" xr:uid="{00000000-0005-0000-0000-00003DCF0000}"/>
    <cellStyle name="Note 149" xfId="53058" xr:uid="{00000000-0005-0000-0000-00003ECF0000}"/>
    <cellStyle name="Note 149 2" xfId="53059" xr:uid="{00000000-0005-0000-0000-00003FCF0000}"/>
    <cellStyle name="Note 149 2 2" xfId="53060" xr:uid="{00000000-0005-0000-0000-000040CF0000}"/>
    <cellStyle name="Note 149 3" xfId="53061" xr:uid="{00000000-0005-0000-0000-000041CF0000}"/>
    <cellStyle name="Note 149 3 2" xfId="53062" xr:uid="{00000000-0005-0000-0000-000042CF0000}"/>
    <cellStyle name="Note 149 3 3" xfId="53063" xr:uid="{00000000-0005-0000-0000-000043CF0000}"/>
    <cellStyle name="Note 149 4" xfId="53064" xr:uid="{00000000-0005-0000-0000-000044CF0000}"/>
    <cellStyle name="Note 15" xfId="53065" xr:uid="{00000000-0005-0000-0000-000045CF0000}"/>
    <cellStyle name="Note 15 2" xfId="53066" xr:uid="{00000000-0005-0000-0000-000046CF0000}"/>
    <cellStyle name="Note 15 2 2" xfId="53067" xr:uid="{00000000-0005-0000-0000-000047CF0000}"/>
    <cellStyle name="Note 15 2 2 2" xfId="53068" xr:uid="{00000000-0005-0000-0000-000048CF0000}"/>
    <cellStyle name="Note 15 2 3" xfId="53069" xr:uid="{00000000-0005-0000-0000-000049CF0000}"/>
    <cellStyle name="Note 15 2 3 2" xfId="53070" xr:uid="{00000000-0005-0000-0000-00004ACF0000}"/>
    <cellStyle name="Note 15 2 3 3" xfId="53071" xr:uid="{00000000-0005-0000-0000-00004BCF0000}"/>
    <cellStyle name="Note 15 2 4" xfId="53072" xr:uid="{00000000-0005-0000-0000-00004CCF0000}"/>
    <cellStyle name="Note 15 3" xfId="53073" xr:uid="{00000000-0005-0000-0000-00004DCF0000}"/>
    <cellStyle name="Note 15 3 2" xfId="53074" xr:uid="{00000000-0005-0000-0000-00004ECF0000}"/>
    <cellStyle name="Note 15 4" xfId="53075" xr:uid="{00000000-0005-0000-0000-00004FCF0000}"/>
    <cellStyle name="Note 15 4 2" xfId="53076" xr:uid="{00000000-0005-0000-0000-000050CF0000}"/>
    <cellStyle name="Note 15 4 3" xfId="53077" xr:uid="{00000000-0005-0000-0000-000051CF0000}"/>
    <cellStyle name="Note 15 5" xfId="53078" xr:uid="{00000000-0005-0000-0000-000052CF0000}"/>
    <cellStyle name="Note 15 6" xfId="53079" xr:uid="{00000000-0005-0000-0000-000053CF0000}"/>
    <cellStyle name="Note 150" xfId="53080" xr:uid="{00000000-0005-0000-0000-000054CF0000}"/>
    <cellStyle name="Note 150 2" xfId="53081" xr:uid="{00000000-0005-0000-0000-000055CF0000}"/>
    <cellStyle name="Note 150 2 2" xfId="53082" xr:uid="{00000000-0005-0000-0000-000056CF0000}"/>
    <cellStyle name="Note 150 3" xfId="53083" xr:uid="{00000000-0005-0000-0000-000057CF0000}"/>
    <cellStyle name="Note 150 3 2" xfId="53084" xr:uid="{00000000-0005-0000-0000-000058CF0000}"/>
    <cellStyle name="Note 150 3 3" xfId="53085" xr:uid="{00000000-0005-0000-0000-000059CF0000}"/>
    <cellStyle name="Note 150 4" xfId="53086" xr:uid="{00000000-0005-0000-0000-00005ACF0000}"/>
    <cellStyle name="Note 151" xfId="53087" xr:uid="{00000000-0005-0000-0000-00005BCF0000}"/>
    <cellStyle name="Note 151 2" xfId="53088" xr:uid="{00000000-0005-0000-0000-00005CCF0000}"/>
    <cellStyle name="Note 151 2 2" xfId="53089" xr:uid="{00000000-0005-0000-0000-00005DCF0000}"/>
    <cellStyle name="Note 151 3" xfId="53090" xr:uid="{00000000-0005-0000-0000-00005ECF0000}"/>
    <cellStyle name="Note 151 3 2" xfId="53091" xr:uid="{00000000-0005-0000-0000-00005FCF0000}"/>
    <cellStyle name="Note 151 3 3" xfId="53092" xr:uid="{00000000-0005-0000-0000-000060CF0000}"/>
    <cellStyle name="Note 151 4" xfId="53093" xr:uid="{00000000-0005-0000-0000-000061CF0000}"/>
    <cellStyle name="Note 152" xfId="53094" xr:uid="{00000000-0005-0000-0000-000062CF0000}"/>
    <cellStyle name="Note 152 2" xfId="53095" xr:uid="{00000000-0005-0000-0000-000063CF0000}"/>
    <cellStyle name="Note 152 2 2" xfId="53096" xr:uid="{00000000-0005-0000-0000-000064CF0000}"/>
    <cellStyle name="Note 152 3" xfId="53097" xr:uid="{00000000-0005-0000-0000-000065CF0000}"/>
    <cellStyle name="Note 152 3 2" xfId="53098" xr:uid="{00000000-0005-0000-0000-000066CF0000}"/>
    <cellStyle name="Note 152 3 3" xfId="53099" xr:uid="{00000000-0005-0000-0000-000067CF0000}"/>
    <cellStyle name="Note 152 4" xfId="53100" xr:uid="{00000000-0005-0000-0000-000068CF0000}"/>
    <cellStyle name="Note 153" xfId="53101" xr:uid="{00000000-0005-0000-0000-000069CF0000}"/>
    <cellStyle name="Note 153 2" xfId="53102" xr:uid="{00000000-0005-0000-0000-00006ACF0000}"/>
    <cellStyle name="Note 153 2 2" xfId="53103" xr:uid="{00000000-0005-0000-0000-00006BCF0000}"/>
    <cellStyle name="Note 153 3" xfId="53104" xr:uid="{00000000-0005-0000-0000-00006CCF0000}"/>
    <cellStyle name="Note 153 3 2" xfId="53105" xr:uid="{00000000-0005-0000-0000-00006DCF0000}"/>
    <cellStyle name="Note 153 3 3" xfId="53106" xr:uid="{00000000-0005-0000-0000-00006ECF0000}"/>
    <cellStyle name="Note 153 4" xfId="53107" xr:uid="{00000000-0005-0000-0000-00006FCF0000}"/>
    <cellStyle name="Note 154" xfId="53108" xr:uid="{00000000-0005-0000-0000-000070CF0000}"/>
    <cellStyle name="Note 154 2" xfId="53109" xr:uid="{00000000-0005-0000-0000-000071CF0000}"/>
    <cellStyle name="Note 154 2 2" xfId="53110" xr:uid="{00000000-0005-0000-0000-000072CF0000}"/>
    <cellStyle name="Note 154 3" xfId="53111" xr:uid="{00000000-0005-0000-0000-000073CF0000}"/>
    <cellStyle name="Note 154 3 2" xfId="53112" xr:uid="{00000000-0005-0000-0000-000074CF0000}"/>
    <cellStyle name="Note 154 3 3" xfId="53113" xr:uid="{00000000-0005-0000-0000-000075CF0000}"/>
    <cellStyle name="Note 154 4" xfId="53114" xr:uid="{00000000-0005-0000-0000-000076CF0000}"/>
    <cellStyle name="Note 155" xfId="53115" xr:uid="{00000000-0005-0000-0000-000077CF0000}"/>
    <cellStyle name="Note 155 2" xfId="53116" xr:uid="{00000000-0005-0000-0000-000078CF0000}"/>
    <cellStyle name="Note 155 2 2" xfId="53117" xr:uid="{00000000-0005-0000-0000-000079CF0000}"/>
    <cellStyle name="Note 155 3" xfId="53118" xr:uid="{00000000-0005-0000-0000-00007ACF0000}"/>
    <cellStyle name="Note 155 3 2" xfId="53119" xr:uid="{00000000-0005-0000-0000-00007BCF0000}"/>
    <cellStyle name="Note 155 3 3" xfId="53120" xr:uid="{00000000-0005-0000-0000-00007CCF0000}"/>
    <cellStyle name="Note 155 4" xfId="53121" xr:uid="{00000000-0005-0000-0000-00007DCF0000}"/>
    <cellStyle name="Note 156" xfId="53122" xr:uid="{00000000-0005-0000-0000-00007ECF0000}"/>
    <cellStyle name="Note 156 2" xfId="53123" xr:uid="{00000000-0005-0000-0000-00007FCF0000}"/>
    <cellStyle name="Note 156 2 2" xfId="53124" xr:uid="{00000000-0005-0000-0000-000080CF0000}"/>
    <cellStyle name="Note 156 3" xfId="53125" xr:uid="{00000000-0005-0000-0000-000081CF0000}"/>
    <cellStyle name="Note 156 3 2" xfId="53126" xr:uid="{00000000-0005-0000-0000-000082CF0000}"/>
    <cellStyle name="Note 156 3 3" xfId="53127" xr:uid="{00000000-0005-0000-0000-000083CF0000}"/>
    <cellStyle name="Note 156 4" xfId="53128" xr:uid="{00000000-0005-0000-0000-000084CF0000}"/>
    <cellStyle name="Note 157" xfId="53129" xr:uid="{00000000-0005-0000-0000-000085CF0000}"/>
    <cellStyle name="Note 157 2" xfId="53130" xr:uid="{00000000-0005-0000-0000-000086CF0000}"/>
    <cellStyle name="Note 157 2 2" xfId="53131" xr:uid="{00000000-0005-0000-0000-000087CF0000}"/>
    <cellStyle name="Note 157 3" xfId="53132" xr:uid="{00000000-0005-0000-0000-000088CF0000}"/>
    <cellStyle name="Note 157 3 2" xfId="53133" xr:uid="{00000000-0005-0000-0000-000089CF0000}"/>
    <cellStyle name="Note 157 3 3" xfId="53134" xr:uid="{00000000-0005-0000-0000-00008ACF0000}"/>
    <cellStyle name="Note 157 4" xfId="53135" xr:uid="{00000000-0005-0000-0000-00008BCF0000}"/>
    <cellStyle name="Note 158" xfId="53136" xr:uid="{00000000-0005-0000-0000-00008CCF0000}"/>
    <cellStyle name="Note 158 2" xfId="53137" xr:uid="{00000000-0005-0000-0000-00008DCF0000}"/>
    <cellStyle name="Note 158 2 2" xfId="53138" xr:uid="{00000000-0005-0000-0000-00008ECF0000}"/>
    <cellStyle name="Note 158 3" xfId="53139" xr:uid="{00000000-0005-0000-0000-00008FCF0000}"/>
    <cellStyle name="Note 158 3 2" xfId="53140" xr:uid="{00000000-0005-0000-0000-000090CF0000}"/>
    <cellStyle name="Note 158 3 3" xfId="53141" xr:uid="{00000000-0005-0000-0000-000091CF0000}"/>
    <cellStyle name="Note 158 4" xfId="53142" xr:uid="{00000000-0005-0000-0000-000092CF0000}"/>
    <cellStyle name="Note 159" xfId="53143" xr:uid="{00000000-0005-0000-0000-000093CF0000}"/>
    <cellStyle name="Note 159 2" xfId="53144" xr:uid="{00000000-0005-0000-0000-000094CF0000}"/>
    <cellStyle name="Note 16" xfId="53145" xr:uid="{00000000-0005-0000-0000-000095CF0000}"/>
    <cellStyle name="Note 16 2" xfId="53146" xr:uid="{00000000-0005-0000-0000-000096CF0000}"/>
    <cellStyle name="Note 16 2 2" xfId="53147" xr:uid="{00000000-0005-0000-0000-000097CF0000}"/>
    <cellStyle name="Note 16 2 2 2" xfId="53148" xr:uid="{00000000-0005-0000-0000-000098CF0000}"/>
    <cellStyle name="Note 16 2 3" xfId="53149" xr:uid="{00000000-0005-0000-0000-000099CF0000}"/>
    <cellStyle name="Note 16 2 3 2" xfId="53150" xr:uid="{00000000-0005-0000-0000-00009ACF0000}"/>
    <cellStyle name="Note 16 2 3 3" xfId="53151" xr:uid="{00000000-0005-0000-0000-00009BCF0000}"/>
    <cellStyle name="Note 16 2 4" xfId="53152" xr:uid="{00000000-0005-0000-0000-00009CCF0000}"/>
    <cellStyle name="Note 16 3" xfId="53153" xr:uid="{00000000-0005-0000-0000-00009DCF0000}"/>
    <cellStyle name="Note 16 3 2" xfId="53154" xr:uid="{00000000-0005-0000-0000-00009ECF0000}"/>
    <cellStyle name="Note 16 4" xfId="53155" xr:uid="{00000000-0005-0000-0000-00009FCF0000}"/>
    <cellStyle name="Note 16 4 2" xfId="53156" xr:uid="{00000000-0005-0000-0000-0000A0CF0000}"/>
    <cellStyle name="Note 16 4 3" xfId="53157" xr:uid="{00000000-0005-0000-0000-0000A1CF0000}"/>
    <cellStyle name="Note 16 5" xfId="53158" xr:uid="{00000000-0005-0000-0000-0000A2CF0000}"/>
    <cellStyle name="Note 16 6" xfId="53159" xr:uid="{00000000-0005-0000-0000-0000A3CF0000}"/>
    <cellStyle name="Note 160" xfId="53160" xr:uid="{00000000-0005-0000-0000-0000A4CF0000}"/>
    <cellStyle name="Note 160 2" xfId="53161" xr:uid="{00000000-0005-0000-0000-0000A5CF0000}"/>
    <cellStyle name="Note 161" xfId="53162" xr:uid="{00000000-0005-0000-0000-0000A6CF0000}"/>
    <cellStyle name="Note 161 2" xfId="53163" xr:uid="{00000000-0005-0000-0000-0000A7CF0000}"/>
    <cellStyle name="Note 162" xfId="53164" xr:uid="{00000000-0005-0000-0000-0000A8CF0000}"/>
    <cellStyle name="Note 162 2" xfId="53165" xr:uid="{00000000-0005-0000-0000-0000A9CF0000}"/>
    <cellStyle name="Note 163" xfId="53166" xr:uid="{00000000-0005-0000-0000-0000AACF0000}"/>
    <cellStyle name="Note 163 2" xfId="53167" xr:uid="{00000000-0005-0000-0000-0000ABCF0000}"/>
    <cellStyle name="Note 164" xfId="53168" xr:uid="{00000000-0005-0000-0000-0000ACCF0000}"/>
    <cellStyle name="Note 164 2" xfId="53169" xr:uid="{00000000-0005-0000-0000-0000ADCF0000}"/>
    <cellStyle name="Note 165" xfId="53170" xr:uid="{00000000-0005-0000-0000-0000AECF0000}"/>
    <cellStyle name="Note 165 2" xfId="53171" xr:uid="{00000000-0005-0000-0000-0000AFCF0000}"/>
    <cellStyle name="Note 166" xfId="53172" xr:uid="{00000000-0005-0000-0000-0000B0CF0000}"/>
    <cellStyle name="Note 166 2" xfId="53173" xr:uid="{00000000-0005-0000-0000-0000B1CF0000}"/>
    <cellStyle name="Note 167" xfId="53174" xr:uid="{00000000-0005-0000-0000-0000B2CF0000}"/>
    <cellStyle name="Note 167 2" xfId="53175" xr:uid="{00000000-0005-0000-0000-0000B3CF0000}"/>
    <cellStyle name="Note 168" xfId="53176" xr:uid="{00000000-0005-0000-0000-0000B4CF0000}"/>
    <cellStyle name="Note 168 2" xfId="53177" xr:uid="{00000000-0005-0000-0000-0000B5CF0000}"/>
    <cellStyle name="Note 169" xfId="53178" xr:uid="{00000000-0005-0000-0000-0000B6CF0000}"/>
    <cellStyle name="Note 169 2" xfId="53179" xr:uid="{00000000-0005-0000-0000-0000B7CF0000}"/>
    <cellStyle name="Note 17" xfId="53180" xr:uid="{00000000-0005-0000-0000-0000B8CF0000}"/>
    <cellStyle name="Note 17 2" xfId="53181" xr:uid="{00000000-0005-0000-0000-0000B9CF0000}"/>
    <cellStyle name="Note 17 2 2" xfId="53182" xr:uid="{00000000-0005-0000-0000-0000BACF0000}"/>
    <cellStyle name="Note 17 2 2 2" xfId="53183" xr:uid="{00000000-0005-0000-0000-0000BBCF0000}"/>
    <cellStyle name="Note 17 2 3" xfId="53184" xr:uid="{00000000-0005-0000-0000-0000BCCF0000}"/>
    <cellStyle name="Note 17 2 3 2" xfId="53185" xr:uid="{00000000-0005-0000-0000-0000BDCF0000}"/>
    <cellStyle name="Note 17 2 3 3" xfId="53186" xr:uid="{00000000-0005-0000-0000-0000BECF0000}"/>
    <cellStyle name="Note 17 2 4" xfId="53187" xr:uid="{00000000-0005-0000-0000-0000BFCF0000}"/>
    <cellStyle name="Note 17 3" xfId="53188" xr:uid="{00000000-0005-0000-0000-0000C0CF0000}"/>
    <cellStyle name="Note 17 3 2" xfId="53189" xr:uid="{00000000-0005-0000-0000-0000C1CF0000}"/>
    <cellStyle name="Note 17 4" xfId="53190" xr:uid="{00000000-0005-0000-0000-0000C2CF0000}"/>
    <cellStyle name="Note 17 4 2" xfId="53191" xr:uid="{00000000-0005-0000-0000-0000C3CF0000}"/>
    <cellStyle name="Note 17 4 3" xfId="53192" xr:uid="{00000000-0005-0000-0000-0000C4CF0000}"/>
    <cellStyle name="Note 17 5" xfId="53193" xr:uid="{00000000-0005-0000-0000-0000C5CF0000}"/>
    <cellStyle name="Note 17 6" xfId="53194" xr:uid="{00000000-0005-0000-0000-0000C6CF0000}"/>
    <cellStyle name="Note 170" xfId="53195" xr:uid="{00000000-0005-0000-0000-0000C7CF0000}"/>
    <cellStyle name="Note 170 2" xfId="53196" xr:uid="{00000000-0005-0000-0000-0000C8CF0000}"/>
    <cellStyle name="Note 171" xfId="53197" xr:uid="{00000000-0005-0000-0000-0000C9CF0000}"/>
    <cellStyle name="Note 171 2" xfId="53198" xr:uid="{00000000-0005-0000-0000-0000CACF0000}"/>
    <cellStyle name="Note 172" xfId="53199" xr:uid="{00000000-0005-0000-0000-0000CBCF0000}"/>
    <cellStyle name="Note 172 2" xfId="53200" xr:uid="{00000000-0005-0000-0000-0000CCCF0000}"/>
    <cellStyle name="Note 173" xfId="53201" xr:uid="{00000000-0005-0000-0000-0000CDCF0000}"/>
    <cellStyle name="Note 173 2" xfId="53202" xr:uid="{00000000-0005-0000-0000-0000CECF0000}"/>
    <cellStyle name="Note 174" xfId="53203" xr:uid="{00000000-0005-0000-0000-0000CFCF0000}"/>
    <cellStyle name="Note 174 2" xfId="53204" xr:uid="{00000000-0005-0000-0000-0000D0CF0000}"/>
    <cellStyle name="Note 175" xfId="53205" xr:uid="{00000000-0005-0000-0000-0000D1CF0000}"/>
    <cellStyle name="Note 175 2" xfId="53206" xr:uid="{00000000-0005-0000-0000-0000D2CF0000}"/>
    <cellStyle name="Note 176" xfId="53207" xr:uid="{00000000-0005-0000-0000-0000D3CF0000}"/>
    <cellStyle name="Note 176 2" xfId="53208" xr:uid="{00000000-0005-0000-0000-0000D4CF0000}"/>
    <cellStyle name="Note 177" xfId="53209" xr:uid="{00000000-0005-0000-0000-0000D5CF0000}"/>
    <cellStyle name="Note 177 2" xfId="53210" xr:uid="{00000000-0005-0000-0000-0000D6CF0000}"/>
    <cellStyle name="Note 178" xfId="53211" xr:uid="{00000000-0005-0000-0000-0000D7CF0000}"/>
    <cellStyle name="Note 178 2" xfId="53212" xr:uid="{00000000-0005-0000-0000-0000D8CF0000}"/>
    <cellStyle name="Note 179" xfId="53213" xr:uid="{00000000-0005-0000-0000-0000D9CF0000}"/>
    <cellStyle name="Note 179 2" xfId="53214" xr:uid="{00000000-0005-0000-0000-0000DACF0000}"/>
    <cellStyle name="Note 18" xfId="53215" xr:uid="{00000000-0005-0000-0000-0000DBCF0000}"/>
    <cellStyle name="Note 18 2" xfId="53216" xr:uid="{00000000-0005-0000-0000-0000DCCF0000}"/>
    <cellStyle name="Note 18 2 2" xfId="53217" xr:uid="{00000000-0005-0000-0000-0000DDCF0000}"/>
    <cellStyle name="Note 18 2 2 2" xfId="53218" xr:uid="{00000000-0005-0000-0000-0000DECF0000}"/>
    <cellStyle name="Note 18 2 3" xfId="53219" xr:uid="{00000000-0005-0000-0000-0000DFCF0000}"/>
    <cellStyle name="Note 18 2 3 2" xfId="53220" xr:uid="{00000000-0005-0000-0000-0000E0CF0000}"/>
    <cellStyle name="Note 18 2 3 3" xfId="53221" xr:uid="{00000000-0005-0000-0000-0000E1CF0000}"/>
    <cellStyle name="Note 18 2 4" xfId="53222" xr:uid="{00000000-0005-0000-0000-0000E2CF0000}"/>
    <cellStyle name="Note 18 3" xfId="53223" xr:uid="{00000000-0005-0000-0000-0000E3CF0000}"/>
    <cellStyle name="Note 18 3 2" xfId="53224" xr:uid="{00000000-0005-0000-0000-0000E4CF0000}"/>
    <cellStyle name="Note 18 4" xfId="53225" xr:uid="{00000000-0005-0000-0000-0000E5CF0000}"/>
    <cellStyle name="Note 18 4 2" xfId="53226" xr:uid="{00000000-0005-0000-0000-0000E6CF0000}"/>
    <cellStyle name="Note 18 4 3" xfId="53227" xr:uid="{00000000-0005-0000-0000-0000E7CF0000}"/>
    <cellStyle name="Note 18 5" xfId="53228" xr:uid="{00000000-0005-0000-0000-0000E8CF0000}"/>
    <cellStyle name="Note 18 6" xfId="53229" xr:uid="{00000000-0005-0000-0000-0000E9CF0000}"/>
    <cellStyle name="Note 180" xfId="53230" xr:uid="{00000000-0005-0000-0000-0000EACF0000}"/>
    <cellStyle name="Note 180 2" xfId="53231" xr:uid="{00000000-0005-0000-0000-0000EBCF0000}"/>
    <cellStyle name="Note 181" xfId="53232" xr:uid="{00000000-0005-0000-0000-0000ECCF0000}"/>
    <cellStyle name="Note 181 2" xfId="53233" xr:uid="{00000000-0005-0000-0000-0000EDCF0000}"/>
    <cellStyle name="Note 182" xfId="53234" xr:uid="{00000000-0005-0000-0000-0000EECF0000}"/>
    <cellStyle name="Note 182 2" xfId="53235" xr:uid="{00000000-0005-0000-0000-0000EFCF0000}"/>
    <cellStyle name="Note 183" xfId="53236" xr:uid="{00000000-0005-0000-0000-0000F0CF0000}"/>
    <cellStyle name="Note 183 2" xfId="53237" xr:uid="{00000000-0005-0000-0000-0000F1CF0000}"/>
    <cellStyle name="Note 184" xfId="53238" xr:uid="{00000000-0005-0000-0000-0000F2CF0000}"/>
    <cellStyle name="Note 184 2" xfId="53239" xr:uid="{00000000-0005-0000-0000-0000F3CF0000}"/>
    <cellStyle name="Note 185" xfId="53240" xr:uid="{00000000-0005-0000-0000-0000F4CF0000}"/>
    <cellStyle name="Note 185 2" xfId="53241" xr:uid="{00000000-0005-0000-0000-0000F5CF0000}"/>
    <cellStyle name="Note 186" xfId="53242" xr:uid="{00000000-0005-0000-0000-0000F6CF0000}"/>
    <cellStyle name="Note 186 2" xfId="53243" xr:uid="{00000000-0005-0000-0000-0000F7CF0000}"/>
    <cellStyle name="Note 187" xfId="53244" xr:uid="{00000000-0005-0000-0000-0000F8CF0000}"/>
    <cellStyle name="Note 187 2" xfId="53245" xr:uid="{00000000-0005-0000-0000-0000F9CF0000}"/>
    <cellStyle name="Note 188" xfId="53246" xr:uid="{00000000-0005-0000-0000-0000FACF0000}"/>
    <cellStyle name="Note 188 2" xfId="53247" xr:uid="{00000000-0005-0000-0000-0000FBCF0000}"/>
    <cellStyle name="Note 189" xfId="53248" xr:uid="{00000000-0005-0000-0000-0000FCCF0000}"/>
    <cellStyle name="Note 189 2" xfId="53249" xr:uid="{00000000-0005-0000-0000-0000FDCF0000}"/>
    <cellStyle name="Note 19" xfId="53250" xr:uid="{00000000-0005-0000-0000-0000FECF0000}"/>
    <cellStyle name="Note 19 2" xfId="53251" xr:uid="{00000000-0005-0000-0000-0000FFCF0000}"/>
    <cellStyle name="Note 19 2 2" xfId="53252" xr:uid="{00000000-0005-0000-0000-000000D00000}"/>
    <cellStyle name="Note 19 2 2 2" xfId="53253" xr:uid="{00000000-0005-0000-0000-000001D00000}"/>
    <cellStyle name="Note 19 2 3" xfId="53254" xr:uid="{00000000-0005-0000-0000-000002D00000}"/>
    <cellStyle name="Note 19 2 3 2" xfId="53255" xr:uid="{00000000-0005-0000-0000-000003D00000}"/>
    <cellStyle name="Note 19 2 3 3" xfId="53256" xr:uid="{00000000-0005-0000-0000-000004D00000}"/>
    <cellStyle name="Note 19 2 4" xfId="53257" xr:uid="{00000000-0005-0000-0000-000005D00000}"/>
    <cellStyle name="Note 19 3" xfId="53258" xr:uid="{00000000-0005-0000-0000-000006D00000}"/>
    <cellStyle name="Note 19 3 2" xfId="53259" xr:uid="{00000000-0005-0000-0000-000007D00000}"/>
    <cellStyle name="Note 19 4" xfId="53260" xr:uid="{00000000-0005-0000-0000-000008D00000}"/>
    <cellStyle name="Note 19 4 2" xfId="53261" xr:uid="{00000000-0005-0000-0000-000009D00000}"/>
    <cellStyle name="Note 19 4 3" xfId="53262" xr:uid="{00000000-0005-0000-0000-00000AD00000}"/>
    <cellStyle name="Note 19 5" xfId="53263" xr:uid="{00000000-0005-0000-0000-00000BD00000}"/>
    <cellStyle name="Note 19 6" xfId="53264" xr:uid="{00000000-0005-0000-0000-00000CD00000}"/>
    <cellStyle name="Note 190" xfId="53265" xr:uid="{00000000-0005-0000-0000-00000DD00000}"/>
    <cellStyle name="Note 190 2" xfId="53266" xr:uid="{00000000-0005-0000-0000-00000ED00000}"/>
    <cellStyle name="Note 191" xfId="53267" xr:uid="{00000000-0005-0000-0000-00000FD00000}"/>
    <cellStyle name="Note 191 2" xfId="53268" xr:uid="{00000000-0005-0000-0000-000010D00000}"/>
    <cellStyle name="Note 192" xfId="53269" xr:uid="{00000000-0005-0000-0000-000011D00000}"/>
    <cellStyle name="Note 192 2" xfId="53270" xr:uid="{00000000-0005-0000-0000-000012D00000}"/>
    <cellStyle name="Note 193" xfId="53271" xr:uid="{00000000-0005-0000-0000-000013D00000}"/>
    <cellStyle name="Note 193 2" xfId="53272" xr:uid="{00000000-0005-0000-0000-000014D00000}"/>
    <cellStyle name="Note 194" xfId="53273" xr:uid="{00000000-0005-0000-0000-000015D00000}"/>
    <cellStyle name="Note 194 2" xfId="53274" xr:uid="{00000000-0005-0000-0000-000016D00000}"/>
    <cellStyle name="Note 195" xfId="53275" xr:uid="{00000000-0005-0000-0000-000017D00000}"/>
    <cellStyle name="Note 195 2" xfId="53276" xr:uid="{00000000-0005-0000-0000-000018D00000}"/>
    <cellStyle name="Note 196" xfId="53277" xr:uid="{00000000-0005-0000-0000-000019D00000}"/>
    <cellStyle name="Note 196 2" xfId="53278" xr:uid="{00000000-0005-0000-0000-00001AD00000}"/>
    <cellStyle name="Note 197" xfId="53279" xr:uid="{00000000-0005-0000-0000-00001BD00000}"/>
    <cellStyle name="Note 197 2" xfId="53280" xr:uid="{00000000-0005-0000-0000-00001CD00000}"/>
    <cellStyle name="Note 198" xfId="53281" xr:uid="{00000000-0005-0000-0000-00001DD00000}"/>
    <cellStyle name="Note 198 2" xfId="53282" xr:uid="{00000000-0005-0000-0000-00001ED00000}"/>
    <cellStyle name="Note 2" xfId="53283" xr:uid="{00000000-0005-0000-0000-00001FD00000}"/>
    <cellStyle name="Note 2 2" xfId="53284" xr:uid="{00000000-0005-0000-0000-000020D00000}"/>
    <cellStyle name="Note 2 2 2" xfId="53285" xr:uid="{00000000-0005-0000-0000-000021D00000}"/>
    <cellStyle name="Note 2 2 2 2" xfId="53286" xr:uid="{00000000-0005-0000-0000-000022D00000}"/>
    <cellStyle name="Note 2 2 3" xfId="53287" xr:uid="{00000000-0005-0000-0000-000023D00000}"/>
    <cellStyle name="Note 2 2 3 2" xfId="53288" xr:uid="{00000000-0005-0000-0000-000024D00000}"/>
    <cellStyle name="Note 2 2 4" xfId="53289" xr:uid="{00000000-0005-0000-0000-000025D00000}"/>
    <cellStyle name="Note 2 2 4 2" xfId="53290" xr:uid="{00000000-0005-0000-0000-000026D00000}"/>
    <cellStyle name="Note 2 2 5" xfId="53291" xr:uid="{00000000-0005-0000-0000-000027D00000}"/>
    <cellStyle name="Note 2 2 5 2" xfId="53292" xr:uid="{00000000-0005-0000-0000-000028D00000}"/>
    <cellStyle name="Note 2 2 6" xfId="53293" xr:uid="{00000000-0005-0000-0000-000029D00000}"/>
    <cellStyle name="Note 2 2 7" xfId="53294" xr:uid="{00000000-0005-0000-0000-00002AD00000}"/>
    <cellStyle name="Note 2 3" xfId="53295" xr:uid="{00000000-0005-0000-0000-00002BD00000}"/>
    <cellStyle name="Note 2 3 2" xfId="53296" xr:uid="{00000000-0005-0000-0000-00002CD00000}"/>
    <cellStyle name="Note 2 3 2 2" xfId="53297" xr:uid="{00000000-0005-0000-0000-00002DD00000}"/>
    <cellStyle name="Note 2 3 3" xfId="53298" xr:uid="{00000000-0005-0000-0000-00002ED00000}"/>
    <cellStyle name="Note 2 3 3 2" xfId="53299" xr:uid="{00000000-0005-0000-0000-00002FD00000}"/>
    <cellStyle name="Note 2 3 3 3" xfId="53300" xr:uid="{00000000-0005-0000-0000-000030D00000}"/>
    <cellStyle name="Note 2 3 4" xfId="53301" xr:uid="{00000000-0005-0000-0000-000031D00000}"/>
    <cellStyle name="Note 2 3 5" xfId="53302" xr:uid="{00000000-0005-0000-0000-000032D00000}"/>
    <cellStyle name="Note 2 4" xfId="53303" xr:uid="{00000000-0005-0000-0000-000033D00000}"/>
    <cellStyle name="Note 2 4 2" xfId="53304" xr:uid="{00000000-0005-0000-0000-000034D00000}"/>
    <cellStyle name="Note 2 4 3" xfId="53305" xr:uid="{00000000-0005-0000-0000-000035D00000}"/>
    <cellStyle name="Note 2 5" xfId="53306" xr:uid="{00000000-0005-0000-0000-000036D00000}"/>
    <cellStyle name="Note 2 5 2" xfId="53307" xr:uid="{00000000-0005-0000-0000-000037D00000}"/>
    <cellStyle name="Note 2 6" xfId="53308" xr:uid="{00000000-0005-0000-0000-000038D00000}"/>
    <cellStyle name="Note 2 6 2" xfId="53309" xr:uid="{00000000-0005-0000-0000-000039D00000}"/>
    <cellStyle name="Note 2 6 3" xfId="53310" xr:uid="{00000000-0005-0000-0000-00003AD00000}"/>
    <cellStyle name="Note 2 7" xfId="53311" xr:uid="{00000000-0005-0000-0000-00003BD00000}"/>
    <cellStyle name="Note 2 8" xfId="53312" xr:uid="{00000000-0005-0000-0000-00003CD00000}"/>
    <cellStyle name="Note 20" xfId="53313" xr:uid="{00000000-0005-0000-0000-00003DD00000}"/>
    <cellStyle name="Note 20 2" xfId="53314" xr:uid="{00000000-0005-0000-0000-00003ED00000}"/>
    <cellStyle name="Note 20 2 2" xfId="53315" xr:uid="{00000000-0005-0000-0000-00003FD00000}"/>
    <cellStyle name="Note 20 2 2 2" xfId="53316" xr:uid="{00000000-0005-0000-0000-000040D00000}"/>
    <cellStyle name="Note 20 2 3" xfId="53317" xr:uid="{00000000-0005-0000-0000-000041D00000}"/>
    <cellStyle name="Note 20 2 3 2" xfId="53318" xr:uid="{00000000-0005-0000-0000-000042D00000}"/>
    <cellStyle name="Note 20 2 3 3" xfId="53319" xr:uid="{00000000-0005-0000-0000-000043D00000}"/>
    <cellStyle name="Note 20 2 4" xfId="53320" xr:uid="{00000000-0005-0000-0000-000044D00000}"/>
    <cellStyle name="Note 20 3" xfId="53321" xr:uid="{00000000-0005-0000-0000-000045D00000}"/>
    <cellStyle name="Note 20 3 2" xfId="53322" xr:uid="{00000000-0005-0000-0000-000046D00000}"/>
    <cellStyle name="Note 20 4" xfId="53323" xr:uid="{00000000-0005-0000-0000-000047D00000}"/>
    <cellStyle name="Note 20 4 2" xfId="53324" xr:uid="{00000000-0005-0000-0000-000048D00000}"/>
    <cellStyle name="Note 20 4 3" xfId="53325" xr:uid="{00000000-0005-0000-0000-000049D00000}"/>
    <cellStyle name="Note 20 5" xfId="53326" xr:uid="{00000000-0005-0000-0000-00004AD00000}"/>
    <cellStyle name="Note 20 6" xfId="53327" xr:uid="{00000000-0005-0000-0000-00004BD00000}"/>
    <cellStyle name="Note 21" xfId="53328" xr:uid="{00000000-0005-0000-0000-00004CD00000}"/>
    <cellStyle name="Note 21 2" xfId="53329" xr:uid="{00000000-0005-0000-0000-00004DD00000}"/>
    <cellStyle name="Note 21 2 2" xfId="53330" xr:uid="{00000000-0005-0000-0000-00004ED00000}"/>
    <cellStyle name="Note 21 2 2 2" xfId="53331" xr:uid="{00000000-0005-0000-0000-00004FD00000}"/>
    <cellStyle name="Note 21 2 3" xfId="53332" xr:uid="{00000000-0005-0000-0000-000050D00000}"/>
    <cellStyle name="Note 21 2 3 2" xfId="53333" xr:uid="{00000000-0005-0000-0000-000051D00000}"/>
    <cellStyle name="Note 21 2 3 3" xfId="53334" xr:uid="{00000000-0005-0000-0000-000052D00000}"/>
    <cellStyle name="Note 21 2 4" xfId="53335" xr:uid="{00000000-0005-0000-0000-000053D00000}"/>
    <cellStyle name="Note 21 3" xfId="53336" xr:uid="{00000000-0005-0000-0000-000054D00000}"/>
    <cellStyle name="Note 21 3 2" xfId="53337" xr:uid="{00000000-0005-0000-0000-000055D00000}"/>
    <cellStyle name="Note 21 4" xfId="53338" xr:uid="{00000000-0005-0000-0000-000056D00000}"/>
    <cellStyle name="Note 21 4 2" xfId="53339" xr:uid="{00000000-0005-0000-0000-000057D00000}"/>
    <cellStyle name="Note 21 4 3" xfId="53340" xr:uid="{00000000-0005-0000-0000-000058D00000}"/>
    <cellStyle name="Note 21 5" xfId="53341" xr:uid="{00000000-0005-0000-0000-000059D00000}"/>
    <cellStyle name="Note 21 6" xfId="53342" xr:uid="{00000000-0005-0000-0000-00005AD00000}"/>
    <cellStyle name="Note 22" xfId="53343" xr:uid="{00000000-0005-0000-0000-00005BD00000}"/>
    <cellStyle name="Note 22 2" xfId="53344" xr:uid="{00000000-0005-0000-0000-00005CD00000}"/>
    <cellStyle name="Note 22 2 2" xfId="53345" xr:uid="{00000000-0005-0000-0000-00005DD00000}"/>
    <cellStyle name="Note 22 2 2 2" xfId="53346" xr:uid="{00000000-0005-0000-0000-00005ED00000}"/>
    <cellStyle name="Note 22 2 3" xfId="53347" xr:uid="{00000000-0005-0000-0000-00005FD00000}"/>
    <cellStyle name="Note 22 2 3 2" xfId="53348" xr:uid="{00000000-0005-0000-0000-000060D00000}"/>
    <cellStyle name="Note 22 2 3 3" xfId="53349" xr:uid="{00000000-0005-0000-0000-000061D00000}"/>
    <cellStyle name="Note 22 2 4" xfId="53350" xr:uid="{00000000-0005-0000-0000-000062D00000}"/>
    <cellStyle name="Note 22 3" xfId="53351" xr:uid="{00000000-0005-0000-0000-000063D00000}"/>
    <cellStyle name="Note 22 3 2" xfId="53352" xr:uid="{00000000-0005-0000-0000-000064D00000}"/>
    <cellStyle name="Note 22 4" xfId="53353" xr:uid="{00000000-0005-0000-0000-000065D00000}"/>
    <cellStyle name="Note 22 4 2" xfId="53354" xr:uid="{00000000-0005-0000-0000-000066D00000}"/>
    <cellStyle name="Note 22 4 3" xfId="53355" xr:uid="{00000000-0005-0000-0000-000067D00000}"/>
    <cellStyle name="Note 22 5" xfId="53356" xr:uid="{00000000-0005-0000-0000-000068D00000}"/>
    <cellStyle name="Note 22 6" xfId="53357" xr:uid="{00000000-0005-0000-0000-000069D00000}"/>
    <cellStyle name="Note 23" xfId="53358" xr:uid="{00000000-0005-0000-0000-00006AD00000}"/>
    <cellStyle name="Note 23 2" xfId="53359" xr:uid="{00000000-0005-0000-0000-00006BD00000}"/>
    <cellStyle name="Note 23 2 2" xfId="53360" xr:uid="{00000000-0005-0000-0000-00006CD00000}"/>
    <cellStyle name="Note 23 2 2 2" xfId="53361" xr:uid="{00000000-0005-0000-0000-00006DD00000}"/>
    <cellStyle name="Note 23 2 3" xfId="53362" xr:uid="{00000000-0005-0000-0000-00006ED00000}"/>
    <cellStyle name="Note 23 2 3 2" xfId="53363" xr:uid="{00000000-0005-0000-0000-00006FD00000}"/>
    <cellStyle name="Note 23 2 3 3" xfId="53364" xr:uid="{00000000-0005-0000-0000-000070D00000}"/>
    <cellStyle name="Note 23 2 4" xfId="53365" xr:uid="{00000000-0005-0000-0000-000071D00000}"/>
    <cellStyle name="Note 23 3" xfId="53366" xr:uid="{00000000-0005-0000-0000-000072D00000}"/>
    <cellStyle name="Note 23 3 2" xfId="53367" xr:uid="{00000000-0005-0000-0000-000073D00000}"/>
    <cellStyle name="Note 23 4" xfId="53368" xr:uid="{00000000-0005-0000-0000-000074D00000}"/>
    <cellStyle name="Note 23 4 2" xfId="53369" xr:uid="{00000000-0005-0000-0000-000075D00000}"/>
    <cellStyle name="Note 23 4 3" xfId="53370" xr:uid="{00000000-0005-0000-0000-000076D00000}"/>
    <cellStyle name="Note 23 5" xfId="53371" xr:uid="{00000000-0005-0000-0000-000077D00000}"/>
    <cellStyle name="Note 23 6" xfId="53372" xr:uid="{00000000-0005-0000-0000-000078D00000}"/>
    <cellStyle name="Note 24" xfId="53373" xr:uid="{00000000-0005-0000-0000-000079D00000}"/>
    <cellStyle name="Note 24 2" xfId="53374" xr:uid="{00000000-0005-0000-0000-00007AD00000}"/>
    <cellStyle name="Note 24 2 2" xfId="53375" xr:uid="{00000000-0005-0000-0000-00007BD00000}"/>
    <cellStyle name="Note 24 2 2 2" xfId="53376" xr:uid="{00000000-0005-0000-0000-00007CD00000}"/>
    <cellStyle name="Note 24 2 3" xfId="53377" xr:uid="{00000000-0005-0000-0000-00007DD00000}"/>
    <cellStyle name="Note 24 2 3 2" xfId="53378" xr:uid="{00000000-0005-0000-0000-00007ED00000}"/>
    <cellStyle name="Note 24 2 3 3" xfId="53379" xr:uid="{00000000-0005-0000-0000-00007FD00000}"/>
    <cellStyle name="Note 24 2 4" xfId="53380" xr:uid="{00000000-0005-0000-0000-000080D00000}"/>
    <cellStyle name="Note 24 3" xfId="53381" xr:uid="{00000000-0005-0000-0000-000081D00000}"/>
    <cellStyle name="Note 24 3 2" xfId="53382" xr:uid="{00000000-0005-0000-0000-000082D00000}"/>
    <cellStyle name="Note 24 4" xfId="53383" xr:uid="{00000000-0005-0000-0000-000083D00000}"/>
    <cellStyle name="Note 24 4 2" xfId="53384" xr:uid="{00000000-0005-0000-0000-000084D00000}"/>
    <cellStyle name="Note 24 4 3" xfId="53385" xr:uid="{00000000-0005-0000-0000-000085D00000}"/>
    <cellStyle name="Note 24 5" xfId="53386" xr:uid="{00000000-0005-0000-0000-000086D00000}"/>
    <cellStyle name="Note 24 6" xfId="53387" xr:uid="{00000000-0005-0000-0000-000087D00000}"/>
    <cellStyle name="Note 25" xfId="53388" xr:uid="{00000000-0005-0000-0000-000088D00000}"/>
    <cellStyle name="Note 25 2" xfId="53389" xr:uid="{00000000-0005-0000-0000-000089D00000}"/>
    <cellStyle name="Note 25 2 2" xfId="53390" xr:uid="{00000000-0005-0000-0000-00008AD00000}"/>
    <cellStyle name="Note 25 2 2 2" xfId="53391" xr:uid="{00000000-0005-0000-0000-00008BD00000}"/>
    <cellStyle name="Note 25 2 3" xfId="53392" xr:uid="{00000000-0005-0000-0000-00008CD00000}"/>
    <cellStyle name="Note 25 2 3 2" xfId="53393" xr:uid="{00000000-0005-0000-0000-00008DD00000}"/>
    <cellStyle name="Note 25 2 3 3" xfId="53394" xr:uid="{00000000-0005-0000-0000-00008ED00000}"/>
    <cellStyle name="Note 25 2 4" xfId="53395" xr:uid="{00000000-0005-0000-0000-00008FD00000}"/>
    <cellStyle name="Note 25 3" xfId="53396" xr:uid="{00000000-0005-0000-0000-000090D00000}"/>
    <cellStyle name="Note 25 3 2" xfId="53397" xr:uid="{00000000-0005-0000-0000-000091D00000}"/>
    <cellStyle name="Note 25 4" xfId="53398" xr:uid="{00000000-0005-0000-0000-000092D00000}"/>
    <cellStyle name="Note 25 4 2" xfId="53399" xr:uid="{00000000-0005-0000-0000-000093D00000}"/>
    <cellStyle name="Note 25 4 3" xfId="53400" xr:uid="{00000000-0005-0000-0000-000094D00000}"/>
    <cellStyle name="Note 25 5" xfId="53401" xr:uid="{00000000-0005-0000-0000-000095D00000}"/>
    <cellStyle name="Note 25 6" xfId="53402" xr:uid="{00000000-0005-0000-0000-000096D00000}"/>
    <cellStyle name="Note 26" xfId="53403" xr:uid="{00000000-0005-0000-0000-000097D00000}"/>
    <cellStyle name="Note 26 2" xfId="53404" xr:uid="{00000000-0005-0000-0000-000098D00000}"/>
    <cellStyle name="Note 26 2 2" xfId="53405" xr:uid="{00000000-0005-0000-0000-000099D00000}"/>
    <cellStyle name="Note 26 2 2 2" xfId="53406" xr:uid="{00000000-0005-0000-0000-00009AD00000}"/>
    <cellStyle name="Note 26 2 3" xfId="53407" xr:uid="{00000000-0005-0000-0000-00009BD00000}"/>
    <cellStyle name="Note 26 2 3 2" xfId="53408" xr:uid="{00000000-0005-0000-0000-00009CD00000}"/>
    <cellStyle name="Note 26 2 3 3" xfId="53409" xr:uid="{00000000-0005-0000-0000-00009DD00000}"/>
    <cellStyle name="Note 26 2 4" xfId="53410" xr:uid="{00000000-0005-0000-0000-00009ED00000}"/>
    <cellStyle name="Note 26 3" xfId="53411" xr:uid="{00000000-0005-0000-0000-00009FD00000}"/>
    <cellStyle name="Note 26 3 2" xfId="53412" xr:uid="{00000000-0005-0000-0000-0000A0D00000}"/>
    <cellStyle name="Note 26 4" xfId="53413" xr:uid="{00000000-0005-0000-0000-0000A1D00000}"/>
    <cellStyle name="Note 26 4 2" xfId="53414" xr:uid="{00000000-0005-0000-0000-0000A2D00000}"/>
    <cellStyle name="Note 26 4 3" xfId="53415" xr:uid="{00000000-0005-0000-0000-0000A3D00000}"/>
    <cellStyle name="Note 26 5" xfId="53416" xr:uid="{00000000-0005-0000-0000-0000A4D00000}"/>
    <cellStyle name="Note 26 6" xfId="53417" xr:uid="{00000000-0005-0000-0000-0000A5D00000}"/>
    <cellStyle name="Note 27" xfId="53418" xr:uid="{00000000-0005-0000-0000-0000A6D00000}"/>
    <cellStyle name="Note 27 2" xfId="53419" xr:uid="{00000000-0005-0000-0000-0000A7D00000}"/>
    <cellStyle name="Note 27 2 2" xfId="53420" xr:uid="{00000000-0005-0000-0000-0000A8D00000}"/>
    <cellStyle name="Note 27 2 2 2" xfId="53421" xr:uid="{00000000-0005-0000-0000-0000A9D00000}"/>
    <cellStyle name="Note 27 2 3" xfId="53422" xr:uid="{00000000-0005-0000-0000-0000AAD00000}"/>
    <cellStyle name="Note 27 2 3 2" xfId="53423" xr:uid="{00000000-0005-0000-0000-0000ABD00000}"/>
    <cellStyle name="Note 27 2 3 3" xfId="53424" xr:uid="{00000000-0005-0000-0000-0000ACD00000}"/>
    <cellStyle name="Note 27 2 4" xfId="53425" xr:uid="{00000000-0005-0000-0000-0000ADD00000}"/>
    <cellStyle name="Note 27 3" xfId="53426" xr:uid="{00000000-0005-0000-0000-0000AED00000}"/>
    <cellStyle name="Note 27 3 2" xfId="53427" xr:uid="{00000000-0005-0000-0000-0000AFD00000}"/>
    <cellStyle name="Note 27 4" xfId="53428" xr:uid="{00000000-0005-0000-0000-0000B0D00000}"/>
    <cellStyle name="Note 27 4 2" xfId="53429" xr:uid="{00000000-0005-0000-0000-0000B1D00000}"/>
    <cellStyle name="Note 27 4 3" xfId="53430" xr:uid="{00000000-0005-0000-0000-0000B2D00000}"/>
    <cellStyle name="Note 27 5" xfId="53431" xr:uid="{00000000-0005-0000-0000-0000B3D00000}"/>
    <cellStyle name="Note 27 6" xfId="53432" xr:uid="{00000000-0005-0000-0000-0000B4D00000}"/>
    <cellStyle name="Note 28" xfId="53433" xr:uid="{00000000-0005-0000-0000-0000B5D00000}"/>
    <cellStyle name="Note 28 2" xfId="53434" xr:uid="{00000000-0005-0000-0000-0000B6D00000}"/>
    <cellStyle name="Note 28 2 2" xfId="53435" xr:uid="{00000000-0005-0000-0000-0000B7D00000}"/>
    <cellStyle name="Note 28 2 2 2" xfId="53436" xr:uid="{00000000-0005-0000-0000-0000B8D00000}"/>
    <cellStyle name="Note 28 2 3" xfId="53437" xr:uid="{00000000-0005-0000-0000-0000B9D00000}"/>
    <cellStyle name="Note 28 2 3 2" xfId="53438" xr:uid="{00000000-0005-0000-0000-0000BAD00000}"/>
    <cellStyle name="Note 28 2 3 3" xfId="53439" xr:uid="{00000000-0005-0000-0000-0000BBD00000}"/>
    <cellStyle name="Note 28 2 4" xfId="53440" xr:uid="{00000000-0005-0000-0000-0000BCD00000}"/>
    <cellStyle name="Note 28 3" xfId="53441" xr:uid="{00000000-0005-0000-0000-0000BDD00000}"/>
    <cellStyle name="Note 28 3 2" xfId="53442" xr:uid="{00000000-0005-0000-0000-0000BED00000}"/>
    <cellStyle name="Note 28 4" xfId="53443" xr:uid="{00000000-0005-0000-0000-0000BFD00000}"/>
    <cellStyle name="Note 28 4 2" xfId="53444" xr:uid="{00000000-0005-0000-0000-0000C0D00000}"/>
    <cellStyle name="Note 28 4 3" xfId="53445" xr:uid="{00000000-0005-0000-0000-0000C1D00000}"/>
    <cellStyle name="Note 28 5" xfId="53446" xr:uid="{00000000-0005-0000-0000-0000C2D00000}"/>
    <cellStyle name="Note 28 6" xfId="53447" xr:uid="{00000000-0005-0000-0000-0000C3D00000}"/>
    <cellStyle name="Note 29" xfId="53448" xr:uid="{00000000-0005-0000-0000-0000C4D00000}"/>
    <cellStyle name="Note 29 2" xfId="53449" xr:uid="{00000000-0005-0000-0000-0000C5D00000}"/>
    <cellStyle name="Note 29 2 2" xfId="53450" xr:uid="{00000000-0005-0000-0000-0000C6D00000}"/>
    <cellStyle name="Note 29 2 2 2" xfId="53451" xr:uid="{00000000-0005-0000-0000-0000C7D00000}"/>
    <cellStyle name="Note 29 2 3" xfId="53452" xr:uid="{00000000-0005-0000-0000-0000C8D00000}"/>
    <cellStyle name="Note 29 2 3 2" xfId="53453" xr:uid="{00000000-0005-0000-0000-0000C9D00000}"/>
    <cellStyle name="Note 29 2 3 3" xfId="53454" xr:uid="{00000000-0005-0000-0000-0000CAD00000}"/>
    <cellStyle name="Note 29 2 4" xfId="53455" xr:uid="{00000000-0005-0000-0000-0000CBD00000}"/>
    <cellStyle name="Note 29 3" xfId="53456" xr:uid="{00000000-0005-0000-0000-0000CCD00000}"/>
    <cellStyle name="Note 29 3 2" xfId="53457" xr:uid="{00000000-0005-0000-0000-0000CDD00000}"/>
    <cellStyle name="Note 29 4" xfId="53458" xr:uid="{00000000-0005-0000-0000-0000CED00000}"/>
    <cellStyle name="Note 29 4 2" xfId="53459" xr:uid="{00000000-0005-0000-0000-0000CFD00000}"/>
    <cellStyle name="Note 29 4 3" xfId="53460" xr:uid="{00000000-0005-0000-0000-0000D0D00000}"/>
    <cellStyle name="Note 29 5" xfId="53461" xr:uid="{00000000-0005-0000-0000-0000D1D00000}"/>
    <cellStyle name="Note 29 6" xfId="53462" xr:uid="{00000000-0005-0000-0000-0000D2D00000}"/>
    <cellStyle name="Note 3" xfId="53463" xr:uid="{00000000-0005-0000-0000-0000D3D00000}"/>
    <cellStyle name="Note 3 2" xfId="53464" xr:uid="{00000000-0005-0000-0000-0000D4D00000}"/>
    <cellStyle name="Note 3 2 2" xfId="53465" xr:uid="{00000000-0005-0000-0000-0000D5D00000}"/>
    <cellStyle name="Note 3 2 2 2" xfId="53466" xr:uid="{00000000-0005-0000-0000-0000D6D00000}"/>
    <cellStyle name="Note 3 2 3" xfId="53467" xr:uid="{00000000-0005-0000-0000-0000D7D00000}"/>
    <cellStyle name="Note 3 3" xfId="53468" xr:uid="{00000000-0005-0000-0000-0000D8D00000}"/>
    <cellStyle name="Note 3 3 2" xfId="53469" xr:uid="{00000000-0005-0000-0000-0000D9D00000}"/>
    <cellStyle name="Note 3 3 2 2" xfId="53470" xr:uid="{00000000-0005-0000-0000-0000DAD00000}"/>
    <cellStyle name="Note 3 3 3" xfId="53471" xr:uid="{00000000-0005-0000-0000-0000DBD00000}"/>
    <cellStyle name="Note 3 3 3 2" xfId="53472" xr:uid="{00000000-0005-0000-0000-0000DCD00000}"/>
    <cellStyle name="Note 3 3 3 3" xfId="53473" xr:uid="{00000000-0005-0000-0000-0000DDD00000}"/>
    <cellStyle name="Note 3 3 4" xfId="53474" xr:uid="{00000000-0005-0000-0000-0000DED00000}"/>
    <cellStyle name="Note 3 4" xfId="53475" xr:uid="{00000000-0005-0000-0000-0000DFD00000}"/>
    <cellStyle name="Note 3 4 2" xfId="53476" xr:uid="{00000000-0005-0000-0000-0000E0D00000}"/>
    <cellStyle name="Note 3 5" xfId="53477" xr:uid="{00000000-0005-0000-0000-0000E1D00000}"/>
    <cellStyle name="Note 3 5 2" xfId="53478" xr:uid="{00000000-0005-0000-0000-0000E2D00000}"/>
    <cellStyle name="Note 3 6" xfId="53479" xr:uid="{00000000-0005-0000-0000-0000E3D00000}"/>
    <cellStyle name="Note 3 6 2" xfId="53480" xr:uid="{00000000-0005-0000-0000-0000E4D00000}"/>
    <cellStyle name="Note 3 6 3" xfId="53481" xr:uid="{00000000-0005-0000-0000-0000E5D00000}"/>
    <cellStyle name="Note 3 7" xfId="53482" xr:uid="{00000000-0005-0000-0000-0000E6D00000}"/>
    <cellStyle name="Note 3 8" xfId="53483" xr:uid="{00000000-0005-0000-0000-0000E7D00000}"/>
    <cellStyle name="Note 30" xfId="53484" xr:uid="{00000000-0005-0000-0000-0000E8D00000}"/>
    <cellStyle name="Note 30 2" xfId="53485" xr:uid="{00000000-0005-0000-0000-0000E9D00000}"/>
    <cellStyle name="Note 30 2 2" xfId="53486" xr:uid="{00000000-0005-0000-0000-0000EAD00000}"/>
    <cellStyle name="Note 30 2 2 2" xfId="53487" xr:uid="{00000000-0005-0000-0000-0000EBD00000}"/>
    <cellStyle name="Note 30 2 3" xfId="53488" xr:uid="{00000000-0005-0000-0000-0000ECD00000}"/>
    <cellStyle name="Note 30 2 3 2" xfId="53489" xr:uid="{00000000-0005-0000-0000-0000EDD00000}"/>
    <cellStyle name="Note 30 2 3 3" xfId="53490" xr:uid="{00000000-0005-0000-0000-0000EED00000}"/>
    <cellStyle name="Note 30 2 4" xfId="53491" xr:uid="{00000000-0005-0000-0000-0000EFD00000}"/>
    <cellStyle name="Note 30 3" xfId="53492" xr:uid="{00000000-0005-0000-0000-0000F0D00000}"/>
    <cellStyle name="Note 30 3 2" xfId="53493" xr:uid="{00000000-0005-0000-0000-0000F1D00000}"/>
    <cellStyle name="Note 30 4" xfId="53494" xr:uid="{00000000-0005-0000-0000-0000F2D00000}"/>
    <cellStyle name="Note 30 4 2" xfId="53495" xr:uid="{00000000-0005-0000-0000-0000F3D00000}"/>
    <cellStyle name="Note 30 4 3" xfId="53496" xr:uid="{00000000-0005-0000-0000-0000F4D00000}"/>
    <cellStyle name="Note 30 5" xfId="53497" xr:uid="{00000000-0005-0000-0000-0000F5D00000}"/>
    <cellStyle name="Note 30 6" xfId="53498" xr:uid="{00000000-0005-0000-0000-0000F6D00000}"/>
    <cellStyle name="Note 31" xfId="53499" xr:uid="{00000000-0005-0000-0000-0000F7D00000}"/>
    <cellStyle name="Note 31 2" xfId="53500" xr:uid="{00000000-0005-0000-0000-0000F8D00000}"/>
    <cellStyle name="Note 31 2 2" xfId="53501" xr:uid="{00000000-0005-0000-0000-0000F9D00000}"/>
    <cellStyle name="Note 31 2 2 2" xfId="53502" xr:uid="{00000000-0005-0000-0000-0000FAD00000}"/>
    <cellStyle name="Note 31 2 3" xfId="53503" xr:uid="{00000000-0005-0000-0000-0000FBD00000}"/>
    <cellStyle name="Note 31 2 3 2" xfId="53504" xr:uid="{00000000-0005-0000-0000-0000FCD00000}"/>
    <cellStyle name="Note 31 2 3 3" xfId="53505" xr:uid="{00000000-0005-0000-0000-0000FDD00000}"/>
    <cellStyle name="Note 31 2 4" xfId="53506" xr:uid="{00000000-0005-0000-0000-0000FED00000}"/>
    <cellStyle name="Note 31 3" xfId="53507" xr:uid="{00000000-0005-0000-0000-0000FFD00000}"/>
    <cellStyle name="Note 31 3 2" xfId="53508" xr:uid="{00000000-0005-0000-0000-000000D10000}"/>
    <cellStyle name="Note 31 4" xfId="53509" xr:uid="{00000000-0005-0000-0000-000001D10000}"/>
    <cellStyle name="Note 31 4 2" xfId="53510" xr:uid="{00000000-0005-0000-0000-000002D10000}"/>
    <cellStyle name="Note 31 4 3" xfId="53511" xr:uid="{00000000-0005-0000-0000-000003D10000}"/>
    <cellStyle name="Note 31 5" xfId="53512" xr:uid="{00000000-0005-0000-0000-000004D10000}"/>
    <cellStyle name="Note 31 6" xfId="53513" xr:uid="{00000000-0005-0000-0000-000005D10000}"/>
    <cellStyle name="Note 32" xfId="53514" xr:uid="{00000000-0005-0000-0000-000006D10000}"/>
    <cellStyle name="Note 32 2" xfId="53515" xr:uid="{00000000-0005-0000-0000-000007D10000}"/>
    <cellStyle name="Note 32 2 2" xfId="53516" xr:uid="{00000000-0005-0000-0000-000008D10000}"/>
    <cellStyle name="Note 32 2 2 2" xfId="53517" xr:uid="{00000000-0005-0000-0000-000009D10000}"/>
    <cellStyle name="Note 32 2 3" xfId="53518" xr:uid="{00000000-0005-0000-0000-00000AD10000}"/>
    <cellStyle name="Note 32 2 3 2" xfId="53519" xr:uid="{00000000-0005-0000-0000-00000BD10000}"/>
    <cellStyle name="Note 32 2 3 3" xfId="53520" xr:uid="{00000000-0005-0000-0000-00000CD10000}"/>
    <cellStyle name="Note 32 2 4" xfId="53521" xr:uid="{00000000-0005-0000-0000-00000DD10000}"/>
    <cellStyle name="Note 32 3" xfId="53522" xr:uid="{00000000-0005-0000-0000-00000ED10000}"/>
    <cellStyle name="Note 32 3 2" xfId="53523" xr:uid="{00000000-0005-0000-0000-00000FD10000}"/>
    <cellStyle name="Note 32 4" xfId="53524" xr:uid="{00000000-0005-0000-0000-000010D10000}"/>
    <cellStyle name="Note 32 4 2" xfId="53525" xr:uid="{00000000-0005-0000-0000-000011D10000}"/>
    <cellStyle name="Note 32 4 3" xfId="53526" xr:uid="{00000000-0005-0000-0000-000012D10000}"/>
    <cellStyle name="Note 32 5" xfId="53527" xr:uid="{00000000-0005-0000-0000-000013D10000}"/>
    <cellStyle name="Note 32 6" xfId="53528" xr:uid="{00000000-0005-0000-0000-000014D10000}"/>
    <cellStyle name="Note 33" xfId="53529" xr:uid="{00000000-0005-0000-0000-000015D10000}"/>
    <cellStyle name="Note 33 2" xfId="53530" xr:uid="{00000000-0005-0000-0000-000016D10000}"/>
    <cellStyle name="Note 33 2 2" xfId="53531" xr:uid="{00000000-0005-0000-0000-000017D10000}"/>
    <cellStyle name="Note 33 2 2 2" xfId="53532" xr:uid="{00000000-0005-0000-0000-000018D10000}"/>
    <cellStyle name="Note 33 2 3" xfId="53533" xr:uid="{00000000-0005-0000-0000-000019D10000}"/>
    <cellStyle name="Note 33 2 3 2" xfId="53534" xr:uid="{00000000-0005-0000-0000-00001AD10000}"/>
    <cellStyle name="Note 33 2 3 3" xfId="53535" xr:uid="{00000000-0005-0000-0000-00001BD10000}"/>
    <cellStyle name="Note 33 2 4" xfId="53536" xr:uid="{00000000-0005-0000-0000-00001CD10000}"/>
    <cellStyle name="Note 33 3" xfId="53537" xr:uid="{00000000-0005-0000-0000-00001DD10000}"/>
    <cellStyle name="Note 33 3 2" xfId="53538" xr:uid="{00000000-0005-0000-0000-00001ED10000}"/>
    <cellStyle name="Note 33 4" xfId="53539" xr:uid="{00000000-0005-0000-0000-00001FD10000}"/>
    <cellStyle name="Note 33 4 2" xfId="53540" xr:uid="{00000000-0005-0000-0000-000020D10000}"/>
    <cellStyle name="Note 33 4 3" xfId="53541" xr:uid="{00000000-0005-0000-0000-000021D10000}"/>
    <cellStyle name="Note 33 5" xfId="53542" xr:uid="{00000000-0005-0000-0000-000022D10000}"/>
    <cellStyle name="Note 33 6" xfId="53543" xr:uid="{00000000-0005-0000-0000-000023D10000}"/>
    <cellStyle name="Note 34" xfId="53544" xr:uid="{00000000-0005-0000-0000-000024D10000}"/>
    <cellStyle name="Note 34 2" xfId="53545" xr:uid="{00000000-0005-0000-0000-000025D10000}"/>
    <cellStyle name="Note 34 2 2" xfId="53546" xr:uid="{00000000-0005-0000-0000-000026D10000}"/>
    <cellStyle name="Note 34 2 2 2" xfId="53547" xr:uid="{00000000-0005-0000-0000-000027D10000}"/>
    <cellStyle name="Note 34 2 3" xfId="53548" xr:uid="{00000000-0005-0000-0000-000028D10000}"/>
    <cellStyle name="Note 34 2 3 2" xfId="53549" xr:uid="{00000000-0005-0000-0000-000029D10000}"/>
    <cellStyle name="Note 34 2 3 3" xfId="53550" xr:uid="{00000000-0005-0000-0000-00002AD10000}"/>
    <cellStyle name="Note 34 2 4" xfId="53551" xr:uid="{00000000-0005-0000-0000-00002BD10000}"/>
    <cellStyle name="Note 34 3" xfId="53552" xr:uid="{00000000-0005-0000-0000-00002CD10000}"/>
    <cellStyle name="Note 34 3 2" xfId="53553" xr:uid="{00000000-0005-0000-0000-00002DD10000}"/>
    <cellStyle name="Note 34 4" xfId="53554" xr:uid="{00000000-0005-0000-0000-00002ED10000}"/>
    <cellStyle name="Note 34 4 2" xfId="53555" xr:uid="{00000000-0005-0000-0000-00002FD10000}"/>
    <cellStyle name="Note 34 4 3" xfId="53556" xr:uid="{00000000-0005-0000-0000-000030D10000}"/>
    <cellStyle name="Note 34 5" xfId="53557" xr:uid="{00000000-0005-0000-0000-000031D10000}"/>
    <cellStyle name="Note 34 6" xfId="53558" xr:uid="{00000000-0005-0000-0000-000032D10000}"/>
    <cellStyle name="Note 35" xfId="53559" xr:uid="{00000000-0005-0000-0000-000033D10000}"/>
    <cellStyle name="Note 35 2" xfId="53560" xr:uid="{00000000-0005-0000-0000-000034D10000}"/>
    <cellStyle name="Note 35 2 2" xfId="53561" xr:uid="{00000000-0005-0000-0000-000035D10000}"/>
    <cellStyle name="Note 35 2 2 2" xfId="53562" xr:uid="{00000000-0005-0000-0000-000036D10000}"/>
    <cellStyle name="Note 35 2 3" xfId="53563" xr:uid="{00000000-0005-0000-0000-000037D10000}"/>
    <cellStyle name="Note 35 2 3 2" xfId="53564" xr:uid="{00000000-0005-0000-0000-000038D10000}"/>
    <cellStyle name="Note 35 2 3 3" xfId="53565" xr:uid="{00000000-0005-0000-0000-000039D10000}"/>
    <cellStyle name="Note 35 2 4" xfId="53566" xr:uid="{00000000-0005-0000-0000-00003AD10000}"/>
    <cellStyle name="Note 35 3" xfId="53567" xr:uid="{00000000-0005-0000-0000-00003BD10000}"/>
    <cellStyle name="Note 35 3 2" xfId="53568" xr:uid="{00000000-0005-0000-0000-00003CD10000}"/>
    <cellStyle name="Note 35 4" xfId="53569" xr:uid="{00000000-0005-0000-0000-00003DD10000}"/>
    <cellStyle name="Note 35 4 2" xfId="53570" xr:uid="{00000000-0005-0000-0000-00003ED10000}"/>
    <cellStyle name="Note 35 4 3" xfId="53571" xr:uid="{00000000-0005-0000-0000-00003FD10000}"/>
    <cellStyle name="Note 35 5" xfId="53572" xr:uid="{00000000-0005-0000-0000-000040D10000}"/>
    <cellStyle name="Note 35 6" xfId="53573" xr:uid="{00000000-0005-0000-0000-000041D10000}"/>
    <cellStyle name="Note 36" xfId="53574" xr:uid="{00000000-0005-0000-0000-000042D10000}"/>
    <cellStyle name="Note 36 2" xfId="53575" xr:uid="{00000000-0005-0000-0000-000043D10000}"/>
    <cellStyle name="Note 36 2 2" xfId="53576" xr:uid="{00000000-0005-0000-0000-000044D10000}"/>
    <cellStyle name="Note 36 2 2 2" xfId="53577" xr:uid="{00000000-0005-0000-0000-000045D10000}"/>
    <cellStyle name="Note 36 2 3" xfId="53578" xr:uid="{00000000-0005-0000-0000-000046D10000}"/>
    <cellStyle name="Note 36 2 3 2" xfId="53579" xr:uid="{00000000-0005-0000-0000-000047D10000}"/>
    <cellStyle name="Note 36 2 3 3" xfId="53580" xr:uid="{00000000-0005-0000-0000-000048D10000}"/>
    <cellStyle name="Note 36 2 4" xfId="53581" xr:uid="{00000000-0005-0000-0000-000049D10000}"/>
    <cellStyle name="Note 36 3" xfId="53582" xr:uid="{00000000-0005-0000-0000-00004AD10000}"/>
    <cellStyle name="Note 36 3 2" xfId="53583" xr:uid="{00000000-0005-0000-0000-00004BD10000}"/>
    <cellStyle name="Note 36 4" xfId="53584" xr:uid="{00000000-0005-0000-0000-00004CD10000}"/>
    <cellStyle name="Note 36 4 2" xfId="53585" xr:uid="{00000000-0005-0000-0000-00004DD10000}"/>
    <cellStyle name="Note 36 4 3" xfId="53586" xr:uid="{00000000-0005-0000-0000-00004ED10000}"/>
    <cellStyle name="Note 36 5" xfId="53587" xr:uid="{00000000-0005-0000-0000-00004FD10000}"/>
    <cellStyle name="Note 36 6" xfId="53588" xr:uid="{00000000-0005-0000-0000-000050D10000}"/>
    <cellStyle name="Note 37" xfId="53589" xr:uid="{00000000-0005-0000-0000-000051D10000}"/>
    <cellStyle name="Note 37 2" xfId="53590" xr:uid="{00000000-0005-0000-0000-000052D10000}"/>
    <cellStyle name="Note 37 2 2" xfId="53591" xr:uid="{00000000-0005-0000-0000-000053D10000}"/>
    <cellStyle name="Note 37 2 2 2" xfId="53592" xr:uid="{00000000-0005-0000-0000-000054D10000}"/>
    <cellStyle name="Note 37 2 3" xfId="53593" xr:uid="{00000000-0005-0000-0000-000055D10000}"/>
    <cellStyle name="Note 37 2 3 2" xfId="53594" xr:uid="{00000000-0005-0000-0000-000056D10000}"/>
    <cellStyle name="Note 37 2 3 3" xfId="53595" xr:uid="{00000000-0005-0000-0000-000057D10000}"/>
    <cellStyle name="Note 37 2 4" xfId="53596" xr:uid="{00000000-0005-0000-0000-000058D10000}"/>
    <cellStyle name="Note 37 3" xfId="53597" xr:uid="{00000000-0005-0000-0000-000059D10000}"/>
    <cellStyle name="Note 37 3 2" xfId="53598" xr:uid="{00000000-0005-0000-0000-00005AD10000}"/>
    <cellStyle name="Note 37 4" xfId="53599" xr:uid="{00000000-0005-0000-0000-00005BD10000}"/>
    <cellStyle name="Note 37 4 2" xfId="53600" xr:uid="{00000000-0005-0000-0000-00005CD10000}"/>
    <cellStyle name="Note 37 4 3" xfId="53601" xr:uid="{00000000-0005-0000-0000-00005DD10000}"/>
    <cellStyle name="Note 37 5" xfId="53602" xr:uid="{00000000-0005-0000-0000-00005ED10000}"/>
    <cellStyle name="Note 37 6" xfId="53603" xr:uid="{00000000-0005-0000-0000-00005FD10000}"/>
    <cellStyle name="Note 38" xfId="53604" xr:uid="{00000000-0005-0000-0000-000060D10000}"/>
    <cellStyle name="Note 38 2" xfId="53605" xr:uid="{00000000-0005-0000-0000-000061D10000}"/>
    <cellStyle name="Note 38 2 2" xfId="53606" xr:uid="{00000000-0005-0000-0000-000062D10000}"/>
    <cellStyle name="Note 38 2 2 2" xfId="53607" xr:uid="{00000000-0005-0000-0000-000063D10000}"/>
    <cellStyle name="Note 38 2 3" xfId="53608" xr:uid="{00000000-0005-0000-0000-000064D10000}"/>
    <cellStyle name="Note 38 2 3 2" xfId="53609" xr:uid="{00000000-0005-0000-0000-000065D10000}"/>
    <cellStyle name="Note 38 2 3 3" xfId="53610" xr:uid="{00000000-0005-0000-0000-000066D10000}"/>
    <cellStyle name="Note 38 2 4" xfId="53611" xr:uid="{00000000-0005-0000-0000-000067D10000}"/>
    <cellStyle name="Note 38 3" xfId="53612" xr:uid="{00000000-0005-0000-0000-000068D10000}"/>
    <cellStyle name="Note 38 3 2" xfId="53613" xr:uid="{00000000-0005-0000-0000-000069D10000}"/>
    <cellStyle name="Note 38 4" xfId="53614" xr:uid="{00000000-0005-0000-0000-00006AD10000}"/>
    <cellStyle name="Note 38 4 2" xfId="53615" xr:uid="{00000000-0005-0000-0000-00006BD10000}"/>
    <cellStyle name="Note 38 4 3" xfId="53616" xr:uid="{00000000-0005-0000-0000-00006CD10000}"/>
    <cellStyle name="Note 38 5" xfId="53617" xr:uid="{00000000-0005-0000-0000-00006DD10000}"/>
    <cellStyle name="Note 38 6" xfId="53618" xr:uid="{00000000-0005-0000-0000-00006ED10000}"/>
    <cellStyle name="Note 39" xfId="53619" xr:uid="{00000000-0005-0000-0000-00006FD10000}"/>
    <cellStyle name="Note 39 2" xfId="53620" xr:uid="{00000000-0005-0000-0000-000070D10000}"/>
    <cellStyle name="Note 39 2 2" xfId="53621" xr:uid="{00000000-0005-0000-0000-000071D10000}"/>
    <cellStyle name="Note 39 2 2 2" xfId="53622" xr:uid="{00000000-0005-0000-0000-000072D10000}"/>
    <cellStyle name="Note 39 2 3" xfId="53623" xr:uid="{00000000-0005-0000-0000-000073D10000}"/>
    <cellStyle name="Note 39 2 3 2" xfId="53624" xr:uid="{00000000-0005-0000-0000-000074D10000}"/>
    <cellStyle name="Note 39 2 3 3" xfId="53625" xr:uid="{00000000-0005-0000-0000-000075D10000}"/>
    <cellStyle name="Note 39 2 4" xfId="53626" xr:uid="{00000000-0005-0000-0000-000076D10000}"/>
    <cellStyle name="Note 39 3" xfId="53627" xr:uid="{00000000-0005-0000-0000-000077D10000}"/>
    <cellStyle name="Note 39 3 2" xfId="53628" xr:uid="{00000000-0005-0000-0000-000078D10000}"/>
    <cellStyle name="Note 39 4" xfId="53629" xr:uid="{00000000-0005-0000-0000-000079D10000}"/>
    <cellStyle name="Note 39 4 2" xfId="53630" xr:uid="{00000000-0005-0000-0000-00007AD10000}"/>
    <cellStyle name="Note 39 4 3" xfId="53631" xr:uid="{00000000-0005-0000-0000-00007BD10000}"/>
    <cellStyle name="Note 39 5" xfId="53632" xr:uid="{00000000-0005-0000-0000-00007CD10000}"/>
    <cellStyle name="Note 39 6" xfId="53633" xr:uid="{00000000-0005-0000-0000-00007DD10000}"/>
    <cellStyle name="Note 4" xfId="53634" xr:uid="{00000000-0005-0000-0000-00007ED10000}"/>
    <cellStyle name="Note 4 2" xfId="53635" xr:uid="{00000000-0005-0000-0000-00007FD10000}"/>
    <cellStyle name="Note 4 2 2" xfId="53636" xr:uid="{00000000-0005-0000-0000-000080D10000}"/>
    <cellStyle name="Note 4 2 2 2" xfId="53637" xr:uid="{00000000-0005-0000-0000-000081D10000}"/>
    <cellStyle name="Note 4 2 3" xfId="53638" xr:uid="{00000000-0005-0000-0000-000082D10000}"/>
    <cellStyle name="Note 4 3" xfId="53639" xr:uid="{00000000-0005-0000-0000-000083D10000}"/>
    <cellStyle name="Note 4 3 2" xfId="53640" xr:uid="{00000000-0005-0000-0000-000084D10000}"/>
    <cellStyle name="Note 4 3 2 2" xfId="53641" xr:uid="{00000000-0005-0000-0000-000085D10000}"/>
    <cellStyle name="Note 4 3 3" xfId="53642" xr:uid="{00000000-0005-0000-0000-000086D10000}"/>
    <cellStyle name="Note 4 3 3 2" xfId="53643" xr:uid="{00000000-0005-0000-0000-000087D10000}"/>
    <cellStyle name="Note 4 3 3 3" xfId="53644" xr:uid="{00000000-0005-0000-0000-000088D10000}"/>
    <cellStyle name="Note 4 3 4" xfId="53645" xr:uid="{00000000-0005-0000-0000-000089D10000}"/>
    <cellStyle name="Note 4 4" xfId="53646" xr:uid="{00000000-0005-0000-0000-00008AD10000}"/>
    <cellStyle name="Note 4 4 2" xfId="53647" xr:uid="{00000000-0005-0000-0000-00008BD10000}"/>
    <cellStyle name="Note 4 5" xfId="53648" xr:uid="{00000000-0005-0000-0000-00008CD10000}"/>
    <cellStyle name="Note 4 5 2" xfId="53649" xr:uid="{00000000-0005-0000-0000-00008DD10000}"/>
    <cellStyle name="Note 4 6" xfId="53650" xr:uid="{00000000-0005-0000-0000-00008ED10000}"/>
    <cellStyle name="Note 4 6 2" xfId="53651" xr:uid="{00000000-0005-0000-0000-00008FD10000}"/>
    <cellStyle name="Note 4 6 3" xfId="53652" xr:uid="{00000000-0005-0000-0000-000090D10000}"/>
    <cellStyle name="Note 4 7" xfId="53653" xr:uid="{00000000-0005-0000-0000-000091D10000}"/>
    <cellStyle name="Note 4 8" xfId="53654" xr:uid="{00000000-0005-0000-0000-000092D10000}"/>
    <cellStyle name="Note 40" xfId="53655" xr:uid="{00000000-0005-0000-0000-000093D10000}"/>
    <cellStyle name="Note 40 2" xfId="53656" xr:uid="{00000000-0005-0000-0000-000094D10000}"/>
    <cellStyle name="Note 40 2 2" xfId="53657" xr:uid="{00000000-0005-0000-0000-000095D10000}"/>
    <cellStyle name="Note 40 2 2 2" xfId="53658" xr:uid="{00000000-0005-0000-0000-000096D10000}"/>
    <cellStyle name="Note 40 2 3" xfId="53659" xr:uid="{00000000-0005-0000-0000-000097D10000}"/>
    <cellStyle name="Note 40 2 3 2" xfId="53660" xr:uid="{00000000-0005-0000-0000-000098D10000}"/>
    <cellStyle name="Note 40 2 3 3" xfId="53661" xr:uid="{00000000-0005-0000-0000-000099D10000}"/>
    <cellStyle name="Note 40 2 4" xfId="53662" xr:uid="{00000000-0005-0000-0000-00009AD10000}"/>
    <cellStyle name="Note 40 3" xfId="53663" xr:uid="{00000000-0005-0000-0000-00009BD10000}"/>
    <cellStyle name="Note 40 3 2" xfId="53664" xr:uid="{00000000-0005-0000-0000-00009CD10000}"/>
    <cellStyle name="Note 40 4" xfId="53665" xr:uid="{00000000-0005-0000-0000-00009DD10000}"/>
    <cellStyle name="Note 40 4 2" xfId="53666" xr:uid="{00000000-0005-0000-0000-00009ED10000}"/>
    <cellStyle name="Note 40 4 3" xfId="53667" xr:uid="{00000000-0005-0000-0000-00009FD10000}"/>
    <cellStyle name="Note 40 5" xfId="53668" xr:uid="{00000000-0005-0000-0000-0000A0D10000}"/>
    <cellStyle name="Note 40 6" xfId="53669" xr:uid="{00000000-0005-0000-0000-0000A1D10000}"/>
    <cellStyle name="Note 41" xfId="53670" xr:uid="{00000000-0005-0000-0000-0000A2D10000}"/>
    <cellStyle name="Note 41 2" xfId="53671" xr:uid="{00000000-0005-0000-0000-0000A3D10000}"/>
    <cellStyle name="Note 41 2 2" xfId="53672" xr:uid="{00000000-0005-0000-0000-0000A4D10000}"/>
    <cellStyle name="Note 41 2 2 2" xfId="53673" xr:uid="{00000000-0005-0000-0000-0000A5D10000}"/>
    <cellStyle name="Note 41 2 3" xfId="53674" xr:uid="{00000000-0005-0000-0000-0000A6D10000}"/>
    <cellStyle name="Note 41 2 3 2" xfId="53675" xr:uid="{00000000-0005-0000-0000-0000A7D10000}"/>
    <cellStyle name="Note 41 2 3 3" xfId="53676" xr:uid="{00000000-0005-0000-0000-0000A8D10000}"/>
    <cellStyle name="Note 41 2 4" xfId="53677" xr:uid="{00000000-0005-0000-0000-0000A9D10000}"/>
    <cellStyle name="Note 41 3" xfId="53678" xr:uid="{00000000-0005-0000-0000-0000AAD10000}"/>
    <cellStyle name="Note 41 3 2" xfId="53679" xr:uid="{00000000-0005-0000-0000-0000ABD10000}"/>
    <cellStyle name="Note 41 4" xfId="53680" xr:uid="{00000000-0005-0000-0000-0000ACD10000}"/>
    <cellStyle name="Note 41 4 2" xfId="53681" xr:uid="{00000000-0005-0000-0000-0000ADD10000}"/>
    <cellStyle name="Note 41 4 3" xfId="53682" xr:uid="{00000000-0005-0000-0000-0000AED10000}"/>
    <cellStyle name="Note 41 5" xfId="53683" xr:uid="{00000000-0005-0000-0000-0000AFD10000}"/>
    <cellStyle name="Note 41 6" xfId="53684" xr:uid="{00000000-0005-0000-0000-0000B0D10000}"/>
    <cellStyle name="Note 42" xfId="53685" xr:uid="{00000000-0005-0000-0000-0000B1D10000}"/>
    <cellStyle name="Note 42 2" xfId="53686" xr:uid="{00000000-0005-0000-0000-0000B2D10000}"/>
    <cellStyle name="Note 42 2 2" xfId="53687" xr:uid="{00000000-0005-0000-0000-0000B3D10000}"/>
    <cellStyle name="Note 42 2 2 2" xfId="53688" xr:uid="{00000000-0005-0000-0000-0000B4D10000}"/>
    <cellStyle name="Note 42 2 3" xfId="53689" xr:uid="{00000000-0005-0000-0000-0000B5D10000}"/>
    <cellStyle name="Note 42 2 3 2" xfId="53690" xr:uid="{00000000-0005-0000-0000-0000B6D10000}"/>
    <cellStyle name="Note 42 2 3 3" xfId="53691" xr:uid="{00000000-0005-0000-0000-0000B7D10000}"/>
    <cellStyle name="Note 42 2 4" xfId="53692" xr:uid="{00000000-0005-0000-0000-0000B8D10000}"/>
    <cellStyle name="Note 42 3" xfId="53693" xr:uid="{00000000-0005-0000-0000-0000B9D10000}"/>
    <cellStyle name="Note 42 3 2" xfId="53694" xr:uid="{00000000-0005-0000-0000-0000BAD10000}"/>
    <cellStyle name="Note 42 4" xfId="53695" xr:uid="{00000000-0005-0000-0000-0000BBD10000}"/>
    <cellStyle name="Note 42 4 2" xfId="53696" xr:uid="{00000000-0005-0000-0000-0000BCD10000}"/>
    <cellStyle name="Note 42 4 3" xfId="53697" xr:uid="{00000000-0005-0000-0000-0000BDD10000}"/>
    <cellStyle name="Note 42 5" xfId="53698" xr:uid="{00000000-0005-0000-0000-0000BED10000}"/>
    <cellStyle name="Note 42 6" xfId="53699" xr:uid="{00000000-0005-0000-0000-0000BFD10000}"/>
    <cellStyle name="Note 43" xfId="53700" xr:uid="{00000000-0005-0000-0000-0000C0D10000}"/>
    <cellStyle name="Note 43 2" xfId="53701" xr:uid="{00000000-0005-0000-0000-0000C1D10000}"/>
    <cellStyle name="Note 43 2 2" xfId="53702" xr:uid="{00000000-0005-0000-0000-0000C2D10000}"/>
    <cellStyle name="Note 43 2 2 2" xfId="53703" xr:uid="{00000000-0005-0000-0000-0000C3D10000}"/>
    <cellStyle name="Note 43 2 3" xfId="53704" xr:uid="{00000000-0005-0000-0000-0000C4D10000}"/>
    <cellStyle name="Note 43 2 3 2" xfId="53705" xr:uid="{00000000-0005-0000-0000-0000C5D10000}"/>
    <cellStyle name="Note 43 2 3 3" xfId="53706" xr:uid="{00000000-0005-0000-0000-0000C6D10000}"/>
    <cellStyle name="Note 43 2 4" xfId="53707" xr:uid="{00000000-0005-0000-0000-0000C7D10000}"/>
    <cellStyle name="Note 43 3" xfId="53708" xr:uid="{00000000-0005-0000-0000-0000C8D10000}"/>
    <cellStyle name="Note 43 3 2" xfId="53709" xr:uid="{00000000-0005-0000-0000-0000C9D10000}"/>
    <cellStyle name="Note 43 4" xfId="53710" xr:uid="{00000000-0005-0000-0000-0000CAD10000}"/>
    <cellStyle name="Note 43 4 2" xfId="53711" xr:uid="{00000000-0005-0000-0000-0000CBD10000}"/>
    <cellStyle name="Note 43 4 3" xfId="53712" xr:uid="{00000000-0005-0000-0000-0000CCD10000}"/>
    <cellStyle name="Note 43 5" xfId="53713" xr:uid="{00000000-0005-0000-0000-0000CDD10000}"/>
    <cellStyle name="Note 43 6" xfId="53714" xr:uid="{00000000-0005-0000-0000-0000CED10000}"/>
    <cellStyle name="Note 44" xfId="53715" xr:uid="{00000000-0005-0000-0000-0000CFD10000}"/>
    <cellStyle name="Note 44 2" xfId="53716" xr:uid="{00000000-0005-0000-0000-0000D0D10000}"/>
    <cellStyle name="Note 44 2 2" xfId="53717" xr:uid="{00000000-0005-0000-0000-0000D1D10000}"/>
    <cellStyle name="Note 44 2 2 2" xfId="53718" xr:uid="{00000000-0005-0000-0000-0000D2D10000}"/>
    <cellStyle name="Note 44 2 3" xfId="53719" xr:uid="{00000000-0005-0000-0000-0000D3D10000}"/>
    <cellStyle name="Note 44 2 3 2" xfId="53720" xr:uid="{00000000-0005-0000-0000-0000D4D10000}"/>
    <cellStyle name="Note 44 2 3 3" xfId="53721" xr:uid="{00000000-0005-0000-0000-0000D5D10000}"/>
    <cellStyle name="Note 44 2 4" xfId="53722" xr:uid="{00000000-0005-0000-0000-0000D6D10000}"/>
    <cellStyle name="Note 44 3" xfId="53723" xr:uid="{00000000-0005-0000-0000-0000D7D10000}"/>
    <cellStyle name="Note 44 3 2" xfId="53724" xr:uid="{00000000-0005-0000-0000-0000D8D10000}"/>
    <cellStyle name="Note 44 4" xfId="53725" xr:uid="{00000000-0005-0000-0000-0000D9D10000}"/>
    <cellStyle name="Note 44 4 2" xfId="53726" xr:uid="{00000000-0005-0000-0000-0000DAD10000}"/>
    <cellStyle name="Note 44 4 3" xfId="53727" xr:uid="{00000000-0005-0000-0000-0000DBD10000}"/>
    <cellStyle name="Note 44 5" xfId="53728" xr:uid="{00000000-0005-0000-0000-0000DCD10000}"/>
    <cellStyle name="Note 44 6" xfId="53729" xr:uid="{00000000-0005-0000-0000-0000DDD10000}"/>
    <cellStyle name="Note 45" xfId="53730" xr:uid="{00000000-0005-0000-0000-0000DED10000}"/>
    <cellStyle name="Note 45 2" xfId="53731" xr:uid="{00000000-0005-0000-0000-0000DFD10000}"/>
    <cellStyle name="Note 45 2 2" xfId="53732" xr:uid="{00000000-0005-0000-0000-0000E0D10000}"/>
    <cellStyle name="Note 45 2 2 2" xfId="53733" xr:uid="{00000000-0005-0000-0000-0000E1D10000}"/>
    <cellStyle name="Note 45 2 3" xfId="53734" xr:uid="{00000000-0005-0000-0000-0000E2D10000}"/>
    <cellStyle name="Note 45 2 3 2" xfId="53735" xr:uid="{00000000-0005-0000-0000-0000E3D10000}"/>
    <cellStyle name="Note 45 2 3 3" xfId="53736" xr:uid="{00000000-0005-0000-0000-0000E4D10000}"/>
    <cellStyle name="Note 45 2 4" xfId="53737" xr:uid="{00000000-0005-0000-0000-0000E5D10000}"/>
    <cellStyle name="Note 45 3" xfId="53738" xr:uid="{00000000-0005-0000-0000-0000E6D10000}"/>
    <cellStyle name="Note 45 3 2" xfId="53739" xr:uid="{00000000-0005-0000-0000-0000E7D10000}"/>
    <cellStyle name="Note 45 4" xfId="53740" xr:uid="{00000000-0005-0000-0000-0000E8D10000}"/>
    <cellStyle name="Note 45 4 2" xfId="53741" xr:uid="{00000000-0005-0000-0000-0000E9D10000}"/>
    <cellStyle name="Note 45 4 3" xfId="53742" xr:uid="{00000000-0005-0000-0000-0000EAD10000}"/>
    <cellStyle name="Note 45 5" xfId="53743" xr:uid="{00000000-0005-0000-0000-0000EBD10000}"/>
    <cellStyle name="Note 45 6" xfId="53744" xr:uid="{00000000-0005-0000-0000-0000ECD10000}"/>
    <cellStyle name="Note 46" xfId="53745" xr:uid="{00000000-0005-0000-0000-0000EDD10000}"/>
    <cellStyle name="Note 46 2" xfId="53746" xr:uid="{00000000-0005-0000-0000-0000EED10000}"/>
    <cellStyle name="Note 46 2 2" xfId="53747" xr:uid="{00000000-0005-0000-0000-0000EFD10000}"/>
    <cellStyle name="Note 46 2 2 2" xfId="53748" xr:uid="{00000000-0005-0000-0000-0000F0D10000}"/>
    <cellStyle name="Note 46 2 3" xfId="53749" xr:uid="{00000000-0005-0000-0000-0000F1D10000}"/>
    <cellStyle name="Note 46 2 3 2" xfId="53750" xr:uid="{00000000-0005-0000-0000-0000F2D10000}"/>
    <cellStyle name="Note 46 2 3 3" xfId="53751" xr:uid="{00000000-0005-0000-0000-0000F3D10000}"/>
    <cellStyle name="Note 46 2 4" xfId="53752" xr:uid="{00000000-0005-0000-0000-0000F4D10000}"/>
    <cellStyle name="Note 46 3" xfId="53753" xr:uid="{00000000-0005-0000-0000-0000F5D10000}"/>
    <cellStyle name="Note 46 3 2" xfId="53754" xr:uid="{00000000-0005-0000-0000-0000F6D10000}"/>
    <cellStyle name="Note 46 4" xfId="53755" xr:uid="{00000000-0005-0000-0000-0000F7D10000}"/>
    <cellStyle name="Note 46 4 2" xfId="53756" xr:uid="{00000000-0005-0000-0000-0000F8D10000}"/>
    <cellStyle name="Note 46 4 3" xfId="53757" xr:uid="{00000000-0005-0000-0000-0000F9D10000}"/>
    <cellStyle name="Note 46 5" xfId="53758" xr:uid="{00000000-0005-0000-0000-0000FAD10000}"/>
    <cellStyle name="Note 46 6" xfId="53759" xr:uid="{00000000-0005-0000-0000-0000FBD10000}"/>
    <cellStyle name="Note 47" xfId="53760" xr:uid="{00000000-0005-0000-0000-0000FCD10000}"/>
    <cellStyle name="Note 47 2" xfId="53761" xr:uid="{00000000-0005-0000-0000-0000FDD10000}"/>
    <cellStyle name="Note 47 2 2" xfId="53762" xr:uid="{00000000-0005-0000-0000-0000FED10000}"/>
    <cellStyle name="Note 47 2 2 2" xfId="53763" xr:uid="{00000000-0005-0000-0000-0000FFD10000}"/>
    <cellStyle name="Note 47 2 3" xfId="53764" xr:uid="{00000000-0005-0000-0000-000000D20000}"/>
    <cellStyle name="Note 47 2 3 2" xfId="53765" xr:uid="{00000000-0005-0000-0000-000001D20000}"/>
    <cellStyle name="Note 47 2 3 3" xfId="53766" xr:uid="{00000000-0005-0000-0000-000002D20000}"/>
    <cellStyle name="Note 47 2 4" xfId="53767" xr:uid="{00000000-0005-0000-0000-000003D20000}"/>
    <cellStyle name="Note 47 3" xfId="53768" xr:uid="{00000000-0005-0000-0000-000004D20000}"/>
    <cellStyle name="Note 47 3 2" xfId="53769" xr:uid="{00000000-0005-0000-0000-000005D20000}"/>
    <cellStyle name="Note 47 4" xfId="53770" xr:uid="{00000000-0005-0000-0000-000006D20000}"/>
    <cellStyle name="Note 47 4 2" xfId="53771" xr:uid="{00000000-0005-0000-0000-000007D20000}"/>
    <cellStyle name="Note 47 4 3" xfId="53772" xr:uid="{00000000-0005-0000-0000-000008D20000}"/>
    <cellStyle name="Note 47 5" xfId="53773" xr:uid="{00000000-0005-0000-0000-000009D20000}"/>
    <cellStyle name="Note 47 6" xfId="53774" xr:uid="{00000000-0005-0000-0000-00000AD20000}"/>
    <cellStyle name="Note 48" xfId="53775" xr:uid="{00000000-0005-0000-0000-00000BD20000}"/>
    <cellStyle name="Note 48 2" xfId="53776" xr:uid="{00000000-0005-0000-0000-00000CD20000}"/>
    <cellStyle name="Note 48 2 2" xfId="53777" xr:uid="{00000000-0005-0000-0000-00000DD20000}"/>
    <cellStyle name="Note 48 2 2 2" xfId="53778" xr:uid="{00000000-0005-0000-0000-00000ED20000}"/>
    <cellStyle name="Note 48 2 3" xfId="53779" xr:uid="{00000000-0005-0000-0000-00000FD20000}"/>
    <cellStyle name="Note 48 2 3 2" xfId="53780" xr:uid="{00000000-0005-0000-0000-000010D20000}"/>
    <cellStyle name="Note 48 2 3 3" xfId="53781" xr:uid="{00000000-0005-0000-0000-000011D20000}"/>
    <cellStyle name="Note 48 2 4" xfId="53782" xr:uid="{00000000-0005-0000-0000-000012D20000}"/>
    <cellStyle name="Note 48 3" xfId="53783" xr:uid="{00000000-0005-0000-0000-000013D20000}"/>
    <cellStyle name="Note 48 3 2" xfId="53784" xr:uid="{00000000-0005-0000-0000-000014D20000}"/>
    <cellStyle name="Note 48 4" xfId="53785" xr:uid="{00000000-0005-0000-0000-000015D20000}"/>
    <cellStyle name="Note 48 4 2" xfId="53786" xr:uid="{00000000-0005-0000-0000-000016D20000}"/>
    <cellStyle name="Note 48 4 3" xfId="53787" xr:uid="{00000000-0005-0000-0000-000017D20000}"/>
    <cellStyle name="Note 48 5" xfId="53788" xr:uid="{00000000-0005-0000-0000-000018D20000}"/>
    <cellStyle name="Note 48 6" xfId="53789" xr:uid="{00000000-0005-0000-0000-000019D20000}"/>
    <cellStyle name="Note 49" xfId="53790" xr:uid="{00000000-0005-0000-0000-00001AD20000}"/>
    <cellStyle name="Note 49 2" xfId="53791" xr:uid="{00000000-0005-0000-0000-00001BD20000}"/>
    <cellStyle name="Note 49 2 2" xfId="53792" xr:uid="{00000000-0005-0000-0000-00001CD20000}"/>
    <cellStyle name="Note 49 2 2 2" xfId="53793" xr:uid="{00000000-0005-0000-0000-00001DD20000}"/>
    <cellStyle name="Note 49 2 3" xfId="53794" xr:uid="{00000000-0005-0000-0000-00001ED20000}"/>
    <cellStyle name="Note 49 2 3 2" xfId="53795" xr:uid="{00000000-0005-0000-0000-00001FD20000}"/>
    <cellStyle name="Note 49 2 3 3" xfId="53796" xr:uid="{00000000-0005-0000-0000-000020D20000}"/>
    <cellStyle name="Note 49 2 4" xfId="53797" xr:uid="{00000000-0005-0000-0000-000021D20000}"/>
    <cellStyle name="Note 49 3" xfId="53798" xr:uid="{00000000-0005-0000-0000-000022D20000}"/>
    <cellStyle name="Note 49 3 2" xfId="53799" xr:uid="{00000000-0005-0000-0000-000023D20000}"/>
    <cellStyle name="Note 49 4" xfId="53800" xr:uid="{00000000-0005-0000-0000-000024D20000}"/>
    <cellStyle name="Note 49 4 2" xfId="53801" xr:uid="{00000000-0005-0000-0000-000025D20000}"/>
    <cellStyle name="Note 49 4 3" xfId="53802" xr:uid="{00000000-0005-0000-0000-000026D20000}"/>
    <cellStyle name="Note 49 5" xfId="53803" xr:uid="{00000000-0005-0000-0000-000027D20000}"/>
    <cellStyle name="Note 49 6" xfId="53804" xr:uid="{00000000-0005-0000-0000-000028D20000}"/>
    <cellStyle name="Note 5" xfId="53805" xr:uid="{00000000-0005-0000-0000-000029D20000}"/>
    <cellStyle name="Note 5 2" xfId="53806" xr:uid="{00000000-0005-0000-0000-00002AD20000}"/>
    <cellStyle name="Note 5 2 2" xfId="53807" xr:uid="{00000000-0005-0000-0000-00002BD20000}"/>
    <cellStyle name="Note 5 2 2 2" xfId="53808" xr:uid="{00000000-0005-0000-0000-00002CD20000}"/>
    <cellStyle name="Note 5 2 3" xfId="53809" xr:uid="{00000000-0005-0000-0000-00002DD20000}"/>
    <cellStyle name="Note 5 2 3 2" xfId="53810" xr:uid="{00000000-0005-0000-0000-00002ED20000}"/>
    <cellStyle name="Note 5 2 3 3" xfId="53811" xr:uid="{00000000-0005-0000-0000-00002FD20000}"/>
    <cellStyle name="Note 5 2 4" xfId="53812" xr:uid="{00000000-0005-0000-0000-000030D20000}"/>
    <cellStyle name="Note 5 3" xfId="53813" xr:uid="{00000000-0005-0000-0000-000031D20000}"/>
    <cellStyle name="Note 5 3 2" xfId="53814" xr:uid="{00000000-0005-0000-0000-000032D20000}"/>
    <cellStyle name="Note 5 4" xfId="53815" xr:uid="{00000000-0005-0000-0000-000033D20000}"/>
    <cellStyle name="Note 5 4 2" xfId="53816" xr:uid="{00000000-0005-0000-0000-000034D20000}"/>
    <cellStyle name="Note 5 5" xfId="53817" xr:uid="{00000000-0005-0000-0000-000035D20000}"/>
    <cellStyle name="Note 5 5 2" xfId="53818" xr:uid="{00000000-0005-0000-0000-000036D20000}"/>
    <cellStyle name="Note 5 6" xfId="53819" xr:uid="{00000000-0005-0000-0000-000037D20000}"/>
    <cellStyle name="Note 5 6 2" xfId="53820" xr:uid="{00000000-0005-0000-0000-000038D20000}"/>
    <cellStyle name="Note 5 6 3" xfId="53821" xr:uid="{00000000-0005-0000-0000-000039D20000}"/>
    <cellStyle name="Note 5 7" xfId="53822" xr:uid="{00000000-0005-0000-0000-00003AD20000}"/>
    <cellStyle name="Note 5 8" xfId="53823" xr:uid="{00000000-0005-0000-0000-00003BD20000}"/>
    <cellStyle name="Note 50" xfId="53824" xr:uid="{00000000-0005-0000-0000-00003CD20000}"/>
    <cellStyle name="Note 50 2" xfId="53825" xr:uid="{00000000-0005-0000-0000-00003DD20000}"/>
    <cellStyle name="Note 50 2 2" xfId="53826" xr:uid="{00000000-0005-0000-0000-00003ED20000}"/>
    <cellStyle name="Note 50 2 2 2" xfId="53827" xr:uid="{00000000-0005-0000-0000-00003FD20000}"/>
    <cellStyle name="Note 50 2 3" xfId="53828" xr:uid="{00000000-0005-0000-0000-000040D20000}"/>
    <cellStyle name="Note 50 2 3 2" xfId="53829" xr:uid="{00000000-0005-0000-0000-000041D20000}"/>
    <cellStyle name="Note 50 2 3 3" xfId="53830" xr:uid="{00000000-0005-0000-0000-000042D20000}"/>
    <cellStyle name="Note 50 2 4" xfId="53831" xr:uid="{00000000-0005-0000-0000-000043D20000}"/>
    <cellStyle name="Note 50 3" xfId="53832" xr:uid="{00000000-0005-0000-0000-000044D20000}"/>
    <cellStyle name="Note 50 3 2" xfId="53833" xr:uid="{00000000-0005-0000-0000-000045D20000}"/>
    <cellStyle name="Note 50 4" xfId="53834" xr:uid="{00000000-0005-0000-0000-000046D20000}"/>
    <cellStyle name="Note 50 4 2" xfId="53835" xr:uid="{00000000-0005-0000-0000-000047D20000}"/>
    <cellStyle name="Note 50 4 3" xfId="53836" xr:uid="{00000000-0005-0000-0000-000048D20000}"/>
    <cellStyle name="Note 50 5" xfId="53837" xr:uid="{00000000-0005-0000-0000-000049D20000}"/>
    <cellStyle name="Note 50 6" xfId="53838" xr:uid="{00000000-0005-0000-0000-00004AD20000}"/>
    <cellStyle name="Note 51" xfId="53839" xr:uid="{00000000-0005-0000-0000-00004BD20000}"/>
    <cellStyle name="Note 51 2" xfId="53840" xr:uid="{00000000-0005-0000-0000-00004CD20000}"/>
    <cellStyle name="Note 51 2 2" xfId="53841" xr:uid="{00000000-0005-0000-0000-00004DD20000}"/>
    <cellStyle name="Note 51 2 2 2" xfId="53842" xr:uid="{00000000-0005-0000-0000-00004ED20000}"/>
    <cellStyle name="Note 51 2 3" xfId="53843" xr:uid="{00000000-0005-0000-0000-00004FD20000}"/>
    <cellStyle name="Note 51 2 3 2" xfId="53844" xr:uid="{00000000-0005-0000-0000-000050D20000}"/>
    <cellStyle name="Note 51 2 3 3" xfId="53845" xr:uid="{00000000-0005-0000-0000-000051D20000}"/>
    <cellStyle name="Note 51 2 4" xfId="53846" xr:uid="{00000000-0005-0000-0000-000052D20000}"/>
    <cellStyle name="Note 51 3" xfId="53847" xr:uid="{00000000-0005-0000-0000-000053D20000}"/>
    <cellStyle name="Note 51 3 2" xfId="53848" xr:uid="{00000000-0005-0000-0000-000054D20000}"/>
    <cellStyle name="Note 51 4" xfId="53849" xr:uid="{00000000-0005-0000-0000-000055D20000}"/>
    <cellStyle name="Note 51 4 2" xfId="53850" xr:uid="{00000000-0005-0000-0000-000056D20000}"/>
    <cellStyle name="Note 51 4 3" xfId="53851" xr:uid="{00000000-0005-0000-0000-000057D20000}"/>
    <cellStyle name="Note 51 5" xfId="53852" xr:uid="{00000000-0005-0000-0000-000058D20000}"/>
    <cellStyle name="Note 51 6" xfId="53853" xr:uid="{00000000-0005-0000-0000-000059D20000}"/>
    <cellStyle name="Note 52" xfId="53854" xr:uid="{00000000-0005-0000-0000-00005AD20000}"/>
    <cellStyle name="Note 52 2" xfId="53855" xr:uid="{00000000-0005-0000-0000-00005BD20000}"/>
    <cellStyle name="Note 52 2 2" xfId="53856" xr:uid="{00000000-0005-0000-0000-00005CD20000}"/>
    <cellStyle name="Note 52 2 2 2" xfId="53857" xr:uid="{00000000-0005-0000-0000-00005DD20000}"/>
    <cellStyle name="Note 52 2 3" xfId="53858" xr:uid="{00000000-0005-0000-0000-00005ED20000}"/>
    <cellStyle name="Note 52 2 3 2" xfId="53859" xr:uid="{00000000-0005-0000-0000-00005FD20000}"/>
    <cellStyle name="Note 52 2 3 3" xfId="53860" xr:uid="{00000000-0005-0000-0000-000060D20000}"/>
    <cellStyle name="Note 52 2 4" xfId="53861" xr:uid="{00000000-0005-0000-0000-000061D20000}"/>
    <cellStyle name="Note 52 3" xfId="53862" xr:uid="{00000000-0005-0000-0000-000062D20000}"/>
    <cellStyle name="Note 52 3 2" xfId="53863" xr:uid="{00000000-0005-0000-0000-000063D20000}"/>
    <cellStyle name="Note 52 4" xfId="53864" xr:uid="{00000000-0005-0000-0000-000064D20000}"/>
    <cellStyle name="Note 52 4 2" xfId="53865" xr:uid="{00000000-0005-0000-0000-000065D20000}"/>
    <cellStyle name="Note 52 4 3" xfId="53866" xr:uid="{00000000-0005-0000-0000-000066D20000}"/>
    <cellStyle name="Note 52 5" xfId="53867" xr:uid="{00000000-0005-0000-0000-000067D20000}"/>
    <cellStyle name="Note 52 6" xfId="53868" xr:uid="{00000000-0005-0000-0000-000068D20000}"/>
    <cellStyle name="Note 53" xfId="53869" xr:uid="{00000000-0005-0000-0000-000069D20000}"/>
    <cellStyle name="Note 53 2" xfId="53870" xr:uid="{00000000-0005-0000-0000-00006AD20000}"/>
    <cellStyle name="Note 53 2 2" xfId="53871" xr:uid="{00000000-0005-0000-0000-00006BD20000}"/>
    <cellStyle name="Note 53 2 2 2" xfId="53872" xr:uid="{00000000-0005-0000-0000-00006CD20000}"/>
    <cellStyle name="Note 53 2 3" xfId="53873" xr:uid="{00000000-0005-0000-0000-00006DD20000}"/>
    <cellStyle name="Note 53 2 3 2" xfId="53874" xr:uid="{00000000-0005-0000-0000-00006ED20000}"/>
    <cellStyle name="Note 53 2 3 3" xfId="53875" xr:uid="{00000000-0005-0000-0000-00006FD20000}"/>
    <cellStyle name="Note 53 2 4" xfId="53876" xr:uid="{00000000-0005-0000-0000-000070D20000}"/>
    <cellStyle name="Note 53 3" xfId="53877" xr:uid="{00000000-0005-0000-0000-000071D20000}"/>
    <cellStyle name="Note 53 3 2" xfId="53878" xr:uid="{00000000-0005-0000-0000-000072D20000}"/>
    <cellStyle name="Note 53 4" xfId="53879" xr:uid="{00000000-0005-0000-0000-000073D20000}"/>
    <cellStyle name="Note 53 4 2" xfId="53880" xr:uid="{00000000-0005-0000-0000-000074D20000}"/>
    <cellStyle name="Note 53 4 3" xfId="53881" xr:uid="{00000000-0005-0000-0000-000075D20000}"/>
    <cellStyle name="Note 53 5" xfId="53882" xr:uid="{00000000-0005-0000-0000-000076D20000}"/>
    <cellStyle name="Note 53 6" xfId="53883" xr:uid="{00000000-0005-0000-0000-000077D20000}"/>
    <cellStyle name="Note 54" xfId="53884" xr:uid="{00000000-0005-0000-0000-000078D20000}"/>
    <cellStyle name="Note 54 2" xfId="53885" xr:uid="{00000000-0005-0000-0000-000079D20000}"/>
    <cellStyle name="Note 54 2 2" xfId="53886" xr:uid="{00000000-0005-0000-0000-00007AD20000}"/>
    <cellStyle name="Note 54 2 2 2" xfId="53887" xr:uid="{00000000-0005-0000-0000-00007BD20000}"/>
    <cellStyle name="Note 54 2 3" xfId="53888" xr:uid="{00000000-0005-0000-0000-00007CD20000}"/>
    <cellStyle name="Note 54 2 3 2" xfId="53889" xr:uid="{00000000-0005-0000-0000-00007DD20000}"/>
    <cellStyle name="Note 54 2 3 3" xfId="53890" xr:uid="{00000000-0005-0000-0000-00007ED20000}"/>
    <cellStyle name="Note 54 2 4" xfId="53891" xr:uid="{00000000-0005-0000-0000-00007FD20000}"/>
    <cellStyle name="Note 54 3" xfId="53892" xr:uid="{00000000-0005-0000-0000-000080D20000}"/>
    <cellStyle name="Note 54 3 2" xfId="53893" xr:uid="{00000000-0005-0000-0000-000081D20000}"/>
    <cellStyle name="Note 54 4" xfId="53894" xr:uid="{00000000-0005-0000-0000-000082D20000}"/>
    <cellStyle name="Note 54 4 2" xfId="53895" xr:uid="{00000000-0005-0000-0000-000083D20000}"/>
    <cellStyle name="Note 54 4 3" xfId="53896" xr:uid="{00000000-0005-0000-0000-000084D20000}"/>
    <cellStyle name="Note 54 5" xfId="53897" xr:uid="{00000000-0005-0000-0000-000085D20000}"/>
    <cellStyle name="Note 54 6" xfId="53898" xr:uid="{00000000-0005-0000-0000-000086D20000}"/>
    <cellStyle name="Note 55" xfId="53899" xr:uid="{00000000-0005-0000-0000-000087D20000}"/>
    <cellStyle name="Note 55 2" xfId="53900" xr:uid="{00000000-0005-0000-0000-000088D20000}"/>
    <cellStyle name="Note 55 2 2" xfId="53901" xr:uid="{00000000-0005-0000-0000-000089D20000}"/>
    <cellStyle name="Note 55 2 2 2" xfId="53902" xr:uid="{00000000-0005-0000-0000-00008AD20000}"/>
    <cellStyle name="Note 55 2 3" xfId="53903" xr:uid="{00000000-0005-0000-0000-00008BD20000}"/>
    <cellStyle name="Note 55 2 3 2" xfId="53904" xr:uid="{00000000-0005-0000-0000-00008CD20000}"/>
    <cellStyle name="Note 55 2 3 3" xfId="53905" xr:uid="{00000000-0005-0000-0000-00008DD20000}"/>
    <cellStyle name="Note 55 2 4" xfId="53906" xr:uid="{00000000-0005-0000-0000-00008ED20000}"/>
    <cellStyle name="Note 55 3" xfId="53907" xr:uid="{00000000-0005-0000-0000-00008FD20000}"/>
    <cellStyle name="Note 55 3 2" xfId="53908" xr:uid="{00000000-0005-0000-0000-000090D20000}"/>
    <cellStyle name="Note 55 4" xfId="53909" xr:uid="{00000000-0005-0000-0000-000091D20000}"/>
    <cellStyle name="Note 55 4 2" xfId="53910" xr:uid="{00000000-0005-0000-0000-000092D20000}"/>
    <cellStyle name="Note 55 4 3" xfId="53911" xr:uid="{00000000-0005-0000-0000-000093D20000}"/>
    <cellStyle name="Note 55 5" xfId="53912" xr:uid="{00000000-0005-0000-0000-000094D20000}"/>
    <cellStyle name="Note 55 6" xfId="53913" xr:uid="{00000000-0005-0000-0000-000095D20000}"/>
    <cellStyle name="Note 56" xfId="53914" xr:uid="{00000000-0005-0000-0000-000096D20000}"/>
    <cellStyle name="Note 56 2" xfId="53915" xr:uid="{00000000-0005-0000-0000-000097D20000}"/>
    <cellStyle name="Note 56 2 2" xfId="53916" xr:uid="{00000000-0005-0000-0000-000098D20000}"/>
    <cellStyle name="Note 56 2 2 2" xfId="53917" xr:uid="{00000000-0005-0000-0000-000099D20000}"/>
    <cellStyle name="Note 56 2 3" xfId="53918" xr:uid="{00000000-0005-0000-0000-00009AD20000}"/>
    <cellStyle name="Note 56 2 3 2" xfId="53919" xr:uid="{00000000-0005-0000-0000-00009BD20000}"/>
    <cellStyle name="Note 56 2 3 3" xfId="53920" xr:uid="{00000000-0005-0000-0000-00009CD20000}"/>
    <cellStyle name="Note 56 2 4" xfId="53921" xr:uid="{00000000-0005-0000-0000-00009DD20000}"/>
    <cellStyle name="Note 56 3" xfId="53922" xr:uid="{00000000-0005-0000-0000-00009ED20000}"/>
    <cellStyle name="Note 56 3 2" xfId="53923" xr:uid="{00000000-0005-0000-0000-00009FD20000}"/>
    <cellStyle name="Note 56 4" xfId="53924" xr:uid="{00000000-0005-0000-0000-0000A0D20000}"/>
    <cellStyle name="Note 56 4 2" xfId="53925" xr:uid="{00000000-0005-0000-0000-0000A1D20000}"/>
    <cellStyle name="Note 56 4 3" xfId="53926" xr:uid="{00000000-0005-0000-0000-0000A2D20000}"/>
    <cellStyle name="Note 56 5" xfId="53927" xr:uid="{00000000-0005-0000-0000-0000A3D20000}"/>
    <cellStyle name="Note 56 6" xfId="53928" xr:uid="{00000000-0005-0000-0000-0000A4D20000}"/>
    <cellStyle name="Note 57" xfId="53929" xr:uid="{00000000-0005-0000-0000-0000A5D20000}"/>
    <cellStyle name="Note 57 2" xfId="53930" xr:uid="{00000000-0005-0000-0000-0000A6D20000}"/>
    <cellStyle name="Note 57 2 2" xfId="53931" xr:uid="{00000000-0005-0000-0000-0000A7D20000}"/>
    <cellStyle name="Note 57 2 2 2" xfId="53932" xr:uid="{00000000-0005-0000-0000-0000A8D20000}"/>
    <cellStyle name="Note 57 2 3" xfId="53933" xr:uid="{00000000-0005-0000-0000-0000A9D20000}"/>
    <cellStyle name="Note 57 2 3 2" xfId="53934" xr:uid="{00000000-0005-0000-0000-0000AAD20000}"/>
    <cellStyle name="Note 57 2 3 3" xfId="53935" xr:uid="{00000000-0005-0000-0000-0000ABD20000}"/>
    <cellStyle name="Note 57 2 4" xfId="53936" xr:uid="{00000000-0005-0000-0000-0000ACD20000}"/>
    <cellStyle name="Note 57 3" xfId="53937" xr:uid="{00000000-0005-0000-0000-0000ADD20000}"/>
    <cellStyle name="Note 57 3 2" xfId="53938" xr:uid="{00000000-0005-0000-0000-0000AED20000}"/>
    <cellStyle name="Note 57 4" xfId="53939" xr:uid="{00000000-0005-0000-0000-0000AFD20000}"/>
    <cellStyle name="Note 57 4 2" xfId="53940" xr:uid="{00000000-0005-0000-0000-0000B0D20000}"/>
    <cellStyle name="Note 57 4 3" xfId="53941" xr:uid="{00000000-0005-0000-0000-0000B1D20000}"/>
    <cellStyle name="Note 57 5" xfId="53942" xr:uid="{00000000-0005-0000-0000-0000B2D20000}"/>
    <cellStyle name="Note 57 6" xfId="53943" xr:uid="{00000000-0005-0000-0000-0000B3D20000}"/>
    <cellStyle name="Note 58" xfId="53944" xr:uid="{00000000-0005-0000-0000-0000B4D20000}"/>
    <cellStyle name="Note 58 2" xfId="53945" xr:uid="{00000000-0005-0000-0000-0000B5D20000}"/>
    <cellStyle name="Note 58 2 2" xfId="53946" xr:uid="{00000000-0005-0000-0000-0000B6D20000}"/>
    <cellStyle name="Note 58 2 2 2" xfId="53947" xr:uid="{00000000-0005-0000-0000-0000B7D20000}"/>
    <cellStyle name="Note 58 2 3" xfId="53948" xr:uid="{00000000-0005-0000-0000-0000B8D20000}"/>
    <cellStyle name="Note 58 2 3 2" xfId="53949" xr:uid="{00000000-0005-0000-0000-0000B9D20000}"/>
    <cellStyle name="Note 58 2 3 3" xfId="53950" xr:uid="{00000000-0005-0000-0000-0000BAD20000}"/>
    <cellStyle name="Note 58 2 4" xfId="53951" xr:uid="{00000000-0005-0000-0000-0000BBD20000}"/>
    <cellStyle name="Note 58 3" xfId="53952" xr:uid="{00000000-0005-0000-0000-0000BCD20000}"/>
    <cellStyle name="Note 58 3 2" xfId="53953" xr:uid="{00000000-0005-0000-0000-0000BDD20000}"/>
    <cellStyle name="Note 58 4" xfId="53954" xr:uid="{00000000-0005-0000-0000-0000BED20000}"/>
    <cellStyle name="Note 58 4 2" xfId="53955" xr:uid="{00000000-0005-0000-0000-0000BFD20000}"/>
    <cellStyle name="Note 58 4 3" xfId="53956" xr:uid="{00000000-0005-0000-0000-0000C0D20000}"/>
    <cellStyle name="Note 58 5" xfId="53957" xr:uid="{00000000-0005-0000-0000-0000C1D20000}"/>
    <cellStyle name="Note 58 6" xfId="53958" xr:uid="{00000000-0005-0000-0000-0000C2D20000}"/>
    <cellStyle name="Note 59" xfId="53959" xr:uid="{00000000-0005-0000-0000-0000C3D20000}"/>
    <cellStyle name="Note 59 2" xfId="53960" xr:uid="{00000000-0005-0000-0000-0000C4D20000}"/>
    <cellStyle name="Note 59 2 2" xfId="53961" xr:uid="{00000000-0005-0000-0000-0000C5D20000}"/>
    <cellStyle name="Note 59 2 2 2" xfId="53962" xr:uid="{00000000-0005-0000-0000-0000C6D20000}"/>
    <cellStyle name="Note 59 2 3" xfId="53963" xr:uid="{00000000-0005-0000-0000-0000C7D20000}"/>
    <cellStyle name="Note 59 2 3 2" xfId="53964" xr:uid="{00000000-0005-0000-0000-0000C8D20000}"/>
    <cellStyle name="Note 59 2 3 3" xfId="53965" xr:uid="{00000000-0005-0000-0000-0000C9D20000}"/>
    <cellStyle name="Note 59 2 4" xfId="53966" xr:uid="{00000000-0005-0000-0000-0000CAD20000}"/>
    <cellStyle name="Note 59 3" xfId="53967" xr:uid="{00000000-0005-0000-0000-0000CBD20000}"/>
    <cellStyle name="Note 59 3 2" xfId="53968" xr:uid="{00000000-0005-0000-0000-0000CCD20000}"/>
    <cellStyle name="Note 59 3 3" xfId="53969" xr:uid="{00000000-0005-0000-0000-0000CDD20000}"/>
    <cellStyle name="Note 59 4" xfId="53970" xr:uid="{00000000-0005-0000-0000-0000CED20000}"/>
    <cellStyle name="Note 59 5" xfId="53971" xr:uid="{00000000-0005-0000-0000-0000CFD20000}"/>
    <cellStyle name="Note 6" xfId="53972" xr:uid="{00000000-0005-0000-0000-0000D0D20000}"/>
    <cellStyle name="Note 6 2" xfId="53973" xr:uid="{00000000-0005-0000-0000-0000D1D20000}"/>
    <cellStyle name="Note 6 2 2" xfId="53974" xr:uid="{00000000-0005-0000-0000-0000D2D20000}"/>
    <cellStyle name="Note 6 2 2 2" xfId="53975" xr:uid="{00000000-0005-0000-0000-0000D3D20000}"/>
    <cellStyle name="Note 6 2 3" xfId="53976" xr:uid="{00000000-0005-0000-0000-0000D4D20000}"/>
    <cellStyle name="Note 6 2 3 2" xfId="53977" xr:uid="{00000000-0005-0000-0000-0000D5D20000}"/>
    <cellStyle name="Note 6 2 3 3" xfId="53978" xr:uid="{00000000-0005-0000-0000-0000D6D20000}"/>
    <cellStyle name="Note 6 2 4" xfId="53979" xr:uid="{00000000-0005-0000-0000-0000D7D20000}"/>
    <cellStyle name="Note 6 3" xfId="53980" xr:uid="{00000000-0005-0000-0000-0000D8D20000}"/>
    <cellStyle name="Note 6 3 2" xfId="53981" xr:uid="{00000000-0005-0000-0000-0000D9D20000}"/>
    <cellStyle name="Note 6 4" xfId="53982" xr:uid="{00000000-0005-0000-0000-0000DAD20000}"/>
    <cellStyle name="Note 6 4 2" xfId="53983" xr:uid="{00000000-0005-0000-0000-0000DBD20000}"/>
    <cellStyle name="Note 6 5" xfId="53984" xr:uid="{00000000-0005-0000-0000-0000DCD20000}"/>
    <cellStyle name="Note 6 5 2" xfId="53985" xr:uid="{00000000-0005-0000-0000-0000DDD20000}"/>
    <cellStyle name="Note 6 6" xfId="53986" xr:uid="{00000000-0005-0000-0000-0000DED20000}"/>
    <cellStyle name="Note 6 6 2" xfId="53987" xr:uid="{00000000-0005-0000-0000-0000DFD20000}"/>
    <cellStyle name="Note 6 6 3" xfId="53988" xr:uid="{00000000-0005-0000-0000-0000E0D20000}"/>
    <cellStyle name="Note 6 7" xfId="53989" xr:uid="{00000000-0005-0000-0000-0000E1D20000}"/>
    <cellStyle name="Note 6 8" xfId="53990" xr:uid="{00000000-0005-0000-0000-0000E2D20000}"/>
    <cellStyle name="Note 60" xfId="53991" xr:uid="{00000000-0005-0000-0000-0000E3D20000}"/>
    <cellStyle name="Note 60 2" xfId="53992" xr:uid="{00000000-0005-0000-0000-0000E4D20000}"/>
    <cellStyle name="Note 60 2 2" xfId="53993" xr:uid="{00000000-0005-0000-0000-0000E5D20000}"/>
    <cellStyle name="Note 60 2 2 2" xfId="53994" xr:uid="{00000000-0005-0000-0000-0000E6D20000}"/>
    <cellStyle name="Note 60 2 3" xfId="53995" xr:uid="{00000000-0005-0000-0000-0000E7D20000}"/>
    <cellStyle name="Note 60 2 3 2" xfId="53996" xr:uid="{00000000-0005-0000-0000-0000E8D20000}"/>
    <cellStyle name="Note 60 2 3 3" xfId="53997" xr:uid="{00000000-0005-0000-0000-0000E9D20000}"/>
    <cellStyle name="Note 60 2 4" xfId="53998" xr:uid="{00000000-0005-0000-0000-0000EAD20000}"/>
    <cellStyle name="Note 60 2 5" xfId="53999" xr:uid="{00000000-0005-0000-0000-0000EBD20000}"/>
    <cellStyle name="Note 60 3" xfId="54000" xr:uid="{00000000-0005-0000-0000-0000ECD20000}"/>
    <cellStyle name="Note 60 3 2" xfId="54001" xr:uid="{00000000-0005-0000-0000-0000EDD20000}"/>
    <cellStyle name="Note 60 3 3" xfId="54002" xr:uid="{00000000-0005-0000-0000-0000EED20000}"/>
    <cellStyle name="Note 60 4" xfId="54003" xr:uid="{00000000-0005-0000-0000-0000EFD20000}"/>
    <cellStyle name="Note 60 5" xfId="54004" xr:uid="{00000000-0005-0000-0000-0000F0D20000}"/>
    <cellStyle name="Note 61" xfId="54005" xr:uid="{00000000-0005-0000-0000-0000F1D20000}"/>
    <cellStyle name="Note 61 2" xfId="54006" xr:uid="{00000000-0005-0000-0000-0000F2D20000}"/>
    <cellStyle name="Note 61 2 2" xfId="54007" xr:uid="{00000000-0005-0000-0000-0000F3D20000}"/>
    <cellStyle name="Note 61 2 2 2" xfId="54008" xr:uid="{00000000-0005-0000-0000-0000F4D20000}"/>
    <cellStyle name="Note 61 2 3" xfId="54009" xr:uid="{00000000-0005-0000-0000-0000F5D20000}"/>
    <cellStyle name="Note 61 2 3 2" xfId="54010" xr:uid="{00000000-0005-0000-0000-0000F6D20000}"/>
    <cellStyle name="Note 61 2 3 3" xfId="54011" xr:uid="{00000000-0005-0000-0000-0000F7D20000}"/>
    <cellStyle name="Note 61 2 4" xfId="54012" xr:uid="{00000000-0005-0000-0000-0000F8D20000}"/>
    <cellStyle name="Note 61 2 5" xfId="54013" xr:uid="{00000000-0005-0000-0000-0000F9D20000}"/>
    <cellStyle name="Note 61 3" xfId="54014" xr:uid="{00000000-0005-0000-0000-0000FAD20000}"/>
    <cellStyle name="Note 61 3 2" xfId="54015" xr:uid="{00000000-0005-0000-0000-0000FBD20000}"/>
    <cellStyle name="Note 61 3 3" xfId="54016" xr:uid="{00000000-0005-0000-0000-0000FCD20000}"/>
    <cellStyle name="Note 61 4" xfId="54017" xr:uid="{00000000-0005-0000-0000-0000FDD20000}"/>
    <cellStyle name="Note 61 5" xfId="54018" xr:uid="{00000000-0005-0000-0000-0000FED20000}"/>
    <cellStyle name="Note 62" xfId="54019" xr:uid="{00000000-0005-0000-0000-0000FFD20000}"/>
    <cellStyle name="Note 62 2" xfId="54020" xr:uid="{00000000-0005-0000-0000-000000D30000}"/>
    <cellStyle name="Note 62 2 2" xfId="54021" xr:uid="{00000000-0005-0000-0000-000001D30000}"/>
    <cellStyle name="Note 62 2 2 2" xfId="54022" xr:uid="{00000000-0005-0000-0000-000002D30000}"/>
    <cellStyle name="Note 62 2 3" xfId="54023" xr:uid="{00000000-0005-0000-0000-000003D30000}"/>
    <cellStyle name="Note 62 2 3 2" xfId="54024" xr:uid="{00000000-0005-0000-0000-000004D30000}"/>
    <cellStyle name="Note 62 2 3 3" xfId="54025" xr:uid="{00000000-0005-0000-0000-000005D30000}"/>
    <cellStyle name="Note 62 2 4" xfId="54026" xr:uid="{00000000-0005-0000-0000-000006D30000}"/>
    <cellStyle name="Note 62 2 5" xfId="54027" xr:uid="{00000000-0005-0000-0000-000007D30000}"/>
    <cellStyle name="Note 62 3" xfId="54028" xr:uid="{00000000-0005-0000-0000-000008D30000}"/>
    <cellStyle name="Note 62 3 2" xfId="54029" xr:uid="{00000000-0005-0000-0000-000009D30000}"/>
    <cellStyle name="Note 62 3 3" xfId="54030" xr:uid="{00000000-0005-0000-0000-00000AD30000}"/>
    <cellStyle name="Note 62 4" xfId="54031" xr:uid="{00000000-0005-0000-0000-00000BD30000}"/>
    <cellStyle name="Note 62 5" xfId="54032" xr:uid="{00000000-0005-0000-0000-00000CD30000}"/>
    <cellStyle name="Note 63" xfId="54033" xr:uid="{00000000-0005-0000-0000-00000DD30000}"/>
    <cellStyle name="Note 63 2" xfId="54034" xr:uid="{00000000-0005-0000-0000-00000ED30000}"/>
    <cellStyle name="Note 63 2 2" xfId="54035" xr:uid="{00000000-0005-0000-0000-00000FD30000}"/>
    <cellStyle name="Note 63 2 2 2" xfId="54036" xr:uid="{00000000-0005-0000-0000-000010D30000}"/>
    <cellStyle name="Note 63 2 3" xfId="54037" xr:uid="{00000000-0005-0000-0000-000011D30000}"/>
    <cellStyle name="Note 63 2 3 2" xfId="54038" xr:uid="{00000000-0005-0000-0000-000012D30000}"/>
    <cellStyle name="Note 63 2 3 3" xfId="54039" xr:uid="{00000000-0005-0000-0000-000013D30000}"/>
    <cellStyle name="Note 63 2 4" xfId="54040" xr:uid="{00000000-0005-0000-0000-000014D30000}"/>
    <cellStyle name="Note 63 2 5" xfId="54041" xr:uid="{00000000-0005-0000-0000-000015D30000}"/>
    <cellStyle name="Note 63 3" xfId="54042" xr:uid="{00000000-0005-0000-0000-000016D30000}"/>
    <cellStyle name="Note 63 3 2" xfId="54043" xr:uid="{00000000-0005-0000-0000-000017D30000}"/>
    <cellStyle name="Note 63 3 3" xfId="54044" xr:uid="{00000000-0005-0000-0000-000018D30000}"/>
    <cellStyle name="Note 63 4" xfId="54045" xr:uid="{00000000-0005-0000-0000-000019D30000}"/>
    <cellStyle name="Note 63 5" xfId="54046" xr:uid="{00000000-0005-0000-0000-00001AD30000}"/>
    <cellStyle name="Note 64" xfId="54047" xr:uid="{00000000-0005-0000-0000-00001BD30000}"/>
    <cellStyle name="Note 64 2" xfId="54048" xr:uid="{00000000-0005-0000-0000-00001CD30000}"/>
    <cellStyle name="Note 64 2 2" xfId="54049" xr:uid="{00000000-0005-0000-0000-00001DD30000}"/>
    <cellStyle name="Note 64 2 2 2" xfId="54050" xr:uid="{00000000-0005-0000-0000-00001ED30000}"/>
    <cellStyle name="Note 64 2 3" xfId="54051" xr:uid="{00000000-0005-0000-0000-00001FD30000}"/>
    <cellStyle name="Note 64 2 3 2" xfId="54052" xr:uid="{00000000-0005-0000-0000-000020D30000}"/>
    <cellStyle name="Note 64 2 3 3" xfId="54053" xr:uid="{00000000-0005-0000-0000-000021D30000}"/>
    <cellStyle name="Note 64 2 4" xfId="54054" xr:uid="{00000000-0005-0000-0000-000022D30000}"/>
    <cellStyle name="Note 64 2 5" xfId="54055" xr:uid="{00000000-0005-0000-0000-000023D30000}"/>
    <cellStyle name="Note 64 3" xfId="54056" xr:uid="{00000000-0005-0000-0000-000024D30000}"/>
    <cellStyle name="Note 64 3 2" xfId="54057" xr:uid="{00000000-0005-0000-0000-000025D30000}"/>
    <cellStyle name="Note 64 3 3" xfId="54058" xr:uid="{00000000-0005-0000-0000-000026D30000}"/>
    <cellStyle name="Note 64 4" xfId="54059" xr:uid="{00000000-0005-0000-0000-000027D30000}"/>
    <cellStyle name="Note 64 5" xfId="54060" xr:uid="{00000000-0005-0000-0000-000028D30000}"/>
    <cellStyle name="Note 65" xfId="54061" xr:uid="{00000000-0005-0000-0000-000029D30000}"/>
    <cellStyle name="Note 65 2" xfId="54062" xr:uid="{00000000-0005-0000-0000-00002AD30000}"/>
    <cellStyle name="Note 65 2 2" xfId="54063" xr:uid="{00000000-0005-0000-0000-00002BD30000}"/>
    <cellStyle name="Note 65 2 2 2" xfId="54064" xr:uid="{00000000-0005-0000-0000-00002CD30000}"/>
    <cellStyle name="Note 65 2 3" xfId="54065" xr:uid="{00000000-0005-0000-0000-00002DD30000}"/>
    <cellStyle name="Note 65 2 3 2" xfId="54066" xr:uid="{00000000-0005-0000-0000-00002ED30000}"/>
    <cellStyle name="Note 65 2 3 3" xfId="54067" xr:uid="{00000000-0005-0000-0000-00002FD30000}"/>
    <cellStyle name="Note 65 2 4" xfId="54068" xr:uid="{00000000-0005-0000-0000-000030D30000}"/>
    <cellStyle name="Note 65 2 5" xfId="54069" xr:uid="{00000000-0005-0000-0000-000031D30000}"/>
    <cellStyle name="Note 65 3" xfId="54070" xr:uid="{00000000-0005-0000-0000-000032D30000}"/>
    <cellStyle name="Note 65 3 2" xfId="54071" xr:uid="{00000000-0005-0000-0000-000033D30000}"/>
    <cellStyle name="Note 65 3 3" xfId="54072" xr:uid="{00000000-0005-0000-0000-000034D30000}"/>
    <cellStyle name="Note 65 4" xfId="54073" xr:uid="{00000000-0005-0000-0000-000035D30000}"/>
    <cellStyle name="Note 65 5" xfId="54074" xr:uid="{00000000-0005-0000-0000-000036D30000}"/>
    <cellStyle name="Note 66" xfId="54075" xr:uid="{00000000-0005-0000-0000-000037D30000}"/>
    <cellStyle name="Note 66 2" xfId="54076" xr:uid="{00000000-0005-0000-0000-000038D30000}"/>
    <cellStyle name="Note 66 2 2" xfId="54077" xr:uid="{00000000-0005-0000-0000-000039D30000}"/>
    <cellStyle name="Note 66 2 2 2" xfId="54078" xr:uid="{00000000-0005-0000-0000-00003AD30000}"/>
    <cellStyle name="Note 66 2 3" xfId="54079" xr:uid="{00000000-0005-0000-0000-00003BD30000}"/>
    <cellStyle name="Note 66 2 3 2" xfId="54080" xr:uid="{00000000-0005-0000-0000-00003CD30000}"/>
    <cellStyle name="Note 66 2 3 3" xfId="54081" xr:uid="{00000000-0005-0000-0000-00003DD30000}"/>
    <cellStyle name="Note 66 2 4" xfId="54082" xr:uid="{00000000-0005-0000-0000-00003ED30000}"/>
    <cellStyle name="Note 66 2 5" xfId="54083" xr:uid="{00000000-0005-0000-0000-00003FD30000}"/>
    <cellStyle name="Note 66 3" xfId="54084" xr:uid="{00000000-0005-0000-0000-000040D30000}"/>
    <cellStyle name="Note 66 3 2" xfId="54085" xr:uid="{00000000-0005-0000-0000-000041D30000}"/>
    <cellStyle name="Note 66 3 3" xfId="54086" xr:uid="{00000000-0005-0000-0000-000042D30000}"/>
    <cellStyle name="Note 66 4" xfId="54087" xr:uid="{00000000-0005-0000-0000-000043D30000}"/>
    <cellStyle name="Note 66 5" xfId="54088" xr:uid="{00000000-0005-0000-0000-000044D30000}"/>
    <cellStyle name="Note 67" xfId="54089" xr:uid="{00000000-0005-0000-0000-000045D30000}"/>
    <cellStyle name="Note 67 2" xfId="54090" xr:uid="{00000000-0005-0000-0000-000046D30000}"/>
    <cellStyle name="Note 67 2 2" xfId="54091" xr:uid="{00000000-0005-0000-0000-000047D30000}"/>
    <cellStyle name="Note 67 2 2 2" xfId="54092" xr:uid="{00000000-0005-0000-0000-000048D30000}"/>
    <cellStyle name="Note 67 2 3" xfId="54093" xr:uid="{00000000-0005-0000-0000-000049D30000}"/>
    <cellStyle name="Note 67 2 3 2" xfId="54094" xr:uid="{00000000-0005-0000-0000-00004AD30000}"/>
    <cellStyle name="Note 67 2 3 3" xfId="54095" xr:uid="{00000000-0005-0000-0000-00004BD30000}"/>
    <cellStyle name="Note 67 2 4" xfId="54096" xr:uid="{00000000-0005-0000-0000-00004CD30000}"/>
    <cellStyle name="Note 67 2 5" xfId="54097" xr:uid="{00000000-0005-0000-0000-00004DD30000}"/>
    <cellStyle name="Note 67 3" xfId="54098" xr:uid="{00000000-0005-0000-0000-00004ED30000}"/>
    <cellStyle name="Note 67 3 2" xfId="54099" xr:uid="{00000000-0005-0000-0000-00004FD30000}"/>
    <cellStyle name="Note 67 3 3" xfId="54100" xr:uid="{00000000-0005-0000-0000-000050D30000}"/>
    <cellStyle name="Note 67 4" xfId="54101" xr:uid="{00000000-0005-0000-0000-000051D30000}"/>
    <cellStyle name="Note 67 5" xfId="54102" xr:uid="{00000000-0005-0000-0000-000052D30000}"/>
    <cellStyle name="Note 68" xfId="54103" xr:uid="{00000000-0005-0000-0000-000053D30000}"/>
    <cellStyle name="Note 68 2" xfId="54104" xr:uid="{00000000-0005-0000-0000-000054D30000}"/>
    <cellStyle name="Note 68 2 2" xfId="54105" xr:uid="{00000000-0005-0000-0000-000055D30000}"/>
    <cellStyle name="Note 68 2 2 2" xfId="54106" xr:uid="{00000000-0005-0000-0000-000056D30000}"/>
    <cellStyle name="Note 68 2 3" xfId="54107" xr:uid="{00000000-0005-0000-0000-000057D30000}"/>
    <cellStyle name="Note 68 2 3 2" xfId="54108" xr:uid="{00000000-0005-0000-0000-000058D30000}"/>
    <cellStyle name="Note 68 2 3 3" xfId="54109" xr:uid="{00000000-0005-0000-0000-000059D30000}"/>
    <cellStyle name="Note 68 2 4" xfId="54110" xr:uid="{00000000-0005-0000-0000-00005AD30000}"/>
    <cellStyle name="Note 68 2 5" xfId="54111" xr:uid="{00000000-0005-0000-0000-00005BD30000}"/>
    <cellStyle name="Note 68 3" xfId="54112" xr:uid="{00000000-0005-0000-0000-00005CD30000}"/>
    <cellStyle name="Note 68 3 2" xfId="54113" xr:uid="{00000000-0005-0000-0000-00005DD30000}"/>
    <cellStyle name="Note 68 3 3" xfId="54114" xr:uid="{00000000-0005-0000-0000-00005ED30000}"/>
    <cellStyle name="Note 68 4" xfId="54115" xr:uid="{00000000-0005-0000-0000-00005FD30000}"/>
    <cellStyle name="Note 68 5" xfId="54116" xr:uid="{00000000-0005-0000-0000-000060D30000}"/>
    <cellStyle name="Note 69" xfId="54117" xr:uid="{00000000-0005-0000-0000-000061D30000}"/>
    <cellStyle name="Note 69 2" xfId="54118" xr:uid="{00000000-0005-0000-0000-000062D30000}"/>
    <cellStyle name="Note 69 2 2" xfId="54119" xr:uid="{00000000-0005-0000-0000-000063D30000}"/>
    <cellStyle name="Note 69 2 2 2" xfId="54120" xr:uid="{00000000-0005-0000-0000-000064D30000}"/>
    <cellStyle name="Note 69 2 3" xfId="54121" xr:uid="{00000000-0005-0000-0000-000065D30000}"/>
    <cellStyle name="Note 69 2 3 2" xfId="54122" xr:uid="{00000000-0005-0000-0000-000066D30000}"/>
    <cellStyle name="Note 69 2 3 3" xfId="54123" xr:uid="{00000000-0005-0000-0000-000067D30000}"/>
    <cellStyle name="Note 69 2 4" xfId="54124" xr:uid="{00000000-0005-0000-0000-000068D30000}"/>
    <cellStyle name="Note 69 2 5" xfId="54125" xr:uid="{00000000-0005-0000-0000-000069D30000}"/>
    <cellStyle name="Note 69 3" xfId="54126" xr:uid="{00000000-0005-0000-0000-00006AD30000}"/>
    <cellStyle name="Note 69 3 2" xfId="54127" xr:uid="{00000000-0005-0000-0000-00006BD30000}"/>
    <cellStyle name="Note 69 3 3" xfId="54128" xr:uid="{00000000-0005-0000-0000-00006CD30000}"/>
    <cellStyle name="Note 69 4" xfId="54129" xr:uid="{00000000-0005-0000-0000-00006DD30000}"/>
    <cellStyle name="Note 69 5" xfId="54130" xr:uid="{00000000-0005-0000-0000-00006ED30000}"/>
    <cellStyle name="Note 7" xfId="54131" xr:uid="{00000000-0005-0000-0000-00006FD30000}"/>
    <cellStyle name="Note 7 2" xfId="54132" xr:uid="{00000000-0005-0000-0000-000070D30000}"/>
    <cellStyle name="Note 7 2 2" xfId="54133" xr:uid="{00000000-0005-0000-0000-000071D30000}"/>
    <cellStyle name="Note 7 2 2 2" xfId="54134" xr:uid="{00000000-0005-0000-0000-000072D30000}"/>
    <cellStyle name="Note 7 2 3" xfId="54135" xr:uid="{00000000-0005-0000-0000-000073D30000}"/>
    <cellStyle name="Note 7 2 3 2" xfId="54136" xr:uid="{00000000-0005-0000-0000-000074D30000}"/>
    <cellStyle name="Note 7 2 3 3" xfId="54137" xr:uid="{00000000-0005-0000-0000-000075D30000}"/>
    <cellStyle name="Note 7 2 4" xfId="54138" xr:uid="{00000000-0005-0000-0000-000076D30000}"/>
    <cellStyle name="Note 7 3" xfId="54139" xr:uid="{00000000-0005-0000-0000-000077D30000}"/>
    <cellStyle name="Note 7 3 2" xfId="54140" xr:uid="{00000000-0005-0000-0000-000078D30000}"/>
    <cellStyle name="Note 7 4" xfId="54141" xr:uid="{00000000-0005-0000-0000-000079D30000}"/>
    <cellStyle name="Note 7 4 2" xfId="54142" xr:uid="{00000000-0005-0000-0000-00007AD30000}"/>
    <cellStyle name="Note 7 5" xfId="54143" xr:uid="{00000000-0005-0000-0000-00007BD30000}"/>
    <cellStyle name="Note 7 5 2" xfId="54144" xr:uid="{00000000-0005-0000-0000-00007CD30000}"/>
    <cellStyle name="Note 7 6" xfId="54145" xr:uid="{00000000-0005-0000-0000-00007DD30000}"/>
    <cellStyle name="Note 7 6 2" xfId="54146" xr:uid="{00000000-0005-0000-0000-00007ED30000}"/>
    <cellStyle name="Note 7 6 3" xfId="54147" xr:uid="{00000000-0005-0000-0000-00007FD30000}"/>
    <cellStyle name="Note 7 7" xfId="54148" xr:uid="{00000000-0005-0000-0000-000080D30000}"/>
    <cellStyle name="Note 7 8" xfId="54149" xr:uid="{00000000-0005-0000-0000-000081D30000}"/>
    <cellStyle name="Note 70" xfId="54150" xr:uid="{00000000-0005-0000-0000-000082D30000}"/>
    <cellStyle name="Note 70 2" xfId="54151" xr:uid="{00000000-0005-0000-0000-000083D30000}"/>
    <cellStyle name="Note 70 2 2" xfId="54152" xr:uid="{00000000-0005-0000-0000-000084D30000}"/>
    <cellStyle name="Note 70 2 2 2" xfId="54153" xr:uid="{00000000-0005-0000-0000-000085D30000}"/>
    <cellStyle name="Note 70 2 3" xfId="54154" xr:uid="{00000000-0005-0000-0000-000086D30000}"/>
    <cellStyle name="Note 70 2 3 2" xfId="54155" xr:uid="{00000000-0005-0000-0000-000087D30000}"/>
    <cellStyle name="Note 70 2 3 3" xfId="54156" xr:uid="{00000000-0005-0000-0000-000088D30000}"/>
    <cellStyle name="Note 70 2 4" xfId="54157" xr:uid="{00000000-0005-0000-0000-000089D30000}"/>
    <cellStyle name="Note 70 2 5" xfId="54158" xr:uid="{00000000-0005-0000-0000-00008AD30000}"/>
    <cellStyle name="Note 70 3" xfId="54159" xr:uid="{00000000-0005-0000-0000-00008BD30000}"/>
    <cellStyle name="Note 70 3 2" xfId="54160" xr:uid="{00000000-0005-0000-0000-00008CD30000}"/>
    <cellStyle name="Note 70 3 3" xfId="54161" xr:uid="{00000000-0005-0000-0000-00008DD30000}"/>
    <cellStyle name="Note 70 4" xfId="54162" xr:uid="{00000000-0005-0000-0000-00008ED30000}"/>
    <cellStyle name="Note 70 5" xfId="54163" xr:uid="{00000000-0005-0000-0000-00008FD30000}"/>
    <cellStyle name="Note 71" xfId="54164" xr:uid="{00000000-0005-0000-0000-000090D30000}"/>
    <cellStyle name="Note 71 2" xfId="54165" xr:uid="{00000000-0005-0000-0000-000091D30000}"/>
    <cellStyle name="Note 71 2 2" xfId="54166" xr:uid="{00000000-0005-0000-0000-000092D30000}"/>
    <cellStyle name="Note 71 2 2 2" xfId="54167" xr:uid="{00000000-0005-0000-0000-000093D30000}"/>
    <cellStyle name="Note 71 2 3" xfId="54168" xr:uid="{00000000-0005-0000-0000-000094D30000}"/>
    <cellStyle name="Note 71 2 3 2" xfId="54169" xr:uid="{00000000-0005-0000-0000-000095D30000}"/>
    <cellStyle name="Note 71 2 3 3" xfId="54170" xr:uid="{00000000-0005-0000-0000-000096D30000}"/>
    <cellStyle name="Note 71 2 4" xfId="54171" xr:uid="{00000000-0005-0000-0000-000097D30000}"/>
    <cellStyle name="Note 71 2 5" xfId="54172" xr:uid="{00000000-0005-0000-0000-000098D30000}"/>
    <cellStyle name="Note 71 3" xfId="54173" xr:uid="{00000000-0005-0000-0000-000099D30000}"/>
    <cellStyle name="Note 71 3 2" xfId="54174" xr:uid="{00000000-0005-0000-0000-00009AD30000}"/>
    <cellStyle name="Note 71 3 3" xfId="54175" xr:uid="{00000000-0005-0000-0000-00009BD30000}"/>
    <cellStyle name="Note 71 4" xfId="54176" xr:uid="{00000000-0005-0000-0000-00009CD30000}"/>
    <cellStyle name="Note 71 5" xfId="54177" xr:uid="{00000000-0005-0000-0000-00009DD30000}"/>
    <cellStyle name="Note 72" xfId="54178" xr:uid="{00000000-0005-0000-0000-00009ED30000}"/>
    <cellStyle name="Note 72 2" xfId="54179" xr:uid="{00000000-0005-0000-0000-00009FD30000}"/>
    <cellStyle name="Note 72 2 2" xfId="54180" xr:uid="{00000000-0005-0000-0000-0000A0D30000}"/>
    <cellStyle name="Note 72 2 2 2" xfId="54181" xr:uid="{00000000-0005-0000-0000-0000A1D30000}"/>
    <cellStyle name="Note 72 2 3" xfId="54182" xr:uid="{00000000-0005-0000-0000-0000A2D30000}"/>
    <cellStyle name="Note 72 2 3 2" xfId="54183" xr:uid="{00000000-0005-0000-0000-0000A3D30000}"/>
    <cellStyle name="Note 72 2 3 3" xfId="54184" xr:uid="{00000000-0005-0000-0000-0000A4D30000}"/>
    <cellStyle name="Note 72 2 4" xfId="54185" xr:uid="{00000000-0005-0000-0000-0000A5D30000}"/>
    <cellStyle name="Note 72 2 5" xfId="54186" xr:uid="{00000000-0005-0000-0000-0000A6D30000}"/>
    <cellStyle name="Note 72 3" xfId="54187" xr:uid="{00000000-0005-0000-0000-0000A7D30000}"/>
    <cellStyle name="Note 72 3 2" xfId="54188" xr:uid="{00000000-0005-0000-0000-0000A8D30000}"/>
    <cellStyle name="Note 72 3 3" xfId="54189" xr:uid="{00000000-0005-0000-0000-0000A9D30000}"/>
    <cellStyle name="Note 72 4" xfId="54190" xr:uid="{00000000-0005-0000-0000-0000AAD30000}"/>
    <cellStyle name="Note 72 5" xfId="54191" xr:uid="{00000000-0005-0000-0000-0000ABD30000}"/>
    <cellStyle name="Note 73" xfId="54192" xr:uid="{00000000-0005-0000-0000-0000ACD30000}"/>
    <cellStyle name="Note 73 2" xfId="54193" xr:uid="{00000000-0005-0000-0000-0000ADD30000}"/>
    <cellStyle name="Note 73 2 2" xfId="54194" xr:uid="{00000000-0005-0000-0000-0000AED30000}"/>
    <cellStyle name="Note 73 2 2 2" xfId="54195" xr:uid="{00000000-0005-0000-0000-0000AFD30000}"/>
    <cellStyle name="Note 73 2 3" xfId="54196" xr:uid="{00000000-0005-0000-0000-0000B0D30000}"/>
    <cellStyle name="Note 73 2 3 2" xfId="54197" xr:uid="{00000000-0005-0000-0000-0000B1D30000}"/>
    <cellStyle name="Note 73 2 3 3" xfId="54198" xr:uid="{00000000-0005-0000-0000-0000B2D30000}"/>
    <cellStyle name="Note 73 2 4" xfId="54199" xr:uid="{00000000-0005-0000-0000-0000B3D30000}"/>
    <cellStyle name="Note 73 2 5" xfId="54200" xr:uid="{00000000-0005-0000-0000-0000B4D30000}"/>
    <cellStyle name="Note 73 3" xfId="54201" xr:uid="{00000000-0005-0000-0000-0000B5D30000}"/>
    <cellStyle name="Note 73 3 2" xfId="54202" xr:uid="{00000000-0005-0000-0000-0000B6D30000}"/>
    <cellStyle name="Note 73 3 3" xfId="54203" xr:uid="{00000000-0005-0000-0000-0000B7D30000}"/>
    <cellStyle name="Note 73 4" xfId="54204" xr:uid="{00000000-0005-0000-0000-0000B8D30000}"/>
    <cellStyle name="Note 73 5" xfId="54205" xr:uid="{00000000-0005-0000-0000-0000B9D30000}"/>
    <cellStyle name="Note 74" xfId="54206" xr:uid="{00000000-0005-0000-0000-0000BAD30000}"/>
    <cellStyle name="Note 74 2" xfId="54207" xr:uid="{00000000-0005-0000-0000-0000BBD30000}"/>
    <cellStyle name="Note 74 2 2" xfId="54208" xr:uid="{00000000-0005-0000-0000-0000BCD30000}"/>
    <cellStyle name="Note 74 2 2 2" xfId="54209" xr:uid="{00000000-0005-0000-0000-0000BDD30000}"/>
    <cellStyle name="Note 74 2 3" xfId="54210" xr:uid="{00000000-0005-0000-0000-0000BED30000}"/>
    <cellStyle name="Note 74 2 3 2" xfId="54211" xr:uid="{00000000-0005-0000-0000-0000BFD30000}"/>
    <cellStyle name="Note 74 2 3 3" xfId="54212" xr:uid="{00000000-0005-0000-0000-0000C0D30000}"/>
    <cellStyle name="Note 74 2 4" xfId="54213" xr:uid="{00000000-0005-0000-0000-0000C1D30000}"/>
    <cellStyle name="Note 74 2 5" xfId="54214" xr:uid="{00000000-0005-0000-0000-0000C2D30000}"/>
    <cellStyle name="Note 74 3" xfId="54215" xr:uid="{00000000-0005-0000-0000-0000C3D30000}"/>
    <cellStyle name="Note 74 3 2" xfId="54216" xr:uid="{00000000-0005-0000-0000-0000C4D30000}"/>
    <cellStyle name="Note 74 3 3" xfId="54217" xr:uid="{00000000-0005-0000-0000-0000C5D30000}"/>
    <cellStyle name="Note 74 4" xfId="54218" xr:uid="{00000000-0005-0000-0000-0000C6D30000}"/>
    <cellStyle name="Note 74 5" xfId="54219" xr:uid="{00000000-0005-0000-0000-0000C7D30000}"/>
    <cellStyle name="Note 75" xfId="54220" xr:uid="{00000000-0005-0000-0000-0000C8D30000}"/>
    <cellStyle name="Note 75 2" xfId="54221" xr:uid="{00000000-0005-0000-0000-0000C9D30000}"/>
    <cellStyle name="Note 75 2 2" xfId="54222" xr:uid="{00000000-0005-0000-0000-0000CAD30000}"/>
    <cellStyle name="Note 75 2 2 2" xfId="54223" xr:uid="{00000000-0005-0000-0000-0000CBD30000}"/>
    <cellStyle name="Note 75 2 3" xfId="54224" xr:uid="{00000000-0005-0000-0000-0000CCD30000}"/>
    <cellStyle name="Note 75 2 3 2" xfId="54225" xr:uid="{00000000-0005-0000-0000-0000CDD30000}"/>
    <cellStyle name="Note 75 2 3 3" xfId="54226" xr:uid="{00000000-0005-0000-0000-0000CED30000}"/>
    <cellStyle name="Note 75 2 4" xfId="54227" xr:uid="{00000000-0005-0000-0000-0000CFD30000}"/>
    <cellStyle name="Note 75 2 5" xfId="54228" xr:uid="{00000000-0005-0000-0000-0000D0D30000}"/>
    <cellStyle name="Note 75 3" xfId="54229" xr:uid="{00000000-0005-0000-0000-0000D1D30000}"/>
    <cellStyle name="Note 75 3 2" xfId="54230" xr:uid="{00000000-0005-0000-0000-0000D2D30000}"/>
    <cellStyle name="Note 75 3 3" xfId="54231" xr:uid="{00000000-0005-0000-0000-0000D3D30000}"/>
    <cellStyle name="Note 75 4" xfId="54232" xr:uid="{00000000-0005-0000-0000-0000D4D30000}"/>
    <cellStyle name="Note 75 5" xfId="54233" xr:uid="{00000000-0005-0000-0000-0000D5D30000}"/>
    <cellStyle name="Note 76" xfId="54234" xr:uid="{00000000-0005-0000-0000-0000D6D30000}"/>
    <cellStyle name="Note 76 2" xfId="54235" xr:uid="{00000000-0005-0000-0000-0000D7D30000}"/>
    <cellStyle name="Note 76 2 2" xfId="54236" xr:uid="{00000000-0005-0000-0000-0000D8D30000}"/>
    <cellStyle name="Note 76 2 2 2" xfId="54237" xr:uid="{00000000-0005-0000-0000-0000D9D30000}"/>
    <cellStyle name="Note 76 2 3" xfId="54238" xr:uid="{00000000-0005-0000-0000-0000DAD30000}"/>
    <cellStyle name="Note 76 2 3 2" xfId="54239" xr:uid="{00000000-0005-0000-0000-0000DBD30000}"/>
    <cellStyle name="Note 76 2 3 3" xfId="54240" xr:uid="{00000000-0005-0000-0000-0000DCD30000}"/>
    <cellStyle name="Note 76 2 4" xfId="54241" xr:uid="{00000000-0005-0000-0000-0000DDD30000}"/>
    <cellStyle name="Note 76 2 5" xfId="54242" xr:uid="{00000000-0005-0000-0000-0000DED30000}"/>
    <cellStyle name="Note 76 3" xfId="54243" xr:uid="{00000000-0005-0000-0000-0000DFD30000}"/>
    <cellStyle name="Note 76 3 2" xfId="54244" xr:uid="{00000000-0005-0000-0000-0000E0D30000}"/>
    <cellStyle name="Note 76 3 3" xfId="54245" xr:uid="{00000000-0005-0000-0000-0000E1D30000}"/>
    <cellStyle name="Note 76 4" xfId="54246" xr:uid="{00000000-0005-0000-0000-0000E2D30000}"/>
    <cellStyle name="Note 76 5" xfId="54247" xr:uid="{00000000-0005-0000-0000-0000E3D30000}"/>
    <cellStyle name="Note 77" xfId="54248" xr:uid="{00000000-0005-0000-0000-0000E4D30000}"/>
    <cellStyle name="Note 77 2" xfId="54249" xr:uid="{00000000-0005-0000-0000-0000E5D30000}"/>
    <cellStyle name="Note 77 2 2" xfId="54250" xr:uid="{00000000-0005-0000-0000-0000E6D30000}"/>
    <cellStyle name="Note 77 2 2 2" xfId="54251" xr:uid="{00000000-0005-0000-0000-0000E7D30000}"/>
    <cellStyle name="Note 77 2 3" xfId="54252" xr:uid="{00000000-0005-0000-0000-0000E8D30000}"/>
    <cellStyle name="Note 77 2 3 2" xfId="54253" xr:uid="{00000000-0005-0000-0000-0000E9D30000}"/>
    <cellStyle name="Note 77 2 3 3" xfId="54254" xr:uid="{00000000-0005-0000-0000-0000EAD30000}"/>
    <cellStyle name="Note 77 2 4" xfId="54255" xr:uid="{00000000-0005-0000-0000-0000EBD30000}"/>
    <cellStyle name="Note 77 2 5" xfId="54256" xr:uid="{00000000-0005-0000-0000-0000ECD30000}"/>
    <cellStyle name="Note 77 3" xfId="54257" xr:uid="{00000000-0005-0000-0000-0000EDD30000}"/>
    <cellStyle name="Note 77 3 2" xfId="54258" xr:uid="{00000000-0005-0000-0000-0000EED30000}"/>
    <cellStyle name="Note 77 3 3" xfId="54259" xr:uid="{00000000-0005-0000-0000-0000EFD30000}"/>
    <cellStyle name="Note 77 4" xfId="54260" xr:uid="{00000000-0005-0000-0000-0000F0D30000}"/>
    <cellStyle name="Note 77 5" xfId="54261" xr:uid="{00000000-0005-0000-0000-0000F1D30000}"/>
    <cellStyle name="Note 78" xfId="54262" xr:uid="{00000000-0005-0000-0000-0000F2D30000}"/>
    <cellStyle name="Note 78 2" xfId="54263" xr:uid="{00000000-0005-0000-0000-0000F3D30000}"/>
    <cellStyle name="Note 78 2 2" xfId="54264" xr:uid="{00000000-0005-0000-0000-0000F4D30000}"/>
    <cellStyle name="Note 78 2 2 2" xfId="54265" xr:uid="{00000000-0005-0000-0000-0000F5D30000}"/>
    <cellStyle name="Note 78 2 3" xfId="54266" xr:uid="{00000000-0005-0000-0000-0000F6D30000}"/>
    <cellStyle name="Note 78 2 3 2" xfId="54267" xr:uid="{00000000-0005-0000-0000-0000F7D30000}"/>
    <cellStyle name="Note 78 2 3 3" xfId="54268" xr:uid="{00000000-0005-0000-0000-0000F8D30000}"/>
    <cellStyle name="Note 78 2 4" xfId="54269" xr:uid="{00000000-0005-0000-0000-0000F9D30000}"/>
    <cellStyle name="Note 78 2 5" xfId="54270" xr:uid="{00000000-0005-0000-0000-0000FAD30000}"/>
    <cellStyle name="Note 78 3" xfId="54271" xr:uid="{00000000-0005-0000-0000-0000FBD30000}"/>
    <cellStyle name="Note 78 3 2" xfId="54272" xr:uid="{00000000-0005-0000-0000-0000FCD30000}"/>
    <cellStyle name="Note 78 3 3" xfId="54273" xr:uid="{00000000-0005-0000-0000-0000FDD30000}"/>
    <cellStyle name="Note 78 4" xfId="54274" xr:uid="{00000000-0005-0000-0000-0000FED30000}"/>
    <cellStyle name="Note 78 5" xfId="54275" xr:uid="{00000000-0005-0000-0000-0000FFD30000}"/>
    <cellStyle name="Note 79" xfId="54276" xr:uid="{00000000-0005-0000-0000-000000D40000}"/>
    <cellStyle name="Note 79 2" xfId="54277" xr:uid="{00000000-0005-0000-0000-000001D40000}"/>
    <cellStyle name="Note 79 2 2" xfId="54278" xr:uid="{00000000-0005-0000-0000-000002D40000}"/>
    <cellStyle name="Note 79 2 2 2" xfId="54279" xr:uid="{00000000-0005-0000-0000-000003D40000}"/>
    <cellStyle name="Note 79 2 3" xfId="54280" xr:uid="{00000000-0005-0000-0000-000004D40000}"/>
    <cellStyle name="Note 79 2 3 2" xfId="54281" xr:uid="{00000000-0005-0000-0000-000005D40000}"/>
    <cellStyle name="Note 79 2 3 3" xfId="54282" xr:uid="{00000000-0005-0000-0000-000006D40000}"/>
    <cellStyle name="Note 79 2 4" xfId="54283" xr:uid="{00000000-0005-0000-0000-000007D40000}"/>
    <cellStyle name="Note 79 2 5" xfId="54284" xr:uid="{00000000-0005-0000-0000-000008D40000}"/>
    <cellStyle name="Note 79 3" xfId="54285" xr:uid="{00000000-0005-0000-0000-000009D40000}"/>
    <cellStyle name="Note 79 3 2" xfId="54286" xr:uid="{00000000-0005-0000-0000-00000AD40000}"/>
    <cellStyle name="Note 79 3 3" xfId="54287" xr:uid="{00000000-0005-0000-0000-00000BD40000}"/>
    <cellStyle name="Note 79 4" xfId="54288" xr:uid="{00000000-0005-0000-0000-00000CD40000}"/>
    <cellStyle name="Note 79 5" xfId="54289" xr:uid="{00000000-0005-0000-0000-00000DD40000}"/>
    <cellStyle name="Note 8" xfId="54290" xr:uid="{00000000-0005-0000-0000-00000ED40000}"/>
    <cellStyle name="Note 8 2" xfId="54291" xr:uid="{00000000-0005-0000-0000-00000FD40000}"/>
    <cellStyle name="Note 8 2 2" xfId="54292" xr:uid="{00000000-0005-0000-0000-000010D40000}"/>
    <cellStyle name="Note 8 2 2 2" xfId="54293" xr:uid="{00000000-0005-0000-0000-000011D40000}"/>
    <cellStyle name="Note 8 2 3" xfId="54294" xr:uid="{00000000-0005-0000-0000-000012D40000}"/>
    <cellStyle name="Note 8 2 3 2" xfId="54295" xr:uid="{00000000-0005-0000-0000-000013D40000}"/>
    <cellStyle name="Note 8 2 3 3" xfId="54296" xr:uid="{00000000-0005-0000-0000-000014D40000}"/>
    <cellStyle name="Note 8 2 4" xfId="54297" xr:uid="{00000000-0005-0000-0000-000015D40000}"/>
    <cellStyle name="Note 8 3" xfId="54298" xr:uid="{00000000-0005-0000-0000-000016D40000}"/>
    <cellStyle name="Note 8 3 2" xfId="54299" xr:uid="{00000000-0005-0000-0000-000017D40000}"/>
    <cellStyle name="Note 8 4" xfId="54300" xr:uid="{00000000-0005-0000-0000-000018D40000}"/>
    <cellStyle name="Note 8 4 2" xfId="54301" xr:uid="{00000000-0005-0000-0000-000019D40000}"/>
    <cellStyle name="Note 8 5" xfId="54302" xr:uid="{00000000-0005-0000-0000-00001AD40000}"/>
    <cellStyle name="Note 8 5 2" xfId="54303" xr:uid="{00000000-0005-0000-0000-00001BD40000}"/>
    <cellStyle name="Note 8 6" xfId="54304" xr:uid="{00000000-0005-0000-0000-00001CD40000}"/>
    <cellStyle name="Note 8 6 2" xfId="54305" xr:uid="{00000000-0005-0000-0000-00001DD40000}"/>
    <cellStyle name="Note 8 6 3" xfId="54306" xr:uid="{00000000-0005-0000-0000-00001ED40000}"/>
    <cellStyle name="Note 8 7" xfId="54307" xr:uid="{00000000-0005-0000-0000-00001FD40000}"/>
    <cellStyle name="Note 8 8" xfId="54308" xr:uid="{00000000-0005-0000-0000-000020D40000}"/>
    <cellStyle name="Note 80" xfId="54309" xr:uid="{00000000-0005-0000-0000-000021D40000}"/>
    <cellStyle name="Note 80 2" xfId="54310" xr:uid="{00000000-0005-0000-0000-000022D40000}"/>
    <cellStyle name="Note 80 2 2" xfId="54311" xr:uid="{00000000-0005-0000-0000-000023D40000}"/>
    <cellStyle name="Note 80 2 2 2" xfId="54312" xr:uid="{00000000-0005-0000-0000-000024D40000}"/>
    <cellStyle name="Note 80 2 3" xfId="54313" xr:uid="{00000000-0005-0000-0000-000025D40000}"/>
    <cellStyle name="Note 80 2 3 2" xfId="54314" xr:uid="{00000000-0005-0000-0000-000026D40000}"/>
    <cellStyle name="Note 80 2 3 3" xfId="54315" xr:uid="{00000000-0005-0000-0000-000027D40000}"/>
    <cellStyle name="Note 80 2 4" xfId="54316" xr:uid="{00000000-0005-0000-0000-000028D40000}"/>
    <cellStyle name="Note 80 2 5" xfId="54317" xr:uid="{00000000-0005-0000-0000-000029D40000}"/>
    <cellStyle name="Note 80 3" xfId="54318" xr:uid="{00000000-0005-0000-0000-00002AD40000}"/>
    <cellStyle name="Note 80 3 2" xfId="54319" xr:uid="{00000000-0005-0000-0000-00002BD40000}"/>
    <cellStyle name="Note 80 3 3" xfId="54320" xr:uid="{00000000-0005-0000-0000-00002CD40000}"/>
    <cellStyle name="Note 80 4" xfId="54321" xr:uid="{00000000-0005-0000-0000-00002DD40000}"/>
    <cellStyle name="Note 80 5" xfId="54322" xr:uid="{00000000-0005-0000-0000-00002ED40000}"/>
    <cellStyle name="Note 81" xfId="54323" xr:uid="{00000000-0005-0000-0000-00002FD40000}"/>
    <cellStyle name="Note 81 2" xfId="54324" xr:uid="{00000000-0005-0000-0000-000030D40000}"/>
    <cellStyle name="Note 81 2 2" xfId="54325" xr:uid="{00000000-0005-0000-0000-000031D40000}"/>
    <cellStyle name="Note 81 2 2 2" xfId="54326" xr:uid="{00000000-0005-0000-0000-000032D40000}"/>
    <cellStyle name="Note 81 2 3" xfId="54327" xr:uid="{00000000-0005-0000-0000-000033D40000}"/>
    <cellStyle name="Note 81 2 3 2" xfId="54328" xr:uid="{00000000-0005-0000-0000-000034D40000}"/>
    <cellStyle name="Note 81 2 3 3" xfId="54329" xr:uid="{00000000-0005-0000-0000-000035D40000}"/>
    <cellStyle name="Note 81 2 4" xfId="54330" xr:uid="{00000000-0005-0000-0000-000036D40000}"/>
    <cellStyle name="Note 81 2 5" xfId="54331" xr:uid="{00000000-0005-0000-0000-000037D40000}"/>
    <cellStyle name="Note 81 3" xfId="54332" xr:uid="{00000000-0005-0000-0000-000038D40000}"/>
    <cellStyle name="Note 81 3 2" xfId="54333" xr:uid="{00000000-0005-0000-0000-000039D40000}"/>
    <cellStyle name="Note 81 3 3" xfId="54334" xr:uid="{00000000-0005-0000-0000-00003AD40000}"/>
    <cellStyle name="Note 81 4" xfId="54335" xr:uid="{00000000-0005-0000-0000-00003BD40000}"/>
    <cellStyle name="Note 81 5" xfId="54336" xr:uid="{00000000-0005-0000-0000-00003CD40000}"/>
    <cellStyle name="Note 82" xfId="54337" xr:uid="{00000000-0005-0000-0000-00003DD40000}"/>
    <cellStyle name="Note 82 2" xfId="54338" xr:uid="{00000000-0005-0000-0000-00003ED40000}"/>
    <cellStyle name="Note 82 2 2" xfId="54339" xr:uid="{00000000-0005-0000-0000-00003FD40000}"/>
    <cellStyle name="Note 82 2 2 2" xfId="54340" xr:uid="{00000000-0005-0000-0000-000040D40000}"/>
    <cellStyle name="Note 82 2 3" xfId="54341" xr:uid="{00000000-0005-0000-0000-000041D40000}"/>
    <cellStyle name="Note 82 2 3 2" xfId="54342" xr:uid="{00000000-0005-0000-0000-000042D40000}"/>
    <cellStyle name="Note 82 2 3 3" xfId="54343" xr:uid="{00000000-0005-0000-0000-000043D40000}"/>
    <cellStyle name="Note 82 2 4" xfId="54344" xr:uid="{00000000-0005-0000-0000-000044D40000}"/>
    <cellStyle name="Note 82 2 5" xfId="54345" xr:uid="{00000000-0005-0000-0000-000045D40000}"/>
    <cellStyle name="Note 82 3" xfId="54346" xr:uid="{00000000-0005-0000-0000-000046D40000}"/>
    <cellStyle name="Note 82 3 2" xfId="54347" xr:uid="{00000000-0005-0000-0000-000047D40000}"/>
    <cellStyle name="Note 82 3 3" xfId="54348" xr:uid="{00000000-0005-0000-0000-000048D40000}"/>
    <cellStyle name="Note 82 4" xfId="54349" xr:uid="{00000000-0005-0000-0000-000049D40000}"/>
    <cellStyle name="Note 82 5" xfId="54350" xr:uid="{00000000-0005-0000-0000-00004AD40000}"/>
    <cellStyle name="Note 83" xfId="54351" xr:uid="{00000000-0005-0000-0000-00004BD40000}"/>
    <cellStyle name="Note 83 2" xfId="54352" xr:uid="{00000000-0005-0000-0000-00004CD40000}"/>
    <cellStyle name="Note 83 2 2" xfId="54353" xr:uid="{00000000-0005-0000-0000-00004DD40000}"/>
    <cellStyle name="Note 83 2 2 2" xfId="54354" xr:uid="{00000000-0005-0000-0000-00004ED40000}"/>
    <cellStyle name="Note 83 2 3" xfId="54355" xr:uid="{00000000-0005-0000-0000-00004FD40000}"/>
    <cellStyle name="Note 83 2 3 2" xfId="54356" xr:uid="{00000000-0005-0000-0000-000050D40000}"/>
    <cellStyle name="Note 83 2 3 3" xfId="54357" xr:uid="{00000000-0005-0000-0000-000051D40000}"/>
    <cellStyle name="Note 83 2 4" xfId="54358" xr:uid="{00000000-0005-0000-0000-000052D40000}"/>
    <cellStyle name="Note 83 2 5" xfId="54359" xr:uid="{00000000-0005-0000-0000-000053D40000}"/>
    <cellStyle name="Note 83 3" xfId="54360" xr:uid="{00000000-0005-0000-0000-000054D40000}"/>
    <cellStyle name="Note 83 3 2" xfId="54361" xr:uid="{00000000-0005-0000-0000-000055D40000}"/>
    <cellStyle name="Note 83 3 3" xfId="54362" xr:uid="{00000000-0005-0000-0000-000056D40000}"/>
    <cellStyle name="Note 83 4" xfId="54363" xr:uid="{00000000-0005-0000-0000-000057D40000}"/>
    <cellStyle name="Note 83 5" xfId="54364" xr:uid="{00000000-0005-0000-0000-000058D40000}"/>
    <cellStyle name="Note 84" xfId="54365" xr:uid="{00000000-0005-0000-0000-000059D40000}"/>
    <cellStyle name="Note 84 2" xfId="54366" xr:uid="{00000000-0005-0000-0000-00005AD40000}"/>
    <cellStyle name="Note 84 2 2" xfId="54367" xr:uid="{00000000-0005-0000-0000-00005BD40000}"/>
    <cellStyle name="Note 84 2 2 2" xfId="54368" xr:uid="{00000000-0005-0000-0000-00005CD40000}"/>
    <cellStyle name="Note 84 2 3" xfId="54369" xr:uid="{00000000-0005-0000-0000-00005DD40000}"/>
    <cellStyle name="Note 84 2 3 2" xfId="54370" xr:uid="{00000000-0005-0000-0000-00005ED40000}"/>
    <cellStyle name="Note 84 2 3 3" xfId="54371" xr:uid="{00000000-0005-0000-0000-00005FD40000}"/>
    <cellStyle name="Note 84 2 4" xfId="54372" xr:uid="{00000000-0005-0000-0000-000060D40000}"/>
    <cellStyle name="Note 84 2 5" xfId="54373" xr:uid="{00000000-0005-0000-0000-000061D40000}"/>
    <cellStyle name="Note 84 3" xfId="54374" xr:uid="{00000000-0005-0000-0000-000062D40000}"/>
    <cellStyle name="Note 84 3 2" xfId="54375" xr:uid="{00000000-0005-0000-0000-000063D40000}"/>
    <cellStyle name="Note 84 3 3" xfId="54376" xr:uid="{00000000-0005-0000-0000-000064D40000}"/>
    <cellStyle name="Note 84 4" xfId="54377" xr:uid="{00000000-0005-0000-0000-000065D40000}"/>
    <cellStyle name="Note 84 5" xfId="54378" xr:uid="{00000000-0005-0000-0000-000066D40000}"/>
    <cellStyle name="Note 85" xfId="54379" xr:uid="{00000000-0005-0000-0000-000067D40000}"/>
    <cellStyle name="Note 85 2" xfId="54380" xr:uid="{00000000-0005-0000-0000-000068D40000}"/>
    <cellStyle name="Note 85 2 2" xfId="54381" xr:uid="{00000000-0005-0000-0000-000069D40000}"/>
    <cellStyle name="Note 85 2 2 2" xfId="54382" xr:uid="{00000000-0005-0000-0000-00006AD40000}"/>
    <cellStyle name="Note 85 2 3" xfId="54383" xr:uid="{00000000-0005-0000-0000-00006BD40000}"/>
    <cellStyle name="Note 85 2 3 2" xfId="54384" xr:uid="{00000000-0005-0000-0000-00006CD40000}"/>
    <cellStyle name="Note 85 2 3 3" xfId="54385" xr:uid="{00000000-0005-0000-0000-00006DD40000}"/>
    <cellStyle name="Note 85 2 4" xfId="54386" xr:uid="{00000000-0005-0000-0000-00006ED40000}"/>
    <cellStyle name="Note 85 2 5" xfId="54387" xr:uid="{00000000-0005-0000-0000-00006FD40000}"/>
    <cellStyle name="Note 85 3" xfId="54388" xr:uid="{00000000-0005-0000-0000-000070D40000}"/>
    <cellStyle name="Note 85 3 2" xfId="54389" xr:uid="{00000000-0005-0000-0000-000071D40000}"/>
    <cellStyle name="Note 85 3 3" xfId="54390" xr:uid="{00000000-0005-0000-0000-000072D40000}"/>
    <cellStyle name="Note 85 4" xfId="54391" xr:uid="{00000000-0005-0000-0000-000073D40000}"/>
    <cellStyle name="Note 85 5" xfId="54392" xr:uid="{00000000-0005-0000-0000-000074D40000}"/>
    <cellStyle name="Note 86" xfId="54393" xr:uid="{00000000-0005-0000-0000-000075D40000}"/>
    <cellStyle name="Note 86 2" xfId="54394" xr:uid="{00000000-0005-0000-0000-000076D40000}"/>
    <cellStyle name="Note 86 2 2" xfId="54395" xr:uid="{00000000-0005-0000-0000-000077D40000}"/>
    <cellStyle name="Note 86 2 2 2" xfId="54396" xr:uid="{00000000-0005-0000-0000-000078D40000}"/>
    <cellStyle name="Note 86 2 3" xfId="54397" xr:uid="{00000000-0005-0000-0000-000079D40000}"/>
    <cellStyle name="Note 86 2 3 2" xfId="54398" xr:uid="{00000000-0005-0000-0000-00007AD40000}"/>
    <cellStyle name="Note 86 2 3 3" xfId="54399" xr:uid="{00000000-0005-0000-0000-00007BD40000}"/>
    <cellStyle name="Note 86 2 4" xfId="54400" xr:uid="{00000000-0005-0000-0000-00007CD40000}"/>
    <cellStyle name="Note 86 2 5" xfId="54401" xr:uid="{00000000-0005-0000-0000-00007DD40000}"/>
    <cellStyle name="Note 86 3" xfId="54402" xr:uid="{00000000-0005-0000-0000-00007ED40000}"/>
    <cellStyle name="Note 86 3 2" xfId="54403" xr:uid="{00000000-0005-0000-0000-00007FD40000}"/>
    <cellStyle name="Note 86 3 3" xfId="54404" xr:uid="{00000000-0005-0000-0000-000080D40000}"/>
    <cellStyle name="Note 86 4" xfId="54405" xr:uid="{00000000-0005-0000-0000-000081D40000}"/>
    <cellStyle name="Note 86 5" xfId="54406" xr:uid="{00000000-0005-0000-0000-000082D40000}"/>
    <cellStyle name="Note 87" xfId="54407" xr:uid="{00000000-0005-0000-0000-000083D40000}"/>
    <cellStyle name="Note 87 2" xfId="54408" xr:uid="{00000000-0005-0000-0000-000084D40000}"/>
    <cellStyle name="Note 87 2 2" xfId="54409" xr:uid="{00000000-0005-0000-0000-000085D40000}"/>
    <cellStyle name="Note 87 2 2 2" xfId="54410" xr:uid="{00000000-0005-0000-0000-000086D40000}"/>
    <cellStyle name="Note 87 2 3" xfId="54411" xr:uid="{00000000-0005-0000-0000-000087D40000}"/>
    <cellStyle name="Note 87 2 3 2" xfId="54412" xr:uid="{00000000-0005-0000-0000-000088D40000}"/>
    <cellStyle name="Note 87 2 3 3" xfId="54413" xr:uid="{00000000-0005-0000-0000-000089D40000}"/>
    <cellStyle name="Note 87 2 4" xfId="54414" xr:uid="{00000000-0005-0000-0000-00008AD40000}"/>
    <cellStyle name="Note 87 2 5" xfId="54415" xr:uid="{00000000-0005-0000-0000-00008BD40000}"/>
    <cellStyle name="Note 87 3" xfId="54416" xr:uid="{00000000-0005-0000-0000-00008CD40000}"/>
    <cellStyle name="Note 87 3 2" xfId="54417" xr:uid="{00000000-0005-0000-0000-00008DD40000}"/>
    <cellStyle name="Note 87 3 3" xfId="54418" xr:uid="{00000000-0005-0000-0000-00008ED40000}"/>
    <cellStyle name="Note 87 4" xfId="54419" xr:uid="{00000000-0005-0000-0000-00008FD40000}"/>
    <cellStyle name="Note 87 5" xfId="54420" xr:uid="{00000000-0005-0000-0000-000090D40000}"/>
    <cellStyle name="Note 88" xfId="54421" xr:uid="{00000000-0005-0000-0000-000091D40000}"/>
    <cellStyle name="Note 88 2" xfId="54422" xr:uid="{00000000-0005-0000-0000-000092D40000}"/>
    <cellStyle name="Note 88 2 2" xfId="54423" xr:uid="{00000000-0005-0000-0000-000093D40000}"/>
    <cellStyle name="Note 88 2 2 2" xfId="54424" xr:uid="{00000000-0005-0000-0000-000094D40000}"/>
    <cellStyle name="Note 88 2 3" xfId="54425" xr:uid="{00000000-0005-0000-0000-000095D40000}"/>
    <cellStyle name="Note 88 2 3 2" xfId="54426" xr:uid="{00000000-0005-0000-0000-000096D40000}"/>
    <cellStyle name="Note 88 2 3 3" xfId="54427" xr:uid="{00000000-0005-0000-0000-000097D40000}"/>
    <cellStyle name="Note 88 2 4" xfId="54428" xr:uid="{00000000-0005-0000-0000-000098D40000}"/>
    <cellStyle name="Note 88 2 5" xfId="54429" xr:uid="{00000000-0005-0000-0000-000099D40000}"/>
    <cellStyle name="Note 88 3" xfId="54430" xr:uid="{00000000-0005-0000-0000-00009AD40000}"/>
    <cellStyle name="Note 88 3 2" xfId="54431" xr:uid="{00000000-0005-0000-0000-00009BD40000}"/>
    <cellStyle name="Note 88 3 3" xfId="54432" xr:uid="{00000000-0005-0000-0000-00009CD40000}"/>
    <cellStyle name="Note 88 4" xfId="54433" xr:uid="{00000000-0005-0000-0000-00009DD40000}"/>
    <cellStyle name="Note 88 5" xfId="54434" xr:uid="{00000000-0005-0000-0000-00009ED40000}"/>
    <cellStyle name="Note 89" xfId="54435" xr:uid="{00000000-0005-0000-0000-00009FD40000}"/>
    <cellStyle name="Note 89 2" xfId="54436" xr:uid="{00000000-0005-0000-0000-0000A0D40000}"/>
    <cellStyle name="Note 89 2 2" xfId="54437" xr:uid="{00000000-0005-0000-0000-0000A1D40000}"/>
    <cellStyle name="Note 89 2 2 2" xfId="54438" xr:uid="{00000000-0005-0000-0000-0000A2D40000}"/>
    <cellStyle name="Note 89 2 3" xfId="54439" xr:uid="{00000000-0005-0000-0000-0000A3D40000}"/>
    <cellStyle name="Note 89 2 3 2" xfId="54440" xr:uid="{00000000-0005-0000-0000-0000A4D40000}"/>
    <cellStyle name="Note 89 2 3 3" xfId="54441" xr:uid="{00000000-0005-0000-0000-0000A5D40000}"/>
    <cellStyle name="Note 89 2 4" xfId="54442" xr:uid="{00000000-0005-0000-0000-0000A6D40000}"/>
    <cellStyle name="Note 89 2 5" xfId="54443" xr:uid="{00000000-0005-0000-0000-0000A7D40000}"/>
    <cellStyle name="Note 89 3" xfId="54444" xr:uid="{00000000-0005-0000-0000-0000A8D40000}"/>
    <cellStyle name="Note 89 3 2" xfId="54445" xr:uid="{00000000-0005-0000-0000-0000A9D40000}"/>
    <cellStyle name="Note 89 3 3" xfId="54446" xr:uid="{00000000-0005-0000-0000-0000AAD40000}"/>
    <cellStyle name="Note 89 4" xfId="54447" xr:uid="{00000000-0005-0000-0000-0000ABD40000}"/>
    <cellStyle name="Note 89 5" xfId="54448" xr:uid="{00000000-0005-0000-0000-0000ACD40000}"/>
    <cellStyle name="Note 9" xfId="54449" xr:uid="{00000000-0005-0000-0000-0000ADD40000}"/>
    <cellStyle name="Note 9 2" xfId="54450" xr:uid="{00000000-0005-0000-0000-0000AED40000}"/>
    <cellStyle name="Note 9 2 2" xfId="54451" xr:uid="{00000000-0005-0000-0000-0000AFD40000}"/>
    <cellStyle name="Note 9 2 2 2" xfId="54452" xr:uid="{00000000-0005-0000-0000-0000B0D40000}"/>
    <cellStyle name="Note 9 2 3" xfId="54453" xr:uid="{00000000-0005-0000-0000-0000B1D40000}"/>
    <cellStyle name="Note 9 2 3 2" xfId="54454" xr:uid="{00000000-0005-0000-0000-0000B2D40000}"/>
    <cellStyle name="Note 9 2 3 3" xfId="54455" xr:uid="{00000000-0005-0000-0000-0000B3D40000}"/>
    <cellStyle name="Note 9 2 4" xfId="54456" xr:uid="{00000000-0005-0000-0000-0000B4D40000}"/>
    <cellStyle name="Note 9 3" xfId="54457" xr:uid="{00000000-0005-0000-0000-0000B5D40000}"/>
    <cellStyle name="Note 9 3 2" xfId="54458" xr:uid="{00000000-0005-0000-0000-0000B6D40000}"/>
    <cellStyle name="Note 9 4" xfId="54459" xr:uid="{00000000-0005-0000-0000-0000B7D40000}"/>
    <cellStyle name="Note 9 4 2" xfId="54460" xr:uid="{00000000-0005-0000-0000-0000B8D40000}"/>
    <cellStyle name="Note 9 5" xfId="54461" xr:uid="{00000000-0005-0000-0000-0000B9D40000}"/>
    <cellStyle name="Note 9 5 2" xfId="54462" xr:uid="{00000000-0005-0000-0000-0000BAD40000}"/>
    <cellStyle name="Note 9 6" xfId="54463" xr:uid="{00000000-0005-0000-0000-0000BBD40000}"/>
    <cellStyle name="Note 9 6 2" xfId="54464" xr:uid="{00000000-0005-0000-0000-0000BCD40000}"/>
    <cellStyle name="Note 9 6 3" xfId="54465" xr:uid="{00000000-0005-0000-0000-0000BDD40000}"/>
    <cellStyle name="Note 9 7" xfId="54466" xr:uid="{00000000-0005-0000-0000-0000BED40000}"/>
    <cellStyle name="Note 9 8" xfId="54467" xr:uid="{00000000-0005-0000-0000-0000BFD40000}"/>
    <cellStyle name="Note 90" xfId="54468" xr:uid="{00000000-0005-0000-0000-0000C0D40000}"/>
    <cellStyle name="Note 90 2" xfId="54469" xr:uid="{00000000-0005-0000-0000-0000C1D40000}"/>
    <cellStyle name="Note 90 2 2" xfId="54470" xr:uid="{00000000-0005-0000-0000-0000C2D40000}"/>
    <cellStyle name="Note 90 2 2 2" xfId="54471" xr:uid="{00000000-0005-0000-0000-0000C3D40000}"/>
    <cellStyle name="Note 90 2 3" xfId="54472" xr:uid="{00000000-0005-0000-0000-0000C4D40000}"/>
    <cellStyle name="Note 90 2 3 2" xfId="54473" xr:uid="{00000000-0005-0000-0000-0000C5D40000}"/>
    <cellStyle name="Note 90 2 3 3" xfId="54474" xr:uid="{00000000-0005-0000-0000-0000C6D40000}"/>
    <cellStyle name="Note 90 2 4" xfId="54475" xr:uid="{00000000-0005-0000-0000-0000C7D40000}"/>
    <cellStyle name="Note 90 2 5" xfId="54476" xr:uid="{00000000-0005-0000-0000-0000C8D40000}"/>
    <cellStyle name="Note 90 3" xfId="54477" xr:uid="{00000000-0005-0000-0000-0000C9D40000}"/>
    <cellStyle name="Note 90 3 2" xfId="54478" xr:uid="{00000000-0005-0000-0000-0000CAD40000}"/>
    <cellStyle name="Note 90 3 3" xfId="54479" xr:uid="{00000000-0005-0000-0000-0000CBD40000}"/>
    <cellStyle name="Note 90 4" xfId="54480" xr:uid="{00000000-0005-0000-0000-0000CCD40000}"/>
    <cellStyle name="Note 90 5" xfId="54481" xr:uid="{00000000-0005-0000-0000-0000CDD40000}"/>
    <cellStyle name="Note 91" xfId="54482" xr:uid="{00000000-0005-0000-0000-0000CED40000}"/>
    <cellStyle name="Note 91 2" xfId="54483" xr:uid="{00000000-0005-0000-0000-0000CFD40000}"/>
    <cellStyle name="Note 91 2 2" xfId="54484" xr:uid="{00000000-0005-0000-0000-0000D0D40000}"/>
    <cellStyle name="Note 91 2 2 2" xfId="54485" xr:uid="{00000000-0005-0000-0000-0000D1D40000}"/>
    <cellStyle name="Note 91 2 3" xfId="54486" xr:uid="{00000000-0005-0000-0000-0000D2D40000}"/>
    <cellStyle name="Note 91 2 3 2" xfId="54487" xr:uid="{00000000-0005-0000-0000-0000D3D40000}"/>
    <cellStyle name="Note 91 2 3 3" xfId="54488" xr:uid="{00000000-0005-0000-0000-0000D4D40000}"/>
    <cellStyle name="Note 91 2 4" xfId="54489" xr:uid="{00000000-0005-0000-0000-0000D5D40000}"/>
    <cellStyle name="Note 91 2 5" xfId="54490" xr:uid="{00000000-0005-0000-0000-0000D6D40000}"/>
    <cellStyle name="Note 91 3" xfId="54491" xr:uid="{00000000-0005-0000-0000-0000D7D40000}"/>
    <cellStyle name="Note 91 3 2" xfId="54492" xr:uid="{00000000-0005-0000-0000-0000D8D40000}"/>
    <cellStyle name="Note 91 3 3" xfId="54493" xr:uid="{00000000-0005-0000-0000-0000D9D40000}"/>
    <cellStyle name="Note 91 4" xfId="54494" xr:uid="{00000000-0005-0000-0000-0000DAD40000}"/>
    <cellStyle name="Note 91 5" xfId="54495" xr:uid="{00000000-0005-0000-0000-0000DBD40000}"/>
    <cellStyle name="Note 92" xfId="54496" xr:uid="{00000000-0005-0000-0000-0000DCD40000}"/>
    <cellStyle name="Note 92 2" xfId="54497" xr:uid="{00000000-0005-0000-0000-0000DDD40000}"/>
    <cellStyle name="Note 92 2 2" xfId="54498" xr:uid="{00000000-0005-0000-0000-0000DED40000}"/>
    <cellStyle name="Note 92 2 2 2" xfId="54499" xr:uid="{00000000-0005-0000-0000-0000DFD40000}"/>
    <cellStyle name="Note 92 2 3" xfId="54500" xr:uid="{00000000-0005-0000-0000-0000E0D40000}"/>
    <cellStyle name="Note 92 2 3 2" xfId="54501" xr:uid="{00000000-0005-0000-0000-0000E1D40000}"/>
    <cellStyle name="Note 92 2 3 3" xfId="54502" xr:uid="{00000000-0005-0000-0000-0000E2D40000}"/>
    <cellStyle name="Note 92 2 4" xfId="54503" xr:uid="{00000000-0005-0000-0000-0000E3D40000}"/>
    <cellStyle name="Note 92 2 5" xfId="54504" xr:uid="{00000000-0005-0000-0000-0000E4D40000}"/>
    <cellStyle name="Note 92 3" xfId="54505" xr:uid="{00000000-0005-0000-0000-0000E5D40000}"/>
    <cellStyle name="Note 92 3 2" xfId="54506" xr:uid="{00000000-0005-0000-0000-0000E6D40000}"/>
    <cellStyle name="Note 92 3 3" xfId="54507" xr:uid="{00000000-0005-0000-0000-0000E7D40000}"/>
    <cellStyle name="Note 92 4" xfId="54508" xr:uid="{00000000-0005-0000-0000-0000E8D40000}"/>
    <cellStyle name="Note 92 5" xfId="54509" xr:uid="{00000000-0005-0000-0000-0000E9D40000}"/>
    <cellStyle name="Note 93" xfId="54510" xr:uid="{00000000-0005-0000-0000-0000EAD40000}"/>
    <cellStyle name="Note 93 2" xfId="54511" xr:uid="{00000000-0005-0000-0000-0000EBD40000}"/>
    <cellStyle name="Note 93 2 2" xfId="54512" xr:uid="{00000000-0005-0000-0000-0000ECD40000}"/>
    <cellStyle name="Note 93 2 2 2" xfId="54513" xr:uid="{00000000-0005-0000-0000-0000EDD40000}"/>
    <cellStyle name="Note 93 2 3" xfId="54514" xr:uid="{00000000-0005-0000-0000-0000EED40000}"/>
    <cellStyle name="Note 93 2 3 2" xfId="54515" xr:uid="{00000000-0005-0000-0000-0000EFD40000}"/>
    <cellStyle name="Note 93 2 3 3" xfId="54516" xr:uid="{00000000-0005-0000-0000-0000F0D40000}"/>
    <cellStyle name="Note 93 2 4" xfId="54517" xr:uid="{00000000-0005-0000-0000-0000F1D40000}"/>
    <cellStyle name="Note 93 2 5" xfId="54518" xr:uid="{00000000-0005-0000-0000-0000F2D40000}"/>
    <cellStyle name="Note 93 3" xfId="54519" xr:uid="{00000000-0005-0000-0000-0000F3D40000}"/>
    <cellStyle name="Note 93 3 2" xfId="54520" xr:uid="{00000000-0005-0000-0000-0000F4D40000}"/>
    <cellStyle name="Note 93 3 3" xfId="54521" xr:uid="{00000000-0005-0000-0000-0000F5D40000}"/>
    <cellStyle name="Note 93 4" xfId="54522" xr:uid="{00000000-0005-0000-0000-0000F6D40000}"/>
    <cellStyle name="Note 93 5" xfId="54523" xr:uid="{00000000-0005-0000-0000-0000F7D40000}"/>
    <cellStyle name="Note 94" xfId="54524" xr:uid="{00000000-0005-0000-0000-0000F8D40000}"/>
    <cellStyle name="Note 94 2" xfId="54525" xr:uid="{00000000-0005-0000-0000-0000F9D40000}"/>
    <cellStyle name="Note 94 2 2" xfId="54526" xr:uid="{00000000-0005-0000-0000-0000FAD40000}"/>
    <cellStyle name="Note 94 2 2 2" xfId="54527" xr:uid="{00000000-0005-0000-0000-0000FBD40000}"/>
    <cellStyle name="Note 94 2 3" xfId="54528" xr:uid="{00000000-0005-0000-0000-0000FCD40000}"/>
    <cellStyle name="Note 94 2 3 2" xfId="54529" xr:uid="{00000000-0005-0000-0000-0000FDD40000}"/>
    <cellStyle name="Note 94 2 3 3" xfId="54530" xr:uid="{00000000-0005-0000-0000-0000FED40000}"/>
    <cellStyle name="Note 94 2 4" xfId="54531" xr:uid="{00000000-0005-0000-0000-0000FFD40000}"/>
    <cellStyle name="Note 94 2 5" xfId="54532" xr:uid="{00000000-0005-0000-0000-000000D50000}"/>
    <cellStyle name="Note 94 3" xfId="54533" xr:uid="{00000000-0005-0000-0000-000001D50000}"/>
    <cellStyle name="Note 94 3 2" xfId="54534" xr:uid="{00000000-0005-0000-0000-000002D50000}"/>
    <cellStyle name="Note 94 3 3" xfId="54535" xr:uid="{00000000-0005-0000-0000-000003D50000}"/>
    <cellStyle name="Note 94 4" xfId="54536" xr:uid="{00000000-0005-0000-0000-000004D50000}"/>
    <cellStyle name="Note 94 5" xfId="54537" xr:uid="{00000000-0005-0000-0000-000005D50000}"/>
    <cellStyle name="Note 95" xfId="54538" xr:uid="{00000000-0005-0000-0000-000006D50000}"/>
    <cellStyle name="Note 95 2" xfId="54539" xr:uid="{00000000-0005-0000-0000-000007D50000}"/>
    <cellStyle name="Note 95 2 2" xfId="54540" xr:uid="{00000000-0005-0000-0000-000008D50000}"/>
    <cellStyle name="Note 95 2 2 2" xfId="54541" xr:uid="{00000000-0005-0000-0000-000009D50000}"/>
    <cellStyle name="Note 95 2 3" xfId="54542" xr:uid="{00000000-0005-0000-0000-00000AD50000}"/>
    <cellStyle name="Note 95 2 3 2" xfId="54543" xr:uid="{00000000-0005-0000-0000-00000BD50000}"/>
    <cellStyle name="Note 95 2 3 3" xfId="54544" xr:uid="{00000000-0005-0000-0000-00000CD50000}"/>
    <cellStyle name="Note 95 2 4" xfId="54545" xr:uid="{00000000-0005-0000-0000-00000DD50000}"/>
    <cellStyle name="Note 95 2 5" xfId="54546" xr:uid="{00000000-0005-0000-0000-00000ED50000}"/>
    <cellStyle name="Note 95 3" xfId="54547" xr:uid="{00000000-0005-0000-0000-00000FD50000}"/>
    <cellStyle name="Note 95 3 2" xfId="54548" xr:uid="{00000000-0005-0000-0000-000010D50000}"/>
    <cellStyle name="Note 95 3 3" xfId="54549" xr:uid="{00000000-0005-0000-0000-000011D50000}"/>
    <cellStyle name="Note 95 4" xfId="54550" xr:uid="{00000000-0005-0000-0000-000012D50000}"/>
    <cellStyle name="Note 95 5" xfId="54551" xr:uid="{00000000-0005-0000-0000-000013D50000}"/>
    <cellStyle name="Note 96" xfId="54552" xr:uid="{00000000-0005-0000-0000-000014D50000}"/>
    <cellStyle name="Note 96 2" xfId="54553" xr:uid="{00000000-0005-0000-0000-000015D50000}"/>
    <cellStyle name="Note 96 2 2" xfId="54554" xr:uid="{00000000-0005-0000-0000-000016D50000}"/>
    <cellStyle name="Note 96 2 2 2" xfId="54555" xr:uid="{00000000-0005-0000-0000-000017D50000}"/>
    <cellStyle name="Note 96 2 3" xfId="54556" xr:uid="{00000000-0005-0000-0000-000018D50000}"/>
    <cellStyle name="Note 96 2 3 2" xfId="54557" xr:uid="{00000000-0005-0000-0000-000019D50000}"/>
    <cellStyle name="Note 96 2 3 3" xfId="54558" xr:uid="{00000000-0005-0000-0000-00001AD50000}"/>
    <cellStyle name="Note 96 2 4" xfId="54559" xr:uid="{00000000-0005-0000-0000-00001BD50000}"/>
    <cellStyle name="Note 96 2 5" xfId="54560" xr:uid="{00000000-0005-0000-0000-00001CD50000}"/>
    <cellStyle name="Note 96 3" xfId="54561" xr:uid="{00000000-0005-0000-0000-00001DD50000}"/>
    <cellStyle name="Note 96 3 2" xfId="54562" xr:uid="{00000000-0005-0000-0000-00001ED50000}"/>
    <cellStyle name="Note 96 3 3" xfId="54563" xr:uid="{00000000-0005-0000-0000-00001FD50000}"/>
    <cellStyle name="Note 96 4" xfId="54564" xr:uid="{00000000-0005-0000-0000-000020D50000}"/>
    <cellStyle name="Note 96 5" xfId="54565" xr:uid="{00000000-0005-0000-0000-000021D50000}"/>
    <cellStyle name="Note 97" xfId="54566" xr:uid="{00000000-0005-0000-0000-000022D50000}"/>
    <cellStyle name="Note 97 2" xfId="54567" xr:uid="{00000000-0005-0000-0000-000023D50000}"/>
    <cellStyle name="Note 97 2 2" xfId="54568" xr:uid="{00000000-0005-0000-0000-000024D50000}"/>
    <cellStyle name="Note 97 2 2 2" xfId="54569" xr:uid="{00000000-0005-0000-0000-000025D50000}"/>
    <cellStyle name="Note 97 2 3" xfId="54570" xr:uid="{00000000-0005-0000-0000-000026D50000}"/>
    <cellStyle name="Note 97 2 3 2" xfId="54571" xr:uid="{00000000-0005-0000-0000-000027D50000}"/>
    <cellStyle name="Note 97 2 3 3" xfId="54572" xr:uid="{00000000-0005-0000-0000-000028D50000}"/>
    <cellStyle name="Note 97 2 4" xfId="54573" xr:uid="{00000000-0005-0000-0000-000029D50000}"/>
    <cellStyle name="Note 97 2 5" xfId="54574" xr:uid="{00000000-0005-0000-0000-00002AD50000}"/>
    <cellStyle name="Note 97 3" xfId="54575" xr:uid="{00000000-0005-0000-0000-00002BD50000}"/>
    <cellStyle name="Note 97 3 2" xfId="54576" xr:uid="{00000000-0005-0000-0000-00002CD50000}"/>
    <cellStyle name="Note 97 3 3" xfId="54577" xr:uid="{00000000-0005-0000-0000-00002DD50000}"/>
    <cellStyle name="Note 97 4" xfId="54578" xr:uid="{00000000-0005-0000-0000-00002ED50000}"/>
    <cellStyle name="Note 97 5" xfId="54579" xr:uid="{00000000-0005-0000-0000-00002FD50000}"/>
    <cellStyle name="Note 98" xfId="54580" xr:uid="{00000000-0005-0000-0000-000030D50000}"/>
    <cellStyle name="Note 98 2" xfId="54581" xr:uid="{00000000-0005-0000-0000-000031D50000}"/>
    <cellStyle name="Note 98 2 2" xfId="54582" xr:uid="{00000000-0005-0000-0000-000032D50000}"/>
    <cellStyle name="Note 98 2 2 2" xfId="54583" xr:uid="{00000000-0005-0000-0000-000033D50000}"/>
    <cellStyle name="Note 98 2 3" xfId="54584" xr:uid="{00000000-0005-0000-0000-000034D50000}"/>
    <cellStyle name="Note 98 2 3 2" xfId="54585" xr:uid="{00000000-0005-0000-0000-000035D50000}"/>
    <cellStyle name="Note 98 2 3 3" xfId="54586" xr:uid="{00000000-0005-0000-0000-000036D50000}"/>
    <cellStyle name="Note 98 2 4" xfId="54587" xr:uid="{00000000-0005-0000-0000-000037D50000}"/>
    <cellStyle name="Note 98 2 5" xfId="54588" xr:uid="{00000000-0005-0000-0000-000038D50000}"/>
    <cellStyle name="Note 98 3" xfId="54589" xr:uid="{00000000-0005-0000-0000-000039D50000}"/>
    <cellStyle name="Note 98 3 2" xfId="54590" xr:uid="{00000000-0005-0000-0000-00003AD50000}"/>
    <cellStyle name="Note 98 3 3" xfId="54591" xr:uid="{00000000-0005-0000-0000-00003BD50000}"/>
    <cellStyle name="Note 98 4" xfId="54592" xr:uid="{00000000-0005-0000-0000-00003CD50000}"/>
    <cellStyle name="Note 98 5" xfId="54593" xr:uid="{00000000-0005-0000-0000-00003DD50000}"/>
    <cellStyle name="Note 99" xfId="54594" xr:uid="{00000000-0005-0000-0000-00003ED50000}"/>
    <cellStyle name="Note 99 2" xfId="54595" xr:uid="{00000000-0005-0000-0000-00003FD50000}"/>
    <cellStyle name="Note 99 2 2" xfId="54596" xr:uid="{00000000-0005-0000-0000-000040D50000}"/>
    <cellStyle name="Note 99 2 2 2" xfId="54597" xr:uid="{00000000-0005-0000-0000-000041D50000}"/>
    <cellStyle name="Note 99 2 3" xfId="54598" xr:uid="{00000000-0005-0000-0000-000042D50000}"/>
    <cellStyle name="Note 99 2 3 2" xfId="54599" xr:uid="{00000000-0005-0000-0000-000043D50000}"/>
    <cellStyle name="Note 99 2 3 3" xfId="54600" xr:uid="{00000000-0005-0000-0000-000044D50000}"/>
    <cellStyle name="Note 99 2 4" xfId="54601" xr:uid="{00000000-0005-0000-0000-000045D50000}"/>
    <cellStyle name="Note 99 2 5" xfId="54602" xr:uid="{00000000-0005-0000-0000-000046D50000}"/>
    <cellStyle name="Note 99 3" xfId="54603" xr:uid="{00000000-0005-0000-0000-000047D50000}"/>
    <cellStyle name="Note 99 3 2" xfId="54604" xr:uid="{00000000-0005-0000-0000-000048D50000}"/>
    <cellStyle name="Note 99 3 3" xfId="54605" xr:uid="{00000000-0005-0000-0000-000049D50000}"/>
    <cellStyle name="Note 99 4" xfId="54606" xr:uid="{00000000-0005-0000-0000-00004AD50000}"/>
    <cellStyle name="Note 99 5" xfId="54607" xr:uid="{00000000-0005-0000-0000-00004BD50000}"/>
    <cellStyle name="Notes" xfId="54608" xr:uid="{00000000-0005-0000-0000-00004CD50000}"/>
    <cellStyle name="Notes 2" xfId="54609" xr:uid="{00000000-0005-0000-0000-00004DD50000}"/>
    <cellStyle name="Notes 2 2" xfId="54610" xr:uid="{00000000-0005-0000-0000-00004ED50000}"/>
    <cellStyle name="Notes 3" xfId="54611" xr:uid="{00000000-0005-0000-0000-00004FD50000}"/>
    <cellStyle name="Number 0" xfId="54612" xr:uid="{00000000-0005-0000-0000-000050D50000}"/>
    <cellStyle name="Number0" xfId="54613" xr:uid="{00000000-0005-0000-0000-000051D50000}"/>
    <cellStyle name="Number0 2" xfId="54614" xr:uid="{00000000-0005-0000-0000-000052D50000}"/>
    <cellStyle name="Number0 2 2" xfId="54615" xr:uid="{00000000-0005-0000-0000-000053D50000}"/>
    <cellStyle name="Number0 3" xfId="54616" xr:uid="{00000000-0005-0000-0000-000054D50000}"/>
    <cellStyle name="Number1" xfId="54617" xr:uid="{00000000-0005-0000-0000-000055D50000}"/>
    <cellStyle name="Number1-" xfId="54618" xr:uid="{00000000-0005-0000-0000-000056D50000}"/>
    <cellStyle name="Number1- 2" xfId="54619" xr:uid="{00000000-0005-0000-0000-000057D50000}"/>
    <cellStyle name="Number1- 2 2" xfId="54620" xr:uid="{00000000-0005-0000-0000-000058D50000}"/>
    <cellStyle name="Number1- 3" xfId="54621" xr:uid="{00000000-0005-0000-0000-000059D50000}"/>
    <cellStyle name="Number2" xfId="54622" xr:uid="{00000000-0005-0000-0000-00005AD50000}"/>
    <cellStyle name="Number2-" xfId="54623" xr:uid="{00000000-0005-0000-0000-00005BD50000}"/>
    <cellStyle name="NumberForecastStyle" xfId="54624" xr:uid="{00000000-0005-0000-0000-00005CD50000}"/>
    <cellStyle name="numbers" xfId="54625" xr:uid="{00000000-0005-0000-0000-00005DD50000}"/>
    <cellStyle name="NumberStyle" xfId="54626" xr:uid="{00000000-0005-0000-0000-00005ED50000}"/>
    <cellStyle name="Œ…‹æØ‚è [0.00]_GE 3 MINIMUM" xfId="54627" xr:uid="{00000000-0005-0000-0000-00005FD50000}"/>
    <cellStyle name="Œ…‹æØ‚è_GE 3 MINIMUM" xfId="54628" xr:uid="{00000000-0005-0000-0000-000060D50000}"/>
    <cellStyle name="oem name" xfId="54629" xr:uid="{00000000-0005-0000-0000-000061D50000}"/>
    <cellStyle name="oem name 2" xfId="54630" xr:uid="{00000000-0005-0000-0000-000062D50000}"/>
    <cellStyle name="oem name 2 2" xfId="54631" xr:uid="{00000000-0005-0000-0000-000063D50000}"/>
    <cellStyle name="oem name 3" xfId="54632" xr:uid="{00000000-0005-0000-0000-000064D50000}"/>
    <cellStyle name="oft Excel]_x000d__x000a_Comment=Die Zeile open=/f lädt benutzerdefinierte Funktionen in die Liste für Funktion-Einfügen._x000d__x000a_Maxim" xfId="54633" xr:uid="{00000000-0005-0000-0000-000065D50000}"/>
    <cellStyle name="oft Excel]_x000d__x000a_Comment=Die Zeile open=/f lädt benutzerdefinierte Funktionen in die Liste für Funktion-Einfügen._x000d__x000a_Maxim 2" xfId="54634" xr:uid="{00000000-0005-0000-0000-000066D50000}"/>
    <cellStyle name="oft Excel]_x000d__x000a_Comment=Die Zeile open=/f lädt benutzerdefinierte Funktionen in die Liste für Funktion-Einfügen._x000d__x000a_Maxim 2 2" xfId="54635" xr:uid="{00000000-0005-0000-0000-000067D50000}"/>
    <cellStyle name="oft Excel]_x000d__x000a_Comment=Die Zeile open=/f lädt benutzerdefinierte Funktionen in die Liste für Funktion-Einfügen._x000d__x000a_Maxim 3" xfId="54636" xr:uid="{00000000-0005-0000-0000-000068D50000}"/>
    <cellStyle name="ORK-IN-PROCESS INVENTORY','1371 WORK-IN-PROCESS/SVC DEVIATIONS','1373 WORK-IN-PROCESS R" xfId="54637" xr:uid="{00000000-0005-0000-0000-000069D50000}"/>
    <cellStyle name="OT" xfId="54638" xr:uid="{00000000-0005-0000-0000-00006AD50000}"/>
    <cellStyle name="OT 2" xfId="54639" xr:uid="{00000000-0005-0000-0000-00006BD50000}"/>
    <cellStyle name="OT 2 2" xfId="54640" xr:uid="{00000000-0005-0000-0000-00006CD50000}"/>
    <cellStyle name="OT 3" xfId="54641" xr:uid="{00000000-0005-0000-0000-00006DD50000}"/>
    <cellStyle name="outh America" xfId="54642" xr:uid="{00000000-0005-0000-0000-00006ED50000}"/>
    <cellStyle name="outh America 2" xfId="54643" xr:uid="{00000000-0005-0000-0000-00006FD50000}"/>
    <cellStyle name="outh America 2 2" xfId="54644" xr:uid="{00000000-0005-0000-0000-000070D50000}"/>
    <cellStyle name="outh America 3" xfId="54645" xr:uid="{00000000-0005-0000-0000-000071D50000}"/>
    <cellStyle name="Output 10" xfId="54646" xr:uid="{00000000-0005-0000-0000-000072D50000}"/>
    <cellStyle name="Output 10 2" xfId="54647" xr:uid="{00000000-0005-0000-0000-000073D50000}"/>
    <cellStyle name="Output 10 2 2" xfId="54648" xr:uid="{00000000-0005-0000-0000-000074D50000}"/>
    <cellStyle name="Output 10 2 2 2" xfId="54649" xr:uid="{00000000-0005-0000-0000-000075D50000}"/>
    <cellStyle name="Output 10 2 3" xfId="54650" xr:uid="{00000000-0005-0000-0000-000076D50000}"/>
    <cellStyle name="Output 10 2 3 2" xfId="54651" xr:uid="{00000000-0005-0000-0000-000077D50000}"/>
    <cellStyle name="Output 10 2 3 3" xfId="54652" xr:uid="{00000000-0005-0000-0000-000078D50000}"/>
    <cellStyle name="Output 10 2 4" xfId="54653" xr:uid="{00000000-0005-0000-0000-000079D50000}"/>
    <cellStyle name="Output 10 2 5" xfId="54654" xr:uid="{00000000-0005-0000-0000-00007AD50000}"/>
    <cellStyle name="Output 10 3" xfId="54655" xr:uid="{00000000-0005-0000-0000-00007BD50000}"/>
    <cellStyle name="Output 10 3 2" xfId="54656" xr:uid="{00000000-0005-0000-0000-00007CD50000}"/>
    <cellStyle name="Output 10 4" xfId="54657" xr:uid="{00000000-0005-0000-0000-00007DD50000}"/>
    <cellStyle name="Output 10 4 2" xfId="54658" xr:uid="{00000000-0005-0000-0000-00007ED50000}"/>
    <cellStyle name="Output 10 4 3" xfId="54659" xr:uid="{00000000-0005-0000-0000-00007FD50000}"/>
    <cellStyle name="Output 10 5" xfId="54660" xr:uid="{00000000-0005-0000-0000-000080D50000}"/>
    <cellStyle name="Output 10 6" xfId="54661" xr:uid="{00000000-0005-0000-0000-000081D50000}"/>
    <cellStyle name="Output 100" xfId="54662" xr:uid="{00000000-0005-0000-0000-000082D50000}"/>
    <cellStyle name="Output 100 2" xfId="54663" xr:uid="{00000000-0005-0000-0000-000083D50000}"/>
    <cellStyle name="Output 100 2 2" xfId="54664" xr:uid="{00000000-0005-0000-0000-000084D50000}"/>
    <cellStyle name="Output 100 2 2 2" xfId="54665" xr:uid="{00000000-0005-0000-0000-000085D50000}"/>
    <cellStyle name="Output 100 2 3" xfId="54666" xr:uid="{00000000-0005-0000-0000-000086D50000}"/>
    <cellStyle name="Output 100 2 3 2" xfId="54667" xr:uid="{00000000-0005-0000-0000-000087D50000}"/>
    <cellStyle name="Output 100 2 3 3" xfId="54668" xr:uid="{00000000-0005-0000-0000-000088D50000}"/>
    <cellStyle name="Output 100 2 4" xfId="54669" xr:uid="{00000000-0005-0000-0000-000089D50000}"/>
    <cellStyle name="Output 100 2 5" xfId="54670" xr:uid="{00000000-0005-0000-0000-00008AD50000}"/>
    <cellStyle name="Output 100 3" xfId="54671" xr:uid="{00000000-0005-0000-0000-00008BD50000}"/>
    <cellStyle name="Output 100 3 2" xfId="54672" xr:uid="{00000000-0005-0000-0000-00008CD50000}"/>
    <cellStyle name="Output 100 4" xfId="54673" xr:uid="{00000000-0005-0000-0000-00008DD50000}"/>
    <cellStyle name="Output 100 4 2" xfId="54674" xr:uid="{00000000-0005-0000-0000-00008ED50000}"/>
    <cellStyle name="Output 100 4 3" xfId="54675" xr:uid="{00000000-0005-0000-0000-00008FD50000}"/>
    <cellStyle name="Output 100 5" xfId="54676" xr:uid="{00000000-0005-0000-0000-000090D50000}"/>
    <cellStyle name="Output 100 6" xfId="54677" xr:uid="{00000000-0005-0000-0000-000091D50000}"/>
    <cellStyle name="Output 101" xfId="54678" xr:uid="{00000000-0005-0000-0000-000092D50000}"/>
    <cellStyle name="Output 101 2" xfId="54679" xr:uid="{00000000-0005-0000-0000-000093D50000}"/>
    <cellStyle name="Output 101 2 2" xfId="54680" xr:uid="{00000000-0005-0000-0000-000094D50000}"/>
    <cellStyle name="Output 101 2 2 2" xfId="54681" xr:uid="{00000000-0005-0000-0000-000095D50000}"/>
    <cellStyle name="Output 101 2 3" xfId="54682" xr:uid="{00000000-0005-0000-0000-000096D50000}"/>
    <cellStyle name="Output 101 2 3 2" xfId="54683" xr:uid="{00000000-0005-0000-0000-000097D50000}"/>
    <cellStyle name="Output 101 2 3 3" xfId="54684" xr:uid="{00000000-0005-0000-0000-000098D50000}"/>
    <cellStyle name="Output 101 2 4" xfId="54685" xr:uid="{00000000-0005-0000-0000-000099D50000}"/>
    <cellStyle name="Output 101 2 5" xfId="54686" xr:uid="{00000000-0005-0000-0000-00009AD50000}"/>
    <cellStyle name="Output 101 3" xfId="54687" xr:uid="{00000000-0005-0000-0000-00009BD50000}"/>
    <cellStyle name="Output 101 3 2" xfId="54688" xr:uid="{00000000-0005-0000-0000-00009CD50000}"/>
    <cellStyle name="Output 101 4" xfId="54689" xr:uid="{00000000-0005-0000-0000-00009DD50000}"/>
    <cellStyle name="Output 101 4 2" xfId="54690" xr:uid="{00000000-0005-0000-0000-00009ED50000}"/>
    <cellStyle name="Output 101 4 3" xfId="54691" xr:uid="{00000000-0005-0000-0000-00009FD50000}"/>
    <cellStyle name="Output 101 5" xfId="54692" xr:uid="{00000000-0005-0000-0000-0000A0D50000}"/>
    <cellStyle name="Output 101 6" xfId="54693" xr:uid="{00000000-0005-0000-0000-0000A1D50000}"/>
    <cellStyle name="Output 102" xfId="54694" xr:uid="{00000000-0005-0000-0000-0000A2D50000}"/>
    <cellStyle name="Output 102 2" xfId="54695" xr:uid="{00000000-0005-0000-0000-0000A3D50000}"/>
    <cellStyle name="Output 102 2 2" xfId="54696" xr:uid="{00000000-0005-0000-0000-0000A4D50000}"/>
    <cellStyle name="Output 102 2 2 2" xfId="54697" xr:uid="{00000000-0005-0000-0000-0000A5D50000}"/>
    <cellStyle name="Output 102 2 3" xfId="54698" xr:uid="{00000000-0005-0000-0000-0000A6D50000}"/>
    <cellStyle name="Output 102 2 3 2" xfId="54699" xr:uid="{00000000-0005-0000-0000-0000A7D50000}"/>
    <cellStyle name="Output 102 2 3 3" xfId="54700" xr:uid="{00000000-0005-0000-0000-0000A8D50000}"/>
    <cellStyle name="Output 102 2 4" xfId="54701" xr:uid="{00000000-0005-0000-0000-0000A9D50000}"/>
    <cellStyle name="Output 102 2 5" xfId="54702" xr:uid="{00000000-0005-0000-0000-0000AAD50000}"/>
    <cellStyle name="Output 102 3" xfId="54703" xr:uid="{00000000-0005-0000-0000-0000ABD50000}"/>
    <cellStyle name="Output 102 3 2" xfId="54704" xr:uid="{00000000-0005-0000-0000-0000ACD50000}"/>
    <cellStyle name="Output 102 4" xfId="54705" xr:uid="{00000000-0005-0000-0000-0000ADD50000}"/>
    <cellStyle name="Output 102 4 2" xfId="54706" xr:uid="{00000000-0005-0000-0000-0000AED50000}"/>
    <cellStyle name="Output 102 4 3" xfId="54707" xr:uid="{00000000-0005-0000-0000-0000AFD50000}"/>
    <cellStyle name="Output 102 5" xfId="54708" xr:uid="{00000000-0005-0000-0000-0000B0D50000}"/>
    <cellStyle name="Output 102 6" xfId="54709" xr:uid="{00000000-0005-0000-0000-0000B1D50000}"/>
    <cellStyle name="Output 103" xfId="54710" xr:uid="{00000000-0005-0000-0000-0000B2D50000}"/>
    <cellStyle name="Output 103 2" xfId="54711" xr:uid="{00000000-0005-0000-0000-0000B3D50000}"/>
    <cellStyle name="Output 103 2 2" xfId="54712" xr:uid="{00000000-0005-0000-0000-0000B4D50000}"/>
    <cellStyle name="Output 103 2 2 2" xfId="54713" xr:uid="{00000000-0005-0000-0000-0000B5D50000}"/>
    <cellStyle name="Output 103 2 3" xfId="54714" xr:uid="{00000000-0005-0000-0000-0000B6D50000}"/>
    <cellStyle name="Output 103 2 3 2" xfId="54715" xr:uid="{00000000-0005-0000-0000-0000B7D50000}"/>
    <cellStyle name="Output 103 2 3 3" xfId="54716" xr:uid="{00000000-0005-0000-0000-0000B8D50000}"/>
    <cellStyle name="Output 103 2 4" xfId="54717" xr:uid="{00000000-0005-0000-0000-0000B9D50000}"/>
    <cellStyle name="Output 103 2 5" xfId="54718" xr:uid="{00000000-0005-0000-0000-0000BAD50000}"/>
    <cellStyle name="Output 103 3" xfId="54719" xr:uid="{00000000-0005-0000-0000-0000BBD50000}"/>
    <cellStyle name="Output 103 3 2" xfId="54720" xr:uid="{00000000-0005-0000-0000-0000BCD50000}"/>
    <cellStyle name="Output 103 4" xfId="54721" xr:uid="{00000000-0005-0000-0000-0000BDD50000}"/>
    <cellStyle name="Output 103 4 2" xfId="54722" xr:uid="{00000000-0005-0000-0000-0000BED50000}"/>
    <cellStyle name="Output 103 4 3" xfId="54723" xr:uid="{00000000-0005-0000-0000-0000BFD50000}"/>
    <cellStyle name="Output 103 5" xfId="54724" xr:uid="{00000000-0005-0000-0000-0000C0D50000}"/>
    <cellStyle name="Output 103 6" xfId="54725" xr:uid="{00000000-0005-0000-0000-0000C1D50000}"/>
    <cellStyle name="Output 104" xfId="54726" xr:uid="{00000000-0005-0000-0000-0000C2D50000}"/>
    <cellStyle name="Output 104 2" xfId="54727" xr:uid="{00000000-0005-0000-0000-0000C3D50000}"/>
    <cellStyle name="Output 104 2 2" xfId="54728" xr:uid="{00000000-0005-0000-0000-0000C4D50000}"/>
    <cellStyle name="Output 104 2 2 2" xfId="54729" xr:uid="{00000000-0005-0000-0000-0000C5D50000}"/>
    <cellStyle name="Output 104 2 3" xfId="54730" xr:uid="{00000000-0005-0000-0000-0000C6D50000}"/>
    <cellStyle name="Output 104 2 3 2" xfId="54731" xr:uid="{00000000-0005-0000-0000-0000C7D50000}"/>
    <cellStyle name="Output 104 2 3 3" xfId="54732" xr:uid="{00000000-0005-0000-0000-0000C8D50000}"/>
    <cellStyle name="Output 104 2 4" xfId="54733" xr:uid="{00000000-0005-0000-0000-0000C9D50000}"/>
    <cellStyle name="Output 104 2 5" xfId="54734" xr:uid="{00000000-0005-0000-0000-0000CAD50000}"/>
    <cellStyle name="Output 104 3" xfId="54735" xr:uid="{00000000-0005-0000-0000-0000CBD50000}"/>
    <cellStyle name="Output 104 3 2" xfId="54736" xr:uid="{00000000-0005-0000-0000-0000CCD50000}"/>
    <cellStyle name="Output 104 4" xfId="54737" xr:uid="{00000000-0005-0000-0000-0000CDD50000}"/>
    <cellStyle name="Output 104 4 2" xfId="54738" xr:uid="{00000000-0005-0000-0000-0000CED50000}"/>
    <cellStyle name="Output 104 4 3" xfId="54739" xr:uid="{00000000-0005-0000-0000-0000CFD50000}"/>
    <cellStyle name="Output 104 5" xfId="54740" xr:uid="{00000000-0005-0000-0000-0000D0D50000}"/>
    <cellStyle name="Output 104 6" xfId="54741" xr:uid="{00000000-0005-0000-0000-0000D1D50000}"/>
    <cellStyle name="Output 105" xfId="54742" xr:uid="{00000000-0005-0000-0000-0000D2D50000}"/>
    <cellStyle name="Output 105 2" xfId="54743" xr:uid="{00000000-0005-0000-0000-0000D3D50000}"/>
    <cellStyle name="Output 105 2 2" xfId="54744" xr:uid="{00000000-0005-0000-0000-0000D4D50000}"/>
    <cellStyle name="Output 105 2 2 2" xfId="54745" xr:uid="{00000000-0005-0000-0000-0000D5D50000}"/>
    <cellStyle name="Output 105 2 3" xfId="54746" xr:uid="{00000000-0005-0000-0000-0000D6D50000}"/>
    <cellStyle name="Output 105 2 3 2" xfId="54747" xr:uid="{00000000-0005-0000-0000-0000D7D50000}"/>
    <cellStyle name="Output 105 2 3 3" xfId="54748" xr:uid="{00000000-0005-0000-0000-0000D8D50000}"/>
    <cellStyle name="Output 105 2 4" xfId="54749" xr:uid="{00000000-0005-0000-0000-0000D9D50000}"/>
    <cellStyle name="Output 105 2 5" xfId="54750" xr:uid="{00000000-0005-0000-0000-0000DAD50000}"/>
    <cellStyle name="Output 105 3" xfId="54751" xr:uid="{00000000-0005-0000-0000-0000DBD50000}"/>
    <cellStyle name="Output 105 3 2" xfId="54752" xr:uid="{00000000-0005-0000-0000-0000DCD50000}"/>
    <cellStyle name="Output 105 4" xfId="54753" xr:uid="{00000000-0005-0000-0000-0000DDD50000}"/>
    <cellStyle name="Output 105 4 2" xfId="54754" xr:uid="{00000000-0005-0000-0000-0000DED50000}"/>
    <cellStyle name="Output 105 4 3" xfId="54755" xr:uid="{00000000-0005-0000-0000-0000DFD50000}"/>
    <cellStyle name="Output 105 5" xfId="54756" xr:uid="{00000000-0005-0000-0000-0000E0D50000}"/>
    <cellStyle name="Output 105 6" xfId="54757" xr:uid="{00000000-0005-0000-0000-0000E1D50000}"/>
    <cellStyle name="Output 106" xfId="54758" xr:uid="{00000000-0005-0000-0000-0000E2D50000}"/>
    <cellStyle name="Output 106 2" xfId="54759" xr:uid="{00000000-0005-0000-0000-0000E3D50000}"/>
    <cellStyle name="Output 106 2 2" xfId="54760" xr:uid="{00000000-0005-0000-0000-0000E4D50000}"/>
    <cellStyle name="Output 106 2 2 2" xfId="54761" xr:uid="{00000000-0005-0000-0000-0000E5D50000}"/>
    <cellStyle name="Output 106 2 3" xfId="54762" xr:uid="{00000000-0005-0000-0000-0000E6D50000}"/>
    <cellStyle name="Output 106 2 3 2" xfId="54763" xr:uid="{00000000-0005-0000-0000-0000E7D50000}"/>
    <cellStyle name="Output 106 2 3 3" xfId="54764" xr:uid="{00000000-0005-0000-0000-0000E8D50000}"/>
    <cellStyle name="Output 106 2 4" xfId="54765" xr:uid="{00000000-0005-0000-0000-0000E9D50000}"/>
    <cellStyle name="Output 106 2 5" xfId="54766" xr:uid="{00000000-0005-0000-0000-0000EAD50000}"/>
    <cellStyle name="Output 106 3" xfId="54767" xr:uid="{00000000-0005-0000-0000-0000EBD50000}"/>
    <cellStyle name="Output 106 3 2" xfId="54768" xr:uid="{00000000-0005-0000-0000-0000ECD50000}"/>
    <cellStyle name="Output 106 4" xfId="54769" xr:uid="{00000000-0005-0000-0000-0000EDD50000}"/>
    <cellStyle name="Output 106 4 2" xfId="54770" xr:uid="{00000000-0005-0000-0000-0000EED50000}"/>
    <cellStyle name="Output 106 4 3" xfId="54771" xr:uid="{00000000-0005-0000-0000-0000EFD50000}"/>
    <cellStyle name="Output 106 5" xfId="54772" xr:uid="{00000000-0005-0000-0000-0000F0D50000}"/>
    <cellStyle name="Output 106 6" xfId="54773" xr:uid="{00000000-0005-0000-0000-0000F1D50000}"/>
    <cellStyle name="Output 107" xfId="54774" xr:uid="{00000000-0005-0000-0000-0000F2D50000}"/>
    <cellStyle name="Output 107 2" xfId="54775" xr:uid="{00000000-0005-0000-0000-0000F3D50000}"/>
    <cellStyle name="Output 107 2 2" xfId="54776" xr:uid="{00000000-0005-0000-0000-0000F4D50000}"/>
    <cellStyle name="Output 107 2 2 2" xfId="54777" xr:uid="{00000000-0005-0000-0000-0000F5D50000}"/>
    <cellStyle name="Output 107 2 3" xfId="54778" xr:uid="{00000000-0005-0000-0000-0000F6D50000}"/>
    <cellStyle name="Output 107 2 3 2" xfId="54779" xr:uid="{00000000-0005-0000-0000-0000F7D50000}"/>
    <cellStyle name="Output 107 2 3 3" xfId="54780" xr:uid="{00000000-0005-0000-0000-0000F8D50000}"/>
    <cellStyle name="Output 107 2 4" xfId="54781" xr:uid="{00000000-0005-0000-0000-0000F9D50000}"/>
    <cellStyle name="Output 107 2 5" xfId="54782" xr:uid="{00000000-0005-0000-0000-0000FAD50000}"/>
    <cellStyle name="Output 107 3" xfId="54783" xr:uid="{00000000-0005-0000-0000-0000FBD50000}"/>
    <cellStyle name="Output 107 3 2" xfId="54784" xr:uid="{00000000-0005-0000-0000-0000FCD50000}"/>
    <cellStyle name="Output 107 4" xfId="54785" xr:uid="{00000000-0005-0000-0000-0000FDD50000}"/>
    <cellStyle name="Output 107 4 2" xfId="54786" xr:uid="{00000000-0005-0000-0000-0000FED50000}"/>
    <cellStyle name="Output 107 4 3" xfId="54787" xr:uid="{00000000-0005-0000-0000-0000FFD50000}"/>
    <cellStyle name="Output 107 5" xfId="54788" xr:uid="{00000000-0005-0000-0000-000000D60000}"/>
    <cellStyle name="Output 107 6" xfId="54789" xr:uid="{00000000-0005-0000-0000-000001D60000}"/>
    <cellStyle name="Output 108" xfId="54790" xr:uid="{00000000-0005-0000-0000-000002D60000}"/>
    <cellStyle name="Output 108 2" xfId="54791" xr:uid="{00000000-0005-0000-0000-000003D60000}"/>
    <cellStyle name="Output 108 2 2" xfId="54792" xr:uid="{00000000-0005-0000-0000-000004D60000}"/>
    <cellStyle name="Output 108 2 2 2" xfId="54793" xr:uid="{00000000-0005-0000-0000-000005D60000}"/>
    <cellStyle name="Output 108 2 3" xfId="54794" xr:uid="{00000000-0005-0000-0000-000006D60000}"/>
    <cellStyle name="Output 108 2 3 2" xfId="54795" xr:uid="{00000000-0005-0000-0000-000007D60000}"/>
    <cellStyle name="Output 108 2 3 3" xfId="54796" xr:uid="{00000000-0005-0000-0000-000008D60000}"/>
    <cellStyle name="Output 108 2 4" xfId="54797" xr:uid="{00000000-0005-0000-0000-000009D60000}"/>
    <cellStyle name="Output 108 2 5" xfId="54798" xr:uid="{00000000-0005-0000-0000-00000AD60000}"/>
    <cellStyle name="Output 108 3" xfId="54799" xr:uid="{00000000-0005-0000-0000-00000BD60000}"/>
    <cellStyle name="Output 108 3 2" xfId="54800" xr:uid="{00000000-0005-0000-0000-00000CD60000}"/>
    <cellStyle name="Output 108 4" xfId="54801" xr:uid="{00000000-0005-0000-0000-00000DD60000}"/>
    <cellStyle name="Output 108 4 2" xfId="54802" xr:uid="{00000000-0005-0000-0000-00000ED60000}"/>
    <cellStyle name="Output 108 4 3" xfId="54803" xr:uid="{00000000-0005-0000-0000-00000FD60000}"/>
    <cellStyle name="Output 108 5" xfId="54804" xr:uid="{00000000-0005-0000-0000-000010D60000}"/>
    <cellStyle name="Output 108 6" xfId="54805" xr:uid="{00000000-0005-0000-0000-000011D60000}"/>
    <cellStyle name="Output 109" xfId="54806" xr:uid="{00000000-0005-0000-0000-000012D60000}"/>
    <cellStyle name="Output 109 2" xfId="54807" xr:uid="{00000000-0005-0000-0000-000013D60000}"/>
    <cellStyle name="Output 109 2 2" xfId="54808" xr:uid="{00000000-0005-0000-0000-000014D60000}"/>
    <cellStyle name="Output 109 2 2 2" xfId="54809" xr:uid="{00000000-0005-0000-0000-000015D60000}"/>
    <cellStyle name="Output 109 2 3" xfId="54810" xr:uid="{00000000-0005-0000-0000-000016D60000}"/>
    <cellStyle name="Output 109 2 3 2" xfId="54811" xr:uid="{00000000-0005-0000-0000-000017D60000}"/>
    <cellStyle name="Output 109 2 3 3" xfId="54812" xr:uid="{00000000-0005-0000-0000-000018D60000}"/>
    <cellStyle name="Output 109 2 4" xfId="54813" xr:uid="{00000000-0005-0000-0000-000019D60000}"/>
    <cellStyle name="Output 109 2 5" xfId="54814" xr:uid="{00000000-0005-0000-0000-00001AD60000}"/>
    <cellStyle name="Output 109 3" xfId="54815" xr:uid="{00000000-0005-0000-0000-00001BD60000}"/>
    <cellStyle name="Output 109 3 2" xfId="54816" xr:uid="{00000000-0005-0000-0000-00001CD60000}"/>
    <cellStyle name="Output 109 4" xfId="54817" xr:uid="{00000000-0005-0000-0000-00001DD60000}"/>
    <cellStyle name="Output 109 4 2" xfId="54818" xr:uid="{00000000-0005-0000-0000-00001ED60000}"/>
    <cellStyle name="Output 109 4 3" xfId="54819" xr:uid="{00000000-0005-0000-0000-00001FD60000}"/>
    <cellStyle name="Output 109 5" xfId="54820" xr:uid="{00000000-0005-0000-0000-000020D60000}"/>
    <cellStyle name="Output 109 6" xfId="54821" xr:uid="{00000000-0005-0000-0000-000021D60000}"/>
    <cellStyle name="Output 11" xfId="54822" xr:uid="{00000000-0005-0000-0000-000022D60000}"/>
    <cellStyle name="Output 11 2" xfId="54823" xr:uid="{00000000-0005-0000-0000-000023D60000}"/>
    <cellStyle name="Output 11 2 2" xfId="54824" xr:uid="{00000000-0005-0000-0000-000024D60000}"/>
    <cellStyle name="Output 11 2 2 2" xfId="54825" xr:uid="{00000000-0005-0000-0000-000025D60000}"/>
    <cellStyle name="Output 11 2 3" xfId="54826" xr:uid="{00000000-0005-0000-0000-000026D60000}"/>
    <cellStyle name="Output 11 2 3 2" xfId="54827" xr:uid="{00000000-0005-0000-0000-000027D60000}"/>
    <cellStyle name="Output 11 2 3 3" xfId="54828" xr:uid="{00000000-0005-0000-0000-000028D60000}"/>
    <cellStyle name="Output 11 2 4" xfId="54829" xr:uid="{00000000-0005-0000-0000-000029D60000}"/>
    <cellStyle name="Output 11 2 5" xfId="54830" xr:uid="{00000000-0005-0000-0000-00002AD60000}"/>
    <cellStyle name="Output 11 3" xfId="54831" xr:uid="{00000000-0005-0000-0000-00002BD60000}"/>
    <cellStyle name="Output 11 3 2" xfId="54832" xr:uid="{00000000-0005-0000-0000-00002CD60000}"/>
    <cellStyle name="Output 11 4" xfId="54833" xr:uid="{00000000-0005-0000-0000-00002DD60000}"/>
    <cellStyle name="Output 11 4 2" xfId="54834" xr:uid="{00000000-0005-0000-0000-00002ED60000}"/>
    <cellStyle name="Output 11 4 3" xfId="54835" xr:uid="{00000000-0005-0000-0000-00002FD60000}"/>
    <cellStyle name="Output 11 5" xfId="54836" xr:uid="{00000000-0005-0000-0000-000030D60000}"/>
    <cellStyle name="Output 11 6" xfId="54837" xr:uid="{00000000-0005-0000-0000-000031D60000}"/>
    <cellStyle name="Output 110" xfId="54838" xr:uid="{00000000-0005-0000-0000-000032D60000}"/>
    <cellStyle name="Output 110 2" xfId="54839" xr:uid="{00000000-0005-0000-0000-000033D60000}"/>
    <cellStyle name="Output 110 2 2" xfId="54840" xr:uid="{00000000-0005-0000-0000-000034D60000}"/>
    <cellStyle name="Output 110 2 2 2" xfId="54841" xr:uid="{00000000-0005-0000-0000-000035D60000}"/>
    <cellStyle name="Output 110 2 3" xfId="54842" xr:uid="{00000000-0005-0000-0000-000036D60000}"/>
    <cellStyle name="Output 110 2 3 2" xfId="54843" xr:uid="{00000000-0005-0000-0000-000037D60000}"/>
    <cellStyle name="Output 110 2 3 3" xfId="54844" xr:uid="{00000000-0005-0000-0000-000038D60000}"/>
    <cellStyle name="Output 110 2 4" xfId="54845" xr:uid="{00000000-0005-0000-0000-000039D60000}"/>
    <cellStyle name="Output 110 2 5" xfId="54846" xr:uid="{00000000-0005-0000-0000-00003AD60000}"/>
    <cellStyle name="Output 110 3" xfId="54847" xr:uid="{00000000-0005-0000-0000-00003BD60000}"/>
    <cellStyle name="Output 110 3 2" xfId="54848" xr:uid="{00000000-0005-0000-0000-00003CD60000}"/>
    <cellStyle name="Output 110 4" xfId="54849" xr:uid="{00000000-0005-0000-0000-00003DD60000}"/>
    <cellStyle name="Output 110 4 2" xfId="54850" xr:uid="{00000000-0005-0000-0000-00003ED60000}"/>
    <cellStyle name="Output 110 4 3" xfId="54851" xr:uid="{00000000-0005-0000-0000-00003FD60000}"/>
    <cellStyle name="Output 110 5" xfId="54852" xr:uid="{00000000-0005-0000-0000-000040D60000}"/>
    <cellStyle name="Output 110 6" xfId="54853" xr:uid="{00000000-0005-0000-0000-000041D60000}"/>
    <cellStyle name="Output 111" xfId="54854" xr:uid="{00000000-0005-0000-0000-000042D60000}"/>
    <cellStyle name="Output 111 2" xfId="54855" xr:uid="{00000000-0005-0000-0000-000043D60000}"/>
    <cellStyle name="Output 111 2 2" xfId="54856" xr:uid="{00000000-0005-0000-0000-000044D60000}"/>
    <cellStyle name="Output 111 2 2 2" xfId="54857" xr:uid="{00000000-0005-0000-0000-000045D60000}"/>
    <cellStyle name="Output 111 2 3" xfId="54858" xr:uid="{00000000-0005-0000-0000-000046D60000}"/>
    <cellStyle name="Output 111 2 3 2" xfId="54859" xr:uid="{00000000-0005-0000-0000-000047D60000}"/>
    <cellStyle name="Output 111 2 3 3" xfId="54860" xr:uid="{00000000-0005-0000-0000-000048D60000}"/>
    <cellStyle name="Output 111 2 4" xfId="54861" xr:uid="{00000000-0005-0000-0000-000049D60000}"/>
    <cellStyle name="Output 111 2 5" xfId="54862" xr:uid="{00000000-0005-0000-0000-00004AD60000}"/>
    <cellStyle name="Output 111 3" xfId="54863" xr:uid="{00000000-0005-0000-0000-00004BD60000}"/>
    <cellStyle name="Output 111 3 2" xfId="54864" xr:uid="{00000000-0005-0000-0000-00004CD60000}"/>
    <cellStyle name="Output 111 4" xfId="54865" xr:uid="{00000000-0005-0000-0000-00004DD60000}"/>
    <cellStyle name="Output 111 4 2" xfId="54866" xr:uid="{00000000-0005-0000-0000-00004ED60000}"/>
    <cellStyle name="Output 111 4 3" xfId="54867" xr:uid="{00000000-0005-0000-0000-00004FD60000}"/>
    <cellStyle name="Output 111 5" xfId="54868" xr:uid="{00000000-0005-0000-0000-000050D60000}"/>
    <cellStyle name="Output 111 6" xfId="54869" xr:uid="{00000000-0005-0000-0000-000051D60000}"/>
    <cellStyle name="Output 112" xfId="54870" xr:uid="{00000000-0005-0000-0000-000052D60000}"/>
    <cellStyle name="Output 112 2" xfId="54871" xr:uid="{00000000-0005-0000-0000-000053D60000}"/>
    <cellStyle name="Output 112 2 2" xfId="54872" xr:uid="{00000000-0005-0000-0000-000054D60000}"/>
    <cellStyle name="Output 112 2 2 2" xfId="54873" xr:uid="{00000000-0005-0000-0000-000055D60000}"/>
    <cellStyle name="Output 112 2 3" xfId="54874" xr:uid="{00000000-0005-0000-0000-000056D60000}"/>
    <cellStyle name="Output 112 2 3 2" xfId="54875" xr:uid="{00000000-0005-0000-0000-000057D60000}"/>
    <cellStyle name="Output 112 2 3 3" xfId="54876" xr:uid="{00000000-0005-0000-0000-000058D60000}"/>
    <cellStyle name="Output 112 2 4" xfId="54877" xr:uid="{00000000-0005-0000-0000-000059D60000}"/>
    <cellStyle name="Output 112 2 5" xfId="54878" xr:uid="{00000000-0005-0000-0000-00005AD60000}"/>
    <cellStyle name="Output 112 3" xfId="54879" xr:uid="{00000000-0005-0000-0000-00005BD60000}"/>
    <cellStyle name="Output 112 3 2" xfId="54880" xr:uid="{00000000-0005-0000-0000-00005CD60000}"/>
    <cellStyle name="Output 112 4" xfId="54881" xr:uid="{00000000-0005-0000-0000-00005DD60000}"/>
    <cellStyle name="Output 112 4 2" xfId="54882" xr:uid="{00000000-0005-0000-0000-00005ED60000}"/>
    <cellStyle name="Output 112 4 3" xfId="54883" xr:uid="{00000000-0005-0000-0000-00005FD60000}"/>
    <cellStyle name="Output 112 5" xfId="54884" xr:uid="{00000000-0005-0000-0000-000060D60000}"/>
    <cellStyle name="Output 112 6" xfId="54885" xr:uid="{00000000-0005-0000-0000-000061D60000}"/>
    <cellStyle name="Output 113" xfId="54886" xr:uid="{00000000-0005-0000-0000-000062D60000}"/>
    <cellStyle name="Output 113 2" xfId="54887" xr:uid="{00000000-0005-0000-0000-000063D60000}"/>
    <cellStyle name="Output 113 2 2" xfId="54888" xr:uid="{00000000-0005-0000-0000-000064D60000}"/>
    <cellStyle name="Output 113 2 2 2" xfId="54889" xr:uid="{00000000-0005-0000-0000-000065D60000}"/>
    <cellStyle name="Output 113 2 3" xfId="54890" xr:uid="{00000000-0005-0000-0000-000066D60000}"/>
    <cellStyle name="Output 113 2 3 2" xfId="54891" xr:uid="{00000000-0005-0000-0000-000067D60000}"/>
    <cellStyle name="Output 113 2 3 3" xfId="54892" xr:uid="{00000000-0005-0000-0000-000068D60000}"/>
    <cellStyle name="Output 113 2 4" xfId="54893" xr:uid="{00000000-0005-0000-0000-000069D60000}"/>
    <cellStyle name="Output 113 2 5" xfId="54894" xr:uid="{00000000-0005-0000-0000-00006AD60000}"/>
    <cellStyle name="Output 113 3" xfId="54895" xr:uid="{00000000-0005-0000-0000-00006BD60000}"/>
    <cellStyle name="Output 113 3 2" xfId="54896" xr:uid="{00000000-0005-0000-0000-00006CD60000}"/>
    <cellStyle name="Output 113 4" xfId="54897" xr:uid="{00000000-0005-0000-0000-00006DD60000}"/>
    <cellStyle name="Output 113 4 2" xfId="54898" xr:uid="{00000000-0005-0000-0000-00006ED60000}"/>
    <cellStyle name="Output 113 4 3" xfId="54899" xr:uid="{00000000-0005-0000-0000-00006FD60000}"/>
    <cellStyle name="Output 113 5" xfId="54900" xr:uid="{00000000-0005-0000-0000-000070D60000}"/>
    <cellStyle name="Output 113 6" xfId="54901" xr:uid="{00000000-0005-0000-0000-000071D60000}"/>
    <cellStyle name="Output 114" xfId="54902" xr:uid="{00000000-0005-0000-0000-000072D60000}"/>
    <cellStyle name="Output 114 2" xfId="54903" xr:uid="{00000000-0005-0000-0000-000073D60000}"/>
    <cellStyle name="Output 114 2 2" xfId="54904" xr:uid="{00000000-0005-0000-0000-000074D60000}"/>
    <cellStyle name="Output 114 2 2 2" xfId="54905" xr:uid="{00000000-0005-0000-0000-000075D60000}"/>
    <cellStyle name="Output 114 2 3" xfId="54906" xr:uid="{00000000-0005-0000-0000-000076D60000}"/>
    <cellStyle name="Output 114 2 3 2" xfId="54907" xr:uid="{00000000-0005-0000-0000-000077D60000}"/>
    <cellStyle name="Output 114 2 3 3" xfId="54908" xr:uid="{00000000-0005-0000-0000-000078D60000}"/>
    <cellStyle name="Output 114 2 4" xfId="54909" xr:uid="{00000000-0005-0000-0000-000079D60000}"/>
    <cellStyle name="Output 114 2 5" xfId="54910" xr:uid="{00000000-0005-0000-0000-00007AD60000}"/>
    <cellStyle name="Output 114 3" xfId="54911" xr:uid="{00000000-0005-0000-0000-00007BD60000}"/>
    <cellStyle name="Output 114 3 2" xfId="54912" xr:uid="{00000000-0005-0000-0000-00007CD60000}"/>
    <cellStyle name="Output 114 4" xfId="54913" xr:uid="{00000000-0005-0000-0000-00007DD60000}"/>
    <cellStyle name="Output 114 4 2" xfId="54914" xr:uid="{00000000-0005-0000-0000-00007ED60000}"/>
    <cellStyle name="Output 114 4 3" xfId="54915" xr:uid="{00000000-0005-0000-0000-00007FD60000}"/>
    <cellStyle name="Output 114 5" xfId="54916" xr:uid="{00000000-0005-0000-0000-000080D60000}"/>
    <cellStyle name="Output 114 6" xfId="54917" xr:uid="{00000000-0005-0000-0000-000081D60000}"/>
    <cellStyle name="Output 115" xfId="54918" xr:uid="{00000000-0005-0000-0000-000082D60000}"/>
    <cellStyle name="Output 115 2" xfId="54919" xr:uid="{00000000-0005-0000-0000-000083D60000}"/>
    <cellStyle name="Output 115 2 2" xfId="54920" xr:uid="{00000000-0005-0000-0000-000084D60000}"/>
    <cellStyle name="Output 115 2 2 2" xfId="54921" xr:uid="{00000000-0005-0000-0000-000085D60000}"/>
    <cellStyle name="Output 115 2 3" xfId="54922" xr:uid="{00000000-0005-0000-0000-000086D60000}"/>
    <cellStyle name="Output 115 2 3 2" xfId="54923" xr:uid="{00000000-0005-0000-0000-000087D60000}"/>
    <cellStyle name="Output 115 2 3 3" xfId="54924" xr:uid="{00000000-0005-0000-0000-000088D60000}"/>
    <cellStyle name="Output 115 2 4" xfId="54925" xr:uid="{00000000-0005-0000-0000-000089D60000}"/>
    <cellStyle name="Output 115 2 5" xfId="54926" xr:uid="{00000000-0005-0000-0000-00008AD60000}"/>
    <cellStyle name="Output 115 3" xfId="54927" xr:uid="{00000000-0005-0000-0000-00008BD60000}"/>
    <cellStyle name="Output 115 3 2" xfId="54928" xr:uid="{00000000-0005-0000-0000-00008CD60000}"/>
    <cellStyle name="Output 115 4" xfId="54929" xr:uid="{00000000-0005-0000-0000-00008DD60000}"/>
    <cellStyle name="Output 115 4 2" xfId="54930" xr:uid="{00000000-0005-0000-0000-00008ED60000}"/>
    <cellStyle name="Output 115 4 3" xfId="54931" xr:uid="{00000000-0005-0000-0000-00008FD60000}"/>
    <cellStyle name="Output 115 5" xfId="54932" xr:uid="{00000000-0005-0000-0000-000090D60000}"/>
    <cellStyle name="Output 115 6" xfId="54933" xr:uid="{00000000-0005-0000-0000-000091D60000}"/>
    <cellStyle name="Output 116" xfId="54934" xr:uid="{00000000-0005-0000-0000-000092D60000}"/>
    <cellStyle name="Output 116 2" xfId="54935" xr:uid="{00000000-0005-0000-0000-000093D60000}"/>
    <cellStyle name="Output 116 2 2" xfId="54936" xr:uid="{00000000-0005-0000-0000-000094D60000}"/>
    <cellStyle name="Output 116 2 2 2" xfId="54937" xr:uid="{00000000-0005-0000-0000-000095D60000}"/>
    <cellStyle name="Output 116 2 3" xfId="54938" xr:uid="{00000000-0005-0000-0000-000096D60000}"/>
    <cellStyle name="Output 116 2 3 2" xfId="54939" xr:uid="{00000000-0005-0000-0000-000097D60000}"/>
    <cellStyle name="Output 116 2 3 3" xfId="54940" xr:uid="{00000000-0005-0000-0000-000098D60000}"/>
    <cellStyle name="Output 116 2 4" xfId="54941" xr:uid="{00000000-0005-0000-0000-000099D60000}"/>
    <cellStyle name="Output 116 2 5" xfId="54942" xr:uid="{00000000-0005-0000-0000-00009AD60000}"/>
    <cellStyle name="Output 116 3" xfId="54943" xr:uid="{00000000-0005-0000-0000-00009BD60000}"/>
    <cellStyle name="Output 116 3 2" xfId="54944" xr:uid="{00000000-0005-0000-0000-00009CD60000}"/>
    <cellStyle name="Output 116 4" xfId="54945" xr:uid="{00000000-0005-0000-0000-00009DD60000}"/>
    <cellStyle name="Output 116 4 2" xfId="54946" xr:uid="{00000000-0005-0000-0000-00009ED60000}"/>
    <cellStyle name="Output 116 4 3" xfId="54947" xr:uid="{00000000-0005-0000-0000-00009FD60000}"/>
    <cellStyle name="Output 116 5" xfId="54948" xr:uid="{00000000-0005-0000-0000-0000A0D60000}"/>
    <cellStyle name="Output 116 6" xfId="54949" xr:uid="{00000000-0005-0000-0000-0000A1D60000}"/>
    <cellStyle name="Output 117" xfId="54950" xr:uid="{00000000-0005-0000-0000-0000A2D60000}"/>
    <cellStyle name="Output 117 2" xfId="54951" xr:uid="{00000000-0005-0000-0000-0000A3D60000}"/>
    <cellStyle name="Output 117 2 2" xfId="54952" xr:uid="{00000000-0005-0000-0000-0000A4D60000}"/>
    <cellStyle name="Output 117 2 2 2" xfId="54953" xr:uid="{00000000-0005-0000-0000-0000A5D60000}"/>
    <cellStyle name="Output 117 2 3" xfId="54954" xr:uid="{00000000-0005-0000-0000-0000A6D60000}"/>
    <cellStyle name="Output 117 2 3 2" xfId="54955" xr:uid="{00000000-0005-0000-0000-0000A7D60000}"/>
    <cellStyle name="Output 117 2 3 3" xfId="54956" xr:uid="{00000000-0005-0000-0000-0000A8D60000}"/>
    <cellStyle name="Output 117 2 4" xfId="54957" xr:uid="{00000000-0005-0000-0000-0000A9D60000}"/>
    <cellStyle name="Output 117 2 5" xfId="54958" xr:uid="{00000000-0005-0000-0000-0000AAD60000}"/>
    <cellStyle name="Output 117 3" xfId="54959" xr:uid="{00000000-0005-0000-0000-0000ABD60000}"/>
    <cellStyle name="Output 117 3 2" xfId="54960" xr:uid="{00000000-0005-0000-0000-0000ACD60000}"/>
    <cellStyle name="Output 117 4" xfId="54961" xr:uid="{00000000-0005-0000-0000-0000ADD60000}"/>
    <cellStyle name="Output 117 4 2" xfId="54962" xr:uid="{00000000-0005-0000-0000-0000AED60000}"/>
    <cellStyle name="Output 117 4 3" xfId="54963" xr:uid="{00000000-0005-0000-0000-0000AFD60000}"/>
    <cellStyle name="Output 117 5" xfId="54964" xr:uid="{00000000-0005-0000-0000-0000B0D60000}"/>
    <cellStyle name="Output 117 6" xfId="54965" xr:uid="{00000000-0005-0000-0000-0000B1D60000}"/>
    <cellStyle name="Output 118" xfId="54966" xr:uid="{00000000-0005-0000-0000-0000B2D60000}"/>
    <cellStyle name="Output 118 2" xfId="54967" xr:uid="{00000000-0005-0000-0000-0000B3D60000}"/>
    <cellStyle name="Output 118 2 2" xfId="54968" xr:uid="{00000000-0005-0000-0000-0000B4D60000}"/>
    <cellStyle name="Output 118 2 2 2" xfId="54969" xr:uid="{00000000-0005-0000-0000-0000B5D60000}"/>
    <cellStyle name="Output 118 2 3" xfId="54970" xr:uid="{00000000-0005-0000-0000-0000B6D60000}"/>
    <cellStyle name="Output 118 2 3 2" xfId="54971" xr:uid="{00000000-0005-0000-0000-0000B7D60000}"/>
    <cellStyle name="Output 118 2 3 3" xfId="54972" xr:uid="{00000000-0005-0000-0000-0000B8D60000}"/>
    <cellStyle name="Output 118 2 4" xfId="54973" xr:uid="{00000000-0005-0000-0000-0000B9D60000}"/>
    <cellStyle name="Output 118 2 5" xfId="54974" xr:uid="{00000000-0005-0000-0000-0000BAD60000}"/>
    <cellStyle name="Output 118 3" xfId="54975" xr:uid="{00000000-0005-0000-0000-0000BBD60000}"/>
    <cellStyle name="Output 118 3 2" xfId="54976" xr:uid="{00000000-0005-0000-0000-0000BCD60000}"/>
    <cellStyle name="Output 118 4" xfId="54977" xr:uid="{00000000-0005-0000-0000-0000BDD60000}"/>
    <cellStyle name="Output 118 4 2" xfId="54978" xr:uid="{00000000-0005-0000-0000-0000BED60000}"/>
    <cellStyle name="Output 118 4 3" xfId="54979" xr:uid="{00000000-0005-0000-0000-0000BFD60000}"/>
    <cellStyle name="Output 118 5" xfId="54980" xr:uid="{00000000-0005-0000-0000-0000C0D60000}"/>
    <cellStyle name="Output 118 6" xfId="54981" xr:uid="{00000000-0005-0000-0000-0000C1D60000}"/>
    <cellStyle name="Output 119" xfId="54982" xr:uid="{00000000-0005-0000-0000-0000C2D60000}"/>
    <cellStyle name="Output 119 2" xfId="54983" xr:uid="{00000000-0005-0000-0000-0000C3D60000}"/>
    <cellStyle name="Output 119 2 2" xfId="54984" xr:uid="{00000000-0005-0000-0000-0000C4D60000}"/>
    <cellStyle name="Output 119 2 2 2" xfId="54985" xr:uid="{00000000-0005-0000-0000-0000C5D60000}"/>
    <cellStyle name="Output 119 2 3" xfId="54986" xr:uid="{00000000-0005-0000-0000-0000C6D60000}"/>
    <cellStyle name="Output 119 2 3 2" xfId="54987" xr:uid="{00000000-0005-0000-0000-0000C7D60000}"/>
    <cellStyle name="Output 119 2 3 3" xfId="54988" xr:uid="{00000000-0005-0000-0000-0000C8D60000}"/>
    <cellStyle name="Output 119 2 4" xfId="54989" xr:uid="{00000000-0005-0000-0000-0000C9D60000}"/>
    <cellStyle name="Output 119 2 5" xfId="54990" xr:uid="{00000000-0005-0000-0000-0000CAD60000}"/>
    <cellStyle name="Output 119 3" xfId="54991" xr:uid="{00000000-0005-0000-0000-0000CBD60000}"/>
    <cellStyle name="Output 119 3 2" xfId="54992" xr:uid="{00000000-0005-0000-0000-0000CCD60000}"/>
    <cellStyle name="Output 119 4" xfId="54993" xr:uid="{00000000-0005-0000-0000-0000CDD60000}"/>
    <cellStyle name="Output 119 4 2" xfId="54994" xr:uid="{00000000-0005-0000-0000-0000CED60000}"/>
    <cellStyle name="Output 119 4 3" xfId="54995" xr:uid="{00000000-0005-0000-0000-0000CFD60000}"/>
    <cellStyle name="Output 119 5" xfId="54996" xr:uid="{00000000-0005-0000-0000-0000D0D60000}"/>
    <cellStyle name="Output 119 6" xfId="54997" xr:uid="{00000000-0005-0000-0000-0000D1D60000}"/>
    <cellStyle name="Output 12" xfId="54998" xr:uid="{00000000-0005-0000-0000-0000D2D60000}"/>
    <cellStyle name="Output 12 2" xfId="54999" xr:uid="{00000000-0005-0000-0000-0000D3D60000}"/>
    <cellStyle name="Output 12 2 2" xfId="55000" xr:uid="{00000000-0005-0000-0000-0000D4D60000}"/>
    <cellStyle name="Output 12 2 2 2" xfId="55001" xr:uid="{00000000-0005-0000-0000-0000D5D60000}"/>
    <cellStyle name="Output 12 2 3" xfId="55002" xr:uid="{00000000-0005-0000-0000-0000D6D60000}"/>
    <cellStyle name="Output 12 2 3 2" xfId="55003" xr:uid="{00000000-0005-0000-0000-0000D7D60000}"/>
    <cellStyle name="Output 12 2 3 3" xfId="55004" xr:uid="{00000000-0005-0000-0000-0000D8D60000}"/>
    <cellStyle name="Output 12 2 4" xfId="55005" xr:uid="{00000000-0005-0000-0000-0000D9D60000}"/>
    <cellStyle name="Output 12 2 5" xfId="55006" xr:uid="{00000000-0005-0000-0000-0000DAD60000}"/>
    <cellStyle name="Output 12 3" xfId="55007" xr:uid="{00000000-0005-0000-0000-0000DBD60000}"/>
    <cellStyle name="Output 12 3 2" xfId="55008" xr:uid="{00000000-0005-0000-0000-0000DCD60000}"/>
    <cellStyle name="Output 12 4" xfId="55009" xr:uid="{00000000-0005-0000-0000-0000DDD60000}"/>
    <cellStyle name="Output 12 4 2" xfId="55010" xr:uid="{00000000-0005-0000-0000-0000DED60000}"/>
    <cellStyle name="Output 12 4 3" xfId="55011" xr:uid="{00000000-0005-0000-0000-0000DFD60000}"/>
    <cellStyle name="Output 12 5" xfId="55012" xr:uid="{00000000-0005-0000-0000-0000E0D60000}"/>
    <cellStyle name="Output 12 6" xfId="55013" xr:uid="{00000000-0005-0000-0000-0000E1D60000}"/>
    <cellStyle name="Output 120" xfId="55014" xr:uid="{00000000-0005-0000-0000-0000E2D60000}"/>
    <cellStyle name="Output 120 2" xfId="55015" xr:uid="{00000000-0005-0000-0000-0000E3D60000}"/>
    <cellStyle name="Output 120 2 2" xfId="55016" xr:uid="{00000000-0005-0000-0000-0000E4D60000}"/>
    <cellStyle name="Output 120 2 2 2" xfId="55017" xr:uid="{00000000-0005-0000-0000-0000E5D60000}"/>
    <cellStyle name="Output 120 2 3" xfId="55018" xr:uid="{00000000-0005-0000-0000-0000E6D60000}"/>
    <cellStyle name="Output 120 2 3 2" xfId="55019" xr:uid="{00000000-0005-0000-0000-0000E7D60000}"/>
    <cellStyle name="Output 120 2 3 3" xfId="55020" xr:uid="{00000000-0005-0000-0000-0000E8D60000}"/>
    <cellStyle name="Output 120 2 4" xfId="55021" xr:uid="{00000000-0005-0000-0000-0000E9D60000}"/>
    <cellStyle name="Output 120 2 5" xfId="55022" xr:uid="{00000000-0005-0000-0000-0000EAD60000}"/>
    <cellStyle name="Output 120 3" xfId="55023" xr:uid="{00000000-0005-0000-0000-0000EBD60000}"/>
    <cellStyle name="Output 120 3 2" xfId="55024" xr:uid="{00000000-0005-0000-0000-0000ECD60000}"/>
    <cellStyle name="Output 120 4" xfId="55025" xr:uid="{00000000-0005-0000-0000-0000EDD60000}"/>
    <cellStyle name="Output 120 4 2" xfId="55026" xr:uid="{00000000-0005-0000-0000-0000EED60000}"/>
    <cellStyle name="Output 120 4 3" xfId="55027" xr:uid="{00000000-0005-0000-0000-0000EFD60000}"/>
    <cellStyle name="Output 120 5" xfId="55028" xr:uid="{00000000-0005-0000-0000-0000F0D60000}"/>
    <cellStyle name="Output 120 6" xfId="55029" xr:uid="{00000000-0005-0000-0000-0000F1D60000}"/>
    <cellStyle name="Output 121" xfId="55030" xr:uid="{00000000-0005-0000-0000-0000F2D60000}"/>
    <cellStyle name="Output 121 2" xfId="55031" xr:uid="{00000000-0005-0000-0000-0000F3D60000}"/>
    <cellStyle name="Output 121 2 2" xfId="55032" xr:uid="{00000000-0005-0000-0000-0000F4D60000}"/>
    <cellStyle name="Output 121 2 2 2" xfId="55033" xr:uid="{00000000-0005-0000-0000-0000F5D60000}"/>
    <cellStyle name="Output 121 2 3" xfId="55034" xr:uid="{00000000-0005-0000-0000-0000F6D60000}"/>
    <cellStyle name="Output 121 2 3 2" xfId="55035" xr:uid="{00000000-0005-0000-0000-0000F7D60000}"/>
    <cellStyle name="Output 121 2 3 3" xfId="55036" xr:uid="{00000000-0005-0000-0000-0000F8D60000}"/>
    <cellStyle name="Output 121 2 4" xfId="55037" xr:uid="{00000000-0005-0000-0000-0000F9D60000}"/>
    <cellStyle name="Output 121 2 5" xfId="55038" xr:uid="{00000000-0005-0000-0000-0000FAD60000}"/>
    <cellStyle name="Output 121 3" xfId="55039" xr:uid="{00000000-0005-0000-0000-0000FBD60000}"/>
    <cellStyle name="Output 121 3 2" xfId="55040" xr:uid="{00000000-0005-0000-0000-0000FCD60000}"/>
    <cellStyle name="Output 121 4" xfId="55041" xr:uid="{00000000-0005-0000-0000-0000FDD60000}"/>
    <cellStyle name="Output 121 4 2" xfId="55042" xr:uid="{00000000-0005-0000-0000-0000FED60000}"/>
    <cellStyle name="Output 121 4 3" xfId="55043" xr:uid="{00000000-0005-0000-0000-0000FFD60000}"/>
    <cellStyle name="Output 121 5" xfId="55044" xr:uid="{00000000-0005-0000-0000-000000D70000}"/>
    <cellStyle name="Output 121 6" xfId="55045" xr:uid="{00000000-0005-0000-0000-000001D70000}"/>
    <cellStyle name="Output 122" xfId="55046" xr:uid="{00000000-0005-0000-0000-000002D70000}"/>
    <cellStyle name="Output 122 2" xfId="55047" xr:uid="{00000000-0005-0000-0000-000003D70000}"/>
    <cellStyle name="Output 122 2 2" xfId="55048" xr:uid="{00000000-0005-0000-0000-000004D70000}"/>
    <cellStyle name="Output 122 2 2 2" xfId="55049" xr:uid="{00000000-0005-0000-0000-000005D70000}"/>
    <cellStyle name="Output 122 2 3" xfId="55050" xr:uid="{00000000-0005-0000-0000-000006D70000}"/>
    <cellStyle name="Output 122 2 3 2" xfId="55051" xr:uid="{00000000-0005-0000-0000-000007D70000}"/>
    <cellStyle name="Output 122 2 3 3" xfId="55052" xr:uid="{00000000-0005-0000-0000-000008D70000}"/>
    <cellStyle name="Output 122 2 4" xfId="55053" xr:uid="{00000000-0005-0000-0000-000009D70000}"/>
    <cellStyle name="Output 122 2 5" xfId="55054" xr:uid="{00000000-0005-0000-0000-00000AD70000}"/>
    <cellStyle name="Output 122 3" xfId="55055" xr:uid="{00000000-0005-0000-0000-00000BD70000}"/>
    <cellStyle name="Output 122 3 2" xfId="55056" xr:uid="{00000000-0005-0000-0000-00000CD70000}"/>
    <cellStyle name="Output 122 4" xfId="55057" xr:uid="{00000000-0005-0000-0000-00000DD70000}"/>
    <cellStyle name="Output 122 4 2" xfId="55058" xr:uid="{00000000-0005-0000-0000-00000ED70000}"/>
    <cellStyle name="Output 122 4 3" xfId="55059" xr:uid="{00000000-0005-0000-0000-00000FD70000}"/>
    <cellStyle name="Output 122 5" xfId="55060" xr:uid="{00000000-0005-0000-0000-000010D70000}"/>
    <cellStyle name="Output 122 6" xfId="55061" xr:uid="{00000000-0005-0000-0000-000011D70000}"/>
    <cellStyle name="Output 123" xfId="55062" xr:uid="{00000000-0005-0000-0000-000012D70000}"/>
    <cellStyle name="Output 123 2" xfId="55063" xr:uid="{00000000-0005-0000-0000-000013D70000}"/>
    <cellStyle name="Output 123 2 2" xfId="55064" xr:uid="{00000000-0005-0000-0000-000014D70000}"/>
    <cellStyle name="Output 123 2 2 2" xfId="55065" xr:uid="{00000000-0005-0000-0000-000015D70000}"/>
    <cellStyle name="Output 123 2 3" xfId="55066" xr:uid="{00000000-0005-0000-0000-000016D70000}"/>
    <cellStyle name="Output 123 2 3 2" xfId="55067" xr:uid="{00000000-0005-0000-0000-000017D70000}"/>
    <cellStyle name="Output 123 2 3 3" xfId="55068" xr:uid="{00000000-0005-0000-0000-000018D70000}"/>
    <cellStyle name="Output 123 2 4" xfId="55069" xr:uid="{00000000-0005-0000-0000-000019D70000}"/>
    <cellStyle name="Output 123 2 5" xfId="55070" xr:uid="{00000000-0005-0000-0000-00001AD70000}"/>
    <cellStyle name="Output 123 3" xfId="55071" xr:uid="{00000000-0005-0000-0000-00001BD70000}"/>
    <cellStyle name="Output 123 3 2" xfId="55072" xr:uid="{00000000-0005-0000-0000-00001CD70000}"/>
    <cellStyle name="Output 123 4" xfId="55073" xr:uid="{00000000-0005-0000-0000-00001DD70000}"/>
    <cellStyle name="Output 123 4 2" xfId="55074" xr:uid="{00000000-0005-0000-0000-00001ED70000}"/>
    <cellStyle name="Output 123 4 3" xfId="55075" xr:uid="{00000000-0005-0000-0000-00001FD70000}"/>
    <cellStyle name="Output 123 5" xfId="55076" xr:uid="{00000000-0005-0000-0000-000020D70000}"/>
    <cellStyle name="Output 123 6" xfId="55077" xr:uid="{00000000-0005-0000-0000-000021D70000}"/>
    <cellStyle name="Output 124" xfId="55078" xr:uid="{00000000-0005-0000-0000-000022D70000}"/>
    <cellStyle name="Output 124 2" xfId="55079" xr:uid="{00000000-0005-0000-0000-000023D70000}"/>
    <cellStyle name="Output 124 2 2" xfId="55080" xr:uid="{00000000-0005-0000-0000-000024D70000}"/>
    <cellStyle name="Output 124 2 2 2" xfId="55081" xr:uid="{00000000-0005-0000-0000-000025D70000}"/>
    <cellStyle name="Output 124 2 3" xfId="55082" xr:uid="{00000000-0005-0000-0000-000026D70000}"/>
    <cellStyle name="Output 124 2 3 2" xfId="55083" xr:uid="{00000000-0005-0000-0000-000027D70000}"/>
    <cellStyle name="Output 124 2 3 3" xfId="55084" xr:uid="{00000000-0005-0000-0000-000028D70000}"/>
    <cellStyle name="Output 124 2 4" xfId="55085" xr:uid="{00000000-0005-0000-0000-000029D70000}"/>
    <cellStyle name="Output 124 2 5" xfId="55086" xr:uid="{00000000-0005-0000-0000-00002AD70000}"/>
    <cellStyle name="Output 124 3" xfId="55087" xr:uid="{00000000-0005-0000-0000-00002BD70000}"/>
    <cellStyle name="Output 124 3 2" xfId="55088" xr:uid="{00000000-0005-0000-0000-00002CD70000}"/>
    <cellStyle name="Output 124 4" xfId="55089" xr:uid="{00000000-0005-0000-0000-00002DD70000}"/>
    <cellStyle name="Output 124 4 2" xfId="55090" xr:uid="{00000000-0005-0000-0000-00002ED70000}"/>
    <cellStyle name="Output 124 4 3" xfId="55091" xr:uid="{00000000-0005-0000-0000-00002FD70000}"/>
    <cellStyle name="Output 124 5" xfId="55092" xr:uid="{00000000-0005-0000-0000-000030D70000}"/>
    <cellStyle name="Output 124 6" xfId="55093" xr:uid="{00000000-0005-0000-0000-000031D70000}"/>
    <cellStyle name="Output 125" xfId="55094" xr:uid="{00000000-0005-0000-0000-000032D70000}"/>
    <cellStyle name="Output 125 2" xfId="55095" xr:uid="{00000000-0005-0000-0000-000033D70000}"/>
    <cellStyle name="Output 125 2 2" xfId="55096" xr:uid="{00000000-0005-0000-0000-000034D70000}"/>
    <cellStyle name="Output 125 2 2 2" xfId="55097" xr:uid="{00000000-0005-0000-0000-000035D70000}"/>
    <cellStyle name="Output 125 2 3" xfId="55098" xr:uid="{00000000-0005-0000-0000-000036D70000}"/>
    <cellStyle name="Output 125 2 3 2" xfId="55099" xr:uid="{00000000-0005-0000-0000-000037D70000}"/>
    <cellStyle name="Output 125 2 3 3" xfId="55100" xr:uid="{00000000-0005-0000-0000-000038D70000}"/>
    <cellStyle name="Output 125 2 4" xfId="55101" xr:uid="{00000000-0005-0000-0000-000039D70000}"/>
    <cellStyle name="Output 125 2 5" xfId="55102" xr:uid="{00000000-0005-0000-0000-00003AD70000}"/>
    <cellStyle name="Output 125 3" xfId="55103" xr:uid="{00000000-0005-0000-0000-00003BD70000}"/>
    <cellStyle name="Output 125 3 2" xfId="55104" xr:uid="{00000000-0005-0000-0000-00003CD70000}"/>
    <cellStyle name="Output 125 4" xfId="55105" xr:uid="{00000000-0005-0000-0000-00003DD70000}"/>
    <cellStyle name="Output 125 4 2" xfId="55106" xr:uid="{00000000-0005-0000-0000-00003ED70000}"/>
    <cellStyle name="Output 125 4 3" xfId="55107" xr:uid="{00000000-0005-0000-0000-00003FD70000}"/>
    <cellStyle name="Output 125 5" xfId="55108" xr:uid="{00000000-0005-0000-0000-000040D70000}"/>
    <cellStyle name="Output 125 6" xfId="55109" xr:uid="{00000000-0005-0000-0000-000041D70000}"/>
    <cellStyle name="Output 126" xfId="55110" xr:uid="{00000000-0005-0000-0000-000042D70000}"/>
    <cellStyle name="Output 126 2" xfId="55111" xr:uid="{00000000-0005-0000-0000-000043D70000}"/>
    <cellStyle name="Output 126 2 2" xfId="55112" xr:uid="{00000000-0005-0000-0000-000044D70000}"/>
    <cellStyle name="Output 126 2 2 2" xfId="55113" xr:uid="{00000000-0005-0000-0000-000045D70000}"/>
    <cellStyle name="Output 126 2 3" xfId="55114" xr:uid="{00000000-0005-0000-0000-000046D70000}"/>
    <cellStyle name="Output 126 2 3 2" xfId="55115" xr:uid="{00000000-0005-0000-0000-000047D70000}"/>
    <cellStyle name="Output 126 2 3 3" xfId="55116" xr:uid="{00000000-0005-0000-0000-000048D70000}"/>
    <cellStyle name="Output 126 2 4" xfId="55117" xr:uid="{00000000-0005-0000-0000-000049D70000}"/>
    <cellStyle name="Output 126 2 5" xfId="55118" xr:uid="{00000000-0005-0000-0000-00004AD70000}"/>
    <cellStyle name="Output 126 3" xfId="55119" xr:uid="{00000000-0005-0000-0000-00004BD70000}"/>
    <cellStyle name="Output 126 3 2" xfId="55120" xr:uid="{00000000-0005-0000-0000-00004CD70000}"/>
    <cellStyle name="Output 126 4" xfId="55121" xr:uid="{00000000-0005-0000-0000-00004DD70000}"/>
    <cellStyle name="Output 126 4 2" xfId="55122" xr:uid="{00000000-0005-0000-0000-00004ED70000}"/>
    <cellStyle name="Output 126 4 3" xfId="55123" xr:uid="{00000000-0005-0000-0000-00004FD70000}"/>
    <cellStyle name="Output 126 5" xfId="55124" xr:uid="{00000000-0005-0000-0000-000050D70000}"/>
    <cellStyle name="Output 126 6" xfId="55125" xr:uid="{00000000-0005-0000-0000-000051D70000}"/>
    <cellStyle name="Output 127" xfId="55126" xr:uid="{00000000-0005-0000-0000-000052D70000}"/>
    <cellStyle name="Output 127 2" xfId="55127" xr:uid="{00000000-0005-0000-0000-000053D70000}"/>
    <cellStyle name="Output 127 2 2" xfId="55128" xr:uid="{00000000-0005-0000-0000-000054D70000}"/>
    <cellStyle name="Output 127 2 2 2" xfId="55129" xr:uid="{00000000-0005-0000-0000-000055D70000}"/>
    <cellStyle name="Output 127 2 3" xfId="55130" xr:uid="{00000000-0005-0000-0000-000056D70000}"/>
    <cellStyle name="Output 127 2 3 2" xfId="55131" xr:uid="{00000000-0005-0000-0000-000057D70000}"/>
    <cellStyle name="Output 127 2 3 3" xfId="55132" xr:uid="{00000000-0005-0000-0000-000058D70000}"/>
    <cellStyle name="Output 127 2 4" xfId="55133" xr:uid="{00000000-0005-0000-0000-000059D70000}"/>
    <cellStyle name="Output 127 2 5" xfId="55134" xr:uid="{00000000-0005-0000-0000-00005AD70000}"/>
    <cellStyle name="Output 127 3" xfId="55135" xr:uid="{00000000-0005-0000-0000-00005BD70000}"/>
    <cellStyle name="Output 127 3 2" xfId="55136" xr:uid="{00000000-0005-0000-0000-00005CD70000}"/>
    <cellStyle name="Output 127 4" xfId="55137" xr:uid="{00000000-0005-0000-0000-00005DD70000}"/>
    <cellStyle name="Output 127 4 2" xfId="55138" xr:uid="{00000000-0005-0000-0000-00005ED70000}"/>
    <cellStyle name="Output 127 4 3" xfId="55139" xr:uid="{00000000-0005-0000-0000-00005FD70000}"/>
    <cellStyle name="Output 127 5" xfId="55140" xr:uid="{00000000-0005-0000-0000-000060D70000}"/>
    <cellStyle name="Output 127 6" xfId="55141" xr:uid="{00000000-0005-0000-0000-000061D70000}"/>
    <cellStyle name="Output 128" xfId="55142" xr:uid="{00000000-0005-0000-0000-000062D70000}"/>
    <cellStyle name="Output 128 2" xfId="55143" xr:uid="{00000000-0005-0000-0000-000063D70000}"/>
    <cellStyle name="Output 128 2 2" xfId="55144" xr:uid="{00000000-0005-0000-0000-000064D70000}"/>
    <cellStyle name="Output 128 2 2 2" xfId="55145" xr:uid="{00000000-0005-0000-0000-000065D70000}"/>
    <cellStyle name="Output 128 2 3" xfId="55146" xr:uid="{00000000-0005-0000-0000-000066D70000}"/>
    <cellStyle name="Output 128 2 3 2" xfId="55147" xr:uid="{00000000-0005-0000-0000-000067D70000}"/>
    <cellStyle name="Output 128 2 3 3" xfId="55148" xr:uid="{00000000-0005-0000-0000-000068D70000}"/>
    <cellStyle name="Output 128 2 4" xfId="55149" xr:uid="{00000000-0005-0000-0000-000069D70000}"/>
    <cellStyle name="Output 128 2 5" xfId="55150" xr:uid="{00000000-0005-0000-0000-00006AD70000}"/>
    <cellStyle name="Output 128 3" xfId="55151" xr:uid="{00000000-0005-0000-0000-00006BD70000}"/>
    <cellStyle name="Output 128 3 2" xfId="55152" xr:uid="{00000000-0005-0000-0000-00006CD70000}"/>
    <cellStyle name="Output 128 4" xfId="55153" xr:uid="{00000000-0005-0000-0000-00006DD70000}"/>
    <cellStyle name="Output 128 4 2" xfId="55154" xr:uid="{00000000-0005-0000-0000-00006ED70000}"/>
    <cellStyle name="Output 128 4 3" xfId="55155" xr:uid="{00000000-0005-0000-0000-00006FD70000}"/>
    <cellStyle name="Output 128 5" xfId="55156" xr:uid="{00000000-0005-0000-0000-000070D70000}"/>
    <cellStyle name="Output 128 6" xfId="55157" xr:uid="{00000000-0005-0000-0000-000071D70000}"/>
    <cellStyle name="Output 129" xfId="55158" xr:uid="{00000000-0005-0000-0000-000072D70000}"/>
    <cellStyle name="Output 129 2" xfId="55159" xr:uid="{00000000-0005-0000-0000-000073D70000}"/>
    <cellStyle name="Output 129 2 2" xfId="55160" xr:uid="{00000000-0005-0000-0000-000074D70000}"/>
    <cellStyle name="Output 129 2 2 2" xfId="55161" xr:uid="{00000000-0005-0000-0000-000075D70000}"/>
    <cellStyle name="Output 129 2 3" xfId="55162" xr:uid="{00000000-0005-0000-0000-000076D70000}"/>
    <cellStyle name="Output 129 2 3 2" xfId="55163" xr:uid="{00000000-0005-0000-0000-000077D70000}"/>
    <cellStyle name="Output 129 2 3 3" xfId="55164" xr:uid="{00000000-0005-0000-0000-000078D70000}"/>
    <cellStyle name="Output 129 2 4" xfId="55165" xr:uid="{00000000-0005-0000-0000-000079D70000}"/>
    <cellStyle name="Output 129 2 5" xfId="55166" xr:uid="{00000000-0005-0000-0000-00007AD70000}"/>
    <cellStyle name="Output 129 3" xfId="55167" xr:uid="{00000000-0005-0000-0000-00007BD70000}"/>
    <cellStyle name="Output 129 3 2" xfId="55168" xr:uid="{00000000-0005-0000-0000-00007CD70000}"/>
    <cellStyle name="Output 129 4" xfId="55169" xr:uid="{00000000-0005-0000-0000-00007DD70000}"/>
    <cellStyle name="Output 129 4 2" xfId="55170" xr:uid="{00000000-0005-0000-0000-00007ED70000}"/>
    <cellStyle name="Output 129 4 3" xfId="55171" xr:uid="{00000000-0005-0000-0000-00007FD70000}"/>
    <cellStyle name="Output 129 5" xfId="55172" xr:uid="{00000000-0005-0000-0000-000080D70000}"/>
    <cellStyle name="Output 129 6" xfId="55173" xr:uid="{00000000-0005-0000-0000-000081D70000}"/>
    <cellStyle name="Output 13" xfId="55174" xr:uid="{00000000-0005-0000-0000-000082D70000}"/>
    <cellStyle name="Output 13 2" xfId="55175" xr:uid="{00000000-0005-0000-0000-000083D70000}"/>
    <cellStyle name="Output 13 2 2" xfId="55176" xr:uid="{00000000-0005-0000-0000-000084D70000}"/>
    <cellStyle name="Output 13 2 2 2" xfId="55177" xr:uid="{00000000-0005-0000-0000-000085D70000}"/>
    <cellStyle name="Output 13 2 3" xfId="55178" xr:uid="{00000000-0005-0000-0000-000086D70000}"/>
    <cellStyle name="Output 13 2 3 2" xfId="55179" xr:uid="{00000000-0005-0000-0000-000087D70000}"/>
    <cellStyle name="Output 13 2 3 3" xfId="55180" xr:uid="{00000000-0005-0000-0000-000088D70000}"/>
    <cellStyle name="Output 13 2 4" xfId="55181" xr:uid="{00000000-0005-0000-0000-000089D70000}"/>
    <cellStyle name="Output 13 2 5" xfId="55182" xr:uid="{00000000-0005-0000-0000-00008AD70000}"/>
    <cellStyle name="Output 13 3" xfId="55183" xr:uid="{00000000-0005-0000-0000-00008BD70000}"/>
    <cellStyle name="Output 13 3 2" xfId="55184" xr:uid="{00000000-0005-0000-0000-00008CD70000}"/>
    <cellStyle name="Output 13 4" xfId="55185" xr:uid="{00000000-0005-0000-0000-00008DD70000}"/>
    <cellStyle name="Output 13 4 2" xfId="55186" xr:uid="{00000000-0005-0000-0000-00008ED70000}"/>
    <cellStyle name="Output 13 4 3" xfId="55187" xr:uid="{00000000-0005-0000-0000-00008FD70000}"/>
    <cellStyle name="Output 13 5" xfId="55188" xr:uid="{00000000-0005-0000-0000-000090D70000}"/>
    <cellStyle name="Output 13 6" xfId="55189" xr:uid="{00000000-0005-0000-0000-000091D70000}"/>
    <cellStyle name="Output 130" xfId="55190" xr:uid="{00000000-0005-0000-0000-000092D70000}"/>
    <cellStyle name="Output 130 2" xfId="55191" xr:uid="{00000000-0005-0000-0000-000093D70000}"/>
    <cellStyle name="Output 130 2 2" xfId="55192" xr:uid="{00000000-0005-0000-0000-000094D70000}"/>
    <cellStyle name="Output 130 2 2 2" xfId="55193" xr:uid="{00000000-0005-0000-0000-000095D70000}"/>
    <cellStyle name="Output 130 2 3" xfId="55194" xr:uid="{00000000-0005-0000-0000-000096D70000}"/>
    <cellStyle name="Output 130 2 3 2" xfId="55195" xr:uid="{00000000-0005-0000-0000-000097D70000}"/>
    <cellStyle name="Output 130 2 3 3" xfId="55196" xr:uid="{00000000-0005-0000-0000-000098D70000}"/>
    <cellStyle name="Output 130 2 4" xfId="55197" xr:uid="{00000000-0005-0000-0000-000099D70000}"/>
    <cellStyle name="Output 130 2 5" xfId="55198" xr:uid="{00000000-0005-0000-0000-00009AD70000}"/>
    <cellStyle name="Output 130 3" xfId="55199" xr:uid="{00000000-0005-0000-0000-00009BD70000}"/>
    <cellStyle name="Output 130 3 2" xfId="55200" xr:uid="{00000000-0005-0000-0000-00009CD70000}"/>
    <cellStyle name="Output 130 4" xfId="55201" xr:uid="{00000000-0005-0000-0000-00009DD70000}"/>
    <cellStyle name="Output 130 4 2" xfId="55202" xr:uid="{00000000-0005-0000-0000-00009ED70000}"/>
    <cellStyle name="Output 130 4 3" xfId="55203" xr:uid="{00000000-0005-0000-0000-00009FD70000}"/>
    <cellStyle name="Output 130 5" xfId="55204" xr:uid="{00000000-0005-0000-0000-0000A0D70000}"/>
    <cellStyle name="Output 130 6" xfId="55205" xr:uid="{00000000-0005-0000-0000-0000A1D70000}"/>
    <cellStyle name="Output 131" xfId="55206" xr:uid="{00000000-0005-0000-0000-0000A2D70000}"/>
    <cellStyle name="Output 131 2" xfId="55207" xr:uid="{00000000-0005-0000-0000-0000A3D70000}"/>
    <cellStyle name="Output 131 2 2" xfId="55208" xr:uid="{00000000-0005-0000-0000-0000A4D70000}"/>
    <cellStyle name="Output 131 2 2 2" xfId="55209" xr:uid="{00000000-0005-0000-0000-0000A5D70000}"/>
    <cellStyle name="Output 131 2 3" xfId="55210" xr:uid="{00000000-0005-0000-0000-0000A6D70000}"/>
    <cellStyle name="Output 131 2 3 2" xfId="55211" xr:uid="{00000000-0005-0000-0000-0000A7D70000}"/>
    <cellStyle name="Output 131 2 3 3" xfId="55212" xr:uid="{00000000-0005-0000-0000-0000A8D70000}"/>
    <cellStyle name="Output 131 2 4" xfId="55213" xr:uid="{00000000-0005-0000-0000-0000A9D70000}"/>
    <cellStyle name="Output 131 2 5" xfId="55214" xr:uid="{00000000-0005-0000-0000-0000AAD70000}"/>
    <cellStyle name="Output 131 3" xfId="55215" xr:uid="{00000000-0005-0000-0000-0000ABD70000}"/>
    <cellStyle name="Output 131 3 2" xfId="55216" xr:uid="{00000000-0005-0000-0000-0000ACD70000}"/>
    <cellStyle name="Output 131 4" xfId="55217" xr:uid="{00000000-0005-0000-0000-0000ADD70000}"/>
    <cellStyle name="Output 131 4 2" xfId="55218" xr:uid="{00000000-0005-0000-0000-0000AED70000}"/>
    <cellStyle name="Output 131 4 3" xfId="55219" xr:uid="{00000000-0005-0000-0000-0000AFD70000}"/>
    <cellStyle name="Output 131 5" xfId="55220" xr:uid="{00000000-0005-0000-0000-0000B0D70000}"/>
    <cellStyle name="Output 131 6" xfId="55221" xr:uid="{00000000-0005-0000-0000-0000B1D70000}"/>
    <cellStyle name="Output 132" xfId="55222" xr:uid="{00000000-0005-0000-0000-0000B2D70000}"/>
    <cellStyle name="Output 132 2" xfId="55223" xr:uid="{00000000-0005-0000-0000-0000B3D70000}"/>
    <cellStyle name="Output 132 2 2" xfId="55224" xr:uid="{00000000-0005-0000-0000-0000B4D70000}"/>
    <cellStyle name="Output 132 2 2 2" xfId="55225" xr:uid="{00000000-0005-0000-0000-0000B5D70000}"/>
    <cellStyle name="Output 132 2 3" xfId="55226" xr:uid="{00000000-0005-0000-0000-0000B6D70000}"/>
    <cellStyle name="Output 132 2 3 2" xfId="55227" xr:uid="{00000000-0005-0000-0000-0000B7D70000}"/>
    <cellStyle name="Output 132 2 3 3" xfId="55228" xr:uid="{00000000-0005-0000-0000-0000B8D70000}"/>
    <cellStyle name="Output 132 2 4" xfId="55229" xr:uid="{00000000-0005-0000-0000-0000B9D70000}"/>
    <cellStyle name="Output 132 2 5" xfId="55230" xr:uid="{00000000-0005-0000-0000-0000BAD70000}"/>
    <cellStyle name="Output 132 3" xfId="55231" xr:uid="{00000000-0005-0000-0000-0000BBD70000}"/>
    <cellStyle name="Output 132 3 2" xfId="55232" xr:uid="{00000000-0005-0000-0000-0000BCD70000}"/>
    <cellStyle name="Output 132 4" xfId="55233" xr:uid="{00000000-0005-0000-0000-0000BDD70000}"/>
    <cellStyle name="Output 132 4 2" xfId="55234" xr:uid="{00000000-0005-0000-0000-0000BED70000}"/>
    <cellStyle name="Output 132 4 3" xfId="55235" xr:uid="{00000000-0005-0000-0000-0000BFD70000}"/>
    <cellStyle name="Output 132 5" xfId="55236" xr:uid="{00000000-0005-0000-0000-0000C0D70000}"/>
    <cellStyle name="Output 132 6" xfId="55237" xr:uid="{00000000-0005-0000-0000-0000C1D70000}"/>
    <cellStyle name="Output 133" xfId="55238" xr:uid="{00000000-0005-0000-0000-0000C2D70000}"/>
    <cellStyle name="Output 133 2" xfId="55239" xr:uid="{00000000-0005-0000-0000-0000C3D70000}"/>
    <cellStyle name="Output 133 2 2" xfId="55240" xr:uid="{00000000-0005-0000-0000-0000C4D70000}"/>
    <cellStyle name="Output 133 2 2 2" xfId="55241" xr:uid="{00000000-0005-0000-0000-0000C5D70000}"/>
    <cellStyle name="Output 133 2 3" xfId="55242" xr:uid="{00000000-0005-0000-0000-0000C6D70000}"/>
    <cellStyle name="Output 133 2 3 2" xfId="55243" xr:uid="{00000000-0005-0000-0000-0000C7D70000}"/>
    <cellStyle name="Output 133 2 3 3" xfId="55244" xr:uid="{00000000-0005-0000-0000-0000C8D70000}"/>
    <cellStyle name="Output 133 2 4" xfId="55245" xr:uid="{00000000-0005-0000-0000-0000C9D70000}"/>
    <cellStyle name="Output 133 2 5" xfId="55246" xr:uid="{00000000-0005-0000-0000-0000CAD70000}"/>
    <cellStyle name="Output 133 3" xfId="55247" xr:uid="{00000000-0005-0000-0000-0000CBD70000}"/>
    <cellStyle name="Output 133 3 2" xfId="55248" xr:uid="{00000000-0005-0000-0000-0000CCD70000}"/>
    <cellStyle name="Output 133 4" xfId="55249" xr:uid="{00000000-0005-0000-0000-0000CDD70000}"/>
    <cellStyle name="Output 133 4 2" xfId="55250" xr:uid="{00000000-0005-0000-0000-0000CED70000}"/>
    <cellStyle name="Output 133 4 3" xfId="55251" xr:uid="{00000000-0005-0000-0000-0000CFD70000}"/>
    <cellStyle name="Output 133 5" xfId="55252" xr:uid="{00000000-0005-0000-0000-0000D0D70000}"/>
    <cellStyle name="Output 133 6" xfId="55253" xr:uid="{00000000-0005-0000-0000-0000D1D70000}"/>
    <cellStyle name="Output 134" xfId="55254" xr:uid="{00000000-0005-0000-0000-0000D2D70000}"/>
    <cellStyle name="Output 134 2" xfId="55255" xr:uid="{00000000-0005-0000-0000-0000D3D70000}"/>
    <cellStyle name="Output 134 2 2" xfId="55256" xr:uid="{00000000-0005-0000-0000-0000D4D70000}"/>
    <cellStyle name="Output 134 2 2 2" xfId="55257" xr:uid="{00000000-0005-0000-0000-0000D5D70000}"/>
    <cellStyle name="Output 134 2 3" xfId="55258" xr:uid="{00000000-0005-0000-0000-0000D6D70000}"/>
    <cellStyle name="Output 134 2 3 2" xfId="55259" xr:uid="{00000000-0005-0000-0000-0000D7D70000}"/>
    <cellStyle name="Output 134 2 3 3" xfId="55260" xr:uid="{00000000-0005-0000-0000-0000D8D70000}"/>
    <cellStyle name="Output 134 2 4" xfId="55261" xr:uid="{00000000-0005-0000-0000-0000D9D70000}"/>
    <cellStyle name="Output 134 2 5" xfId="55262" xr:uid="{00000000-0005-0000-0000-0000DAD70000}"/>
    <cellStyle name="Output 134 3" xfId="55263" xr:uid="{00000000-0005-0000-0000-0000DBD70000}"/>
    <cellStyle name="Output 134 3 2" xfId="55264" xr:uid="{00000000-0005-0000-0000-0000DCD70000}"/>
    <cellStyle name="Output 134 4" xfId="55265" xr:uid="{00000000-0005-0000-0000-0000DDD70000}"/>
    <cellStyle name="Output 134 4 2" xfId="55266" xr:uid="{00000000-0005-0000-0000-0000DED70000}"/>
    <cellStyle name="Output 134 4 3" xfId="55267" xr:uid="{00000000-0005-0000-0000-0000DFD70000}"/>
    <cellStyle name="Output 134 5" xfId="55268" xr:uid="{00000000-0005-0000-0000-0000E0D70000}"/>
    <cellStyle name="Output 134 6" xfId="55269" xr:uid="{00000000-0005-0000-0000-0000E1D70000}"/>
    <cellStyle name="Output 135" xfId="55270" xr:uid="{00000000-0005-0000-0000-0000E2D70000}"/>
    <cellStyle name="Output 135 2" xfId="55271" xr:uid="{00000000-0005-0000-0000-0000E3D70000}"/>
    <cellStyle name="Output 135 2 2" xfId="55272" xr:uid="{00000000-0005-0000-0000-0000E4D70000}"/>
    <cellStyle name="Output 135 2 2 2" xfId="55273" xr:uid="{00000000-0005-0000-0000-0000E5D70000}"/>
    <cellStyle name="Output 135 2 3" xfId="55274" xr:uid="{00000000-0005-0000-0000-0000E6D70000}"/>
    <cellStyle name="Output 135 2 3 2" xfId="55275" xr:uid="{00000000-0005-0000-0000-0000E7D70000}"/>
    <cellStyle name="Output 135 2 3 3" xfId="55276" xr:uid="{00000000-0005-0000-0000-0000E8D70000}"/>
    <cellStyle name="Output 135 2 4" xfId="55277" xr:uid="{00000000-0005-0000-0000-0000E9D70000}"/>
    <cellStyle name="Output 135 2 5" xfId="55278" xr:uid="{00000000-0005-0000-0000-0000EAD70000}"/>
    <cellStyle name="Output 135 3" xfId="55279" xr:uid="{00000000-0005-0000-0000-0000EBD70000}"/>
    <cellStyle name="Output 135 3 2" xfId="55280" xr:uid="{00000000-0005-0000-0000-0000ECD70000}"/>
    <cellStyle name="Output 135 4" xfId="55281" xr:uid="{00000000-0005-0000-0000-0000EDD70000}"/>
    <cellStyle name="Output 135 4 2" xfId="55282" xr:uid="{00000000-0005-0000-0000-0000EED70000}"/>
    <cellStyle name="Output 135 4 3" xfId="55283" xr:uid="{00000000-0005-0000-0000-0000EFD70000}"/>
    <cellStyle name="Output 135 5" xfId="55284" xr:uid="{00000000-0005-0000-0000-0000F0D70000}"/>
    <cellStyle name="Output 135 6" xfId="55285" xr:uid="{00000000-0005-0000-0000-0000F1D70000}"/>
    <cellStyle name="Output 136" xfId="55286" xr:uid="{00000000-0005-0000-0000-0000F2D70000}"/>
    <cellStyle name="Output 136 2" xfId="55287" xr:uid="{00000000-0005-0000-0000-0000F3D70000}"/>
    <cellStyle name="Output 136 2 2" xfId="55288" xr:uid="{00000000-0005-0000-0000-0000F4D70000}"/>
    <cellStyle name="Output 136 2 2 2" xfId="55289" xr:uid="{00000000-0005-0000-0000-0000F5D70000}"/>
    <cellStyle name="Output 136 2 3" xfId="55290" xr:uid="{00000000-0005-0000-0000-0000F6D70000}"/>
    <cellStyle name="Output 136 2 3 2" xfId="55291" xr:uid="{00000000-0005-0000-0000-0000F7D70000}"/>
    <cellStyle name="Output 136 2 3 3" xfId="55292" xr:uid="{00000000-0005-0000-0000-0000F8D70000}"/>
    <cellStyle name="Output 136 2 4" xfId="55293" xr:uid="{00000000-0005-0000-0000-0000F9D70000}"/>
    <cellStyle name="Output 136 2 5" xfId="55294" xr:uid="{00000000-0005-0000-0000-0000FAD70000}"/>
    <cellStyle name="Output 136 3" xfId="55295" xr:uid="{00000000-0005-0000-0000-0000FBD70000}"/>
    <cellStyle name="Output 136 3 2" xfId="55296" xr:uid="{00000000-0005-0000-0000-0000FCD70000}"/>
    <cellStyle name="Output 136 4" xfId="55297" xr:uid="{00000000-0005-0000-0000-0000FDD70000}"/>
    <cellStyle name="Output 136 4 2" xfId="55298" xr:uid="{00000000-0005-0000-0000-0000FED70000}"/>
    <cellStyle name="Output 136 4 3" xfId="55299" xr:uid="{00000000-0005-0000-0000-0000FFD70000}"/>
    <cellStyle name="Output 136 5" xfId="55300" xr:uid="{00000000-0005-0000-0000-000000D80000}"/>
    <cellStyle name="Output 136 6" xfId="55301" xr:uid="{00000000-0005-0000-0000-000001D80000}"/>
    <cellStyle name="Output 137" xfId="55302" xr:uid="{00000000-0005-0000-0000-000002D80000}"/>
    <cellStyle name="Output 137 2" xfId="55303" xr:uid="{00000000-0005-0000-0000-000003D80000}"/>
    <cellStyle name="Output 137 2 2" xfId="55304" xr:uid="{00000000-0005-0000-0000-000004D80000}"/>
    <cellStyle name="Output 137 3" xfId="55305" xr:uid="{00000000-0005-0000-0000-000005D80000}"/>
    <cellStyle name="Output 137 3 2" xfId="55306" xr:uid="{00000000-0005-0000-0000-000006D80000}"/>
    <cellStyle name="Output 137 3 3" xfId="55307" xr:uid="{00000000-0005-0000-0000-000007D80000}"/>
    <cellStyle name="Output 137 4" xfId="55308" xr:uid="{00000000-0005-0000-0000-000008D80000}"/>
    <cellStyle name="Output 138" xfId="55309" xr:uid="{00000000-0005-0000-0000-000009D80000}"/>
    <cellStyle name="Output 138 2" xfId="55310" xr:uid="{00000000-0005-0000-0000-00000AD80000}"/>
    <cellStyle name="Output 138 2 2" xfId="55311" xr:uid="{00000000-0005-0000-0000-00000BD80000}"/>
    <cellStyle name="Output 138 3" xfId="55312" xr:uid="{00000000-0005-0000-0000-00000CD80000}"/>
    <cellStyle name="Output 138 3 2" xfId="55313" xr:uid="{00000000-0005-0000-0000-00000DD80000}"/>
    <cellStyle name="Output 138 3 3" xfId="55314" xr:uid="{00000000-0005-0000-0000-00000ED80000}"/>
    <cellStyle name="Output 138 4" xfId="55315" xr:uid="{00000000-0005-0000-0000-00000FD80000}"/>
    <cellStyle name="Output 139" xfId="55316" xr:uid="{00000000-0005-0000-0000-000010D80000}"/>
    <cellStyle name="Output 139 2" xfId="55317" xr:uid="{00000000-0005-0000-0000-000011D80000}"/>
    <cellStyle name="Output 139 2 2" xfId="55318" xr:uid="{00000000-0005-0000-0000-000012D80000}"/>
    <cellStyle name="Output 139 3" xfId="55319" xr:uid="{00000000-0005-0000-0000-000013D80000}"/>
    <cellStyle name="Output 139 3 2" xfId="55320" xr:uid="{00000000-0005-0000-0000-000014D80000}"/>
    <cellStyle name="Output 139 3 3" xfId="55321" xr:uid="{00000000-0005-0000-0000-000015D80000}"/>
    <cellStyle name="Output 139 4" xfId="55322" xr:uid="{00000000-0005-0000-0000-000016D80000}"/>
    <cellStyle name="Output 14" xfId="55323" xr:uid="{00000000-0005-0000-0000-000017D80000}"/>
    <cellStyle name="Output 14 2" xfId="55324" xr:uid="{00000000-0005-0000-0000-000018D80000}"/>
    <cellStyle name="Output 14 2 2" xfId="55325" xr:uid="{00000000-0005-0000-0000-000019D80000}"/>
    <cellStyle name="Output 14 2 2 2" xfId="55326" xr:uid="{00000000-0005-0000-0000-00001AD80000}"/>
    <cellStyle name="Output 14 2 3" xfId="55327" xr:uid="{00000000-0005-0000-0000-00001BD80000}"/>
    <cellStyle name="Output 14 2 3 2" xfId="55328" xr:uid="{00000000-0005-0000-0000-00001CD80000}"/>
    <cellStyle name="Output 14 2 3 3" xfId="55329" xr:uid="{00000000-0005-0000-0000-00001DD80000}"/>
    <cellStyle name="Output 14 2 4" xfId="55330" xr:uid="{00000000-0005-0000-0000-00001ED80000}"/>
    <cellStyle name="Output 14 2 5" xfId="55331" xr:uid="{00000000-0005-0000-0000-00001FD80000}"/>
    <cellStyle name="Output 14 3" xfId="55332" xr:uid="{00000000-0005-0000-0000-000020D80000}"/>
    <cellStyle name="Output 14 3 2" xfId="55333" xr:uid="{00000000-0005-0000-0000-000021D80000}"/>
    <cellStyle name="Output 14 4" xfId="55334" xr:uid="{00000000-0005-0000-0000-000022D80000}"/>
    <cellStyle name="Output 14 4 2" xfId="55335" xr:uid="{00000000-0005-0000-0000-000023D80000}"/>
    <cellStyle name="Output 14 4 3" xfId="55336" xr:uid="{00000000-0005-0000-0000-000024D80000}"/>
    <cellStyle name="Output 14 5" xfId="55337" xr:uid="{00000000-0005-0000-0000-000025D80000}"/>
    <cellStyle name="Output 14 6" xfId="55338" xr:uid="{00000000-0005-0000-0000-000026D80000}"/>
    <cellStyle name="Output 140" xfId="55339" xr:uid="{00000000-0005-0000-0000-000027D80000}"/>
    <cellStyle name="Output 140 2" xfId="55340" xr:uid="{00000000-0005-0000-0000-000028D80000}"/>
    <cellStyle name="Output 140 2 2" xfId="55341" xr:uid="{00000000-0005-0000-0000-000029D80000}"/>
    <cellStyle name="Output 140 3" xfId="55342" xr:uid="{00000000-0005-0000-0000-00002AD80000}"/>
    <cellStyle name="Output 140 3 2" xfId="55343" xr:uid="{00000000-0005-0000-0000-00002BD80000}"/>
    <cellStyle name="Output 140 3 3" xfId="55344" xr:uid="{00000000-0005-0000-0000-00002CD80000}"/>
    <cellStyle name="Output 140 4" xfId="55345" xr:uid="{00000000-0005-0000-0000-00002DD80000}"/>
    <cellStyle name="Output 141" xfId="55346" xr:uid="{00000000-0005-0000-0000-00002ED80000}"/>
    <cellStyle name="Output 141 2" xfId="55347" xr:uid="{00000000-0005-0000-0000-00002FD80000}"/>
    <cellStyle name="Output 141 2 2" xfId="55348" xr:uid="{00000000-0005-0000-0000-000030D80000}"/>
    <cellStyle name="Output 141 3" xfId="55349" xr:uid="{00000000-0005-0000-0000-000031D80000}"/>
    <cellStyle name="Output 141 3 2" xfId="55350" xr:uid="{00000000-0005-0000-0000-000032D80000}"/>
    <cellStyle name="Output 141 3 3" xfId="55351" xr:uid="{00000000-0005-0000-0000-000033D80000}"/>
    <cellStyle name="Output 141 4" xfId="55352" xr:uid="{00000000-0005-0000-0000-000034D80000}"/>
    <cellStyle name="Output 142" xfId="55353" xr:uid="{00000000-0005-0000-0000-000035D80000}"/>
    <cellStyle name="Output 142 2" xfId="55354" xr:uid="{00000000-0005-0000-0000-000036D80000}"/>
    <cellStyle name="Output 142 2 2" xfId="55355" xr:uid="{00000000-0005-0000-0000-000037D80000}"/>
    <cellStyle name="Output 142 3" xfId="55356" xr:uid="{00000000-0005-0000-0000-000038D80000}"/>
    <cellStyle name="Output 142 3 2" xfId="55357" xr:uid="{00000000-0005-0000-0000-000039D80000}"/>
    <cellStyle name="Output 142 3 3" xfId="55358" xr:uid="{00000000-0005-0000-0000-00003AD80000}"/>
    <cellStyle name="Output 142 4" xfId="55359" xr:uid="{00000000-0005-0000-0000-00003BD80000}"/>
    <cellStyle name="Output 143" xfId="55360" xr:uid="{00000000-0005-0000-0000-00003CD80000}"/>
    <cellStyle name="Output 143 2" xfId="55361" xr:uid="{00000000-0005-0000-0000-00003DD80000}"/>
    <cellStyle name="Output 143 2 2" xfId="55362" xr:uid="{00000000-0005-0000-0000-00003ED80000}"/>
    <cellStyle name="Output 143 3" xfId="55363" xr:uid="{00000000-0005-0000-0000-00003FD80000}"/>
    <cellStyle name="Output 143 3 2" xfId="55364" xr:uid="{00000000-0005-0000-0000-000040D80000}"/>
    <cellStyle name="Output 143 3 3" xfId="55365" xr:uid="{00000000-0005-0000-0000-000041D80000}"/>
    <cellStyle name="Output 143 4" xfId="55366" xr:uid="{00000000-0005-0000-0000-000042D80000}"/>
    <cellStyle name="Output 144" xfId="55367" xr:uid="{00000000-0005-0000-0000-000043D80000}"/>
    <cellStyle name="Output 144 2" xfId="55368" xr:uid="{00000000-0005-0000-0000-000044D80000}"/>
    <cellStyle name="Output 144 2 2" xfId="55369" xr:uid="{00000000-0005-0000-0000-000045D80000}"/>
    <cellStyle name="Output 144 3" xfId="55370" xr:uid="{00000000-0005-0000-0000-000046D80000}"/>
    <cellStyle name="Output 144 3 2" xfId="55371" xr:uid="{00000000-0005-0000-0000-000047D80000}"/>
    <cellStyle name="Output 144 3 3" xfId="55372" xr:uid="{00000000-0005-0000-0000-000048D80000}"/>
    <cellStyle name="Output 144 4" xfId="55373" xr:uid="{00000000-0005-0000-0000-000049D80000}"/>
    <cellStyle name="Output 145" xfId="55374" xr:uid="{00000000-0005-0000-0000-00004AD80000}"/>
    <cellStyle name="Output 145 2" xfId="55375" xr:uid="{00000000-0005-0000-0000-00004BD80000}"/>
    <cellStyle name="Output 145 2 2" xfId="55376" xr:uid="{00000000-0005-0000-0000-00004CD80000}"/>
    <cellStyle name="Output 145 3" xfId="55377" xr:uid="{00000000-0005-0000-0000-00004DD80000}"/>
    <cellStyle name="Output 145 3 2" xfId="55378" xr:uid="{00000000-0005-0000-0000-00004ED80000}"/>
    <cellStyle name="Output 145 3 3" xfId="55379" xr:uid="{00000000-0005-0000-0000-00004FD80000}"/>
    <cellStyle name="Output 145 4" xfId="55380" xr:uid="{00000000-0005-0000-0000-000050D80000}"/>
    <cellStyle name="Output 146" xfId="55381" xr:uid="{00000000-0005-0000-0000-000051D80000}"/>
    <cellStyle name="Output 146 2" xfId="55382" xr:uid="{00000000-0005-0000-0000-000052D80000}"/>
    <cellStyle name="Output 146 2 2" xfId="55383" xr:uid="{00000000-0005-0000-0000-000053D80000}"/>
    <cellStyle name="Output 146 3" xfId="55384" xr:uid="{00000000-0005-0000-0000-000054D80000}"/>
    <cellStyle name="Output 146 3 2" xfId="55385" xr:uid="{00000000-0005-0000-0000-000055D80000}"/>
    <cellStyle name="Output 146 3 3" xfId="55386" xr:uid="{00000000-0005-0000-0000-000056D80000}"/>
    <cellStyle name="Output 146 4" xfId="55387" xr:uid="{00000000-0005-0000-0000-000057D80000}"/>
    <cellStyle name="Output 147" xfId="55388" xr:uid="{00000000-0005-0000-0000-000058D80000}"/>
    <cellStyle name="Output 147 2" xfId="55389" xr:uid="{00000000-0005-0000-0000-000059D80000}"/>
    <cellStyle name="Output 147 2 2" xfId="55390" xr:uid="{00000000-0005-0000-0000-00005AD80000}"/>
    <cellStyle name="Output 147 3" xfId="55391" xr:uid="{00000000-0005-0000-0000-00005BD80000}"/>
    <cellStyle name="Output 147 3 2" xfId="55392" xr:uid="{00000000-0005-0000-0000-00005CD80000}"/>
    <cellStyle name="Output 147 3 3" xfId="55393" xr:uid="{00000000-0005-0000-0000-00005DD80000}"/>
    <cellStyle name="Output 147 4" xfId="55394" xr:uid="{00000000-0005-0000-0000-00005ED80000}"/>
    <cellStyle name="Output 148" xfId="55395" xr:uid="{00000000-0005-0000-0000-00005FD80000}"/>
    <cellStyle name="Output 148 2" xfId="55396" xr:uid="{00000000-0005-0000-0000-000060D80000}"/>
    <cellStyle name="Output 148 2 2" xfId="55397" xr:uid="{00000000-0005-0000-0000-000061D80000}"/>
    <cellStyle name="Output 148 3" xfId="55398" xr:uid="{00000000-0005-0000-0000-000062D80000}"/>
    <cellStyle name="Output 148 3 2" xfId="55399" xr:uid="{00000000-0005-0000-0000-000063D80000}"/>
    <cellStyle name="Output 148 3 3" xfId="55400" xr:uid="{00000000-0005-0000-0000-000064D80000}"/>
    <cellStyle name="Output 148 4" xfId="55401" xr:uid="{00000000-0005-0000-0000-000065D80000}"/>
    <cellStyle name="Output 149" xfId="55402" xr:uid="{00000000-0005-0000-0000-000066D80000}"/>
    <cellStyle name="Output 149 2" xfId="55403" xr:uid="{00000000-0005-0000-0000-000067D80000}"/>
    <cellStyle name="Output 149 2 2" xfId="55404" xr:uid="{00000000-0005-0000-0000-000068D80000}"/>
    <cellStyle name="Output 149 3" xfId="55405" xr:uid="{00000000-0005-0000-0000-000069D80000}"/>
    <cellStyle name="Output 149 3 2" xfId="55406" xr:uid="{00000000-0005-0000-0000-00006AD80000}"/>
    <cellStyle name="Output 149 3 3" xfId="55407" xr:uid="{00000000-0005-0000-0000-00006BD80000}"/>
    <cellStyle name="Output 149 4" xfId="55408" xr:uid="{00000000-0005-0000-0000-00006CD80000}"/>
    <cellStyle name="Output 15" xfId="55409" xr:uid="{00000000-0005-0000-0000-00006DD80000}"/>
    <cellStyle name="Output 15 2" xfId="55410" xr:uid="{00000000-0005-0000-0000-00006ED80000}"/>
    <cellStyle name="Output 15 2 2" xfId="55411" xr:uid="{00000000-0005-0000-0000-00006FD80000}"/>
    <cellStyle name="Output 15 2 2 2" xfId="55412" xr:uid="{00000000-0005-0000-0000-000070D80000}"/>
    <cellStyle name="Output 15 2 3" xfId="55413" xr:uid="{00000000-0005-0000-0000-000071D80000}"/>
    <cellStyle name="Output 15 2 3 2" xfId="55414" xr:uid="{00000000-0005-0000-0000-000072D80000}"/>
    <cellStyle name="Output 15 2 3 3" xfId="55415" xr:uid="{00000000-0005-0000-0000-000073D80000}"/>
    <cellStyle name="Output 15 2 4" xfId="55416" xr:uid="{00000000-0005-0000-0000-000074D80000}"/>
    <cellStyle name="Output 15 2 5" xfId="55417" xr:uid="{00000000-0005-0000-0000-000075D80000}"/>
    <cellStyle name="Output 15 3" xfId="55418" xr:uid="{00000000-0005-0000-0000-000076D80000}"/>
    <cellStyle name="Output 15 3 2" xfId="55419" xr:uid="{00000000-0005-0000-0000-000077D80000}"/>
    <cellStyle name="Output 15 4" xfId="55420" xr:uid="{00000000-0005-0000-0000-000078D80000}"/>
    <cellStyle name="Output 15 4 2" xfId="55421" xr:uid="{00000000-0005-0000-0000-000079D80000}"/>
    <cellStyle name="Output 15 4 3" xfId="55422" xr:uid="{00000000-0005-0000-0000-00007AD80000}"/>
    <cellStyle name="Output 15 5" xfId="55423" xr:uid="{00000000-0005-0000-0000-00007BD80000}"/>
    <cellStyle name="Output 15 6" xfId="55424" xr:uid="{00000000-0005-0000-0000-00007CD80000}"/>
    <cellStyle name="Output 150" xfId="55425" xr:uid="{00000000-0005-0000-0000-00007DD80000}"/>
    <cellStyle name="Output 150 2" xfId="55426" xr:uid="{00000000-0005-0000-0000-00007ED80000}"/>
    <cellStyle name="Output 150 2 2" xfId="55427" xr:uid="{00000000-0005-0000-0000-00007FD80000}"/>
    <cellStyle name="Output 150 3" xfId="55428" xr:uid="{00000000-0005-0000-0000-000080D80000}"/>
    <cellStyle name="Output 150 3 2" xfId="55429" xr:uid="{00000000-0005-0000-0000-000081D80000}"/>
    <cellStyle name="Output 150 3 3" xfId="55430" xr:uid="{00000000-0005-0000-0000-000082D80000}"/>
    <cellStyle name="Output 150 4" xfId="55431" xr:uid="{00000000-0005-0000-0000-000083D80000}"/>
    <cellStyle name="Output 151" xfId="55432" xr:uid="{00000000-0005-0000-0000-000084D80000}"/>
    <cellStyle name="Output 151 2" xfId="55433" xr:uid="{00000000-0005-0000-0000-000085D80000}"/>
    <cellStyle name="Output 151 2 2" xfId="55434" xr:uid="{00000000-0005-0000-0000-000086D80000}"/>
    <cellStyle name="Output 151 3" xfId="55435" xr:uid="{00000000-0005-0000-0000-000087D80000}"/>
    <cellStyle name="Output 151 3 2" xfId="55436" xr:uid="{00000000-0005-0000-0000-000088D80000}"/>
    <cellStyle name="Output 151 3 3" xfId="55437" xr:uid="{00000000-0005-0000-0000-000089D80000}"/>
    <cellStyle name="Output 151 4" xfId="55438" xr:uid="{00000000-0005-0000-0000-00008AD80000}"/>
    <cellStyle name="Output 152" xfId="55439" xr:uid="{00000000-0005-0000-0000-00008BD80000}"/>
    <cellStyle name="Output 152 2" xfId="55440" xr:uid="{00000000-0005-0000-0000-00008CD80000}"/>
    <cellStyle name="Output 152 2 2" xfId="55441" xr:uid="{00000000-0005-0000-0000-00008DD80000}"/>
    <cellStyle name="Output 152 3" xfId="55442" xr:uid="{00000000-0005-0000-0000-00008ED80000}"/>
    <cellStyle name="Output 152 3 2" xfId="55443" xr:uid="{00000000-0005-0000-0000-00008FD80000}"/>
    <cellStyle name="Output 152 3 3" xfId="55444" xr:uid="{00000000-0005-0000-0000-000090D80000}"/>
    <cellStyle name="Output 152 4" xfId="55445" xr:uid="{00000000-0005-0000-0000-000091D80000}"/>
    <cellStyle name="Output 153" xfId="55446" xr:uid="{00000000-0005-0000-0000-000092D80000}"/>
    <cellStyle name="Output 153 2" xfId="55447" xr:uid="{00000000-0005-0000-0000-000093D80000}"/>
    <cellStyle name="Output 153 2 2" xfId="55448" xr:uid="{00000000-0005-0000-0000-000094D80000}"/>
    <cellStyle name="Output 153 3" xfId="55449" xr:uid="{00000000-0005-0000-0000-000095D80000}"/>
    <cellStyle name="Output 153 3 2" xfId="55450" xr:uid="{00000000-0005-0000-0000-000096D80000}"/>
    <cellStyle name="Output 153 3 3" xfId="55451" xr:uid="{00000000-0005-0000-0000-000097D80000}"/>
    <cellStyle name="Output 153 4" xfId="55452" xr:uid="{00000000-0005-0000-0000-000098D80000}"/>
    <cellStyle name="Output 154" xfId="55453" xr:uid="{00000000-0005-0000-0000-000099D80000}"/>
    <cellStyle name="Output 154 2" xfId="55454" xr:uid="{00000000-0005-0000-0000-00009AD80000}"/>
    <cellStyle name="Output 154 2 2" xfId="55455" xr:uid="{00000000-0005-0000-0000-00009BD80000}"/>
    <cellStyle name="Output 154 3" xfId="55456" xr:uid="{00000000-0005-0000-0000-00009CD80000}"/>
    <cellStyle name="Output 154 3 2" xfId="55457" xr:uid="{00000000-0005-0000-0000-00009DD80000}"/>
    <cellStyle name="Output 154 3 3" xfId="55458" xr:uid="{00000000-0005-0000-0000-00009ED80000}"/>
    <cellStyle name="Output 154 4" xfId="55459" xr:uid="{00000000-0005-0000-0000-00009FD80000}"/>
    <cellStyle name="Output 155" xfId="55460" xr:uid="{00000000-0005-0000-0000-0000A0D80000}"/>
    <cellStyle name="Output 155 2" xfId="55461" xr:uid="{00000000-0005-0000-0000-0000A1D80000}"/>
    <cellStyle name="Output 155 2 2" xfId="55462" xr:uid="{00000000-0005-0000-0000-0000A2D80000}"/>
    <cellStyle name="Output 155 3" xfId="55463" xr:uid="{00000000-0005-0000-0000-0000A3D80000}"/>
    <cellStyle name="Output 155 3 2" xfId="55464" xr:uid="{00000000-0005-0000-0000-0000A4D80000}"/>
    <cellStyle name="Output 155 3 3" xfId="55465" xr:uid="{00000000-0005-0000-0000-0000A5D80000}"/>
    <cellStyle name="Output 155 4" xfId="55466" xr:uid="{00000000-0005-0000-0000-0000A6D80000}"/>
    <cellStyle name="Output 156" xfId="55467" xr:uid="{00000000-0005-0000-0000-0000A7D80000}"/>
    <cellStyle name="Output 156 2" xfId="55468" xr:uid="{00000000-0005-0000-0000-0000A8D80000}"/>
    <cellStyle name="Output 156 2 2" xfId="55469" xr:uid="{00000000-0005-0000-0000-0000A9D80000}"/>
    <cellStyle name="Output 156 3" xfId="55470" xr:uid="{00000000-0005-0000-0000-0000AAD80000}"/>
    <cellStyle name="Output 156 3 2" xfId="55471" xr:uid="{00000000-0005-0000-0000-0000ABD80000}"/>
    <cellStyle name="Output 156 3 3" xfId="55472" xr:uid="{00000000-0005-0000-0000-0000ACD80000}"/>
    <cellStyle name="Output 156 4" xfId="55473" xr:uid="{00000000-0005-0000-0000-0000ADD80000}"/>
    <cellStyle name="Output 157" xfId="55474" xr:uid="{00000000-0005-0000-0000-0000AED80000}"/>
    <cellStyle name="Output 157 2" xfId="55475" xr:uid="{00000000-0005-0000-0000-0000AFD80000}"/>
    <cellStyle name="Output 157 2 2" xfId="55476" xr:uid="{00000000-0005-0000-0000-0000B0D80000}"/>
    <cellStyle name="Output 157 3" xfId="55477" xr:uid="{00000000-0005-0000-0000-0000B1D80000}"/>
    <cellStyle name="Output 157 3 2" xfId="55478" xr:uid="{00000000-0005-0000-0000-0000B2D80000}"/>
    <cellStyle name="Output 157 3 3" xfId="55479" xr:uid="{00000000-0005-0000-0000-0000B3D80000}"/>
    <cellStyle name="Output 157 4" xfId="55480" xr:uid="{00000000-0005-0000-0000-0000B4D80000}"/>
    <cellStyle name="Output 158" xfId="55481" xr:uid="{00000000-0005-0000-0000-0000B5D80000}"/>
    <cellStyle name="Output 158 2" xfId="55482" xr:uid="{00000000-0005-0000-0000-0000B6D80000}"/>
    <cellStyle name="Output 158 2 2" xfId="55483" xr:uid="{00000000-0005-0000-0000-0000B7D80000}"/>
    <cellStyle name="Output 158 3" xfId="55484" xr:uid="{00000000-0005-0000-0000-0000B8D80000}"/>
    <cellStyle name="Output 158 3 2" xfId="55485" xr:uid="{00000000-0005-0000-0000-0000B9D80000}"/>
    <cellStyle name="Output 158 3 3" xfId="55486" xr:uid="{00000000-0005-0000-0000-0000BAD80000}"/>
    <cellStyle name="Output 158 4" xfId="55487" xr:uid="{00000000-0005-0000-0000-0000BBD80000}"/>
    <cellStyle name="Output 159" xfId="55488" xr:uid="{00000000-0005-0000-0000-0000BCD80000}"/>
    <cellStyle name="Output 159 2" xfId="55489" xr:uid="{00000000-0005-0000-0000-0000BDD80000}"/>
    <cellStyle name="Output 16" xfId="55490" xr:uid="{00000000-0005-0000-0000-0000BED80000}"/>
    <cellStyle name="Output 16 2" xfId="55491" xr:uid="{00000000-0005-0000-0000-0000BFD80000}"/>
    <cellStyle name="Output 16 2 2" xfId="55492" xr:uid="{00000000-0005-0000-0000-0000C0D80000}"/>
    <cellStyle name="Output 16 2 2 2" xfId="55493" xr:uid="{00000000-0005-0000-0000-0000C1D80000}"/>
    <cellStyle name="Output 16 2 3" xfId="55494" xr:uid="{00000000-0005-0000-0000-0000C2D80000}"/>
    <cellStyle name="Output 16 2 3 2" xfId="55495" xr:uid="{00000000-0005-0000-0000-0000C3D80000}"/>
    <cellStyle name="Output 16 2 3 3" xfId="55496" xr:uid="{00000000-0005-0000-0000-0000C4D80000}"/>
    <cellStyle name="Output 16 2 4" xfId="55497" xr:uid="{00000000-0005-0000-0000-0000C5D80000}"/>
    <cellStyle name="Output 16 2 5" xfId="55498" xr:uid="{00000000-0005-0000-0000-0000C6D80000}"/>
    <cellStyle name="Output 16 3" xfId="55499" xr:uid="{00000000-0005-0000-0000-0000C7D80000}"/>
    <cellStyle name="Output 16 3 2" xfId="55500" xr:uid="{00000000-0005-0000-0000-0000C8D80000}"/>
    <cellStyle name="Output 16 4" xfId="55501" xr:uid="{00000000-0005-0000-0000-0000C9D80000}"/>
    <cellStyle name="Output 16 4 2" xfId="55502" xr:uid="{00000000-0005-0000-0000-0000CAD80000}"/>
    <cellStyle name="Output 16 4 3" xfId="55503" xr:uid="{00000000-0005-0000-0000-0000CBD80000}"/>
    <cellStyle name="Output 16 5" xfId="55504" xr:uid="{00000000-0005-0000-0000-0000CCD80000}"/>
    <cellStyle name="Output 16 6" xfId="55505" xr:uid="{00000000-0005-0000-0000-0000CDD80000}"/>
    <cellStyle name="Output 160" xfId="55506" xr:uid="{00000000-0005-0000-0000-0000CED80000}"/>
    <cellStyle name="Output 160 2" xfId="55507" xr:uid="{00000000-0005-0000-0000-0000CFD80000}"/>
    <cellStyle name="Output 161" xfId="55508" xr:uid="{00000000-0005-0000-0000-0000D0D80000}"/>
    <cellStyle name="Output 161 2" xfId="55509" xr:uid="{00000000-0005-0000-0000-0000D1D80000}"/>
    <cellStyle name="Output 162" xfId="55510" xr:uid="{00000000-0005-0000-0000-0000D2D80000}"/>
    <cellStyle name="Output 162 2" xfId="55511" xr:uid="{00000000-0005-0000-0000-0000D3D80000}"/>
    <cellStyle name="Output 163" xfId="55512" xr:uid="{00000000-0005-0000-0000-0000D4D80000}"/>
    <cellStyle name="Output 163 2" xfId="55513" xr:uid="{00000000-0005-0000-0000-0000D5D80000}"/>
    <cellStyle name="Output 164" xfId="55514" xr:uid="{00000000-0005-0000-0000-0000D6D80000}"/>
    <cellStyle name="Output 164 2" xfId="55515" xr:uid="{00000000-0005-0000-0000-0000D7D80000}"/>
    <cellStyle name="Output 165" xfId="55516" xr:uid="{00000000-0005-0000-0000-0000D8D80000}"/>
    <cellStyle name="Output 165 2" xfId="55517" xr:uid="{00000000-0005-0000-0000-0000D9D80000}"/>
    <cellStyle name="Output 166" xfId="55518" xr:uid="{00000000-0005-0000-0000-0000DAD80000}"/>
    <cellStyle name="Output 166 2" xfId="55519" xr:uid="{00000000-0005-0000-0000-0000DBD80000}"/>
    <cellStyle name="Output 167" xfId="55520" xr:uid="{00000000-0005-0000-0000-0000DCD80000}"/>
    <cellStyle name="Output 167 2" xfId="55521" xr:uid="{00000000-0005-0000-0000-0000DDD80000}"/>
    <cellStyle name="Output 168" xfId="55522" xr:uid="{00000000-0005-0000-0000-0000DED80000}"/>
    <cellStyle name="Output 168 2" xfId="55523" xr:uid="{00000000-0005-0000-0000-0000DFD80000}"/>
    <cellStyle name="Output 169" xfId="55524" xr:uid="{00000000-0005-0000-0000-0000E0D80000}"/>
    <cellStyle name="Output 169 2" xfId="55525" xr:uid="{00000000-0005-0000-0000-0000E1D80000}"/>
    <cellStyle name="Output 17" xfId="55526" xr:uid="{00000000-0005-0000-0000-0000E2D80000}"/>
    <cellStyle name="Output 17 2" xfId="55527" xr:uid="{00000000-0005-0000-0000-0000E3D80000}"/>
    <cellStyle name="Output 17 2 2" xfId="55528" xr:uid="{00000000-0005-0000-0000-0000E4D80000}"/>
    <cellStyle name="Output 17 2 2 2" xfId="55529" xr:uid="{00000000-0005-0000-0000-0000E5D80000}"/>
    <cellStyle name="Output 17 2 3" xfId="55530" xr:uid="{00000000-0005-0000-0000-0000E6D80000}"/>
    <cellStyle name="Output 17 2 3 2" xfId="55531" xr:uid="{00000000-0005-0000-0000-0000E7D80000}"/>
    <cellStyle name="Output 17 2 3 3" xfId="55532" xr:uid="{00000000-0005-0000-0000-0000E8D80000}"/>
    <cellStyle name="Output 17 2 4" xfId="55533" xr:uid="{00000000-0005-0000-0000-0000E9D80000}"/>
    <cellStyle name="Output 17 2 5" xfId="55534" xr:uid="{00000000-0005-0000-0000-0000EAD80000}"/>
    <cellStyle name="Output 17 3" xfId="55535" xr:uid="{00000000-0005-0000-0000-0000EBD80000}"/>
    <cellStyle name="Output 17 3 2" xfId="55536" xr:uid="{00000000-0005-0000-0000-0000ECD80000}"/>
    <cellStyle name="Output 17 4" xfId="55537" xr:uid="{00000000-0005-0000-0000-0000EDD80000}"/>
    <cellStyle name="Output 17 4 2" xfId="55538" xr:uid="{00000000-0005-0000-0000-0000EED80000}"/>
    <cellStyle name="Output 17 4 3" xfId="55539" xr:uid="{00000000-0005-0000-0000-0000EFD80000}"/>
    <cellStyle name="Output 17 5" xfId="55540" xr:uid="{00000000-0005-0000-0000-0000F0D80000}"/>
    <cellStyle name="Output 17 6" xfId="55541" xr:uid="{00000000-0005-0000-0000-0000F1D80000}"/>
    <cellStyle name="Output 170" xfId="55542" xr:uid="{00000000-0005-0000-0000-0000F2D80000}"/>
    <cellStyle name="Output 170 2" xfId="55543" xr:uid="{00000000-0005-0000-0000-0000F3D80000}"/>
    <cellStyle name="Output 171" xfId="55544" xr:uid="{00000000-0005-0000-0000-0000F4D80000}"/>
    <cellStyle name="Output 171 2" xfId="55545" xr:uid="{00000000-0005-0000-0000-0000F5D80000}"/>
    <cellStyle name="Output 172" xfId="55546" xr:uid="{00000000-0005-0000-0000-0000F6D80000}"/>
    <cellStyle name="Output 172 2" xfId="55547" xr:uid="{00000000-0005-0000-0000-0000F7D80000}"/>
    <cellStyle name="Output 173" xfId="55548" xr:uid="{00000000-0005-0000-0000-0000F8D80000}"/>
    <cellStyle name="Output 173 2" xfId="55549" xr:uid="{00000000-0005-0000-0000-0000F9D80000}"/>
    <cellStyle name="Output 174" xfId="55550" xr:uid="{00000000-0005-0000-0000-0000FAD80000}"/>
    <cellStyle name="Output 174 2" xfId="55551" xr:uid="{00000000-0005-0000-0000-0000FBD80000}"/>
    <cellStyle name="Output 175" xfId="55552" xr:uid="{00000000-0005-0000-0000-0000FCD80000}"/>
    <cellStyle name="Output 175 2" xfId="55553" xr:uid="{00000000-0005-0000-0000-0000FDD80000}"/>
    <cellStyle name="Output 176" xfId="55554" xr:uid="{00000000-0005-0000-0000-0000FED80000}"/>
    <cellStyle name="Output 176 2" xfId="55555" xr:uid="{00000000-0005-0000-0000-0000FFD80000}"/>
    <cellStyle name="Output 177" xfId="55556" xr:uid="{00000000-0005-0000-0000-000000D90000}"/>
    <cellStyle name="Output 177 2" xfId="55557" xr:uid="{00000000-0005-0000-0000-000001D90000}"/>
    <cellStyle name="Output 178" xfId="55558" xr:uid="{00000000-0005-0000-0000-000002D90000}"/>
    <cellStyle name="Output 178 2" xfId="55559" xr:uid="{00000000-0005-0000-0000-000003D90000}"/>
    <cellStyle name="Output 179" xfId="55560" xr:uid="{00000000-0005-0000-0000-000004D90000}"/>
    <cellStyle name="Output 179 2" xfId="55561" xr:uid="{00000000-0005-0000-0000-000005D90000}"/>
    <cellStyle name="Output 18" xfId="55562" xr:uid="{00000000-0005-0000-0000-000006D90000}"/>
    <cellStyle name="Output 18 2" xfId="55563" xr:uid="{00000000-0005-0000-0000-000007D90000}"/>
    <cellStyle name="Output 18 2 2" xfId="55564" xr:uid="{00000000-0005-0000-0000-000008D90000}"/>
    <cellStyle name="Output 18 2 2 2" xfId="55565" xr:uid="{00000000-0005-0000-0000-000009D90000}"/>
    <cellStyle name="Output 18 2 3" xfId="55566" xr:uid="{00000000-0005-0000-0000-00000AD90000}"/>
    <cellStyle name="Output 18 2 3 2" xfId="55567" xr:uid="{00000000-0005-0000-0000-00000BD90000}"/>
    <cellStyle name="Output 18 2 3 3" xfId="55568" xr:uid="{00000000-0005-0000-0000-00000CD90000}"/>
    <cellStyle name="Output 18 2 4" xfId="55569" xr:uid="{00000000-0005-0000-0000-00000DD90000}"/>
    <cellStyle name="Output 18 2 5" xfId="55570" xr:uid="{00000000-0005-0000-0000-00000ED90000}"/>
    <cellStyle name="Output 18 3" xfId="55571" xr:uid="{00000000-0005-0000-0000-00000FD90000}"/>
    <cellStyle name="Output 18 3 2" xfId="55572" xr:uid="{00000000-0005-0000-0000-000010D90000}"/>
    <cellStyle name="Output 18 4" xfId="55573" xr:uid="{00000000-0005-0000-0000-000011D90000}"/>
    <cellStyle name="Output 18 4 2" xfId="55574" xr:uid="{00000000-0005-0000-0000-000012D90000}"/>
    <cellStyle name="Output 18 4 3" xfId="55575" xr:uid="{00000000-0005-0000-0000-000013D90000}"/>
    <cellStyle name="Output 18 5" xfId="55576" xr:uid="{00000000-0005-0000-0000-000014D90000}"/>
    <cellStyle name="Output 18 6" xfId="55577" xr:uid="{00000000-0005-0000-0000-000015D90000}"/>
    <cellStyle name="Output 180" xfId="55578" xr:uid="{00000000-0005-0000-0000-000016D90000}"/>
    <cellStyle name="Output 180 2" xfId="55579" xr:uid="{00000000-0005-0000-0000-000017D90000}"/>
    <cellStyle name="Output 181" xfId="55580" xr:uid="{00000000-0005-0000-0000-000018D90000}"/>
    <cellStyle name="Output 181 2" xfId="55581" xr:uid="{00000000-0005-0000-0000-000019D90000}"/>
    <cellStyle name="Output 182" xfId="55582" xr:uid="{00000000-0005-0000-0000-00001AD90000}"/>
    <cellStyle name="Output 182 2" xfId="55583" xr:uid="{00000000-0005-0000-0000-00001BD90000}"/>
    <cellStyle name="Output 183" xfId="55584" xr:uid="{00000000-0005-0000-0000-00001CD90000}"/>
    <cellStyle name="Output 183 2" xfId="55585" xr:uid="{00000000-0005-0000-0000-00001DD90000}"/>
    <cellStyle name="Output 184" xfId="55586" xr:uid="{00000000-0005-0000-0000-00001ED90000}"/>
    <cellStyle name="Output 184 2" xfId="55587" xr:uid="{00000000-0005-0000-0000-00001FD90000}"/>
    <cellStyle name="Output 185" xfId="55588" xr:uid="{00000000-0005-0000-0000-000020D90000}"/>
    <cellStyle name="Output 185 2" xfId="55589" xr:uid="{00000000-0005-0000-0000-000021D90000}"/>
    <cellStyle name="Output 186" xfId="55590" xr:uid="{00000000-0005-0000-0000-000022D90000}"/>
    <cellStyle name="Output 186 2" xfId="55591" xr:uid="{00000000-0005-0000-0000-000023D90000}"/>
    <cellStyle name="Output 187" xfId="55592" xr:uid="{00000000-0005-0000-0000-000024D90000}"/>
    <cellStyle name="Output 187 2" xfId="55593" xr:uid="{00000000-0005-0000-0000-000025D90000}"/>
    <cellStyle name="Output 188" xfId="55594" xr:uid="{00000000-0005-0000-0000-000026D90000}"/>
    <cellStyle name="Output 188 2" xfId="55595" xr:uid="{00000000-0005-0000-0000-000027D90000}"/>
    <cellStyle name="Output 189" xfId="55596" xr:uid="{00000000-0005-0000-0000-000028D90000}"/>
    <cellStyle name="Output 189 2" xfId="55597" xr:uid="{00000000-0005-0000-0000-000029D90000}"/>
    <cellStyle name="Output 19" xfId="55598" xr:uid="{00000000-0005-0000-0000-00002AD90000}"/>
    <cellStyle name="Output 19 2" xfId="55599" xr:uid="{00000000-0005-0000-0000-00002BD90000}"/>
    <cellStyle name="Output 19 2 2" xfId="55600" xr:uid="{00000000-0005-0000-0000-00002CD90000}"/>
    <cellStyle name="Output 19 2 2 2" xfId="55601" xr:uid="{00000000-0005-0000-0000-00002DD90000}"/>
    <cellStyle name="Output 19 2 3" xfId="55602" xr:uid="{00000000-0005-0000-0000-00002ED90000}"/>
    <cellStyle name="Output 19 2 3 2" xfId="55603" xr:uid="{00000000-0005-0000-0000-00002FD90000}"/>
    <cellStyle name="Output 19 2 3 3" xfId="55604" xr:uid="{00000000-0005-0000-0000-000030D90000}"/>
    <cellStyle name="Output 19 2 4" xfId="55605" xr:uid="{00000000-0005-0000-0000-000031D90000}"/>
    <cellStyle name="Output 19 2 5" xfId="55606" xr:uid="{00000000-0005-0000-0000-000032D90000}"/>
    <cellStyle name="Output 19 3" xfId="55607" xr:uid="{00000000-0005-0000-0000-000033D90000}"/>
    <cellStyle name="Output 19 3 2" xfId="55608" xr:uid="{00000000-0005-0000-0000-000034D90000}"/>
    <cellStyle name="Output 19 4" xfId="55609" xr:uid="{00000000-0005-0000-0000-000035D90000}"/>
    <cellStyle name="Output 19 4 2" xfId="55610" xr:uid="{00000000-0005-0000-0000-000036D90000}"/>
    <cellStyle name="Output 19 4 3" xfId="55611" xr:uid="{00000000-0005-0000-0000-000037D90000}"/>
    <cellStyle name="Output 19 5" xfId="55612" xr:uid="{00000000-0005-0000-0000-000038D90000}"/>
    <cellStyle name="Output 19 6" xfId="55613" xr:uid="{00000000-0005-0000-0000-000039D90000}"/>
    <cellStyle name="Output 190" xfId="55614" xr:uid="{00000000-0005-0000-0000-00003AD90000}"/>
    <cellStyle name="Output 190 2" xfId="55615" xr:uid="{00000000-0005-0000-0000-00003BD90000}"/>
    <cellStyle name="Output 191" xfId="55616" xr:uid="{00000000-0005-0000-0000-00003CD90000}"/>
    <cellStyle name="Output 191 2" xfId="55617" xr:uid="{00000000-0005-0000-0000-00003DD90000}"/>
    <cellStyle name="Output 192" xfId="55618" xr:uid="{00000000-0005-0000-0000-00003ED90000}"/>
    <cellStyle name="Output 192 2" xfId="55619" xr:uid="{00000000-0005-0000-0000-00003FD90000}"/>
    <cellStyle name="Output 193" xfId="55620" xr:uid="{00000000-0005-0000-0000-000040D90000}"/>
    <cellStyle name="Output 193 2" xfId="55621" xr:uid="{00000000-0005-0000-0000-000041D90000}"/>
    <cellStyle name="Output 194" xfId="55622" xr:uid="{00000000-0005-0000-0000-000042D90000}"/>
    <cellStyle name="Output 194 2" xfId="55623" xr:uid="{00000000-0005-0000-0000-000043D90000}"/>
    <cellStyle name="Output 195" xfId="55624" xr:uid="{00000000-0005-0000-0000-000044D90000}"/>
    <cellStyle name="Output 195 2" xfId="55625" xr:uid="{00000000-0005-0000-0000-000045D90000}"/>
    <cellStyle name="Output 196" xfId="55626" xr:uid="{00000000-0005-0000-0000-000046D90000}"/>
    <cellStyle name="Output 196 2" xfId="55627" xr:uid="{00000000-0005-0000-0000-000047D90000}"/>
    <cellStyle name="Output 197" xfId="55628" xr:uid="{00000000-0005-0000-0000-000048D90000}"/>
    <cellStyle name="Output 197 2" xfId="55629" xr:uid="{00000000-0005-0000-0000-000049D90000}"/>
    <cellStyle name="Output 198" xfId="55630" xr:uid="{00000000-0005-0000-0000-00004AD90000}"/>
    <cellStyle name="Output 198 2" xfId="55631" xr:uid="{00000000-0005-0000-0000-00004BD90000}"/>
    <cellStyle name="Output 2" xfId="55632" xr:uid="{00000000-0005-0000-0000-00004CD90000}"/>
    <cellStyle name="Output 2 2" xfId="55633" xr:uid="{00000000-0005-0000-0000-00004DD90000}"/>
    <cellStyle name="Output 2 2 2" xfId="55634" xr:uid="{00000000-0005-0000-0000-00004ED90000}"/>
    <cellStyle name="Output 2 2 2 2" xfId="55635" xr:uid="{00000000-0005-0000-0000-00004FD90000}"/>
    <cellStyle name="Output 2 2 2 2 2" xfId="55636" xr:uid="{00000000-0005-0000-0000-000050D90000}"/>
    <cellStyle name="Output 2 2 2 2 2 2" xfId="55637" xr:uid="{00000000-0005-0000-0000-000051D90000}"/>
    <cellStyle name="Output 2 2 2 2 3" xfId="55638" xr:uid="{00000000-0005-0000-0000-000052D90000}"/>
    <cellStyle name="Output 2 2 2 2 4" xfId="55639" xr:uid="{00000000-0005-0000-0000-000053D90000}"/>
    <cellStyle name="Output 2 2 2 3" xfId="55640" xr:uid="{00000000-0005-0000-0000-000054D90000}"/>
    <cellStyle name="Output 2 2 3" xfId="55641" xr:uid="{00000000-0005-0000-0000-000055D90000}"/>
    <cellStyle name="Output 2 2 3 2" xfId="55642" xr:uid="{00000000-0005-0000-0000-000056D90000}"/>
    <cellStyle name="Output 2 2 4" xfId="55643" xr:uid="{00000000-0005-0000-0000-000057D90000}"/>
    <cellStyle name="Output 2 2 4 2" xfId="55644" xr:uid="{00000000-0005-0000-0000-000058D90000}"/>
    <cellStyle name="Output 2 2 5" xfId="55645" xr:uid="{00000000-0005-0000-0000-000059D90000}"/>
    <cellStyle name="Output 2 2 5 2" xfId="55646" xr:uid="{00000000-0005-0000-0000-00005AD90000}"/>
    <cellStyle name="Output 2 2 6" xfId="55647" xr:uid="{00000000-0005-0000-0000-00005BD90000}"/>
    <cellStyle name="Output 2 2 6 2" xfId="55648" xr:uid="{00000000-0005-0000-0000-00005CD90000}"/>
    <cellStyle name="Output 2 2 6 3" xfId="55649" xr:uid="{00000000-0005-0000-0000-00005DD90000}"/>
    <cellStyle name="Output 2 2 7" xfId="55650" xr:uid="{00000000-0005-0000-0000-00005ED90000}"/>
    <cellStyle name="Output 2 2 8" xfId="55651" xr:uid="{00000000-0005-0000-0000-00005FD90000}"/>
    <cellStyle name="Output 2 3" xfId="55652" xr:uid="{00000000-0005-0000-0000-000060D90000}"/>
    <cellStyle name="Output 2 3 2" xfId="55653" xr:uid="{00000000-0005-0000-0000-000061D90000}"/>
    <cellStyle name="Output 2 3 3" xfId="55654" xr:uid="{00000000-0005-0000-0000-000062D90000}"/>
    <cellStyle name="Output 2 4" xfId="55655" xr:uid="{00000000-0005-0000-0000-000063D90000}"/>
    <cellStyle name="Output 2 4 2" xfId="55656" xr:uid="{00000000-0005-0000-0000-000064D90000}"/>
    <cellStyle name="Output 2 4 3" xfId="55657" xr:uid="{00000000-0005-0000-0000-000065D90000}"/>
    <cellStyle name="Output 2 5" xfId="55658" xr:uid="{00000000-0005-0000-0000-000066D90000}"/>
    <cellStyle name="Output 2 5 2" xfId="55659" xr:uid="{00000000-0005-0000-0000-000067D90000}"/>
    <cellStyle name="Output 2 6" xfId="55660" xr:uid="{00000000-0005-0000-0000-000068D90000}"/>
    <cellStyle name="Output 2 6 2" xfId="55661" xr:uid="{00000000-0005-0000-0000-000069D90000}"/>
    <cellStyle name="Output 2 6 3" xfId="55662" xr:uid="{00000000-0005-0000-0000-00006AD90000}"/>
    <cellStyle name="Output 2 7" xfId="55663" xr:uid="{00000000-0005-0000-0000-00006BD90000}"/>
    <cellStyle name="Output 2 8" xfId="55664" xr:uid="{00000000-0005-0000-0000-00006CD90000}"/>
    <cellStyle name="Output 20" xfId="55665" xr:uid="{00000000-0005-0000-0000-00006DD90000}"/>
    <cellStyle name="Output 20 2" xfId="55666" xr:uid="{00000000-0005-0000-0000-00006ED90000}"/>
    <cellStyle name="Output 20 2 2" xfId="55667" xr:uid="{00000000-0005-0000-0000-00006FD90000}"/>
    <cellStyle name="Output 20 2 2 2" xfId="55668" xr:uid="{00000000-0005-0000-0000-000070D90000}"/>
    <cellStyle name="Output 20 2 3" xfId="55669" xr:uid="{00000000-0005-0000-0000-000071D90000}"/>
    <cellStyle name="Output 20 2 3 2" xfId="55670" xr:uid="{00000000-0005-0000-0000-000072D90000}"/>
    <cellStyle name="Output 20 2 3 3" xfId="55671" xr:uid="{00000000-0005-0000-0000-000073D90000}"/>
    <cellStyle name="Output 20 2 4" xfId="55672" xr:uid="{00000000-0005-0000-0000-000074D90000}"/>
    <cellStyle name="Output 20 2 5" xfId="55673" xr:uid="{00000000-0005-0000-0000-000075D90000}"/>
    <cellStyle name="Output 20 3" xfId="55674" xr:uid="{00000000-0005-0000-0000-000076D90000}"/>
    <cellStyle name="Output 20 3 2" xfId="55675" xr:uid="{00000000-0005-0000-0000-000077D90000}"/>
    <cellStyle name="Output 20 4" xfId="55676" xr:uid="{00000000-0005-0000-0000-000078D90000}"/>
    <cellStyle name="Output 20 4 2" xfId="55677" xr:uid="{00000000-0005-0000-0000-000079D90000}"/>
    <cellStyle name="Output 20 4 3" xfId="55678" xr:uid="{00000000-0005-0000-0000-00007AD90000}"/>
    <cellStyle name="Output 20 5" xfId="55679" xr:uid="{00000000-0005-0000-0000-00007BD90000}"/>
    <cellStyle name="Output 20 6" xfId="55680" xr:uid="{00000000-0005-0000-0000-00007CD90000}"/>
    <cellStyle name="Output 21" xfId="55681" xr:uid="{00000000-0005-0000-0000-00007DD90000}"/>
    <cellStyle name="Output 21 2" xfId="55682" xr:uid="{00000000-0005-0000-0000-00007ED90000}"/>
    <cellStyle name="Output 21 2 2" xfId="55683" xr:uid="{00000000-0005-0000-0000-00007FD90000}"/>
    <cellStyle name="Output 21 2 2 2" xfId="55684" xr:uid="{00000000-0005-0000-0000-000080D90000}"/>
    <cellStyle name="Output 21 2 3" xfId="55685" xr:uid="{00000000-0005-0000-0000-000081D90000}"/>
    <cellStyle name="Output 21 2 3 2" xfId="55686" xr:uid="{00000000-0005-0000-0000-000082D90000}"/>
    <cellStyle name="Output 21 2 3 3" xfId="55687" xr:uid="{00000000-0005-0000-0000-000083D90000}"/>
    <cellStyle name="Output 21 2 4" xfId="55688" xr:uid="{00000000-0005-0000-0000-000084D90000}"/>
    <cellStyle name="Output 21 2 5" xfId="55689" xr:uid="{00000000-0005-0000-0000-000085D90000}"/>
    <cellStyle name="Output 21 3" xfId="55690" xr:uid="{00000000-0005-0000-0000-000086D90000}"/>
    <cellStyle name="Output 21 3 2" xfId="55691" xr:uid="{00000000-0005-0000-0000-000087D90000}"/>
    <cellStyle name="Output 21 4" xfId="55692" xr:uid="{00000000-0005-0000-0000-000088D90000}"/>
    <cellStyle name="Output 21 4 2" xfId="55693" xr:uid="{00000000-0005-0000-0000-000089D90000}"/>
    <cellStyle name="Output 21 4 3" xfId="55694" xr:uid="{00000000-0005-0000-0000-00008AD90000}"/>
    <cellStyle name="Output 21 5" xfId="55695" xr:uid="{00000000-0005-0000-0000-00008BD90000}"/>
    <cellStyle name="Output 21 6" xfId="55696" xr:uid="{00000000-0005-0000-0000-00008CD90000}"/>
    <cellStyle name="Output 22" xfId="55697" xr:uid="{00000000-0005-0000-0000-00008DD90000}"/>
    <cellStyle name="Output 22 2" xfId="55698" xr:uid="{00000000-0005-0000-0000-00008ED90000}"/>
    <cellStyle name="Output 22 2 2" xfId="55699" xr:uid="{00000000-0005-0000-0000-00008FD90000}"/>
    <cellStyle name="Output 22 2 2 2" xfId="55700" xr:uid="{00000000-0005-0000-0000-000090D90000}"/>
    <cellStyle name="Output 22 2 3" xfId="55701" xr:uid="{00000000-0005-0000-0000-000091D90000}"/>
    <cellStyle name="Output 22 2 3 2" xfId="55702" xr:uid="{00000000-0005-0000-0000-000092D90000}"/>
    <cellStyle name="Output 22 2 3 3" xfId="55703" xr:uid="{00000000-0005-0000-0000-000093D90000}"/>
    <cellStyle name="Output 22 2 4" xfId="55704" xr:uid="{00000000-0005-0000-0000-000094D90000}"/>
    <cellStyle name="Output 22 2 5" xfId="55705" xr:uid="{00000000-0005-0000-0000-000095D90000}"/>
    <cellStyle name="Output 22 3" xfId="55706" xr:uid="{00000000-0005-0000-0000-000096D90000}"/>
    <cellStyle name="Output 22 3 2" xfId="55707" xr:uid="{00000000-0005-0000-0000-000097D90000}"/>
    <cellStyle name="Output 22 4" xfId="55708" xr:uid="{00000000-0005-0000-0000-000098D90000}"/>
    <cellStyle name="Output 22 4 2" xfId="55709" xr:uid="{00000000-0005-0000-0000-000099D90000}"/>
    <cellStyle name="Output 22 4 3" xfId="55710" xr:uid="{00000000-0005-0000-0000-00009AD90000}"/>
    <cellStyle name="Output 22 5" xfId="55711" xr:uid="{00000000-0005-0000-0000-00009BD90000}"/>
    <cellStyle name="Output 22 6" xfId="55712" xr:uid="{00000000-0005-0000-0000-00009CD90000}"/>
    <cellStyle name="Output 23" xfId="55713" xr:uid="{00000000-0005-0000-0000-00009DD90000}"/>
    <cellStyle name="Output 23 2" xfId="55714" xr:uid="{00000000-0005-0000-0000-00009ED90000}"/>
    <cellStyle name="Output 23 2 2" xfId="55715" xr:uid="{00000000-0005-0000-0000-00009FD90000}"/>
    <cellStyle name="Output 23 2 2 2" xfId="55716" xr:uid="{00000000-0005-0000-0000-0000A0D90000}"/>
    <cellStyle name="Output 23 2 3" xfId="55717" xr:uid="{00000000-0005-0000-0000-0000A1D90000}"/>
    <cellStyle name="Output 23 2 3 2" xfId="55718" xr:uid="{00000000-0005-0000-0000-0000A2D90000}"/>
    <cellStyle name="Output 23 2 3 3" xfId="55719" xr:uid="{00000000-0005-0000-0000-0000A3D90000}"/>
    <cellStyle name="Output 23 2 4" xfId="55720" xr:uid="{00000000-0005-0000-0000-0000A4D90000}"/>
    <cellStyle name="Output 23 2 5" xfId="55721" xr:uid="{00000000-0005-0000-0000-0000A5D90000}"/>
    <cellStyle name="Output 23 3" xfId="55722" xr:uid="{00000000-0005-0000-0000-0000A6D90000}"/>
    <cellStyle name="Output 23 3 2" xfId="55723" xr:uid="{00000000-0005-0000-0000-0000A7D90000}"/>
    <cellStyle name="Output 23 4" xfId="55724" xr:uid="{00000000-0005-0000-0000-0000A8D90000}"/>
    <cellStyle name="Output 23 4 2" xfId="55725" xr:uid="{00000000-0005-0000-0000-0000A9D90000}"/>
    <cellStyle name="Output 23 4 3" xfId="55726" xr:uid="{00000000-0005-0000-0000-0000AAD90000}"/>
    <cellStyle name="Output 23 5" xfId="55727" xr:uid="{00000000-0005-0000-0000-0000ABD90000}"/>
    <cellStyle name="Output 23 6" xfId="55728" xr:uid="{00000000-0005-0000-0000-0000ACD90000}"/>
    <cellStyle name="Output 24" xfId="55729" xr:uid="{00000000-0005-0000-0000-0000ADD90000}"/>
    <cellStyle name="Output 24 2" xfId="55730" xr:uid="{00000000-0005-0000-0000-0000AED90000}"/>
    <cellStyle name="Output 24 2 2" xfId="55731" xr:uid="{00000000-0005-0000-0000-0000AFD90000}"/>
    <cellStyle name="Output 24 2 2 2" xfId="55732" xr:uid="{00000000-0005-0000-0000-0000B0D90000}"/>
    <cellStyle name="Output 24 2 3" xfId="55733" xr:uid="{00000000-0005-0000-0000-0000B1D90000}"/>
    <cellStyle name="Output 24 2 3 2" xfId="55734" xr:uid="{00000000-0005-0000-0000-0000B2D90000}"/>
    <cellStyle name="Output 24 2 3 3" xfId="55735" xr:uid="{00000000-0005-0000-0000-0000B3D90000}"/>
    <cellStyle name="Output 24 2 4" xfId="55736" xr:uid="{00000000-0005-0000-0000-0000B4D90000}"/>
    <cellStyle name="Output 24 2 5" xfId="55737" xr:uid="{00000000-0005-0000-0000-0000B5D90000}"/>
    <cellStyle name="Output 24 3" xfId="55738" xr:uid="{00000000-0005-0000-0000-0000B6D90000}"/>
    <cellStyle name="Output 24 3 2" xfId="55739" xr:uid="{00000000-0005-0000-0000-0000B7D90000}"/>
    <cellStyle name="Output 24 4" xfId="55740" xr:uid="{00000000-0005-0000-0000-0000B8D90000}"/>
    <cellStyle name="Output 24 4 2" xfId="55741" xr:uid="{00000000-0005-0000-0000-0000B9D90000}"/>
    <cellStyle name="Output 24 4 3" xfId="55742" xr:uid="{00000000-0005-0000-0000-0000BAD90000}"/>
    <cellStyle name="Output 24 5" xfId="55743" xr:uid="{00000000-0005-0000-0000-0000BBD90000}"/>
    <cellStyle name="Output 24 6" xfId="55744" xr:uid="{00000000-0005-0000-0000-0000BCD90000}"/>
    <cellStyle name="Output 25" xfId="55745" xr:uid="{00000000-0005-0000-0000-0000BDD90000}"/>
    <cellStyle name="Output 25 2" xfId="55746" xr:uid="{00000000-0005-0000-0000-0000BED90000}"/>
    <cellStyle name="Output 25 2 2" xfId="55747" xr:uid="{00000000-0005-0000-0000-0000BFD90000}"/>
    <cellStyle name="Output 25 2 2 2" xfId="55748" xr:uid="{00000000-0005-0000-0000-0000C0D90000}"/>
    <cellStyle name="Output 25 2 3" xfId="55749" xr:uid="{00000000-0005-0000-0000-0000C1D90000}"/>
    <cellStyle name="Output 25 2 3 2" xfId="55750" xr:uid="{00000000-0005-0000-0000-0000C2D90000}"/>
    <cellStyle name="Output 25 2 3 3" xfId="55751" xr:uid="{00000000-0005-0000-0000-0000C3D90000}"/>
    <cellStyle name="Output 25 2 4" xfId="55752" xr:uid="{00000000-0005-0000-0000-0000C4D90000}"/>
    <cellStyle name="Output 25 2 5" xfId="55753" xr:uid="{00000000-0005-0000-0000-0000C5D90000}"/>
    <cellStyle name="Output 25 3" xfId="55754" xr:uid="{00000000-0005-0000-0000-0000C6D90000}"/>
    <cellStyle name="Output 25 3 2" xfId="55755" xr:uid="{00000000-0005-0000-0000-0000C7D90000}"/>
    <cellStyle name="Output 25 4" xfId="55756" xr:uid="{00000000-0005-0000-0000-0000C8D90000}"/>
    <cellStyle name="Output 25 4 2" xfId="55757" xr:uid="{00000000-0005-0000-0000-0000C9D90000}"/>
    <cellStyle name="Output 25 4 3" xfId="55758" xr:uid="{00000000-0005-0000-0000-0000CAD90000}"/>
    <cellStyle name="Output 25 5" xfId="55759" xr:uid="{00000000-0005-0000-0000-0000CBD90000}"/>
    <cellStyle name="Output 25 6" xfId="55760" xr:uid="{00000000-0005-0000-0000-0000CCD90000}"/>
    <cellStyle name="Output 26" xfId="55761" xr:uid="{00000000-0005-0000-0000-0000CDD90000}"/>
    <cellStyle name="Output 26 2" xfId="55762" xr:uid="{00000000-0005-0000-0000-0000CED90000}"/>
    <cellStyle name="Output 26 2 2" xfId="55763" xr:uid="{00000000-0005-0000-0000-0000CFD90000}"/>
    <cellStyle name="Output 26 2 2 2" xfId="55764" xr:uid="{00000000-0005-0000-0000-0000D0D90000}"/>
    <cellStyle name="Output 26 2 3" xfId="55765" xr:uid="{00000000-0005-0000-0000-0000D1D90000}"/>
    <cellStyle name="Output 26 2 3 2" xfId="55766" xr:uid="{00000000-0005-0000-0000-0000D2D90000}"/>
    <cellStyle name="Output 26 2 3 3" xfId="55767" xr:uid="{00000000-0005-0000-0000-0000D3D90000}"/>
    <cellStyle name="Output 26 2 4" xfId="55768" xr:uid="{00000000-0005-0000-0000-0000D4D90000}"/>
    <cellStyle name="Output 26 2 5" xfId="55769" xr:uid="{00000000-0005-0000-0000-0000D5D90000}"/>
    <cellStyle name="Output 26 3" xfId="55770" xr:uid="{00000000-0005-0000-0000-0000D6D90000}"/>
    <cellStyle name="Output 26 3 2" xfId="55771" xr:uid="{00000000-0005-0000-0000-0000D7D90000}"/>
    <cellStyle name="Output 26 4" xfId="55772" xr:uid="{00000000-0005-0000-0000-0000D8D90000}"/>
    <cellStyle name="Output 26 4 2" xfId="55773" xr:uid="{00000000-0005-0000-0000-0000D9D90000}"/>
    <cellStyle name="Output 26 4 3" xfId="55774" xr:uid="{00000000-0005-0000-0000-0000DAD90000}"/>
    <cellStyle name="Output 26 5" xfId="55775" xr:uid="{00000000-0005-0000-0000-0000DBD90000}"/>
    <cellStyle name="Output 26 6" xfId="55776" xr:uid="{00000000-0005-0000-0000-0000DCD90000}"/>
    <cellStyle name="Output 27" xfId="55777" xr:uid="{00000000-0005-0000-0000-0000DDD90000}"/>
    <cellStyle name="Output 27 2" xfId="55778" xr:uid="{00000000-0005-0000-0000-0000DED90000}"/>
    <cellStyle name="Output 27 2 2" xfId="55779" xr:uid="{00000000-0005-0000-0000-0000DFD90000}"/>
    <cellStyle name="Output 27 2 2 2" xfId="55780" xr:uid="{00000000-0005-0000-0000-0000E0D90000}"/>
    <cellStyle name="Output 27 2 3" xfId="55781" xr:uid="{00000000-0005-0000-0000-0000E1D90000}"/>
    <cellStyle name="Output 27 2 3 2" xfId="55782" xr:uid="{00000000-0005-0000-0000-0000E2D90000}"/>
    <cellStyle name="Output 27 2 3 3" xfId="55783" xr:uid="{00000000-0005-0000-0000-0000E3D90000}"/>
    <cellStyle name="Output 27 2 4" xfId="55784" xr:uid="{00000000-0005-0000-0000-0000E4D90000}"/>
    <cellStyle name="Output 27 2 5" xfId="55785" xr:uid="{00000000-0005-0000-0000-0000E5D90000}"/>
    <cellStyle name="Output 27 3" xfId="55786" xr:uid="{00000000-0005-0000-0000-0000E6D90000}"/>
    <cellStyle name="Output 27 3 2" xfId="55787" xr:uid="{00000000-0005-0000-0000-0000E7D90000}"/>
    <cellStyle name="Output 27 4" xfId="55788" xr:uid="{00000000-0005-0000-0000-0000E8D90000}"/>
    <cellStyle name="Output 27 4 2" xfId="55789" xr:uid="{00000000-0005-0000-0000-0000E9D90000}"/>
    <cellStyle name="Output 27 4 3" xfId="55790" xr:uid="{00000000-0005-0000-0000-0000EAD90000}"/>
    <cellStyle name="Output 27 5" xfId="55791" xr:uid="{00000000-0005-0000-0000-0000EBD90000}"/>
    <cellStyle name="Output 27 6" xfId="55792" xr:uid="{00000000-0005-0000-0000-0000ECD90000}"/>
    <cellStyle name="Output 28" xfId="55793" xr:uid="{00000000-0005-0000-0000-0000EDD90000}"/>
    <cellStyle name="Output 28 2" xfId="55794" xr:uid="{00000000-0005-0000-0000-0000EED90000}"/>
    <cellStyle name="Output 28 2 2" xfId="55795" xr:uid="{00000000-0005-0000-0000-0000EFD90000}"/>
    <cellStyle name="Output 28 2 2 2" xfId="55796" xr:uid="{00000000-0005-0000-0000-0000F0D90000}"/>
    <cellStyle name="Output 28 2 3" xfId="55797" xr:uid="{00000000-0005-0000-0000-0000F1D90000}"/>
    <cellStyle name="Output 28 2 3 2" xfId="55798" xr:uid="{00000000-0005-0000-0000-0000F2D90000}"/>
    <cellStyle name="Output 28 2 3 3" xfId="55799" xr:uid="{00000000-0005-0000-0000-0000F3D90000}"/>
    <cellStyle name="Output 28 2 4" xfId="55800" xr:uid="{00000000-0005-0000-0000-0000F4D90000}"/>
    <cellStyle name="Output 28 2 5" xfId="55801" xr:uid="{00000000-0005-0000-0000-0000F5D90000}"/>
    <cellStyle name="Output 28 3" xfId="55802" xr:uid="{00000000-0005-0000-0000-0000F6D90000}"/>
    <cellStyle name="Output 28 3 2" xfId="55803" xr:uid="{00000000-0005-0000-0000-0000F7D90000}"/>
    <cellStyle name="Output 28 4" xfId="55804" xr:uid="{00000000-0005-0000-0000-0000F8D90000}"/>
    <cellStyle name="Output 28 4 2" xfId="55805" xr:uid="{00000000-0005-0000-0000-0000F9D90000}"/>
    <cellStyle name="Output 28 4 3" xfId="55806" xr:uid="{00000000-0005-0000-0000-0000FAD90000}"/>
    <cellStyle name="Output 28 5" xfId="55807" xr:uid="{00000000-0005-0000-0000-0000FBD90000}"/>
    <cellStyle name="Output 28 6" xfId="55808" xr:uid="{00000000-0005-0000-0000-0000FCD90000}"/>
    <cellStyle name="Output 29" xfId="55809" xr:uid="{00000000-0005-0000-0000-0000FDD90000}"/>
    <cellStyle name="Output 29 2" xfId="55810" xr:uid="{00000000-0005-0000-0000-0000FED90000}"/>
    <cellStyle name="Output 29 2 2" xfId="55811" xr:uid="{00000000-0005-0000-0000-0000FFD90000}"/>
    <cellStyle name="Output 29 2 2 2" xfId="55812" xr:uid="{00000000-0005-0000-0000-000000DA0000}"/>
    <cellStyle name="Output 29 2 3" xfId="55813" xr:uid="{00000000-0005-0000-0000-000001DA0000}"/>
    <cellStyle name="Output 29 2 3 2" xfId="55814" xr:uid="{00000000-0005-0000-0000-000002DA0000}"/>
    <cellStyle name="Output 29 2 3 3" xfId="55815" xr:uid="{00000000-0005-0000-0000-000003DA0000}"/>
    <cellStyle name="Output 29 2 4" xfId="55816" xr:uid="{00000000-0005-0000-0000-000004DA0000}"/>
    <cellStyle name="Output 29 2 5" xfId="55817" xr:uid="{00000000-0005-0000-0000-000005DA0000}"/>
    <cellStyle name="Output 29 3" xfId="55818" xr:uid="{00000000-0005-0000-0000-000006DA0000}"/>
    <cellStyle name="Output 29 3 2" xfId="55819" xr:uid="{00000000-0005-0000-0000-000007DA0000}"/>
    <cellStyle name="Output 29 4" xfId="55820" xr:uid="{00000000-0005-0000-0000-000008DA0000}"/>
    <cellStyle name="Output 29 4 2" xfId="55821" xr:uid="{00000000-0005-0000-0000-000009DA0000}"/>
    <cellStyle name="Output 29 4 3" xfId="55822" xr:uid="{00000000-0005-0000-0000-00000ADA0000}"/>
    <cellStyle name="Output 29 5" xfId="55823" xr:uid="{00000000-0005-0000-0000-00000BDA0000}"/>
    <cellStyle name="Output 29 6" xfId="55824" xr:uid="{00000000-0005-0000-0000-00000CDA0000}"/>
    <cellStyle name="Output 3" xfId="55825" xr:uid="{00000000-0005-0000-0000-00000DDA0000}"/>
    <cellStyle name="Output 3 2" xfId="55826" xr:uid="{00000000-0005-0000-0000-00000EDA0000}"/>
    <cellStyle name="Output 3 2 2" xfId="55827" xr:uid="{00000000-0005-0000-0000-00000FDA0000}"/>
    <cellStyle name="Output 3 2 2 2" xfId="55828" xr:uid="{00000000-0005-0000-0000-000010DA0000}"/>
    <cellStyle name="Output 3 2 3" xfId="55829" xr:uid="{00000000-0005-0000-0000-000011DA0000}"/>
    <cellStyle name="Output 3 2 3 2" xfId="55830" xr:uid="{00000000-0005-0000-0000-000012DA0000}"/>
    <cellStyle name="Output 3 2 3 3" xfId="55831" xr:uid="{00000000-0005-0000-0000-000013DA0000}"/>
    <cellStyle name="Output 3 2 4" xfId="55832" xr:uid="{00000000-0005-0000-0000-000014DA0000}"/>
    <cellStyle name="Output 3 3" xfId="55833" xr:uid="{00000000-0005-0000-0000-000015DA0000}"/>
    <cellStyle name="Output 3 3 2" xfId="55834" xr:uid="{00000000-0005-0000-0000-000016DA0000}"/>
    <cellStyle name="Output 3 4" xfId="55835" xr:uid="{00000000-0005-0000-0000-000017DA0000}"/>
    <cellStyle name="Output 3 4 2" xfId="55836" xr:uid="{00000000-0005-0000-0000-000018DA0000}"/>
    <cellStyle name="Output 3 4 3" xfId="55837" xr:uid="{00000000-0005-0000-0000-000019DA0000}"/>
    <cellStyle name="Output 3 5" xfId="55838" xr:uid="{00000000-0005-0000-0000-00001ADA0000}"/>
    <cellStyle name="Output 3 6" xfId="55839" xr:uid="{00000000-0005-0000-0000-00001BDA0000}"/>
    <cellStyle name="Output 30" xfId="55840" xr:uid="{00000000-0005-0000-0000-00001CDA0000}"/>
    <cellStyle name="Output 30 2" xfId="55841" xr:uid="{00000000-0005-0000-0000-00001DDA0000}"/>
    <cellStyle name="Output 30 2 2" xfId="55842" xr:uid="{00000000-0005-0000-0000-00001EDA0000}"/>
    <cellStyle name="Output 30 2 2 2" xfId="55843" xr:uid="{00000000-0005-0000-0000-00001FDA0000}"/>
    <cellStyle name="Output 30 2 3" xfId="55844" xr:uid="{00000000-0005-0000-0000-000020DA0000}"/>
    <cellStyle name="Output 30 2 3 2" xfId="55845" xr:uid="{00000000-0005-0000-0000-000021DA0000}"/>
    <cellStyle name="Output 30 2 3 3" xfId="55846" xr:uid="{00000000-0005-0000-0000-000022DA0000}"/>
    <cellStyle name="Output 30 2 4" xfId="55847" xr:uid="{00000000-0005-0000-0000-000023DA0000}"/>
    <cellStyle name="Output 30 2 5" xfId="55848" xr:uid="{00000000-0005-0000-0000-000024DA0000}"/>
    <cellStyle name="Output 30 3" xfId="55849" xr:uid="{00000000-0005-0000-0000-000025DA0000}"/>
    <cellStyle name="Output 30 3 2" xfId="55850" xr:uid="{00000000-0005-0000-0000-000026DA0000}"/>
    <cellStyle name="Output 30 4" xfId="55851" xr:uid="{00000000-0005-0000-0000-000027DA0000}"/>
    <cellStyle name="Output 30 4 2" xfId="55852" xr:uid="{00000000-0005-0000-0000-000028DA0000}"/>
    <cellStyle name="Output 30 4 3" xfId="55853" xr:uid="{00000000-0005-0000-0000-000029DA0000}"/>
    <cellStyle name="Output 30 5" xfId="55854" xr:uid="{00000000-0005-0000-0000-00002ADA0000}"/>
    <cellStyle name="Output 30 6" xfId="55855" xr:uid="{00000000-0005-0000-0000-00002BDA0000}"/>
    <cellStyle name="Output 31" xfId="55856" xr:uid="{00000000-0005-0000-0000-00002CDA0000}"/>
    <cellStyle name="Output 31 2" xfId="55857" xr:uid="{00000000-0005-0000-0000-00002DDA0000}"/>
    <cellStyle name="Output 31 2 2" xfId="55858" xr:uid="{00000000-0005-0000-0000-00002EDA0000}"/>
    <cellStyle name="Output 31 2 2 2" xfId="55859" xr:uid="{00000000-0005-0000-0000-00002FDA0000}"/>
    <cellStyle name="Output 31 2 3" xfId="55860" xr:uid="{00000000-0005-0000-0000-000030DA0000}"/>
    <cellStyle name="Output 31 2 3 2" xfId="55861" xr:uid="{00000000-0005-0000-0000-000031DA0000}"/>
    <cellStyle name="Output 31 2 3 3" xfId="55862" xr:uid="{00000000-0005-0000-0000-000032DA0000}"/>
    <cellStyle name="Output 31 2 4" xfId="55863" xr:uid="{00000000-0005-0000-0000-000033DA0000}"/>
    <cellStyle name="Output 31 2 5" xfId="55864" xr:uid="{00000000-0005-0000-0000-000034DA0000}"/>
    <cellStyle name="Output 31 3" xfId="55865" xr:uid="{00000000-0005-0000-0000-000035DA0000}"/>
    <cellStyle name="Output 31 3 2" xfId="55866" xr:uid="{00000000-0005-0000-0000-000036DA0000}"/>
    <cellStyle name="Output 31 4" xfId="55867" xr:uid="{00000000-0005-0000-0000-000037DA0000}"/>
    <cellStyle name="Output 31 4 2" xfId="55868" xr:uid="{00000000-0005-0000-0000-000038DA0000}"/>
    <cellStyle name="Output 31 4 3" xfId="55869" xr:uid="{00000000-0005-0000-0000-000039DA0000}"/>
    <cellStyle name="Output 31 5" xfId="55870" xr:uid="{00000000-0005-0000-0000-00003ADA0000}"/>
    <cellStyle name="Output 31 6" xfId="55871" xr:uid="{00000000-0005-0000-0000-00003BDA0000}"/>
    <cellStyle name="Output 32" xfId="55872" xr:uid="{00000000-0005-0000-0000-00003CDA0000}"/>
    <cellStyle name="Output 32 2" xfId="55873" xr:uid="{00000000-0005-0000-0000-00003DDA0000}"/>
    <cellStyle name="Output 32 2 2" xfId="55874" xr:uid="{00000000-0005-0000-0000-00003EDA0000}"/>
    <cellStyle name="Output 32 2 2 2" xfId="55875" xr:uid="{00000000-0005-0000-0000-00003FDA0000}"/>
    <cellStyle name="Output 32 2 3" xfId="55876" xr:uid="{00000000-0005-0000-0000-000040DA0000}"/>
    <cellStyle name="Output 32 2 3 2" xfId="55877" xr:uid="{00000000-0005-0000-0000-000041DA0000}"/>
    <cellStyle name="Output 32 2 3 3" xfId="55878" xr:uid="{00000000-0005-0000-0000-000042DA0000}"/>
    <cellStyle name="Output 32 2 4" xfId="55879" xr:uid="{00000000-0005-0000-0000-000043DA0000}"/>
    <cellStyle name="Output 32 2 5" xfId="55880" xr:uid="{00000000-0005-0000-0000-000044DA0000}"/>
    <cellStyle name="Output 32 3" xfId="55881" xr:uid="{00000000-0005-0000-0000-000045DA0000}"/>
    <cellStyle name="Output 32 3 2" xfId="55882" xr:uid="{00000000-0005-0000-0000-000046DA0000}"/>
    <cellStyle name="Output 32 4" xfId="55883" xr:uid="{00000000-0005-0000-0000-000047DA0000}"/>
    <cellStyle name="Output 32 4 2" xfId="55884" xr:uid="{00000000-0005-0000-0000-000048DA0000}"/>
    <cellStyle name="Output 32 4 3" xfId="55885" xr:uid="{00000000-0005-0000-0000-000049DA0000}"/>
    <cellStyle name="Output 32 5" xfId="55886" xr:uid="{00000000-0005-0000-0000-00004ADA0000}"/>
    <cellStyle name="Output 32 6" xfId="55887" xr:uid="{00000000-0005-0000-0000-00004BDA0000}"/>
    <cellStyle name="Output 33" xfId="55888" xr:uid="{00000000-0005-0000-0000-00004CDA0000}"/>
    <cellStyle name="Output 33 2" xfId="55889" xr:uid="{00000000-0005-0000-0000-00004DDA0000}"/>
    <cellStyle name="Output 33 2 2" xfId="55890" xr:uid="{00000000-0005-0000-0000-00004EDA0000}"/>
    <cellStyle name="Output 33 2 2 2" xfId="55891" xr:uid="{00000000-0005-0000-0000-00004FDA0000}"/>
    <cellStyle name="Output 33 2 3" xfId="55892" xr:uid="{00000000-0005-0000-0000-000050DA0000}"/>
    <cellStyle name="Output 33 2 3 2" xfId="55893" xr:uid="{00000000-0005-0000-0000-000051DA0000}"/>
    <cellStyle name="Output 33 2 3 3" xfId="55894" xr:uid="{00000000-0005-0000-0000-000052DA0000}"/>
    <cellStyle name="Output 33 2 4" xfId="55895" xr:uid="{00000000-0005-0000-0000-000053DA0000}"/>
    <cellStyle name="Output 33 2 5" xfId="55896" xr:uid="{00000000-0005-0000-0000-000054DA0000}"/>
    <cellStyle name="Output 33 3" xfId="55897" xr:uid="{00000000-0005-0000-0000-000055DA0000}"/>
    <cellStyle name="Output 33 3 2" xfId="55898" xr:uid="{00000000-0005-0000-0000-000056DA0000}"/>
    <cellStyle name="Output 33 4" xfId="55899" xr:uid="{00000000-0005-0000-0000-000057DA0000}"/>
    <cellStyle name="Output 33 4 2" xfId="55900" xr:uid="{00000000-0005-0000-0000-000058DA0000}"/>
    <cellStyle name="Output 33 4 3" xfId="55901" xr:uid="{00000000-0005-0000-0000-000059DA0000}"/>
    <cellStyle name="Output 33 5" xfId="55902" xr:uid="{00000000-0005-0000-0000-00005ADA0000}"/>
    <cellStyle name="Output 33 6" xfId="55903" xr:uid="{00000000-0005-0000-0000-00005BDA0000}"/>
    <cellStyle name="Output 34" xfId="55904" xr:uid="{00000000-0005-0000-0000-00005CDA0000}"/>
    <cellStyle name="Output 34 2" xfId="55905" xr:uid="{00000000-0005-0000-0000-00005DDA0000}"/>
    <cellStyle name="Output 34 2 2" xfId="55906" xr:uid="{00000000-0005-0000-0000-00005EDA0000}"/>
    <cellStyle name="Output 34 2 2 2" xfId="55907" xr:uid="{00000000-0005-0000-0000-00005FDA0000}"/>
    <cellStyle name="Output 34 2 3" xfId="55908" xr:uid="{00000000-0005-0000-0000-000060DA0000}"/>
    <cellStyle name="Output 34 2 3 2" xfId="55909" xr:uid="{00000000-0005-0000-0000-000061DA0000}"/>
    <cellStyle name="Output 34 2 3 3" xfId="55910" xr:uid="{00000000-0005-0000-0000-000062DA0000}"/>
    <cellStyle name="Output 34 2 4" xfId="55911" xr:uid="{00000000-0005-0000-0000-000063DA0000}"/>
    <cellStyle name="Output 34 2 5" xfId="55912" xr:uid="{00000000-0005-0000-0000-000064DA0000}"/>
    <cellStyle name="Output 34 3" xfId="55913" xr:uid="{00000000-0005-0000-0000-000065DA0000}"/>
    <cellStyle name="Output 34 3 2" xfId="55914" xr:uid="{00000000-0005-0000-0000-000066DA0000}"/>
    <cellStyle name="Output 34 4" xfId="55915" xr:uid="{00000000-0005-0000-0000-000067DA0000}"/>
    <cellStyle name="Output 34 4 2" xfId="55916" xr:uid="{00000000-0005-0000-0000-000068DA0000}"/>
    <cellStyle name="Output 34 4 3" xfId="55917" xr:uid="{00000000-0005-0000-0000-000069DA0000}"/>
    <cellStyle name="Output 34 5" xfId="55918" xr:uid="{00000000-0005-0000-0000-00006ADA0000}"/>
    <cellStyle name="Output 34 6" xfId="55919" xr:uid="{00000000-0005-0000-0000-00006BDA0000}"/>
    <cellStyle name="Output 35" xfId="55920" xr:uid="{00000000-0005-0000-0000-00006CDA0000}"/>
    <cellStyle name="Output 35 2" xfId="55921" xr:uid="{00000000-0005-0000-0000-00006DDA0000}"/>
    <cellStyle name="Output 35 2 2" xfId="55922" xr:uid="{00000000-0005-0000-0000-00006EDA0000}"/>
    <cellStyle name="Output 35 2 2 2" xfId="55923" xr:uid="{00000000-0005-0000-0000-00006FDA0000}"/>
    <cellStyle name="Output 35 2 3" xfId="55924" xr:uid="{00000000-0005-0000-0000-000070DA0000}"/>
    <cellStyle name="Output 35 2 3 2" xfId="55925" xr:uid="{00000000-0005-0000-0000-000071DA0000}"/>
    <cellStyle name="Output 35 2 3 3" xfId="55926" xr:uid="{00000000-0005-0000-0000-000072DA0000}"/>
    <cellStyle name="Output 35 2 4" xfId="55927" xr:uid="{00000000-0005-0000-0000-000073DA0000}"/>
    <cellStyle name="Output 35 2 5" xfId="55928" xr:uid="{00000000-0005-0000-0000-000074DA0000}"/>
    <cellStyle name="Output 35 3" xfId="55929" xr:uid="{00000000-0005-0000-0000-000075DA0000}"/>
    <cellStyle name="Output 35 3 2" xfId="55930" xr:uid="{00000000-0005-0000-0000-000076DA0000}"/>
    <cellStyle name="Output 35 4" xfId="55931" xr:uid="{00000000-0005-0000-0000-000077DA0000}"/>
    <cellStyle name="Output 35 4 2" xfId="55932" xr:uid="{00000000-0005-0000-0000-000078DA0000}"/>
    <cellStyle name="Output 35 4 3" xfId="55933" xr:uid="{00000000-0005-0000-0000-000079DA0000}"/>
    <cellStyle name="Output 35 5" xfId="55934" xr:uid="{00000000-0005-0000-0000-00007ADA0000}"/>
    <cellStyle name="Output 35 6" xfId="55935" xr:uid="{00000000-0005-0000-0000-00007BDA0000}"/>
    <cellStyle name="Output 36" xfId="55936" xr:uid="{00000000-0005-0000-0000-00007CDA0000}"/>
    <cellStyle name="Output 36 2" xfId="55937" xr:uid="{00000000-0005-0000-0000-00007DDA0000}"/>
    <cellStyle name="Output 36 2 2" xfId="55938" xr:uid="{00000000-0005-0000-0000-00007EDA0000}"/>
    <cellStyle name="Output 36 2 2 2" xfId="55939" xr:uid="{00000000-0005-0000-0000-00007FDA0000}"/>
    <cellStyle name="Output 36 2 3" xfId="55940" xr:uid="{00000000-0005-0000-0000-000080DA0000}"/>
    <cellStyle name="Output 36 2 3 2" xfId="55941" xr:uid="{00000000-0005-0000-0000-000081DA0000}"/>
    <cellStyle name="Output 36 2 3 3" xfId="55942" xr:uid="{00000000-0005-0000-0000-000082DA0000}"/>
    <cellStyle name="Output 36 2 4" xfId="55943" xr:uid="{00000000-0005-0000-0000-000083DA0000}"/>
    <cellStyle name="Output 36 2 5" xfId="55944" xr:uid="{00000000-0005-0000-0000-000084DA0000}"/>
    <cellStyle name="Output 36 3" xfId="55945" xr:uid="{00000000-0005-0000-0000-000085DA0000}"/>
    <cellStyle name="Output 36 3 2" xfId="55946" xr:uid="{00000000-0005-0000-0000-000086DA0000}"/>
    <cellStyle name="Output 36 4" xfId="55947" xr:uid="{00000000-0005-0000-0000-000087DA0000}"/>
    <cellStyle name="Output 36 4 2" xfId="55948" xr:uid="{00000000-0005-0000-0000-000088DA0000}"/>
    <cellStyle name="Output 36 4 3" xfId="55949" xr:uid="{00000000-0005-0000-0000-000089DA0000}"/>
    <cellStyle name="Output 36 5" xfId="55950" xr:uid="{00000000-0005-0000-0000-00008ADA0000}"/>
    <cellStyle name="Output 36 6" xfId="55951" xr:uid="{00000000-0005-0000-0000-00008BDA0000}"/>
    <cellStyle name="Output 37" xfId="55952" xr:uid="{00000000-0005-0000-0000-00008CDA0000}"/>
    <cellStyle name="Output 37 2" xfId="55953" xr:uid="{00000000-0005-0000-0000-00008DDA0000}"/>
    <cellStyle name="Output 37 2 2" xfId="55954" xr:uid="{00000000-0005-0000-0000-00008EDA0000}"/>
    <cellStyle name="Output 37 2 2 2" xfId="55955" xr:uid="{00000000-0005-0000-0000-00008FDA0000}"/>
    <cellStyle name="Output 37 2 3" xfId="55956" xr:uid="{00000000-0005-0000-0000-000090DA0000}"/>
    <cellStyle name="Output 37 2 3 2" xfId="55957" xr:uid="{00000000-0005-0000-0000-000091DA0000}"/>
    <cellStyle name="Output 37 2 3 3" xfId="55958" xr:uid="{00000000-0005-0000-0000-000092DA0000}"/>
    <cellStyle name="Output 37 2 4" xfId="55959" xr:uid="{00000000-0005-0000-0000-000093DA0000}"/>
    <cellStyle name="Output 37 2 5" xfId="55960" xr:uid="{00000000-0005-0000-0000-000094DA0000}"/>
    <cellStyle name="Output 37 3" xfId="55961" xr:uid="{00000000-0005-0000-0000-000095DA0000}"/>
    <cellStyle name="Output 37 3 2" xfId="55962" xr:uid="{00000000-0005-0000-0000-000096DA0000}"/>
    <cellStyle name="Output 37 4" xfId="55963" xr:uid="{00000000-0005-0000-0000-000097DA0000}"/>
    <cellStyle name="Output 37 4 2" xfId="55964" xr:uid="{00000000-0005-0000-0000-000098DA0000}"/>
    <cellStyle name="Output 37 4 3" xfId="55965" xr:uid="{00000000-0005-0000-0000-000099DA0000}"/>
    <cellStyle name="Output 37 5" xfId="55966" xr:uid="{00000000-0005-0000-0000-00009ADA0000}"/>
    <cellStyle name="Output 37 6" xfId="55967" xr:uid="{00000000-0005-0000-0000-00009BDA0000}"/>
    <cellStyle name="Output 38" xfId="55968" xr:uid="{00000000-0005-0000-0000-00009CDA0000}"/>
    <cellStyle name="Output 38 2" xfId="55969" xr:uid="{00000000-0005-0000-0000-00009DDA0000}"/>
    <cellStyle name="Output 38 2 2" xfId="55970" xr:uid="{00000000-0005-0000-0000-00009EDA0000}"/>
    <cellStyle name="Output 38 2 2 2" xfId="55971" xr:uid="{00000000-0005-0000-0000-00009FDA0000}"/>
    <cellStyle name="Output 38 2 3" xfId="55972" xr:uid="{00000000-0005-0000-0000-0000A0DA0000}"/>
    <cellStyle name="Output 38 2 3 2" xfId="55973" xr:uid="{00000000-0005-0000-0000-0000A1DA0000}"/>
    <cellStyle name="Output 38 2 3 3" xfId="55974" xr:uid="{00000000-0005-0000-0000-0000A2DA0000}"/>
    <cellStyle name="Output 38 2 4" xfId="55975" xr:uid="{00000000-0005-0000-0000-0000A3DA0000}"/>
    <cellStyle name="Output 38 2 5" xfId="55976" xr:uid="{00000000-0005-0000-0000-0000A4DA0000}"/>
    <cellStyle name="Output 38 3" xfId="55977" xr:uid="{00000000-0005-0000-0000-0000A5DA0000}"/>
    <cellStyle name="Output 38 3 2" xfId="55978" xr:uid="{00000000-0005-0000-0000-0000A6DA0000}"/>
    <cellStyle name="Output 38 4" xfId="55979" xr:uid="{00000000-0005-0000-0000-0000A7DA0000}"/>
    <cellStyle name="Output 38 4 2" xfId="55980" xr:uid="{00000000-0005-0000-0000-0000A8DA0000}"/>
    <cellStyle name="Output 38 4 3" xfId="55981" xr:uid="{00000000-0005-0000-0000-0000A9DA0000}"/>
    <cellStyle name="Output 38 5" xfId="55982" xr:uid="{00000000-0005-0000-0000-0000AADA0000}"/>
    <cellStyle name="Output 38 6" xfId="55983" xr:uid="{00000000-0005-0000-0000-0000ABDA0000}"/>
    <cellStyle name="Output 39" xfId="55984" xr:uid="{00000000-0005-0000-0000-0000ACDA0000}"/>
    <cellStyle name="Output 39 2" xfId="55985" xr:uid="{00000000-0005-0000-0000-0000ADDA0000}"/>
    <cellStyle name="Output 39 2 2" xfId="55986" xr:uid="{00000000-0005-0000-0000-0000AEDA0000}"/>
    <cellStyle name="Output 39 2 2 2" xfId="55987" xr:uid="{00000000-0005-0000-0000-0000AFDA0000}"/>
    <cellStyle name="Output 39 2 3" xfId="55988" xr:uid="{00000000-0005-0000-0000-0000B0DA0000}"/>
    <cellStyle name="Output 39 2 3 2" xfId="55989" xr:uid="{00000000-0005-0000-0000-0000B1DA0000}"/>
    <cellStyle name="Output 39 2 3 3" xfId="55990" xr:uid="{00000000-0005-0000-0000-0000B2DA0000}"/>
    <cellStyle name="Output 39 2 4" xfId="55991" xr:uid="{00000000-0005-0000-0000-0000B3DA0000}"/>
    <cellStyle name="Output 39 2 5" xfId="55992" xr:uid="{00000000-0005-0000-0000-0000B4DA0000}"/>
    <cellStyle name="Output 39 3" xfId="55993" xr:uid="{00000000-0005-0000-0000-0000B5DA0000}"/>
    <cellStyle name="Output 39 3 2" xfId="55994" xr:uid="{00000000-0005-0000-0000-0000B6DA0000}"/>
    <cellStyle name="Output 39 4" xfId="55995" xr:uid="{00000000-0005-0000-0000-0000B7DA0000}"/>
    <cellStyle name="Output 39 4 2" xfId="55996" xr:uid="{00000000-0005-0000-0000-0000B8DA0000}"/>
    <cellStyle name="Output 39 4 3" xfId="55997" xr:uid="{00000000-0005-0000-0000-0000B9DA0000}"/>
    <cellStyle name="Output 39 5" xfId="55998" xr:uid="{00000000-0005-0000-0000-0000BADA0000}"/>
    <cellStyle name="Output 39 6" xfId="55999" xr:uid="{00000000-0005-0000-0000-0000BBDA0000}"/>
    <cellStyle name="Output 4" xfId="56000" xr:uid="{00000000-0005-0000-0000-0000BCDA0000}"/>
    <cellStyle name="Output 4 2" xfId="56001" xr:uid="{00000000-0005-0000-0000-0000BDDA0000}"/>
    <cellStyle name="Output 4 2 2" xfId="56002" xr:uid="{00000000-0005-0000-0000-0000BEDA0000}"/>
    <cellStyle name="Output 4 2 2 2" xfId="56003" xr:uid="{00000000-0005-0000-0000-0000BFDA0000}"/>
    <cellStyle name="Output 4 2 3" xfId="56004" xr:uid="{00000000-0005-0000-0000-0000C0DA0000}"/>
    <cellStyle name="Output 4 2 3 2" xfId="56005" xr:uid="{00000000-0005-0000-0000-0000C1DA0000}"/>
    <cellStyle name="Output 4 2 3 3" xfId="56006" xr:uid="{00000000-0005-0000-0000-0000C2DA0000}"/>
    <cellStyle name="Output 4 2 4" xfId="56007" xr:uid="{00000000-0005-0000-0000-0000C3DA0000}"/>
    <cellStyle name="Output 4 3" xfId="56008" xr:uid="{00000000-0005-0000-0000-0000C4DA0000}"/>
    <cellStyle name="Output 4 3 2" xfId="56009" xr:uid="{00000000-0005-0000-0000-0000C5DA0000}"/>
    <cellStyle name="Output 4 4" xfId="56010" xr:uid="{00000000-0005-0000-0000-0000C6DA0000}"/>
    <cellStyle name="Output 4 4 2" xfId="56011" xr:uid="{00000000-0005-0000-0000-0000C7DA0000}"/>
    <cellStyle name="Output 4 4 3" xfId="56012" xr:uid="{00000000-0005-0000-0000-0000C8DA0000}"/>
    <cellStyle name="Output 4 5" xfId="56013" xr:uid="{00000000-0005-0000-0000-0000C9DA0000}"/>
    <cellStyle name="Output 4 6" xfId="56014" xr:uid="{00000000-0005-0000-0000-0000CADA0000}"/>
    <cellStyle name="Output 40" xfId="56015" xr:uid="{00000000-0005-0000-0000-0000CBDA0000}"/>
    <cellStyle name="Output 40 2" xfId="56016" xr:uid="{00000000-0005-0000-0000-0000CCDA0000}"/>
    <cellStyle name="Output 40 2 2" xfId="56017" xr:uid="{00000000-0005-0000-0000-0000CDDA0000}"/>
    <cellStyle name="Output 40 2 2 2" xfId="56018" xr:uid="{00000000-0005-0000-0000-0000CEDA0000}"/>
    <cellStyle name="Output 40 2 3" xfId="56019" xr:uid="{00000000-0005-0000-0000-0000CFDA0000}"/>
    <cellStyle name="Output 40 2 3 2" xfId="56020" xr:uid="{00000000-0005-0000-0000-0000D0DA0000}"/>
    <cellStyle name="Output 40 2 3 3" xfId="56021" xr:uid="{00000000-0005-0000-0000-0000D1DA0000}"/>
    <cellStyle name="Output 40 2 4" xfId="56022" xr:uid="{00000000-0005-0000-0000-0000D2DA0000}"/>
    <cellStyle name="Output 40 2 5" xfId="56023" xr:uid="{00000000-0005-0000-0000-0000D3DA0000}"/>
    <cellStyle name="Output 40 3" xfId="56024" xr:uid="{00000000-0005-0000-0000-0000D4DA0000}"/>
    <cellStyle name="Output 40 3 2" xfId="56025" xr:uid="{00000000-0005-0000-0000-0000D5DA0000}"/>
    <cellStyle name="Output 40 4" xfId="56026" xr:uid="{00000000-0005-0000-0000-0000D6DA0000}"/>
    <cellStyle name="Output 40 4 2" xfId="56027" xr:uid="{00000000-0005-0000-0000-0000D7DA0000}"/>
    <cellStyle name="Output 40 4 3" xfId="56028" xr:uid="{00000000-0005-0000-0000-0000D8DA0000}"/>
    <cellStyle name="Output 40 5" xfId="56029" xr:uid="{00000000-0005-0000-0000-0000D9DA0000}"/>
    <cellStyle name="Output 40 6" xfId="56030" xr:uid="{00000000-0005-0000-0000-0000DADA0000}"/>
    <cellStyle name="Output 41" xfId="56031" xr:uid="{00000000-0005-0000-0000-0000DBDA0000}"/>
    <cellStyle name="Output 41 2" xfId="56032" xr:uid="{00000000-0005-0000-0000-0000DCDA0000}"/>
    <cellStyle name="Output 41 2 2" xfId="56033" xr:uid="{00000000-0005-0000-0000-0000DDDA0000}"/>
    <cellStyle name="Output 41 2 2 2" xfId="56034" xr:uid="{00000000-0005-0000-0000-0000DEDA0000}"/>
    <cellStyle name="Output 41 2 3" xfId="56035" xr:uid="{00000000-0005-0000-0000-0000DFDA0000}"/>
    <cellStyle name="Output 41 2 3 2" xfId="56036" xr:uid="{00000000-0005-0000-0000-0000E0DA0000}"/>
    <cellStyle name="Output 41 2 3 3" xfId="56037" xr:uid="{00000000-0005-0000-0000-0000E1DA0000}"/>
    <cellStyle name="Output 41 2 4" xfId="56038" xr:uid="{00000000-0005-0000-0000-0000E2DA0000}"/>
    <cellStyle name="Output 41 2 5" xfId="56039" xr:uid="{00000000-0005-0000-0000-0000E3DA0000}"/>
    <cellStyle name="Output 41 3" xfId="56040" xr:uid="{00000000-0005-0000-0000-0000E4DA0000}"/>
    <cellStyle name="Output 41 3 2" xfId="56041" xr:uid="{00000000-0005-0000-0000-0000E5DA0000}"/>
    <cellStyle name="Output 41 4" xfId="56042" xr:uid="{00000000-0005-0000-0000-0000E6DA0000}"/>
    <cellStyle name="Output 41 4 2" xfId="56043" xr:uid="{00000000-0005-0000-0000-0000E7DA0000}"/>
    <cellStyle name="Output 41 4 3" xfId="56044" xr:uid="{00000000-0005-0000-0000-0000E8DA0000}"/>
    <cellStyle name="Output 41 5" xfId="56045" xr:uid="{00000000-0005-0000-0000-0000E9DA0000}"/>
    <cellStyle name="Output 41 6" xfId="56046" xr:uid="{00000000-0005-0000-0000-0000EADA0000}"/>
    <cellStyle name="Output 42" xfId="56047" xr:uid="{00000000-0005-0000-0000-0000EBDA0000}"/>
    <cellStyle name="Output 42 2" xfId="56048" xr:uid="{00000000-0005-0000-0000-0000ECDA0000}"/>
    <cellStyle name="Output 42 2 2" xfId="56049" xr:uid="{00000000-0005-0000-0000-0000EDDA0000}"/>
    <cellStyle name="Output 42 2 2 2" xfId="56050" xr:uid="{00000000-0005-0000-0000-0000EEDA0000}"/>
    <cellStyle name="Output 42 2 3" xfId="56051" xr:uid="{00000000-0005-0000-0000-0000EFDA0000}"/>
    <cellStyle name="Output 42 2 3 2" xfId="56052" xr:uid="{00000000-0005-0000-0000-0000F0DA0000}"/>
    <cellStyle name="Output 42 2 3 3" xfId="56053" xr:uid="{00000000-0005-0000-0000-0000F1DA0000}"/>
    <cellStyle name="Output 42 2 4" xfId="56054" xr:uid="{00000000-0005-0000-0000-0000F2DA0000}"/>
    <cellStyle name="Output 42 2 5" xfId="56055" xr:uid="{00000000-0005-0000-0000-0000F3DA0000}"/>
    <cellStyle name="Output 42 3" xfId="56056" xr:uid="{00000000-0005-0000-0000-0000F4DA0000}"/>
    <cellStyle name="Output 42 3 2" xfId="56057" xr:uid="{00000000-0005-0000-0000-0000F5DA0000}"/>
    <cellStyle name="Output 42 4" xfId="56058" xr:uid="{00000000-0005-0000-0000-0000F6DA0000}"/>
    <cellStyle name="Output 42 4 2" xfId="56059" xr:uid="{00000000-0005-0000-0000-0000F7DA0000}"/>
    <cellStyle name="Output 42 4 3" xfId="56060" xr:uid="{00000000-0005-0000-0000-0000F8DA0000}"/>
    <cellStyle name="Output 42 5" xfId="56061" xr:uid="{00000000-0005-0000-0000-0000F9DA0000}"/>
    <cellStyle name="Output 42 6" xfId="56062" xr:uid="{00000000-0005-0000-0000-0000FADA0000}"/>
    <cellStyle name="Output 43" xfId="56063" xr:uid="{00000000-0005-0000-0000-0000FBDA0000}"/>
    <cellStyle name="Output 43 2" xfId="56064" xr:uid="{00000000-0005-0000-0000-0000FCDA0000}"/>
    <cellStyle name="Output 43 2 2" xfId="56065" xr:uid="{00000000-0005-0000-0000-0000FDDA0000}"/>
    <cellStyle name="Output 43 2 2 2" xfId="56066" xr:uid="{00000000-0005-0000-0000-0000FEDA0000}"/>
    <cellStyle name="Output 43 2 3" xfId="56067" xr:uid="{00000000-0005-0000-0000-0000FFDA0000}"/>
    <cellStyle name="Output 43 2 3 2" xfId="56068" xr:uid="{00000000-0005-0000-0000-000000DB0000}"/>
    <cellStyle name="Output 43 2 3 3" xfId="56069" xr:uid="{00000000-0005-0000-0000-000001DB0000}"/>
    <cellStyle name="Output 43 2 4" xfId="56070" xr:uid="{00000000-0005-0000-0000-000002DB0000}"/>
    <cellStyle name="Output 43 2 5" xfId="56071" xr:uid="{00000000-0005-0000-0000-000003DB0000}"/>
    <cellStyle name="Output 43 3" xfId="56072" xr:uid="{00000000-0005-0000-0000-000004DB0000}"/>
    <cellStyle name="Output 43 3 2" xfId="56073" xr:uid="{00000000-0005-0000-0000-000005DB0000}"/>
    <cellStyle name="Output 43 4" xfId="56074" xr:uid="{00000000-0005-0000-0000-000006DB0000}"/>
    <cellStyle name="Output 43 4 2" xfId="56075" xr:uid="{00000000-0005-0000-0000-000007DB0000}"/>
    <cellStyle name="Output 43 4 3" xfId="56076" xr:uid="{00000000-0005-0000-0000-000008DB0000}"/>
    <cellStyle name="Output 43 5" xfId="56077" xr:uid="{00000000-0005-0000-0000-000009DB0000}"/>
    <cellStyle name="Output 43 6" xfId="56078" xr:uid="{00000000-0005-0000-0000-00000ADB0000}"/>
    <cellStyle name="Output 44" xfId="56079" xr:uid="{00000000-0005-0000-0000-00000BDB0000}"/>
    <cellStyle name="Output 44 2" xfId="56080" xr:uid="{00000000-0005-0000-0000-00000CDB0000}"/>
    <cellStyle name="Output 44 2 2" xfId="56081" xr:uid="{00000000-0005-0000-0000-00000DDB0000}"/>
    <cellStyle name="Output 44 2 2 2" xfId="56082" xr:uid="{00000000-0005-0000-0000-00000EDB0000}"/>
    <cellStyle name="Output 44 2 3" xfId="56083" xr:uid="{00000000-0005-0000-0000-00000FDB0000}"/>
    <cellStyle name="Output 44 2 3 2" xfId="56084" xr:uid="{00000000-0005-0000-0000-000010DB0000}"/>
    <cellStyle name="Output 44 2 3 3" xfId="56085" xr:uid="{00000000-0005-0000-0000-000011DB0000}"/>
    <cellStyle name="Output 44 2 4" xfId="56086" xr:uid="{00000000-0005-0000-0000-000012DB0000}"/>
    <cellStyle name="Output 44 2 5" xfId="56087" xr:uid="{00000000-0005-0000-0000-000013DB0000}"/>
    <cellStyle name="Output 44 3" xfId="56088" xr:uid="{00000000-0005-0000-0000-000014DB0000}"/>
    <cellStyle name="Output 44 3 2" xfId="56089" xr:uid="{00000000-0005-0000-0000-000015DB0000}"/>
    <cellStyle name="Output 44 4" xfId="56090" xr:uid="{00000000-0005-0000-0000-000016DB0000}"/>
    <cellStyle name="Output 44 4 2" xfId="56091" xr:uid="{00000000-0005-0000-0000-000017DB0000}"/>
    <cellStyle name="Output 44 4 3" xfId="56092" xr:uid="{00000000-0005-0000-0000-000018DB0000}"/>
    <cellStyle name="Output 44 5" xfId="56093" xr:uid="{00000000-0005-0000-0000-000019DB0000}"/>
    <cellStyle name="Output 44 6" xfId="56094" xr:uid="{00000000-0005-0000-0000-00001ADB0000}"/>
    <cellStyle name="Output 45" xfId="56095" xr:uid="{00000000-0005-0000-0000-00001BDB0000}"/>
    <cellStyle name="Output 45 2" xfId="56096" xr:uid="{00000000-0005-0000-0000-00001CDB0000}"/>
    <cellStyle name="Output 45 2 2" xfId="56097" xr:uid="{00000000-0005-0000-0000-00001DDB0000}"/>
    <cellStyle name="Output 45 2 2 2" xfId="56098" xr:uid="{00000000-0005-0000-0000-00001EDB0000}"/>
    <cellStyle name="Output 45 2 3" xfId="56099" xr:uid="{00000000-0005-0000-0000-00001FDB0000}"/>
    <cellStyle name="Output 45 2 3 2" xfId="56100" xr:uid="{00000000-0005-0000-0000-000020DB0000}"/>
    <cellStyle name="Output 45 2 3 3" xfId="56101" xr:uid="{00000000-0005-0000-0000-000021DB0000}"/>
    <cellStyle name="Output 45 2 4" xfId="56102" xr:uid="{00000000-0005-0000-0000-000022DB0000}"/>
    <cellStyle name="Output 45 2 5" xfId="56103" xr:uid="{00000000-0005-0000-0000-000023DB0000}"/>
    <cellStyle name="Output 45 3" xfId="56104" xr:uid="{00000000-0005-0000-0000-000024DB0000}"/>
    <cellStyle name="Output 45 3 2" xfId="56105" xr:uid="{00000000-0005-0000-0000-000025DB0000}"/>
    <cellStyle name="Output 45 4" xfId="56106" xr:uid="{00000000-0005-0000-0000-000026DB0000}"/>
    <cellStyle name="Output 45 4 2" xfId="56107" xr:uid="{00000000-0005-0000-0000-000027DB0000}"/>
    <cellStyle name="Output 45 4 3" xfId="56108" xr:uid="{00000000-0005-0000-0000-000028DB0000}"/>
    <cellStyle name="Output 45 5" xfId="56109" xr:uid="{00000000-0005-0000-0000-000029DB0000}"/>
    <cellStyle name="Output 45 6" xfId="56110" xr:uid="{00000000-0005-0000-0000-00002ADB0000}"/>
    <cellStyle name="Output 46" xfId="56111" xr:uid="{00000000-0005-0000-0000-00002BDB0000}"/>
    <cellStyle name="Output 46 2" xfId="56112" xr:uid="{00000000-0005-0000-0000-00002CDB0000}"/>
    <cellStyle name="Output 46 2 2" xfId="56113" xr:uid="{00000000-0005-0000-0000-00002DDB0000}"/>
    <cellStyle name="Output 46 2 2 2" xfId="56114" xr:uid="{00000000-0005-0000-0000-00002EDB0000}"/>
    <cellStyle name="Output 46 2 3" xfId="56115" xr:uid="{00000000-0005-0000-0000-00002FDB0000}"/>
    <cellStyle name="Output 46 2 3 2" xfId="56116" xr:uid="{00000000-0005-0000-0000-000030DB0000}"/>
    <cellStyle name="Output 46 2 3 3" xfId="56117" xr:uid="{00000000-0005-0000-0000-000031DB0000}"/>
    <cellStyle name="Output 46 2 4" xfId="56118" xr:uid="{00000000-0005-0000-0000-000032DB0000}"/>
    <cellStyle name="Output 46 2 5" xfId="56119" xr:uid="{00000000-0005-0000-0000-000033DB0000}"/>
    <cellStyle name="Output 46 3" xfId="56120" xr:uid="{00000000-0005-0000-0000-000034DB0000}"/>
    <cellStyle name="Output 46 3 2" xfId="56121" xr:uid="{00000000-0005-0000-0000-000035DB0000}"/>
    <cellStyle name="Output 46 4" xfId="56122" xr:uid="{00000000-0005-0000-0000-000036DB0000}"/>
    <cellStyle name="Output 46 4 2" xfId="56123" xr:uid="{00000000-0005-0000-0000-000037DB0000}"/>
    <cellStyle name="Output 46 4 3" xfId="56124" xr:uid="{00000000-0005-0000-0000-000038DB0000}"/>
    <cellStyle name="Output 46 5" xfId="56125" xr:uid="{00000000-0005-0000-0000-000039DB0000}"/>
    <cellStyle name="Output 46 6" xfId="56126" xr:uid="{00000000-0005-0000-0000-00003ADB0000}"/>
    <cellStyle name="Output 47" xfId="56127" xr:uid="{00000000-0005-0000-0000-00003BDB0000}"/>
    <cellStyle name="Output 47 2" xfId="56128" xr:uid="{00000000-0005-0000-0000-00003CDB0000}"/>
    <cellStyle name="Output 47 2 2" xfId="56129" xr:uid="{00000000-0005-0000-0000-00003DDB0000}"/>
    <cellStyle name="Output 47 2 2 2" xfId="56130" xr:uid="{00000000-0005-0000-0000-00003EDB0000}"/>
    <cellStyle name="Output 47 2 3" xfId="56131" xr:uid="{00000000-0005-0000-0000-00003FDB0000}"/>
    <cellStyle name="Output 47 2 3 2" xfId="56132" xr:uid="{00000000-0005-0000-0000-000040DB0000}"/>
    <cellStyle name="Output 47 2 3 3" xfId="56133" xr:uid="{00000000-0005-0000-0000-000041DB0000}"/>
    <cellStyle name="Output 47 2 4" xfId="56134" xr:uid="{00000000-0005-0000-0000-000042DB0000}"/>
    <cellStyle name="Output 47 2 5" xfId="56135" xr:uid="{00000000-0005-0000-0000-000043DB0000}"/>
    <cellStyle name="Output 47 3" xfId="56136" xr:uid="{00000000-0005-0000-0000-000044DB0000}"/>
    <cellStyle name="Output 47 3 2" xfId="56137" xr:uid="{00000000-0005-0000-0000-000045DB0000}"/>
    <cellStyle name="Output 47 4" xfId="56138" xr:uid="{00000000-0005-0000-0000-000046DB0000}"/>
    <cellStyle name="Output 47 4 2" xfId="56139" xr:uid="{00000000-0005-0000-0000-000047DB0000}"/>
    <cellStyle name="Output 47 4 3" xfId="56140" xr:uid="{00000000-0005-0000-0000-000048DB0000}"/>
    <cellStyle name="Output 47 5" xfId="56141" xr:uid="{00000000-0005-0000-0000-000049DB0000}"/>
    <cellStyle name="Output 47 6" xfId="56142" xr:uid="{00000000-0005-0000-0000-00004ADB0000}"/>
    <cellStyle name="Output 48" xfId="56143" xr:uid="{00000000-0005-0000-0000-00004BDB0000}"/>
    <cellStyle name="Output 48 2" xfId="56144" xr:uid="{00000000-0005-0000-0000-00004CDB0000}"/>
    <cellStyle name="Output 48 2 2" xfId="56145" xr:uid="{00000000-0005-0000-0000-00004DDB0000}"/>
    <cellStyle name="Output 48 2 2 2" xfId="56146" xr:uid="{00000000-0005-0000-0000-00004EDB0000}"/>
    <cellStyle name="Output 48 2 3" xfId="56147" xr:uid="{00000000-0005-0000-0000-00004FDB0000}"/>
    <cellStyle name="Output 48 2 3 2" xfId="56148" xr:uid="{00000000-0005-0000-0000-000050DB0000}"/>
    <cellStyle name="Output 48 2 3 3" xfId="56149" xr:uid="{00000000-0005-0000-0000-000051DB0000}"/>
    <cellStyle name="Output 48 2 4" xfId="56150" xr:uid="{00000000-0005-0000-0000-000052DB0000}"/>
    <cellStyle name="Output 48 2 5" xfId="56151" xr:uid="{00000000-0005-0000-0000-000053DB0000}"/>
    <cellStyle name="Output 48 3" xfId="56152" xr:uid="{00000000-0005-0000-0000-000054DB0000}"/>
    <cellStyle name="Output 48 3 2" xfId="56153" xr:uid="{00000000-0005-0000-0000-000055DB0000}"/>
    <cellStyle name="Output 48 4" xfId="56154" xr:uid="{00000000-0005-0000-0000-000056DB0000}"/>
    <cellStyle name="Output 48 4 2" xfId="56155" xr:uid="{00000000-0005-0000-0000-000057DB0000}"/>
    <cellStyle name="Output 48 4 3" xfId="56156" xr:uid="{00000000-0005-0000-0000-000058DB0000}"/>
    <cellStyle name="Output 48 5" xfId="56157" xr:uid="{00000000-0005-0000-0000-000059DB0000}"/>
    <cellStyle name="Output 48 6" xfId="56158" xr:uid="{00000000-0005-0000-0000-00005ADB0000}"/>
    <cellStyle name="Output 49" xfId="56159" xr:uid="{00000000-0005-0000-0000-00005BDB0000}"/>
    <cellStyle name="Output 49 2" xfId="56160" xr:uid="{00000000-0005-0000-0000-00005CDB0000}"/>
    <cellStyle name="Output 49 2 2" xfId="56161" xr:uid="{00000000-0005-0000-0000-00005DDB0000}"/>
    <cellStyle name="Output 49 2 2 2" xfId="56162" xr:uid="{00000000-0005-0000-0000-00005EDB0000}"/>
    <cellStyle name="Output 49 2 3" xfId="56163" xr:uid="{00000000-0005-0000-0000-00005FDB0000}"/>
    <cellStyle name="Output 49 2 3 2" xfId="56164" xr:uid="{00000000-0005-0000-0000-000060DB0000}"/>
    <cellStyle name="Output 49 2 3 3" xfId="56165" xr:uid="{00000000-0005-0000-0000-000061DB0000}"/>
    <cellStyle name="Output 49 2 4" xfId="56166" xr:uid="{00000000-0005-0000-0000-000062DB0000}"/>
    <cellStyle name="Output 49 2 5" xfId="56167" xr:uid="{00000000-0005-0000-0000-000063DB0000}"/>
    <cellStyle name="Output 49 3" xfId="56168" xr:uid="{00000000-0005-0000-0000-000064DB0000}"/>
    <cellStyle name="Output 49 3 2" xfId="56169" xr:uid="{00000000-0005-0000-0000-000065DB0000}"/>
    <cellStyle name="Output 49 4" xfId="56170" xr:uid="{00000000-0005-0000-0000-000066DB0000}"/>
    <cellStyle name="Output 49 4 2" xfId="56171" xr:uid="{00000000-0005-0000-0000-000067DB0000}"/>
    <cellStyle name="Output 49 4 3" xfId="56172" xr:uid="{00000000-0005-0000-0000-000068DB0000}"/>
    <cellStyle name="Output 49 5" xfId="56173" xr:uid="{00000000-0005-0000-0000-000069DB0000}"/>
    <cellStyle name="Output 49 6" xfId="56174" xr:uid="{00000000-0005-0000-0000-00006ADB0000}"/>
    <cellStyle name="Output 5" xfId="56175" xr:uid="{00000000-0005-0000-0000-00006BDB0000}"/>
    <cellStyle name="Output 5 2" xfId="56176" xr:uid="{00000000-0005-0000-0000-00006CDB0000}"/>
    <cellStyle name="Output 5 2 2" xfId="56177" xr:uid="{00000000-0005-0000-0000-00006DDB0000}"/>
    <cellStyle name="Output 5 2 2 2" xfId="56178" xr:uid="{00000000-0005-0000-0000-00006EDB0000}"/>
    <cellStyle name="Output 5 2 3" xfId="56179" xr:uid="{00000000-0005-0000-0000-00006FDB0000}"/>
    <cellStyle name="Output 5 2 3 2" xfId="56180" xr:uid="{00000000-0005-0000-0000-000070DB0000}"/>
    <cellStyle name="Output 5 2 3 3" xfId="56181" xr:uid="{00000000-0005-0000-0000-000071DB0000}"/>
    <cellStyle name="Output 5 2 4" xfId="56182" xr:uid="{00000000-0005-0000-0000-000072DB0000}"/>
    <cellStyle name="Output 5 3" xfId="56183" xr:uid="{00000000-0005-0000-0000-000073DB0000}"/>
    <cellStyle name="Output 5 3 2" xfId="56184" xr:uid="{00000000-0005-0000-0000-000074DB0000}"/>
    <cellStyle name="Output 5 4" xfId="56185" xr:uid="{00000000-0005-0000-0000-000075DB0000}"/>
    <cellStyle name="Output 5 4 2" xfId="56186" xr:uid="{00000000-0005-0000-0000-000076DB0000}"/>
    <cellStyle name="Output 5 4 3" xfId="56187" xr:uid="{00000000-0005-0000-0000-000077DB0000}"/>
    <cellStyle name="Output 5 5" xfId="56188" xr:uid="{00000000-0005-0000-0000-000078DB0000}"/>
    <cellStyle name="Output 5 6" xfId="56189" xr:uid="{00000000-0005-0000-0000-000079DB0000}"/>
    <cellStyle name="Output 50" xfId="56190" xr:uid="{00000000-0005-0000-0000-00007ADB0000}"/>
    <cellStyle name="Output 50 2" xfId="56191" xr:uid="{00000000-0005-0000-0000-00007BDB0000}"/>
    <cellStyle name="Output 50 2 2" xfId="56192" xr:uid="{00000000-0005-0000-0000-00007CDB0000}"/>
    <cellStyle name="Output 50 2 2 2" xfId="56193" xr:uid="{00000000-0005-0000-0000-00007DDB0000}"/>
    <cellStyle name="Output 50 2 3" xfId="56194" xr:uid="{00000000-0005-0000-0000-00007EDB0000}"/>
    <cellStyle name="Output 50 2 3 2" xfId="56195" xr:uid="{00000000-0005-0000-0000-00007FDB0000}"/>
    <cellStyle name="Output 50 2 3 3" xfId="56196" xr:uid="{00000000-0005-0000-0000-000080DB0000}"/>
    <cellStyle name="Output 50 2 4" xfId="56197" xr:uid="{00000000-0005-0000-0000-000081DB0000}"/>
    <cellStyle name="Output 50 2 5" xfId="56198" xr:uid="{00000000-0005-0000-0000-000082DB0000}"/>
    <cellStyle name="Output 50 3" xfId="56199" xr:uid="{00000000-0005-0000-0000-000083DB0000}"/>
    <cellStyle name="Output 50 3 2" xfId="56200" xr:uid="{00000000-0005-0000-0000-000084DB0000}"/>
    <cellStyle name="Output 50 4" xfId="56201" xr:uid="{00000000-0005-0000-0000-000085DB0000}"/>
    <cellStyle name="Output 50 4 2" xfId="56202" xr:uid="{00000000-0005-0000-0000-000086DB0000}"/>
    <cellStyle name="Output 50 4 3" xfId="56203" xr:uid="{00000000-0005-0000-0000-000087DB0000}"/>
    <cellStyle name="Output 50 5" xfId="56204" xr:uid="{00000000-0005-0000-0000-000088DB0000}"/>
    <cellStyle name="Output 50 6" xfId="56205" xr:uid="{00000000-0005-0000-0000-000089DB0000}"/>
    <cellStyle name="Output 51" xfId="56206" xr:uid="{00000000-0005-0000-0000-00008ADB0000}"/>
    <cellStyle name="Output 51 2" xfId="56207" xr:uid="{00000000-0005-0000-0000-00008BDB0000}"/>
    <cellStyle name="Output 51 2 2" xfId="56208" xr:uid="{00000000-0005-0000-0000-00008CDB0000}"/>
    <cellStyle name="Output 51 2 2 2" xfId="56209" xr:uid="{00000000-0005-0000-0000-00008DDB0000}"/>
    <cellStyle name="Output 51 2 3" xfId="56210" xr:uid="{00000000-0005-0000-0000-00008EDB0000}"/>
    <cellStyle name="Output 51 2 3 2" xfId="56211" xr:uid="{00000000-0005-0000-0000-00008FDB0000}"/>
    <cellStyle name="Output 51 2 3 3" xfId="56212" xr:uid="{00000000-0005-0000-0000-000090DB0000}"/>
    <cellStyle name="Output 51 2 4" xfId="56213" xr:uid="{00000000-0005-0000-0000-000091DB0000}"/>
    <cellStyle name="Output 51 2 5" xfId="56214" xr:uid="{00000000-0005-0000-0000-000092DB0000}"/>
    <cellStyle name="Output 51 3" xfId="56215" xr:uid="{00000000-0005-0000-0000-000093DB0000}"/>
    <cellStyle name="Output 51 3 2" xfId="56216" xr:uid="{00000000-0005-0000-0000-000094DB0000}"/>
    <cellStyle name="Output 51 4" xfId="56217" xr:uid="{00000000-0005-0000-0000-000095DB0000}"/>
    <cellStyle name="Output 51 4 2" xfId="56218" xr:uid="{00000000-0005-0000-0000-000096DB0000}"/>
    <cellStyle name="Output 51 4 3" xfId="56219" xr:uid="{00000000-0005-0000-0000-000097DB0000}"/>
    <cellStyle name="Output 51 5" xfId="56220" xr:uid="{00000000-0005-0000-0000-000098DB0000}"/>
    <cellStyle name="Output 51 6" xfId="56221" xr:uid="{00000000-0005-0000-0000-000099DB0000}"/>
    <cellStyle name="Output 52" xfId="56222" xr:uid="{00000000-0005-0000-0000-00009ADB0000}"/>
    <cellStyle name="Output 52 2" xfId="56223" xr:uid="{00000000-0005-0000-0000-00009BDB0000}"/>
    <cellStyle name="Output 52 2 2" xfId="56224" xr:uid="{00000000-0005-0000-0000-00009CDB0000}"/>
    <cellStyle name="Output 52 2 2 2" xfId="56225" xr:uid="{00000000-0005-0000-0000-00009DDB0000}"/>
    <cellStyle name="Output 52 2 3" xfId="56226" xr:uid="{00000000-0005-0000-0000-00009EDB0000}"/>
    <cellStyle name="Output 52 2 3 2" xfId="56227" xr:uid="{00000000-0005-0000-0000-00009FDB0000}"/>
    <cellStyle name="Output 52 2 3 3" xfId="56228" xr:uid="{00000000-0005-0000-0000-0000A0DB0000}"/>
    <cellStyle name="Output 52 2 4" xfId="56229" xr:uid="{00000000-0005-0000-0000-0000A1DB0000}"/>
    <cellStyle name="Output 52 2 5" xfId="56230" xr:uid="{00000000-0005-0000-0000-0000A2DB0000}"/>
    <cellStyle name="Output 52 3" xfId="56231" xr:uid="{00000000-0005-0000-0000-0000A3DB0000}"/>
    <cellStyle name="Output 52 3 2" xfId="56232" xr:uid="{00000000-0005-0000-0000-0000A4DB0000}"/>
    <cellStyle name="Output 52 4" xfId="56233" xr:uid="{00000000-0005-0000-0000-0000A5DB0000}"/>
    <cellStyle name="Output 52 4 2" xfId="56234" xr:uid="{00000000-0005-0000-0000-0000A6DB0000}"/>
    <cellStyle name="Output 52 4 3" xfId="56235" xr:uid="{00000000-0005-0000-0000-0000A7DB0000}"/>
    <cellStyle name="Output 52 5" xfId="56236" xr:uid="{00000000-0005-0000-0000-0000A8DB0000}"/>
    <cellStyle name="Output 52 6" xfId="56237" xr:uid="{00000000-0005-0000-0000-0000A9DB0000}"/>
    <cellStyle name="Output 53" xfId="56238" xr:uid="{00000000-0005-0000-0000-0000AADB0000}"/>
    <cellStyle name="Output 53 2" xfId="56239" xr:uid="{00000000-0005-0000-0000-0000ABDB0000}"/>
    <cellStyle name="Output 53 2 2" xfId="56240" xr:uid="{00000000-0005-0000-0000-0000ACDB0000}"/>
    <cellStyle name="Output 53 2 2 2" xfId="56241" xr:uid="{00000000-0005-0000-0000-0000ADDB0000}"/>
    <cellStyle name="Output 53 2 3" xfId="56242" xr:uid="{00000000-0005-0000-0000-0000AEDB0000}"/>
    <cellStyle name="Output 53 2 3 2" xfId="56243" xr:uid="{00000000-0005-0000-0000-0000AFDB0000}"/>
    <cellStyle name="Output 53 2 3 3" xfId="56244" xr:uid="{00000000-0005-0000-0000-0000B0DB0000}"/>
    <cellStyle name="Output 53 2 4" xfId="56245" xr:uid="{00000000-0005-0000-0000-0000B1DB0000}"/>
    <cellStyle name="Output 53 2 5" xfId="56246" xr:uid="{00000000-0005-0000-0000-0000B2DB0000}"/>
    <cellStyle name="Output 53 3" xfId="56247" xr:uid="{00000000-0005-0000-0000-0000B3DB0000}"/>
    <cellStyle name="Output 53 3 2" xfId="56248" xr:uid="{00000000-0005-0000-0000-0000B4DB0000}"/>
    <cellStyle name="Output 53 4" xfId="56249" xr:uid="{00000000-0005-0000-0000-0000B5DB0000}"/>
    <cellStyle name="Output 53 4 2" xfId="56250" xr:uid="{00000000-0005-0000-0000-0000B6DB0000}"/>
    <cellStyle name="Output 53 4 3" xfId="56251" xr:uid="{00000000-0005-0000-0000-0000B7DB0000}"/>
    <cellStyle name="Output 53 5" xfId="56252" xr:uid="{00000000-0005-0000-0000-0000B8DB0000}"/>
    <cellStyle name="Output 53 6" xfId="56253" xr:uid="{00000000-0005-0000-0000-0000B9DB0000}"/>
    <cellStyle name="Output 54" xfId="56254" xr:uid="{00000000-0005-0000-0000-0000BADB0000}"/>
    <cellStyle name="Output 54 2" xfId="56255" xr:uid="{00000000-0005-0000-0000-0000BBDB0000}"/>
    <cellStyle name="Output 54 2 2" xfId="56256" xr:uid="{00000000-0005-0000-0000-0000BCDB0000}"/>
    <cellStyle name="Output 54 2 2 2" xfId="56257" xr:uid="{00000000-0005-0000-0000-0000BDDB0000}"/>
    <cellStyle name="Output 54 2 3" xfId="56258" xr:uid="{00000000-0005-0000-0000-0000BEDB0000}"/>
    <cellStyle name="Output 54 2 3 2" xfId="56259" xr:uid="{00000000-0005-0000-0000-0000BFDB0000}"/>
    <cellStyle name="Output 54 2 3 3" xfId="56260" xr:uid="{00000000-0005-0000-0000-0000C0DB0000}"/>
    <cellStyle name="Output 54 2 4" xfId="56261" xr:uid="{00000000-0005-0000-0000-0000C1DB0000}"/>
    <cellStyle name="Output 54 2 5" xfId="56262" xr:uid="{00000000-0005-0000-0000-0000C2DB0000}"/>
    <cellStyle name="Output 54 3" xfId="56263" xr:uid="{00000000-0005-0000-0000-0000C3DB0000}"/>
    <cellStyle name="Output 54 3 2" xfId="56264" xr:uid="{00000000-0005-0000-0000-0000C4DB0000}"/>
    <cellStyle name="Output 54 4" xfId="56265" xr:uid="{00000000-0005-0000-0000-0000C5DB0000}"/>
    <cellStyle name="Output 54 4 2" xfId="56266" xr:uid="{00000000-0005-0000-0000-0000C6DB0000}"/>
    <cellStyle name="Output 54 4 3" xfId="56267" xr:uid="{00000000-0005-0000-0000-0000C7DB0000}"/>
    <cellStyle name="Output 54 5" xfId="56268" xr:uid="{00000000-0005-0000-0000-0000C8DB0000}"/>
    <cellStyle name="Output 54 6" xfId="56269" xr:uid="{00000000-0005-0000-0000-0000C9DB0000}"/>
    <cellStyle name="Output 55" xfId="56270" xr:uid="{00000000-0005-0000-0000-0000CADB0000}"/>
    <cellStyle name="Output 55 2" xfId="56271" xr:uid="{00000000-0005-0000-0000-0000CBDB0000}"/>
    <cellStyle name="Output 55 2 2" xfId="56272" xr:uid="{00000000-0005-0000-0000-0000CCDB0000}"/>
    <cellStyle name="Output 55 2 2 2" xfId="56273" xr:uid="{00000000-0005-0000-0000-0000CDDB0000}"/>
    <cellStyle name="Output 55 2 3" xfId="56274" xr:uid="{00000000-0005-0000-0000-0000CEDB0000}"/>
    <cellStyle name="Output 55 2 3 2" xfId="56275" xr:uid="{00000000-0005-0000-0000-0000CFDB0000}"/>
    <cellStyle name="Output 55 2 3 3" xfId="56276" xr:uid="{00000000-0005-0000-0000-0000D0DB0000}"/>
    <cellStyle name="Output 55 2 4" xfId="56277" xr:uid="{00000000-0005-0000-0000-0000D1DB0000}"/>
    <cellStyle name="Output 55 2 5" xfId="56278" xr:uid="{00000000-0005-0000-0000-0000D2DB0000}"/>
    <cellStyle name="Output 55 3" xfId="56279" xr:uid="{00000000-0005-0000-0000-0000D3DB0000}"/>
    <cellStyle name="Output 55 3 2" xfId="56280" xr:uid="{00000000-0005-0000-0000-0000D4DB0000}"/>
    <cellStyle name="Output 55 4" xfId="56281" xr:uid="{00000000-0005-0000-0000-0000D5DB0000}"/>
    <cellStyle name="Output 55 4 2" xfId="56282" xr:uid="{00000000-0005-0000-0000-0000D6DB0000}"/>
    <cellStyle name="Output 55 4 3" xfId="56283" xr:uid="{00000000-0005-0000-0000-0000D7DB0000}"/>
    <cellStyle name="Output 55 5" xfId="56284" xr:uid="{00000000-0005-0000-0000-0000D8DB0000}"/>
    <cellStyle name="Output 55 6" xfId="56285" xr:uid="{00000000-0005-0000-0000-0000D9DB0000}"/>
    <cellStyle name="Output 56" xfId="56286" xr:uid="{00000000-0005-0000-0000-0000DADB0000}"/>
    <cellStyle name="Output 56 2" xfId="56287" xr:uid="{00000000-0005-0000-0000-0000DBDB0000}"/>
    <cellStyle name="Output 56 2 2" xfId="56288" xr:uid="{00000000-0005-0000-0000-0000DCDB0000}"/>
    <cellStyle name="Output 56 2 2 2" xfId="56289" xr:uid="{00000000-0005-0000-0000-0000DDDB0000}"/>
    <cellStyle name="Output 56 2 3" xfId="56290" xr:uid="{00000000-0005-0000-0000-0000DEDB0000}"/>
    <cellStyle name="Output 56 2 3 2" xfId="56291" xr:uid="{00000000-0005-0000-0000-0000DFDB0000}"/>
    <cellStyle name="Output 56 2 3 3" xfId="56292" xr:uid="{00000000-0005-0000-0000-0000E0DB0000}"/>
    <cellStyle name="Output 56 2 4" xfId="56293" xr:uid="{00000000-0005-0000-0000-0000E1DB0000}"/>
    <cellStyle name="Output 56 2 5" xfId="56294" xr:uid="{00000000-0005-0000-0000-0000E2DB0000}"/>
    <cellStyle name="Output 56 3" xfId="56295" xr:uid="{00000000-0005-0000-0000-0000E3DB0000}"/>
    <cellStyle name="Output 56 3 2" xfId="56296" xr:uid="{00000000-0005-0000-0000-0000E4DB0000}"/>
    <cellStyle name="Output 56 4" xfId="56297" xr:uid="{00000000-0005-0000-0000-0000E5DB0000}"/>
    <cellStyle name="Output 56 4 2" xfId="56298" xr:uid="{00000000-0005-0000-0000-0000E6DB0000}"/>
    <cellStyle name="Output 56 4 3" xfId="56299" xr:uid="{00000000-0005-0000-0000-0000E7DB0000}"/>
    <cellStyle name="Output 56 5" xfId="56300" xr:uid="{00000000-0005-0000-0000-0000E8DB0000}"/>
    <cellStyle name="Output 56 6" xfId="56301" xr:uid="{00000000-0005-0000-0000-0000E9DB0000}"/>
    <cellStyle name="Output 57" xfId="56302" xr:uid="{00000000-0005-0000-0000-0000EADB0000}"/>
    <cellStyle name="Output 57 2" xfId="56303" xr:uid="{00000000-0005-0000-0000-0000EBDB0000}"/>
    <cellStyle name="Output 57 2 2" xfId="56304" xr:uid="{00000000-0005-0000-0000-0000ECDB0000}"/>
    <cellStyle name="Output 57 2 2 2" xfId="56305" xr:uid="{00000000-0005-0000-0000-0000EDDB0000}"/>
    <cellStyle name="Output 57 2 3" xfId="56306" xr:uid="{00000000-0005-0000-0000-0000EEDB0000}"/>
    <cellStyle name="Output 57 2 3 2" xfId="56307" xr:uid="{00000000-0005-0000-0000-0000EFDB0000}"/>
    <cellStyle name="Output 57 2 3 3" xfId="56308" xr:uid="{00000000-0005-0000-0000-0000F0DB0000}"/>
    <cellStyle name="Output 57 2 4" xfId="56309" xr:uid="{00000000-0005-0000-0000-0000F1DB0000}"/>
    <cellStyle name="Output 57 2 5" xfId="56310" xr:uid="{00000000-0005-0000-0000-0000F2DB0000}"/>
    <cellStyle name="Output 57 3" xfId="56311" xr:uid="{00000000-0005-0000-0000-0000F3DB0000}"/>
    <cellStyle name="Output 57 3 2" xfId="56312" xr:uid="{00000000-0005-0000-0000-0000F4DB0000}"/>
    <cellStyle name="Output 57 4" xfId="56313" xr:uid="{00000000-0005-0000-0000-0000F5DB0000}"/>
    <cellStyle name="Output 57 4 2" xfId="56314" xr:uid="{00000000-0005-0000-0000-0000F6DB0000}"/>
    <cellStyle name="Output 57 4 3" xfId="56315" xr:uid="{00000000-0005-0000-0000-0000F7DB0000}"/>
    <cellStyle name="Output 57 5" xfId="56316" xr:uid="{00000000-0005-0000-0000-0000F8DB0000}"/>
    <cellStyle name="Output 57 6" xfId="56317" xr:uid="{00000000-0005-0000-0000-0000F9DB0000}"/>
    <cellStyle name="Output 58" xfId="56318" xr:uid="{00000000-0005-0000-0000-0000FADB0000}"/>
    <cellStyle name="Output 58 2" xfId="56319" xr:uid="{00000000-0005-0000-0000-0000FBDB0000}"/>
    <cellStyle name="Output 58 2 2" xfId="56320" xr:uid="{00000000-0005-0000-0000-0000FCDB0000}"/>
    <cellStyle name="Output 58 2 2 2" xfId="56321" xr:uid="{00000000-0005-0000-0000-0000FDDB0000}"/>
    <cellStyle name="Output 58 2 3" xfId="56322" xr:uid="{00000000-0005-0000-0000-0000FEDB0000}"/>
    <cellStyle name="Output 58 2 3 2" xfId="56323" xr:uid="{00000000-0005-0000-0000-0000FFDB0000}"/>
    <cellStyle name="Output 58 2 3 3" xfId="56324" xr:uid="{00000000-0005-0000-0000-000000DC0000}"/>
    <cellStyle name="Output 58 2 4" xfId="56325" xr:uid="{00000000-0005-0000-0000-000001DC0000}"/>
    <cellStyle name="Output 58 2 5" xfId="56326" xr:uid="{00000000-0005-0000-0000-000002DC0000}"/>
    <cellStyle name="Output 58 3" xfId="56327" xr:uid="{00000000-0005-0000-0000-000003DC0000}"/>
    <cellStyle name="Output 58 3 2" xfId="56328" xr:uid="{00000000-0005-0000-0000-000004DC0000}"/>
    <cellStyle name="Output 58 4" xfId="56329" xr:uid="{00000000-0005-0000-0000-000005DC0000}"/>
    <cellStyle name="Output 58 4 2" xfId="56330" xr:uid="{00000000-0005-0000-0000-000006DC0000}"/>
    <cellStyle name="Output 58 4 3" xfId="56331" xr:uid="{00000000-0005-0000-0000-000007DC0000}"/>
    <cellStyle name="Output 58 5" xfId="56332" xr:uid="{00000000-0005-0000-0000-000008DC0000}"/>
    <cellStyle name="Output 58 6" xfId="56333" xr:uid="{00000000-0005-0000-0000-000009DC0000}"/>
    <cellStyle name="Output 59" xfId="56334" xr:uid="{00000000-0005-0000-0000-00000ADC0000}"/>
    <cellStyle name="Output 59 2" xfId="56335" xr:uid="{00000000-0005-0000-0000-00000BDC0000}"/>
    <cellStyle name="Output 59 2 2" xfId="56336" xr:uid="{00000000-0005-0000-0000-00000CDC0000}"/>
    <cellStyle name="Output 59 2 2 2" xfId="56337" xr:uid="{00000000-0005-0000-0000-00000DDC0000}"/>
    <cellStyle name="Output 59 2 3" xfId="56338" xr:uid="{00000000-0005-0000-0000-00000EDC0000}"/>
    <cellStyle name="Output 59 2 3 2" xfId="56339" xr:uid="{00000000-0005-0000-0000-00000FDC0000}"/>
    <cellStyle name="Output 59 2 3 3" xfId="56340" xr:uid="{00000000-0005-0000-0000-000010DC0000}"/>
    <cellStyle name="Output 59 2 4" xfId="56341" xr:uid="{00000000-0005-0000-0000-000011DC0000}"/>
    <cellStyle name="Output 59 3" xfId="56342" xr:uid="{00000000-0005-0000-0000-000012DC0000}"/>
    <cellStyle name="Output 59 3 2" xfId="56343" xr:uid="{00000000-0005-0000-0000-000013DC0000}"/>
    <cellStyle name="Output 59 4" xfId="56344" xr:uid="{00000000-0005-0000-0000-000014DC0000}"/>
    <cellStyle name="Output 59 4 2" xfId="56345" xr:uid="{00000000-0005-0000-0000-000015DC0000}"/>
    <cellStyle name="Output 59 4 3" xfId="56346" xr:uid="{00000000-0005-0000-0000-000016DC0000}"/>
    <cellStyle name="Output 59 5" xfId="56347" xr:uid="{00000000-0005-0000-0000-000017DC0000}"/>
    <cellStyle name="Output 59 6" xfId="56348" xr:uid="{00000000-0005-0000-0000-000018DC0000}"/>
    <cellStyle name="Output 6" xfId="56349" xr:uid="{00000000-0005-0000-0000-000019DC0000}"/>
    <cellStyle name="Output 6 2" xfId="56350" xr:uid="{00000000-0005-0000-0000-00001ADC0000}"/>
    <cellStyle name="Output 6 2 2" xfId="56351" xr:uid="{00000000-0005-0000-0000-00001BDC0000}"/>
    <cellStyle name="Output 6 2 2 2" xfId="56352" xr:uid="{00000000-0005-0000-0000-00001CDC0000}"/>
    <cellStyle name="Output 6 2 3" xfId="56353" xr:uid="{00000000-0005-0000-0000-00001DDC0000}"/>
    <cellStyle name="Output 6 2 3 2" xfId="56354" xr:uid="{00000000-0005-0000-0000-00001EDC0000}"/>
    <cellStyle name="Output 6 2 3 3" xfId="56355" xr:uid="{00000000-0005-0000-0000-00001FDC0000}"/>
    <cellStyle name="Output 6 2 4" xfId="56356" xr:uid="{00000000-0005-0000-0000-000020DC0000}"/>
    <cellStyle name="Output 6 3" xfId="56357" xr:uid="{00000000-0005-0000-0000-000021DC0000}"/>
    <cellStyle name="Output 6 3 2" xfId="56358" xr:uid="{00000000-0005-0000-0000-000022DC0000}"/>
    <cellStyle name="Output 6 4" xfId="56359" xr:uid="{00000000-0005-0000-0000-000023DC0000}"/>
    <cellStyle name="Output 6 4 2" xfId="56360" xr:uid="{00000000-0005-0000-0000-000024DC0000}"/>
    <cellStyle name="Output 6 4 3" xfId="56361" xr:uid="{00000000-0005-0000-0000-000025DC0000}"/>
    <cellStyle name="Output 6 5" xfId="56362" xr:uid="{00000000-0005-0000-0000-000026DC0000}"/>
    <cellStyle name="Output 6 6" xfId="56363" xr:uid="{00000000-0005-0000-0000-000027DC0000}"/>
    <cellStyle name="Output 60" xfId="56364" xr:uid="{00000000-0005-0000-0000-000028DC0000}"/>
    <cellStyle name="Output 60 2" xfId="56365" xr:uid="{00000000-0005-0000-0000-000029DC0000}"/>
    <cellStyle name="Output 60 2 2" xfId="56366" xr:uid="{00000000-0005-0000-0000-00002ADC0000}"/>
    <cellStyle name="Output 60 2 2 2" xfId="56367" xr:uid="{00000000-0005-0000-0000-00002BDC0000}"/>
    <cellStyle name="Output 60 2 3" xfId="56368" xr:uid="{00000000-0005-0000-0000-00002CDC0000}"/>
    <cellStyle name="Output 60 2 3 2" xfId="56369" xr:uid="{00000000-0005-0000-0000-00002DDC0000}"/>
    <cellStyle name="Output 60 2 3 3" xfId="56370" xr:uid="{00000000-0005-0000-0000-00002EDC0000}"/>
    <cellStyle name="Output 60 2 4" xfId="56371" xr:uid="{00000000-0005-0000-0000-00002FDC0000}"/>
    <cellStyle name="Output 60 2 5" xfId="56372" xr:uid="{00000000-0005-0000-0000-000030DC0000}"/>
    <cellStyle name="Output 60 3" xfId="56373" xr:uid="{00000000-0005-0000-0000-000031DC0000}"/>
    <cellStyle name="Output 60 3 2" xfId="56374" xr:uid="{00000000-0005-0000-0000-000032DC0000}"/>
    <cellStyle name="Output 60 4" xfId="56375" xr:uid="{00000000-0005-0000-0000-000033DC0000}"/>
    <cellStyle name="Output 60 4 2" xfId="56376" xr:uid="{00000000-0005-0000-0000-000034DC0000}"/>
    <cellStyle name="Output 60 4 3" xfId="56377" xr:uid="{00000000-0005-0000-0000-000035DC0000}"/>
    <cellStyle name="Output 60 5" xfId="56378" xr:uid="{00000000-0005-0000-0000-000036DC0000}"/>
    <cellStyle name="Output 60 6" xfId="56379" xr:uid="{00000000-0005-0000-0000-000037DC0000}"/>
    <cellStyle name="Output 61" xfId="56380" xr:uid="{00000000-0005-0000-0000-000038DC0000}"/>
    <cellStyle name="Output 61 2" xfId="56381" xr:uid="{00000000-0005-0000-0000-000039DC0000}"/>
    <cellStyle name="Output 61 2 2" xfId="56382" xr:uid="{00000000-0005-0000-0000-00003ADC0000}"/>
    <cellStyle name="Output 61 2 2 2" xfId="56383" xr:uid="{00000000-0005-0000-0000-00003BDC0000}"/>
    <cellStyle name="Output 61 2 3" xfId="56384" xr:uid="{00000000-0005-0000-0000-00003CDC0000}"/>
    <cellStyle name="Output 61 2 3 2" xfId="56385" xr:uid="{00000000-0005-0000-0000-00003DDC0000}"/>
    <cellStyle name="Output 61 2 3 3" xfId="56386" xr:uid="{00000000-0005-0000-0000-00003EDC0000}"/>
    <cellStyle name="Output 61 2 4" xfId="56387" xr:uid="{00000000-0005-0000-0000-00003FDC0000}"/>
    <cellStyle name="Output 61 2 5" xfId="56388" xr:uid="{00000000-0005-0000-0000-000040DC0000}"/>
    <cellStyle name="Output 61 3" xfId="56389" xr:uid="{00000000-0005-0000-0000-000041DC0000}"/>
    <cellStyle name="Output 61 3 2" xfId="56390" xr:uid="{00000000-0005-0000-0000-000042DC0000}"/>
    <cellStyle name="Output 61 4" xfId="56391" xr:uid="{00000000-0005-0000-0000-000043DC0000}"/>
    <cellStyle name="Output 61 4 2" xfId="56392" xr:uid="{00000000-0005-0000-0000-000044DC0000}"/>
    <cellStyle name="Output 61 4 3" xfId="56393" xr:uid="{00000000-0005-0000-0000-000045DC0000}"/>
    <cellStyle name="Output 61 5" xfId="56394" xr:uid="{00000000-0005-0000-0000-000046DC0000}"/>
    <cellStyle name="Output 61 6" xfId="56395" xr:uid="{00000000-0005-0000-0000-000047DC0000}"/>
    <cellStyle name="Output 62" xfId="56396" xr:uid="{00000000-0005-0000-0000-000048DC0000}"/>
    <cellStyle name="Output 62 2" xfId="56397" xr:uid="{00000000-0005-0000-0000-000049DC0000}"/>
    <cellStyle name="Output 62 2 2" xfId="56398" xr:uid="{00000000-0005-0000-0000-00004ADC0000}"/>
    <cellStyle name="Output 62 2 2 2" xfId="56399" xr:uid="{00000000-0005-0000-0000-00004BDC0000}"/>
    <cellStyle name="Output 62 2 3" xfId="56400" xr:uid="{00000000-0005-0000-0000-00004CDC0000}"/>
    <cellStyle name="Output 62 2 3 2" xfId="56401" xr:uid="{00000000-0005-0000-0000-00004DDC0000}"/>
    <cellStyle name="Output 62 2 3 3" xfId="56402" xr:uid="{00000000-0005-0000-0000-00004EDC0000}"/>
    <cellStyle name="Output 62 2 4" xfId="56403" xr:uid="{00000000-0005-0000-0000-00004FDC0000}"/>
    <cellStyle name="Output 62 2 5" xfId="56404" xr:uid="{00000000-0005-0000-0000-000050DC0000}"/>
    <cellStyle name="Output 62 3" xfId="56405" xr:uid="{00000000-0005-0000-0000-000051DC0000}"/>
    <cellStyle name="Output 62 3 2" xfId="56406" xr:uid="{00000000-0005-0000-0000-000052DC0000}"/>
    <cellStyle name="Output 62 4" xfId="56407" xr:uid="{00000000-0005-0000-0000-000053DC0000}"/>
    <cellStyle name="Output 62 4 2" xfId="56408" xr:uid="{00000000-0005-0000-0000-000054DC0000}"/>
    <cellStyle name="Output 62 4 3" xfId="56409" xr:uid="{00000000-0005-0000-0000-000055DC0000}"/>
    <cellStyle name="Output 62 5" xfId="56410" xr:uid="{00000000-0005-0000-0000-000056DC0000}"/>
    <cellStyle name="Output 62 6" xfId="56411" xr:uid="{00000000-0005-0000-0000-000057DC0000}"/>
    <cellStyle name="Output 63" xfId="56412" xr:uid="{00000000-0005-0000-0000-000058DC0000}"/>
    <cellStyle name="Output 63 2" xfId="56413" xr:uid="{00000000-0005-0000-0000-000059DC0000}"/>
    <cellStyle name="Output 63 2 2" xfId="56414" xr:uid="{00000000-0005-0000-0000-00005ADC0000}"/>
    <cellStyle name="Output 63 2 2 2" xfId="56415" xr:uid="{00000000-0005-0000-0000-00005BDC0000}"/>
    <cellStyle name="Output 63 2 3" xfId="56416" xr:uid="{00000000-0005-0000-0000-00005CDC0000}"/>
    <cellStyle name="Output 63 2 3 2" xfId="56417" xr:uid="{00000000-0005-0000-0000-00005DDC0000}"/>
    <cellStyle name="Output 63 2 3 3" xfId="56418" xr:uid="{00000000-0005-0000-0000-00005EDC0000}"/>
    <cellStyle name="Output 63 2 4" xfId="56419" xr:uid="{00000000-0005-0000-0000-00005FDC0000}"/>
    <cellStyle name="Output 63 2 5" xfId="56420" xr:uid="{00000000-0005-0000-0000-000060DC0000}"/>
    <cellStyle name="Output 63 3" xfId="56421" xr:uid="{00000000-0005-0000-0000-000061DC0000}"/>
    <cellStyle name="Output 63 3 2" xfId="56422" xr:uid="{00000000-0005-0000-0000-000062DC0000}"/>
    <cellStyle name="Output 63 4" xfId="56423" xr:uid="{00000000-0005-0000-0000-000063DC0000}"/>
    <cellStyle name="Output 63 4 2" xfId="56424" xr:uid="{00000000-0005-0000-0000-000064DC0000}"/>
    <cellStyle name="Output 63 4 3" xfId="56425" xr:uid="{00000000-0005-0000-0000-000065DC0000}"/>
    <cellStyle name="Output 63 5" xfId="56426" xr:uid="{00000000-0005-0000-0000-000066DC0000}"/>
    <cellStyle name="Output 63 6" xfId="56427" xr:uid="{00000000-0005-0000-0000-000067DC0000}"/>
    <cellStyle name="Output 64" xfId="56428" xr:uid="{00000000-0005-0000-0000-000068DC0000}"/>
    <cellStyle name="Output 64 2" xfId="56429" xr:uid="{00000000-0005-0000-0000-000069DC0000}"/>
    <cellStyle name="Output 64 2 2" xfId="56430" xr:uid="{00000000-0005-0000-0000-00006ADC0000}"/>
    <cellStyle name="Output 64 2 2 2" xfId="56431" xr:uid="{00000000-0005-0000-0000-00006BDC0000}"/>
    <cellStyle name="Output 64 2 3" xfId="56432" xr:uid="{00000000-0005-0000-0000-00006CDC0000}"/>
    <cellStyle name="Output 64 2 3 2" xfId="56433" xr:uid="{00000000-0005-0000-0000-00006DDC0000}"/>
    <cellStyle name="Output 64 2 3 3" xfId="56434" xr:uid="{00000000-0005-0000-0000-00006EDC0000}"/>
    <cellStyle name="Output 64 2 4" xfId="56435" xr:uid="{00000000-0005-0000-0000-00006FDC0000}"/>
    <cellStyle name="Output 64 2 5" xfId="56436" xr:uid="{00000000-0005-0000-0000-000070DC0000}"/>
    <cellStyle name="Output 64 3" xfId="56437" xr:uid="{00000000-0005-0000-0000-000071DC0000}"/>
    <cellStyle name="Output 64 3 2" xfId="56438" xr:uid="{00000000-0005-0000-0000-000072DC0000}"/>
    <cellStyle name="Output 64 4" xfId="56439" xr:uid="{00000000-0005-0000-0000-000073DC0000}"/>
    <cellStyle name="Output 64 4 2" xfId="56440" xr:uid="{00000000-0005-0000-0000-000074DC0000}"/>
    <cellStyle name="Output 64 4 3" xfId="56441" xr:uid="{00000000-0005-0000-0000-000075DC0000}"/>
    <cellStyle name="Output 64 5" xfId="56442" xr:uid="{00000000-0005-0000-0000-000076DC0000}"/>
    <cellStyle name="Output 64 6" xfId="56443" xr:uid="{00000000-0005-0000-0000-000077DC0000}"/>
    <cellStyle name="Output 65" xfId="56444" xr:uid="{00000000-0005-0000-0000-000078DC0000}"/>
    <cellStyle name="Output 65 2" xfId="56445" xr:uid="{00000000-0005-0000-0000-000079DC0000}"/>
    <cellStyle name="Output 65 2 2" xfId="56446" xr:uid="{00000000-0005-0000-0000-00007ADC0000}"/>
    <cellStyle name="Output 65 2 2 2" xfId="56447" xr:uid="{00000000-0005-0000-0000-00007BDC0000}"/>
    <cellStyle name="Output 65 2 3" xfId="56448" xr:uid="{00000000-0005-0000-0000-00007CDC0000}"/>
    <cellStyle name="Output 65 2 3 2" xfId="56449" xr:uid="{00000000-0005-0000-0000-00007DDC0000}"/>
    <cellStyle name="Output 65 2 3 3" xfId="56450" xr:uid="{00000000-0005-0000-0000-00007EDC0000}"/>
    <cellStyle name="Output 65 2 4" xfId="56451" xr:uid="{00000000-0005-0000-0000-00007FDC0000}"/>
    <cellStyle name="Output 65 2 5" xfId="56452" xr:uid="{00000000-0005-0000-0000-000080DC0000}"/>
    <cellStyle name="Output 65 3" xfId="56453" xr:uid="{00000000-0005-0000-0000-000081DC0000}"/>
    <cellStyle name="Output 65 3 2" xfId="56454" xr:uid="{00000000-0005-0000-0000-000082DC0000}"/>
    <cellStyle name="Output 65 4" xfId="56455" xr:uid="{00000000-0005-0000-0000-000083DC0000}"/>
    <cellStyle name="Output 65 4 2" xfId="56456" xr:uid="{00000000-0005-0000-0000-000084DC0000}"/>
    <cellStyle name="Output 65 4 3" xfId="56457" xr:uid="{00000000-0005-0000-0000-000085DC0000}"/>
    <cellStyle name="Output 65 5" xfId="56458" xr:uid="{00000000-0005-0000-0000-000086DC0000}"/>
    <cellStyle name="Output 65 6" xfId="56459" xr:uid="{00000000-0005-0000-0000-000087DC0000}"/>
    <cellStyle name="Output 66" xfId="56460" xr:uid="{00000000-0005-0000-0000-000088DC0000}"/>
    <cellStyle name="Output 66 2" xfId="56461" xr:uid="{00000000-0005-0000-0000-000089DC0000}"/>
    <cellStyle name="Output 66 2 2" xfId="56462" xr:uid="{00000000-0005-0000-0000-00008ADC0000}"/>
    <cellStyle name="Output 66 2 2 2" xfId="56463" xr:uid="{00000000-0005-0000-0000-00008BDC0000}"/>
    <cellStyle name="Output 66 2 3" xfId="56464" xr:uid="{00000000-0005-0000-0000-00008CDC0000}"/>
    <cellStyle name="Output 66 2 3 2" xfId="56465" xr:uid="{00000000-0005-0000-0000-00008DDC0000}"/>
    <cellStyle name="Output 66 2 3 3" xfId="56466" xr:uid="{00000000-0005-0000-0000-00008EDC0000}"/>
    <cellStyle name="Output 66 2 4" xfId="56467" xr:uid="{00000000-0005-0000-0000-00008FDC0000}"/>
    <cellStyle name="Output 66 2 5" xfId="56468" xr:uid="{00000000-0005-0000-0000-000090DC0000}"/>
    <cellStyle name="Output 66 3" xfId="56469" xr:uid="{00000000-0005-0000-0000-000091DC0000}"/>
    <cellStyle name="Output 66 3 2" xfId="56470" xr:uid="{00000000-0005-0000-0000-000092DC0000}"/>
    <cellStyle name="Output 66 4" xfId="56471" xr:uid="{00000000-0005-0000-0000-000093DC0000}"/>
    <cellStyle name="Output 66 4 2" xfId="56472" xr:uid="{00000000-0005-0000-0000-000094DC0000}"/>
    <cellStyle name="Output 66 4 3" xfId="56473" xr:uid="{00000000-0005-0000-0000-000095DC0000}"/>
    <cellStyle name="Output 66 5" xfId="56474" xr:uid="{00000000-0005-0000-0000-000096DC0000}"/>
    <cellStyle name="Output 66 6" xfId="56475" xr:uid="{00000000-0005-0000-0000-000097DC0000}"/>
    <cellStyle name="Output 67" xfId="56476" xr:uid="{00000000-0005-0000-0000-000098DC0000}"/>
    <cellStyle name="Output 67 2" xfId="56477" xr:uid="{00000000-0005-0000-0000-000099DC0000}"/>
    <cellStyle name="Output 67 2 2" xfId="56478" xr:uid="{00000000-0005-0000-0000-00009ADC0000}"/>
    <cellStyle name="Output 67 2 2 2" xfId="56479" xr:uid="{00000000-0005-0000-0000-00009BDC0000}"/>
    <cellStyle name="Output 67 2 3" xfId="56480" xr:uid="{00000000-0005-0000-0000-00009CDC0000}"/>
    <cellStyle name="Output 67 2 3 2" xfId="56481" xr:uid="{00000000-0005-0000-0000-00009DDC0000}"/>
    <cellStyle name="Output 67 2 3 3" xfId="56482" xr:uid="{00000000-0005-0000-0000-00009EDC0000}"/>
    <cellStyle name="Output 67 2 4" xfId="56483" xr:uid="{00000000-0005-0000-0000-00009FDC0000}"/>
    <cellStyle name="Output 67 2 5" xfId="56484" xr:uid="{00000000-0005-0000-0000-0000A0DC0000}"/>
    <cellStyle name="Output 67 3" xfId="56485" xr:uid="{00000000-0005-0000-0000-0000A1DC0000}"/>
    <cellStyle name="Output 67 3 2" xfId="56486" xr:uid="{00000000-0005-0000-0000-0000A2DC0000}"/>
    <cellStyle name="Output 67 4" xfId="56487" xr:uid="{00000000-0005-0000-0000-0000A3DC0000}"/>
    <cellStyle name="Output 67 4 2" xfId="56488" xr:uid="{00000000-0005-0000-0000-0000A4DC0000}"/>
    <cellStyle name="Output 67 4 3" xfId="56489" xr:uid="{00000000-0005-0000-0000-0000A5DC0000}"/>
    <cellStyle name="Output 67 5" xfId="56490" xr:uid="{00000000-0005-0000-0000-0000A6DC0000}"/>
    <cellStyle name="Output 67 6" xfId="56491" xr:uid="{00000000-0005-0000-0000-0000A7DC0000}"/>
    <cellStyle name="Output 68" xfId="56492" xr:uid="{00000000-0005-0000-0000-0000A8DC0000}"/>
    <cellStyle name="Output 68 2" xfId="56493" xr:uid="{00000000-0005-0000-0000-0000A9DC0000}"/>
    <cellStyle name="Output 68 2 2" xfId="56494" xr:uid="{00000000-0005-0000-0000-0000AADC0000}"/>
    <cellStyle name="Output 68 2 2 2" xfId="56495" xr:uid="{00000000-0005-0000-0000-0000ABDC0000}"/>
    <cellStyle name="Output 68 2 3" xfId="56496" xr:uid="{00000000-0005-0000-0000-0000ACDC0000}"/>
    <cellStyle name="Output 68 2 3 2" xfId="56497" xr:uid="{00000000-0005-0000-0000-0000ADDC0000}"/>
    <cellStyle name="Output 68 2 3 3" xfId="56498" xr:uid="{00000000-0005-0000-0000-0000AEDC0000}"/>
    <cellStyle name="Output 68 2 4" xfId="56499" xr:uid="{00000000-0005-0000-0000-0000AFDC0000}"/>
    <cellStyle name="Output 68 2 5" xfId="56500" xr:uid="{00000000-0005-0000-0000-0000B0DC0000}"/>
    <cellStyle name="Output 68 3" xfId="56501" xr:uid="{00000000-0005-0000-0000-0000B1DC0000}"/>
    <cellStyle name="Output 68 3 2" xfId="56502" xr:uid="{00000000-0005-0000-0000-0000B2DC0000}"/>
    <cellStyle name="Output 68 4" xfId="56503" xr:uid="{00000000-0005-0000-0000-0000B3DC0000}"/>
    <cellStyle name="Output 68 4 2" xfId="56504" xr:uid="{00000000-0005-0000-0000-0000B4DC0000}"/>
    <cellStyle name="Output 68 4 3" xfId="56505" xr:uid="{00000000-0005-0000-0000-0000B5DC0000}"/>
    <cellStyle name="Output 68 5" xfId="56506" xr:uid="{00000000-0005-0000-0000-0000B6DC0000}"/>
    <cellStyle name="Output 68 6" xfId="56507" xr:uid="{00000000-0005-0000-0000-0000B7DC0000}"/>
    <cellStyle name="Output 69" xfId="56508" xr:uid="{00000000-0005-0000-0000-0000B8DC0000}"/>
    <cellStyle name="Output 69 2" xfId="56509" xr:uid="{00000000-0005-0000-0000-0000B9DC0000}"/>
    <cellStyle name="Output 69 2 2" xfId="56510" xr:uid="{00000000-0005-0000-0000-0000BADC0000}"/>
    <cellStyle name="Output 69 2 2 2" xfId="56511" xr:uid="{00000000-0005-0000-0000-0000BBDC0000}"/>
    <cellStyle name="Output 69 2 3" xfId="56512" xr:uid="{00000000-0005-0000-0000-0000BCDC0000}"/>
    <cellStyle name="Output 69 2 3 2" xfId="56513" xr:uid="{00000000-0005-0000-0000-0000BDDC0000}"/>
    <cellStyle name="Output 69 2 3 3" xfId="56514" xr:uid="{00000000-0005-0000-0000-0000BEDC0000}"/>
    <cellStyle name="Output 69 2 4" xfId="56515" xr:uid="{00000000-0005-0000-0000-0000BFDC0000}"/>
    <cellStyle name="Output 69 2 5" xfId="56516" xr:uid="{00000000-0005-0000-0000-0000C0DC0000}"/>
    <cellStyle name="Output 69 3" xfId="56517" xr:uid="{00000000-0005-0000-0000-0000C1DC0000}"/>
    <cellStyle name="Output 69 3 2" xfId="56518" xr:uid="{00000000-0005-0000-0000-0000C2DC0000}"/>
    <cellStyle name="Output 69 4" xfId="56519" xr:uid="{00000000-0005-0000-0000-0000C3DC0000}"/>
    <cellStyle name="Output 69 4 2" xfId="56520" xr:uid="{00000000-0005-0000-0000-0000C4DC0000}"/>
    <cellStyle name="Output 69 4 3" xfId="56521" xr:uid="{00000000-0005-0000-0000-0000C5DC0000}"/>
    <cellStyle name="Output 69 5" xfId="56522" xr:uid="{00000000-0005-0000-0000-0000C6DC0000}"/>
    <cellStyle name="Output 69 6" xfId="56523" xr:uid="{00000000-0005-0000-0000-0000C7DC0000}"/>
    <cellStyle name="Output 7" xfId="56524" xr:uid="{00000000-0005-0000-0000-0000C8DC0000}"/>
    <cellStyle name="Output 7 2" xfId="56525" xr:uid="{00000000-0005-0000-0000-0000C9DC0000}"/>
    <cellStyle name="Output 7 2 2" xfId="56526" xr:uid="{00000000-0005-0000-0000-0000CADC0000}"/>
    <cellStyle name="Output 7 2 2 2" xfId="56527" xr:uid="{00000000-0005-0000-0000-0000CBDC0000}"/>
    <cellStyle name="Output 7 2 3" xfId="56528" xr:uid="{00000000-0005-0000-0000-0000CCDC0000}"/>
    <cellStyle name="Output 7 2 3 2" xfId="56529" xr:uid="{00000000-0005-0000-0000-0000CDDC0000}"/>
    <cellStyle name="Output 7 2 3 3" xfId="56530" xr:uid="{00000000-0005-0000-0000-0000CEDC0000}"/>
    <cellStyle name="Output 7 2 4" xfId="56531" xr:uid="{00000000-0005-0000-0000-0000CFDC0000}"/>
    <cellStyle name="Output 7 3" xfId="56532" xr:uid="{00000000-0005-0000-0000-0000D0DC0000}"/>
    <cellStyle name="Output 7 3 2" xfId="56533" xr:uid="{00000000-0005-0000-0000-0000D1DC0000}"/>
    <cellStyle name="Output 7 4" xfId="56534" xr:uid="{00000000-0005-0000-0000-0000D2DC0000}"/>
    <cellStyle name="Output 7 4 2" xfId="56535" xr:uid="{00000000-0005-0000-0000-0000D3DC0000}"/>
    <cellStyle name="Output 7 4 3" xfId="56536" xr:uid="{00000000-0005-0000-0000-0000D4DC0000}"/>
    <cellStyle name="Output 7 5" xfId="56537" xr:uid="{00000000-0005-0000-0000-0000D5DC0000}"/>
    <cellStyle name="Output 7 6" xfId="56538" xr:uid="{00000000-0005-0000-0000-0000D6DC0000}"/>
    <cellStyle name="Output 70" xfId="56539" xr:uid="{00000000-0005-0000-0000-0000D7DC0000}"/>
    <cellStyle name="Output 70 2" xfId="56540" xr:uid="{00000000-0005-0000-0000-0000D8DC0000}"/>
    <cellStyle name="Output 70 2 2" xfId="56541" xr:uid="{00000000-0005-0000-0000-0000D9DC0000}"/>
    <cellStyle name="Output 70 2 2 2" xfId="56542" xr:uid="{00000000-0005-0000-0000-0000DADC0000}"/>
    <cellStyle name="Output 70 2 3" xfId="56543" xr:uid="{00000000-0005-0000-0000-0000DBDC0000}"/>
    <cellStyle name="Output 70 2 3 2" xfId="56544" xr:uid="{00000000-0005-0000-0000-0000DCDC0000}"/>
    <cellStyle name="Output 70 2 3 3" xfId="56545" xr:uid="{00000000-0005-0000-0000-0000DDDC0000}"/>
    <cellStyle name="Output 70 2 4" xfId="56546" xr:uid="{00000000-0005-0000-0000-0000DEDC0000}"/>
    <cellStyle name="Output 70 2 5" xfId="56547" xr:uid="{00000000-0005-0000-0000-0000DFDC0000}"/>
    <cellStyle name="Output 70 3" xfId="56548" xr:uid="{00000000-0005-0000-0000-0000E0DC0000}"/>
    <cellStyle name="Output 70 3 2" xfId="56549" xr:uid="{00000000-0005-0000-0000-0000E1DC0000}"/>
    <cellStyle name="Output 70 4" xfId="56550" xr:uid="{00000000-0005-0000-0000-0000E2DC0000}"/>
    <cellStyle name="Output 70 4 2" xfId="56551" xr:uid="{00000000-0005-0000-0000-0000E3DC0000}"/>
    <cellStyle name="Output 70 4 3" xfId="56552" xr:uid="{00000000-0005-0000-0000-0000E4DC0000}"/>
    <cellStyle name="Output 70 5" xfId="56553" xr:uid="{00000000-0005-0000-0000-0000E5DC0000}"/>
    <cellStyle name="Output 70 6" xfId="56554" xr:uid="{00000000-0005-0000-0000-0000E6DC0000}"/>
    <cellStyle name="Output 71" xfId="56555" xr:uid="{00000000-0005-0000-0000-0000E7DC0000}"/>
    <cellStyle name="Output 71 2" xfId="56556" xr:uid="{00000000-0005-0000-0000-0000E8DC0000}"/>
    <cellStyle name="Output 71 2 2" xfId="56557" xr:uid="{00000000-0005-0000-0000-0000E9DC0000}"/>
    <cellStyle name="Output 71 2 2 2" xfId="56558" xr:uid="{00000000-0005-0000-0000-0000EADC0000}"/>
    <cellStyle name="Output 71 2 3" xfId="56559" xr:uid="{00000000-0005-0000-0000-0000EBDC0000}"/>
    <cellStyle name="Output 71 2 3 2" xfId="56560" xr:uid="{00000000-0005-0000-0000-0000ECDC0000}"/>
    <cellStyle name="Output 71 2 3 3" xfId="56561" xr:uid="{00000000-0005-0000-0000-0000EDDC0000}"/>
    <cellStyle name="Output 71 2 4" xfId="56562" xr:uid="{00000000-0005-0000-0000-0000EEDC0000}"/>
    <cellStyle name="Output 71 2 5" xfId="56563" xr:uid="{00000000-0005-0000-0000-0000EFDC0000}"/>
    <cellStyle name="Output 71 3" xfId="56564" xr:uid="{00000000-0005-0000-0000-0000F0DC0000}"/>
    <cellStyle name="Output 71 3 2" xfId="56565" xr:uid="{00000000-0005-0000-0000-0000F1DC0000}"/>
    <cellStyle name="Output 71 4" xfId="56566" xr:uid="{00000000-0005-0000-0000-0000F2DC0000}"/>
    <cellStyle name="Output 71 4 2" xfId="56567" xr:uid="{00000000-0005-0000-0000-0000F3DC0000}"/>
    <cellStyle name="Output 71 4 3" xfId="56568" xr:uid="{00000000-0005-0000-0000-0000F4DC0000}"/>
    <cellStyle name="Output 71 5" xfId="56569" xr:uid="{00000000-0005-0000-0000-0000F5DC0000}"/>
    <cellStyle name="Output 71 6" xfId="56570" xr:uid="{00000000-0005-0000-0000-0000F6DC0000}"/>
    <cellStyle name="Output 72" xfId="56571" xr:uid="{00000000-0005-0000-0000-0000F7DC0000}"/>
    <cellStyle name="Output 72 2" xfId="56572" xr:uid="{00000000-0005-0000-0000-0000F8DC0000}"/>
    <cellStyle name="Output 72 2 2" xfId="56573" xr:uid="{00000000-0005-0000-0000-0000F9DC0000}"/>
    <cellStyle name="Output 72 2 2 2" xfId="56574" xr:uid="{00000000-0005-0000-0000-0000FADC0000}"/>
    <cellStyle name="Output 72 2 3" xfId="56575" xr:uid="{00000000-0005-0000-0000-0000FBDC0000}"/>
    <cellStyle name="Output 72 2 3 2" xfId="56576" xr:uid="{00000000-0005-0000-0000-0000FCDC0000}"/>
    <cellStyle name="Output 72 2 3 3" xfId="56577" xr:uid="{00000000-0005-0000-0000-0000FDDC0000}"/>
    <cellStyle name="Output 72 2 4" xfId="56578" xr:uid="{00000000-0005-0000-0000-0000FEDC0000}"/>
    <cellStyle name="Output 72 2 5" xfId="56579" xr:uid="{00000000-0005-0000-0000-0000FFDC0000}"/>
    <cellStyle name="Output 72 3" xfId="56580" xr:uid="{00000000-0005-0000-0000-000000DD0000}"/>
    <cellStyle name="Output 72 3 2" xfId="56581" xr:uid="{00000000-0005-0000-0000-000001DD0000}"/>
    <cellStyle name="Output 72 4" xfId="56582" xr:uid="{00000000-0005-0000-0000-000002DD0000}"/>
    <cellStyle name="Output 72 4 2" xfId="56583" xr:uid="{00000000-0005-0000-0000-000003DD0000}"/>
    <cellStyle name="Output 72 4 3" xfId="56584" xr:uid="{00000000-0005-0000-0000-000004DD0000}"/>
    <cellStyle name="Output 72 5" xfId="56585" xr:uid="{00000000-0005-0000-0000-000005DD0000}"/>
    <cellStyle name="Output 72 6" xfId="56586" xr:uid="{00000000-0005-0000-0000-000006DD0000}"/>
    <cellStyle name="Output 73" xfId="56587" xr:uid="{00000000-0005-0000-0000-000007DD0000}"/>
    <cellStyle name="Output 73 2" xfId="56588" xr:uid="{00000000-0005-0000-0000-000008DD0000}"/>
    <cellStyle name="Output 73 2 2" xfId="56589" xr:uid="{00000000-0005-0000-0000-000009DD0000}"/>
    <cellStyle name="Output 73 2 2 2" xfId="56590" xr:uid="{00000000-0005-0000-0000-00000ADD0000}"/>
    <cellStyle name="Output 73 2 3" xfId="56591" xr:uid="{00000000-0005-0000-0000-00000BDD0000}"/>
    <cellStyle name="Output 73 2 3 2" xfId="56592" xr:uid="{00000000-0005-0000-0000-00000CDD0000}"/>
    <cellStyle name="Output 73 2 3 3" xfId="56593" xr:uid="{00000000-0005-0000-0000-00000DDD0000}"/>
    <cellStyle name="Output 73 2 4" xfId="56594" xr:uid="{00000000-0005-0000-0000-00000EDD0000}"/>
    <cellStyle name="Output 73 2 5" xfId="56595" xr:uid="{00000000-0005-0000-0000-00000FDD0000}"/>
    <cellStyle name="Output 73 3" xfId="56596" xr:uid="{00000000-0005-0000-0000-000010DD0000}"/>
    <cellStyle name="Output 73 3 2" xfId="56597" xr:uid="{00000000-0005-0000-0000-000011DD0000}"/>
    <cellStyle name="Output 73 4" xfId="56598" xr:uid="{00000000-0005-0000-0000-000012DD0000}"/>
    <cellStyle name="Output 73 4 2" xfId="56599" xr:uid="{00000000-0005-0000-0000-000013DD0000}"/>
    <cellStyle name="Output 73 4 3" xfId="56600" xr:uid="{00000000-0005-0000-0000-000014DD0000}"/>
    <cellStyle name="Output 73 5" xfId="56601" xr:uid="{00000000-0005-0000-0000-000015DD0000}"/>
    <cellStyle name="Output 73 6" xfId="56602" xr:uid="{00000000-0005-0000-0000-000016DD0000}"/>
    <cellStyle name="Output 74" xfId="56603" xr:uid="{00000000-0005-0000-0000-000017DD0000}"/>
    <cellStyle name="Output 74 2" xfId="56604" xr:uid="{00000000-0005-0000-0000-000018DD0000}"/>
    <cellStyle name="Output 74 2 2" xfId="56605" xr:uid="{00000000-0005-0000-0000-000019DD0000}"/>
    <cellStyle name="Output 74 2 2 2" xfId="56606" xr:uid="{00000000-0005-0000-0000-00001ADD0000}"/>
    <cellStyle name="Output 74 2 3" xfId="56607" xr:uid="{00000000-0005-0000-0000-00001BDD0000}"/>
    <cellStyle name="Output 74 2 3 2" xfId="56608" xr:uid="{00000000-0005-0000-0000-00001CDD0000}"/>
    <cellStyle name="Output 74 2 3 3" xfId="56609" xr:uid="{00000000-0005-0000-0000-00001DDD0000}"/>
    <cellStyle name="Output 74 2 4" xfId="56610" xr:uid="{00000000-0005-0000-0000-00001EDD0000}"/>
    <cellStyle name="Output 74 2 5" xfId="56611" xr:uid="{00000000-0005-0000-0000-00001FDD0000}"/>
    <cellStyle name="Output 74 3" xfId="56612" xr:uid="{00000000-0005-0000-0000-000020DD0000}"/>
    <cellStyle name="Output 74 3 2" xfId="56613" xr:uid="{00000000-0005-0000-0000-000021DD0000}"/>
    <cellStyle name="Output 74 4" xfId="56614" xr:uid="{00000000-0005-0000-0000-000022DD0000}"/>
    <cellStyle name="Output 74 4 2" xfId="56615" xr:uid="{00000000-0005-0000-0000-000023DD0000}"/>
    <cellStyle name="Output 74 4 3" xfId="56616" xr:uid="{00000000-0005-0000-0000-000024DD0000}"/>
    <cellStyle name="Output 74 5" xfId="56617" xr:uid="{00000000-0005-0000-0000-000025DD0000}"/>
    <cellStyle name="Output 74 6" xfId="56618" xr:uid="{00000000-0005-0000-0000-000026DD0000}"/>
    <cellStyle name="Output 75" xfId="56619" xr:uid="{00000000-0005-0000-0000-000027DD0000}"/>
    <cellStyle name="Output 75 2" xfId="56620" xr:uid="{00000000-0005-0000-0000-000028DD0000}"/>
    <cellStyle name="Output 75 2 2" xfId="56621" xr:uid="{00000000-0005-0000-0000-000029DD0000}"/>
    <cellStyle name="Output 75 2 2 2" xfId="56622" xr:uid="{00000000-0005-0000-0000-00002ADD0000}"/>
    <cellStyle name="Output 75 2 3" xfId="56623" xr:uid="{00000000-0005-0000-0000-00002BDD0000}"/>
    <cellStyle name="Output 75 2 3 2" xfId="56624" xr:uid="{00000000-0005-0000-0000-00002CDD0000}"/>
    <cellStyle name="Output 75 2 3 3" xfId="56625" xr:uid="{00000000-0005-0000-0000-00002DDD0000}"/>
    <cellStyle name="Output 75 2 4" xfId="56626" xr:uid="{00000000-0005-0000-0000-00002EDD0000}"/>
    <cellStyle name="Output 75 2 5" xfId="56627" xr:uid="{00000000-0005-0000-0000-00002FDD0000}"/>
    <cellStyle name="Output 75 3" xfId="56628" xr:uid="{00000000-0005-0000-0000-000030DD0000}"/>
    <cellStyle name="Output 75 3 2" xfId="56629" xr:uid="{00000000-0005-0000-0000-000031DD0000}"/>
    <cellStyle name="Output 75 4" xfId="56630" xr:uid="{00000000-0005-0000-0000-000032DD0000}"/>
    <cellStyle name="Output 75 4 2" xfId="56631" xr:uid="{00000000-0005-0000-0000-000033DD0000}"/>
    <cellStyle name="Output 75 4 3" xfId="56632" xr:uid="{00000000-0005-0000-0000-000034DD0000}"/>
    <cellStyle name="Output 75 5" xfId="56633" xr:uid="{00000000-0005-0000-0000-000035DD0000}"/>
    <cellStyle name="Output 75 6" xfId="56634" xr:uid="{00000000-0005-0000-0000-000036DD0000}"/>
    <cellStyle name="Output 76" xfId="56635" xr:uid="{00000000-0005-0000-0000-000037DD0000}"/>
    <cellStyle name="Output 76 2" xfId="56636" xr:uid="{00000000-0005-0000-0000-000038DD0000}"/>
    <cellStyle name="Output 76 2 2" xfId="56637" xr:uid="{00000000-0005-0000-0000-000039DD0000}"/>
    <cellStyle name="Output 76 2 2 2" xfId="56638" xr:uid="{00000000-0005-0000-0000-00003ADD0000}"/>
    <cellStyle name="Output 76 2 3" xfId="56639" xr:uid="{00000000-0005-0000-0000-00003BDD0000}"/>
    <cellStyle name="Output 76 2 3 2" xfId="56640" xr:uid="{00000000-0005-0000-0000-00003CDD0000}"/>
    <cellStyle name="Output 76 2 3 3" xfId="56641" xr:uid="{00000000-0005-0000-0000-00003DDD0000}"/>
    <cellStyle name="Output 76 2 4" xfId="56642" xr:uid="{00000000-0005-0000-0000-00003EDD0000}"/>
    <cellStyle name="Output 76 2 5" xfId="56643" xr:uid="{00000000-0005-0000-0000-00003FDD0000}"/>
    <cellStyle name="Output 76 3" xfId="56644" xr:uid="{00000000-0005-0000-0000-000040DD0000}"/>
    <cellStyle name="Output 76 3 2" xfId="56645" xr:uid="{00000000-0005-0000-0000-000041DD0000}"/>
    <cellStyle name="Output 76 4" xfId="56646" xr:uid="{00000000-0005-0000-0000-000042DD0000}"/>
    <cellStyle name="Output 76 4 2" xfId="56647" xr:uid="{00000000-0005-0000-0000-000043DD0000}"/>
    <cellStyle name="Output 76 4 3" xfId="56648" xr:uid="{00000000-0005-0000-0000-000044DD0000}"/>
    <cellStyle name="Output 76 5" xfId="56649" xr:uid="{00000000-0005-0000-0000-000045DD0000}"/>
    <cellStyle name="Output 76 6" xfId="56650" xr:uid="{00000000-0005-0000-0000-000046DD0000}"/>
    <cellStyle name="Output 77" xfId="56651" xr:uid="{00000000-0005-0000-0000-000047DD0000}"/>
    <cellStyle name="Output 77 2" xfId="56652" xr:uid="{00000000-0005-0000-0000-000048DD0000}"/>
    <cellStyle name="Output 77 2 2" xfId="56653" xr:uid="{00000000-0005-0000-0000-000049DD0000}"/>
    <cellStyle name="Output 77 2 2 2" xfId="56654" xr:uid="{00000000-0005-0000-0000-00004ADD0000}"/>
    <cellStyle name="Output 77 2 3" xfId="56655" xr:uid="{00000000-0005-0000-0000-00004BDD0000}"/>
    <cellStyle name="Output 77 2 3 2" xfId="56656" xr:uid="{00000000-0005-0000-0000-00004CDD0000}"/>
    <cellStyle name="Output 77 2 3 3" xfId="56657" xr:uid="{00000000-0005-0000-0000-00004DDD0000}"/>
    <cellStyle name="Output 77 2 4" xfId="56658" xr:uid="{00000000-0005-0000-0000-00004EDD0000}"/>
    <cellStyle name="Output 77 2 5" xfId="56659" xr:uid="{00000000-0005-0000-0000-00004FDD0000}"/>
    <cellStyle name="Output 77 3" xfId="56660" xr:uid="{00000000-0005-0000-0000-000050DD0000}"/>
    <cellStyle name="Output 77 3 2" xfId="56661" xr:uid="{00000000-0005-0000-0000-000051DD0000}"/>
    <cellStyle name="Output 77 4" xfId="56662" xr:uid="{00000000-0005-0000-0000-000052DD0000}"/>
    <cellStyle name="Output 77 4 2" xfId="56663" xr:uid="{00000000-0005-0000-0000-000053DD0000}"/>
    <cellStyle name="Output 77 4 3" xfId="56664" xr:uid="{00000000-0005-0000-0000-000054DD0000}"/>
    <cellStyle name="Output 77 5" xfId="56665" xr:uid="{00000000-0005-0000-0000-000055DD0000}"/>
    <cellStyle name="Output 77 6" xfId="56666" xr:uid="{00000000-0005-0000-0000-000056DD0000}"/>
    <cellStyle name="Output 78" xfId="56667" xr:uid="{00000000-0005-0000-0000-000057DD0000}"/>
    <cellStyle name="Output 78 2" xfId="56668" xr:uid="{00000000-0005-0000-0000-000058DD0000}"/>
    <cellStyle name="Output 78 2 2" xfId="56669" xr:uid="{00000000-0005-0000-0000-000059DD0000}"/>
    <cellStyle name="Output 78 2 2 2" xfId="56670" xr:uid="{00000000-0005-0000-0000-00005ADD0000}"/>
    <cellStyle name="Output 78 2 3" xfId="56671" xr:uid="{00000000-0005-0000-0000-00005BDD0000}"/>
    <cellStyle name="Output 78 2 3 2" xfId="56672" xr:uid="{00000000-0005-0000-0000-00005CDD0000}"/>
    <cellStyle name="Output 78 2 3 3" xfId="56673" xr:uid="{00000000-0005-0000-0000-00005DDD0000}"/>
    <cellStyle name="Output 78 2 4" xfId="56674" xr:uid="{00000000-0005-0000-0000-00005EDD0000}"/>
    <cellStyle name="Output 78 2 5" xfId="56675" xr:uid="{00000000-0005-0000-0000-00005FDD0000}"/>
    <cellStyle name="Output 78 3" xfId="56676" xr:uid="{00000000-0005-0000-0000-000060DD0000}"/>
    <cellStyle name="Output 78 3 2" xfId="56677" xr:uid="{00000000-0005-0000-0000-000061DD0000}"/>
    <cellStyle name="Output 78 4" xfId="56678" xr:uid="{00000000-0005-0000-0000-000062DD0000}"/>
    <cellStyle name="Output 78 4 2" xfId="56679" xr:uid="{00000000-0005-0000-0000-000063DD0000}"/>
    <cellStyle name="Output 78 4 3" xfId="56680" xr:uid="{00000000-0005-0000-0000-000064DD0000}"/>
    <cellStyle name="Output 78 5" xfId="56681" xr:uid="{00000000-0005-0000-0000-000065DD0000}"/>
    <cellStyle name="Output 78 6" xfId="56682" xr:uid="{00000000-0005-0000-0000-000066DD0000}"/>
    <cellStyle name="Output 79" xfId="56683" xr:uid="{00000000-0005-0000-0000-000067DD0000}"/>
    <cellStyle name="Output 79 2" xfId="56684" xr:uid="{00000000-0005-0000-0000-000068DD0000}"/>
    <cellStyle name="Output 79 2 2" xfId="56685" xr:uid="{00000000-0005-0000-0000-000069DD0000}"/>
    <cellStyle name="Output 79 2 2 2" xfId="56686" xr:uid="{00000000-0005-0000-0000-00006ADD0000}"/>
    <cellStyle name="Output 79 2 3" xfId="56687" xr:uid="{00000000-0005-0000-0000-00006BDD0000}"/>
    <cellStyle name="Output 79 2 3 2" xfId="56688" xr:uid="{00000000-0005-0000-0000-00006CDD0000}"/>
    <cellStyle name="Output 79 2 3 3" xfId="56689" xr:uid="{00000000-0005-0000-0000-00006DDD0000}"/>
    <cellStyle name="Output 79 2 4" xfId="56690" xr:uid="{00000000-0005-0000-0000-00006EDD0000}"/>
    <cellStyle name="Output 79 2 5" xfId="56691" xr:uid="{00000000-0005-0000-0000-00006FDD0000}"/>
    <cellStyle name="Output 79 3" xfId="56692" xr:uid="{00000000-0005-0000-0000-000070DD0000}"/>
    <cellStyle name="Output 79 3 2" xfId="56693" xr:uid="{00000000-0005-0000-0000-000071DD0000}"/>
    <cellStyle name="Output 79 4" xfId="56694" xr:uid="{00000000-0005-0000-0000-000072DD0000}"/>
    <cellStyle name="Output 79 4 2" xfId="56695" xr:uid="{00000000-0005-0000-0000-000073DD0000}"/>
    <cellStyle name="Output 79 4 3" xfId="56696" xr:uid="{00000000-0005-0000-0000-000074DD0000}"/>
    <cellStyle name="Output 79 5" xfId="56697" xr:uid="{00000000-0005-0000-0000-000075DD0000}"/>
    <cellStyle name="Output 79 6" xfId="56698" xr:uid="{00000000-0005-0000-0000-000076DD0000}"/>
    <cellStyle name="Output 8" xfId="56699" xr:uid="{00000000-0005-0000-0000-000077DD0000}"/>
    <cellStyle name="Output 8 2" xfId="56700" xr:uid="{00000000-0005-0000-0000-000078DD0000}"/>
    <cellStyle name="Output 8 2 2" xfId="56701" xr:uid="{00000000-0005-0000-0000-000079DD0000}"/>
    <cellStyle name="Output 8 2 2 2" xfId="56702" xr:uid="{00000000-0005-0000-0000-00007ADD0000}"/>
    <cellStyle name="Output 8 2 3" xfId="56703" xr:uid="{00000000-0005-0000-0000-00007BDD0000}"/>
    <cellStyle name="Output 8 2 3 2" xfId="56704" xr:uid="{00000000-0005-0000-0000-00007CDD0000}"/>
    <cellStyle name="Output 8 2 3 3" xfId="56705" xr:uid="{00000000-0005-0000-0000-00007DDD0000}"/>
    <cellStyle name="Output 8 2 4" xfId="56706" xr:uid="{00000000-0005-0000-0000-00007EDD0000}"/>
    <cellStyle name="Output 8 3" xfId="56707" xr:uid="{00000000-0005-0000-0000-00007FDD0000}"/>
    <cellStyle name="Output 8 3 2" xfId="56708" xr:uid="{00000000-0005-0000-0000-000080DD0000}"/>
    <cellStyle name="Output 8 4" xfId="56709" xr:uid="{00000000-0005-0000-0000-000081DD0000}"/>
    <cellStyle name="Output 8 4 2" xfId="56710" xr:uid="{00000000-0005-0000-0000-000082DD0000}"/>
    <cellStyle name="Output 8 4 3" xfId="56711" xr:uid="{00000000-0005-0000-0000-000083DD0000}"/>
    <cellStyle name="Output 8 5" xfId="56712" xr:uid="{00000000-0005-0000-0000-000084DD0000}"/>
    <cellStyle name="Output 8 6" xfId="56713" xr:uid="{00000000-0005-0000-0000-000085DD0000}"/>
    <cellStyle name="Output 80" xfId="56714" xr:uid="{00000000-0005-0000-0000-000086DD0000}"/>
    <cellStyle name="Output 80 2" xfId="56715" xr:uid="{00000000-0005-0000-0000-000087DD0000}"/>
    <cellStyle name="Output 80 2 2" xfId="56716" xr:uid="{00000000-0005-0000-0000-000088DD0000}"/>
    <cellStyle name="Output 80 2 2 2" xfId="56717" xr:uid="{00000000-0005-0000-0000-000089DD0000}"/>
    <cellStyle name="Output 80 2 3" xfId="56718" xr:uid="{00000000-0005-0000-0000-00008ADD0000}"/>
    <cellStyle name="Output 80 2 3 2" xfId="56719" xr:uid="{00000000-0005-0000-0000-00008BDD0000}"/>
    <cellStyle name="Output 80 2 3 3" xfId="56720" xr:uid="{00000000-0005-0000-0000-00008CDD0000}"/>
    <cellStyle name="Output 80 2 4" xfId="56721" xr:uid="{00000000-0005-0000-0000-00008DDD0000}"/>
    <cellStyle name="Output 80 2 5" xfId="56722" xr:uid="{00000000-0005-0000-0000-00008EDD0000}"/>
    <cellStyle name="Output 80 3" xfId="56723" xr:uid="{00000000-0005-0000-0000-00008FDD0000}"/>
    <cellStyle name="Output 80 3 2" xfId="56724" xr:uid="{00000000-0005-0000-0000-000090DD0000}"/>
    <cellStyle name="Output 80 4" xfId="56725" xr:uid="{00000000-0005-0000-0000-000091DD0000}"/>
    <cellStyle name="Output 80 4 2" xfId="56726" xr:uid="{00000000-0005-0000-0000-000092DD0000}"/>
    <cellStyle name="Output 80 4 3" xfId="56727" xr:uid="{00000000-0005-0000-0000-000093DD0000}"/>
    <cellStyle name="Output 80 5" xfId="56728" xr:uid="{00000000-0005-0000-0000-000094DD0000}"/>
    <cellStyle name="Output 80 6" xfId="56729" xr:uid="{00000000-0005-0000-0000-000095DD0000}"/>
    <cellStyle name="Output 81" xfId="56730" xr:uid="{00000000-0005-0000-0000-000096DD0000}"/>
    <cellStyle name="Output 81 2" xfId="56731" xr:uid="{00000000-0005-0000-0000-000097DD0000}"/>
    <cellStyle name="Output 81 2 2" xfId="56732" xr:uid="{00000000-0005-0000-0000-000098DD0000}"/>
    <cellStyle name="Output 81 2 2 2" xfId="56733" xr:uid="{00000000-0005-0000-0000-000099DD0000}"/>
    <cellStyle name="Output 81 2 3" xfId="56734" xr:uid="{00000000-0005-0000-0000-00009ADD0000}"/>
    <cellStyle name="Output 81 2 3 2" xfId="56735" xr:uid="{00000000-0005-0000-0000-00009BDD0000}"/>
    <cellStyle name="Output 81 2 3 3" xfId="56736" xr:uid="{00000000-0005-0000-0000-00009CDD0000}"/>
    <cellStyle name="Output 81 2 4" xfId="56737" xr:uid="{00000000-0005-0000-0000-00009DDD0000}"/>
    <cellStyle name="Output 81 2 5" xfId="56738" xr:uid="{00000000-0005-0000-0000-00009EDD0000}"/>
    <cellStyle name="Output 81 3" xfId="56739" xr:uid="{00000000-0005-0000-0000-00009FDD0000}"/>
    <cellStyle name="Output 81 3 2" xfId="56740" xr:uid="{00000000-0005-0000-0000-0000A0DD0000}"/>
    <cellStyle name="Output 81 4" xfId="56741" xr:uid="{00000000-0005-0000-0000-0000A1DD0000}"/>
    <cellStyle name="Output 81 4 2" xfId="56742" xr:uid="{00000000-0005-0000-0000-0000A2DD0000}"/>
    <cellStyle name="Output 81 4 3" xfId="56743" xr:uid="{00000000-0005-0000-0000-0000A3DD0000}"/>
    <cellStyle name="Output 81 5" xfId="56744" xr:uid="{00000000-0005-0000-0000-0000A4DD0000}"/>
    <cellStyle name="Output 81 6" xfId="56745" xr:uid="{00000000-0005-0000-0000-0000A5DD0000}"/>
    <cellStyle name="Output 82" xfId="56746" xr:uid="{00000000-0005-0000-0000-0000A6DD0000}"/>
    <cellStyle name="Output 82 2" xfId="56747" xr:uid="{00000000-0005-0000-0000-0000A7DD0000}"/>
    <cellStyle name="Output 82 2 2" xfId="56748" xr:uid="{00000000-0005-0000-0000-0000A8DD0000}"/>
    <cellStyle name="Output 82 2 2 2" xfId="56749" xr:uid="{00000000-0005-0000-0000-0000A9DD0000}"/>
    <cellStyle name="Output 82 2 3" xfId="56750" xr:uid="{00000000-0005-0000-0000-0000AADD0000}"/>
    <cellStyle name="Output 82 2 3 2" xfId="56751" xr:uid="{00000000-0005-0000-0000-0000ABDD0000}"/>
    <cellStyle name="Output 82 2 3 3" xfId="56752" xr:uid="{00000000-0005-0000-0000-0000ACDD0000}"/>
    <cellStyle name="Output 82 2 4" xfId="56753" xr:uid="{00000000-0005-0000-0000-0000ADDD0000}"/>
    <cellStyle name="Output 82 2 5" xfId="56754" xr:uid="{00000000-0005-0000-0000-0000AEDD0000}"/>
    <cellStyle name="Output 82 3" xfId="56755" xr:uid="{00000000-0005-0000-0000-0000AFDD0000}"/>
    <cellStyle name="Output 82 3 2" xfId="56756" xr:uid="{00000000-0005-0000-0000-0000B0DD0000}"/>
    <cellStyle name="Output 82 4" xfId="56757" xr:uid="{00000000-0005-0000-0000-0000B1DD0000}"/>
    <cellStyle name="Output 82 4 2" xfId="56758" xr:uid="{00000000-0005-0000-0000-0000B2DD0000}"/>
    <cellStyle name="Output 82 4 3" xfId="56759" xr:uid="{00000000-0005-0000-0000-0000B3DD0000}"/>
    <cellStyle name="Output 82 5" xfId="56760" xr:uid="{00000000-0005-0000-0000-0000B4DD0000}"/>
    <cellStyle name="Output 82 6" xfId="56761" xr:uid="{00000000-0005-0000-0000-0000B5DD0000}"/>
    <cellStyle name="Output 83" xfId="56762" xr:uid="{00000000-0005-0000-0000-0000B6DD0000}"/>
    <cellStyle name="Output 83 2" xfId="56763" xr:uid="{00000000-0005-0000-0000-0000B7DD0000}"/>
    <cellStyle name="Output 83 2 2" xfId="56764" xr:uid="{00000000-0005-0000-0000-0000B8DD0000}"/>
    <cellStyle name="Output 83 2 2 2" xfId="56765" xr:uid="{00000000-0005-0000-0000-0000B9DD0000}"/>
    <cellStyle name="Output 83 2 3" xfId="56766" xr:uid="{00000000-0005-0000-0000-0000BADD0000}"/>
    <cellStyle name="Output 83 2 3 2" xfId="56767" xr:uid="{00000000-0005-0000-0000-0000BBDD0000}"/>
    <cellStyle name="Output 83 2 3 3" xfId="56768" xr:uid="{00000000-0005-0000-0000-0000BCDD0000}"/>
    <cellStyle name="Output 83 2 4" xfId="56769" xr:uid="{00000000-0005-0000-0000-0000BDDD0000}"/>
    <cellStyle name="Output 83 2 5" xfId="56770" xr:uid="{00000000-0005-0000-0000-0000BEDD0000}"/>
    <cellStyle name="Output 83 3" xfId="56771" xr:uid="{00000000-0005-0000-0000-0000BFDD0000}"/>
    <cellStyle name="Output 83 3 2" xfId="56772" xr:uid="{00000000-0005-0000-0000-0000C0DD0000}"/>
    <cellStyle name="Output 83 4" xfId="56773" xr:uid="{00000000-0005-0000-0000-0000C1DD0000}"/>
    <cellStyle name="Output 83 4 2" xfId="56774" xr:uid="{00000000-0005-0000-0000-0000C2DD0000}"/>
    <cellStyle name="Output 83 4 3" xfId="56775" xr:uid="{00000000-0005-0000-0000-0000C3DD0000}"/>
    <cellStyle name="Output 83 5" xfId="56776" xr:uid="{00000000-0005-0000-0000-0000C4DD0000}"/>
    <cellStyle name="Output 83 6" xfId="56777" xr:uid="{00000000-0005-0000-0000-0000C5DD0000}"/>
    <cellStyle name="Output 84" xfId="56778" xr:uid="{00000000-0005-0000-0000-0000C6DD0000}"/>
    <cellStyle name="Output 84 2" xfId="56779" xr:uid="{00000000-0005-0000-0000-0000C7DD0000}"/>
    <cellStyle name="Output 84 2 2" xfId="56780" xr:uid="{00000000-0005-0000-0000-0000C8DD0000}"/>
    <cellStyle name="Output 84 2 2 2" xfId="56781" xr:uid="{00000000-0005-0000-0000-0000C9DD0000}"/>
    <cellStyle name="Output 84 2 3" xfId="56782" xr:uid="{00000000-0005-0000-0000-0000CADD0000}"/>
    <cellStyle name="Output 84 2 3 2" xfId="56783" xr:uid="{00000000-0005-0000-0000-0000CBDD0000}"/>
    <cellStyle name="Output 84 2 3 3" xfId="56784" xr:uid="{00000000-0005-0000-0000-0000CCDD0000}"/>
    <cellStyle name="Output 84 2 4" xfId="56785" xr:uid="{00000000-0005-0000-0000-0000CDDD0000}"/>
    <cellStyle name="Output 84 2 5" xfId="56786" xr:uid="{00000000-0005-0000-0000-0000CEDD0000}"/>
    <cellStyle name="Output 84 3" xfId="56787" xr:uid="{00000000-0005-0000-0000-0000CFDD0000}"/>
    <cellStyle name="Output 84 3 2" xfId="56788" xr:uid="{00000000-0005-0000-0000-0000D0DD0000}"/>
    <cellStyle name="Output 84 4" xfId="56789" xr:uid="{00000000-0005-0000-0000-0000D1DD0000}"/>
    <cellStyle name="Output 84 4 2" xfId="56790" xr:uid="{00000000-0005-0000-0000-0000D2DD0000}"/>
    <cellStyle name="Output 84 4 3" xfId="56791" xr:uid="{00000000-0005-0000-0000-0000D3DD0000}"/>
    <cellStyle name="Output 84 5" xfId="56792" xr:uid="{00000000-0005-0000-0000-0000D4DD0000}"/>
    <cellStyle name="Output 84 6" xfId="56793" xr:uid="{00000000-0005-0000-0000-0000D5DD0000}"/>
    <cellStyle name="Output 85" xfId="56794" xr:uid="{00000000-0005-0000-0000-0000D6DD0000}"/>
    <cellStyle name="Output 85 2" xfId="56795" xr:uid="{00000000-0005-0000-0000-0000D7DD0000}"/>
    <cellStyle name="Output 85 2 2" xfId="56796" xr:uid="{00000000-0005-0000-0000-0000D8DD0000}"/>
    <cellStyle name="Output 85 2 2 2" xfId="56797" xr:uid="{00000000-0005-0000-0000-0000D9DD0000}"/>
    <cellStyle name="Output 85 2 3" xfId="56798" xr:uid="{00000000-0005-0000-0000-0000DADD0000}"/>
    <cellStyle name="Output 85 2 3 2" xfId="56799" xr:uid="{00000000-0005-0000-0000-0000DBDD0000}"/>
    <cellStyle name="Output 85 2 3 3" xfId="56800" xr:uid="{00000000-0005-0000-0000-0000DCDD0000}"/>
    <cellStyle name="Output 85 2 4" xfId="56801" xr:uid="{00000000-0005-0000-0000-0000DDDD0000}"/>
    <cellStyle name="Output 85 2 5" xfId="56802" xr:uid="{00000000-0005-0000-0000-0000DEDD0000}"/>
    <cellStyle name="Output 85 3" xfId="56803" xr:uid="{00000000-0005-0000-0000-0000DFDD0000}"/>
    <cellStyle name="Output 85 3 2" xfId="56804" xr:uid="{00000000-0005-0000-0000-0000E0DD0000}"/>
    <cellStyle name="Output 85 4" xfId="56805" xr:uid="{00000000-0005-0000-0000-0000E1DD0000}"/>
    <cellStyle name="Output 85 4 2" xfId="56806" xr:uid="{00000000-0005-0000-0000-0000E2DD0000}"/>
    <cellStyle name="Output 85 4 3" xfId="56807" xr:uid="{00000000-0005-0000-0000-0000E3DD0000}"/>
    <cellStyle name="Output 85 5" xfId="56808" xr:uid="{00000000-0005-0000-0000-0000E4DD0000}"/>
    <cellStyle name="Output 85 6" xfId="56809" xr:uid="{00000000-0005-0000-0000-0000E5DD0000}"/>
    <cellStyle name="Output 86" xfId="56810" xr:uid="{00000000-0005-0000-0000-0000E6DD0000}"/>
    <cellStyle name="Output 86 2" xfId="56811" xr:uid="{00000000-0005-0000-0000-0000E7DD0000}"/>
    <cellStyle name="Output 86 2 2" xfId="56812" xr:uid="{00000000-0005-0000-0000-0000E8DD0000}"/>
    <cellStyle name="Output 86 2 2 2" xfId="56813" xr:uid="{00000000-0005-0000-0000-0000E9DD0000}"/>
    <cellStyle name="Output 86 2 3" xfId="56814" xr:uid="{00000000-0005-0000-0000-0000EADD0000}"/>
    <cellStyle name="Output 86 2 3 2" xfId="56815" xr:uid="{00000000-0005-0000-0000-0000EBDD0000}"/>
    <cellStyle name="Output 86 2 3 3" xfId="56816" xr:uid="{00000000-0005-0000-0000-0000ECDD0000}"/>
    <cellStyle name="Output 86 2 4" xfId="56817" xr:uid="{00000000-0005-0000-0000-0000EDDD0000}"/>
    <cellStyle name="Output 86 2 5" xfId="56818" xr:uid="{00000000-0005-0000-0000-0000EEDD0000}"/>
    <cellStyle name="Output 86 3" xfId="56819" xr:uid="{00000000-0005-0000-0000-0000EFDD0000}"/>
    <cellStyle name="Output 86 3 2" xfId="56820" xr:uid="{00000000-0005-0000-0000-0000F0DD0000}"/>
    <cellStyle name="Output 86 4" xfId="56821" xr:uid="{00000000-0005-0000-0000-0000F1DD0000}"/>
    <cellStyle name="Output 86 4 2" xfId="56822" xr:uid="{00000000-0005-0000-0000-0000F2DD0000}"/>
    <cellStyle name="Output 86 4 3" xfId="56823" xr:uid="{00000000-0005-0000-0000-0000F3DD0000}"/>
    <cellStyle name="Output 86 5" xfId="56824" xr:uid="{00000000-0005-0000-0000-0000F4DD0000}"/>
    <cellStyle name="Output 86 6" xfId="56825" xr:uid="{00000000-0005-0000-0000-0000F5DD0000}"/>
    <cellStyle name="Output 87" xfId="56826" xr:uid="{00000000-0005-0000-0000-0000F6DD0000}"/>
    <cellStyle name="Output 87 2" xfId="56827" xr:uid="{00000000-0005-0000-0000-0000F7DD0000}"/>
    <cellStyle name="Output 87 2 2" xfId="56828" xr:uid="{00000000-0005-0000-0000-0000F8DD0000}"/>
    <cellStyle name="Output 87 2 2 2" xfId="56829" xr:uid="{00000000-0005-0000-0000-0000F9DD0000}"/>
    <cellStyle name="Output 87 2 3" xfId="56830" xr:uid="{00000000-0005-0000-0000-0000FADD0000}"/>
    <cellStyle name="Output 87 2 3 2" xfId="56831" xr:uid="{00000000-0005-0000-0000-0000FBDD0000}"/>
    <cellStyle name="Output 87 2 3 3" xfId="56832" xr:uid="{00000000-0005-0000-0000-0000FCDD0000}"/>
    <cellStyle name="Output 87 2 4" xfId="56833" xr:uid="{00000000-0005-0000-0000-0000FDDD0000}"/>
    <cellStyle name="Output 87 2 5" xfId="56834" xr:uid="{00000000-0005-0000-0000-0000FEDD0000}"/>
    <cellStyle name="Output 87 3" xfId="56835" xr:uid="{00000000-0005-0000-0000-0000FFDD0000}"/>
    <cellStyle name="Output 87 3 2" xfId="56836" xr:uid="{00000000-0005-0000-0000-000000DE0000}"/>
    <cellStyle name="Output 87 4" xfId="56837" xr:uid="{00000000-0005-0000-0000-000001DE0000}"/>
    <cellStyle name="Output 87 4 2" xfId="56838" xr:uid="{00000000-0005-0000-0000-000002DE0000}"/>
    <cellStyle name="Output 87 4 3" xfId="56839" xr:uid="{00000000-0005-0000-0000-000003DE0000}"/>
    <cellStyle name="Output 87 5" xfId="56840" xr:uid="{00000000-0005-0000-0000-000004DE0000}"/>
    <cellStyle name="Output 87 6" xfId="56841" xr:uid="{00000000-0005-0000-0000-000005DE0000}"/>
    <cellStyle name="Output 88" xfId="56842" xr:uid="{00000000-0005-0000-0000-000006DE0000}"/>
    <cellStyle name="Output 88 2" xfId="56843" xr:uid="{00000000-0005-0000-0000-000007DE0000}"/>
    <cellStyle name="Output 88 2 2" xfId="56844" xr:uid="{00000000-0005-0000-0000-000008DE0000}"/>
    <cellStyle name="Output 88 2 2 2" xfId="56845" xr:uid="{00000000-0005-0000-0000-000009DE0000}"/>
    <cellStyle name="Output 88 2 3" xfId="56846" xr:uid="{00000000-0005-0000-0000-00000ADE0000}"/>
    <cellStyle name="Output 88 2 3 2" xfId="56847" xr:uid="{00000000-0005-0000-0000-00000BDE0000}"/>
    <cellStyle name="Output 88 2 3 3" xfId="56848" xr:uid="{00000000-0005-0000-0000-00000CDE0000}"/>
    <cellStyle name="Output 88 2 4" xfId="56849" xr:uid="{00000000-0005-0000-0000-00000DDE0000}"/>
    <cellStyle name="Output 88 2 5" xfId="56850" xr:uid="{00000000-0005-0000-0000-00000EDE0000}"/>
    <cellStyle name="Output 88 3" xfId="56851" xr:uid="{00000000-0005-0000-0000-00000FDE0000}"/>
    <cellStyle name="Output 88 3 2" xfId="56852" xr:uid="{00000000-0005-0000-0000-000010DE0000}"/>
    <cellStyle name="Output 88 4" xfId="56853" xr:uid="{00000000-0005-0000-0000-000011DE0000}"/>
    <cellStyle name="Output 88 4 2" xfId="56854" xr:uid="{00000000-0005-0000-0000-000012DE0000}"/>
    <cellStyle name="Output 88 4 3" xfId="56855" xr:uid="{00000000-0005-0000-0000-000013DE0000}"/>
    <cellStyle name="Output 88 5" xfId="56856" xr:uid="{00000000-0005-0000-0000-000014DE0000}"/>
    <cellStyle name="Output 88 6" xfId="56857" xr:uid="{00000000-0005-0000-0000-000015DE0000}"/>
    <cellStyle name="Output 89" xfId="56858" xr:uid="{00000000-0005-0000-0000-000016DE0000}"/>
    <cellStyle name="Output 89 2" xfId="56859" xr:uid="{00000000-0005-0000-0000-000017DE0000}"/>
    <cellStyle name="Output 89 2 2" xfId="56860" xr:uid="{00000000-0005-0000-0000-000018DE0000}"/>
    <cellStyle name="Output 89 2 2 2" xfId="56861" xr:uid="{00000000-0005-0000-0000-000019DE0000}"/>
    <cellStyle name="Output 89 2 3" xfId="56862" xr:uid="{00000000-0005-0000-0000-00001ADE0000}"/>
    <cellStyle name="Output 89 2 3 2" xfId="56863" xr:uid="{00000000-0005-0000-0000-00001BDE0000}"/>
    <cellStyle name="Output 89 2 3 3" xfId="56864" xr:uid="{00000000-0005-0000-0000-00001CDE0000}"/>
    <cellStyle name="Output 89 2 4" xfId="56865" xr:uid="{00000000-0005-0000-0000-00001DDE0000}"/>
    <cellStyle name="Output 89 2 5" xfId="56866" xr:uid="{00000000-0005-0000-0000-00001EDE0000}"/>
    <cellStyle name="Output 89 3" xfId="56867" xr:uid="{00000000-0005-0000-0000-00001FDE0000}"/>
    <cellStyle name="Output 89 3 2" xfId="56868" xr:uid="{00000000-0005-0000-0000-000020DE0000}"/>
    <cellStyle name="Output 89 4" xfId="56869" xr:uid="{00000000-0005-0000-0000-000021DE0000}"/>
    <cellStyle name="Output 89 4 2" xfId="56870" xr:uid="{00000000-0005-0000-0000-000022DE0000}"/>
    <cellStyle name="Output 89 4 3" xfId="56871" xr:uid="{00000000-0005-0000-0000-000023DE0000}"/>
    <cellStyle name="Output 89 5" xfId="56872" xr:uid="{00000000-0005-0000-0000-000024DE0000}"/>
    <cellStyle name="Output 89 6" xfId="56873" xr:uid="{00000000-0005-0000-0000-000025DE0000}"/>
    <cellStyle name="Output 9" xfId="56874" xr:uid="{00000000-0005-0000-0000-000026DE0000}"/>
    <cellStyle name="Output 9 2" xfId="56875" xr:uid="{00000000-0005-0000-0000-000027DE0000}"/>
    <cellStyle name="Output 9 2 2" xfId="56876" xr:uid="{00000000-0005-0000-0000-000028DE0000}"/>
    <cellStyle name="Output 9 2 2 2" xfId="56877" xr:uid="{00000000-0005-0000-0000-000029DE0000}"/>
    <cellStyle name="Output 9 2 3" xfId="56878" xr:uid="{00000000-0005-0000-0000-00002ADE0000}"/>
    <cellStyle name="Output 9 2 3 2" xfId="56879" xr:uid="{00000000-0005-0000-0000-00002BDE0000}"/>
    <cellStyle name="Output 9 2 3 3" xfId="56880" xr:uid="{00000000-0005-0000-0000-00002CDE0000}"/>
    <cellStyle name="Output 9 2 4" xfId="56881" xr:uid="{00000000-0005-0000-0000-00002DDE0000}"/>
    <cellStyle name="Output 9 3" xfId="56882" xr:uid="{00000000-0005-0000-0000-00002EDE0000}"/>
    <cellStyle name="Output 9 3 2" xfId="56883" xr:uid="{00000000-0005-0000-0000-00002FDE0000}"/>
    <cellStyle name="Output 9 4" xfId="56884" xr:uid="{00000000-0005-0000-0000-000030DE0000}"/>
    <cellStyle name="Output 9 4 2" xfId="56885" xr:uid="{00000000-0005-0000-0000-000031DE0000}"/>
    <cellStyle name="Output 9 4 3" xfId="56886" xr:uid="{00000000-0005-0000-0000-000032DE0000}"/>
    <cellStyle name="Output 9 5" xfId="56887" xr:uid="{00000000-0005-0000-0000-000033DE0000}"/>
    <cellStyle name="Output 9 6" xfId="56888" xr:uid="{00000000-0005-0000-0000-000034DE0000}"/>
    <cellStyle name="Output 90" xfId="56889" xr:uid="{00000000-0005-0000-0000-000035DE0000}"/>
    <cellStyle name="Output 90 2" xfId="56890" xr:uid="{00000000-0005-0000-0000-000036DE0000}"/>
    <cellStyle name="Output 90 2 2" xfId="56891" xr:uid="{00000000-0005-0000-0000-000037DE0000}"/>
    <cellStyle name="Output 90 2 2 2" xfId="56892" xr:uid="{00000000-0005-0000-0000-000038DE0000}"/>
    <cellStyle name="Output 90 2 3" xfId="56893" xr:uid="{00000000-0005-0000-0000-000039DE0000}"/>
    <cellStyle name="Output 90 2 3 2" xfId="56894" xr:uid="{00000000-0005-0000-0000-00003ADE0000}"/>
    <cellStyle name="Output 90 2 3 3" xfId="56895" xr:uid="{00000000-0005-0000-0000-00003BDE0000}"/>
    <cellStyle name="Output 90 2 4" xfId="56896" xr:uid="{00000000-0005-0000-0000-00003CDE0000}"/>
    <cellStyle name="Output 90 2 5" xfId="56897" xr:uid="{00000000-0005-0000-0000-00003DDE0000}"/>
    <cellStyle name="Output 90 3" xfId="56898" xr:uid="{00000000-0005-0000-0000-00003EDE0000}"/>
    <cellStyle name="Output 90 3 2" xfId="56899" xr:uid="{00000000-0005-0000-0000-00003FDE0000}"/>
    <cellStyle name="Output 90 4" xfId="56900" xr:uid="{00000000-0005-0000-0000-000040DE0000}"/>
    <cellStyle name="Output 90 4 2" xfId="56901" xr:uid="{00000000-0005-0000-0000-000041DE0000}"/>
    <cellStyle name="Output 90 4 3" xfId="56902" xr:uid="{00000000-0005-0000-0000-000042DE0000}"/>
    <cellStyle name="Output 90 5" xfId="56903" xr:uid="{00000000-0005-0000-0000-000043DE0000}"/>
    <cellStyle name="Output 90 6" xfId="56904" xr:uid="{00000000-0005-0000-0000-000044DE0000}"/>
    <cellStyle name="Output 91" xfId="56905" xr:uid="{00000000-0005-0000-0000-000045DE0000}"/>
    <cellStyle name="Output 91 2" xfId="56906" xr:uid="{00000000-0005-0000-0000-000046DE0000}"/>
    <cellStyle name="Output 91 2 2" xfId="56907" xr:uid="{00000000-0005-0000-0000-000047DE0000}"/>
    <cellStyle name="Output 91 2 2 2" xfId="56908" xr:uid="{00000000-0005-0000-0000-000048DE0000}"/>
    <cellStyle name="Output 91 2 3" xfId="56909" xr:uid="{00000000-0005-0000-0000-000049DE0000}"/>
    <cellStyle name="Output 91 2 3 2" xfId="56910" xr:uid="{00000000-0005-0000-0000-00004ADE0000}"/>
    <cellStyle name="Output 91 2 3 3" xfId="56911" xr:uid="{00000000-0005-0000-0000-00004BDE0000}"/>
    <cellStyle name="Output 91 2 4" xfId="56912" xr:uid="{00000000-0005-0000-0000-00004CDE0000}"/>
    <cellStyle name="Output 91 2 5" xfId="56913" xr:uid="{00000000-0005-0000-0000-00004DDE0000}"/>
    <cellStyle name="Output 91 3" xfId="56914" xr:uid="{00000000-0005-0000-0000-00004EDE0000}"/>
    <cellStyle name="Output 91 3 2" xfId="56915" xr:uid="{00000000-0005-0000-0000-00004FDE0000}"/>
    <cellStyle name="Output 91 4" xfId="56916" xr:uid="{00000000-0005-0000-0000-000050DE0000}"/>
    <cellStyle name="Output 91 4 2" xfId="56917" xr:uid="{00000000-0005-0000-0000-000051DE0000}"/>
    <cellStyle name="Output 91 4 3" xfId="56918" xr:uid="{00000000-0005-0000-0000-000052DE0000}"/>
    <cellStyle name="Output 91 5" xfId="56919" xr:uid="{00000000-0005-0000-0000-000053DE0000}"/>
    <cellStyle name="Output 91 6" xfId="56920" xr:uid="{00000000-0005-0000-0000-000054DE0000}"/>
    <cellStyle name="Output 92" xfId="56921" xr:uid="{00000000-0005-0000-0000-000055DE0000}"/>
    <cellStyle name="Output 92 2" xfId="56922" xr:uid="{00000000-0005-0000-0000-000056DE0000}"/>
    <cellStyle name="Output 92 2 2" xfId="56923" xr:uid="{00000000-0005-0000-0000-000057DE0000}"/>
    <cellStyle name="Output 92 2 2 2" xfId="56924" xr:uid="{00000000-0005-0000-0000-000058DE0000}"/>
    <cellStyle name="Output 92 2 3" xfId="56925" xr:uid="{00000000-0005-0000-0000-000059DE0000}"/>
    <cellStyle name="Output 92 2 3 2" xfId="56926" xr:uid="{00000000-0005-0000-0000-00005ADE0000}"/>
    <cellStyle name="Output 92 2 3 3" xfId="56927" xr:uid="{00000000-0005-0000-0000-00005BDE0000}"/>
    <cellStyle name="Output 92 2 4" xfId="56928" xr:uid="{00000000-0005-0000-0000-00005CDE0000}"/>
    <cellStyle name="Output 92 2 5" xfId="56929" xr:uid="{00000000-0005-0000-0000-00005DDE0000}"/>
    <cellStyle name="Output 92 3" xfId="56930" xr:uid="{00000000-0005-0000-0000-00005EDE0000}"/>
    <cellStyle name="Output 92 3 2" xfId="56931" xr:uid="{00000000-0005-0000-0000-00005FDE0000}"/>
    <cellStyle name="Output 92 4" xfId="56932" xr:uid="{00000000-0005-0000-0000-000060DE0000}"/>
    <cellStyle name="Output 92 4 2" xfId="56933" xr:uid="{00000000-0005-0000-0000-000061DE0000}"/>
    <cellStyle name="Output 92 4 3" xfId="56934" xr:uid="{00000000-0005-0000-0000-000062DE0000}"/>
    <cellStyle name="Output 92 5" xfId="56935" xr:uid="{00000000-0005-0000-0000-000063DE0000}"/>
    <cellStyle name="Output 92 6" xfId="56936" xr:uid="{00000000-0005-0000-0000-000064DE0000}"/>
    <cellStyle name="Output 93" xfId="56937" xr:uid="{00000000-0005-0000-0000-000065DE0000}"/>
    <cellStyle name="Output 93 2" xfId="56938" xr:uid="{00000000-0005-0000-0000-000066DE0000}"/>
    <cellStyle name="Output 93 2 2" xfId="56939" xr:uid="{00000000-0005-0000-0000-000067DE0000}"/>
    <cellStyle name="Output 93 2 2 2" xfId="56940" xr:uid="{00000000-0005-0000-0000-000068DE0000}"/>
    <cellStyle name="Output 93 2 3" xfId="56941" xr:uid="{00000000-0005-0000-0000-000069DE0000}"/>
    <cellStyle name="Output 93 2 3 2" xfId="56942" xr:uid="{00000000-0005-0000-0000-00006ADE0000}"/>
    <cellStyle name="Output 93 2 3 3" xfId="56943" xr:uid="{00000000-0005-0000-0000-00006BDE0000}"/>
    <cellStyle name="Output 93 2 4" xfId="56944" xr:uid="{00000000-0005-0000-0000-00006CDE0000}"/>
    <cellStyle name="Output 93 2 5" xfId="56945" xr:uid="{00000000-0005-0000-0000-00006DDE0000}"/>
    <cellStyle name="Output 93 3" xfId="56946" xr:uid="{00000000-0005-0000-0000-00006EDE0000}"/>
    <cellStyle name="Output 93 3 2" xfId="56947" xr:uid="{00000000-0005-0000-0000-00006FDE0000}"/>
    <cellStyle name="Output 93 4" xfId="56948" xr:uid="{00000000-0005-0000-0000-000070DE0000}"/>
    <cellStyle name="Output 93 4 2" xfId="56949" xr:uid="{00000000-0005-0000-0000-000071DE0000}"/>
    <cellStyle name="Output 93 4 3" xfId="56950" xr:uid="{00000000-0005-0000-0000-000072DE0000}"/>
    <cellStyle name="Output 93 5" xfId="56951" xr:uid="{00000000-0005-0000-0000-000073DE0000}"/>
    <cellStyle name="Output 93 6" xfId="56952" xr:uid="{00000000-0005-0000-0000-000074DE0000}"/>
    <cellStyle name="Output 94" xfId="56953" xr:uid="{00000000-0005-0000-0000-000075DE0000}"/>
    <cellStyle name="Output 94 2" xfId="56954" xr:uid="{00000000-0005-0000-0000-000076DE0000}"/>
    <cellStyle name="Output 94 2 2" xfId="56955" xr:uid="{00000000-0005-0000-0000-000077DE0000}"/>
    <cellStyle name="Output 94 2 2 2" xfId="56956" xr:uid="{00000000-0005-0000-0000-000078DE0000}"/>
    <cellStyle name="Output 94 2 3" xfId="56957" xr:uid="{00000000-0005-0000-0000-000079DE0000}"/>
    <cellStyle name="Output 94 2 3 2" xfId="56958" xr:uid="{00000000-0005-0000-0000-00007ADE0000}"/>
    <cellStyle name="Output 94 2 3 3" xfId="56959" xr:uid="{00000000-0005-0000-0000-00007BDE0000}"/>
    <cellStyle name="Output 94 2 4" xfId="56960" xr:uid="{00000000-0005-0000-0000-00007CDE0000}"/>
    <cellStyle name="Output 94 2 5" xfId="56961" xr:uid="{00000000-0005-0000-0000-00007DDE0000}"/>
    <cellStyle name="Output 94 3" xfId="56962" xr:uid="{00000000-0005-0000-0000-00007EDE0000}"/>
    <cellStyle name="Output 94 3 2" xfId="56963" xr:uid="{00000000-0005-0000-0000-00007FDE0000}"/>
    <cellStyle name="Output 94 4" xfId="56964" xr:uid="{00000000-0005-0000-0000-000080DE0000}"/>
    <cellStyle name="Output 94 4 2" xfId="56965" xr:uid="{00000000-0005-0000-0000-000081DE0000}"/>
    <cellStyle name="Output 94 4 3" xfId="56966" xr:uid="{00000000-0005-0000-0000-000082DE0000}"/>
    <cellStyle name="Output 94 5" xfId="56967" xr:uid="{00000000-0005-0000-0000-000083DE0000}"/>
    <cellStyle name="Output 94 6" xfId="56968" xr:uid="{00000000-0005-0000-0000-000084DE0000}"/>
    <cellStyle name="Output 95" xfId="56969" xr:uid="{00000000-0005-0000-0000-000085DE0000}"/>
    <cellStyle name="Output 95 2" xfId="56970" xr:uid="{00000000-0005-0000-0000-000086DE0000}"/>
    <cellStyle name="Output 95 2 2" xfId="56971" xr:uid="{00000000-0005-0000-0000-000087DE0000}"/>
    <cellStyle name="Output 95 2 2 2" xfId="56972" xr:uid="{00000000-0005-0000-0000-000088DE0000}"/>
    <cellStyle name="Output 95 2 3" xfId="56973" xr:uid="{00000000-0005-0000-0000-000089DE0000}"/>
    <cellStyle name="Output 95 2 3 2" xfId="56974" xr:uid="{00000000-0005-0000-0000-00008ADE0000}"/>
    <cellStyle name="Output 95 2 3 3" xfId="56975" xr:uid="{00000000-0005-0000-0000-00008BDE0000}"/>
    <cellStyle name="Output 95 2 4" xfId="56976" xr:uid="{00000000-0005-0000-0000-00008CDE0000}"/>
    <cellStyle name="Output 95 2 5" xfId="56977" xr:uid="{00000000-0005-0000-0000-00008DDE0000}"/>
    <cellStyle name="Output 95 3" xfId="56978" xr:uid="{00000000-0005-0000-0000-00008EDE0000}"/>
    <cellStyle name="Output 95 3 2" xfId="56979" xr:uid="{00000000-0005-0000-0000-00008FDE0000}"/>
    <cellStyle name="Output 95 4" xfId="56980" xr:uid="{00000000-0005-0000-0000-000090DE0000}"/>
    <cellStyle name="Output 95 4 2" xfId="56981" xr:uid="{00000000-0005-0000-0000-000091DE0000}"/>
    <cellStyle name="Output 95 4 3" xfId="56982" xr:uid="{00000000-0005-0000-0000-000092DE0000}"/>
    <cellStyle name="Output 95 5" xfId="56983" xr:uid="{00000000-0005-0000-0000-000093DE0000}"/>
    <cellStyle name="Output 95 6" xfId="56984" xr:uid="{00000000-0005-0000-0000-000094DE0000}"/>
    <cellStyle name="Output 96" xfId="56985" xr:uid="{00000000-0005-0000-0000-000095DE0000}"/>
    <cellStyle name="Output 96 2" xfId="56986" xr:uid="{00000000-0005-0000-0000-000096DE0000}"/>
    <cellStyle name="Output 96 2 2" xfId="56987" xr:uid="{00000000-0005-0000-0000-000097DE0000}"/>
    <cellStyle name="Output 96 2 2 2" xfId="56988" xr:uid="{00000000-0005-0000-0000-000098DE0000}"/>
    <cellStyle name="Output 96 2 3" xfId="56989" xr:uid="{00000000-0005-0000-0000-000099DE0000}"/>
    <cellStyle name="Output 96 2 3 2" xfId="56990" xr:uid="{00000000-0005-0000-0000-00009ADE0000}"/>
    <cellStyle name="Output 96 2 3 3" xfId="56991" xr:uid="{00000000-0005-0000-0000-00009BDE0000}"/>
    <cellStyle name="Output 96 2 4" xfId="56992" xr:uid="{00000000-0005-0000-0000-00009CDE0000}"/>
    <cellStyle name="Output 96 2 5" xfId="56993" xr:uid="{00000000-0005-0000-0000-00009DDE0000}"/>
    <cellStyle name="Output 96 3" xfId="56994" xr:uid="{00000000-0005-0000-0000-00009EDE0000}"/>
    <cellStyle name="Output 96 3 2" xfId="56995" xr:uid="{00000000-0005-0000-0000-00009FDE0000}"/>
    <cellStyle name="Output 96 4" xfId="56996" xr:uid="{00000000-0005-0000-0000-0000A0DE0000}"/>
    <cellStyle name="Output 96 4 2" xfId="56997" xr:uid="{00000000-0005-0000-0000-0000A1DE0000}"/>
    <cellStyle name="Output 96 4 3" xfId="56998" xr:uid="{00000000-0005-0000-0000-0000A2DE0000}"/>
    <cellStyle name="Output 96 5" xfId="56999" xr:uid="{00000000-0005-0000-0000-0000A3DE0000}"/>
    <cellStyle name="Output 96 6" xfId="57000" xr:uid="{00000000-0005-0000-0000-0000A4DE0000}"/>
    <cellStyle name="Output 97" xfId="57001" xr:uid="{00000000-0005-0000-0000-0000A5DE0000}"/>
    <cellStyle name="Output 97 2" xfId="57002" xr:uid="{00000000-0005-0000-0000-0000A6DE0000}"/>
    <cellStyle name="Output 97 2 2" xfId="57003" xr:uid="{00000000-0005-0000-0000-0000A7DE0000}"/>
    <cellStyle name="Output 97 2 2 2" xfId="57004" xr:uid="{00000000-0005-0000-0000-0000A8DE0000}"/>
    <cellStyle name="Output 97 2 3" xfId="57005" xr:uid="{00000000-0005-0000-0000-0000A9DE0000}"/>
    <cellStyle name="Output 97 2 3 2" xfId="57006" xr:uid="{00000000-0005-0000-0000-0000AADE0000}"/>
    <cellStyle name="Output 97 2 3 3" xfId="57007" xr:uid="{00000000-0005-0000-0000-0000ABDE0000}"/>
    <cellStyle name="Output 97 2 4" xfId="57008" xr:uid="{00000000-0005-0000-0000-0000ACDE0000}"/>
    <cellStyle name="Output 97 2 5" xfId="57009" xr:uid="{00000000-0005-0000-0000-0000ADDE0000}"/>
    <cellStyle name="Output 97 3" xfId="57010" xr:uid="{00000000-0005-0000-0000-0000AEDE0000}"/>
    <cellStyle name="Output 97 3 2" xfId="57011" xr:uid="{00000000-0005-0000-0000-0000AFDE0000}"/>
    <cellStyle name="Output 97 4" xfId="57012" xr:uid="{00000000-0005-0000-0000-0000B0DE0000}"/>
    <cellStyle name="Output 97 4 2" xfId="57013" xr:uid="{00000000-0005-0000-0000-0000B1DE0000}"/>
    <cellStyle name="Output 97 4 3" xfId="57014" xr:uid="{00000000-0005-0000-0000-0000B2DE0000}"/>
    <cellStyle name="Output 97 5" xfId="57015" xr:uid="{00000000-0005-0000-0000-0000B3DE0000}"/>
    <cellStyle name="Output 97 6" xfId="57016" xr:uid="{00000000-0005-0000-0000-0000B4DE0000}"/>
    <cellStyle name="Output 98" xfId="57017" xr:uid="{00000000-0005-0000-0000-0000B5DE0000}"/>
    <cellStyle name="Output 98 2" xfId="57018" xr:uid="{00000000-0005-0000-0000-0000B6DE0000}"/>
    <cellStyle name="Output 98 2 2" xfId="57019" xr:uid="{00000000-0005-0000-0000-0000B7DE0000}"/>
    <cellStyle name="Output 98 2 2 2" xfId="57020" xr:uid="{00000000-0005-0000-0000-0000B8DE0000}"/>
    <cellStyle name="Output 98 2 3" xfId="57021" xr:uid="{00000000-0005-0000-0000-0000B9DE0000}"/>
    <cellStyle name="Output 98 2 3 2" xfId="57022" xr:uid="{00000000-0005-0000-0000-0000BADE0000}"/>
    <cellStyle name="Output 98 2 3 3" xfId="57023" xr:uid="{00000000-0005-0000-0000-0000BBDE0000}"/>
    <cellStyle name="Output 98 2 4" xfId="57024" xr:uid="{00000000-0005-0000-0000-0000BCDE0000}"/>
    <cellStyle name="Output 98 2 5" xfId="57025" xr:uid="{00000000-0005-0000-0000-0000BDDE0000}"/>
    <cellStyle name="Output 98 3" xfId="57026" xr:uid="{00000000-0005-0000-0000-0000BEDE0000}"/>
    <cellStyle name="Output 98 3 2" xfId="57027" xr:uid="{00000000-0005-0000-0000-0000BFDE0000}"/>
    <cellStyle name="Output 98 4" xfId="57028" xr:uid="{00000000-0005-0000-0000-0000C0DE0000}"/>
    <cellStyle name="Output 98 4 2" xfId="57029" xr:uid="{00000000-0005-0000-0000-0000C1DE0000}"/>
    <cellStyle name="Output 98 4 3" xfId="57030" xr:uid="{00000000-0005-0000-0000-0000C2DE0000}"/>
    <cellStyle name="Output 98 5" xfId="57031" xr:uid="{00000000-0005-0000-0000-0000C3DE0000}"/>
    <cellStyle name="Output 98 6" xfId="57032" xr:uid="{00000000-0005-0000-0000-0000C4DE0000}"/>
    <cellStyle name="Output 99" xfId="57033" xr:uid="{00000000-0005-0000-0000-0000C5DE0000}"/>
    <cellStyle name="Output 99 2" xfId="57034" xr:uid="{00000000-0005-0000-0000-0000C6DE0000}"/>
    <cellStyle name="Output 99 2 2" xfId="57035" xr:uid="{00000000-0005-0000-0000-0000C7DE0000}"/>
    <cellStyle name="Output 99 2 2 2" xfId="57036" xr:uid="{00000000-0005-0000-0000-0000C8DE0000}"/>
    <cellStyle name="Output 99 2 3" xfId="57037" xr:uid="{00000000-0005-0000-0000-0000C9DE0000}"/>
    <cellStyle name="Output 99 2 3 2" xfId="57038" xr:uid="{00000000-0005-0000-0000-0000CADE0000}"/>
    <cellStyle name="Output 99 2 3 3" xfId="57039" xr:uid="{00000000-0005-0000-0000-0000CBDE0000}"/>
    <cellStyle name="Output 99 2 4" xfId="57040" xr:uid="{00000000-0005-0000-0000-0000CCDE0000}"/>
    <cellStyle name="Output 99 2 5" xfId="57041" xr:uid="{00000000-0005-0000-0000-0000CDDE0000}"/>
    <cellStyle name="Output 99 3" xfId="57042" xr:uid="{00000000-0005-0000-0000-0000CEDE0000}"/>
    <cellStyle name="Output 99 3 2" xfId="57043" xr:uid="{00000000-0005-0000-0000-0000CFDE0000}"/>
    <cellStyle name="Output 99 4" xfId="57044" xr:uid="{00000000-0005-0000-0000-0000D0DE0000}"/>
    <cellStyle name="Output 99 4 2" xfId="57045" xr:uid="{00000000-0005-0000-0000-0000D1DE0000}"/>
    <cellStyle name="Output 99 4 3" xfId="57046" xr:uid="{00000000-0005-0000-0000-0000D2DE0000}"/>
    <cellStyle name="Output 99 5" xfId="57047" xr:uid="{00000000-0005-0000-0000-0000D3DE0000}"/>
    <cellStyle name="Output 99 6" xfId="57048" xr:uid="{00000000-0005-0000-0000-0000D4DE0000}"/>
    <cellStyle name="Output Amounts" xfId="57049" xr:uid="{00000000-0005-0000-0000-0000D5DE0000}"/>
    <cellStyle name="Output Amounts 2" xfId="57050" xr:uid="{00000000-0005-0000-0000-0000D6DE0000}"/>
    <cellStyle name="Output Amounts 3" xfId="57051" xr:uid="{00000000-0005-0000-0000-0000D7DE0000}"/>
    <cellStyle name="Output Column Headings" xfId="57052" xr:uid="{00000000-0005-0000-0000-0000D8DE0000}"/>
    <cellStyle name="Output Column Headings 2" xfId="57053" xr:uid="{00000000-0005-0000-0000-0000D9DE0000}"/>
    <cellStyle name="Output Column Headings 2 2" xfId="57054" xr:uid="{00000000-0005-0000-0000-0000DADE0000}"/>
    <cellStyle name="Output Column Headings 2 2 2" xfId="57055" xr:uid="{00000000-0005-0000-0000-0000DBDE0000}"/>
    <cellStyle name="Output Column Headings 2 3" xfId="57056" xr:uid="{00000000-0005-0000-0000-0000DCDE0000}"/>
    <cellStyle name="Output Column Headings 3" xfId="57057" xr:uid="{00000000-0005-0000-0000-0000DDDE0000}"/>
    <cellStyle name="Output Column Headings 3 2" xfId="57058" xr:uid="{00000000-0005-0000-0000-0000DEDE0000}"/>
    <cellStyle name="Output Column Headings 4" xfId="57059" xr:uid="{00000000-0005-0000-0000-0000DFDE0000}"/>
    <cellStyle name="Output Line Items" xfId="57060" xr:uid="{00000000-0005-0000-0000-0000E0DE0000}"/>
    <cellStyle name="Output Line Items 2" xfId="57061" xr:uid="{00000000-0005-0000-0000-0000E1DE0000}"/>
    <cellStyle name="Output Line Items 2 2" xfId="57062" xr:uid="{00000000-0005-0000-0000-0000E2DE0000}"/>
    <cellStyle name="Output Line Items 3" xfId="57063" xr:uid="{00000000-0005-0000-0000-0000E3DE0000}"/>
    <cellStyle name="Output Report Heading" xfId="57064" xr:uid="{00000000-0005-0000-0000-0000E4DE0000}"/>
    <cellStyle name="Output Report Heading 2" xfId="57065" xr:uid="{00000000-0005-0000-0000-0000E5DE0000}"/>
    <cellStyle name="Output Report Heading 2 2" xfId="57066" xr:uid="{00000000-0005-0000-0000-0000E6DE0000}"/>
    <cellStyle name="Output Report Heading 2 2 2" xfId="57067" xr:uid="{00000000-0005-0000-0000-0000E7DE0000}"/>
    <cellStyle name="Output Report Heading 2 3" xfId="57068" xr:uid="{00000000-0005-0000-0000-0000E8DE0000}"/>
    <cellStyle name="Output Report Heading 3" xfId="57069" xr:uid="{00000000-0005-0000-0000-0000E9DE0000}"/>
    <cellStyle name="Output Report Heading 3 2" xfId="57070" xr:uid="{00000000-0005-0000-0000-0000EADE0000}"/>
    <cellStyle name="Output Report Heading 4" xfId="57071" xr:uid="{00000000-0005-0000-0000-0000EBDE0000}"/>
    <cellStyle name="Output Report Title" xfId="57072" xr:uid="{00000000-0005-0000-0000-0000ECDE0000}"/>
    <cellStyle name="Output Report Title 2" xfId="57073" xr:uid="{00000000-0005-0000-0000-0000EDDE0000}"/>
    <cellStyle name="Output Report Title 2 2" xfId="57074" xr:uid="{00000000-0005-0000-0000-0000EEDE0000}"/>
    <cellStyle name="Output Report Title 2 2 2" xfId="57075" xr:uid="{00000000-0005-0000-0000-0000EFDE0000}"/>
    <cellStyle name="Output Report Title 2 3" xfId="57076" xr:uid="{00000000-0005-0000-0000-0000F0DE0000}"/>
    <cellStyle name="Output Report Title 3" xfId="57077" xr:uid="{00000000-0005-0000-0000-0000F1DE0000}"/>
    <cellStyle name="Output Report Title 3 2" xfId="57078" xr:uid="{00000000-0005-0000-0000-0000F2DE0000}"/>
    <cellStyle name="Output Report Title 4" xfId="57079" xr:uid="{00000000-0005-0000-0000-0000F3DE0000}"/>
    <cellStyle name="Outputs from other worksheets" xfId="57080" xr:uid="{00000000-0005-0000-0000-0000F4DE0000}"/>
    <cellStyle name="Outputs from other worksheets 2" xfId="57081" xr:uid="{00000000-0005-0000-0000-0000F5DE0000}"/>
    <cellStyle name="Outputtitle" xfId="57082" xr:uid="{00000000-0005-0000-0000-0000F6DE0000}"/>
    <cellStyle name="Outputtitle 2" xfId="57083" xr:uid="{00000000-0005-0000-0000-0000F7DE0000}"/>
    <cellStyle name="Outputtitle 2 2" xfId="57084" xr:uid="{00000000-0005-0000-0000-0000F8DE0000}"/>
    <cellStyle name="Outputtitle 3" xfId="57085" xr:uid="{00000000-0005-0000-0000-0000F9DE0000}"/>
    <cellStyle name="p" xfId="57086" xr:uid="{00000000-0005-0000-0000-0000FADE0000}"/>
    <cellStyle name="p 2" xfId="57087" xr:uid="{00000000-0005-0000-0000-0000FBDE0000}"/>
    <cellStyle name="p 2 2" xfId="57088" xr:uid="{00000000-0005-0000-0000-0000FCDE0000}"/>
    <cellStyle name="p 3" xfId="57089" xr:uid="{00000000-0005-0000-0000-0000FDDE0000}"/>
    <cellStyle name="P?nznem [0]_1n?rt1" xfId="57090" xr:uid="{00000000-0005-0000-0000-0000FEDE0000}"/>
    <cellStyle name="P?nznem_1n?rt1" xfId="57091" xr:uid="{00000000-0005-0000-0000-0000FFDE0000}"/>
    <cellStyle name="P_1.21.03 Model v1" xfId="57092" xr:uid="{00000000-0005-0000-0000-000000DF0000}"/>
    <cellStyle name="P_1.21.03 Model v1 2" xfId="57093" xr:uid="{00000000-0005-0000-0000-000001DF0000}"/>
    <cellStyle name="P_1.21.03 Model v1 2 2" xfId="57094" xr:uid="{00000000-0005-0000-0000-000002DF0000}"/>
    <cellStyle name="P_1.21.03 Model v1 3" xfId="57095" xr:uid="{00000000-0005-0000-0000-000003DF0000}"/>
    <cellStyle name="P_2004-Sep-1_American Household_v1" xfId="57096" xr:uid="{00000000-0005-0000-0000-000004DF0000}"/>
    <cellStyle name="P_accretion.temp" xfId="57097" xr:uid="{00000000-0005-0000-0000-000005DF0000}"/>
    <cellStyle name="P_accretion.temp 2" xfId="57098" xr:uid="{00000000-0005-0000-0000-000006DF0000}"/>
    <cellStyle name="P_accretion.temp 2 2" xfId="57099" xr:uid="{00000000-0005-0000-0000-000007DF0000}"/>
    <cellStyle name="P_accretion.temp 3" xfId="57100" xr:uid="{00000000-0005-0000-0000-000008DF0000}"/>
    <cellStyle name="P_Answers" xfId="57101" xr:uid="{00000000-0005-0000-0000-000009DF0000}"/>
    <cellStyle name="P_Answers 2" xfId="57102" xr:uid="{00000000-0005-0000-0000-00000ADF0000}"/>
    <cellStyle name="P_Answers 2 2" xfId="57103" xr:uid="{00000000-0005-0000-0000-00000BDF0000}"/>
    <cellStyle name="P_Answers 3" xfId="57104" xr:uid="{00000000-0005-0000-0000-00000CDF0000}"/>
    <cellStyle name="P_Callaway LBO short form" xfId="57105" xr:uid="{00000000-0005-0000-0000-00000DDF0000}"/>
    <cellStyle name="P_comps file check010405" xfId="57106" xr:uid="{00000000-0005-0000-0000-00000EDF0000}"/>
    <cellStyle name="P_comps file check010405 2" xfId="57107" xr:uid="{00000000-0005-0000-0000-00000FDF0000}"/>
    <cellStyle name="P_comps file check010405 2 2" xfId="57108" xr:uid="{00000000-0005-0000-0000-000010DF0000}"/>
    <cellStyle name="P_comps file check010405 3" xfId="57109" xr:uid="{00000000-0005-0000-0000-000011DF0000}"/>
    <cellStyle name="P_cow cost of debt3.091204" xfId="57110" xr:uid="{00000000-0005-0000-0000-000012DF0000}"/>
    <cellStyle name="P_dcf_9_7_99" xfId="57111" xr:uid="{00000000-0005-0000-0000-000013DF0000}"/>
    <cellStyle name="P_dcf_9_7_99 2" xfId="57112" xr:uid="{00000000-0005-0000-0000-000014DF0000}"/>
    <cellStyle name="P_dcf_9_7_99 2 2" xfId="57113" xr:uid="{00000000-0005-0000-0000-000015DF0000}"/>
    <cellStyle name="P_dcf_9_7_99 3" xfId="57114" xr:uid="{00000000-0005-0000-0000-000016DF0000}"/>
    <cellStyle name="P_dcf_9_7_99_accretion.temp" xfId="57115" xr:uid="{00000000-0005-0000-0000-000017DF0000}"/>
    <cellStyle name="P_dcf_9_7_99_accretion.temp 2" xfId="57116" xr:uid="{00000000-0005-0000-0000-000018DF0000}"/>
    <cellStyle name="P_dcf_9_7_99_accretion.temp 2 2" xfId="57117" xr:uid="{00000000-0005-0000-0000-000019DF0000}"/>
    <cellStyle name="P_dcf_9_7_99_accretion.temp 3" xfId="57118" xr:uid="{00000000-0005-0000-0000-00001ADF0000}"/>
    <cellStyle name="P_dcf_9_7_99_DCF" xfId="57119" xr:uid="{00000000-0005-0000-0000-00001BDF0000}"/>
    <cellStyle name="P_dcf_9_7_99_DCF 2" xfId="57120" xr:uid="{00000000-0005-0000-0000-00001CDF0000}"/>
    <cellStyle name="P_dcf_9_7_99_DCF 2 2" xfId="57121" xr:uid="{00000000-0005-0000-0000-00001DDF0000}"/>
    <cellStyle name="P_dcf_9_7_99_DCF 3" xfId="57122" xr:uid="{00000000-0005-0000-0000-00001EDF0000}"/>
    <cellStyle name="P_DCF10.18.99" xfId="57123" xr:uid="{00000000-0005-0000-0000-00001FDF0000}"/>
    <cellStyle name="P_DCF10.18.99 2" xfId="57124" xr:uid="{00000000-0005-0000-0000-000020DF0000}"/>
    <cellStyle name="P_DCF10.18.99 2 2" xfId="57125" xr:uid="{00000000-0005-0000-0000-000021DF0000}"/>
    <cellStyle name="P_DCF10.18.99 3" xfId="57126" xr:uid="{00000000-0005-0000-0000-000022DF0000}"/>
    <cellStyle name="P_DCF10.18.99_accretion.temp" xfId="57127" xr:uid="{00000000-0005-0000-0000-000023DF0000}"/>
    <cellStyle name="P_DCF10.18.99_accretion.temp 2" xfId="57128" xr:uid="{00000000-0005-0000-0000-000024DF0000}"/>
    <cellStyle name="P_DCF10.18.99_accretion.temp 2 2" xfId="57129" xr:uid="{00000000-0005-0000-0000-000025DF0000}"/>
    <cellStyle name="P_DCF10.18.99_accretion.temp 3" xfId="57130" xr:uid="{00000000-0005-0000-0000-000026DF0000}"/>
    <cellStyle name="P_EPS Anal" xfId="57131" xr:uid="{00000000-0005-0000-0000-000027DF0000}"/>
    <cellStyle name="P_EPS Anal 2" xfId="57132" xr:uid="{00000000-0005-0000-0000-000028DF0000}"/>
    <cellStyle name="P_EPS Anal 2 2" xfId="57133" xr:uid="{00000000-0005-0000-0000-000029DF0000}"/>
    <cellStyle name="P_EPS Anal 3" xfId="57134" xr:uid="{00000000-0005-0000-0000-00002ADF0000}"/>
    <cellStyle name="P_EPS Anal_accretion.temp" xfId="57135" xr:uid="{00000000-0005-0000-0000-00002BDF0000}"/>
    <cellStyle name="P_EPS Anal_accretion.temp 2" xfId="57136" xr:uid="{00000000-0005-0000-0000-00002CDF0000}"/>
    <cellStyle name="P_EPS Anal_accretion.temp 2 2" xfId="57137" xr:uid="{00000000-0005-0000-0000-00002DDF0000}"/>
    <cellStyle name="P_EPS Anal_accretion.temp 3" xfId="57138" xr:uid="{00000000-0005-0000-0000-00002EDF0000}"/>
    <cellStyle name="P_EPS Anal_COMPCO_11.9.99" xfId="57139" xr:uid="{00000000-0005-0000-0000-00002FDF0000}"/>
    <cellStyle name="P_EPS Anal_COMPCO_11.9.99 2" xfId="57140" xr:uid="{00000000-0005-0000-0000-000030DF0000}"/>
    <cellStyle name="P_EPS Anal_COMPCO_11.9.99 2 2" xfId="57141" xr:uid="{00000000-0005-0000-0000-000031DF0000}"/>
    <cellStyle name="P_EPS Anal_COMPCO_11.9.99 3" xfId="57142" xr:uid="{00000000-0005-0000-0000-000032DF0000}"/>
    <cellStyle name="P_EPS Anal_COMPCO_11.9.99_accretion.temp" xfId="57143" xr:uid="{00000000-0005-0000-0000-000033DF0000}"/>
    <cellStyle name="P_EPS Anal_COMPCO_11.9.99_accretion.temp 2" xfId="57144" xr:uid="{00000000-0005-0000-0000-000034DF0000}"/>
    <cellStyle name="P_EPS Anal_COMPCO_11.9.99_accretion.temp 2 2" xfId="57145" xr:uid="{00000000-0005-0000-0000-000035DF0000}"/>
    <cellStyle name="P_EPS Anal_COMPCO_11.9.99_accretion.temp 3" xfId="57146" xr:uid="{00000000-0005-0000-0000-000036DF0000}"/>
    <cellStyle name="P_EPS Anal_COMPCO_11.9.99_DCF" xfId="57147" xr:uid="{00000000-0005-0000-0000-000037DF0000}"/>
    <cellStyle name="P_EPS Anal_COMPCO_11.9.99_DCF 2" xfId="57148" xr:uid="{00000000-0005-0000-0000-000038DF0000}"/>
    <cellStyle name="P_EPS Anal_COMPCO_11.9.99_DCF 2 2" xfId="57149" xr:uid="{00000000-0005-0000-0000-000039DF0000}"/>
    <cellStyle name="P_EPS Anal_COMPCO_11.9.99_DCF 3" xfId="57150" xr:uid="{00000000-0005-0000-0000-00003ADF0000}"/>
    <cellStyle name="P_EPS Anal_DCF" xfId="57151" xr:uid="{00000000-0005-0000-0000-00003BDF0000}"/>
    <cellStyle name="P_EPS Anal_DCF 2" xfId="57152" xr:uid="{00000000-0005-0000-0000-00003CDF0000}"/>
    <cellStyle name="P_EPS Anal_DCF 2 2" xfId="57153" xr:uid="{00000000-0005-0000-0000-00003DDF0000}"/>
    <cellStyle name="P_EPS Anal_DCF 3" xfId="57154" xr:uid="{00000000-0005-0000-0000-00003EDF0000}"/>
    <cellStyle name="P_financial model outline 102504" xfId="57155" xr:uid="{00000000-0005-0000-0000-00003FDF0000}"/>
    <cellStyle name="P_foodlarge_FY2" xfId="57156" xr:uid="{00000000-0005-0000-0000-000040DF0000}"/>
    <cellStyle name="p_Galbani operating model_v7" xfId="57157" xr:uid="{00000000-0005-0000-0000-000041DF0000}"/>
    <cellStyle name="P_Model 06029 v47 Fairness update 2" xfId="57158" xr:uid="{00000000-0005-0000-0000-000042DF0000}"/>
    <cellStyle name="P_Model 06029 v47 Fairness update 2 2" xfId="57159" xr:uid="{00000000-0005-0000-0000-000043DF0000}"/>
    <cellStyle name="P_Model 06029 v47 Fairness update 2 2 2" xfId="57160" xr:uid="{00000000-0005-0000-0000-000044DF0000}"/>
    <cellStyle name="P_Model 06029 v47 Fairness update 2 3" xfId="57161" xr:uid="{00000000-0005-0000-0000-000045DF0000}"/>
    <cellStyle name="P_Model 06029 v47 Fairness update 2_accretion.temp" xfId="57162" xr:uid="{00000000-0005-0000-0000-000046DF0000}"/>
    <cellStyle name="P_Model 06029 v47 Fairness update 2_accretion.temp 2" xfId="57163" xr:uid="{00000000-0005-0000-0000-000047DF0000}"/>
    <cellStyle name="P_Model 06029 v47 Fairness update 2_accretion.temp 2 2" xfId="57164" xr:uid="{00000000-0005-0000-0000-000048DF0000}"/>
    <cellStyle name="P_Model 06029 v47 Fairness update 2_accretion.temp 3" xfId="57165" xr:uid="{00000000-0005-0000-0000-000049DF0000}"/>
    <cellStyle name="P_Model 10-7-99" xfId="57166" xr:uid="{00000000-0005-0000-0000-00004ADF0000}"/>
    <cellStyle name="P_Model 10-7-99_1.21.03 Model v1" xfId="57167" xr:uid="{00000000-0005-0000-0000-00004BDF0000}"/>
    <cellStyle name="P_Model 10-7-99_1.21.03 Model v1 2" xfId="57168" xr:uid="{00000000-0005-0000-0000-00004CDF0000}"/>
    <cellStyle name="P_Model 10-7-99_1.21.03 Model v1 2 2" xfId="57169" xr:uid="{00000000-0005-0000-0000-00004DDF0000}"/>
    <cellStyle name="P_Model 10-7-99_1.21.03 Model v1 3" xfId="57170" xr:uid="{00000000-0005-0000-0000-00004EDF0000}"/>
    <cellStyle name="P_Project Wave Model 07" xfId="57171" xr:uid="{00000000-0005-0000-0000-00004FDF0000}"/>
    <cellStyle name="P_projections model from grand union.xls Chart 1" xfId="57172" xr:uid="{00000000-0005-0000-0000-000050DF0000}"/>
    <cellStyle name="P_Sara Lee Europe (US model)" xfId="57173" xr:uid="{00000000-0005-0000-0000-000051DF0000}"/>
    <cellStyle name="P_TNFI_DCF11.2.99" xfId="57174" xr:uid="{00000000-0005-0000-0000-000052DF0000}"/>
    <cellStyle name="P_TNFI_DCF11.2.99 2" xfId="57175" xr:uid="{00000000-0005-0000-0000-000053DF0000}"/>
    <cellStyle name="P_TNFI_DCF11.2.99 2 2" xfId="57176" xr:uid="{00000000-0005-0000-0000-000054DF0000}"/>
    <cellStyle name="P_TNFI_DCF11.2.99 3" xfId="57177" xr:uid="{00000000-0005-0000-0000-000055DF0000}"/>
    <cellStyle name="P_TNFI_DCF11.2.99_accretion.temp" xfId="57178" xr:uid="{00000000-0005-0000-0000-000056DF0000}"/>
    <cellStyle name="P_TNFI_DCF11.2.99_accretion.temp 2" xfId="57179" xr:uid="{00000000-0005-0000-0000-000057DF0000}"/>
    <cellStyle name="P_TNFI_DCF11.2.99_accretion.temp 2 2" xfId="57180" xr:uid="{00000000-0005-0000-0000-000058DF0000}"/>
    <cellStyle name="P_TNFI_DCF11.2.99_accretion.temp 3" xfId="57181" xr:uid="{00000000-0005-0000-0000-000059DF0000}"/>
    <cellStyle name="P_valuation model #1" xfId="57182" xr:uid="{00000000-0005-0000-0000-00005ADF0000}"/>
    <cellStyle name="P_WACC Large-Cap" xfId="57183" xr:uid="{00000000-0005-0000-0000-00005BDF0000}"/>
    <cellStyle name="PACE" xfId="57184" xr:uid="{00000000-0005-0000-0000-00005CDF0000}"/>
    <cellStyle name="Page header" xfId="57185" xr:uid="{00000000-0005-0000-0000-00005DDF0000}"/>
    <cellStyle name="Page Heading Large" xfId="57186" xr:uid="{00000000-0005-0000-0000-00005EDF0000}"/>
    <cellStyle name="Page Heading Large 2" xfId="57187" xr:uid="{00000000-0005-0000-0000-00005FDF0000}"/>
    <cellStyle name="Page Heading Large 2 2" xfId="57188" xr:uid="{00000000-0005-0000-0000-000060DF0000}"/>
    <cellStyle name="Page Heading Large 3" xfId="57189" xr:uid="{00000000-0005-0000-0000-000061DF0000}"/>
    <cellStyle name="Page Heading Small" xfId="57190" xr:uid="{00000000-0005-0000-0000-000062DF0000}"/>
    <cellStyle name="Page Heading Small 2" xfId="57191" xr:uid="{00000000-0005-0000-0000-000063DF0000}"/>
    <cellStyle name="Page Heading Small 2 2" xfId="57192" xr:uid="{00000000-0005-0000-0000-000064DF0000}"/>
    <cellStyle name="Page Heading Small 3" xfId="57193" xr:uid="{00000000-0005-0000-0000-000065DF0000}"/>
    <cellStyle name="Page Number" xfId="57194" xr:uid="{00000000-0005-0000-0000-000066DF0000}"/>
    <cellStyle name="Page Number 2" xfId="57195" xr:uid="{00000000-0005-0000-0000-000067DF0000}"/>
    <cellStyle name="Pageheader" xfId="57196" xr:uid="{00000000-0005-0000-0000-000068DF0000}"/>
    <cellStyle name="Pageheader 2" xfId="57197" xr:uid="{00000000-0005-0000-0000-000069DF0000}"/>
    <cellStyle name="Pageheader 2 2" xfId="57198" xr:uid="{00000000-0005-0000-0000-00006ADF0000}"/>
    <cellStyle name="Pageheader 3" xfId="57199" xr:uid="{00000000-0005-0000-0000-00006BDF0000}"/>
    <cellStyle name="PB Table Heading" xfId="57200" xr:uid="{00000000-0005-0000-0000-00006CDF0000}"/>
    <cellStyle name="PB Table Heading 2" xfId="57201" xr:uid="{00000000-0005-0000-0000-00006DDF0000}"/>
    <cellStyle name="PB Table Heading 2 2" xfId="57202" xr:uid="{00000000-0005-0000-0000-00006EDF0000}"/>
    <cellStyle name="PB Table Heading 2 2 2" xfId="57203" xr:uid="{00000000-0005-0000-0000-00006FDF0000}"/>
    <cellStyle name="PB Table Heading 2 3" xfId="57204" xr:uid="{00000000-0005-0000-0000-000070DF0000}"/>
    <cellStyle name="PB Table Heading 2 4" xfId="57205" xr:uid="{00000000-0005-0000-0000-000071DF0000}"/>
    <cellStyle name="PB Table Heading 3" xfId="57206" xr:uid="{00000000-0005-0000-0000-000072DF0000}"/>
    <cellStyle name="PB Table Heading 3 2" xfId="57207" xr:uid="{00000000-0005-0000-0000-000073DF0000}"/>
    <cellStyle name="PB Table Heading 4" xfId="57208" xr:uid="{00000000-0005-0000-0000-000074DF0000}"/>
    <cellStyle name="PB Table Heading 5" xfId="57209" xr:uid="{00000000-0005-0000-0000-000075DF0000}"/>
    <cellStyle name="PB Table Highlight1" xfId="57210" xr:uid="{00000000-0005-0000-0000-000076DF0000}"/>
    <cellStyle name="PB Table Highlight1 2" xfId="57211" xr:uid="{00000000-0005-0000-0000-000077DF0000}"/>
    <cellStyle name="PB Table Highlight1 2 2" xfId="57212" xr:uid="{00000000-0005-0000-0000-000078DF0000}"/>
    <cellStyle name="PB Table Highlight1 2 2 2" xfId="57213" xr:uid="{00000000-0005-0000-0000-000079DF0000}"/>
    <cellStyle name="PB Table Highlight1 2 3" xfId="57214" xr:uid="{00000000-0005-0000-0000-00007ADF0000}"/>
    <cellStyle name="PB Table Highlight1 3" xfId="57215" xr:uid="{00000000-0005-0000-0000-00007BDF0000}"/>
    <cellStyle name="PB Table Highlight1 3 2" xfId="57216" xr:uid="{00000000-0005-0000-0000-00007CDF0000}"/>
    <cellStyle name="PB Table Highlight1 4" xfId="57217" xr:uid="{00000000-0005-0000-0000-00007DDF0000}"/>
    <cellStyle name="PB Table Highlight2" xfId="57218" xr:uid="{00000000-0005-0000-0000-00007EDF0000}"/>
    <cellStyle name="PB Table Highlight2 2" xfId="57219" xr:uid="{00000000-0005-0000-0000-00007FDF0000}"/>
    <cellStyle name="PB Table Highlight2 2 2" xfId="57220" xr:uid="{00000000-0005-0000-0000-000080DF0000}"/>
    <cellStyle name="PB Table Highlight2 3" xfId="57221" xr:uid="{00000000-0005-0000-0000-000081DF0000}"/>
    <cellStyle name="PB Table Highlight3" xfId="57222" xr:uid="{00000000-0005-0000-0000-000082DF0000}"/>
    <cellStyle name="PB Table Highlight3 2" xfId="57223" xr:uid="{00000000-0005-0000-0000-000083DF0000}"/>
    <cellStyle name="PB Table Highlight3 2 2" xfId="57224" xr:uid="{00000000-0005-0000-0000-000084DF0000}"/>
    <cellStyle name="PB Table Highlight3 3" xfId="57225" xr:uid="{00000000-0005-0000-0000-000085DF0000}"/>
    <cellStyle name="PB Table Standard Row" xfId="57226" xr:uid="{00000000-0005-0000-0000-000086DF0000}"/>
    <cellStyle name="PB Table Standard Row 2" xfId="57227" xr:uid="{00000000-0005-0000-0000-000087DF0000}"/>
    <cellStyle name="PB Table Standard Row 2 2" xfId="57228" xr:uid="{00000000-0005-0000-0000-000088DF0000}"/>
    <cellStyle name="PB Table Standard Row 2 2 2" xfId="57229" xr:uid="{00000000-0005-0000-0000-000089DF0000}"/>
    <cellStyle name="PB Table Standard Row 2 3" xfId="57230" xr:uid="{00000000-0005-0000-0000-00008ADF0000}"/>
    <cellStyle name="PB Table Standard Row 3" xfId="57231" xr:uid="{00000000-0005-0000-0000-00008BDF0000}"/>
    <cellStyle name="PB Table Standard Row 3 2" xfId="57232" xr:uid="{00000000-0005-0000-0000-00008CDF0000}"/>
    <cellStyle name="PB Table Standard Row 4" xfId="57233" xr:uid="{00000000-0005-0000-0000-00008DDF0000}"/>
    <cellStyle name="PB Table Subtotal Row" xfId="57234" xr:uid="{00000000-0005-0000-0000-00008EDF0000}"/>
    <cellStyle name="PB Table Subtotal Row 2" xfId="57235" xr:uid="{00000000-0005-0000-0000-00008FDF0000}"/>
    <cellStyle name="PB Table Subtotal Row 2 2" xfId="57236" xr:uid="{00000000-0005-0000-0000-000090DF0000}"/>
    <cellStyle name="PB Table Subtotal Row 2 2 2" xfId="57237" xr:uid="{00000000-0005-0000-0000-000091DF0000}"/>
    <cellStyle name="PB Table Subtotal Row 2 2 2 2" xfId="57238" xr:uid="{00000000-0005-0000-0000-000092DF0000}"/>
    <cellStyle name="PB Table Subtotal Row 2 2 3" xfId="57239" xr:uid="{00000000-0005-0000-0000-000093DF0000}"/>
    <cellStyle name="PB Table Subtotal Row 2 3" xfId="57240" xr:uid="{00000000-0005-0000-0000-000094DF0000}"/>
    <cellStyle name="PB Table Subtotal Row 2 3 2" xfId="57241" xr:uid="{00000000-0005-0000-0000-000095DF0000}"/>
    <cellStyle name="PB Table Subtotal Row 2 4" xfId="57242" xr:uid="{00000000-0005-0000-0000-000096DF0000}"/>
    <cellStyle name="PB Table Subtotal Row 3" xfId="57243" xr:uid="{00000000-0005-0000-0000-000097DF0000}"/>
    <cellStyle name="PB Table Subtotal Row 3 2" xfId="57244" xr:uid="{00000000-0005-0000-0000-000098DF0000}"/>
    <cellStyle name="PB Table Subtotal Row 3 2 2" xfId="57245" xr:uid="{00000000-0005-0000-0000-000099DF0000}"/>
    <cellStyle name="PB Table Subtotal Row 3 2 2 2" xfId="57246" xr:uid="{00000000-0005-0000-0000-00009ADF0000}"/>
    <cellStyle name="PB Table Subtotal Row 3 2 3" xfId="57247" xr:uid="{00000000-0005-0000-0000-00009BDF0000}"/>
    <cellStyle name="PB Table Subtotal Row 3 3" xfId="57248" xr:uid="{00000000-0005-0000-0000-00009CDF0000}"/>
    <cellStyle name="PB Table Subtotal Row 3 3 2" xfId="57249" xr:uid="{00000000-0005-0000-0000-00009DDF0000}"/>
    <cellStyle name="PB Table Subtotal Row 3 4" xfId="57250" xr:uid="{00000000-0005-0000-0000-00009EDF0000}"/>
    <cellStyle name="PB Table Subtotal Row 4" xfId="57251" xr:uid="{00000000-0005-0000-0000-00009FDF0000}"/>
    <cellStyle name="PB Table Subtotal Row 4 2" xfId="57252" xr:uid="{00000000-0005-0000-0000-0000A0DF0000}"/>
    <cellStyle name="PB Table Subtotal Row 4 2 2" xfId="57253" xr:uid="{00000000-0005-0000-0000-0000A1DF0000}"/>
    <cellStyle name="PB Table Subtotal Row 4 3" xfId="57254" xr:uid="{00000000-0005-0000-0000-0000A2DF0000}"/>
    <cellStyle name="PB Table Subtotal Row 5" xfId="57255" xr:uid="{00000000-0005-0000-0000-0000A3DF0000}"/>
    <cellStyle name="PB Table Subtotal Row 5 2" xfId="57256" xr:uid="{00000000-0005-0000-0000-0000A4DF0000}"/>
    <cellStyle name="PB Table Subtotal Row 6" xfId="57257" xr:uid="{00000000-0005-0000-0000-0000A5DF0000}"/>
    <cellStyle name="PB Table Total Row" xfId="57258" xr:uid="{00000000-0005-0000-0000-0000A6DF0000}"/>
    <cellStyle name="PB Table Total Row 2" xfId="57259" xr:uid="{00000000-0005-0000-0000-0000A7DF0000}"/>
    <cellStyle name="PB Table Total Row 2 2" xfId="57260" xr:uid="{00000000-0005-0000-0000-0000A8DF0000}"/>
    <cellStyle name="PB Table Total Row 2 2 2" xfId="57261" xr:uid="{00000000-0005-0000-0000-0000A9DF0000}"/>
    <cellStyle name="PB Table Total Row 2 3" xfId="57262" xr:uid="{00000000-0005-0000-0000-0000AADF0000}"/>
    <cellStyle name="PB Table Total Row 3" xfId="57263" xr:uid="{00000000-0005-0000-0000-0000ABDF0000}"/>
    <cellStyle name="PB Table Total Row 3 2" xfId="57264" xr:uid="{00000000-0005-0000-0000-0000ACDF0000}"/>
    <cellStyle name="PB Table Total Row 4" xfId="57265" xr:uid="{00000000-0005-0000-0000-0000ADDF0000}"/>
    <cellStyle name="Pénznem [0]_1nért1" xfId="57266" xr:uid="{00000000-0005-0000-0000-0000AEDF0000}"/>
    <cellStyle name="Pénznem_1nért1" xfId="57267" xr:uid="{00000000-0005-0000-0000-0000AFDF0000}"/>
    <cellStyle name="per.style" xfId="57268" xr:uid="{00000000-0005-0000-0000-0000B0DF0000}"/>
    <cellStyle name="Percent %" xfId="57269" xr:uid="{00000000-0005-0000-0000-0000B1DF0000}"/>
    <cellStyle name="Percent % Long Underline" xfId="57270" xr:uid="{00000000-0005-0000-0000-0000B2DF0000}"/>
    <cellStyle name="Percent %_Worksheet in  US Financial Statements Ref. Workbook - Single Co" xfId="57271" xr:uid="{00000000-0005-0000-0000-0000B3DF0000}"/>
    <cellStyle name="Percent (0)" xfId="57272" xr:uid="{00000000-0005-0000-0000-0000B4DF0000}"/>
    <cellStyle name="Percent (M)" xfId="57273" xr:uid="{00000000-0005-0000-0000-0000B5DF0000}"/>
    <cellStyle name="Percent (M) 2" xfId="57274" xr:uid="{00000000-0005-0000-0000-0000B6DF0000}"/>
    <cellStyle name="Percent [0]" xfId="57275" xr:uid="{00000000-0005-0000-0000-0000B7DF0000}"/>
    <cellStyle name="Percent [0] 2" xfId="57276" xr:uid="{00000000-0005-0000-0000-0000B8DF0000}"/>
    <cellStyle name="Percent [0] 3" xfId="57277" xr:uid="{00000000-0005-0000-0000-0000B9DF0000}"/>
    <cellStyle name="Percent [0] 3 2" xfId="57278" xr:uid="{00000000-0005-0000-0000-0000BADF0000}"/>
    <cellStyle name="Percent [00]" xfId="57279" xr:uid="{00000000-0005-0000-0000-0000BBDF0000}"/>
    <cellStyle name="Percent [1]" xfId="57280" xr:uid="{00000000-0005-0000-0000-0000BCDF0000}"/>
    <cellStyle name="Percent [1] 2" xfId="57281" xr:uid="{00000000-0005-0000-0000-0000BDDF0000}"/>
    <cellStyle name="Percent [1] 2 2" xfId="57282" xr:uid="{00000000-0005-0000-0000-0000BEDF0000}"/>
    <cellStyle name="Percent [1] 2 2 2" xfId="57283" xr:uid="{00000000-0005-0000-0000-0000BFDF0000}"/>
    <cellStyle name="Percent [1] 2 3" xfId="57284" xr:uid="{00000000-0005-0000-0000-0000C0DF0000}"/>
    <cellStyle name="Percent [2]" xfId="57285" xr:uid="{00000000-0005-0000-0000-0000C1DF0000}"/>
    <cellStyle name="Percent [2] 2" xfId="57286" xr:uid="{00000000-0005-0000-0000-0000C2DF0000}"/>
    <cellStyle name="Percent 0.0%" xfId="57287" xr:uid="{00000000-0005-0000-0000-0000C3DF0000}"/>
    <cellStyle name="Percent 0.0% Long Underline" xfId="57288" xr:uid="{00000000-0005-0000-0000-0000C4DF0000}"/>
    <cellStyle name="Percent 0.00%" xfId="57289" xr:uid="{00000000-0005-0000-0000-0000C5DF0000}"/>
    <cellStyle name="Percent 0.00% Long Underline" xfId="57290" xr:uid="{00000000-0005-0000-0000-0000C6DF0000}"/>
    <cellStyle name="Percent 0.000%" xfId="57291" xr:uid="{00000000-0005-0000-0000-0000C7DF0000}"/>
    <cellStyle name="Percent 0.000% Long Underline" xfId="57292" xr:uid="{00000000-0005-0000-0000-0000C8DF0000}"/>
    <cellStyle name="Percent 10" xfId="57293" xr:uid="{00000000-0005-0000-0000-0000C9DF0000}"/>
    <cellStyle name="Percent 11" xfId="57294" xr:uid="{00000000-0005-0000-0000-0000CADF0000}"/>
    <cellStyle name="Percent 12" xfId="57295" xr:uid="{00000000-0005-0000-0000-0000CBDF0000}"/>
    <cellStyle name="Percent 13" xfId="57296" xr:uid="{00000000-0005-0000-0000-0000CCDF0000}"/>
    <cellStyle name="Percent 14" xfId="57297" xr:uid="{00000000-0005-0000-0000-0000CDDF0000}"/>
    <cellStyle name="Percent 15" xfId="57298" xr:uid="{00000000-0005-0000-0000-0000CEDF0000}"/>
    <cellStyle name="Percent 16" xfId="57299" xr:uid="{00000000-0005-0000-0000-0000CFDF0000}"/>
    <cellStyle name="Percent 17" xfId="57300" xr:uid="{00000000-0005-0000-0000-0000D0DF0000}"/>
    <cellStyle name="Percent 18" xfId="57301" xr:uid="{00000000-0005-0000-0000-0000D1DF0000}"/>
    <cellStyle name="Percent 19" xfId="57302" xr:uid="{00000000-0005-0000-0000-0000D2DF0000}"/>
    <cellStyle name="Percent 2" xfId="57303" xr:uid="{00000000-0005-0000-0000-0000D3DF0000}"/>
    <cellStyle name="Percent 2 2" xfId="57304" xr:uid="{00000000-0005-0000-0000-0000D4DF0000}"/>
    <cellStyle name="Percent 2 2 2" xfId="57305" xr:uid="{00000000-0005-0000-0000-0000D5DF0000}"/>
    <cellStyle name="Percent 2 2 3" xfId="57306" xr:uid="{00000000-0005-0000-0000-0000D6DF0000}"/>
    <cellStyle name="Percent 2 2 4" xfId="57307" xr:uid="{00000000-0005-0000-0000-0000D7DF0000}"/>
    <cellStyle name="Percent 2 3" xfId="57308" xr:uid="{00000000-0005-0000-0000-0000D8DF0000}"/>
    <cellStyle name="Percent 2 3 2" xfId="57309" xr:uid="{00000000-0005-0000-0000-0000D9DF0000}"/>
    <cellStyle name="Percent 2 3 3" xfId="57310" xr:uid="{00000000-0005-0000-0000-0000DADF0000}"/>
    <cellStyle name="Percent 2 4" xfId="57311" xr:uid="{00000000-0005-0000-0000-0000DBDF0000}"/>
    <cellStyle name="Percent 2 5" xfId="57312" xr:uid="{00000000-0005-0000-0000-0000DCDF0000}"/>
    <cellStyle name="Percent 2 6" xfId="57313" xr:uid="{00000000-0005-0000-0000-0000DDDF0000}"/>
    <cellStyle name="Percent 2 7" xfId="57314" xr:uid="{00000000-0005-0000-0000-0000DEDF0000}"/>
    <cellStyle name="Percent 2 8" xfId="57315" xr:uid="{00000000-0005-0000-0000-0000DFDF0000}"/>
    <cellStyle name="Percent 3" xfId="57316" xr:uid="{00000000-0005-0000-0000-0000E0DF0000}"/>
    <cellStyle name="Percent 3 2" xfId="57317" xr:uid="{00000000-0005-0000-0000-0000E1DF0000}"/>
    <cellStyle name="Percent 3 3" xfId="57318" xr:uid="{00000000-0005-0000-0000-0000E2DF0000}"/>
    <cellStyle name="Percent 3 4" xfId="57319" xr:uid="{00000000-0005-0000-0000-0000E3DF0000}"/>
    <cellStyle name="Percent 3 5" xfId="57320" xr:uid="{00000000-0005-0000-0000-0000E4DF0000}"/>
    <cellStyle name="Percent 4" xfId="57321" xr:uid="{00000000-0005-0000-0000-0000E5DF0000}"/>
    <cellStyle name="Percent 4 2" xfId="57322" xr:uid="{00000000-0005-0000-0000-0000E6DF0000}"/>
    <cellStyle name="Percent 4 3" xfId="57323" xr:uid="{00000000-0005-0000-0000-0000E7DF0000}"/>
    <cellStyle name="Percent 5" xfId="57324" xr:uid="{00000000-0005-0000-0000-0000E8DF0000}"/>
    <cellStyle name="Percent 6" xfId="57325" xr:uid="{00000000-0005-0000-0000-0000E9DF0000}"/>
    <cellStyle name="Percent 6 2" xfId="57326" xr:uid="{00000000-0005-0000-0000-0000EADF0000}"/>
    <cellStyle name="Percent 7" xfId="57327" xr:uid="{00000000-0005-0000-0000-0000EBDF0000}"/>
    <cellStyle name="Percent 7 2" xfId="57328" xr:uid="{00000000-0005-0000-0000-0000ECDF0000}"/>
    <cellStyle name="Percent 8" xfId="57329" xr:uid="{00000000-0005-0000-0000-0000EDDF0000}"/>
    <cellStyle name="Percent 8 2" xfId="57330" xr:uid="{00000000-0005-0000-0000-0000EEDF0000}"/>
    <cellStyle name="Percent 9" xfId="57331" xr:uid="{00000000-0005-0000-0000-0000EFDF0000}"/>
    <cellStyle name="Percent Hard" xfId="57332" xr:uid="{00000000-0005-0000-0000-0000F0DF0000}"/>
    <cellStyle name="Percent.0" xfId="57333" xr:uid="{00000000-0005-0000-0000-0000F1DF0000}"/>
    <cellStyle name="Percent1" xfId="57334" xr:uid="{00000000-0005-0000-0000-0000F2DF0000}"/>
    <cellStyle name="PERCENT2" xfId="57335" xr:uid="{00000000-0005-0000-0000-0000F3DF0000}"/>
    <cellStyle name="PercentC" xfId="57336" xr:uid="{00000000-0005-0000-0000-0000F4DF0000}"/>
    <cellStyle name="personal" xfId="57337" xr:uid="{00000000-0005-0000-0000-0000F5DF0000}"/>
    <cellStyle name="PillarText" xfId="57338" xr:uid="{00000000-0005-0000-0000-0000F6DF0000}"/>
    <cellStyle name="PillarText 2" xfId="57339" xr:uid="{00000000-0005-0000-0000-0000F7DF0000}"/>
    <cellStyle name="PillarText 2 2" xfId="57340" xr:uid="{00000000-0005-0000-0000-0000F8DF0000}"/>
    <cellStyle name="PillarText 3" xfId="57341" xr:uid="{00000000-0005-0000-0000-0000F9DF0000}"/>
    <cellStyle name="Porcentagem" xfId="2" builtinId="5"/>
    <cellStyle name="Porcentagem 2" xfId="4" xr:uid="{00000000-0005-0000-0000-0000FBDF0000}"/>
    <cellStyle name="Porcentagem 2 2" xfId="57342" xr:uid="{00000000-0005-0000-0000-0000FCDF0000}"/>
    <cellStyle name="Porcentaje" xfId="57343" xr:uid="{00000000-0005-0000-0000-0000FDDF0000}"/>
    <cellStyle name="Porcentajes" xfId="57344" xr:uid="{00000000-0005-0000-0000-0000FEDF0000}"/>
    <cellStyle name="Porcentajes 2" xfId="57345" xr:uid="{00000000-0005-0000-0000-0000FFDF0000}"/>
    <cellStyle name="Porcentajes 2 2" xfId="57346" xr:uid="{00000000-0005-0000-0000-000000E00000}"/>
    <cellStyle name="Porcentajes 2 3" xfId="57347" xr:uid="{00000000-0005-0000-0000-000001E00000}"/>
    <cellStyle name="Porcentajes 2 3 2" xfId="57348" xr:uid="{00000000-0005-0000-0000-000002E00000}"/>
    <cellStyle name="Porcentajes 3" xfId="57349" xr:uid="{00000000-0005-0000-0000-000003E00000}"/>
    <cellStyle name="Porcentajes 3 2" xfId="57350" xr:uid="{00000000-0005-0000-0000-000004E00000}"/>
    <cellStyle name="Porcentajes 3 3" xfId="57351" xr:uid="{00000000-0005-0000-0000-000005E00000}"/>
    <cellStyle name="Porcentajes 3 3 2" xfId="57352" xr:uid="{00000000-0005-0000-0000-000006E00000}"/>
    <cellStyle name="Porcentajes 4" xfId="57353" xr:uid="{00000000-0005-0000-0000-000007E00000}"/>
    <cellStyle name="Porcentajes 4 2" xfId="57354" xr:uid="{00000000-0005-0000-0000-000008E00000}"/>
    <cellStyle name="Porcentual 2" xfId="57355" xr:uid="{00000000-0005-0000-0000-000009E00000}"/>
    <cellStyle name="Porcentual 2 2" xfId="57356" xr:uid="{00000000-0005-0000-0000-00000AE00000}"/>
    <cellStyle name="Porcentual 3" xfId="57357" xr:uid="{00000000-0005-0000-0000-00000BE00000}"/>
    <cellStyle name="Porcentual 3 2" xfId="57358" xr:uid="{00000000-0005-0000-0000-00000CE00000}"/>
    <cellStyle name="Porcentual 3 2 2" xfId="57359" xr:uid="{00000000-0005-0000-0000-00000DE00000}"/>
    <cellStyle name="Porcentual 3 3" xfId="57360" xr:uid="{00000000-0005-0000-0000-00000EE00000}"/>
    <cellStyle name="Porcentual 4" xfId="57361" xr:uid="{00000000-0005-0000-0000-00000FE00000}"/>
    <cellStyle name="Porcentual 4 2" xfId="57362" xr:uid="{00000000-0005-0000-0000-000010E00000}"/>
    <cellStyle name="Porcentual 5" xfId="57363" xr:uid="{00000000-0005-0000-0000-000011E00000}"/>
    <cellStyle name="Porcentual 5 2" xfId="57364" xr:uid="{00000000-0005-0000-0000-000012E00000}"/>
    <cellStyle name="Porcentual_20317dgi1" xfId="57365" xr:uid="{00000000-0005-0000-0000-000013E00000}"/>
    <cellStyle name="Pos" xfId="57366" xr:uid="{00000000-0005-0000-0000-000014E00000}"/>
    <cellStyle name="pound" xfId="57367" xr:uid="{00000000-0005-0000-0000-000015E00000}"/>
    <cellStyle name="Pourcentage 2" xfId="57368" xr:uid="{00000000-0005-0000-0000-000016E00000}"/>
    <cellStyle name="Pourcentage_WACC" xfId="57369" xr:uid="{00000000-0005-0000-0000-000017E00000}"/>
    <cellStyle name="Precent" xfId="57370" xr:uid="{00000000-0005-0000-0000-000018E00000}"/>
    <cellStyle name="Precent2" xfId="57371" xr:uid="{00000000-0005-0000-0000-000019E00000}"/>
    <cellStyle name="Precent3" xfId="57372" xr:uid="{00000000-0005-0000-0000-00001AE00000}"/>
    <cellStyle name="Precent3 2" xfId="57373" xr:uid="{00000000-0005-0000-0000-00001BE00000}"/>
    <cellStyle name="Precent3 3" xfId="57374" xr:uid="{00000000-0005-0000-0000-00001CE00000}"/>
    <cellStyle name="Precent3 4" xfId="57375" xr:uid="{00000000-0005-0000-0000-00001DE00000}"/>
    <cellStyle name="Preis" xfId="57376" xr:uid="{00000000-0005-0000-0000-00001EE00000}"/>
    <cellStyle name="PrePop Currency (0)" xfId="57377" xr:uid="{00000000-0005-0000-0000-00001FE00000}"/>
    <cellStyle name="PrePop Currency (0) 2" xfId="57378" xr:uid="{00000000-0005-0000-0000-000020E00000}"/>
    <cellStyle name="PrePop Currency (0) 2 2" xfId="57379" xr:uid="{00000000-0005-0000-0000-000021E00000}"/>
    <cellStyle name="PrePop Currency (0) 3" xfId="57380" xr:uid="{00000000-0005-0000-0000-000022E00000}"/>
    <cellStyle name="PrePop Currency (2)" xfId="57381" xr:uid="{00000000-0005-0000-0000-000023E00000}"/>
    <cellStyle name="PrePop Currency (2) 2" xfId="57382" xr:uid="{00000000-0005-0000-0000-000024E00000}"/>
    <cellStyle name="PrePop Currency (2) 2 2" xfId="57383" xr:uid="{00000000-0005-0000-0000-000025E00000}"/>
    <cellStyle name="PrePop Currency (2) 3" xfId="57384" xr:uid="{00000000-0005-0000-0000-000026E00000}"/>
    <cellStyle name="PrePop Units (0)" xfId="57385" xr:uid="{00000000-0005-0000-0000-000027E00000}"/>
    <cellStyle name="PrePop Units (0) 2" xfId="57386" xr:uid="{00000000-0005-0000-0000-000028E00000}"/>
    <cellStyle name="PrePop Units (0) 2 2" xfId="57387" xr:uid="{00000000-0005-0000-0000-000029E00000}"/>
    <cellStyle name="PrePop Units (0) 3" xfId="57388" xr:uid="{00000000-0005-0000-0000-00002AE00000}"/>
    <cellStyle name="PrePop Units (1)" xfId="57389" xr:uid="{00000000-0005-0000-0000-00002BE00000}"/>
    <cellStyle name="PrePop Units (1) 2" xfId="57390" xr:uid="{00000000-0005-0000-0000-00002CE00000}"/>
    <cellStyle name="PrePop Units (1) 2 2" xfId="57391" xr:uid="{00000000-0005-0000-0000-00002DE00000}"/>
    <cellStyle name="PrePop Units (1) 3" xfId="57392" xr:uid="{00000000-0005-0000-0000-00002EE00000}"/>
    <cellStyle name="PrePop Units (2)" xfId="57393" xr:uid="{00000000-0005-0000-0000-00002FE00000}"/>
    <cellStyle name="PrePop Units (2) 2" xfId="57394" xr:uid="{00000000-0005-0000-0000-000030E00000}"/>
    <cellStyle name="PrePop Units (2) 2 2" xfId="57395" xr:uid="{00000000-0005-0000-0000-000031E00000}"/>
    <cellStyle name="PrePop Units (2) 3" xfId="57396" xr:uid="{00000000-0005-0000-0000-000032E00000}"/>
    <cellStyle name="Presentation" xfId="57397" xr:uid="{00000000-0005-0000-0000-000033E00000}"/>
    <cellStyle name="Price" xfId="57398" xr:uid="{00000000-0005-0000-0000-000034E00000}"/>
    <cellStyle name="Procent_Chart Value license with wacc" xfId="57399" xr:uid="{00000000-0005-0000-0000-000035E00000}"/>
    <cellStyle name="Product Header" xfId="57400" xr:uid="{00000000-0005-0000-0000-000036E00000}"/>
    <cellStyle name="Product Header 2" xfId="57401" xr:uid="{00000000-0005-0000-0000-000037E00000}"/>
    <cellStyle name="Product Header 2 2" xfId="57402" xr:uid="{00000000-0005-0000-0000-000038E00000}"/>
    <cellStyle name="Product Header 3" xfId="57403" xr:uid="{00000000-0005-0000-0000-000039E00000}"/>
    <cellStyle name="Product Header 3 2" xfId="57404" xr:uid="{00000000-0005-0000-0000-00003AE00000}"/>
    <cellStyle name="Product Header 4" xfId="57405" xr:uid="{00000000-0005-0000-0000-00003BE00000}"/>
    <cellStyle name="Product Header 4 2" xfId="57406" xr:uid="{00000000-0005-0000-0000-00003CE00000}"/>
    <cellStyle name="Product Header 5" xfId="57407" xr:uid="{00000000-0005-0000-0000-00003DE00000}"/>
    <cellStyle name="Product Header 5 2" xfId="57408" xr:uid="{00000000-0005-0000-0000-00003EE00000}"/>
    <cellStyle name="Product Header 6" xfId="57409" xr:uid="{00000000-0005-0000-0000-00003FE00000}"/>
    <cellStyle name="PROJECT" xfId="57410" xr:uid="{00000000-0005-0000-0000-000040E00000}"/>
    <cellStyle name="PROJECT 2" xfId="57411" xr:uid="{00000000-0005-0000-0000-000041E00000}"/>
    <cellStyle name="PROJECT 2 2" xfId="57412" xr:uid="{00000000-0005-0000-0000-000042E00000}"/>
    <cellStyle name="PROJECT 3" xfId="57413" xr:uid="{00000000-0005-0000-0000-000043E00000}"/>
    <cellStyle name="PROJECT R" xfId="57414" xr:uid="{00000000-0005-0000-0000-000044E00000}"/>
    <cellStyle name="PROJECT R 2" xfId="57415" xr:uid="{00000000-0005-0000-0000-000045E00000}"/>
    <cellStyle name="PROJECT R 2 2" xfId="57416" xr:uid="{00000000-0005-0000-0000-000046E00000}"/>
    <cellStyle name="PROJECT R 3" xfId="57417" xr:uid="{00000000-0005-0000-0000-000047E00000}"/>
    <cellStyle name="PROJECT_Bakery" xfId="57418" xr:uid="{00000000-0005-0000-0000-000048E00000}"/>
    <cellStyle name="Prozent_Best Case Scenario" xfId="57419" xr:uid="{00000000-0005-0000-0000-000049E00000}"/>
    <cellStyle name="Prozent0" xfId="57420" xr:uid="{00000000-0005-0000-0000-00004AE00000}"/>
    <cellStyle name="Prozent1" xfId="57421" xr:uid="{00000000-0005-0000-0000-00004BE00000}"/>
    <cellStyle name="PSChar" xfId="57422" xr:uid="{00000000-0005-0000-0000-00004CE00000}"/>
    <cellStyle name="PSChar 2" xfId="57423" xr:uid="{00000000-0005-0000-0000-00004DE00000}"/>
    <cellStyle name="PSChar 2 2" xfId="57424" xr:uid="{00000000-0005-0000-0000-00004EE00000}"/>
    <cellStyle name="PSChar 3" xfId="57425" xr:uid="{00000000-0005-0000-0000-00004FE00000}"/>
    <cellStyle name="PSDate" xfId="57426" xr:uid="{00000000-0005-0000-0000-000050E00000}"/>
    <cellStyle name="PSDec" xfId="57427" xr:uid="{00000000-0005-0000-0000-000051E00000}"/>
    <cellStyle name="PSHeading" xfId="57428" xr:uid="{00000000-0005-0000-0000-000052E00000}"/>
    <cellStyle name="PSHeading 2" xfId="57429" xr:uid="{00000000-0005-0000-0000-000053E00000}"/>
    <cellStyle name="PSHeading 2 2" xfId="57430" xr:uid="{00000000-0005-0000-0000-000054E00000}"/>
    <cellStyle name="PSHeading 2 2 2" xfId="57431" xr:uid="{00000000-0005-0000-0000-000055E00000}"/>
    <cellStyle name="PSHeading 2 2 3" xfId="57432" xr:uid="{00000000-0005-0000-0000-000056E00000}"/>
    <cellStyle name="PSHeading 2 3" xfId="57433" xr:uid="{00000000-0005-0000-0000-000057E00000}"/>
    <cellStyle name="PSHeading 2 3 2" xfId="57434" xr:uid="{00000000-0005-0000-0000-000058E00000}"/>
    <cellStyle name="PSHeading 2 4" xfId="57435" xr:uid="{00000000-0005-0000-0000-000059E00000}"/>
    <cellStyle name="PSHeading 2 5" xfId="57436" xr:uid="{00000000-0005-0000-0000-00005AE00000}"/>
    <cellStyle name="PSHeading 3" xfId="57437" xr:uid="{00000000-0005-0000-0000-00005BE00000}"/>
    <cellStyle name="PSHeading 3 2" xfId="57438" xr:uid="{00000000-0005-0000-0000-00005CE00000}"/>
    <cellStyle name="PSHeading 4" xfId="57439" xr:uid="{00000000-0005-0000-0000-00005DE00000}"/>
    <cellStyle name="PSHeading 5" xfId="57440" xr:uid="{00000000-0005-0000-0000-00005EE00000}"/>
    <cellStyle name="PSInt" xfId="57441" xr:uid="{00000000-0005-0000-0000-00005FE00000}"/>
    <cellStyle name="PSSpacer" xfId="57442" xr:uid="{00000000-0005-0000-0000-000060E00000}"/>
    <cellStyle name="PSSpacer 2" xfId="57443" xr:uid="{00000000-0005-0000-0000-000061E00000}"/>
    <cellStyle name="PSSpacer 2 2" xfId="57444" xr:uid="{00000000-0005-0000-0000-000062E00000}"/>
    <cellStyle name="PSSpacer 3" xfId="57445" xr:uid="{00000000-0005-0000-0000-000063E00000}"/>
    <cellStyle name="Punto" xfId="57446" xr:uid="{00000000-0005-0000-0000-000064E00000}"/>
    <cellStyle name="Punto0" xfId="57447" xr:uid="{00000000-0005-0000-0000-000065E00000}"/>
    <cellStyle name="Punto0 2" xfId="57448" xr:uid="{00000000-0005-0000-0000-000066E00000}"/>
    <cellStyle name="Red" xfId="57449" xr:uid="{00000000-0005-0000-0000-000067E00000}"/>
    <cellStyle name="Red 2" xfId="57450" xr:uid="{00000000-0005-0000-0000-000068E00000}"/>
    <cellStyle name="Red 2 2" xfId="57451" xr:uid="{00000000-0005-0000-0000-000069E00000}"/>
    <cellStyle name="Red 2 2 2" xfId="57452" xr:uid="{00000000-0005-0000-0000-00006AE00000}"/>
    <cellStyle name="Red 2 3" xfId="57453" xr:uid="{00000000-0005-0000-0000-00006BE00000}"/>
    <cellStyle name="Red 3" xfId="57454" xr:uid="{00000000-0005-0000-0000-00006CE00000}"/>
    <cellStyle name="Red 3 2" xfId="57455" xr:uid="{00000000-0005-0000-0000-00006DE00000}"/>
    <cellStyle name="Red 4" xfId="57456" xr:uid="{00000000-0005-0000-0000-00006EE00000}"/>
    <cellStyle name="Red Text" xfId="57457" xr:uid="{00000000-0005-0000-0000-00006FE00000}"/>
    <cellStyle name="Red Text 2" xfId="57458" xr:uid="{00000000-0005-0000-0000-000070E00000}"/>
    <cellStyle name="Red Text 2 2" xfId="57459" xr:uid="{00000000-0005-0000-0000-000071E00000}"/>
    <cellStyle name="Red Text 3" xfId="57460" xr:uid="{00000000-0005-0000-0000-000072E00000}"/>
    <cellStyle name="Red_WF Ebitda RD Abr-10" xfId="57461" xr:uid="{00000000-0005-0000-0000-000073E00000}"/>
    <cellStyle name="regstoresfromspecstores" xfId="57462" xr:uid="{00000000-0005-0000-0000-000074E00000}"/>
    <cellStyle name="regstoresfromspecstores 2" xfId="57463" xr:uid="{00000000-0005-0000-0000-000075E00000}"/>
    <cellStyle name="regstoresfromspecstores 2 2" xfId="57464" xr:uid="{00000000-0005-0000-0000-000076E00000}"/>
    <cellStyle name="regstoresfromspecstores 3" xfId="57465" xr:uid="{00000000-0005-0000-0000-000077E00000}"/>
    <cellStyle name="RevList" xfId="57466" xr:uid="{00000000-0005-0000-0000-000078E00000}"/>
    <cellStyle name="RevList 2" xfId="57467" xr:uid="{00000000-0005-0000-0000-000079E00000}"/>
    <cellStyle name="Right Sub Title" xfId="57468" xr:uid="{00000000-0005-0000-0000-00007AE00000}"/>
    <cellStyle name="Right Title" xfId="57469" xr:uid="{00000000-0005-0000-0000-00007BE00000}"/>
    <cellStyle name="Right Title 2" xfId="57470" xr:uid="{00000000-0005-0000-0000-00007CE00000}"/>
    <cellStyle name="RightTitle" xfId="57471" xr:uid="{00000000-0005-0000-0000-00007DE00000}"/>
    <cellStyle name="RightTitle 2" xfId="57472" xr:uid="{00000000-0005-0000-0000-00007EE00000}"/>
    <cellStyle name="RightTitle 2 2" xfId="57473" xr:uid="{00000000-0005-0000-0000-00007FE00000}"/>
    <cellStyle name="RightTitle 3" xfId="57474" xr:uid="{00000000-0005-0000-0000-000080E00000}"/>
    <cellStyle name="ROTULO" xfId="57475" xr:uid="{00000000-0005-0000-0000-000081E00000}"/>
    <cellStyle name="ROTULO 2" xfId="57476" xr:uid="{00000000-0005-0000-0000-000082E00000}"/>
    <cellStyle name="ROTULO 2 2" xfId="57477" xr:uid="{00000000-0005-0000-0000-000083E00000}"/>
    <cellStyle name="ROTULO 2 2 2" xfId="57478" xr:uid="{00000000-0005-0000-0000-000084E00000}"/>
    <cellStyle name="ROTULO 2 3" xfId="57479" xr:uid="{00000000-0005-0000-0000-000085E00000}"/>
    <cellStyle name="ROTULO 2 3 2" xfId="57480" xr:uid="{00000000-0005-0000-0000-000086E00000}"/>
    <cellStyle name="ROTULO 2 3 3" xfId="57481" xr:uid="{00000000-0005-0000-0000-000087E00000}"/>
    <cellStyle name="ROTULO 2 4" xfId="57482" xr:uid="{00000000-0005-0000-0000-000088E00000}"/>
    <cellStyle name="ROTULO 2 5" xfId="57483" xr:uid="{00000000-0005-0000-0000-000089E00000}"/>
    <cellStyle name="ROTULO 3" xfId="57484" xr:uid="{00000000-0005-0000-0000-00008AE00000}"/>
    <cellStyle name="ROTULO 3 2" xfId="57485" xr:uid="{00000000-0005-0000-0000-00008BE00000}"/>
    <cellStyle name="ROTULO 4" xfId="57486" xr:uid="{00000000-0005-0000-0000-00008CE00000}"/>
    <cellStyle name="ROTULO 4 2" xfId="57487" xr:uid="{00000000-0005-0000-0000-00008DE00000}"/>
    <cellStyle name="ROTULO 4 3" xfId="57488" xr:uid="{00000000-0005-0000-0000-00008EE00000}"/>
    <cellStyle name="ROTULO 5" xfId="57489" xr:uid="{00000000-0005-0000-0000-00008FE00000}"/>
    <cellStyle name="ROTULO 6" xfId="57490" xr:uid="{00000000-0005-0000-0000-000090E00000}"/>
    <cellStyle name="Row Lvl 1" xfId="57491" xr:uid="{00000000-0005-0000-0000-000091E00000}"/>
    <cellStyle name="Row Lvl 1 2" xfId="57492" xr:uid="{00000000-0005-0000-0000-000092E00000}"/>
    <cellStyle name="Row Lvl 1 2 2" xfId="57493" xr:uid="{00000000-0005-0000-0000-000093E00000}"/>
    <cellStyle name="Row Lvl 1 3" xfId="57494" xr:uid="{00000000-0005-0000-0000-000094E00000}"/>
    <cellStyle name="Row Lvl 2" xfId="57495" xr:uid="{00000000-0005-0000-0000-000095E00000}"/>
    <cellStyle name="Row Lvl 2 2" xfId="57496" xr:uid="{00000000-0005-0000-0000-000096E00000}"/>
    <cellStyle name="Row Lvl 2 2 2" xfId="57497" xr:uid="{00000000-0005-0000-0000-000097E00000}"/>
    <cellStyle name="Row Lvl 2 3" xfId="57498" xr:uid="{00000000-0005-0000-0000-000098E00000}"/>
    <cellStyle name="Row Total (currency)" xfId="57499" xr:uid="{00000000-0005-0000-0000-000099E00000}"/>
    <cellStyle name="s]_x000d__x000a_spooler=yes_x000d__x000a_load=WINSICH.PIF C:\DOSLAN\RUNLSAPP_x000d__x000a_run=_x000d__x000a_Beep=yes_x000d__x000a_NullPort=None_x000d__x000a_BorderWidth=3_x000d__x000a_CursorBlinkRate=530" xfId="57500" xr:uid="{00000000-0005-0000-0000-00009AE00000}"/>
    <cellStyle name="s]_x000d__x000a_spooler=yes_x000d__x000a_load=WINSICH.PIF C:\DOSLAN\RUNLSAPP_x000d__x000a_run=_x000d__x000a_Beep=yes_x000d__x000a_NullPort=None_x000d__x000a_BorderWidth=3_x000d__x000a_CursorBlinkRate=530 2" xfId="57501" xr:uid="{00000000-0005-0000-0000-00009BE00000}"/>
    <cellStyle name="s]_x000d__x000a_spooler=yes_x000d__x000a_load=WINSICH.PIF C:\DOSLAN\RUNLSAPP_x000d__x000a_run=_x000d__x000a_Beep=yes_x000d__x000a_NullPort=None_x000d__x000a_BorderWidth=3_x000d__x000a_CursorBlinkRate=530 2 2" xfId="57502" xr:uid="{00000000-0005-0000-0000-00009CE00000}"/>
    <cellStyle name="s]_x000d__x000a_spooler=yes_x000d__x000a_load=WINSICH.PIF C:\DOSLAN\RUNLSAPP_x000d__x000a_run=_x000d__x000a_Beep=yes_x000d__x000a_NullPort=None_x000d__x000a_BorderWidth=3_x000d__x000a_CursorBlinkRate=530 3" xfId="57503" xr:uid="{00000000-0005-0000-0000-00009DE00000}"/>
    <cellStyle name="_x0005_ŠˆoO¤_x0005_²ˆo´_x0005_ÖˆoÄ_x0005_üˆoÔ_x0005_ †oä_x0005_´†oô_x0005_Ê†o_x0004__x0006_Ü†o_x0014__x0006_ð†o$_x0006__x001e_‰o4_x0006_8‰oD_x0006_`‰oT_x0006_„‰od_x0006_˜‰ot_x0006_¸‰o„_x0006_Ô‰o”_x0006_è‰o¤_x0006_" xfId="57504" xr:uid="{00000000-0005-0000-0000-00009EE00000}"/>
    <cellStyle name="S1 [0% ] Sh" xfId="57505" xr:uid="{00000000-0005-0000-0000-00009FE00000}"/>
    <cellStyle name="S1 [0.0% ] H" xfId="57506" xr:uid="{00000000-0005-0000-0000-0000A0E00000}"/>
    <cellStyle name="S1 [0.0% ] Sh" xfId="57507" xr:uid="{00000000-0005-0000-0000-0000A1E00000}"/>
    <cellStyle name="S2 [0 ]    H" xfId="57508" xr:uid="{00000000-0005-0000-0000-0000A2E00000}"/>
    <cellStyle name="S2 [0 ]    Sh" xfId="57509" xr:uid="{00000000-0005-0000-0000-0000A3E00000}"/>
    <cellStyle name="S2 [0.0]   Sh" xfId="57510" xr:uid="{00000000-0005-0000-0000-0000A4E00000}"/>
    <cellStyle name="S2 [0.00]  Sh" xfId="57511" xr:uid="{00000000-0005-0000-0000-0000A5E00000}"/>
    <cellStyle name="S3 [£0 ]     Sh" xfId="57512" xr:uid="{00000000-0005-0000-0000-0000A6E00000}"/>
    <cellStyle name="S3 [£0.00 ] Sh" xfId="57513" xr:uid="{00000000-0005-0000-0000-0000A7E00000}"/>
    <cellStyle name="S4 [d-mmm-yy]" xfId="57514" xr:uid="{00000000-0005-0000-0000-0000A8E00000}"/>
    <cellStyle name="S4 [mmm yy]" xfId="57515" xr:uid="{00000000-0005-0000-0000-0000A9E00000}"/>
    <cellStyle name="S5 [dd-mmm]" xfId="57516" xr:uid="{00000000-0005-0000-0000-0000AAE00000}"/>
    <cellStyle name="S5 [yyyy]" xfId="57517" xr:uid="{00000000-0005-0000-0000-0000ABE00000}"/>
    <cellStyle name="S6 [0.0000]  Sh" xfId="57518" xr:uid="{00000000-0005-0000-0000-0000ACE00000}"/>
    <cellStyle name="S6 [0000]" xfId="57519" xr:uid="{00000000-0005-0000-0000-0000ADE00000}"/>
    <cellStyle name="Saída 2" xfId="57520" xr:uid="{00000000-0005-0000-0000-0000AEE00000}"/>
    <cellStyle name="Saída 2 2" xfId="57521" xr:uid="{00000000-0005-0000-0000-0000AFE00000}"/>
    <cellStyle name="Saída 2 2 2" xfId="57522" xr:uid="{00000000-0005-0000-0000-0000B0E00000}"/>
    <cellStyle name="Saída 2 3" xfId="57523" xr:uid="{00000000-0005-0000-0000-0000B1E00000}"/>
    <cellStyle name="Saída 2 3 2" xfId="57524" xr:uid="{00000000-0005-0000-0000-0000B2E00000}"/>
    <cellStyle name="Saída 2 3 3" xfId="57525" xr:uid="{00000000-0005-0000-0000-0000B3E00000}"/>
    <cellStyle name="Saída 2 4" xfId="57526" xr:uid="{00000000-0005-0000-0000-0000B4E00000}"/>
    <cellStyle name="Saída 2 5" xfId="57527" xr:uid="{00000000-0005-0000-0000-0000B5E00000}"/>
    <cellStyle name="Saída 3" xfId="57528" xr:uid="{00000000-0005-0000-0000-0000B6E00000}"/>
    <cellStyle name="Saída 3 2" xfId="57529" xr:uid="{00000000-0005-0000-0000-0000B7E00000}"/>
    <cellStyle name="Saída 4" xfId="57530" xr:uid="{00000000-0005-0000-0000-0000B8E00000}"/>
    <cellStyle name="Saída 4 2" xfId="57531" xr:uid="{00000000-0005-0000-0000-0000B9E00000}"/>
    <cellStyle name="Saída 4 3" xfId="57532" xr:uid="{00000000-0005-0000-0000-0000BAE00000}"/>
    <cellStyle name="Saída 5" xfId="57533" xr:uid="{00000000-0005-0000-0000-0000BBE00000}"/>
    <cellStyle name="Saída 6" xfId="57534" xr:uid="{00000000-0005-0000-0000-0000BCE00000}"/>
    <cellStyle name="Salida" xfId="57535" xr:uid="{00000000-0005-0000-0000-0000BDE00000}"/>
    <cellStyle name="Salida 2" xfId="57536" xr:uid="{00000000-0005-0000-0000-0000BEE00000}"/>
    <cellStyle name="Salida 2 2" xfId="57537" xr:uid="{00000000-0005-0000-0000-0000BFE00000}"/>
    <cellStyle name="Salida 2 2 2" xfId="57538" xr:uid="{00000000-0005-0000-0000-0000C0E00000}"/>
    <cellStyle name="Salida 2 3" xfId="57539" xr:uid="{00000000-0005-0000-0000-0000C1E00000}"/>
    <cellStyle name="Salida 2 3 2" xfId="57540" xr:uid="{00000000-0005-0000-0000-0000C2E00000}"/>
    <cellStyle name="Salida 2 3 3" xfId="57541" xr:uid="{00000000-0005-0000-0000-0000C3E00000}"/>
    <cellStyle name="Salida 2 4" xfId="57542" xr:uid="{00000000-0005-0000-0000-0000C4E00000}"/>
    <cellStyle name="Salida 2 5" xfId="57543" xr:uid="{00000000-0005-0000-0000-0000C5E00000}"/>
    <cellStyle name="Salida 3" xfId="57544" xr:uid="{00000000-0005-0000-0000-0000C6E00000}"/>
    <cellStyle name="Salida 3 2" xfId="57545" xr:uid="{00000000-0005-0000-0000-0000C7E00000}"/>
    <cellStyle name="Salida 4" xfId="57546" xr:uid="{00000000-0005-0000-0000-0000C8E00000}"/>
    <cellStyle name="Salida 4 2" xfId="57547" xr:uid="{00000000-0005-0000-0000-0000C9E00000}"/>
    <cellStyle name="Salida 4 3" xfId="57548" xr:uid="{00000000-0005-0000-0000-0000CAE00000}"/>
    <cellStyle name="Salida 5" xfId="57549" xr:uid="{00000000-0005-0000-0000-0000CBE00000}"/>
    <cellStyle name="Salida 6" xfId="57550" xr:uid="{00000000-0005-0000-0000-0000CCE00000}"/>
    <cellStyle name="Salomon Logo" xfId="57551" xr:uid="{00000000-0005-0000-0000-0000CDE00000}"/>
    <cellStyle name="Salomon Logo 2" xfId="57552" xr:uid="{00000000-0005-0000-0000-0000CEE00000}"/>
    <cellStyle name="Salomon Logo 2 2" xfId="57553" xr:uid="{00000000-0005-0000-0000-0000CFE00000}"/>
    <cellStyle name="Salomon Logo 2 2 2" xfId="57554" xr:uid="{00000000-0005-0000-0000-0000D0E00000}"/>
    <cellStyle name="Salomon Logo 2 2 2 2" xfId="57555" xr:uid="{00000000-0005-0000-0000-0000D1E00000}"/>
    <cellStyle name="Salomon Logo 2 2 3" xfId="57556" xr:uid="{00000000-0005-0000-0000-0000D2E00000}"/>
    <cellStyle name="Salomon Logo 2 3" xfId="57557" xr:uid="{00000000-0005-0000-0000-0000D3E00000}"/>
    <cellStyle name="Salomon Logo 2 3 2" xfId="57558" xr:uid="{00000000-0005-0000-0000-0000D4E00000}"/>
    <cellStyle name="Salomon Logo 2 4" xfId="57559" xr:uid="{00000000-0005-0000-0000-0000D5E00000}"/>
    <cellStyle name="Salomon Logo 3" xfId="57560" xr:uid="{00000000-0005-0000-0000-0000D6E00000}"/>
    <cellStyle name="Salomon Logo 3 2" xfId="57561" xr:uid="{00000000-0005-0000-0000-0000D7E00000}"/>
    <cellStyle name="Salomon Logo 3 2 2" xfId="57562" xr:uid="{00000000-0005-0000-0000-0000D8E00000}"/>
    <cellStyle name="Salomon Logo 3 2 2 2" xfId="57563" xr:uid="{00000000-0005-0000-0000-0000D9E00000}"/>
    <cellStyle name="Salomon Logo 3 2 3" xfId="57564" xr:uid="{00000000-0005-0000-0000-0000DAE00000}"/>
    <cellStyle name="Salomon Logo 3 3" xfId="57565" xr:uid="{00000000-0005-0000-0000-0000DBE00000}"/>
    <cellStyle name="Salomon Logo 3 3 2" xfId="57566" xr:uid="{00000000-0005-0000-0000-0000DCE00000}"/>
    <cellStyle name="Salomon Logo 3 4" xfId="57567" xr:uid="{00000000-0005-0000-0000-0000DDE00000}"/>
    <cellStyle name="Salomon Logo 4" xfId="57568" xr:uid="{00000000-0005-0000-0000-0000DEE00000}"/>
    <cellStyle name="Salomon Logo 4 2" xfId="57569" xr:uid="{00000000-0005-0000-0000-0000DFE00000}"/>
    <cellStyle name="Salomon Logo 4 2 2" xfId="57570" xr:uid="{00000000-0005-0000-0000-0000E0E00000}"/>
    <cellStyle name="Salomon Logo 4 3" xfId="57571" xr:uid="{00000000-0005-0000-0000-0000E1E00000}"/>
    <cellStyle name="Salomon Logo 5" xfId="57572" xr:uid="{00000000-0005-0000-0000-0000E2E00000}"/>
    <cellStyle name="Salomon Logo 5 2" xfId="57573" xr:uid="{00000000-0005-0000-0000-0000E3E00000}"/>
    <cellStyle name="Salomon Logo 6" xfId="57574" xr:uid="{00000000-0005-0000-0000-0000E4E00000}"/>
    <cellStyle name="SAPBEXaggData" xfId="57575" xr:uid="{00000000-0005-0000-0000-0000E5E00000}"/>
    <cellStyle name="SAPBEXaggData 10" xfId="57576" xr:uid="{00000000-0005-0000-0000-0000E6E00000}"/>
    <cellStyle name="SAPBEXaggData 10 2" xfId="57577" xr:uid="{00000000-0005-0000-0000-0000E7E00000}"/>
    <cellStyle name="SAPBEXaggData 10 2 2" xfId="57578" xr:uid="{00000000-0005-0000-0000-0000E8E00000}"/>
    <cellStyle name="SAPBEXaggData 10 3" xfId="57579" xr:uid="{00000000-0005-0000-0000-0000E9E00000}"/>
    <cellStyle name="SAPBEXaggData 11" xfId="57580" xr:uid="{00000000-0005-0000-0000-0000EAE00000}"/>
    <cellStyle name="SAPBEXaggData 11 2" xfId="57581" xr:uid="{00000000-0005-0000-0000-0000EBE00000}"/>
    <cellStyle name="SAPBEXaggData 11 2 2" xfId="57582" xr:uid="{00000000-0005-0000-0000-0000ECE00000}"/>
    <cellStyle name="SAPBEXaggData 11 3" xfId="57583" xr:uid="{00000000-0005-0000-0000-0000EDE00000}"/>
    <cellStyle name="SAPBEXaggData 12" xfId="57584" xr:uid="{00000000-0005-0000-0000-0000EEE00000}"/>
    <cellStyle name="SAPBEXaggData 12 2" xfId="57585" xr:uid="{00000000-0005-0000-0000-0000EFE00000}"/>
    <cellStyle name="SAPBEXaggData 12 2 2" xfId="57586" xr:uid="{00000000-0005-0000-0000-0000F0E00000}"/>
    <cellStyle name="SAPBEXaggData 12 3" xfId="57587" xr:uid="{00000000-0005-0000-0000-0000F1E00000}"/>
    <cellStyle name="SAPBEXaggData 13" xfId="57588" xr:uid="{00000000-0005-0000-0000-0000F2E00000}"/>
    <cellStyle name="SAPBEXaggData 13 2" xfId="57589" xr:uid="{00000000-0005-0000-0000-0000F3E00000}"/>
    <cellStyle name="SAPBEXaggData 14" xfId="57590" xr:uid="{00000000-0005-0000-0000-0000F4E00000}"/>
    <cellStyle name="SAPBEXaggData 14 2" xfId="57591" xr:uid="{00000000-0005-0000-0000-0000F5E00000}"/>
    <cellStyle name="SAPBEXaggData 14 2 2" xfId="57592" xr:uid="{00000000-0005-0000-0000-0000F6E00000}"/>
    <cellStyle name="SAPBEXaggData 15" xfId="57593" xr:uid="{00000000-0005-0000-0000-0000F7E00000}"/>
    <cellStyle name="SAPBEXaggData 2" xfId="57594" xr:uid="{00000000-0005-0000-0000-0000F8E00000}"/>
    <cellStyle name="SAPBEXaggData 2 2" xfId="57595" xr:uid="{00000000-0005-0000-0000-0000F9E00000}"/>
    <cellStyle name="SAPBEXaggData 2 2 2" xfId="57596" xr:uid="{00000000-0005-0000-0000-0000FAE00000}"/>
    <cellStyle name="SAPBEXaggData 2 3" xfId="57597" xr:uid="{00000000-0005-0000-0000-0000FBE00000}"/>
    <cellStyle name="SAPBEXaggData 3" xfId="57598" xr:uid="{00000000-0005-0000-0000-0000FCE00000}"/>
    <cellStyle name="SAPBEXaggData 3 2" xfId="57599" xr:uid="{00000000-0005-0000-0000-0000FDE00000}"/>
    <cellStyle name="SAPBEXaggData 3 2 2" xfId="57600" xr:uid="{00000000-0005-0000-0000-0000FEE00000}"/>
    <cellStyle name="SAPBEXaggData 3 3" xfId="57601" xr:uid="{00000000-0005-0000-0000-0000FFE00000}"/>
    <cellStyle name="SAPBEXaggData 4" xfId="57602" xr:uid="{00000000-0005-0000-0000-000000E10000}"/>
    <cellStyle name="SAPBEXaggData 4 2" xfId="57603" xr:uid="{00000000-0005-0000-0000-000001E10000}"/>
    <cellStyle name="SAPBEXaggData 4 2 2" xfId="57604" xr:uid="{00000000-0005-0000-0000-000002E10000}"/>
    <cellStyle name="SAPBEXaggData 4 3" xfId="57605" xr:uid="{00000000-0005-0000-0000-000003E10000}"/>
    <cellStyle name="SAPBEXaggData 5" xfId="57606" xr:uid="{00000000-0005-0000-0000-000004E10000}"/>
    <cellStyle name="SAPBEXaggData 5 2" xfId="57607" xr:uid="{00000000-0005-0000-0000-000005E10000}"/>
    <cellStyle name="SAPBEXaggData 5 2 2" xfId="57608" xr:uid="{00000000-0005-0000-0000-000006E10000}"/>
    <cellStyle name="SAPBEXaggData 5 3" xfId="57609" xr:uid="{00000000-0005-0000-0000-000007E10000}"/>
    <cellStyle name="SAPBEXaggData 6" xfId="57610" xr:uid="{00000000-0005-0000-0000-000008E10000}"/>
    <cellStyle name="SAPBEXaggData 6 2" xfId="57611" xr:uid="{00000000-0005-0000-0000-000009E10000}"/>
    <cellStyle name="SAPBEXaggData 6 2 2" xfId="57612" xr:uid="{00000000-0005-0000-0000-00000AE10000}"/>
    <cellStyle name="SAPBEXaggData 6 3" xfId="57613" xr:uid="{00000000-0005-0000-0000-00000BE10000}"/>
    <cellStyle name="SAPBEXaggData 7" xfId="57614" xr:uid="{00000000-0005-0000-0000-00000CE10000}"/>
    <cellStyle name="SAPBEXaggData 7 2" xfId="57615" xr:uid="{00000000-0005-0000-0000-00000DE10000}"/>
    <cellStyle name="SAPBEXaggData 7 2 2" xfId="57616" xr:uid="{00000000-0005-0000-0000-00000EE10000}"/>
    <cellStyle name="SAPBEXaggData 7 3" xfId="57617" xr:uid="{00000000-0005-0000-0000-00000FE10000}"/>
    <cellStyle name="SAPBEXaggData 8" xfId="57618" xr:uid="{00000000-0005-0000-0000-000010E10000}"/>
    <cellStyle name="SAPBEXaggData 8 2" xfId="57619" xr:uid="{00000000-0005-0000-0000-000011E10000}"/>
    <cellStyle name="SAPBEXaggData 8 2 2" xfId="57620" xr:uid="{00000000-0005-0000-0000-000012E10000}"/>
    <cellStyle name="SAPBEXaggData 8 3" xfId="57621" xr:uid="{00000000-0005-0000-0000-000013E10000}"/>
    <cellStyle name="SAPBEXaggData 9" xfId="57622" xr:uid="{00000000-0005-0000-0000-000014E10000}"/>
    <cellStyle name="SAPBEXaggData 9 2" xfId="57623" xr:uid="{00000000-0005-0000-0000-000015E10000}"/>
    <cellStyle name="SAPBEXaggData 9 2 2" xfId="57624" xr:uid="{00000000-0005-0000-0000-000016E10000}"/>
    <cellStyle name="SAPBEXaggData 9 3" xfId="57625" xr:uid="{00000000-0005-0000-0000-000017E10000}"/>
    <cellStyle name="SAPBEXaggDataEmph" xfId="57626" xr:uid="{00000000-0005-0000-0000-000018E10000}"/>
    <cellStyle name="SAPBEXaggDataEmph 10" xfId="57627" xr:uid="{00000000-0005-0000-0000-000019E10000}"/>
    <cellStyle name="SAPBEXaggDataEmph 10 2" xfId="57628" xr:uid="{00000000-0005-0000-0000-00001AE10000}"/>
    <cellStyle name="SAPBEXaggDataEmph 10 2 2" xfId="57629" xr:uid="{00000000-0005-0000-0000-00001BE10000}"/>
    <cellStyle name="SAPBEXaggDataEmph 10 3" xfId="57630" xr:uid="{00000000-0005-0000-0000-00001CE10000}"/>
    <cellStyle name="SAPBEXaggDataEmph 11" xfId="57631" xr:uid="{00000000-0005-0000-0000-00001DE10000}"/>
    <cellStyle name="SAPBEXaggDataEmph 11 2" xfId="57632" xr:uid="{00000000-0005-0000-0000-00001EE10000}"/>
    <cellStyle name="SAPBEXaggDataEmph 11 2 2" xfId="57633" xr:uid="{00000000-0005-0000-0000-00001FE10000}"/>
    <cellStyle name="SAPBEXaggDataEmph 11 3" xfId="57634" xr:uid="{00000000-0005-0000-0000-000020E10000}"/>
    <cellStyle name="SAPBEXaggDataEmph 12" xfId="57635" xr:uid="{00000000-0005-0000-0000-000021E10000}"/>
    <cellStyle name="SAPBEXaggDataEmph 12 2" xfId="57636" xr:uid="{00000000-0005-0000-0000-000022E10000}"/>
    <cellStyle name="SAPBEXaggDataEmph 12 2 2" xfId="57637" xr:uid="{00000000-0005-0000-0000-000023E10000}"/>
    <cellStyle name="SAPBEXaggDataEmph 12 3" xfId="57638" xr:uid="{00000000-0005-0000-0000-000024E10000}"/>
    <cellStyle name="SAPBEXaggDataEmph 13" xfId="57639" xr:uid="{00000000-0005-0000-0000-000025E10000}"/>
    <cellStyle name="SAPBEXaggDataEmph 13 2" xfId="57640" xr:uid="{00000000-0005-0000-0000-000026E10000}"/>
    <cellStyle name="SAPBEXaggDataEmph 14" xfId="57641" xr:uid="{00000000-0005-0000-0000-000027E10000}"/>
    <cellStyle name="SAPBEXaggDataEmph 2" xfId="57642" xr:uid="{00000000-0005-0000-0000-000028E10000}"/>
    <cellStyle name="SAPBEXaggDataEmph 2 2" xfId="57643" xr:uid="{00000000-0005-0000-0000-000029E10000}"/>
    <cellStyle name="SAPBEXaggDataEmph 2 2 2" xfId="57644" xr:uid="{00000000-0005-0000-0000-00002AE10000}"/>
    <cellStyle name="SAPBEXaggDataEmph 2 3" xfId="57645" xr:uid="{00000000-0005-0000-0000-00002BE10000}"/>
    <cellStyle name="SAPBEXaggDataEmph 3" xfId="57646" xr:uid="{00000000-0005-0000-0000-00002CE10000}"/>
    <cellStyle name="SAPBEXaggDataEmph 3 2" xfId="57647" xr:uid="{00000000-0005-0000-0000-00002DE10000}"/>
    <cellStyle name="SAPBEXaggDataEmph 3 2 2" xfId="57648" xr:uid="{00000000-0005-0000-0000-00002EE10000}"/>
    <cellStyle name="SAPBEXaggDataEmph 3 3" xfId="57649" xr:uid="{00000000-0005-0000-0000-00002FE10000}"/>
    <cellStyle name="SAPBEXaggDataEmph 4" xfId="57650" xr:uid="{00000000-0005-0000-0000-000030E10000}"/>
    <cellStyle name="SAPBEXaggDataEmph 4 2" xfId="57651" xr:uid="{00000000-0005-0000-0000-000031E10000}"/>
    <cellStyle name="SAPBEXaggDataEmph 4 2 2" xfId="57652" xr:uid="{00000000-0005-0000-0000-000032E10000}"/>
    <cellStyle name="SAPBEXaggDataEmph 4 3" xfId="57653" xr:uid="{00000000-0005-0000-0000-000033E10000}"/>
    <cellStyle name="SAPBEXaggDataEmph 5" xfId="57654" xr:uid="{00000000-0005-0000-0000-000034E10000}"/>
    <cellStyle name="SAPBEXaggDataEmph 5 2" xfId="57655" xr:uid="{00000000-0005-0000-0000-000035E10000}"/>
    <cellStyle name="SAPBEXaggDataEmph 5 2 2" xfId="57656" xr:uid="{00000000-0005-0000-0000-000036E10000}"/>
    <cellStyle name="SAPBEXaggDataEmph 5 3" xfId="57657" xr:uid="{00000000-0005-0000-0000-000037E10000}"/>
    <cellStyle name="SAPBEXaggDataEmph 6" xfId="57658" xr:uid="{00000000-0005-0000-0000-000038E10000}"/>
    <cellStyle name="SAPBEXaggDataEmph 6 2" xfId="57659" xr:uid="{00000000-0005-0000-0000-000039E10000}"/>
    <cellStyle name="SAPBEXaggDataEmph 6 2 2" xfId="57660" xr:uid="{00000000-0005-0000-0000-00003AE10000}"/>
    <cellStyle name="SAPBEXaggDataEmph 6 3" xfId="57661" xr:uid="{00000000-0005-0000-0000-00003BE10000}"/>
    <cellStyle name="SAPBEXaggDataEmph 7" xfId="57662" xr:uid="{00000000-0005-0000-0000-00003CE10000}"/>
    <cellStyle name="SAPBEXaggDataEmph 7 2" xfId="57663" xr:uid="{00000000-0005-0000-0000-00003DE10000}"/>
    <cellStyle name="SAPBEXaggDataEmph 7 2 2" xfId="57664" xr:uid="{00000000-0005-0000-0000-00003EE10000}"/>
    <cellStyle name="SAPBEXaggDataEmph 7 3" xfId="57665" xr:uid="{00000000-0005-0000-0000-00003FE10000}"/>
    <cellStyle name="SAPBEXaggDataEmph 8" xfId="57666" xr:uid="{00000000-0005-0000-0000-000040E10000}"/>
    <cellStyle name="SAPBEXaggDataEmph 8 2" xfId="57667" xr:uid="{00000000-0005-0000-0000-000041E10000}"/>
    <cellStyle name="SAPBEXaggDataEmph 8 2 2" xfId="57668" xr:uid="{00000000-0005-0000-0000-000042E10000}"/>
    <cellStyle name="SAPBEXaggDataEmph 8 3" xfId="57669" xr:uid="{00000000-0005-0000-0000-000043E10000}"/>
    <cellStyle name="SAPBEXaggDataEmph 9" xfId="57670" xr:uid="{00000000-0005-0000-0000-000044E10000}"/>
    <cellStyle name="SAPBEXaggDataEmph 9 2" xfId="57671" xr:uid="{00000000-0005-0000-0000-000045E10000}"/>
    <cellStyle name="SAPBEXaggDataEmph 9 2 2" xfId="57672" xr:uid="{00000000-0005-0000-0000-000046E10000}"/>
    <cellStyle name="SAPBEXaggDataEmph 9 3" xfId="57673" xr:uid="{00000000-0005-0000-0000-000047E10000}"/>
    <cellStyle name="SAPBEXaggItem" xfId="57674" xr:uid="{00000000-0005-0000-0000-000048E10000}"/>
    <cellStyle name="SAPBEXaggItem 10" xfId="57675" xr:uid="{00000000-0005-0000-0000-000049E10000}"/>
    <cellStyle name="SAPBEXaggItem 10 2" xfId="57676" xr:uid="{00000000-0005-0000-0000-00004AE10000}"/>
    <cellStyle name="SAPBEXaggItem 10 2 2" xfId="57677" xr:uid="{00000000-0005-0000-0000-00004BE10000}"/>
    <cellStyle name="SAPBEXaggItem 10 3" xfId="57678" xr:uid="{00000000-0005-0000-0000-00004CE10000}"/>
    <cellStyle name="SAPBEXaggItem 11" xfId="57679" xr:uid="{00000000-0005-0000-0000-00004DE10000}"/>
    <cellStyle name="SAPBEXaggItem 11 2" xfId="57680" xr:uid="{00000000-0005-0000-0000-00004EE10000}"/>
    <cellStyle name="SAPBEXaggItem 11 2 2" xfId="57681" xr:uid="{00000000-0005-0000-0000-00004FE10000}"/>
    <cellStyle name="SAPBEXaggItem 11 3" xfId="57682" xr:uid="{00000000-0005-0000-0000-000050E10000}"/>
    <cellStyle name="SAPBEXaggItem 12" xfId="57683" xr:uid="{00000000-0005-0000-0000-000051E10000}"/>
    <cellStyle name="SAPBEXaggItem 12 2" xfId="57684" xr:uid="{00000000-0005-0000-0000-000052E10000}"/>
    <cellStyle name="SAPBEXaggItem 12 2 2" xfId="57685" xr:uid="{00000000-0005-0000-0000-000053E10000}"/>
    <cellStyle name="SAPBEXaggItem 12 3" xfId="57686" xr:uid="{00000000-0005-0000-0000-000054E10000}"/>
    <cellStyle name="SAPBEXaggItem 13" xfId="57687" xr:uid="{00000000-0005-0000-0000-000055E10000}"/>
    <cellStyle name="SAPBEXaggItem 13 2" xfId="57688" xr:uid="{00000000-0005-0000-0000-000056E10000}"/>
    <cellStyle name="SAPBEXaggItem 13 2 2" xfId="57689" xr:uid="{00000000-0005-0000-0000-000057E10000}"/>
    <cellStyle name="SAPBEXaggItem 13 3" xfId="57690" xr:uid="{00000000-0005-0000-0000-000058E10000}"/>
    <cellStyle name="SAPBEXaggItem 14" xfId="57691" xr:uid="{00000000-0005-0000-0000-000059E10000}"/>
    <cellStyle name="SAPBEXaggItem 14 2" xfId="57692" xr:uid="{00000000-0005-0000-0000-00005AE10000}"/>
    <cellStyle name="SAPBEXaggItem 14 2 2" xfId="57693" xr:uid="{00000000-0005-0000-0000-00005BE10000}"/>
    <cellStyle name="SAPBEXaggItem 15" xfId="57694" xr:uid="{00000000-0005-0000-0000-00005CE10000}"/>
    <cellStyle name="SAPBEXaggItem 2" xfId="57695" xr:uid="{00000000-0005-0000-0000-00005DE10000}"/>
    <cellStyle name="SAPBEXaggItem 2 2" xfId="57696" xr:uid="{00000000-0005-0000-0000-00005EE10000}"/>
    <cellStyle name="SAPBEXaggItem 2 2 2" xfId="57697" xr:uid="{00000000-0005-0000-0000-00005FE10000}"/>
    <cellStyle name="SAPBEXaggItem 2 3" xfId="57698" xr:uid="{00000000-0005-0000-0000-000060E10000}"/>
    <cellStyle name="SAPBEXaggItem 3" xfId="57699" xr:uid="{00000000-0005-0000-0000-000061E10000}"/>
    <cellStyle name="SAPBEXaggItem 3 2" xfId="57700" xr:uid="{00000000-0005-0000-0000-000062E10000}"/>
    <cellStyle name="SAPBEXaggItem 3 2 2" xfId="57701" xr:uid="{00000000-0005-0000-0000-000063E10000}"/>
    <cellStyle name="SAPBEXaggItem 3 3" xfId="57702" xr:uid="{00000000-0005-0000-0000-000064E10000}"/>
    <cellStyle name="SAPBEXaggItem 4" xfId="57703" xr:uid="{00000000-0005-0000-0000-000065E10000}"/>
    <cellStyle name="SAPBEXaggItem 4 2" xfId="57704" xr:uid="{00000000-0005-0000-0000-000066E10000}"/>
    <cellStyle name="SAPBEXaggItem 4 2 2" xfId="57705" xr:uid="{00000000-0005-0000-0000-000067E10000}"/>
    <cellStyle name="SAPBEXaggItem 4 3" xfId="57706" xr:uid="{00000000-0005-0000-0000-000068E10000}"/>
    <cellStyle name="SAPBEXaggItem 5" xfId="57707" xr:uid="{00000000-0005-0000-0000-000069E10000}"/>
    <cellStyle name="SAPBEXaggItem 5 2" xfId="57708" xr:uid="{00000000-0005-0000-0000-00006AE10000}"/>
    <cellStyle name="SAPBEXaggItem 5 2 2" xfId="57709" xr:uid="{00000000-0005-0000-0000-00006BE10000}"/>
    <cellStyle name="SAPBEXaggItem 5 3" xfId="57710" xr:uid="{00000000-0005-0000-0000-00006CE10000}"/>
    <cellStyle name="SAPBEXaggItem 6" xfId="57711" xr:uid="{00000000-0005-0000-0000-00006DE10000}"/>
    <cellStyle name="SAPBEXaggItem 6 2" xfId="57712" xr:uid="{00000000-0005-0000-0000-00006EE10000}"/>
    <cellStyle name="SAPBEXaggItem 6 2 2" xfId="57713" xr:uid="{00000000-0005-0000-0000-00006FE10000}"/>
    <cellStyle name="SAPBEXaggItem 6 3" xfId="57714" xr:uid="{00000000-0005-0000-0000-000070E10000}"/>
    <cellStyle name="SAPBEXaggItem 7" xfId="57715" xr:uid="{00000000-0005-0000-0000-000071E10000}"/>
    <cellStyle name="SAPBEXaggItem 7 2" xfId="57716" xr:uid="{00000000-0005-0000-0000-000072E10000}"/>
    <cellStyle name="SAPBEXaggItem 7 2 2" xfId="57717" xr:uid="{00000000-0005-0000-0000-000073E10000}"/>
    <cellStyle name="SAPBEXaggItem 7 3" xfId="57718" xr:uid="{00000000-0005-0000-0000-000074E10000}"/>
    <cellStyle name="SAPBEXaggItem 8" xfId="57719" xr:uid="{00000000-0005-0000-0000-000075E10000}"/>
    <cellStyle name="SAPBEXaggItem 8 2" xfId="57720" xr:uid="{00000000-0005-0000-0000-000076E10000}"/>
    <cellStyle name="SAPBEXaggItem 8 2 2" xfId="57721" xr:uid="{00000000-0005-0000-0000-000077E10000}"/>
    <cellStyle name="SAPBEXaggItem 8 3" xfId="57722" xr:uid="{00000000-0005-0000-0000-000078E10000}"/>
    <cellStyle name="SAPBEXaggItem 9" xfId="57723" xr:uid="{00000000-0005-0000-0000-000079E10000}"/>
    <cellStyle name="SAPBEXaggItem 9 2" xfId="57724" xr:uid="{00000000-0005-0000-0000-00007AE10000}"/>
    <cellStyle name="SAPBEXaggItem 9 2 2" xfId="57725" xr:uid="{00000000-0005-0000-0000-00007BE10000}"/>
    <cellStyle name="SAPBEXaggItem 9 3" xfId="57726" xr:uid="{00000000-0005-0000-0000-00007CE10000}"/>
    <cellStyle name="SAPBEXaggItemX" xfId="57727" xr:uid="{00000000-0005-0000-0000-00007DE10000}"/>
    <cellStyle name="SAPBEXaggItemX 10" xfId="57728" xr:uid="{00000000-0005-0000-0000-00007EE10000}"/>
    <cellStyle name="SAPBEXaggItemX 10 2" xfId="57729" xr:uid="{00000000-0005-0000-0000-00007FE10000}"/>
    <cellStyle name="SAPBEXaggItemX 10 2 2" xfId="57730" xr:uid="{00000000-0005-0000-0000-000080E10000}"/>
    <cellStyle name="SAPBEXaggItemX 10 2 2 2" xfId="57731" xr:uid="{00000000-0005-0000-0000-000081E10000}"/>
    <cellStyle name="SAPBEXaggItemX 10 2 3" xfId="57732" xr:uid="{00000000-0005-0000-0000-000082E10000}"/>
    <cellStyle name="SAPBEXaggItemX 10 2 3 2" xfId="57733" xr:uid="{00000000-0005-0000-0000-000083E10000}"/>
    <cellStyle name="SAPBEXaggItemX 10 2 3 3" xfId="57734" xr:uid="{00000000-0005-0000-0000-000084E10000}"/>
    <cellStyle name="SAPBEXaggItemX 10 2 4" xfId="57735" xr:uid="{00000000-0005-0000-0000-000085E10000}"/>
    <cellStyle name="SAPBEXaggItemX 10 2 5" xfId="57736" xr:uid="{00000000-0005-0000-0000-000086E10000}"/>
    <cellStyle name="SAPBEXaggItemX 10 3" xfId="57737" xr:uid="{00000000-0005-0000-0000-000087E10000}"/>
    <cellStyle name="SAPBEXaggItemX 10 3 2" xfId="57738" xr:uid="{00000000-0005-0000-0000-000088E10000}"/>
    <cellStyle name="SAPBEXaggItemX 10 4" xfId="57739" xr:uid="{00000000-0005-0000-0000-000089E10000}"/>
    <cellStyle name="SAPBEXaggItemX 10 4 2" xfId="57740" xr:uid="{00000000-0005-0000-0000-00008AE10000}"/>
    <cellStyle name="SAPBEXaggItemX 10 4 3" xfId="57741" xr:uid="{00000000-0005-0000-0000-00008BE10000}"/>
    <cellStyle name="SAPBEXaggItemX 10 5" xfId="57742" xr:uid="{00000000-0005-0000-0000-00008CE10000}"/>
    <cellStyle name="SAPBEXaggItemX 10 6" xfId="57743" xr:uid="{00000000-0005-0000-0000-00008DE10000}"/>
    <cellStyle name="SAPBEXaggItemX 11" xfId="57744" xr:uid="{00000000-0005-0000-0000-00008EE10000}"/>
    <cellStyle name="SAPBEXaggItemX 11 2" xfId="57745" xr:uid="{00000000-0005-0000-0000-00008FE10000}"/>
    <cellStyle name="SAPBEXaggItemX 11 2 2" xfId="57746" xr:uid="{00000000-0005-0000-0000-000090E10000}"/>
    <cellStyle name="SAPBEXaggItemX 11 2 2 2" xfId="57747" xr:uid="{00000000-0005-0000-0000-000091E10000}"/>
    <cellStyle name="SAPBEXaggItemX 11 2 3" xfId="57748" xr:uid="{00000000-0005-0000-0000-000092E10000}"/>
    <cellStyle name="SAPBEXaggItemX 11 2 3 2" xfId="57749" xr:uid="{00000000-0005-0000-0000-000093E10000}"/>
    <cellStyle name="SAPBEXaggItemX 11 2 3 3" xfId="57750" xr:uid="{00000000-0005-0000-0000-000094E10000}"/>
    <cellStyle name="SAPBEXaggItemX 11 2 4" xfId="57751" xr:uid="{00000000-0005-0000-0000-000095E10000}"/>
    <cellStyle name="SAPBEXaggItemX 11 2 5" xfId="57752" xr:uid="{00000000-0005-0000-0000-000096E10000}"/>
    <cellStyle name="SAPBEXaggItemX 11 3" xfId="57753" xr:uid="{00000000-0005-0000-0000-000097E10000}"/>
    <cellStyle name="SAPBEXaggItemX 11 3 2" xfId="57754" xr:uid="{00000000-0005-0000-0000-000098E10000}"/>
    <cellStyle name="SAPBEXaggItemX 11 4" xfId="57755" xr:uid="{00000000-0005-0000-0000-000099E10000}"/>
    <cellStyle name="SAPBEXaggItemX 11 4 2" xfId="57756" xr:uid="{00000000-0005-0000-0000-00009AE10000}"/>
    <cellStyle name="SAPBEXaggItemX 11 4 3" xfId="57757" xr:uid="{00000000-0005-0000-0000-00009BE10000}"/>
    <cellStyle name="SAPBEXaggItemX 11 5" xfId="57758" xr:uid="{00000000-0005-0000-0000-00009CE10000}"/>
    <cellStyle name="SAPBEXaggItemX 11 6" xfId="57759" xr:uid="{00000000-0005-0000-0000-00009DE10000}"/>
    <cellStyle name="SAPBEXaggItemX 12" xfId="57760" xr:uid="{00000000-0005-0000-0000-00009EE10000}"/>
    <cellStyle name="SAPBEXaggItemX 12 2" xfId="57761" xr:uid="{00000000-0005-0000-0000-00009FE10000}"/>
    <cellStyle name="SAPBEXaggItemX 12 2 2" xfId="57762" xr:uid="{00000000-0005-0000-0000-0000A0E10000}"/>
    <cellStyle name="SAPBEXaggItemX 12 3" xfId="57763" xr:uid="{00000000-0005-0000-0000-0000A1E10000}"/>
    <cellStyle name="SAPBEXaggItemX 13" xfId="57764" xr:uid="{00000000-0005-0000-0000-0000A2E10000}"/>
    <cellStyle name="SAPBEXaggItemX 13 2" xfId="57765" xr:uid="{00000000-0005-0000-0000-0000A3E10000}"/>
    <cellStyle name="SAPBEXaggItemX 13 2 2" xfId="57766" xr:uid="{00000000-0005-0000-0000-0000A4E10000}"/>
    <cellStyle name="SAPBEXaggItemX 13 3" xfId="57767" xr:uid="{00000000-0005-0000-0000-0000A5E10000}"/>
    <cellStyle name="SAPBEXaggItemX 13 3 2" xfId="57768" xr:uid="{00000000-0005-0000-0000-0000A6E10000}"/>
    <cellStyle name="SAPBEXaggItemX 13 3 3" xfId="57769" xr:uid="{00000000-0005-0000-0000-0000A7E10000}"/>
    <cellStyle name="SAPBEXaggItemX 13 4" xfId="57770" xr:uid="{00000000-0005-0000-0000-0000A8E10000}"/>
    <cellStyle name="SAPBEXaggItemX 13 5" xfId="57771" xr:uid="{00000000-0005-0000-0000-0000A9E10000}"/>
    <cellStyle name="SAPBEXaggItemX 14" xfId="57772" xr:uid="{00000000-0005-0000-0000-0000AAE10000}"/>
    <cellStyle name="SAPBEXaggItemX 14 2" xfId="57773" xr:uid="{00000000-0005-0000-0000-0000ABE10000}"/>
    <cellStyle name="SAPBEXaggItemX 15" xfId="57774" xr:uid="{00000000-0005-0000-0000-0000ACE10000}"/>
    <cellStyle name="SAPBEXaggItemX 15 2" xfId="57775" xr:uid="{00000000-0005-0000-0000-0000ADE10000}"/>
    <cellStyle name="SAPBEXaggItemX 15 3" xfId="57776" xr:uid="{00000000-0005-0000-0000-0000AEE10000}"/>
    <cellStyle name="SAPBEXaggItemX 16" xfId="57777" xr:uid="{00000000-0005-0000-0000-0000AFE10000}"/>
    <cellStyle name="SAPBEXaggItemX 17" xfId="57778" xr:uid="{00000000-0005-0000-0000-0000B0E10000}"/>
    <cellStyle name="SAPBEXaggItemX 2" xfId="57779" xr:uid="{00000000-0005-0000-0000-0000B1E10000}"/>
    <cellStyle name="SAPBEXaggItemX 2 2" xfId="57780" xr:uid="{00000000-0005-0000-0000-0000B2E10000}"/>
    <cellStyle name="SAPBEXaggItemX 2 2 2" xfId="57781" xr:uid="{00000000-0005-0000-0000-0000B3E10000}"/>
    <cellStyle name="SAPBEXaggItemX 2 2 2 2" xfId="57782" xr:uid="{00000000-0005-0000-0000-0000B4E10000}"/>
    <cellStyle name="SAPBEXaggItemX 2 2 3" xfId="57783" xr:uid="{00000000-0005-0000-0000-0000B5E10000}"/>
    <cellStyle name="SAPBEXaggItemX 2 2 3 2" xfId="57784" xr:uid="{00000000-0005-0000-0000-0000B6E10000}"/>
    <cellStyle name="SAPBEXaggItemX 2 2 3 3" xfId="57785" xr:uid="{00000000-0005-0000-0000-0000B7E10000}"/>
    <cellStyle name="SAPBEXaggItemX 2 2 4" xfId="57786" xr:uid="{00000000-0005-0000-0000-0000B8E10000}"/>
    <cellStyle name="SAPBEXaggItemX 2 2 5" xfId="57787" xr:uid="{00000000-0005-0000-0000-0000B9E10000}"/>
    <cellStyle name="SAPBEXaggItemX 2 3" xfId="57788" xr:uid="{00000000-0005-0000-0000-0000BAE10000}"/>
    <cellStyle name="SAPBEXaggItemX 2 3 2" xfId="57789" xr:uid="{00000000-0005-0000-0000-0000BBE10000}"/>
    <cellStyle name="SAPBEXaggItemX 2 4" xfId="57790" xr:uid="{00000000-0005-0000-0000-0000BCE10000}"/>
    <cellStyle name="SAPBEXaggItemX 2 4 2" xfId="57791" xr:uid="{00000000-0005-0000-0000-0000BDE10000}"/>
    <cellStyle name="SAPBEXaggItemX 2 4 3" xfId="57792" xr:uid="{00000000-0005-0000-0000-0000BEE10000}"/>
    <cellStyle name="SAPBEXaggItemX 2 5" xfId="57793" xr:uid="{00000000-0005-0000-0000-0000BFE10000}"/>
    <cellStyle name="SAPBEXaggItemX 2 6" xfId="57794" xr:uid="{00000000-0005-0000-0000-0000C0E10000}"/>
    <cellStyle name="SAPBEXaggItemX 3" xfId="57795" xr:uid="{00000000-0005-0000-0000-0000C1E10000}"/>
    <cellStyle name="SAPBEXaggItemX 3 2" xfId="57796" xr:uid="{00000000-0005-0000-0000-0000C2E10000}"/>
    <cellStyle name="SAPBEXaggItemX 3 2 2" xfId="57797" xr:uid="{00000000-0005-0000-0000-0000C3E10000}"/>
    <cellStyle name="SAPBEXaggItemX 3 2 2 2" xfId="57798" xr:uid="{00000000-0005-0000-0000-0000C4E10000}"/>
    <cellStyle name="SAPBEXaggItemX 3 2 3" xfId="57799" xr:uid="{00000000-0005-0000-0000-0000C5E10000}"/>
    <cellStyle name="SAPBEXaggItemX 3 2 3 2" xfId="57800" xr:uid="{00000000-0005-0000-0000-0000C6E10000}"/>
    <cellStyle name="SAPBEXaggItemX 3 2 3 3" xfId="57801" xr:uid="{00000000-0005-0000-0000-0000C7E10000}"/>
    <cellStyle name="SAPBEXaggItemX 3 2 4" xfId="57802" xr:uid="{00000000-0005-0000-0000-0000C8E10000}"/>
    <cellStyle name="SAPBEXaggItemX 3 2 5" xfId="57803" xr:uid="{00000000-0005-0000-0000-0000C9E10000}"/>
    <cellStyle name="SAPBEXaggItemX 3 3" xfId="57804" xr:uid="{00000000-0005-0000-0000-0000CAE10000}"/>
    <cellStyle name="SAPBEXaggItemX 3 3 2" xfId="57805" xr:uid="{00000000-0005-0000-0000-0000CBE10000}"/>
    <cellStyle name="SAPBEXaggItemX 3 4" xfId="57806" xr:uid="{00000000-0005-0000-0000-0000CCE10000}"/>
    <cellStyle name="SAPBEXaggItemX 3 4 2" xfId="57807" xr:uid="{00000000-0005-0000-0000-0000CDE10000}"/>
    <cellStyle name="SAPBEXaggItemX 3 4 3" xfId="57808" xr:uid="{00000000-0005-0000-0000-0000CEE10000}"/>
    <cellStyle name="SAPBEXaggItemX 3 5" xfId="57809" xr:uid="{00000000-0005-0000-0000-0000CFE10000}"/>
    <cellStyle name="SAPBEXaggItemX 3 6" xfId="57810" xr:uid="{00000000-0005-0000-0000-0000D0E10000}"/>
    <cellStyle name="SAPBEXaggItemX 4" xfId="57811" xr:uid="{00000000-0005-0000-0000-0000D1E10000}"/>
    <cellStyle name="SAPBEXaggItemX 4 2" xfId="57812" xr:uid="{00000000-0005-0000-0000-0000D2E10000}"/>
    <cellStyle name="SAPBEXaggItemX 4 2 2" xfId="57813" xr:uid="{00000000-0005-0000-0000-0000D3E10000}"/>
    <cellStyle name="SAPBEXaggItemX 4 2 2 2" xfId="57814" xr:uid="{00000000-0005-0000-0000-0000D4E10000}"/>
    <cellStyle name="SAPBEXaggItemX 4 2 3" xfId="57815" xr:uid="{00000000-0005-0000-0000-0000D5E10000}"/>
    <cellStyle name="SAPBEXaggItemX 4 2 3 2" xfId="57816" xr:uid="{00000000-0005-0000-0000-0000D6E10000}"/>
    <cellStyle name="SAPBEXaggItemX 4 2 3 3" xfId="57817" xr:uid="{00000000-0005-0000-0000-0000D7E10000}"/>
    <cellStyle name="SAPBEXaggItemX 4 2 4" xfId="57818" xr:uid="{00000000-0005-0000-0000-0000D8E10000}"/>
    <cellStyle name="SAPBEXaggItemX 4 2 5" xfId="57819" xr:uid="{00000000-0005-0000-0000-0000D9E10000}"/>
    <cellStyle name="SAPBEXaggItemX 4 3" xfId="57820" xr:uid="{00000000-0005-0000-0000-0000DAE10000}"/>
    <cellStyle name="SAPBEXaggItemX 4 3 2" xfId="57821" xr:uid="{00000000-0005-0000-0000-0000DBE10000}"/>
    <cellStyle name="SAPBEXaggItemX 4 4" xfId="57822" xr:uid="{00000000-0005-0000-0000-0000DCE10000}"/>
    <cellStyle name="SAPBEXaggItemX 4 4 2" xfId="57823" xr:uid="{00000000-0005-0000-0000-0000DDE10000}"/>
    <cellStyle name="SAPBEXaggItemX 4 4 3" xfId="57824" xr:uid="{00000000-0005-0000-0000-0000DEE10000}"/>
    <cellStyle name="SAPBEXaggItemX 4 5" xfId="57825" xr:uid="{00000000-0005-0000-0000-0000DFE10000}"/>
    <cellStyle name="SAPBEXaggItemX 4 6" xfId="57826" xr:uid="{00000000-0005-0000-0000-0000E0E10000}"/>
    <cellStyle name="SAPBEXaggItemX 5" xfId="57827" xr:uid="{00000000-0005-0000-0000-0000E1E10000}"/>
    <cellStyle name="SAPBEXaggItemX 5 2" xfId="57828" xr:uid="{00000000-0005-0000-0000-0000E2E10000}"/>
    <cellStyle name="SAPBEXaggItemX 5 2 2" xfId="57829" xr:uid="{00000000-0005-0000-0000-0000E3E10000}"/>
    <cellStyle name="SAPBEXaggItemX 5 2 2 2" xfId="57830" xr:uid="{00000000-0005-0000-0000-0000E4E10000}"/>
    <cellStyle name="SAPBEXaggItemX 5 2 3" xfId="57831" xr:uid="{00000000-0005-0000-0000-0000E5E10000}"/>
    <cellStyle name="SAPBEXaggItemX 5 2 3 2" xfId="57832" xr:uid="{00000000-0005-0000-0000-0000E6E10000}"/>
    <cellStyle name="SAPBEXaggItemX 5 2 3 3" xfId="57833" xr:uid="{00000000-0005-0000-0000-0000E7E10000}"/>
    <cellStyle name="SAPBEXaggItemX 5 2 4" xfId="57834" xr:uid="{00000000-0005-0000-0000-0000E8E10000}"/>
    <cellStyle name="SAPBEXaggItemX 5 2 5" xfId="57835" xr:uid="{00000000-0005-0000-0000-0000E9E10000}"/>
    <cellStyle name="SAPBEXaggItemX 5 3" xfId="57836" xr:uid="{00000000-0005-0000-0000-0000EAE10000}"/>
    <cellStyle name="SAPBEXaggItemX 5 3 2" xfId="57837" xr:uid="{00000000-0005-0000-0000-0000EBE10000}"/>
    <cellStyle name="SAPBEXaggItemX 5 4" xfId="57838" xr:uid="{00000000-0005-0000-0000-0000ECE10000}"/>
    <cellStyle name="SAPBEXaggItemX 5 4 2" xfId="57839" xr:uid="{00000000-0005-0000-0000-0000EDE10000}"/>
    <cellStyle name="SAPBEXaggItemX 5 4 3" xfId="57840" xr:uid="{00000000-0005-0000-0000-0000EEE10000}"/>
    <cellStyle name="SAPBEXaggItemX 5 5" xfId="57841" xr:uid="{00000000-0005-0000-0000-0000EFE10000}"/>
    <cellStyle name="SAPBEXaggItemX 5 6" xfId="57842" xr:uid="{00000000-0005-0000-0000-0000F0E10000}"/>
    <cellStyle name="SAPBEXaggItemX 6" xfId="57843" xr:uid="{00000000-0005-0000-0000-0000F1E10000}"/>
    <cellStyle name="SAPBEXaggItemX 6 2" xfId="57844" xr:uid="{00000000-0005-0000-0000-0000F2E10000}"/>
    <cellStyle name="SAPBEXaggItemX 6 2 2" xfId="57845" xr:uid="{00000000-0005-0000-0000-0000F3E10000}"/>
    <cellStyle name="SAPBEXaggItemX 6 2 2 2" xfId="57846" xr:uid="{00000000-0005-0000-0000-0000F4E10000}"/>
    <cellStyle name="SAPBEXaggItemX 6 2 3" xfId="57847" xr:uid="{00000000-0005-0000-0000-0000F5E10000}"/>
    <cellStyle name="SAPBEXaggItemX 6 2 3 2" xfId="57848" xr:uid="{00000000-0005-0000-0000-0000F6E10000}"/>
    <cellStyle name="SAPBEXaggItemX 6 2 3 3" xfId="57849" xr:uid="{00000000-0005-0000-0000-0000F7E10000}"/>
    <cellStyle name="SAPBEXaggItemX 6 2 4" xfId="57850" xr:uid="{00000000-0005-0000-0000-0000F8E10000}"/>
    <cellStyle name="SAPBEXaggItemX 6 2 5" xfId="57851" xr:uid="{00000000-0005-0000-0000-0000F9E10000}"/>
    <cellStyle name="SAPBEXaggItemX 6 3" xfId="57852" xr:uid="{00000000-0005-0000-0000-0000FAE10000}"/>
    <cellStyle name="SAPBEXaggItemX 6 3 2" xfId="57853" xr:uid="{00000000-0005-0000-0000-0000FBE10000}"/>
    <cellStyle name="SAPBEXaggItemX 6 4" xfId="57854" xr:uid="{00000000-0005-0000-0000-0000FCE10000}"/>
    <cellStyle name="SAPBEXaggItemX 6 4 2" xfId="57855" xr:uid="{00000000-0005-0000-0000-0000FDE10000}"/>
    <cellStyle name="SAPBEXaggItemX 6 4 3" xfId="57856" xr:uid="{00000000-0005-0000-0000-0000FEE10000}"/>
    <cellStyle name="SAPBEXaggItemX 6 5" xfId="57857" xr:uid="{00000000-0005-0000-0000-0000FFE10000}"/>
    <cellStyle name="SAPBEXaggItemX 6 6" xfId="57858" xr:uid="{00000000-0005-0000-0000-000000E20000}"/>
    <cellStyle name="SAPBEXaggItemX 7" xfId="57859" xr:uid="{00000000-0005-0000-0000-000001E20000}"/>
    <cellStyle name="SAPBEXaggItemX 7 2" xfId="57860" xr:uid="{00000000-0005-0000-0000-000002E20000}"/>
    <cellStyle name="SAPBEXaggItemX 7 2 2" xfId="57861" xr:uid="{00000000-0005-0000-0000-000003E20000}"/>
    <cellStyle name="SAPBEXaggItemX 7 2 2 2" xfId="57862" xr:uid="{00000000-0005-0000-0000-000004E20000}"/>
    <cellStyle name="SAPBEXaggItemX 7 2 3" xfId="57863" xr:uid="{00000000-0005-0000-0000-000005E20000}"/>
    <cellStyle name="SAPBEXaggItemX 7 2 3 2" xfId="57864" xr:uid="{00000000-0005-0000-0000-000006E20000}"/>
    <cellStyle name="SAPBEXaggItemX 7 2 3 3" xfId="57865" xr:uid="{00000000-0005-0000-0000-000007E20000}"/>
    <cellStyle name="SAPBEXaggItemX 7 2 4" xfId="57866" xr:uid="{00000000-0005-0000-0000-000008E20000}"/>
    <cellStyle name="SAPBEXaggItemX 7 2 5" xfId="57867" xr:uid="{00000000-0005-0000-0000-000009E20000}"/>
    <cellStyle name="SAPBEXaggItemX 7 3" xfId="57868" xr:uid="{00000000-0005-0000-0000-00000AE20000}"/>
    <cellStyle name="SAPBEXaggItemX 7 3 2" xfId="57869" xr:uid="{00000000-0005-0000-0000-00000BE20000}"/>
    <cellStyle name="SAPBEXaggItemX 7 4" xfId="57870" xr:uid="{00000000-0005-0000-0000-00000CE20000}"/>
    <cellStyle name="SAPBEXaggItemX 7 4 2" xfId="57871" xr:uid="{00000000-0005-0000-0000-00000DE20000}"/>
    <cellStyle name="SAPBEXaggItemX 7 4 3" xfId="57872" xr:uid="{00000000-0005-0000-0000-00000EE20000}"/>
    <cellStyle name="SAPBEXaggItemX 7 5" xfId="57873" xr:uid="{00000000-0005-0000-0000-00000FE20000}"/>
    <cellStyle name="SAPBEXaggItemX 7 6" xfId="57874" xr:uid="{00000000-0005-0000-0000-000010E20000}"/>
    <cellStyle name="SAPBEXaggItemX 8" xfId="57875" xr:uid="{00000000-0005-0000-0000-000011E20000}"/>
    <cellStyle name="SAPBEXaggItemX 8 2" xfId="57876" xr:uid="{00000000-0005-0000-0000-000012E20000}"/>
    <cellStyle name="SAPBEXaggItemX 8 2 2" xfId="57877" xr:uid="{00000000-0005-0000-0000-000013E20000}"/>
    <cellStyle name="SAPBEXaggItemX 8 2 2 2" xfId="57878" xr:uid="{00000000-0005-0000-0000-000014E20000}"/>
    <cellStyle name="SAPBEXaggItemX 8 2 3" xfId="57879" xr:uid="{00000000-0005-0000-0000-000015E20000}"/>
    <cellStyle name="SAPBEXaggItemX 8 2 3 2" xfId="57880" xr:uid="{00000000-0005-0000-0000-000016E20000}"/>
    <cellStyle name="SAPBEXaggItemX 8 2 3 3" xfId="57881" xr:uid="{00000000-0005-0000-0000-000017E20000}"/>
    <cellStyle name="SAPBEXaggItemX 8 2 4" xfId="57882" xr:uid="{00000000-0005-0000-0000-000018E20000}"/>
    <cellStyle name="SAPBEXaggItemX 8 2 5" xfId="57883" xr:uid="{00000000-0005-0000-0000-000019E20000}"/>
    <cellStyle name="SAPBEXaggItemX 8 3" xfId="57884" xr:uid="{00000000-0005-0000-0000-00001AE20000}"/>
    <cellStyle name="SAPBEXaggItemX 8 3 2" xfId="57885" xr:uid="{00000000-0005-0000-0000-00001BE20000}"/>
    <cellStyle name="SAPBEXaggItemX 8 4" xfId="57886" xr:uid="{00000000-0005-0000-0000-00001CE20000}"/>
    <cellStyle name="SAPBEXaggItemX 8 4 2" xfId="57887" xr:uid="{00000000-0005-0000-0000-00001DE20000}"/>
    <cellStyle name="SAPBEXaggItemX 8 4 3" xfId="57888" xr:uid="{00000000-0005-0000-0000-00001EE20000}"/>
    <cellStyle name="SAPBEXaggItemX 8 5" xfId="57889" xr:uid="{00000000-0005-0000-0000-00001FE20000}"/>
    <cellStyle name="SAPBEXaggItemX 8 6" xfId="57890" xr:uid="{00000000-0005-0000-0000-000020E20000}"/>
    <cellStyle name="SAPBEXaggItemX 9" xfId="57891" xr:uid="{00000000-0005-0000-0000-000021E20000}"/>
    <cellStyle name="SAPBEXaggItemX 9 2" xfId="57892" xr:uid="{00000000-0005-0000-0000-000022E20000}"/>
    <cellStyle name="SAPBEXaggItemX 9 2 2" xfId="57893" xr:uid="{00000000-0005-0000-0000-000023E20000}"/>
    <cellStyle name="SAPBEXaggItemX 9 2 2 2" xfId="57894" xr:uid="{00000000-0005-0000-0000-000024E20000}"/>
    <cellStyle name="SAPBEXaggItemX 9 2 3" xfId="57895" xr:uid="{00000000-0005-0000-0000-000025E20000}"/>
    <cellStyle name="SAPBEXaggItemX 9 2 3 2" xfId="57896" xr:uid="{00000000-0005-0000-0000-000026E20000}"/>
    <cellStyle name="SAPBEXaggItemX 9 2 3 3" xfId="57897" xr:uid="{00000000-0005-0000-0000-000027E20000}"/>
    <cellStyle name="SAPBEXaggItemX 9 2 4" xfId="57898" xr:uid="{00000000-0005-0000-0000-000028E20000}"/>
    <cellStyle name="SAPBEXaggItemX 9 2 5" xfId="57899" xr:uid="{00000000-0005-0000-0000-000029E20000}"/>
    <cellStyle name="SAPBEXaggItemX 9 3" xfId="57900" xr:uid="{00000000-0005-0000-0000-00002AE20000}"/>
    <cellStyle name="SAPBEXaggItemX 9 3 2" xfId="57901" xr:uid="{00000000-0005-0000-0000-00002BE20000}"/>
    <cellStyle name="SAPBEXaggItemX 9 4" xfId="57902" xr:uid="{00000000-0005-0000-0000-00002CE20000}"/>
    <cellStyle name="SAPBEXaggItemX 9 4 2" xfId="57903" xr:uid="{00000000-0005-0000-0000-00002DE20000}"/>
    <cellStyle name="SAPBEXaggItemX 9 4 3" xfId="57904" xr:uid="{00000000-0005-0000-0000-00002EE20000}"/>
    <cellStyle name="SAPBEXaggItemX 9 5" xfId="57905" xr:uid="{00000000-0005-0000-0000-00002FE20000}"/>
    <cellStyle name="SAPBEXaggItemX 9 6" xfId="57906" xr:uid="{00000000-0005-0000-0000-000030E20000}"/>
    <cellStyle name="SAPBEXchaText" xfId="57907" xr:uid="{00000000-0005-0000-0000-000031E20000}"/>
    <cellStyle name="SAPBEXchaText 10" xfId="57908" xr:uid="{00000000-0005-0000-0000-000032E20000}"/>
    <cellStyle name="SAPBEXchaText 10 2" xfId="57909" xr:uid="{00000000-0005-0000-0000-000033E20000}"/>
    <cellStyle name="SAPBEXchaText 10 2 2" xfId="57910" xr:uid="{00000000-0005-0000-0000-000034E20000}"/>
    <cellStyle name="SAPBEXchaText 10 3" xfId="57911" xr:uid="{00000000-0005-0000-0000-000035E20000}"/>
    <cellStyle name="SAPBEXchaText 11" xfId="57912" xr:uid="{00000000-0005-0000-0000-000036E20000}"/>
    <cellStyle name="SAPBEXchaText 11 2" xfId="57913" xr:uid="{00000000-0005-0000-0000-000037E20000}"/>
    <cellStyle name="SAPBEXchaText 11 2 2" xfId="57914" xr:uid="{00000000-0005-0000-0000-000038E20000}"/>
    <cellStyle name="SAPBEXchaText 11 3" xfId="57915" xr:uid="{00000000-0005-0000-0000-000039E20000}"/>
    <cellStyle name="SAPBEXchaText 12" xfId="57916" xr:uid="{00000000-0005-0000-0000-00003AE20000}"/>
    <cellStyle name="SAPBEXchaText 12 2" xfId="57917" xr:uid="{00000000-0005-0000-0000-00003BE20000}"/>
    <cellStyle name="SAPBEXchaText 12 2 2" xfId="57918" xr:uid="{00000000-0005-0000-0000-00003CE20000}"/>
    <cellStyle name="SAPBEXchaText 12 2 2 2" xfId="57919" xr:uid="{00000000-0005-0000-0000-00003DE20000}"/>
    <cellStyle name="SAPBEXchaText 12 2 3" xfId="57920" xr:uid="{00000000-0005-0000-0000-00003EE20000}"/>
    <cellStyle name="SAPBEXchaText 12 2 3 2" xfId="57921" xr:uid="{00000000-0005-0000-0000-00003FE20000}"/>
    <cellStyle name="SAPBEXchaText 12 2 3 3" xfId="57922" xr:uid="{00000000-0005-0000-0000-000040E20000}"/>
    <cellStyle name="SAPBEXchaText 12 2 4" xfId="57923" xr:uid="{00000000-0005-0000-0000-000041E20000}"/>
    <cellStyle name="SAPBEXchaText 12 2 5" xfId="57924" xr:uid="{00000000-0005-0000-0000-000042E20000}"/>
    <cellStyle name="SAPBEXchaText 12 3" xfId="57925" xr:uid="{00000000-0005-0000-0000-000043E20000}"/>
    <cellStyle name="SAPBEXchaText 12 3 2" xfId="57926" xr:uid="{00000000-0005-0000-0000-000044E20000}"/>
    <cellStyle name="SAPBEXchaText 12 4" xfId="57927" xr:uid="{00000000-0005-0000-0000-000045E20000}"/>
    <cellStyle name="SAPBEXchaText 12 4 2" xfId="57928" xr:uid="{00000000-0005-0000-0000-000046E20000}"/>
    <cellStyle name="SAPBEXchaText 12 4 3" xfId="57929" xr:uid="{00000000-0005-0000-0000-000047E20000}"/>
    <cellStyle name="SAPBEXchaText 12 5" xfId="57930" xr:uid="{00000000-0005-0000-0000-000048E20000}"/>
    <cellStyle name="SAPBEXchaText 12 6" xfId="57931" xr:uid="{00000000-0005-0000-0000-000049E20000}"/>
    <cellStyle name="SAPBEXchaText 13" xfId="57932" xr:uid="{00000000-0005-0000-0000-00004AE20000}"/>
    <cellStyle name="SAPBEXchaText 13 2" xfId="57933" xr:uid="{00000000-0005-0000-0000-00004BE20000}"/>
    <cellStyle name="SAPBEXchaText 13 2 2" xfId="57934" xr:uid="{00000000-0005-0000-0000-00004CE20000}"/>
    <cellStyle name="SAPBEXchaText 13 3" xfId="57935" xr:uid="{00000000-0005-0000-0000-00004DE20000}"/>
    <cellStyle name="SAPBEXchaText 14" xfId="57936" xr:uid="{00000000-0005-0000-0000-00004EE20000}"/>
    <cellStyle name="SAPBEXchaText 15" xfId="57937" xr:uid="{00000000-0005-0000-0000-00004FE20000}"/>
    <cellStyle name="SAPBEXchaText 2" xfId="57938" xr:uid="{00000000-0005-0000-0000-000050E20000}"/>
    <cellStyle name="SAPBEXchaText 2 2" xfId="57939" xr:uid="{00000000-0005-0000-0000-000051E20000}"/>
    <cellStyle name="SAPBEXchaText 2 2 2" xfId="57940" xr:uid="{00000000-0005-0000-0000-000052E20000}"/>
    <cellStyle name="SAPBEXchaText 2 3" xfId="57941" xr:uid="{00000000-0005-0000-0000-000053E20000}"/>
    <cellStyle name="SAPBEXchaText 3" xfId="57942" xr:uid="{00000000-0005-0000-0000-000054E20000}"/>
    <cellStyle name="SAPBEXchaText 3 2" xfId="57943" xr:uid="{00000000-0005-0000-0000-000055E20000}"/>
    <cellStyle name="SAPBEXchaText 3 2 2" xfId="57944" xr:uid="{00000000-0005-0000-0000-000056E20000}"/>
    <cellStyle name="SAPBEXchaText 3 3" xfId="57945" xr:uid="{00000000-0005-0000-0000-000057E20000}"/>
    <cellStyle name="SAPBEXchaText 4" xfId="57946" xr:uid="{00000000-0005-0000-0000-000058E20000}"/>
    <cellStyle name="SAPBEXchaText 4 2" xfId="57947" xr:uid="{00000000-0005-0000-0000-000059E20000}"/>
    <cellStyle name="SAPBEXchaText 4 2 2" xfId="57948" xr:uid="{00000000-0005-0000-0000-00005AE20000}"/>
    <cellStyle name="SAPBEXchaText 4 3" xfId="57949" xr:uid="{00000000-0005-0000-0000-00005BE20000}"/>
    <cellStyle name="SAPBEXchaText 5" xfId="57950" xr:uid="{00000000-0005-0000-0000-00005CE20000}"/>
    <cellStyle name="SAPBEXchaText 5 2" xfId="57951" xr:uid="{00000000-0005-0000-0000-00005DE20000}"/>
    <cellStyle name="SAPBEXchaText 5 2 2" xfId="57952" xr:uid="{00000000-0005-0000-0000-00005EE20000}"/>
    <cellStyle name="SAPBEXchaText 5 3" xfId="57953" xr:uid="{00000000-0005-0000-0000-00005FE20000}"/>
    <cellStyle name="SAPBEXchaText 6" xfId="57954" xr:uid="{00000000-0005-0000-0000-000060E20000}"/>
    <cellStyle name="SAPBEXchaText 6 2" xfId="57955" xr:uid="{00000000-0005-0000-0000-000061E20000}"/>
    <cellStyle name="SAPBEXchaText 6 2 2" xfId="57956" xr:uid="{00000000-0005-0000-0000-000062E20000}"/>
    <cellStyle name="SAPBEXchaText 6 3" xfId="57957" xr:uid="{00000000-0005-0000-0000-000063E20000}"/>
    <cellStyle name="SAPBEXchaText 7" xfId="57958" xr:uid="{00000000-0005-0000-0000-000064E20000}"/>
    <cellStyle name="SAPBEXchaText 7 2" xfId="57959" xr:uid="{00000000-0005-0000-0000-000065E20000}"/>
    <cellStyle name="SAPBEXchaText 7 2 2" xfId="57960" xr:uid="{00000000-0005-0000-0000-000066E20000}"/>
    <cellStyle name="SAPBEXchaText 7 3" xfId="57961" xr:uid="{00000000-0005-0000-0000-000067E20000}"/>
    <cellStyle name="SAPBEXchaText 8" xfId="57962" xr:uid="{00000000-0005-0000-0000-000068E20000}"/>
    <cellStyle name="SAPBEXchaText 8 2" xfId="57963" xr:uid="{00000000-0005-0000-0000-000069E20000}"/>
    <cellStyle name="SAPBEXchaText 8 2 2" xfId="57964" xr:uid="{00000000-0005-0000-0000-00006AE20000}"/>
    <cellStyle name="SAPBEXchaText 8 3" xfId="57965" xr:uid="{00000000-0005-0000-0000-00006BE20000}"/>
    <cellStyle name="SAPBEXchaText 9" xfId="57966" xr:uid="{00000000-0005-0000-0000-00006CE20000}"/>
    <cellStyle name="SAPBEXchaText 9 2" xfId="57967" xr:uid="{00000000-0005-0000-0000-00006DE20000}"/>
    <cellStyle name="SAPBEXchaText 9 2 2" xfId="57968" xr:uid="{00000000-0005-0000-0000-00006EE20000}"/>
    <cellStyle name="SAPBEXchaText 9 3" xfId="57969" xr:uid="{00000000-0005-0000-0000-00006FE20000}"/>
    <cellStyle name="SAPBEXexcBad7" xfId="57970" xr:uid="{00000000-0005-0000-0000-000070E20000}"/>
    <cellStyle name="SAPBEXexcBad7 10" xfId="57971" xr:uid="{00000000-0005-0000-0000-000071E20000}"/>
    <cellStyle name="SAPBEXexcBad7 10 2" xfId="57972" xr:uid="{00000000-0005-0000-0000-000072E20000}"/>
    <cellStyle name="SAPBEXexcBad7 10 2 2" xfId="57973" xr:uid="{00000000-0005-0000-0000-000073E20000}"/>
    <cellStyle name="SAPBEXexcBad7 10 3" xfId="57974" xr:uid="{00000000-0005-0000-0000-000074E20000}"/>
    <cellStyle name="SAPBEXexcBad7 11" xfId="57975" xr:uid="{00000000-0005-0000-0000-000075E20000}"/>
    <cellStyle name="SAPBEXexcBad7 11 2" xfId="57976" xr:uid="{00000000-0005-0000-0000-000076E20000}"/>
    <cellStyle name="SAPBEXexcBad7 11 2 2" xfId="57977" xr:uid="{00000000-0005-0000-0000-000077E20000}"/>
    <cellStyle name="SAPBEXexcBad7 11 3" xfId="57978" xr:uid="{00000000-0005-0000-0000-000078E20000}"/>
    <cellStyle name="SAPBEXexcBad7 12" xfId="57979" xr:uid="{00000000-0005-0000-0000-000079E20000}"/>
    <cellStyle name="SAPBEXexcBad7 12 2" xfId="57980" xr:uid="{00000000-0005-0000-0000-00007AE20000}"/>
    <cellStyle name="SAPBEXexcBad7 12 2 2" xfId="57981" xr:uid="{00000000-0005-0000-0000-00007BE20000}"/>
    <cellStyle name="SAPBEXexcBad7 12 3" xfId="57982" xr:uid="{00000000-0005-0000-0000-00007CE20000}"/>
    <cellStyle name="SAPBEXexcBad7 13" xfId="57983" xr:uid="{00000000-0005-0000-0000-00007DE20000}"/>
    <cellStyle name="SAPBEXexcBad7 13 2" xfId="57984" xr:uid="{00000000-0005-0000-0000-00007EE20000}"/>
    <cellStyle name="SAPBEXexcBad7 14" xfId="57985" xr:uid="{00000000-0005-0000-0000-00007FE20000}"/>
    <cellStyle name="SAPBEXexcBad7 2" xfId="57986" xr:uid="{00000000-0005-0000-0000-000080E20000}"/>
    <cellStyle name="SAPBEXexcBad7 2 2" xfId="57987" xr:uid="{00000000-0005-0000-0000-000081E20000}"/>
    <cellStyle name="SAPBEXexcBad7 2 2 2" xfId="57988" xr:uid="{00000000-0005-0000-0000-000082E20000}"/>
    <cellStyle name="SAPBEXexcBad7 2 2 2 2" xfId="57989" xr:uid="{00000000-0005-0000-0000-000083E20000}"/>
    <cellStyle name="SAPBEXexcBad7 2 2 3" xfId="57990" xr:uid="{00000000-0005-0000-0000-000084E20000}"/>
    <cellStyle name="SAPBEXexcBad7 2 3" xfId="57991" xr:uid="{00000000-0005-0000-0000-000085E20000}"/>
    <cellStyle name="SAPBEXexcBad7 2 3 2" xfId="57992" xr:uid="{00000000-0005-0000-0000-000086E20000}"/>
    <cellStyle name="SAPBEXexcBad7 2 4" xfId="57993" xr:uid="{00000000-0005-0000-0000-000087E20000}"/>
    <cellStyle name="SAPBEXexcBad7 3" xfId="57994" xr:uid="{00000000-0005-0000-0000-000088E20000}"/>
    <cellStyle name="SAPBEXexcBad7 3 2" xfId="57995" xr:uid="{00000000-0005-0000-0000-000089E20000}"/>
    <cellStyle name="SAPBEXexcBad7 3 2 2" xfId="57996" xr:uid="{00000000-0005-0000-0000-00008AE20000}"/>
    <cellStyle name="SAPBEXexcBad7 3 3" xfId="57997" xr:uid="{00000000-0005-0000-0000-00008BE20000}"/>
    <cellStyle name="SAPBEXexcBad7 4" xfId="57998" xr:uid="{00000000-0005-0000-0000-00008CE20000}"/>
    <cellStyle name="SAPBEXexcBad7 4 2" xfId="57999" xr:uid="{00000000-0005-0000-0000-00008DE20000}"/>
    <cellStyle name="SAPBEXexcBad7 4 2 2" xfId="58000" xr:uid="{00000000-0005-0000-0000-00008EE20000}"/>
    <cellStyle name="SAPBEXexcBad7 4 3" xfId="58001" xr:uid="{00000000-0005-0000-0000-00008FE20000}"/>
    <cellStyle name="SAPBEXexcBad7 5" xfId="58002" xr:uid="{00000000-0005-0000-0000-000090E20000}"/>
    <cellStyle name="SAPBEXexcBad7 5 2" xfId="58003" xr:uid="{00000000-0005-0000-0000-000091E20000}"/>
    <cellStyle name="SAPBEXexcBad7 5 2 2" xfId="58004" xr:uid="{00000000-0005-0000-0000-000092E20000}"/>
    <cellStyle name="SAPBEXexcBad7 5 3" xfId="58005" xr:uid="{00000000-0005-0000-0000-000093E20000}"/>
    <cellStyle name="SAPBEXexcBad7 6" xfId="58006" xr:uid="{00000000-0005-0000-0000-000094E20000}"/>
    <cellStyle name="SAPBEXexcBad7 6 2" xfId="58007" xr:uid="{00000000-0005-0000-0000-000095E20000}"/>
    <cellStyle name="SAPBEXexcBad7 6 2 2" xfId="58008" xr:uid="{00000000-0005-0000-0000-000096E20000}"/>
    <cellStyle name="SAPBEXexcBad7 6 3" xfId="58009" xr:uid="{00000000-0005-0000-0000-000097E20000}"/>
    <cellStyle name="SAPBEXexcBad7 7" xfId="58010" xr:uid="{00000000-0005-0000-0000-000098E20000}"/>
    <cellStyle name="SAPBEXexcBad7 7 2" xfId="58011" xr:uid="{00000000-0005-0000-0000-000099E20000}"/>
    <cellStyle name="SAPBEXexcBad7 7 2 2" xfId="58012" xr:uid="{00000000-0005-0000-0000-00009AE20000}"/>
    <cellStyle name="SAPBEXexcBad7 7 3" xfId="58013" xr:uid="{00000000-0005-0000-0000-00009BE20000}"/>
    <cellStyle name="SAPBEXexcBad7 8" xfId="58014" xr:uid="{00000000-0005-0000-0000-00009CE20000}"/>
    <cellStyle name="SAPBEXexcBad7 8 2" xfId="58015" xr:uid="{00000000-0005-0000-0000-00009DE20000}"/>
    <cellStyle name="SAPBEXexcBad7 8 2 2" xfId="58016" xr:uid="{00000000-0005-0000-0000-00009EE20000}"/>
    <cellStyle name="SAPBEXexcBad7 8 3" xfId="58017" xr:uid="{00000000-0005-0000-0000-00009FE20000}"/>
    <cellStyle name="SAPBEXexcBad7 9" xfId="58018" xr:uid="{00000000-0005-0000-0000-0000A0E20000}"/>
    <cellStyle name="SAPBEXexcBad7 9 2" xfId="58019" xr:uid="{00000000-0005-0000-0000-0000A1E20000}"/>
    <cellStyle name="SAPBEXexcBad7 9 2 2" xfId="58020" xr:uid="{00000000-0005-0000-0000-0000A2E20000}"/>
    <cellStyle name="SAPBEXexcBad7 9 3" xfId="58021" xr:uid="{00000000-0005-0000-0000-0000A3E20000}"/>
    <cellStyle name="SAPBEXexcBad8" xfId="58022" xr:uid="{00000000-0005-0000-0000-0000A4E20000}"/>
    <cellStyle name="SAPBEXexcBad8 10" xfId="58023" xr:uid="{00000000-0005-0000-0000-0000A5E20000}"/>
    <cellStyle name="SAPBEXexcBad8 10 2" xfId="58024" xr:uid="{00000000-0005-0000-0000-0000A6E20000}"/>
    <cellStyle name="SAPBEXexcBad8 10 2 2" xfId="58025" xr:uid="{00000000-0005-0000-0000-0000A7E20000}"/>
    <cellStyle name="SAPBEXexcBad8 10 3" xfId="58026" xr:uid="{00000000-0005-0000-0000-0000A8E20000}"/>
    <cellStyle name="SAPBEXexcBad8 11" xfId="58027" xr:uid="{00000000-0005-0000-0000-0000A9E20000}"/>
    <cellStyle name="SAPBEXexcBad8 11 2" xfId="58028" xr:uid="{00000000-0005-0000-0000-0000AAE20000}"/>
    <cellStyle name="SAPBEXexcBad8 11 2 2" xfId="58029" xr:uid="{00000000-0005-0000-0000-0000ABE20000}"/>
    <cellStyle name="SAPBEXexcBad8 11 3" xfId="58030" xr:uid="{00000000-0005-0000-0000-0000ACE20000}"/>
    <cellStyle name="SAPBEXexcBad8 12" xfId="58031" xr:uid="{00000000-0005-0000-0000-0000ADE20000}"/>
    <cellStyle name="SAPBEXexcBad8 12 2" xfId="58032" xr:uid="{00000000-0005-0000-0000-0000AEE20000}"/>
    <cellStyle name="SAPBEXexcBad8 12 2 2" xfId="58033" xr:uid="{00000000-0005-0000-0000-0000AFE20000}"/>
    <cellStyle name="SAPBEXexcBad8 12 3" xfId="58034" xr:uid="{00000000-0005-0000-0000-0000B0E20000}"/>
    <cellStyle name="SAPBEXexcBad8 13" xfId="58035" xr:uid="{00000000-0005-0000-0000-0000B1E20000}"/>
    <cellStyle name="SAPBEXexcBad8 13 2" xfId="58036" xr:uid="{00000000-0005-0000-0000-0000B2E20000}"/>
    <cellStyle name="SAPBEXexcBad8 14" xfId="58037" xr:uid="{00000000-0005-0000-0000-0000B3E20000}"/>
    <cellStyle name="SAPBEXexcBad8 2" xfId="58038" xr:uid="{00000000-0005-0000-0000-0000B4E20000}"/>
    <cellStyle name="SAPBEXexcBad8 2 2" xfId="58039" xr:uid="{00000000-0005-0000-0000-0000B5E20000}"/>
    <cellStyle name="SAPBEXexcBad8 2 2 2" xfId="58040" xr:uid="{00000000-0005-0000-0000-0000B6E20000}"/>
    <cellStyle name="SAPBEXexcBad8 2 2 2 2" xfId="58041" xr:uid="{00000000-0005-0000-0000-0000B7E20000}"/>
    <cellStyle name="SAPBEXexcBad8 2 2 3" xfId="58042" xr:uid="{00000000-0005-0000-0000-0000B8E20000}"/>
    <cellStyle name="SAPBEXexcBad8 2 3" xfId="58043" xr:uid="{00000000-0005-0000-0000-0000B9E20000}"/>
    <cellStyle name="SAPBEXexcBad8 2 3 2" xfId="58044" xr:uid="{00000000-0005-0000-0000-0000BAE20000}"/>
    <cellStyle name="SAPBEXexcBad8 2 4" xfId="58045" xr:uid="{00000000-0005-0000-0000-0000BBE20000}"/>
    <cellStyle name="SAPBEXexcBad8 3" xfId="58046" xr:uid="{00000000-0005-0000-0000-0000BCE20000}"/>
    <cellStyle name="SAPBEXexcBad8 3 2" xfId="58047" xr:uid="{00000000-0005-0000-0000-0000BDE20000}"/>
    <cellStyle name="SAPBEXexcBad8 3 2 2" xfId="58048" xr:uid="{00000000-0005-0000-0000-0000BEE20000}"/>
    <cellStyle name="SAPBEXexcBad8 3 3" xfId="58049" xr:uid="{00000000-0005-0000-0000-0000BFE20000}"/>
    <cellStyle name="SAPBEXexcBad8 4" xfId="58050" xr:uid="{00000000-0005-0000-0000-0000C0E20000}"/>
    <cellStyle name="SAPBEXexcBad8 4 2" xfId="58051" xr:uid="{00000000-0005-0000-0000-0000C1E20000}"/>
    <cellStyle name="SAPBEXexcBad8 4 2 2" xfId="58052" xr:uid="{00000000-0005-0000-0000-0000C2E20000}"/>
    <cellStyle name="SAPBEXexcBad8 4 3" xfId="58053" xr:uid="{00000000-0005-0000-0000-0000C3E20000}"/>
    <cellStyle name="SAPBEXexcBad8 5" xfId="58054" xr:uid="{00000000-0005-0000-0000-0000C4E20000}"/>
    <cellStyle name="SAPBEXexcBad8 5 2" xfId="58055" xr:uid="{00000000-0005-0000-0000-0000C5E20000}"/>
    <cellStyle name="SAPBEXexcBad8 5 2 2" xfId="58056" xr:uid="{00000000-0005-0000-0000-0000C6E20000}"/>
    <cellStyle name="SAPBEXexcBad8 5 3" xfId="58057" xr:uid="{00000000-0005-0000-0000-0000C7E20000}"/>
    <cellStyle name="SAPBEXexcBad8 6" xfId="58058" xr:uid="{00000000-0005-0000-0000-0000C8E20000}"/>
    <cellStyle name="SAPBEXexcBad8 6 2" xfId="58059" xr:uid="{00000000-0005-0000-0000-0000C9E20000}"/>
    <cellStyle name="SAPBEXexcBad8 6 2 2" xfId="58060" xr:uid="{00000000-0005-0000-0000-0000CAE20000}"/>
    <cellStyle name="SAPBEXexcBad8 6 3" xfId="58061" xr:uid="{00000000-0005-0000-0000-0000CBE20000}"/>
    <cellStyle name="SAPBEXexcBad8 7" xfId="58062" xr:uid="{00000000-0005-0000-0000-0000CCE20000}"/>
    <cellStyle name="SAPBEXexcBad8 7 2" xfId="58063" xr:uid="{00000000-0005-0000-0000-0000CDE20000}"/>
    <cellStyle name="SAPBEXexcBad8 7 2 2" xfId="58064" xr:uid="{00000000-0005-0000-0000-0000CEE20000}"/>
    <cellStyle name="SAPBEXexcBad8 7 3" xfId="58065" xr:uid="{00000000-0005-0000-0000-0000CFE20000}"/>
    <cellStyle name="SAPBEXexcBad8 8" xfId="58066" xr:uid="{00000000-0005-0000-0000-0000D0E20000}"/>
    <cellStyle name="SAPBEXexcBad8 8 2" xfId="58067" xr:uid="{00000000-0005-0000-0000-0000D1E20000}"/>
    <cellStyle name="SAPBEXexcBad8 8 2 2" xfId="58068" xr:uid="{00000000-0005-0000-0000-0000D2E20000}"/>
    <cellStyle name="SAPBEXexcBad8 8 3" xfId="58069" xr:uid="{00000000-0005-0000-0000-0000D3E20000}"/>
    <cellStyle name="SAPBEXexcBad8 9" xfId="58070" xr:uid="{00000000-0005-0000-0000-0000D4E20000}"/>
    <cellStyle name="SAPBEXexcBad8 9 2" xfId="58071" xr:uid="{00000000-0005-0000-0000-0000D5E20000}"/>
    <cellStyle name="SAPBEXexcBad8 9 2 2" xfId="58072" xr:uid="{00000000-0005-0000-0000-0000D6E20000}"/>
    <cellStyle name="SAPBEXexcBad8 9 3" xfId="58073" xr:uid="{00000000-0005-0000-0000-0000D7E20000}"/>
    <cellStyle name="SAPBEXexcBad9" xfId="58074" xr:uid="{00000000-0005-0000-0000-0000D8E20000}"/>
    <cellStyle name="SAPBEXexcBad9 10" xfId="58075" xr:uid="{00000000-0005-0000-0000-0000D9E20000}"/>
    <cellStyle name="SAPBEXexcBad9 10 2" xfId="58076" xr:uid="{00000000-0005-0000-0000-0000DAE20000}"/>
    <cellStyle name="SAPBEXexcBad9 10 2 2" xfId="58077" xr:uid="{00000000-0005-0000-0000-0000DBE20000}"/>
    <cellStyle name="SAPBEXexcBad9 10 3" xfId="58078" xr:uid="{00000000-0005-0000-0000-0000DCE20000}"/>
    <cellStyle name="SAPBEXexcBad9 11" xfId="58079" xr:uid="{00000000-0005-0000-0000-0000DDE20000}"/>
    <cellStyle name="SAPBEXexcBad9 11 2" xfId="58080" xr:uid="{00000000-0005-0000-0000-0000DEE20000}"/>
    <cellStyle name="SAPBEXexcBad9 11 2 2" xfId="58081" xr:uid="{00000000-0005-0000-0000-0000DFE20000}"/>
    <cellStyle name="SAPBEXexcBad9 11 3" xfId="58082" xr:uid="{00000000-0005-0000-0000-0000E0E20000}"/>
    <cellStyle name="SAPBEXexcBad9 12" xfId="58083" xr:uid="{00000000-0005-0000-0000-0000E1E20000}"/>
    <cellStyle name="SAPBEXexcBad9 12 2" xfId="58084" xr:uid="{00000000-0005-0000-0000-0000E2E20000}"/>
    <cellStyle name="SAPBEXexcBad9 12 2 2" xfId="58085" xr:uid="{00000000-0005-0000-0000-0000E3E20000}"/>
    <cellStyle name="SAPBEXexcBad9 12 3" xfId="58086" xr:uid="{00000000-0005-0000-0000-0000E4E20000}"/>
    <cellStyle name="SAPBEXexcBad9 13" xfId="58087" xr:uid="{00000000-0005-0000-0000-0000E5E20000}"/>
    <cellStyle name="SAPBEXexcBad9 13 2" xfId="58088" xr:uid="{00000000-0005-0000-0000-0000E6E20000}"/>
    <cellStyle name="SAPBEXexcBad9 14" xfId="58089" xr:uid="{00000000-0005-0000-0000-0000E7E20000}"/>
    <cellStyle name="SAPBEXexcBad9 2" xfId="58090" xr:uid="{00000000-0005-0000-0000-0000E8E20000}"/>
    <cellStyle name="SAPBEXexcBad9 2 2" xfId="58091" xr:uid="{00000000-0005-0000-0000-0000E9E20000}"/>
    <cellStyle name="SAPBEXexcBad9 2 2 2" xfId="58092" xr:uid="{00000000-0005-0000-0000-0000EAE20000}"/>
    <cellStyle name="SAPBEXexcBad9 2 2 2 2" xfId="58093" xr:uid="{00000000-0005-0000-0000-0000EBE20000}"/>
    <cellStyle name="SAPBEXexcBad9 2 2 3" xfId="58094" xr:uid="{00000000-0005-0000-0000-0000ECE20000}"/>
    <cellStyle name="SAPBEXexcBad9 2 3" xfId="58095" xr:uid="{00000000-0005-0000-0000-0000EDE20000}"/>
    <cellStyle name="SAPBEXexcBad9 2 3 2" xfId="58096" xr:uid="{00000000-0005-0000-0000-0000EEE20000}"/>
    <cellStyle name="SAPBEXexcBad9 2 4" xfId="58097" xr:uid="{00000000-0005-0000-0000-0000EFE20000}"/>
    <cellStyle name="SAPBEXexcBad9 3" xfId="58098" xr:uid="{00000000-0005-0000-0000-0000F0E20000}"/>
    <cellStyle name="SAPBEXexcBad9 3 2" xfId="58099" xr:uid="{00000000-0005-0000-0000-0000F1E20000}"/>
    <cellStyle name="SAPBEXexcBad9 3 2 2" xfId="58100" xr:uid="{00000000-0005-0000-0000-0000F2E20000}"/>
    <cellStyle name="SAPBEXexcBad9 3 3" xfId="58101" xr:uid="{00000000-0005-0000-0000-0000F3E20000}"/>
    <cellStyle name="SAPBEXexcBad9 4" xfId="58102" xr:uid="{00000000-0005-0000-0000-0000F4E20000}"/>
    <cellStyle name="SAPBEXexcBad9 4 2" xfId="58103" xr:uid="{00000000-0005-0000-0000-0000F5E20000}"/>
    <cellStyle name="SAPBEXexcBad9 4 2 2" xfId="58104" xr:uid="{00000000-0005-0000-0000-0000F6E20000}"/>
    <cellStyle name="SAPBEXexcBad9 4 3" xfId="58105" xr:uid="{00000000-0005-0000-0000-0000F7E20000}"/>
    <cellStyle name="SAPBEXexcBad9 5" xfId="58106" xr:uid="{00000000-0005-0000-0000-0000F8E20000}"/>
    <cellStyle name="SAPBEXexcBad9 5 2" xfId="58107" xr:uid="{00000000-0005-0000-0000-0000F9E20000}"/>
    <cellStyle name="SAPBEXexcBad9 5 2 2" xfId="58108" xr:uid="{00000000-0005-0000-0000-0000FAE20000}"/>
    <cellStyle name="SAPBEXexcBad9 5 3" xfId="58109" xr:uid="{00000000-0005-0000-0000-0000FBE20000}"/>
    <cellStyle name="SAPBEXexcBad9 6" xfId="58110" xr:uid="{00000000-0005-0000-0000-0000FCE20000}"/>
    <cellStyle name="SAPBEXexcBad9 6 2" xfId="58111" xr:uid="{00000000-0005-0000-0000-0000FDE20000}"/>
    <cellStyle name="SAPBEXexcBad9 6 2 2" xfId="58112" xr:uid="{00000000-0005-0000-0000-0000FEE20000}"/>
    <cellStyle name="SAPBEXexcBad9 6 3" xfId="58113" xr:uid="{00000000-0005-0000-0000-0000FFE20000}"/>
    <cellStyle name="SAPBEXexcBad9 7" xfId="58114" xr:uid="{00000000-0005-0000-0000-000000E30000}"/>
    <cellStyle name="SAPBEXexcBad9 7 2" xfId="58115" xr:uid="{00000000-0005-0000-0000-000001E30000}"/>
    <cellStyle name="SAPBEXexcBad9 7 2 2" xfId="58116" xr:uid="{00000000-0005-0000-0000-000002E30000}"/>
    <cellStyle name="SAPBEXexcBad9 7 3" xfId="58117" xr:uid="{00000000-0005-0000-0000-000003E30000}"/>
    <cellStyle name="SAPBEXexcBad9 8" xfId="58118" xr:uid="{00000000-0005-0000-0000-000004E30000}"/>
    <cellStyle name="SAPBEXexcBad9 8 2" xfId="58119" xr:uid="{00000000-0005-0000-0000-000005E30000}"/>
    <cellStyle name="SAPBEXexcBad9 8 2 2" xfId="58120" xr:uid="{00000000-0005-0000-0000-000006E30000}"/>
    <cellStyle name="SAPBEXexcBad9 8 3" xfId="58121" xr:uid="{00000000-0005-0000-0000-000007E30000}"/>
    <cellStyle name="SAPBEXexcBad9 9" xfId="58122" xr:uid="{00000000-0005-0000-0000-000008E30000}"/>
    <cellStyle name="SAPBEXexcBad9 9 2" xfId="58123" xr:uid="{00000000-0005-0000-0000-000009E30000}"/>
    <cellStyle name="SAPBEXexcBad9 9 2 2" xfId="58124" xr:uid="{00000000-0005-0000-0000-00000AE30000}"/>
    <cellStyle name="SAPBEXexcBad9 9 3" xfId="58125" xr:uid="{00000000-0005-0000-0000-00000BE30000}"/>
    <cellStyle name="SAPBEXexcCritical4" xfId="58126" xr:uid="{00000000-0005-0000-0000-00000CE30000}"/>
    <cellStyle name="SAPBEXexcCritical4 10" xfId="58127" xr:uid="{00000000-0005-0000-0000-00000DE30000}"/>
    <cellStyle name="SAPBEXexcCritical4 10 2" xfId="58128" xr:uid="{00000000-0005-0000-0000-00000EE30000}"/>
    <cellStyle name="SAPBEXexcCritical4 10 2 2" xfId="58129" xr:uid="{00000000-0005-0000-0000-00000FE30000}"/>
    <cellStyle name="SAPBEXexcCritical4 10 3" xfId="58130" xr:uid="{00000000-0005-0000-0000-000010E30000}"/>
    <cellStyle name="SAPBEXexcCritical4 11" xfId="58131" xr:uid="{00000000-0005-0000-0000-000011E30000}"/>
    <cellStyle name="SAPBEXexcCritical4 11 2" xfId="58132" xr:uid="{00000000-0005-0000-0000-000012E30000}"/>
    <cellStyle name="SAPBEXexcCritical4 11 2 2" xfId="58133" xr:uid="{00000000-0005-0000-0000-000013E30000}"/>
    <cellStyle name="SAPBEXexcCritical4 11 3" xfId="58134" xr:uid="{00000000-0005-0000-0000-000014E30000}"/>
    <cellStyle name="SAPBEXexcCritical4 12" xfId="58135" xr:uid="{00000000-0005-0000-0000-000015E30000}"/>
    <cellStyle name="SAPBEXexcCritical4 12 2" xfId="58136" xr:uid="{00000000-0005-0000-0000-000016E30000}"/>
    <cellStyle name="SAPBEXexcCritical4 12 2 2" xfId="58137" xr:uid="{00000000-0005-0000-0000-000017E30000}"/>
    <cellStyle name="SAPBEXexcCritical4 12 3" xfId="58138" xr:uid="{00000000-0005-0000-0000-000018E30000}"/>
    <cellStyle name="SAPBEXexcCritical4 13" xfId="58139" xr:uid="{00000000-0005-0000-0000-000019E30000}"/>
    <cellStyle name="SAPBEXexcCritical4 13 2" xfId="58140" xr:uid="{00000000-0005-0000-0000-00001AE30000}"/>
    <cellStyle name="SAPBEXexcCritical4 14" xfId="58141" xr:uid="{00000000-0005-0000-0000-00001BE30000}"/>
    <cellStyle name="SAPBEXexcCritical4 2" xfId="58142" xr:uid="{00000000-0005-0000-0000-00001CE30000}"/>
    <cellStyle name="SAPBEXexcCritical4 2 2" xfId="58143" xr:uid="{00000000-0005-0000-0000-00001DE30000}"/>
    <cellStyle name="SAPBEXexcCritical4 2 2 2" xfId="58144" xr:uid="{00000000-0005-0000-0000-00001EE30000}"/>
    <cellStyle name="SAPBEXexcCritical4 2 2 2 2" xfId="58145" xr:uid="{00000000-0005-0000-0000-00001FE30000}"/>
    <cellStyle name="SAPBEXexcCritical4 2 2 3" xfId="58146" xr:uid="{00000000-0005-0000-0000-000020E30000}"/>
    <cellStyle name="SAPBEXexcCritical4 2 3" xfId="58147" xr:uid="{00000000-0005-0000-0000-000021E30000}"/>
    <cellStyle name="SAPBEXexcCritical4 2 3 2" xfId="58148" xr:uid="{00000000-0005-0000-0000-000022E30000}"/>
    <cellStyle name="SAPBEXexcCritical4 2 4" xfId="58149" xr:uid="{00000000-0005-0000-0000-000023E30000}"/>
    <cellStyle name="SAPBEXexcCritical4 3" xfId="58150" xr:uid="{00000000-0005-0000-0000-000024E30000}"/>
    <cellStyle name="SAPBEXexcCritical4 3 2" xfId="58151" xr:uid="{00000000-0005-0000-0000-000025E30000}"/>
    <cellStyle name="SAPBEXexcCritical4 3 2 2" xfId="58152" xr:uid="{00000000-0005-0000-0000-000026E30000}"/>
    <cellStyle name="SAPBEXexcCritical4 3 3" xfId="58153" xr:uid="{00000000-0005-0000-0000-000027E30000}"/>
    <cellStyle name="SAPBEXexcCritical4 4" xfId="58154" xr:uid="{00000000-0005-0000-0000-000028E30000}"/>
    <cellStyle name="SAPBEXexcCritical4 4 2" xfId="58155" xr:uid="{00000000-0005-0000-0000-000029E30000}"/>
    <cellStyle name="SAPBEXexcCritical4 4 2 2" xfId="58156" xr:uid="{00000000-0005-0000-0000-00002AE30000}"/>
    <cellStyle name="SAPBEXexcCritical4 4 3" xfId="58157" xr:uid="{00000000-0005-0000-0000-00002BE30000}"/>
    <cellStyle name="SAPBEXexcCritical4 5" xfId="58158" xr:uid="{00000000-0005-0000-0000-00002CE30000}"/>
    <cellStyle name="SAPBEXexcCritical4 5 2" xfId="58159" xr:uid="{00000000-0005-0000-0000-00002DE30000}"/>
    <cellStyle name="SAPBEXexcCritical4 5 2 2" xfId="58160" xr:uid="{00000000-0005-0000-0000-00002EE30000}"/>
    <cellStyle name="SAPBEXexcCritical4 5 3" xfId="58161" xr:uid="{00000000-0005-0000-0000-00002FE30000}"/>
    <cellStyle name="SAPBEXexcCritical4 6" xfId="58162" xr:uid="{00000000-0005-0000-0000-000030E30000}"/>
    <cellStyle name="SAPBEXexcCritical4 6 2" xfId="58163" xr:uid="{00000000-0005-0000-0000-000031E30000}"/>
    <cellStyle name="SAPBEXexcCritical4 6 2 2" xfId="58164" xr:uid="{00000000-0005-0000-0000-000032E30000}"/>
    <cellStyle name="SAPBEXexcCritical4 6 3" xfId="58165" xr:uid="{00000000-0005-0000-0000-000033E30000}"/>
    <cellStyle name="SAPBEXexcCritical4 7" xfId="58166" xr:uid="{00000000-0005-0000-0000-000034E30000}"/>
    <cellStyle name="SAPBEXexcCritical4 7 2" xfId="58167" xr:uid="{00000000-0005-0000-0000-000035E30000}"/>
    <cellStyle name="SAPBEXexcCritical4 7 2 2" xfId="58168" xr:uid="{00000000-0005-0000-0000-000036E30000}"/>
    <cellStyle name="SAPBEXexcCritical4 7 3" xfId="58169" xr:uid="{00000000-0005-0000-0000-000037E30000}"/>
    <cellStyle name="SAPBEXexcCritical4 8" xfId="58170" xr:uid="{00000000-0005-0000-0000-000038E30000}"/>
    <cellStyle name="SAPBEXexcCritical4 8 2" xfId="58171" xr:uid="{00000000-0005-0000-0000-000039E30000}"/>
    <cellStyle name="SAPBEXexcCritical4 8 2 2" xfId="58172" xr:uid="{00000000-0005-0000-0000-00003AE30000}"/>
    <cellStyle name="SAPBEXexcCritical4 8 3" xfId="58173" xr:uid="{00000000-0005-0000-0000-00003BE30000}"/>
    <cellStyle name="SAPBEXexcCritical4 9" xfId="58174" xr:uid="{00000000-0005-0000-0000-00003CE30000}"/>
    <cellStyle name="SAPBEXexcCritical4 9 2" xfId="58175" xr:uid="{00000000-0005-0000-0000-00003DE30000}"/>
    <cellStyle name="SAPBEXexcCritical4 9 2 2" xfId="58176" xr:uid="{00000000-0005-0000-0000-00003EE30000}"/>
    <cellStyle name="SAPBEXexcCritical4 9 3" xfId="58177" xr:uid="{00000000-0005-0000-0000-00003FE30000}"/>
    <cellStyle name="SAPBEXexcCritical5" xfId="58178" xr:uid="{00000000-0005-0000-0000-000040E30000}"/>
    <cellStyle name="SAPBEXexcCritical5 10" xfId="58179" xr:uid="{00000000-0005-0000-0000-000041E30000}"/>
    <cellStyle name="SAPBEXexcCritical5 10 2" xfId="58180" xr:uid="{00000000-0005-0000-0000-000042E30000}"/>
    <cellStyle name="SAPBEXexcCritical5 10 2 2" xfId="58181" xr:uid="{00000000-0005-0000-0000-000043E30000}"/>
    <cellStyle name="SAPBEXexcCritical5 10 3" xfId="58182" xr:uid="{00000000-0005-0000-0000-000044E30000}"/>
    <cellStyle name="SAPBEXexcCritical5 11" xfId="58183" xr:uid="{00000000-0005-0000-0000-000045E30000}"/>
    <cellStyle name="SAPBEXexcCritical5 11 2" xfId="58184" xr:uid="{00000000-0005-0000-0000-000046E30000}"/>
    <cellStyle name="SAPBEXexcCritical5 11 2 2" xfId="58185" xr:uid="{00000000-0005-0000-0000-000047E30000}"/>
    <cellStyle name="SAPBEXexcCritical5 11 3" xfId="58186" xr:uid="{00000000-0005-0000-0000-000048E30000}"/>
    <cellStyle name="SAPBEXexcCritical5 12" xfId="58187" xr:uid="{00000000-0005-0000-0000-000049E30000}"/>
    <cellStyle name="SAPBEXexcCritical5 12 2" xfId="58188" xr:uid="{00000000-0005-0000-0000-00004AE30000}"/>
    <cellStyle name="SAPBEXexcCritical5 12 2 2" xfId="58189" xr:uid="{00000000-0005-0000-0000-00004BE30000}"/>
    <cellStyle name="SAPBEXexcCritical5 12 3" xfId="58190" xr:uid="{00000000-0005-0000-0000-00004CE30000}"/>
    <cellStyle name="SAPBEXexcCritical5 13" xfId="58191" xr:uid="{00000000-0005-0000-0000-00004DE30000}"/>
    <cellStyle name="SAPBEXexcCritical5 13 2" xfId="58192" xr:uid="{00000000-0005-0000-0000-00004EE30000}"/>
    <cellStyle name="SAPBEXexcCritical5 14" xfId="58193" xr:uid="{00000000-0005-0000-0000-00004FE30000}"/>
    <cellStyle name="SAPBEXexcCritical5 2" xfId="58194" xr:uid="{00000000-0005-0000-0000-000050E30000}"/>
    <cellStyle name="SAPBEXexcCritical5 2 2" xfId="58195" xr:uid="{00000000-0005-0000-0000-000051E30000}"/>
    <cellStyle name="SAPBEXexcCritical5 2 2 2" xfId="58196" xr:uid="{00000000-0005-0000-0000-000052E30000}"/>
    <cellStyle name="SAPBEXexcCritical5 2 2 2 2" xfId="58197" xr:uid="{00000000-0005-0000-0000-000053E30000}"/>
    <cellStyle name="SAPBEXexcCritical5 2 2 3" xfId="58198" xr:uid="{00000000-0005-0000-0000-000054E30000}"/>
    <cellStyle name="SAPBEXexcCritical5 2 3" xfId="58199" xr:uid="{00000000-0005-0000-0000-000055E30000}"/>
    <cellStyle name="SAPBEXexcCritical5 2 3 2" xfId="58200" xr:uid="{00000000-0005-0000-0000-000056E30000}"/>
    <cellStyle name="SAPBEXexcCritical5 2 4" xfId="58201" xr:uid="{00000000-0005-0000-0000-000057E30000}"/>
    <cellStyle name="SAPBEXexcCritical5 3" xfId="58202" xr:uid="{00000000-0005-0000-0000-000058E30000}"/>
    <cellStyle name="SAPBEXexcCritical5 3 2" xfId="58203" xr:uid="{00000000-0005-0000-0000-000059E30000}"/>
    <cellStyle name="SAPBEXexcCritical5 3 2 2" xfId="58204" xr:uid="{00000000-0005-0000-0000-00005AE30000}"/>
    <cellStyle name="SAPBEXexcCritical5 3 3" xfId="58205" xr:uid="{00000000-0005-0000-0000-00005BE30000}"/>
    <cellStyle name="SAPBEXexcCritical5 4" xfId="58206" xr:uid="{00000000-0005-0000-0000-00005CE30000}"/>
    <cellStyle name="SAPBEXexcCritical5 4 2" xfId="58207" xr:uid="{00000000-0005-0000-0000-00005DE30000}"/>
    <cellStyle name="SAPBEXexcCritical5 4 2 2" xfId="58208" xr:uid="{00000000-0005-0000-0000-00005EE30000}"/>
    <cellStyle name="SAPBEXexcCritical5 4 3" xfId="58209" xr:uid="{00000000-0005-0000-0000-00005FE30000}"/>
    <cellStyle name="SAPBEXexcCritical5 5" xfId="58210" xr:uid="{00000000-0005-0000-0000-000060E30000}"/>
    <cellStyle name="SAPBEXexcCritical5 5 2" xfId="58211" xr:uid="{00000000-0005-0000-0000-000061E30000}"/>
    <cellStyle name="SAPBEXexcCritical5 5 2 2" xfId="58212" xr:uid="{00000000-0005-0000-0000-000062E30000}"/>
    <cellStyle name="SAPBEXexcCritical5 5 3" xfId="58213" xr:uid="{00000000-0005-0000-0000-000063E30000}"/>
    <cellStyle name="SAPBEXexcCritical5 6" xfId="58214" xr:uid="{00000000-0005-0000-0000-000064E30000}"/>
    <cellStyle name="SAPBEXexcCritical5 6 2" xfId="58215" xr:uid="{00000000-0005-0000-0000-000065E30000}"/>
    <cellStyle name="SAPBEXexcCritical5 6 2 2" xfId="58216" xr:uid="{00000000-0005-0000-0000-000066E30000}"/>
    <cellStyle name="SAPBEXexcCritical5 6 3" xfId="58217" xr:uid="{00000000-0005-0000-0000-000067E30000}"/>
    <cellStyle name="SAPBEXexcCritical5 7" xfId="58218" xr:uid="{00000000-0005-0000-0000-000068E30000}"/>
    <cellStyle name="SAPBEXexcCritical5 7 2" xfId="58219" xr:uid="{00000000-0005-0000-0000-000069E30000}"/>
    <cellStyle name="SAPBEXexcCritical5 7 2 2" xfId="58220" xr:uid="{00000000-0005-0000-0000-00006AE30000}"/>
    <cellStyle name="SAPBEXexcCritical5 7 3" xfId="58221" xr:uid="{00000000-0005-0000-0000-00006BE30000}"/>
    <cellStyle name="SAPBEXexcCritical5 8" xfId="58222" xr:uid="{00000000-0005-0000-0000-00006CE30000}"/>
    <cellStyle name="SAPBEXexcCritical5 8 2" xfId="58223" xr:uid="{00000000-0005-0000-0000-00006DE30000}"/>
    <cellStyle name="SAPBEXexcCritical5 8 2 2" xfId="58224" xr:uid="{00000000-0005-0000-0000-00006EE30000}"/>
    <cellStyle name="SAPBEXexcCritical5 8 3" xfId="58225" xr:uid="{00000000-0005-0000-0000-00006FE30000}"/>
    <cellStyle name="SAPBEXexcCritical5 9" xfId="58226" xr:uid="{00000000-0005-0000-0000-000070E30000}"/>
    <cellStyle name="SAPBEXexcCritical5 9 2" xfId="58227" xr:uid="{00000000-0005-0000-0000-000071E30000}"/>
    <cellStyle name="SAPBEXexcCritical5 9 2 2" xfId="58228" xr:uid="{00000000-0005-0000-0000-000072E30000}"/>
    <cellStyle name="SAPBEXexcCritical5 9 3" xfId="58229" xr:uid="{00000000-0005-0000-0000-000073E30000}"/>
    <cellStyle name="SAPBEXexcCritical6" xfId="58230" xr:uid="{00000000-0005-0000-0000-000074E30000}"/>
    <cellStyle name="SAPBEXexcCritical6 10" xfId="58231" xr:uid="{00000000-0005-0000-0000-000075E30000}"/>
    <cellStyle name="SAPBEXexcCritical6 10 2" xfId="58232" xr:uid="{00000000-0005-0000-0000-000076E30000}"/>
    <cellStyle name="SAPBEXexcCritical6 10 2 2" xfId="58233" xr:uid="{00000000-0005-0000-0000-000077E30000}"/>
    <cellStyle name="SAPBEXexcCritical6 10 3" xfId="58234" xr:uid="{00000000-0005-0000-0000-000078E30000}"/>
    <cellStyle name="SAPBEXexcCritical6 11" xfId="58235" xr:uid="{00000000-0005-0000-0000-000079E30000}"/>
    <cellStyle name="SAPBEXexcCritical6 11 2" xfId="58236" xr:uid="{00000000-0005-0000-0000-00007AE30000}"/>
    <cellStyle name="SAPBEXexcCritical6 11 2 2" xfId="58237" xr:uid="{00000000-0005-0000-0000-00007BE30000}"/>
    <cellStyle name="SAPBEXexcCritical6 11 3" xfId="58238" xr:uid="{00000000-0005-0000-0000-00007CE30000}"/>
    <cellStyle name="SAPBEXexcCritical6 12" xfId="58239" xr:uid="{00000000-0005-0000-0000-00007DE30000}"/>
    <cellStyle name="SAPBEXexcCritical6 12 2" xfId="58240" xr:uid="{00000000-0005-0000-0000-00007EE30000}"/>
    <cellStyle name="SAPBEXexcCritical6 12 2 2" xfId="58241" xr:uid="{00000000-0005-0000-0000-00007FE30000}"/>
    <cellStyle name="SAPBEXexcCritical6 12 3" xfId="58242" xr:uid="{00000000-0005-0000-0000-000080E30000}"/>
    <cellStyle name="SAPBEXexcCritical6 13" xfId="58243" xr:uid="{00000000-0005-0000-0000-000081E30000}"/>
    <cellStyle name="SAPBEXexcCritical6 13 2" xfId="58244" xr:uid="{00000000-0005-0000-0000-000082E30000}"/>
    <cellStyle name="SAPBEXexcCritical6 14" xfId="58245" xr:uid="{00000000-0005-0000-0000-000083E30000}"/>
    <cellStyle name="SAPBEXexcCritical6 2" xfId="58246" xr:uid="{00000000-0005-0000-0000-000084E30000}"/>
    <cellStyle name="SAPBEXexcCritical6 2 2" xfId="58247" xr:uid="{00000000-0005-0000-0000-000085E30000}"/>
    <cellStyle name="SAPBEXexcCritical6 2 2 2" xfId="58248" xr:uid="{00000000-0005-0000-0000-000086E30000}"/>
    <cellStyle name="SAPBEXexcCritical6 2 2 2 2" xfId="58249" xr:uid="{00000000-0005-0000-0000-000087E30000}"/>
    <cellStyle name="SAPBEXexcCritical6 2 2 3" xfId="58250" xr:uid="{00000000-0005-0000-0000-000088E30000}"/>
    <cellStyle name="SAPBEXexcCritical6 2 3" xfId="58251" xr:uid="{00000000-0005-0000-0000-000089E30000}"/>
    <cellStyle name="SAPBEXexcCritical6 2 3 2" xfId="58252" xr:uid="{00000000-0005-0000-0000-00008AE30000}"/>
    <cellStyle name="SAPBEXexcCritical6 2 4" xfId="58253" xr:uid="{00000000-0005-0000-0000-00008BE30000}"/>
    <cellStyle name="SAPBEXexcCritical6 3" xfId="58254" xr:uid="{00000000-0005-0000-0000-00008CE30000}"/>
    <cellStyle name="SAPBEXexcCritical6 3 2" xfId="58255" xr:uid="{00000000-0005-0000-0000-00008DE30000}"/>
    <cellStyle name="SAPBEXexcCritical6 3 2 2" xfId="58256" xr:uid="{00000000-0005-0000-0000-00008EE30000}"/>
    <cellStyle name="SAPBEXexcCritical6 3 3" xfId="58257" xr:uid="{00000000-0005-0000-0000-00008FE30000}"/>
    <cellStyle name="SAPBEXexcCritical6 4" xfId="58258" xr:uid="{00000000-0005-0000-0000-000090E30000}"/>
    <cellStyle name="SAPBEXexcCritical6 4 2" xfId="58259" xr:uid="{00000000-0005-0000-0000-000091E30000}"/>
    <cellStyle name="SAPBEXexcCritical6 4 2 2" xfId="58260" xr:uid="{00000000-0005-0000-0000-000092E30000}"/>
    <cellStyle name="SAPBEXexcCritical6 4 3" xfId="58261" xr:uid="{00000000-0005-0000-0000-000093E30000}"/>
    <cellStyle name="SAPBEXexcCritical6 5" xfId="58262" xr:uid="{00000000-0005-0000-0000-000094E30000}"/>
    <cellStyle name="SAPBEXexcCritical6 5 2" xfId="58263" xr:uid="{00000000-0005-0000-0000-000095E30000}"/>
    <cellStyle name="SAPBEXexcCritical6 5 2 2" xfId="58264" xr:uid="{00000000-0005-0000-0000-000096E30000}"/>
    <cellStyle name="SAPBEXexcCritical6 5 3" xfId="58265" xr:uid="{00000000-0005-0000-0000-000097E30000}"/>
    <cellStyle name="SAPBEXexcCritical6 6" xfId="58266" xr:uid="{00000000-0005-0000-0000-000098E30000}"/>
    <cellStyle name="SAPBEXexcCritical6 6 2" xfId="58267" xr:uid="{00000000-0005-0000-0000-000099E30000}"/>
    <cellStyle name="SAPBEXexcCritical6 6 2 2" xfId="58268" xr:uid="{00000000-0005-0000-0000-00009AE30000}"/>
    <cellStyle name="SAPBEXexcCritical6 6 3" xfId="58269" xr:uid="{00000000-0005-0000-0000-00009BE30000}"/>
    <cellStyle name="SAPBEXexcCritical6 7" xfId="58270" xr:uid="{00000000-0005-0000-0000-00009CE30000}"/>
    <cellStyle name="SAPBEXexcCritical6 7 2" xfId="58271" xr:uid="{00000000-0005-0000-0000-00009DE30000}"/>
    <cellStyle name="SAPBEXexcCritical6 7 2 2" xfId="58272" xr:uid="{00000000-0005-0000-0000-00009EE30000}"/>
    <cellStyle name="SAPBEXexcCritical6 7 3" xfId="58273" xr:uid="{00000000-0005-0000-0000-00009FE30000}"/>
    <cellStyle name="SAPBEXexcCritical6 8" xfId="58274" xr:uid="{00000000-0005-0000-0000-0000A0E30000}"/>
    <cellStyle name="SAPBEXexcCritical6 8 2" xfId="58275" xr:uid="{00000000-0005-0000-0000-0000A1E30000}"/>
    <cellStyle name="SAPBEXexcCritical6 8 2 2" xfId="58276" xr:uid="{00000000-0005-0000-0000-0000A2E30000}"/>
    <cellStyle name="SAPBEXexcCritical6 8 3" xfId="58277" xr:uid="{00000000-0005-0000-0000-0000A3E30000}"/>
    <cellStyle name="SAPBEXexcCritical6 9" xfId="58278" xr:uid="{00000000-0005-0000-0000-0000A4E30000}"/>
    <cellStyle name="SAPBEXexcCritical6 9 2" xfId="58279" xr:uid="{00000000-0005-0000-0000-0000A5E30000}"/>
    <cellStyle name="SAPBEXexcCritical6 9 2 2" xfId="58280" xr:uid="{00000000-0005-0000-0000-0000A6E30000}"/>
    <cellStyle name="SAPBEXexcCritical6 9 3" xfId="58281" xr:uid="{00000000-0005-0000-0000-0000A7E30000}"/>
    <cellStyle name="SAPBEXexcGood1" xfId="58282" xr:uid="{00000000-0005-0000-0000-0000A8E30000}"/>
    <cellStyle name="SAPBEXexcGood1 10" xfId="58283" xr:uid="{00000000-0005-0000-0000-0000A9E30000}"/>
    <cellStyle name="SAPBEXexcGood1 10 2" xfId="58284" xr:uid="{00000000-0005-0000-0000-0000AAE30000}"/>
    <cellStyle name="SAPBEXexcGood1 10 2 2" xfId="58285" xr:uid="{00000000-0005-0000-0000-0000ABE30000}"/>
    <cellStyle name="SAPBEXexcGood1 10 3" xfId="58286" xr:uid="{00000000-0005-0000-0000-0000ACE30000}"/>
    <cellStyle name="SAPBEXexcGood1 11" xfId="58287" xr:uid="{00000000-0005-0000-0000-0000ADE30000}"/>
    <cellStyle name="SAPBEXexcGood1 11 2" xfId="58288" xr:uid="{00000000-0005-0000-0000-0000AEE30000}"/>
    <cellStyle name="SAPBEXexcGood1 11 2 2" xfId="58289" xr:uid="{00000000-0005-0000-0000-0000AFE30000}"/>
    <cellStyle name="SAPBEXexcGood1 11 3" xfId="58290" xr:uid="{00000000-0005-0000-0000-0000B0E30000}"/>
    <cellStyle name="SAPBEXexcGood1 12" xfId="58291" xr:uid="{00000000-0005-0000-0000-0000B1E30000}"/>
    <cellStyle name="SAPBEXexcGood1 12 2" xfId="58292" xr:uid="{00000000-0005-0000-0000-0000B2E30000}"/>
    <cellStyle name="SAPBEXexcGood1 12 2 2" xfId="58293" xr:uid="{00000000-0005-0000-0000-0000B3E30000}"/>
    <cellStyle name="SAPBEXexcGood1 12 3" xfId="58294" xr:uid="{00000000-0005-0000-0000-0000B4E30000}"/>
    <cellStyle name="SAPBEXexcGood1 13" xfId="58295" xr:uid="{00000000-0005-0000-0000-0000B5E30000}"/>
    <cellStyle name="SAPBEXexcGood1 13 2" xfId="58296" xr:uid="{00000000-0005-0000-0000-0000B6E30000}"/>
    <cellStyle name="SAPBEXexcGood1 14" xfId="58297" xr:uid="{00000000-0005-0000-0000-0000B7E30000}"/>
    <cellStyle name="SAPBEXexcGood1 2" xfId="58298" xr:uid="{00000000-0005-0000-0000-0000B8E30000}"/>
    <cellStyle name="SAPBEXexcGood1 2 2" xfId="58299" xr:uid="{00000000-0005-0000-0000-0000B9E30000}"/>
    <cellStyle name="SAPBEXexcGood1 2 2 2" xfId="58300" xr:uid="{00000000-0005-0000-0000-0000BAE30000}"/>
    <cellStyle name="SAPBEXexcGood1 2 2 2 2" xfId="58301" xr:uid="{00000000-0005-0000-0000-0000BBE30000}"/>
    <cellStyle name="SAPBEXexcGood1 2 2 3" xfId="58302" xr:uid="{00000000-0005-0000-0000-0000BCE30000}"/>
    <cellStyle name="SAPBEXexcGood1 2 3" xfId="58303" xr:uid="{00000000-0005-0000-0000-0000BDE30000}"/>
    <cellStyle name="SAPBEXexcGood1 2 3 2" xfId="58304" xr:uid="{00000000-0005-0000-0000-0000BEE30000}"/>
    <cellStyle name="SAPBEXexcGood1 2 4" xfId="58305" xr:uid="{00000000-0005-0000-0000-0000BFE30000}"/>
    <cellStyle name="SAPBEXexcGood1 3" xfId="58306" xr:uid="{00000000-0005-0000-0000-0000C0E30000}"/>
    <cellStyle name="SAPBEXexcGood1 3 2" xfId="58307" xr:uid="{00000000-0005-0000-0000-0000C1E30000}"/>
    <cellStyle name="SAPBEXexcGood1 3 2 2" xfId="58308" xr:uid="{00000000-0005-0000-0000-0000C2E30000}"/>
    <cellStyle name="SAPBEXexcGood1 3 3" xfId="58309" xr:uid="{00000000-0005-0000-0000-0000C3E30000}"/>
    <cellStyle name="SAPBEXexcGood1 4" xfId="58310" xr:uid="{00000000-0005-0000-0000-0000C4E30000}"/>
    <cellStyle name="SAPBEXexcGood1 4 2" xfId="58311" xr:uid="{00000000-0005-0000-0000-0000C5E30000}"/>
    <cellStyle name="SAPBEXexcGood1 4 2 2" xfId="58312" xr:uid="{00000000-0005-0000-0000-0000C6E30000}"/>
    <cellStyle name="SAPBEXexcGood1 4 3" xfId="58313" xr:uid="{00000000-0005-0000-0000-0000C7E30000}"/>
    <cellStyle name="SAPBEXexcGood1 5" xfId="58314" xr:uid="{00000000-0005-0000-0000-0000C8E30000}"/>
    <cellStyle name="SAPBEXexcGood1 5 2" xfId="58315" xr:uid="{00000000-0005-0000-0000-0000C9E30000}"/>
    <cellStyle name="SAPBEXexcGood1 5 2 2" xfId="58316" xr:uid="{00000000-0005-0000-0000-0000CAE30000}"/>
    <cellStyle name="SAPBEXexcGood1 5 3" xfId="58317" xr:uid="{00000000-0005-0000-0000-0000CBE30000}"/>
    <cellStyle name="SAPBEXexcGood1 6" xfId="58318" xr:uid="{00000000-0005-0000-0000-0000CCE30000}"/>
    <cellStyle name="SAPBEXexcGood1 6 2" xfId="58319" xr:uid="{00000000-0005-0000-0000-0000CDE30000}"/>
    <cellStyle name="SAPBEXexcGood1 6 2 2" xfId="58320" xr:uid="{00000000-0005-0000-0000-0000CEE30000}"/>
    <cellStyle name="SAPBEXexcGood1 6 3" xfId="58321" xr:uid="{00000000-0005-0000-0000-0000CFE30000}"/>
    <cellStyle name="SAPBEXexcGood1 7" xfId="58322" xr:uid="{00000000-0005-0000-0000-0000D0E30000}"/>
    <cellStyle name="SAPBEXexcGood1 7 2" xfId="58323" xr:uid="{00000000-0005-0000-0000-0000D1E30000}"/>
    <cellStyle name="SAPBEXexcGood1 7 2 2" xfId="58324" xr:uid="{00000000-0005-0000-0000-0000D2E30000}"/>
    <cellStyle name="SAPBEXexcGood1 7 3" xfId="58325" xr:uid="{00000000-0005-0000-0000-0000D3E30000}"/>
    <cellStyle name="SAPBEXexcGood1 8" xfId="58326" xr:uid="{00000000-0005-0000-0000-0000D4E30000}"/>
    <cellStyle name="SAPBEXexcGood1 8 2" xfId="58327" xr:uid="{00000000-0005-0000-0000-0000D5E30000}"/>
    <cellStyle name="SAPBEXexcGood1 8 2 2" xfId="58328" xr:uid="{00000000-0005-0000-0000-0000D6E30000}"/>
    <cellStyle name="SAPBEXexcGood1 8 3" xfId="58329" xr:uid="{00000000-0005-0000-0000-0000D7E30000}"/>
    <cellStyle name="SAPBEXexcGood1 9" xfId="58330" xr:uid="{00000000-0005-0000-0000-0000D8E30000}"/>
    <cellStyle name="SAPBEXexcGood1 9 2" xfId="58331" xr:uid="{00000000-0005-0000-0000-0000D9E30000}"/>
    <cellStyle name="SAPBEXexcGood1 9 2 2" xfId="58332" xr:uid="{00000000-0005-0000-0000-0000DAE30000}"/>
    <cellStyle name="SAPBEXexcGood1 9 3" xfId="58333" xr:uid="{00000000-0005-0000-0000-0000DBE30000}"/>
    <cellStyle name="SAPBEXexcGood2" xfId="58334" xr:uid="{00000000-0005-0000-0000-0000DCE30000}"/>
    <cellStyle name="SAPBEXexcGood2 10" xfId="58335" xr:uid="{00000000-0005-0000-0000-0000DDE30000}"/>
    <cellStyle name="SAPBEXexcGood2 10 2" xfId="58336" xr:uid="{00000000-0005-0000-0000-0000DEE30000}"/>
    <cellStyle name="SAPBEXexcGood2 10 2 2" xfId="58337" xr:uid="{00000000-0005-0000-0000-0000DFE30000}"/>
    <cellStyle name="SAPBEXexcGood2 10 3" xfId="58338" xr:uid="{00000000-0005-0000-0000-0000E0E30000}"/>
    <cellStyle name="SAPBEXexcGood2 11" xfId="58339" xr:uid="{00000000-0005-0000-0000-0000E1E30000}"/>
    <cellStyle name="SAPBEXexcGood2 11 2" xfId="58340" xr:uid="{00000000-0005-0000-0000-0000E2E30000}"/>
    <cellStyle name="SAPBEXexcGood2 11 2 2" xfId="58341" xr:uid="{00000000-0005-0000-0000-0000E3E30000}"/>
    <cellStyle name="SAPBEXexcGood2 11 3" xfId="58342" xr:uid="{00000000-0005-0000-0000-0000E4E30000}"/>
    <cellStyle name="SAPBEXexcGood2 12" xfId="58343" xr:uid="{00000000-0005-0000-0000-0000E5E30000}"/>
    <cellStyle name="SAPBEXexcGood2 12 2" xfId="58344" xr:uid="{00000000-0005-0000-0000-0000E6E30000}"/>
    <cellStyle name="SAPBEXexcGood2 12 2 2" xfId="58345" xr:uid="{00000000-0005-0000-0000-0000E7E30000}"/>
    <cellStyle name="SAPBEXexcGood2 12 3" xfId="58346" xr:uid="{00000000-0005-0000-0000-0000E8E30000}"/>
    <cellStyle name="SAPBEXexcGood2 13" xfId="58347" xr:uid="{00000000-0005-0000-0000-0000E9E30000}"/>
    <cellStyle name="SAPBEXexcGood2 13 2" xfId="58348" xr:uid="{00000000-0005-0000-0000-0000EAE30000}"/>
    <cellStyle name="SAPBEXexcGood2 14" xfId="58349" xr:uid="{00000000-0005-0000-0000-0000EBE30000}"/>
    <cellStyle name="SAPBEXexcGood2 2" xfId="58350" xr:uid="{00000000-0005-0000-0000-0000ECE30000}"/>
    <cellStyle name="SAPBEXexcGood2 2 2" xfId="58351" xr:uid="{00000000-0005-0000-0000-0000EDE30000}"/>
    <cellStyle name="SAPBEXexcGood2 2 2 2" xfId="58352" xr:uid="{00000000-0005-0000-0000-0000EEE30000}"/>
    <cellStyle name="SAPBEXexcGood2 2 2 2 2" xfId="58353" xr:uid="{00000000-0005-0000-0000-0000EFE30000}"/>
    <cellStyle name="SAPBEXexcGood2 2 2 3" xfId="58354" xr:uid="{00000000-0005-0000-0000-0000F0E30000}"/>
    <cellStyle name="SAPBEXexcGood2 2 3" xfId="58355" xr:uid="{00000000-0005-0000-0000-0000F1E30000}"/>
    <cellStyle name="SAPBEXexcGood2 2 3 2" xfId="58356" xr:uid="{00000000-0005-0000-0000-0000F2E30000}"/>
    <cellStyle name="SAPBEXexcGood2 2 4" xfId="58357" xr:uid="{00000000-0005-0000-0000-0000F3E30000}"/>
    <cellStyle name="SAPBEXexcGood2 3" xfId="58358" xr:uid="{00000000-0005-0000-0000-0000F4E30000}"/>
    <cellStyle name="SAPBEXexcGood2 3 2" xfId="58359" xr:uid="{00000000-0005-0000-0000-0000F5E30000}"/>
    <cellStyle name="SAPBEXexcGood2 3 2 2" xfId="58360" xr:uid="{00000000-0005-0000-0000-0000F6E30000}"/>
    <cellStyle name="SAPBEXexcGood2 3 3" xfId="58361" xr:uid="{00000000-0005-0000-0000-0000F7E30000}"/>
    <cellStyle name="SAPBEXexcGood2 4" xfId="58362" xr:uid="{00000000-0005-0000-0000-0000F8E30000}"/>
    <cellStyle name="SAPBEXexcGood2 4 2" xfId="58363" xr:uid="{00000000-0005-0000-0000-0000F9E30000}"/>
    <cellStyle name="SAPBEXexcGood2 4 2 2" xfId="58364" xr:uid="{00000000-0005-0000-0000-0000FAE30000}"/>
    <cellStyle name="SAPBEXexcGood2 4 3" xfId="58365" xr:uid="{00000000-0005-0000-0000-0000FBE30000}"/>
    <cellStyle name="SAPBEXexcGood2 5" xfId="58366" xr:uid="{00000000-0005-0000-0000-0000FCE30000}"/>
    <cellStyle name="SAPBEXexcGood2 5 2" xfId="58367" xr:uid="{00000000-0005-0000-0000-0000FDE30000}"/>
    <cellStyle name="SAPBEXexcGood2 5 2 2" xfId="58368" xr:uid="{00000000-0005-0000-0000-0000FEE30000}"/>
    <cellStyle name="SAPBEXexcGood2 5 3" xfId="58369" xr:uid="{00000000-0005-0000-0000-0000FFE30000}"/>
    <cellStyle name="SAPBEXexcGood2 6" xfId="58370" xr:uid="{00000000-0005-0000-0000-000000E40000}"/>
    <cellStyle name="SAPBEXexcGood2 6 2" xfId="58371" xr:uid="{00000000-0005-0000-0000-000001E40000}"/>
    <cellStyle name="SAPBEXexcGood2 6 2 2" xfId="58372" xr:uid="{00000000-0005-0000-0000-000002E40000}"/>
    <cellStyle name="SAPBEXexcGood2 6 3" xfId="58373" xr:uid="{00000000-0005-0000-0000-000003E40000}"/>
    <cellStyle name="SAPBEXexcGood2 7" xfId="58374" xr:uid="{00000000-0005-0000-0000-000004E40000}"/>
    <cellStyle name="SAPBEXexcGood2 7 2" xfId="58375" xr:uid="{00000000-0005-0000-0000-000005E40000}"/>
    <cellStyle name="SAPBEXexcGood2 7 2 2" xfId="58376" xr:uid="{00000000-0005-0000-0000-000006E40000}"/>
    <cellStyle name="SAPBEXexcGood2 7 3" xfId="58377" xr:uid="{00000000-0005-0000-0000-000007E40000}"/>
    <cellStyle name="SAPBEXexcGood2 8" xfId="58378" xr:uid="{00000000-0005-0000-0000-000008E40000}"/>
    <cellStyle name="SAPBEXexcGood2 8 2" xfId="58379" xr:uid="{00000000-0005-0000-0000-000009E40000}"/>
    <cellStyle name="SAPBEXexcGood2 8 2 2" xfId="58380" xr:uid="{00000000-0005-0000-0000-00000AE40000}"/>
    <cellStyle name="SAPBEXexcGood2 8 3" xfId="58381" xr:uid="{00000000-0005-0000-0000-00000BE40000}"/>
    <cellStyle name="SAPBEXexcGood2 9" xfId="58382" xr:uid="{00000000-0005-0000-0000-00000CE40000}"/>
    <cellStyle name="SAPBEXexcGood2 9 2" xfId="58383" xr:uid="{00000000-0005-0000-0000-00000DE40000}"/>
    <cellStyle name="SAPBEXexcGood2 9 2 2" xfId="58384" xr:uid="{00000000-0005-0000-0000-00000EE40000}"/>
    <cellStyle name="SAPBEXexcGood2 9 3" xfId="58385" xr:uid="{00000000-0005-0000-0000-00000FE40000}"/>
    <cellStyle name="SAPBEXexcGood3" xfId="58386" xr:uid="{00000000-0005-0000-0000-000010E40000}"/>
    <cellStyle name="SAPBEXexcGood3 10" xfId="58387" xr:uid="{00000000-0005-0000-0000-000011E40000}"/>
    <cellStyle name="SAPBEXexcGood3 10 2" xfId="58388" xr:uid="{00000000-0005-0000-0000-000012E40000}"/>
    <cellStyle name="SAPBEXexcGood3 10 2 2" xfId="58389" xr:uid="{00000000-0005-0000-0000-000013E40000}"/>
    <cellStyle name="SAPBEXexcGood3 10 3" xfId="58390" xr:uid="{00000000-0005-0000-0000-000014E40000}"/>
    <cellStyle name="SAPBEXexcGood3 11" xfId="58391" xr:uid="{00000000-0005-0000-0000-000015E40000}"/>
    <cellStyle name="SAPBEXexcGood3 11 2" xfId="58392" xr:uid="{00000000-0005-0000-0000-000016E40000}"/>
    <cellStyle name="SAPBEXexcGood3 11 2 2" xfId="58393" xr:uid="{00000000-0005-0000-0000-000017E40000}"/>
    <cellStyle name="SAPBEXexcGood3 11 3" xfId="58394" xr:uid="{00000000-0005-0000-0000-000018E40000}"/>
    <cellStyle name="SAPBEXexcGood3 12" xfId="58395" xr:uid="{00000000-0005-0000-0000-000019E40000}"/>
    <cellStyle name="SAPBEXexcGood3 12 2" xfId="58396" xr:uid="{00000000-0005-0000-0000-00001AE40000}"/>
    <cellStyle name="SAPBEXexcGood3 12 2 2" xfId="58397" xr:uid="{00000000-0005-0000-0000-00001BE40000}"/>
    <cellStyle name="SAPBEXexcGood3 12 3" xfId="58398" xr:uid="{00000000-0005-0000-0000-00001CE40000}"/>
    <cellStyle name="SAPBEXexcGood3 13" xfId="58399" xr:uid="{00000000-0005-0000-0000-00001DE40000}"/>
    <cellStyle name="SAPBEXexcGood3 13 2" xfId="58400" xr:uid="{00000000-0005-0000-0000-00001EE40000}"/>
    <cellStyle name="SAPBEXexcGood3 14" xfId="58401" xr:uid="{00000000-0005-0000-0000-00001FE40000}"/>
    <cellStyle name="SAPBEXexcGood3 2" xfId="58402" xr:uid="{00000000-0005-0000-0000-000020E40000}"/>
    <cellStyle name="SAPBEXexcGood3 2 2" xfId="58403" xr:uid="{00000000-0005-0000-0000-000021E40000}"/>
    <cellStyle name="SAPBEXexcGood3 2 2 2" xfId="58404" xr:uid="{00000000-0005-0000-0000-000022E40000}"/>
    <cellStyle name="SAPBEXexcGood3 2 2 2 2" xfId="58405" xr:uid="{00000000-0005-0000-0000-000023E40000}"/>
    <cellStyle name="SAPBEXexcGood3 2 2 3" xfId="58406" xr:uid="{00000000-0005-0000-0000-000024E40000}"/>
    <cellStyle name="SAPBEXexcGood3 2 3" xfId="58407" xr:uid="{00000000-0005-0000-0000-000025E40000}"/>
    <cellStyle name="SAPBEXexcGood3 2 3 2" xfId="58408" xr:uid="{00000000-0005-0000-0000-000026E40000}"/>
    <cellStyle name="SAPBEXexcGood3 2 4" xfId="58409" xr:uid="{00000000-0005-0000-0000-000027E40000}"/>
    <cellStyle name="SAPBEXexcGood3 3" xfId="58410" xr:uid="{00000000-0005-0000-0000-000028E40000}"/>
    <cellStyle name="SAPBEXexcGood3 3 2" xfId="58411" xr:uid="{00000000-0005-0000-0000-000029E40000}"/>
    <cellStyle name="SAPBEXexcGood3 3 2 2" xfId="58412" xr:uid="{00000000-0005-0000-0000-00002AE40000}"/>
    <cellStyle name="SAPBEXexcGood3 3 3" xfId="58413" xr:uid="{00000000-0005-0000-0000-00002BE40000}"/>
    <cellStyle name="SAPBEXexcGood3 4" xfId="58414" xr:uid="{00000000-0005-0000-0000-00002CE40000}"/>
    <cellStyle name="SAPBEXexcGood3 4 2" xfId="58415" xr:uid="{00000000-0005-0000-0000-00002DE40000}"/>
    <cellStyle name="SAPBEXexcGood3 4 2 2" xfId="58416" xr:uid="{00000000-0005-0000-0000-00002EE40000}"/>
    <cellStyle name="SAPBEXexcGood3 4 3" xfId="58417" xr:uid="{00000000-0005-0000-0000-00002FE40000}"/>
    <cellStyle name="SAPBEXexcGood3 5" xfId="58418" xr:uid="{00000000-0005-0000-0000-000030E40000}"/>
    <cellStyle name="SAPBEXexcGood3 5 2" xfId="58419" xr:uid="{00000000-0005-0000-0000-000031E40000}"/>
    <cellStyle name="SAPBEXexcGood3 5 2 2" xfId="58420" xr:uid="{00000000-0005-0000-0000-000032E40000}"/>
    <cellStyle name="SAPBEXexcGood3 5 3" xfId="58421" xr:uid="{00000000-0005-0000-0000-000033E40000}"/>
    <cellStyle name="SAPBEXexcGood3 6" xfId="58422" xr:uid="{00000000-0005-0000-0000-000034E40000}"/>
    <cellStyle name="SAPBEXexcGood3 6 2" xfId="58423" xr:uid="{00000000-0005-0000-0000-000035E40000}"/>
    <cellStyle name="SAPBEXexcGood3 6 2 2" xfId="58424" xr:uid="{00000000-0005-0000-0000-000036E40000}"/>
    <cellStyle name="SAPBEXexcGood3 6 3" xfId="58425" xr:uid="{00000000-0005-0000-0000-000037E40000}"/>
    <cellStyle name="SAPBEXexcGood3 7" xfId="58426" xr:uid="{00000000-0005-0000-0000-000038E40000}"/>
    <cellStyle name="SAPBEXexcGood3 7 2" xfId="58427" xr:uid="{00000000-0005-0000-0000-000039E40000}"/>
    <cellStyle name="SAPBEXexcGood3 7 2 2" xfId="58428" xr:uid="{00000000-0005-0000-0000-00003AE40000}"/>
    <cellStyle name="SAPBEXexcGood3 7 3" xfId="58429" xr:uid="{00000000-0005-0000-0000-00003BE40000}"/>
    <cellStyle name="SAPBEXexcGood3 8" xfId="58430" xr:uid="{00000000-0005-0000-0000-00003CE40000}"/>
    <cellStyle name="SAPBEXexcGood3 8 2" xfId="58431" xr:uid="{00000000-0005-0000-0000-00003DE40000}"/>
    <cellStyle name="SAPBEXexcGood3 8 2 2" xfId="58432" xr:uid="{00000000-0005-0000-0000-00003EE40000}"/>
    <cellStyle name="SAPBEXexcGood3 8 3" xfId="58433" xr:uid="{00000000-0005-0000-0000-00003FE40000}"/>
    <cellStyle name="SAPBEXexcGood3 9" xfId="58434" xr:uid="{00000000-0005-0000-0000-000040E40000}"/>
    <cellStyle name="SAPBEXexcGood3 9 2" xfId="58435" xr:uid="{00000000-0005-0000-0000-000041E40000}"/>
    <cellStyle name="SAPBEXexcGood3 9 2 2" xfId="58436" xr:uid="{00000000-0005-0000-0000-000042E40000}"/>
    <cellStyle name="SAPBEXexcGood3 9 3" xfId="58437" xr:uid="{00000000-0005-0000-0000-000043E40000}"/>
    <cellStyle name="SAPBEXfilterDrill" xfId="58438" xr:uid="{00000000-0005-0000-0000-000044E40000}"/>
    <cellStyle name="SAPBEXfilterDrill 10" xfId="58439" xr:uid="{00000000-0005-0000-0000-000045E40000}"/>
    <cellStyle name="SAPBEXfilterDrill 10 2" xfId="58440" xr:uid="{00000000-0005-0000-0000-000046E40000}"/>
    <cellStyle name="SAPBEXfilterDrill 10 2 2" xfId="58441" xr:uid="{00000000-0005-0000-0000-000047E40000}"/>
    <cellStyle name="SAPBEXfilterDrill 10 3" xfId="58442" xr:uid="{00000000-0005-0000-0000-000048E40000}"/>
    <cellStyle name="SAPBEXfilterDrill 11" xfId="58443" xr:uid="{00000000-0005-0000-0000-000049E40000}"/>
    <cellStyle name="SAPBEXfilterDrill 11 2" xfId="58444" xr:uid="{00000000-0005-0000-0000-00004AE40000}"/>
    <cellStyle name="SAPBEXfilterDrill 11 2 2" xfId="58445" xr:uid="{00000000-0005-0000-0000-00004BE40000}"/>
    <cellStyle name="SAPBEXfilterDrill 11 3" xfId="58446" xr:uid="{00000000-0005-0000-0000-00004CE40000}"/>
    <cellStyle name="SAPBEXfilterDrill 12" xfId="58447" xr:uid="{00000000-0005-0000-0000-00004DE40000}"/>
    <cellStyle name="SAPBEXfilterDrill 12 2" xfId="58448" xr:uid="{00000000-0005-0000-0000-00004EE40000}"/>
    <cellStyle name="SAPBEXfilterDrill 12 2 2" xfId="58449" xr:uid="{00000000-0005-0000-0000-00004FE40000}"/>
    <cellStyle name="SAPBEXfilterDrill 12 3" xfId="58450" xr:uid="{00000000-0005-0000-0000-000050E40000}"/>
    <cellStyle name="SAPBEXfilterDrill 13" xfId="58451" xr:uid="{00000000-0005-0000-0000-000051E40000}"/>
    <cellStyle name="SAPBEXfilterDrill 14" xfId="58452" xr:uid="{00000000-0005-0000-0000-000052E40000}"/>
    <cellStyle name="SAPBEXfilterDrill 2" xfId="58453" xr:uid="{00000000-0005-0000-0000-000053E40000}"/>
    <cellStyle name="SAPBEXfilterDrill 2 2" xfId="58454" xr:uid="{00000000-0005-0000-0000-000054E40000}"/>
    <cellStyle name="SAPBEXfilterDrill 2 2 2" xfId="58455" xr:uid="{00000000-0005-0000-0000-000055E40000}"/>
    <cellStyle name="SAPBEXfilterDrill 2 3" xfId="58456" xr:uid="{00000000-0005-0000-0000-000056E40000}"/>
    <cellStyle name="SAPBEXfilterDrill 3" xfId="58457" xr:uid="{00000000-0005-0000-0000-000057E40000}"/>
    <cellStyle name="SAPBEXfilterDrill 3 2" xfId="58458" xr:uid="{00000000-0005-0000-0000-000058E40000}"/>
    <cellStyle name="SAPBEXfilterDrill 3 2 2" xfId="58459" xr:uid="{00000000-0005-0000-0000-000059E40000}"/>
    <cellStyle name="SAPBEXfilterDrill 3 3" xfId="58460" xr:uid="{00000000-0005-0000-0000-00005AE40000}"/>
    <cellStyle name="SAPBEXfilterDrill 4" xfId="58461" xr:uid="{00000000-0005-0000-0000-00005BE40000}"/>
    <cellStyle name="SAPBEXfilterDrill 4 2" xfId="58462" xr:uid="{00000000-0005-0000-0000-00005CE40000}"/>
    <cellStyle name="SAPBEXfilterDrill 4 2 2" xfId="58463" xr:uid="{00000000-0005-0000-0000-00005DE40000}"/>
    <cellStyle name="SAPBEXfilterDrill 4 3" xfId="58464" xr:uid="{00000000-0005-0000-0000-00005EE40000}"/>
    <cellStyle name="SAPBEXfilterDrill 5" xfId="58465" xr:uid="{00000000-0005-0000-0000-00005FE40000}"/>
    <cellStyle name="SAPBEXfilterDrill 5 2" xfId="58466" xr:uid="{00000000-0005-0000-0000-000060E40000}"/>
    <cellStyle name="SAPBEXfilterDrill 5 2 2" xfId="58467" xr:uid="{00000000-0005-0000-0000-000061E40000}"/>
    <cellStyle name="SAPBEXfilterDrill 5 3" xfId="58468" xr:uid="{00000000-0005-0000-0000-000062E40000}"/>
    <cellStyle name="SAPBEXfilterDrill 6" xfId="58469" xr:uid="{00000000-0005-0000-0000-000063E40000}"/>
    <cellStyle name="SAPBEXfilterDrill 6 2" xfId="58470" xr:uid="{00000000-0005-0000-0000-000064E40000}"/>
    <cellStyle name="SAPBEXfilterDrill 6 2 2" xfId="58471" xr:uid="{00000000-0005-0000-0000-000065E40000}"/>
    <cellStyle name="SAPBEXfilterDrill 6 3" xfId="58472" xr:uid="{00000000-0005-0000-0000-000066E40000}"/>
    <cellStyle name="SAPBEXfilterDrill 7" xfId="58473" xr:uid="{00000000-0005-0000-0000-000067E40000}"/>
    <cellStyle name="SAPBEXfilterDrill 7 2" xfId="58474" xr:uid="{00000000-0005-0000-0000-000068E40000}"/>
    <cellStyle name="SAPBEXfilterDrill 7 2 2" xfId="58475" xr:uid="{00000000-0005-0000-0000-000069E40000}"/>
    <cellStyle name="SAPBEXfilterDrill 7 3" xfId="58476" xr:uid="{00000000-0005-0000-0000-00006AE40000}"/>
    <cellStyle name="SAPBEXfilterDrill 8" xfId="58477" xr:uid="{00000000-0005-0000-0000-00006BE40000}"/>
    <cellStyle name="SAPBEXfilterDrill 8 2" xfId="58478" xr:uid="{00000000-0005-0000-0000-00006CE40000}"/>
    <cellStyle name="SAPBEXfilterDrill 8 2 2" xfId="58479" xr:uid="{00000000-0005-0000-0000-00006DE40000}"/>
    <cellStyle name="SAPBEXfilterDrill 8 3" xfId="58480" xr:uid="{00000000-0005-0000-0000-00006EE40000}"/>
    <cellStyle name="SAPBEXfilterDrill 9" xfId="58481" xr:uid="{00000000-0005-0000-0000-00006FE40000}"/>
    <cellStyle name="SAPBEXfilterDrill 9 2" xfId="58482" xr:uid="{00000000-0005-0000-0000-000070E40000}"/>
    <cellStyle name="SAPBEXfilterDrill 9 2 2" xfId="58483" xr:uid="{00000000-0005-0000-0000-000071E40000}"/>
    <cellStyle name="SAPBEXfilterDrill 9 3" xfId="58484" xr:uid="{00000000-0005-0000-0000-000072E40000}"/>
    <cellStyle name="SAPBEXfilterItem" xfId="58485" xr:uid="{00000000-0005-0000-0000-000073E40000}"/>
    <cellStyle name="SAPBEXfilterItem 10" xfId="58486" xr:uid="{00000000-0005-0000-0000-000074E40000}"/>
    <cellStyle name="SAPBEXfilterItem 10 2" xfId="58487" xr:uid="{00000000-0005-0000-0000-000075E40000}"/>
    <cellStyle name="SAPBEXfilterItem 10 2 2" xfId="58488" xr:uid="{00000000-0005-0000-0000-000076E40000}"/>
    <cellStyle name="SAPBEXfilterItem 10 3" xfId="58489" xr:uid="{00000000-0005-0000-0000-000077E40000}"/>
    <cellStyle name="SAPBEXfilterItem 11" xfId="58490" xr:uid="{00000000-0005-0000-0000-000078E40000}"/>
    <cellStyle name="SAPBEXfilterItem 11 2" xfId="58491" xr:uid="{00000000-0005-0000-0000-000079E40000}"/>
    <cellStyle name="SAPBEXfilterItem 11 2 2" xfId="58492" xr:uid="{00000000-0005-0000-0000-00007AE40000}"/>
    <cellStyle name="SAPBEXfilterItem 11 3" xfId="58493" xr:uid="{00000000-0005-0000-0000-00007BE40000}"/>
    <cellStyle name="SAPBEXfilterItem 12" xfId="58494" xr:uid="{00000000-0005-0000-0000-00007CE40000}"/>
    <cellStyle name="SAPBEXfilterItem 12 2" xfId="58495" xr:uid="{00000000-0005-0000-0000-00007DE40000}"/>
    <cellStyle name="SAPBEXfilterItem 12 2 2" xfId="58496" xr:uid="{00000000-0005-0000-0000-00007EE40000}"/>
    <cellStyle name="SAPBEXfilterItem 12 3" xfId="58497" xr:uid="{00000000-0005-0000-0000-00007FE40000}"/>
    <cellStyle name="SAPBEXfilterItem 13" xfId="58498" xr:uid="{00000000-0005-0000-0000-000080E40000}"/>
    <cellStyle name="SAPBEXfilterItem 2" xfId="58499" xr:uid="{00000000-0005-0000-0000-000081E40000}"/>
    <cellStyle name="SAPBEXfilterItem 2 2" xfId="58500" xr:uid="{00000000-0005-0000-0000-000082E40000}"/>
    <cellStyle name="SAPBEXfilterItem 2 2 2" xfId="58501" xr:uid="{00000000-0005-0000-0000-000083E40000}"/>
    <cellStyle name="SAPBEXfilterItem 2 2 2 2" xfId="58502" xr:uid="{00000000-0005-0000-0000-000084E40000}"/>
    <cellStyle name="SAPBEXfilterItem 2 2 3" xfId="58503" xr:uid="{00000000-0005-0000-0000-000085E40000}"/>
    <cellStyle name="SAPBEXfilterItem 3" xfId="58504" xr:uid="{00000000-0005-0000-0000-000086E40000}"/>
    <cellStyle name="SAPBEXfilterItem 3 2" xfId="58505" xr:uid="{00000000-0005-0000-0000-000087E40000}"/>
    <cellStyle name="SAPBEXfilterItem 3 2 2" xfId="58506" xr:uid="{00000000-0005-0000-0000-000088E40000}"/>
    <cellStyle name="SAPBEXfilterItem 3 3" xfId="58507" xr:uid="{00000000-0005-0000-0000-000089E40000}"/>
    <cellStyle name="SAPBEXfilterItem 4" xfId="58508" xr:uid="{00000000-0005-0000-0000-00008AE40000}"/>
    <cellStyle name="SAPBEXfilterItem 4 2" xfId="58509" xr:uid="{00000000-0005-0000-0000-00008BE40000}"/>
    <cellStyle name="SAPBEXfilterItem 4 2 2" xfId="58510" xr:uid="{00000000-0005-0000-0000-00008CE40000}"/>
    <cellStyle name="SAPBEXfilterItem 4 3" xfId="58511" xr:uid="{00000000-0005-0000-0000-00008DE40000}"/>
    <cellStyle name="SAPBEXfilterItem 5" xfId="58512" xr:uid="{00000000-0005-0000-0000-00008EE40000}"/>
    <cellStyle name="SAPBEXfilterItem 5 2" xfId="58513" xr:uid="{00000000-0005-0000-0000-00008FE40000}"/>
    <cellStyle name="SAPBEXfilterItem 5 2 2" xfId="58514" xr:uid="{00000000-0005-0000-0000-000090E40000}"/>
    <cellStyle name="SAPBEXfilterItem 5 3" xfId="58515" xr:uid="{00000000-0005-0000-0000-000091E40000}"/>
    <cellStyle name="SAPBEXfilterItem 6" xfId="58516" xr:uid="{00000000-0005-0000-0000-000092E40000}"/>
    <cellStyle name="SAPBEXfilterItem 6 2" xfId="58517" xr:uid="{00000000-0005-0000-0000-000093E40000}"/>
    <cellStyle name="SAPBEXfilterItem 6 2 2" xfId="58518" xr:uid="{00000000-0005-0000-0000-000094E40000}"/>
    <cellStyle name="SAPBEXfilterItem 6 3" xfId="58519" xr:uid="{00000000-0005-0000-0000-000095E40000}"/>
    <cellStyle name="SAPBEXfilterItem 7" xfId="58520" xr:uid="{00000000-0005-0000-0000-000096E40000}"/>
    <cellStyle name="SAPBEXfilterItem 7 2" xfId="58521" xr:uid="{00000000-0005-0000-0000-000097E40000}"/>
    <cellStyle name="SAPBEXfilterItem 7 2 2" xfId="58522" xr:uid="{00000000-0005-0000-0000-000098E40000}"/>
    <cellStyle name="SAPBEXfilterItem 7 3" xfId="58523" xr:uid="{00000000-0005-0000-0000-000099E40000}"/>
    <cellStyle name="SAPBEXfilterItem 8" xfId="58524" xr:uid="{00000000-0005-0000-0000-00009AE40000}"/>
    <cellStyle name="SAPBEXfilterItem 8 2" xfId="58525" xr:uid="{00000000-0005-0000-0000-00009BE40000}"/>
    <cellStyle name="SAPBEXfilterItem 8 2 2" xfId="58526" xr:uid="{00000000-0005-0000-0000-00009CE40000}"/>
    <cellStyle name="SAPBEXfilterItem 8 3" xfId="58527" xr:uid="{00000000-0005-0000-0000-00009DE40000}"/>
    <cellStyle name="SAPBEXfilterItem 9" xfId="58528" xr:uid="{00000000-0005-0000-0000-00009EE40000}"/>
    <cellStyle name="SAPBEXfilterItem 9 2" xfId="58529" xr:uid="{00000000-0005-0000-0000-00009FE40000}"/>
    <cellStyle name="SAPBEXfilterItem 9 2 2" xfId="58530" xr:uid="{00000000-0005-0000-0000-0000A0E40000}"/>
    <cellStyle name="SAPBEXfilterItem 9 3" xfId="58531" xr:uid="{00000000-0005-0000-0000-0000A1E40000}"/>
    <cellStyle name="SAPBEXfilterText" xfId="58532" xr:uid="{00000000-0005-0000-0000-0000A2E40000}"/>
    <cellStyle name="SAPBEXfilterText 10" xfId="58533" xr:uid="{00000000-0005-0000-0000-0000A3E40000}"/>
    <cellStyle name="SAPBEXfilterText 10 2" xfId="58534" xr:uid="{00000000-0005-0000-0000-0000A4E40000}"/>
    <cellStyle name="SAPBEXfilterText 10 2 2" xfId="58535" xr:uid="{00000000-0005-0000-0000-0000A5E40000}"/>
    <cellStyle name="SAPBEXfilterText 10 3" xfId="58536" xr:uid="{00000000-0005-0000-0000-0000A6E40000}"/>
    <cellStyle name="SAPBEXfilterText 11" xfId="58537" xr:uid="{00000000-0005-0000-0000-0000A7E40000}"/>
    <cellStyle name="SAPBEXfilterText 11 2" xfId="58538" xr:uid="{00000000-0005-0000-0000-0000A8E40000}"/>
    <cellStyle name="SAPBEXfilterText 11 2 2" xfId="58539" xr:uid="{00000000-0005-0000-0000-0000A9E40000}"/>
    <cellStyle name="SAPBEXfilterText 11 3" xfId="58540" xr:uid="{00000000-0005-0000-0000-0000AAE40000}"/>
    <cellStyle name="SAPBEXfilterText 12" xfId="58541" xr:uid="{00000000-0005-0000-0000-0000ABE40000}"/>
    <cellStyle name="SAPBEXfilterText 13" xfId="58542" xr:uid="{00000000-0005-0000-0000-0000ACE40000}"/>
    <cellStyle name="SAPBEXfilterText 14" xfId="58543" xr:uid="{00000000-0005-0000-0000-0000ADE40000}"/>
    <cellStyle name="SAPBEXfilterText 2" xfId="58544" xr:uid="{00000000-0005-0000-0000-0000AEE40000}"/>
    <cellStyle name="SAPBEXfilterText 2 2" xfId="58545" xr:uid="{00000000-0005-0000-0000-0000AFE40000}"/>
    <cellStyle name="SAPBEXfilterText 2 2 2" xfId="58546" xr:uid="{00000000-0005-0000-0000-0000B0E40000}"/>
    <cellStyle name="SAPBEXfilterText 2 3" xfId="58547" xr:uid="{00000000-0005-0000-0000-0000B1E40000}"/>
    <cellStyle name="SAPBEXfilterText 3" xfId="58548" xr:uid="{00000000-0005-0000-0000-0000B2E40000}"/>
    <cellStyle name="SAPBEXfilterText 3 2" xfId="58549" xr:uid="{00000000-0005-0000-0000-0000B3E40000}"/>
    <cellStyle name="SAPBEXfilterText 3 2 2" xfId="58550" xr:uid="{00000000-0005-0000-0000-0000B4E40000}"/>
    <cellStyle name="SAPBEXfilterText 3 3" xfId="58551" xr:uid="{00000000-0005-0000-0000-0000B5E40000}"/>
    <cellStyle name="SAPBEXfilterText 4" xfId="58552" xr:uid="{00000000-0005-0000-0000-0000B6E40000}"/>
    <cellStyle name="SAPBEXfilterText 4 2" xfId="58553" xr:uid="{00000000-0005-0000-0000-0000B7E40000}"/>
    <cellStyle name="SAPBEXfilterText 4 2 2" xfId="58554" xr:uid="{00000000-0005-0000-0000-0000B8E40000}"/>
    <cellStyle name="SAPBEXfilterText 4 3" xfId="58555" xr:uid="{00000000-0005-0000-0000-0000B9E40000}"/>
    <cellStyle name="SAPBEXfilterText 5" xfId="58556" xr:uid="{00000000-0005-0000-0000-0000BAE40000}"/>
    <cellStyle name="SAPBEXfilterText 5 2" xfId="58557" xr:uid="{00000000-0005-0000-0000-0000BBE40000}"/>
    <cellStyle name="SAPBEXfilterText 5 2 2" xfId="58558" xr:uid="{00000000-0005-0000-0000-0000BCE40000}"/>
    <cellStyle name="SAPBEXfilterText 5 3" xfId="58559" xr:uid="{00000000-0005-0000-0000-0000BDE40000}"/>
    <cellStyle name="SAPBEXfilterText 6" xfId="58560" xr:uid="{00000000-0005-0000-0000-0000BEE40000}"/>
    <cellStyle name="SAPBEXfilterText 6 2" xfId="58561" xr:uid="{00000000-0005-0000-0000-0000BFE40000}"/>
    <cellStyle name="SAPBEXfilterText 6 2 2" xfId="58562" xr:uid="{00000000-0005-0000-0000-0000C0E40000}"/>
    <cellStyle name="SAPBEXfilterText 6 3" xfId="58563" xr:uid="{00000000-0005-0000-0000-0000C1E40000}"/>
    <cellStyle name="SAPBEXfilterText 7" xfId="58564" xr:uid="{00000000-0005-0000-0000-0000C2E40000}"/>
    <cellStyle name="SAPBEXfilterText 7 2" xfId="58565" xr:uid="{00000000-0005-0000-0000-0000C3E40000}"/>
    <cellStyle name="SAPBEXfilterText 7 2 2" xfId="58566" xr:uid="{00000000-0005-0000-0000-0000C4E40000}"/>
    <cellStyle name="SAPBEXfilterText 7 3" xfId="58567" xr:uid="{00000000-0005-0000-0000-0000C5E40000}"/>
    <cellStyle name="SAPBEXfilterText 8" xfId="58568" xr:uid="{00000000-0005-0000-0000-0000C6E40000}"/>
    <cellStyle name="SAPBEXfilterText 8 2" xfId="58569" xr:uid="{00000000-0005-0000-0000-0000C7E40000}"/>
    <cellStyle name="SAPBEXfilterText 8 2 2" xfId="58570" xr:uid="{00000000-0005-0000-0000-0000C8E40000}"/>
    <cellStyle name="SAPBEXfilterText 8 3" xfId="58571" xr:uid="{00000000-0005-0000-0000-0000C9E40000}"/>
    <cellStyle name="SAPBEXfilterText 9" xfId="58572" xr:uid="{00000000-0005-0000-0000-0000CAE40000}"/>
    <cellStyle name="SAPBEXfilterText 9 2" xfId="58573" xr:uid="{00000000-0005-0000-0000-0000CBE40000}"/>
    <cellStyle name="SAPBEXfilterText 9 2 2" xfId="58574" xr:uid="{00000000-0005-0000-0000-0000CCE40000}"/>
    <cellStyle name="SAPBEXfilterText 9 3" xfId="58575" xr:uid="{00000000-0005-0000-0000-0000CDE40000}"/>
    <cellStyle name="SAPBEXformats" xfId="58576" xr:uid="{00000000-0005-0000-0000-0000CEE40000}"/>
    <cellStyle name="SAPBEXformats 10" xfId="58577" xr:uid="{00000000-0005-0000-0000-0000CFE40000}"/>
    <cellStyle name="SAPBEXformats 10 2" xfId="58578" xr:uid="{00000000-0005-0000-0000-0000D0E40000}"/>
    <cellStyle name="SAPBEXformats 10 2 2" xfId="58579" xr:uid="{00000000-0005-0000-0000-0000D1E40000}"/>
    <cellStyle name="SAPBEXformats 10 3" xfId="58580" xr:uid="{00000000-0005-0000-0000-0000D2E40000}"/>
    <cellStyle name="SAPBEXformats 11" xfId="58581" xr:uid="{00000000-0005-0000-0000-0000D3E40000}"/>
    <cellStyle name="SAPBEXformats 11 2" xfId="58582" xr:uid="{00000000-0005-0000-0000-0000D4E40000}"/>
    <cellStyle name="SAPBEXformats 11 2 2" xfId="58583" xr:uid="{00000000-0005-0000-0000-0000D5E40000}"/>
    <cellStyle name="SAPBEXformats 11 3" xfId="58584" xr:uid="{00000000-0005-0000-0000-0000D6E40000}"/>
    <cellStyle name="SAPBEXformats 12" xfId="58585" xr:uid="{00000000-0005-0000-0000-0000D7E40000}"/>
    <cellStyle name="SAPBEXformats 12 2" xfId="58586" xr:uid="{00000000-0005-0000-0000-0000D8E40000}"/>
    <cellStyle name="SAPBEXformats 12 2 2" xfId="58587" xr:uid="{00000000-0005-0000-0000-0000D9E40000}"/>
    <cellStyle name="SAPBEXformats 12 2 2 2" xfId="58588" xr:uid="{00000000-0005-0000-0000-0000DAE40000}"/>
    <cellStyle name="SAPBEXformats 12 2 3" xfId="58589" xr:uid="{00000000-0005-0000-0000-0000DBE40000}"/>
    <cellStyle name="SAPBEXformats 12 2 3 2" xfId="58590" xr:uid="{00000000-0005-0000-0000-0000DCE40000}"/>
    <cellStyle name="SAPBEXformats 12 2 3 3" xfId="58591" xr:uid="{00000000-0005-0000-0000-0000DDE40000}"/>
    <cellStyle name="SAPBEXformats 12 2 4" xfId="58592" xr:uid="{00000000-0005-0000-0000-0000DEE40000}"/>
    <cellStyle name="SAPBEXformats 12 2 5" xfId="58593" xr:uid="{00000000-0005-0000-0000-0000DFE40000}"/>
    <cellStyle name="SAPBEXformats 12 3" xfId="58594" xr:uid="{00000000-0005-0000-0000-0000E0E40000}"/>
    <cellStyle name="SAPBEXformats 12 3 2" xfId="58595" xr:uid="{00000000-0005-0000-0000-0000E1E40000}"/>
    <cellStyle name="SAPBEXformats 12 4" xfId="58596" xr:uid="{00000000-0005-0000-0000-0000E2E40000}"/>
    <cellStyle name="SAPBEXformats 12 4 2" xfId="58597" xr:uid="{00000000-0005-0000-0000-0000E3E40000}"/>
    <cellStyle name="SAPBEXformats 12 4 3" xfId="58598" xr:uid="{00000000-0005-0000-0000-0000E4E40000}"/>
    <cellStyle name="SAPBEXformats 12 5" xfId="58599" xr:uid="{00000000-0005-0000-0000-0000E5E40000}"/>
    <cellStyle name="SAPBEXformats 12 6" xfId="58600" xr:uid="{00000000-0005-0000-0000-0000E6E40000}"/>
    <cellStyle name="SAPBEXformats 13" xfId="58601" xr:uid="{00000000-0005-0000-0000-0000E7E40000}"/>
    <cellStyle name="SAPBEXformats 13 2" xfId="58602" xr:uid="{00000000-0005-0000-0000-0000E8E40000}"/>
    <cellStyle name="SAPBEXformats 14" xfId="58603" xr:uid="{00000000-0005-0000-0000-0000E9E40000}"/>
    <cellStyle name="SAPBEXformats 2" xfId="58604" xr:uid="{00000000-0005-0000-0000-0000EAE40000}"/>
    <cellStyle name="SAPBEXformats 2 2" xfId="58605" xr:uid="{00000000-0005-0000-0000-0000EBE40000}"/>
    <cellStyle name="SAPBEXformats 2 2 2" xfId="58606" xr:uid="{00000000-0005-0000-0000-0000ECE40000}"/>
    <cellStyle name="SAPBEXformats 2 2 2 2" xfId="58607" xr:uid="{00000000-0005-0000-0000-0000EDE40000}"/>
    <cellStyle name="SAPBEXformats 2 2 3" xfId="58608" xr:uid="{00000000-0005-0000-0000-0000EEE40000}"/>
    <cellStyle name="SAPBEXformats 2 3" xfId="58609" xr:uid="{00000000-0005-0000-0000-0000EFE40000}"/>
    <cellStyle name="SAPBEXformats 2 3 2" xfId="58610" xr:uid="{00000000-0005-0000-0000-0000F0E40000}"/>
    <cellStyle name="SAPBEXformats 2 4" xfId="58611" xr:uid="{00000000-0005-0000-0000-0000F1E40000}"/>
    <cellStyle name="SAPBEXformats 3" xfId="58612" xr:uid="{00000000-0005-0000-0000-0000F2E40000}"/>
    <cellStyle name="SAPBEXformats 3 2" xfId="58613" xr:uid="{00000000-0005-0000-0000-0000F3E40000}"/>
    <cellStyle name="SAPBEXformats 3 2 2" xfId="58614" xr:uid="{00000000-0005-0000-0000-0000F4E40000}"/>
    <cellStyle name="SAPBEXformats 3 3" xfId="58615" xr:uid="{00000000-0005-0000-0000-0000F5E40000}"/>
    <cellStyle name="SAPBEXformats 4" xfId="58616" xr:uid="{00000000-0005-0000-0000-0000F6E40000}"/>
    <cellStyle name="SAPBEXformats 4 2" xfId="58617" xr:uid="{00000000-0005-0000-0000-0000F7E40000}"/>
    <cellStyle name="SAPBEXformats 4 2 2" xfId="58618" xr:uid="{00000000-0005-0000-0000-0000F8E40000}"/>
    <cellStyle name="SAPBEXformats 4 3" xfId="58619" xr:uid="{00000000-0005-0000-0000-0000F9E40000}"/>
    <cellStyle name="SAPBEXformats 5" xfId="58620" xr:uid="{00000000-0005-0000-0000-0000FAE40000}"/>
    <cellStyle name="SAPBEXformats 5 2" xfId="58621" xr:uid="{00000000-0005-0000-0000-0000FBE40000}"/>
    <cellStyle name="SAPBEXformats 5 2 2" xfId="58622" xr:uid="{00000000-0005-0000-0000-0000FCE40000}"/>
    <cellStyle name="SAPBEXformats 5 3" xfId="58623" xr:uid="{00000000-0005-0000-0000-0000FDE40000}"/>
    <cellStyle name="SAPBEXformats 6" xfId="58624" xr:uid="{00000000-0005-0000-0000-0000FEE40000}"/>
    <cellStyle name="SAPBEXformats 6 2" xfId="58625" xr:uid="{00000000-0005-0000-0000-0000FFE40000}"/>
    <cellStyle name="SAPBEXformats 6 2 2" xfId="58626" xr:uid="{00000000-0005-0000-0000-000000E50000}"/>
    <cellStyle name="SAPBEXformats 6 3" xfId="58627" xr:uid="{00000000-0005-0000-0000-000001E50000}"/>
    <cellStyle name="SAPBEXformats 7" xfId="58628" xr:uid="{00000000-0005-0000-0000-000002E50000}"/>
    <cellStyle name="SAPBEXformats 7 2" xfId="58629" xr:uid="{00000000-0005-0000-0000-000003E50000}"/>
    <cellStyle name="SAPBEXformats 7 2 2" xfId="58630" xr:uid="{00000000-0005-0000-0000-000004E50000}"/>
    <cellStyle name="SAPBEXformats 7 3" xfId="58631" xr:uid="{00000000-0005-0000-0000-000005E50000}"/>
    <cellStyle name="SAPBEXformats 8" xfId="58632" xr:uid="{00000000-0005-0000-0000-000006E50000}"/>
    <cellStyle name="SAPBEXformats 8 2" xfId="58633" xr:uid="{00000000-0005-0000-0000-000007E50000}"/>
    <cellStyle name="SAPBEXformats 8 2 2" xfId="58634" xr:uid="{00000000-0005-0000-0000-000008E50000}"/>
    <cellStyle name="SAPBEXformats 8 3" xfId="58635" xr:uid="{00000000-0005-0000-0000-000009E50000}"/>
    <cellStyle name="SAPBEXformats 9" xfId="58636" xr:uid="{00000000-0005-0000-0000-00000AE50000}"/>
    <cellStyle name="SAPBEXformats 9 2" xfId="58637" xr:uid="{00000000-0005-0000-0000-00000BE50000}"/>
    <cellStyle name="SAPBEXformats 9 2 2" xfId="58638" xr:uid="{00000000-0005-0000-0000-00000CE50000}"/>
    <cellStyle name="SAPBEXformats 9 3" xfId="58639" xr:uid="{00000000-0005-0000-0000-00000DE50000}"/>
    <cellStyle name="SAPBEXheaderItem" xfId="58640" xr:uid="{00000000-0005-0000-0000-00000EE50000}"/>
    <cellStyle name="SAPBEXheaderItem 10" xfId="58641" xr:uid="{00000000-0005-0000-0000-00000FE50000}"/>
    <cellStyle name="SAPBEXheaderItem 10 2" xfId="58642" xr:uid="{00000000-0005-0000-0000-000010E50000}"/>
    <cellStyle name="SAPBEXheaderItem 10 2 2" xfId="58643" xr:uid="{00000000-0005-0000-0000-000011E50000}"/>
    <cellStyle name="SAPBEXheaderItem 10 3" xfId="58644" xr:uid="{00000000-0005-0000-0000-000012E50000}"/>
    <cellStyle name="SAPBEXheaderItem 11" xfId="58645" xr:uid="{00000000-0005-0000-0000-000013E50000}"/>
    <cellStyle name="SAPBEXheaderItem 11 2" xfId="58646" xr:uid="{00000000-0005-0000-0000-000014E50000}"/>
    <cellStyle name="SAPBEXheaderItem 11 2 2" xfId="58647" xr:uid="{00000000-0005-0000-0000-000015E50000}"/>
    <cellStyle name="SAPBEXheaderItem 11 3" xfId="58648" xr:uid="{00000000-0005-0000-0000-000016E50000}"/>
    <cellStyle name="SAPBEXheaderItem 12" xfId="58649" xr:uid="{00000000-0005-0000-0000-000017E50000}"/>
    <cellStyle name="SAPBEXheaderItem 12 2" xfId="58650" xr:uid="{00000000-0005-0000-0000-000018E50000}"/>
    <cellStyle name="SAPBEXheaderItem 12 2 2" xfId="58651" xr:uid="{00000000-0005-0000-0000-000019E50000}"/>
    <cellStyle name="SAPBEXheaderItem 12 3" xfId="58652" xr:uid="{00000000-0005-0000-0000-00001AE50000}"/>
    <cellStyle name="SAPBEXheaderItem 13" xfId="58653" xr:uid="{00000000-0005-0000-0000-00001BE50000}"/>
    <cellStyle name="SAPBEXheaderItem 14" xfId="58654" xr:uid="{00000000-0005-0000-0000-00001CE50000}"/>
    <cellStyle name="SAPBEXheaderItem 2" xfId="58655" xr:uid="{00000000-0005-0000-0000-00001DE50000}"/>
    <cellStyle name="SAPBEXheaderItem 2 2" xfId="58656" xr:uid="{00000000-0005-0000-0000-00001EE50000}"/>
    <cellStyle name="SAPBEXheaderItem 2 2 2" xfId="58657" xr:uid="{00000000-0005-0000-0000-00001FE50000}"/>
    <cellStyle name="SAPBEXheaderItem 2 3" xfId="58658" xr:uid="{00000000-0005-0000-0000-000020E50000}"/>
    <cellStyle name="SAPBEXheaderItem 3" xfId="58659" xr:uid="{00000000-0005-0000-0000-000021E50000}"/>
    <cellStyle name="SAPBEXheaderItem 3 2" xfId="58660" xr:uid="{00000000-0005-0000-0000-000022E50000}"/>
    <cellStyle name="SAPBEXheaderItem 3 2 2" xfId="58661" xr:uid="{00000000-0005-0000-0000-000023E50000}"/>
    <cellStyle name="SAPBEXheaderItem 3 3" xfId="58662" xr:uid="{00000000-0005-0000-0000-000024E50000}"/>
    <cellStyle name="SAPBEXheaderItem 4" xfId="58663" xr:uid="{00000000-0005-0000-0000-000025E50000}"/>
    <cellStyle name="SAPBEXheaderItem 4 2" xfId="58664" xr:uid="{00000000-0005-0000-0000-000026E50000}"/>
    <cellStyle name="SAPBEXheaderItem 4 2 2" xfId="58665" xr:uid="{00000000-0005-0000-0000-000027E50000}"/>
    <cellStyle name="SAPBEXheaderItem 4 3" xfId="58666" xr:uid="{00000000-0005-0000-0000-000028E50000}"/>
    <cellStyle name="SAPBEXheaderItem 5" xfId="58667" xr:uid="{00000000-0005-0000-0000-000029E50000}"/>
    <cellStyle name="SAPBEXheaderItem 5 2" xfId="58668" xr:uid="{00000000-0005-0000-0000-00002AE50000}"/>
    <cellStyle name="SAPBEXheaderItem 5 2 2" xfId="58669" xr:uid="{00000000-0005-0000-0000-00002BE50000}"/>
    <cellStyle name="SAPBEXheaderItem 5 3" xfId="58670" xr:uid="{00000000-0005-0000-0000-00002CE50000}"/>
    <cellStyle name="SAPBEXheaderItem 6" xfId="58671" xr:uid="{00000000-0005-0000-0000-00002DE50000}"/>
    <cellStyle name="SAPBEXheaderItem 6 2" xfId="58672" xr:uid="{00000000-0005-0000-0000-00002EE50000}"/>
    <cellStyle name="SAPBEXheaderItem 6 2 2" xfId="58673" xr:uid="{00000000-0005-0000-0000-00002FE50000}"/>
    <cellStyle name="SAPBEXheaderItem 6 3" xfId="58674" xr:uid="{00000000-0005-0000-0000-000030E50000}"/>
    <cellStyle name="SAPBEXheaderItem 7" xfId="58675" xr:uid="{00000000-0005-0000-0000-000031E50000}"/>
    <cellStyle name="SAPBEXheaderItem 7 2" xfId="58676" xr:uid="{00000000-0005-0000-0000-000032E50000}"/>
    <cellStyle name="SAPBEXheaderItem 7 2 2" xfId="58677" xr:uid="{00000000-0005-0000-0000-000033E50000}"/>
    <cellStyle name="SAPBEXheaderItem 7 3" xfId="58678" xr:uid="{00000000-0005-0000-0000-000034E50000}"/>
    <cellStyle name="SAPBEXheaderItem 8" xfId="58679" xr:uid="{00000000-0005-0000-0000-000035E50000}"/>
    <cellStyle name="SAPBEXheaderItem 8 2" xfId="58680" xr:uid="{00000000-0005-0000-0000-000036E50000}"/>
    <cellStyle name="SAPBEXheaderItem 8 2 2" xfId="58681" xr:uid="{00000000-0005-0000-0000-000037E50000}"/>
    <cellStyle name="SAPBEXheaderItem 8 3" xfId="58682" xr:uid="{00000000-0005-0000-0000-000038E50000}"/>
    <cellStyle name="SAPBEXheaderItem 9" xfId="58683" xr:uid="{00000000-0005-0000-0000-000039E50000}"/>
    <cellStyle name="SAPBEXheaderItem 9 2" xfId="58684" xr:uid="{00000000-0005-0000-0000-00003AE50000}"/>
    <cellStyle name="SAPBEXheaderItem 9 2 2" xfId="58685" xr:uid="{00000000-0005-0000-0000-00003BE50000}"/>
    <cellStyle name="SAPBEXheaderItem 9 3" xfId="58686" xr:uid="{00000000-0005-0000-0000-00003CE50000}"/>
    <cellStyle name="SAPBEXheaderText" xfId="58687" xr:uid="{00000000-0005-0000-0000-00003DE50000}"/>
    <cellStyle name="SAPBEXheaderText 10" xfId="58688" xr:uid="{00000000-0005-0000-0000-00003EE50000}"/>
    <cellStyle name="SAPBEXheaderText 10 2" xfId="58689" xr:uid="{00000000-0005-0000-0000-00003FE50000}"/>
    <cellStyle name="SAPBEXheaderText 10 2 2" xfId="58690" xr:uid="{00000000-0005-0000-0000-000040E50000}"/>
    <cellStyle name="SAPBEXheaderText 10 3" xfId="58691" xr:uid="{00000000-0005-0000-0000-000041E50000}"/>
    <cellStyle name="SAPBEXheaderText 11" xfId="58692" xr:uid="{00000000-0005-0000-0000-000042E50000}"/>
    <cellStyle name="SAPBEXheaderText 11 2" xfId="58693" xr:uid="{00000000-0005-0000-0000-000043E50000}"/>
    <cellStyle name="SAPBEXheaderText 11 2 2" xfId="58694" xr:uid="{00000000-0005-0000-0000-000044E50000}"/>
    <cellStyle name="SAPBEXheaderText 11 3" xfId="58695" xr:uid="{00000000-0005-0000-0000-000045E50000}"/>
    <cellStyle name="SAPBEXheaderText 12" xfId="58696" xr:uid="{00000000-0005-0000-0000-000046E50000}"/>
    <cellStyle name="SAPBEXheaderText 12 2" xfId="58697" xr:uid="{00000000-0005-0000-0000-000047E50000}"/>
    <cellStyle name="SAPBEXheaderText 12 2 2" xfId="58698" xr:uid="{00000000-0005-0000-0000-000048E50000}"/>
    <cellStyle name="SAPBEXheaderText 12 3" xfId="58699" xr:uid="{00000000-0005-0000-0000-000049E50000}"/>
    <cellStyle name="SAPBEXheaderText 13" xfId="58700" xr:uid="{00000000-0005-0000-0000-00004AE50000}"/>
    <cellStyle name="SAPBEXheaderText 14" xfId="58701" xr:uid="{00000000-0005-0000-0000-00004BE50000}"/>
    <cellStyle name="SAPBEXheaderText 2" xfId="58702" xr:uid="{00000000-0005-0000-0000-00004CE50000}"/>
    <cellStyle name="SAPBEXheaderText 2 2" xfId="58703" xr:uid="{00000000-0005-0000-0000-00004DE50000}"/>
    <cellStyle name="SAPBEXheaderText 2 2 2" xfId="58704" xr:uid="{00000000-0005-0000-0000-00004EE50000}"/>
    <cellStyle name="SAPBEXheaderText 2 3" xfId="58705" xr:uid="{00000000-0005-0000-0000-00004FE50000}"/>
    <cellStyle name="SAPBEXheaderText 3" xfId="58706" xr:uid="{00000000-0005-0000-0000-000050E50000}"/>
    <cellStyle name="SAPBEXheaderText 3 2" xfId="58707" xr:uid="{00000000-0005-0000-0000-000051E50000}"/>
    <cellStyle name="SAPBEXheaderText 3 2 2" xfId="58708" xr:uid="{00000000-0005-0000-0000-000052E50000}"/>
    <cellStyle name="SAPBEXheaderText 3 3" xfId="58709" xr:uid="{00000000-0005-0000-0000-000053E50000}"/>
    <cellStyle name="SAPBEXheaderText 4" xfId="58710" xr:uid="{00000000-0005-0000-0000-000054E50000}"/>
    <cellStyle name="SAPBEXheaderText 4 2" xfId="58711" xr:uid="{00000000-0005-0000-0000-000055E50000}"/>
    <cellStyle name="SAPBEXheaderText 4 2 2" xfId="58712" xr:uid="{00000000-0005-0000-0000-000056E50000}"/>
    <cellStyle name="SAPBEXheaderText 4 3" xfId="58713" xr:uid="{00000000-0005-0000-0000-000057E50000}"/>
    <cellStyle name="SAPBEXheaderText 5" xfId="58714" xr:uid="{00000000-0005-0000-0000-000058E50000}"/>
    <cellStyle name="SAPBEXheaderText 5 2" xfId="58715" xr:uid="{00000000-0005-0000-0000-000059E50000}"/>
    <cellStyle name="SAPBEXheaderText 5 2 2" xfId="58716" xr:uid="{00000000-0005-0000-0000-00005AE50000}"/>
    <cellStyle name="SAPBEXheaderText 5 3" xfId="58717" xr:uid="{00000000-0005-0000-0000-00005BE50000}"/>
    <cellStyle name="SAPBEXheaderText 6" xfId="58718" xr:uid="{00000000-0005-0000-0000-00005CE50000}"/>
    <cellStyle name="SAPBEXheaderText 6 2" xfId="58719" xr:uid="{00000000-0005-0000-0000-00005DE50000}"/>
    <cellStyle name="SAPBEXheaderText 6 2 2" xfId="58720" xr:uid="{00000000-0005-0000-0000-00005EE50000}"/>
    <cellStyle name="SAPBEXheaderText 6 3" xfId="58721" xr:uid="{00000000-0005-0000-0000-00005FE50000}"/>
    <cellStyle name="SAPBEXheaderText 7" xfId="58722" xr:uid="{00000000-0005-0000-0000-000060E50000}"/>
    <cellStyle name="SAPBEXheaderText 7 2" xfId="58723" xr:uid="{00000000-0005-0000-0000-000061E50000}"/>
    <cellStyle name="SAPBEXheaderText 7 2 2" xfId="58724" xr:uid="{00000000-0005-0000-0000-000062E50000}"/>
    <cellStyle name="SAPBEXheaderText 7 3" xfId="58725" xr:uid="{00000000-0005-0000-0000-000063E50000}"/>
    <cellStyle name="SAPBEXheaderText 8" xfId="58726" xr:uid="{00000000-0005-0000-0000-000064E50000}"/>
    <cellStyle name="SAPBEXheaderText 8 2" xfId="58727" xr:uid="{00000000-0005-0000-0000-000065E50000}"/>
    <cellStyle name="SAPBEXheaderText 8 2 2" xfId="58728" xr:uid="{00000000-0005-0000-0000-000066E50000}"/>
    <cellStyle name="SAPBEXheaderText 8 3" xfId="58729" xr:uid="{00000000-0005-0000-0000-000067E50000}"/>
    <cellStyle name="SAPBEXheaderText 9" xfId="58730" xr:uid="{00000000-0005-0000-0000-000068E50000}"/>
    <cellStyle name="SAPBEXheaderText 9 2" xfId="58731" xr:uid="{00000000-0005-0000-0000-000069E50000}"/>
    <cellStyle name="SAPBEXheaderText 9 2 2" xfId="58732" xr:uid="{00000000-0005-0000-0000-00006AE50000}"/>
    <cellStyle name="SAPBEXheaderText 9 3" xfId="58733" xr:uid="{00000000-0005-0000-0000-00006BE50000}"/>
    <cellStyle name="SAPBEXHLevel0" xfId="58734" xr:uid="{00000000-0005-0000-0000-00006CE50000}"/>
    <cellStyle name="SAPBEXHLevel0 10" xfId="58735" xr:uid="{00000000-0005-0000-0000-00006DE50000}"/>
    <cellStyle name="SAPBEXHLevel0 10 2" xfId="58736" xr:uid="{00000000-0005-0000-0000-00006EE50000}"/>
    <cellStyle name="SAPBEXHLevel0 10 2 2" xfId="58737" xr:uid="{00000000-0005-0000-0000-00006FE50000}"/>
    <cellStyle name="SAPBEXHLevel0 10 2 2 2" xfId="58738" xr:uid="{00000000-0005-0000-0000-000070E50000}"/>
    <cellStyle name="SAPBEXHLevel0 10 2 3" xfId="58739" xr:uid="{00000000-0005-0000-0000-000071E50000}"/>
    <cellStyle name="SAPBEXHLevel0 10 2 3 2" xfId="58740" xr:uid="{00000000-0005-0000-0000-000072E50000}"/>
    <cellStyle name="SAPBEXHLevel0 10 2 3 3" xfId="58741" xr:uid="{00000000-0005-0000-0000-000073E50000}"/>
    <cellStyle name="SAPBEXHLevel0 10 2 4" xfId="58742" xr:uid="{00000000-0005-0000-0000-000074E50000}"/>
    <cellStyle name="SAPBEXHLevel0 10 2 5" xfId="58743" xr:uid="{00000000-0005-0000-0000-000075E50000}"/>
    <cellStyle name="SAPBEXHLevel0 10 3" xfId="58744" xr:uid="{00000000-0005-0000-0000-000076E50000}"/>
    <cellStyle name="SAPBEXHLevel0 10 3 2" xfId="58745" xr:uid="{00000000-0005-0000-0000-000077E50000}"/>
    <cellStyle name="SAPBEXHLevel0 10 3 3" xfId="58746" xr:uid="{00000000-0005-0000-0000-000078E50000}"/>
    <cellStyle name="SAPBEXHLevel0 10 4" xfId="58747" xr:uid="{00000000-0005-0000-0000-000079E50000}"/>
    <cellStyle name="SAPBEXHLevel0 10 5" xfId="58748" xr:uid="{00000000-0005-0000-0000-00007AE50000}"/>
    <cellStyle name="SAPBEXHLevel0 11" xfId="58749" xr:uid="{00000000-0005-0000-0000-00007BE50000}"/>
    <cellStyle name="SAPBEXHLevel0 11 2" xfId="58750" xr:uid="{00000000-0005-0000-0000-00007CE50000}"/>
    <cellStyle name="SAPBEXHLevel0 11 2 2" xfId="58751" xr:uid="{00000000-0005-0000-0000-00007DE50000}"/>
    <cellStyle name="SAPBEXHLevel0 11 2 2 2" xfId="58752" xr:uid="{00000000-0005-0000-0000-00007EE50000}"/>
    <cellStyle name="SAPBEXHLevel0 11 2 3" xfId="58753" xr:uid="{00000000-0005-0000-0000-00007FE50000}"/>
    <cellStyle name="SAPBEXHLevel0 11 2 3 2" xfId="58754" xr:uid="{00000000-0005-0000-0000-000080E50000}"/>
    <cellStyle name="SAPBEXHLevel0 11 2 3 3" xfId="58755" xr:uid="{00000000-0005-0000-0000-000081E50000}"/>
    <cellStyle name="SAPBEXHLevel0 11 2 4" xfId="58756" xr:uid="{00000000-0005-0000-0000-000082E50000}"/>
    <cellStyle name="SAPBEXHLevel0 11 2 5" xfId="58757" xr:uid="{00000000-0005-0000-0000-000083E50000}"/>
    <cellStyle name="SAPBEXHLevel0 11 3" xfId="58758" xr:uid="{00000000-0005-0000-0000-000084E50000}"/>
    <cellStyle name="SAPBEXHLevel0 11 3 2" xfId="58759" xr:uid="{00000000-0005-0000-0000-000085E50000}"/>
    <cellStyle name="SAPBEXHLevel0 11 3 3" xfId="58760" xr:uid="{00000000-0005-0000-0000-000086E50000}"/>
    <cellStyle name="SAPBEXHLevel0 11 4" xfId="58761" xr:uid="{00000000-0005-0000-0000-000087E50000}"/>
    <cellStyle name="SAPBEXHLevel0 11 5" xfId="58762" xr:uid="{00000000-0005-0000-0000-000088E50000}"/>
    <cellStyle name="SAPBEXHLevel0 12" xfId="58763" xr:uid="{00000000-0005-0000-0000-000089E50000}"/>
    <cellStyle name="SAPBEXHLevel0 12 2" xfId="58764" xr:uid="{00000000-0005-0000-0000-00008AE50000}"/>
    <cellStyle name="SAPBEXHLevel0 12 2 2" xfId="58765" xr:uid="{00000000-0005-0000-0000-00008BE50000}"/>
    <cellStyle name="SAPBEXHLevel0 12 2 2 2" xfId="58766" xr:uid="{00000000-0005-0000-0000-00008CE50000}"/>
    <cellStyle name="SAPBEXHLevel0 12 2 3" xfId="58767" xr:uid="{00000000-0005-0000-0000-00008DE50000}"/>
    <cellStyle name="SAPBEXHLevel0 12 2 3 2" xfId="58768" xr:uid="{00000000-0005-0000-0000-00008EE50000}"/>
    <cellStyle name="SAPBEXHLevel0 12 2 3 3" xfId="58769" xr:uid="{00000000-0005-0000-0000-00008FE50000}"/>
    <cellStyle name="SAPBEXHLevel0 12 2 4" xfId="58770" xr:uid="{00000000-0005-0000-0000-000090E50000}"/>
    <cellStyle name="SAPBEXHLevel0 12 2 5" xfId="58771" xr:uid="{00000000-0005-0000-0000-000091E50000}"/>
    <cellStyle name="SAPBEXHLevel0 12 3" xfId="58772" xr:uid="{00000000-0005-0000-0000-000092E50000}"/>
    <cellStyle name="SAPBEXHLevel0 12 3 2" xfId="58773" xr:uid="{00000000-0005-0000-0000-000093E50000}"/>
    <cellStyle name="SAPBEXHLevel0 12 4" xfId="58774" xr:uid="{00000000-0005-0000-0000-000094E50000}"/>
    <cellStyle name="SAPBEXHLevel0 12 4 2" xfId="58775" xr:uid="{00000000-0005-0000-0000-000095E50000}"/>
    <cellStyle name="SAPBEXHLevel0 12 4 3" xfId="58776" xr:uid="{00000000-0005-0000-0000-000096E50000}"/>
    <cellStyle name="SAPBEXHLevel0 12 5" xfId="58777" xr:uid="{00000000-0005-0000-0000-000097E50000}"/>
    <cellStyle name="SAPBEXHLevel0 12 6" xfId="58778" xr:uid="{00000000-0005-0000-0000-000098E50000}"/>
    <cellStyle name="SAPBEXHLevel0 13" xfId="58779" xr:uid="{00000000-0005-0000-0000-000099E50000}"/>
    <cellStyle name="SAPBEXHLevel0 13 2" xfId="58780" xr:uid="{00000000-0005-0000-0000-00009AE50000}"/>
    <cellStyle name="SAPBEXHLevel0 13 2 2" xfId="58781" xr:uid="{00000000-0005-0000-0000-00009BE50000}"/>
    <cellStyle name="SAPBEXHLevel0 13 3" xfId="58782" xr:uid="{00000000-0005-0000-0000-00009CE50000}"/>
    <cellStyle name="SAPBEXHLevel0 13 3 2" xfId="58783" xr:uid="{00000000-0005-0000-0000-00009DE50000}"/>
    <cellStyle name="SAPBEXHLevel0 13 3 3" xfId="58784" xr:uid="{00000000-0005-0000-0000-00009EE50000}"/>
    <cellStyle name="SAPBEXHLevel0 13 4" xfId="58785" xr:uid="{00000000-0005-0000-0000-00009FE50000}"/>
    <cellStyle name="SAPBEXHLevel0 13 5" xfId="58786" xr:uid="{00000000-0005-0000-0000-0000A0E50000}"/>
    <cellStyle name="SAPBEXHLevel0 14" xfId="58787" xr:uid="{00000000-0005-0000-0000-0000A1E50000}"/>
    <cellStyle name="SAPBEXHLevel0 14 2" xfId="58788" xr:uid="{00000000-0005-0000-0000-0000A2E50000}"/>
    <cellStyle name="SAPBEXHLevel0 14 3" xfId="58789" xr:uid="{00000000-0005-0000-0000-0000A3E50000}"/>
    <cellStyle name="SAPBEXHLevel0 15" xfId="58790" xr:uid="{00000000-0005-0000-0000-0000A4E50000}"/>
    <cellStyle name="SAPBEXHLevel0 16" xfId="58791" xr:uid="{00000000-0005-0000-0000-0000A5E50000}"/>
    <cellStyle name="SAPBEXHLevel0 2" xfId="58792" xr:uid="{00000000-0005-0000-0000-0000A6E50000}"/>
    <cellStyle name="SAPBEXHLevel0 2 2" xfId="58793" xr:uid="{00000000-0005-0000-0000-0000A7E50000}"/>
    <cellStyle name="SAPBEXHLevel0 2 2 2" xfId="58794" xr:uid="{00000000-0005-0000-0000-0000A8E50000}"/>
    <cellStyle name="SAPBEXHLevel0 2 2 2 2" xfId="58795" xr:uid="{00000000-0005-0000-0000-0000A9E50000}"/>
    <cellStyle name="SAPBEXHLevel0 2 2 3" xfId="58796" xr:uid="{00000000-0005-0000-0000-0000AAE50000}"/>
    <cellStyle name="SAPBEXHLevel0 2 2 3 2" xfId="58797" xr:uid="{00000000-0005-0000-0000-0000ABE50000}"/>
    <cellStyle name="SAPBEXHLevel0 2 2 3 3" xfId="58798" xr:uid="{00000000-0005-0000-0000-0000ACE50000}"/>
    <cellStyle name="SAPBEXHLevel0 2 2 4" xfId="58799" xr:uid="{00000000-0005-0000-0000-0000ADE50000}"/>
    <cellStyle name="SAPBEXHLevel0 2 2 5" xfId="58800" xr:uid="{00000000-0005-0000-0000-0000AEE50000}"/>
    <cellStyle name="SAPBEXHLevel0 2 3" xfId="58801" xr:uid="{00000000-0005-0000-0000-0000AFE50000}"/>
    <cellStyle name="SAPBEXHLevel0 2 3 2" xfId="58802" xr:uid="{00000000-0005-0000-0000-0000B0E50000}"/>
    <cellStyle name="SAPBEXHLevel0 2 3 3" xfId="58803" xr:uid="{00000000-0005-0000-0000-0000B1E50000}"/>
    <cellStyle name="SAPBEXHLevel0 2 4" xfId="58804" xr:uid="{00000000-0005-0000-0000-0000B2E50000}"/>
    <cellStyle name="SAPBEXHLevel0 2 5" xfId="58805" xr:uid="{00000000-0005-0000-0000-0000B3E50000}"/>
    <cellStyle name="SAPBEXHLevel0 3" xfId="58806" xr:uid="{00000000-0005-0000-0000-0000B4E50000}"/>
    <cellStyle name="SAPBEXHLevel0 3 2" xfId="58807" xr:uid="{00000000-0005-0000-0000-0000B5E50000}"/>
    <cellStyle name="SAPBEXHLevel0 3 2 2" xfId="58808" xr:uid="{00000000-0005-0000-0000-0000B6E50000}"/>
    <cellStyle name="SAPBEXHLevel0 3 2 2 2" xfId="58809" xr:uid="{00000000-0005-0000-0000-0000B7E50000}"/>
    <cellStyle name="SAPBEXHLevel0 3 2 3" xfId="58810" xr:uid="{00000000-0005-0000-0000-0000B8E50000}"/>
    <cellStyle name="SAPBEXHLevel0 3 2 3 2" xfId="58811" xr:uid="{00000000-0005-0000-0000-0000B9E50000}"/>
    <cellStyle name="SAPBEXHLevel0 3 2 3 3" xfId="58812" xr:uid="{00000000-0005-0000-0000-0000BAE50000}"/>
    <cellStyle name="SAPBEXHLevel0 3 2 4" xfId="58813" xr:uid="{00000000-0005-0000-0000-0000BBE50000}"/>
    <cellStyle name="SAPBEXHLevel0 3 2 5" xfId="58814" xr:uid="{00000000-0005-0000-0000-0000BCE50000}"/>
    <cellStyle name="SAPBEXHLevel0 3 3" xfId="58815" xr:uid="{00000000-0005-0000-0000-0000BDE50000}"/>
    <cellStyle name="SAPBEXHLevel0 3 3 2" xfId="58816" xr:uid="{00000000-0005-0000-0000-0000BEE50000}"/>
    <cellStyle name="SAPBEXHLevel0 3 3 3" xfId="58817" xr:uid="{00000000-0005-0000-0000-0000BFE50000}"/>
    <cellStyle name="SAPBEXHLevel0 3 4" xfId="58818" xr:uid="{00000000-0005-0000-0000-0000C0E50000}"/>
    <cellStyle name="SAPBEXHLevel0 3 5" xfId="58819" xr:uid="{00000000-0005-0000-0000-0000C1E50000}"/>
    <cellStyle name="SAPBEXHLevel0 4" xfId="58820" xr:uid="{00000000-0005-0000-0000-0000C2E50000}"/>
    <cellStyle name="SAPBEXHLevel0 4 2" xfId="58821" xr:uid="{00000000-0005-0000-0000-0000C3E50000}"/>
    <cellStyle name="SAPBEXHLevel0 4 2 2" xfId="58822" xr:uid="{00000000-0005-0000-0000-0000C4E50000}"/>
    <cellStyle name="SAPBEXHLevel0 4 2 2 2" xfId="58823" xr:uid="{00000000-0005-0000-0000-0000C5E50000}"/>
    <cellStyle name="SAPBEXHLevel0 4 2 3" xfId="58824" xr:uid="{00000000-0005-0000-0000-0000C6E50000}"/>
    <cellStyle name="SAPBEXHLevel0 4 2 3 2" xfId="58825" xr:uid="{00000000-0005-0000-0000-0000C7E50000}"/>
    <cellStyle name="SAPBEXHLevel0 4 2 3 3" xfId="58826" xr:uid="{00000000-0005-0000-0000-0000C8E50000}"/>
    <cellStyle name="SAPBEXHLevel0 4 2 4" xfId="58827" xr:uid="{00000000-0005-0000-0000-0000C9E50000}"/>
    <cellStyle name="SAPBEXHLevel0 4 2 5" xfId="58828" xr:uid="{00000000-0005-0000-0000-0000CAE50000}"/>
    <cellStyle name="SAPBEXHLevel0 4 3" xfId="58829" xr:uid="{00000000-0005-0000-0000-0000CBE50000}"/>
    <cellStyle name="SAPBEXHLevel0 4 3 2" xfId="58830" xr:uid="{00000000-0005-0000-0000-0000CCE50000}"/>
    <cellStyle name="SAPBEXHLevel0 4 3 3" xfId="58831" xr:uid="{00000000-0005-0000-0000-0000CDE50000}"/>
    <cellStyle name="SAPBEXHLevel0 4 4" xfId="58832" xr:uid="{00000000-0005-0000-0000-0000CEE50000}"/>
    <cellStyle name="SAPBEXHLevel0 4 5" xfId="58833" xr:uid="{00000000-0005-0000-0000-0000CFE50000}"/>
    <cellStyle name="SAPBEXHLevel0 5" xfId="58834" xr:uid="{00000000-0005-0000-0000-0000D0E50000}"/>
    <cellStyle name="SAPBEXHLevel0 5 2" xfId="58835" xr:uid="{00000000-0005-0000-0000-0000D1E50000}"/>
    <cellStyle name="SAPBEXHLevel0 5 2 2" xfId="58836" xr:uid="{00000000-0005-0000-0000-0000D2E50000}"/>
    <cellStyle name="SAPBEXHLevel0 5 2 2 2" xfId="58837" xr:uid="{00000000-0005-0000-0000-0000D3E50000}"/>
    <cellStyle name="SAPBEXHLevel0 5 2 3" xfId="58838" xr:uid="{00000000-0005-0000-0000-0000D4E50000}"/>
    <cellStyle name="SAPBEXHLevel0 5 2 3 2" xfId="58839" xr:uid="{00000000-0005-0000-0000-0000D5E50000}"/>
    <cellStyle name="SAPBEXHLevel0 5 2 3 3" xfId="58840" xr:uid="{00000000-0005-0000-0000-0000D6E50000}"/>
    <cellStyle name="SAPBEXHLevel0 5 2 4" xfId="58841" xr:uid="{00000000-0005-0000-0000-0000D7E50000}"/>
    <cellStyle name="SAPBEXHLevel0 5 2 5" xfId="58842" xr:uid="{00000000-0005-0000-0000-0000D8E50000}"/>
    <cellStyle name="SAPBEXHLevel0 5 3" xfId="58843" xr:uid="{00000000-0005-0000-0000-0000D9E50000}"/>
    <cellStyle name="SAPBEXHLevel0 5 3 2" xfId="58844" xr:uid="{00000000-0005-0000-0000-0000DAE50000}"/>
    <cellStyle name="SAPBEXHLevel0 5 3 3" xfId="58845" xr:uid="{00000000-0005-0000-0000-0000DBE50000}"/>
    <cellStyle name="SAPBEXHLevel0 5 4" xfId="58846" xr:uid="{00000000-0005-0000-0000-0000DCE50000}"/>
    <cellStyle name="SAPBEXHLevel0 5 5" xfId="58847" xr:uid="{00000000-0005-0000-0000-0000DDE50000}"/>
    <cellStyle name="SAPBEXHLevel0 6" xfId="58848" xr:uid="{00000000-0005-0000-0000-0000DEE50000}"/>
    <cellStyle name="SAPBEXHLevel0 6 2" xfId="58849" xr:uid="{00000000-0005-0000-0000-0000DFE50000}"/>
    <cellStyle name="SAPBEXHLevel0 6 2 2" xfId="58850" xr:uid="{00000000-0005-0000-0000-0000E0E50000}"/>
    <cellStyle name="SAPBEXHLevel0 6 2 2 2" xfId="58851" xr:uid="{00000000-0005-0000-0000-0000E1E50000}"/>
    <cellStyle name="SAPBEXHLevel0 6 2 3" xfId="58852" xr:uid="{00000000-0005-0000-0000-0000E2E50000}"/>
    <cellStyle name="SAPBEXHLevel0 6 2 3 2" xfId="58853" xr:uid="{00000000-0005-0000-0000-0000E3E50000}"/>
    <cellStyle name="SAPBEXHLevel0 6 2 3 3" xfId="58854" xr:uid="{00000000-0005-0000-0000-0000E4E50000}"/>
    <cellStyle name="SAPBEXHLevel0 6 2 4" xfId="58855" xr:uid="{00000000-0005-0000-0000-0000E5E50000}"/>
    <cellStyle name="SAPBEXHLevel0 6 2 5" xfId="58856" xr:uid="{00000000-0005-0000-0000-0000E6E50000}"/>
    <cellStyle name="SAPBEXHLevel0 6 3" xfId="58857" xr:uid="{00000000-0005-0000-0000-0000E7E50000}"/>
    <cellStyle name="SAPBEXHLevel0 6 3 2" xfId="58858" xr:uid="{00000000-0005-0000-0000-0000E8E50000}"/>
    <cellStyle name="SAPBEXHLevel0 6 3 3" xfId="58859" xr:uid="{00000000-0005-0000-0000-0000E9E50000}"/>
    <cellStyle name="SAPBEXHLevel0 6 4" xfId="58860" xr:uid="{00000000-0005-0000-0000-0000EAE50000}"/>
    <cellStyle name="SAPBEXHLevel0 6 5" xfId="58861" xr:uid="{00000000-0005-0000-0000-0000EBE50000}"/>
    <cellStyle name="SAPBEXHLevel0 7" xfId="58862" xr:uid="{00000000-0005-0000-0000-0000ECE50000}"/>
    <cellStyle name="SAPBEXHLevel0 7 2" xfId="58863" xr:uid="{00000000-0005-0000-0000-0000EDE50000}"/>
    <cellStyle name="SAPBEXHLevel0 7 2 2" xfId="58864" xr:uid="{00000000-0005-0000-0000-0000EEE50000}"/>
    <cellStyle name="SAPBEXHLevel0 7 2 2 2" xfId="58865" xr:uid="{00000000-0005-0000-0000-0000EFE50000}"/>
    <cellStyle name="SAPBEXHLevel0 7 2 3" xfId="58866" xr:uid="{00000000-0005-0000-0000-0000F0E50000}"/>
    <cellStyle name="SAPBEXHLevel0 7 2 3 2" xfId="58867" xr:uid="{00000000-0005-0000-0000-0000F1E50000}"/>
    <cellStyle name="SAPBEXHLevel0 7 2 3 3" xfId="58868" xr:uid="{00000000-0005-0000-0000-0000F2E50000}"/>
    <cellStyle name="SAPBEXHLevel0 7 2 4" xfId="58869" xr:uid="{00000000-0005-0000-0000-0000F3E50000}"/>
    <cellStyle name="SAPBEXHLevel0 7 2 5" xfId="58870" xr:uid="{00000000-0005-0000-0000-0000F4E50000}"/>
    <cellStyle name="SAPBEXHLevel0 7 3" xfId="58871" xr:uid="{00000000-0005-0000-0000-0000F5E50000}"/>
    <cellStyle name="SAPBEXHLevel0 7 3 2" xfId="58872" xr:uid="{00000000-0005-0000-0000-0000F6E50000}"/>
    <cellStyle name="SAPBEXHLevel0 7 3 3" xfId="58873" xr:uid="{00000000-0005-0000-0000-0000F7E50000}"/>
    <cellStyle name="SAPBEXHLevel0 7 4" xfId="58874" xr:uid="{00000000-0005-0000-0000-0000F8E50000}"/>
    <cellStyle name="SAPBEXHLevel0 7 5" xfId="58875" xr:uid="{00000000-0005-0000-0000-0000F9E50000}"/>
    <cellStyle name="SAPBEXHLevel0 8" xfId="58876" xr:uid="{00000000-0005-0000-0000-0000FAE50000}"/>
    <cellStyle name="SAPBEXHLevel0 8 2" xfId="58877" xr:uid="{00000000-0005-0000-0000-0000FBE50000}"/>
    <cellStyle name="SAPBEXHLevel0 8 2 2" xfId="58878" xr:uid="{00000000-0005-0000-0000-0000FCE50000}"/>
    <cellStyle name="SAPBEXHLevel0 8 2 2 2" xfId="58879" xr:uid="{00000000-0005-0000-0000-0000FDE50000}"/>
    <cellStyle name="SAPBEXHLevel0 8 2 3" xfId="58880" xr:uid="{00000000-0005-0000-0000-0000FEE50000}"/>
    <cellStyle name="SAPBEXHLevel0 8 2 3 2" xfId="58881" xr:uid="{00000000-0005-0000-0000-0000FFE50000}"/>
    <cellStyle name="SAPBEXHLevel0 8 2 3 3" xfId="58882" xr:uid="{00000000-0005-0000-0000-000000E60000}"/>
    <cellStyle name="SAPBEXHLevel0 8 2 4" xfId="58883" xr:uid="{00000000-0005-0000-0000-000001E60000}"/>
    <cellStyle name="SAPBEXHLevel0 8 2 5" xfId="58884" xr:uid="{00000000-0005-0000-0000-000002E60000}"/>
    <cellStyle name="SAPBEXHLevel0 8 3" xfId="58885" xr:uid="{00000000-0005-0000-0000-000003E60000}"/>
    <cellStyle name="SAPBEXHLevel0 8 3 2" xfId="58886" xr:uid="{00000000-0005-0000-0000-000004E60000}"/>
    <cellStyle name="SAPBEXHLevel0 8 3 3" xfId="58887" xr:uid="{00000000-0005-0000-0000-000005E60000}"/>
    <cellStyle name="SAPBEXHLevel0 8 4" xfId="58888" xr:uid="{00000000-0005-0000-0000-000006E60000}"/>
    <cellStyle name="SAPBEXHLevel0 8 5" xfId="58889" xr:uid="{00000000-0005-0000-0000-000007E60000}"/>
    <cellStyle name="SAPBEXHLevel0 9" xfId="58890" xr:uid="{00000000-0005-0000-0000-000008E60000}"/>
    <cellStyle name="SAPBEXHLevel0 9 2" xfId="58891" xr:uid="{00000000-0005-0000-0000-000009E60000}"/>
    <cellStyle name="SAPBEXHLevel0 9 2 2" xfId="58892" xr:uid="{00000000-0005-0000-0000-00000AE60000}"/>
    <cellStyle name="SAPBEXHLevel0 9 2 2 2" xfId="58893" xr:uid="{00000000-0005-0000-0000-00000BE60000}"/>
    <cellStyle name="SAPBEXHLevel0 9 2 3" xfId="58894" xr:uid="{00000000-0005-0000-0000-00000CE60000}"/>
    <cellStyle name="SAPBEXHLevel0 9 2 3 2" xfId="58895" xr:uid="{00000000-0005-0000-0000-00000DE60000}"/>
    <cellStyle name="SAPBEXHLevel0 9 2 3 3" xfId="58896" xr:uid="{00000000-0005-0000-0000-00000EE60000}"/>
    <cellStyle name="SAPBEXHLevel0 9 2 4" xfId="58897" xr:uid="{00000000-0005-0000-0000-00000FE60000}"/>
    <cellStyle name="SAPBEXHLevel0 9 2 5" xfId="58898" xr:uid="{00000000-0005-0000-0000-000010E60000}"/>
    <cellStyle name="SAPBEXHLevel0 9 3" xfId="58899" xr:uid="{00000000-0005-0000-0000-000011E60000}"/>
    <cellStyle name="SAPBEXHLevel0 9 3 2" xfId="58900" xr:uid="{00000000-0005-0000-0000-000012E60000}"/>
    <cellStyle name="SAPBEXHLevel0 9 3 3" xfId="58901" xr:uid="{00000000-0005-0000-0000-000013E60000}"/>
    <cellStyle name="SAPBEXHLevel0 9 4" xfId="58902" xr:uid="{00000000-0005-0000-0000-000014E60000}"/>
    <cellStyle name="SAPBEXHLevel0 9 5" xfId="58903" xr:uid="{00000000-0005-0000-0000-000015E60000}"/>
    <cellStyle name="SAPBEXHLevel0X" xfId="58904" xr:uid="{00000000-0005-0000-0000-000016E60000}"/>
    <cellStyle name="SAPBEXHLevel0X 10" xfId="58905" xr:uid="{00000000-0005-0000-0000-000017E60000}"/>
    <cellStyle name="SAPBEXHLevel0X 10 2" xfId="58906" xr:uid="{00000000-0005-0000-0000-000018E60000}"/>
    <cellStyle name="SAPBEXHLevel0X 10 2 2" xfId="58907" xr:uid="{00000000-0005-0000-0000-000019E60000}"/>
    <cellStyle name="SAPBEXHLevel0X 10 2 2 2" xfId="58908" xr:uid="{00000000-0005-0000-0000-00001AE60000}"/>
    <cellStyle name="SAPBEXHLevel0X 10 2 3" xfId="58909" xr:uid="{00000000-0005-0000-0000-00001BE60000}"/>
    <cellStyle name="SAPBEXHLevel0X 10 2 3 2" xfId="58910" xr:uid="{00000000-0005-0000-0000-00001CE60000}"/>
    <cellStyle name="SAPBEXHLevel0X 10 2 3 3" xfId="58911" xr:uid="{00000000-0005-0000-0000-00001DE60000}"/>
    <cellStyle name="SAPBEXHLevel0X 10 2 4" xfId="58912" xr:uid="{00000000-0005-0000-0000-00001EE60000}"/>
    <cellStyle name="SAPBEXHLevel0X 10 2 5" xfId="58913" xr:uid="{00000000-0005-0000-0000-00001FE60000}"/>
    <cellStyle name="SAPBEXHLevel0X 10 3" xfId="58914" xr:uid="{00000000-0005-0000-0000-000020E60000}"/>
    <cellStyle name="SAPBEXHLevel0X 10 3 2" xfId="58915" xr:uid="{00000000-0005-0000-0000-000021E60000}"/>
    <cellStyle name="SAPBEXHLevel0X 10 4" xfId="58916" xr:uid="{00000000-0005-0000-0000-000022E60000}"/>
    <cellStyle name="SAPBEXHLevel0X 10 4 2" xfId="58917" xr:uid="{00000000-0005-0000-0000-000023E60000}"/>
    <cellStyle name="SAPBEXHLevel0X 10 4 3" xfId="58918" xr:uid="{00000000-0005-0000-0000-000024E60000}"/>
    <cellStyle name="SAPBEXHLevel0X 10 5" xfId="58919" xr:uid="{00000000-0005-0000-0000-000025E60000}"/>
    <cellStyle name="SAPBEXHLevel0X 10 6" xfId="58920" xr:uid="{00000000-0005-0000-0000-000026E60000}"/>
    <cellStyle name="SAPBEXHLevel0X 11" xfId="58921" xr:uid="{00000000-0005-0000-0000-000027E60000}"/>
    <cellStyle name="SAPBEXHLevel0X 11 2" xfId="58922" xr:uid="{00000000-0005-0000-0000-000028E60000}"/>
    <cellStyle name="SAPBEXHLevel0X 11 2 2" xfId="58923" xr:uid="{00000000-0005-0000-0000-000029E60000}"/>
    <cellStyle name="SAPBEXHLevel0X 11 2 2 2" xfId="58924" xr:uid="{00000000-0005-0000-0000-00002AE60000}"/>
    <cellStyle name="SAPBEXHLevel0X 11 2 3" xfId="58925" xr:uid="{00000000-0005-0000-0000-00002BE60000}"/>
    <cellStyle name="SAPBEXHLevel0X 11 2 3 2" xfId="58926" xr:uid="{00000000-0005-0000-0000-00002CE60000}"/>
    <cellStyle name="SAPBEXHLevel0X 11 2 3 3" xfId="58927" xr:uid="{00000000-0005-0000-0000-00002DE60000}"/>
    <cellStyle name="SAPBEXHLevel0X 11 2 4" xfId="58928" xr:uid="{00000000-0005-0000-0000-00002EE60000}"/>
    <cellStyle name="SAPBEXHLevel0X 11 2 5" xfId="58929" xr:uid="{00000000-0005-0000-0000-00002FE60000}"/>
    <cellStyle name="SAPBEXHLevel0X 11 3" xfId="58930" xr:uid="{00000000-0005-0000-0000-000030E60000}"/>
    <cellStyle name="SAPBEXHLevel0X 11 3 2" xfId="58931" xr:uid="{00000000-0005-0000-0000-000031E60000}"/>
    <cellStyle name="SAPBEXHLevel0X 11 4" xfId="58932" xr:uid="{00000000-0005-0000-0000-000032E60000}"/>
    <cellStyle name="SAPBEXHLevel0X 11 4 2" xfId="58933" xr:uid="{00000000-0005-0000-0000-000033E60000}"/>
    <cellStyle name="SAPBEXHLevel0X 11 4 3" xfId="58934" xr:uid="{00000000-0005-0000-0000-000034E60000}"/>
    <cellStyle name="SAPBEXHLevel0X 11 5" xfId="58935" xr:uid="{00000000-0005-0000-0000-000035E60000}"/>
    <cellStyle name="SAPBEXHLevel0X 11 6" xfId="58936" xr:uid="{00000000-0005-0000-0000-000036E60000}"/>
    <cellStyle name="SAPBEXHLevel0X 12" xfId="58937" xr:uid="{00000000-0005-0000-0000-000037E60000}"/>
    <cellStyle name="SAPBEXHLevel0X 12 2" xfId="58938" xr:uid="{00000000-0005-0000-0000-000038E60000}"/>
    <cellStyle name="SAPBEXHLevel0X 12 2 2" xfId="58939" xr:uid="{00000000-0005-0000-0000-000039E60000}"/>
    <cellStyle name="SAPBEXHLevel0X 12 2 2 2" xfId="58940" xr:uid="{00000000-0005-0000-0000-00003AE60000}"/>
    <cellStyle name="SAPBEXHLevel0X 12 2 3" xfId="58941" xr:uid="{00000000-0005-0000-0000-00003BE60000}"/>
    <cellStyle name="SAPBEXHLevel0X 12 2 3 2" xfId="58942" xr:uid="{00000000-0005-0000-0000-00003CE60000}"/>
    <cellStyle name="SAPBEXHLevel0X 12 2 3 3" xfId="58943" xr:uid="{00000000-0005-0000-0000-00003DE60000}"/>
    <cellStyle name="SAPBEXHLevel0X 12 2 4" xfId="58944" xr:uid="{00000000-0005-0000-0000-00003EE60000}"/>
    <cellStyle name="SAPBEXHLevel0X 12 2 5" xfId="58945" xr:uid="{00000000-0005-0000-0000-00003FE60000}"/>
    <cellStyle name="SAPBEXHLevel0X 12 3" xfId="58946" xr:uid="{00000000-0005-0000-0000-000040E60000}"/>
    <cellStyle name="SAPBEXHLevel0X 12 3 2" xfId="58947" xr:uid="{00000000-0005-0000-0000-000041E60000}"/>
    <cellStyle name="SAPBEXHLevel0X 12 4" xfId="58948" xr:uid="{00000000-0005-0000-0000-000042E60000}"/>
    <cellStyle name="SAPBEXHLevel0X 12 4 2" xfId="58949" xr:uid="{00000000-0005-0000-0000-000043E60000}"/>
    <cellStyle name="SAPBEXHLevel0X 12 4 3" xfId="58950" xr:uid="{00000000-0005-0000-0000-000044E60000}"/>
    <cellStyle name="SAPBEXHLevel0X 12 5" xfId="58951" xr:uid="{00000000-0005-0000-0000-000045E60000}"/>
    <cellStyle name="SAPBEXHLevel0X 12 6" xfId="58952" xr:uid="{00000000-0005-0000-0000-000046E60000}"/>
    <cellStyle name="SAPBEXHLevel0X 13" xfId="58953" xr:uid="{00000000-0005-0000-0000-000047E60000}"/>
    <cellStyle name="SAPBEXHLevel0X 13 2" xfId="58954" xr:uid="{00000000-0005-0000-0000-000048E60000}"/>
    <cellStyle name="SAPBEXHLevel0X 13 2 2" xfId="58955" xr:uid="{00000000-0005-0000-0000-000049E60000}"/>
    <cellStyle name="SAPBEXHLevel0X 13 3" xfId="58956" xr:uid="{00000000-0005-0000-0000-00004AE60000}"/>
    <cellStyle name="SAPBEXHLevel0X 13 3 2" xfId="58957" xr:uid="{00000000-0005-0000-0000-00004BE60000}"/>
    <cellStyle name="SAPBEXHLevel0X 13 3 3" xfId="58958" xr:uid="{00000000-0005-0000-0000-00004CE60000}"/>
    <cellStyle name="SAPBEXHLevel0X 13 4" xfId="58959" xr:uid="{00000000-0005-0000-0000-00004DE60000}"/>
    <cellStyle name="SAPBEXHLevel0X 13 5" xfId="58960" xr:uid="{00000000-0005-0000-0000-00004EE60000}"/>
    <cellStyle name="SAPBEXHLevel0X 14" xfId="58961" xr:uid="{00000000-0005-0000-0000-00004FE60000}"/>
    <cellStyle name="SAPBEXHLevel0X 14 2" xfId="58962" xr:uid="{00000000-0005-0000-0000-000050E60000}"/>
    <cellStyle name="SAPBEXHLevel0X 14 2 2" xfId="58963" xr:uid="{00000000-0005-0000-0000-000051E60000}"/>
    <cellStyle name="SAPBEXHLevel0X 14 3" xfId="58964" xr:uid="{00000000-0005-0000-0000-000052E60000}"/>
    <cellStyle name="SAPBEXHLevel0X 15" xfId="58965" xr:uid="{00000000-0005-0000-0000-000053E60000}"/>
    <cellStyle name="SAPBEXHLevel0X 15 2" xfId="58966" xr:uid="{00000000-0005-0000-0000-000054E60000}"/>
    <cellStyle name="SAPBEXHLevel0X 15 3" xfId="58967" xr:uid="{00000000-0005-0000-0000-000055E60000}"/>
    <cellStyle name="SAPBEXHLevel0X 16" xfId="58968" xr:uid="{00000000-0005-0000-0000-000056E60000}"/>
    <cellStyle name="SAPBEXHLevel0X 17" xfId="58969" xr:uid="{00000000-0005-0000-0000-000057E60000}"/>
    <cellStyle name="SAPBEXHLevel0X 2" xfId="58970" xr:uid="{00000000-0005-0000-0000-000058E60000}"/>
    <cellStyle name="SAPBEXHLevel0X 2 2" xfId="58971" xr:uid="{00000000-0005-0000-0000-000059E60000}"/>
    <cellStyle name="SAPBEXHLevel0X 2 2 2" xfId="58972" xr:uid="{00000000-0005-0000-0000-00005AE60000}"/>
    <cellStyle name="SAPBEXHLevel0X 2 2 2 2" xfId="58973" xr:uid="{00000000-0005-0000-0000-00005BE60000}"/>
    <cellStyle name="SAPBEXHLevel0X 2 2 3" xfId="58974" xr:uid="{00000000-0005-0000-0000-00005CE60000}"/>
    <cellStyle name="SAPBEXHLevel0X 2 2 3 2" xfId="58975" xr:uid="{00000000-0005-0000-0000-00005DE60000}"/>
    <cellStyle name="SAPBEXHLevel0X 2 2 3 3" xfId="58976" xr:uid="{00000000-0005-0000-0000-00005EE60000}"/>
    <cellStyle name="SAPBEXHLevel0X 2 2 4" xfId="58977" xr:uid="{00000000-0005-0000-0000-00005FE60000}"/>
    <cellStyle name="SAPBEXHLevel0X 2 2 5" xfId="58978" xr:uid="{00000000-0005-0000-0000-000060E60000}"/>
    <cellStyle name="SAPBEXHLevel0X 2 3" xfId="58979" xr:uid="{00000000-0005-0000-0000-000061E60000}"/>
    <cellStyle name="SAPBEXHLevel0X 2 3 2" xfId="58980" xr:uid="{00000000-0005-0000-0000-000062E60000}"/>
    <cellStyle name="SAPBEXHLevel0X 2 4" xfId="58981" xr:uid="{00000000-0005-0000-0000-000063E60000}"/>
    <cellStyle name="SAPBEXHLevel0X 2 4 2" xfId="58982" xr:uid="{00000000-0005-0000-0000-000064E60000}"/>
    <cellStyle name="SAPBEXHLevel0X 2 4 3" xfId="58983" xr:uid="{00000000-0005-0000-0000-000065E60000}"/>
    <cellStyle name="SAPBEXHLevel0X 2 5" xfId="58984" xr:uid="{00000000-0005-0000-0000-000066E60000}"/>
    <cellStyle name="SAPBEXHLevel0X 2 6" xfId="58985" xr:uid="{00000000-0005-0000-0000-000067E60000}"/>
    <cellStyle name="SAPBEXHLevel0X 3" xfId="58986" xr:uid="{00000000-0005-0000-0000-000068E60000}"/>
    <cellStyle name="SAPBEXHLevel0X 3 2" xfId="58987" xr:uid="{00000000-0005-0000-0000-000069E60000}"/>
    <cellStyle name="SAPBEXHLevel0X 3 2 2" xfId="58988" xr:uid="{00000000-0005-0000-0000-00006AE60000}"/>
    <cellStyle name="SAPBEXHLevel0X 3 2 2 2" xfId="58989" xr:uid="{00000000-0005-0000-0000-00006BE60000}"/>
    <cellStyle name="SAPBEXHLevel0X 3 2 3" xfId="58990" xr:uid="{00000000-0005-0000-0000-00006CE60000}"/>
    <cellStyle name="SAPBEXHLevel0X 3 2 3 2" xfId="58991" xr:uid="{00000000-0005-0000-0000-00006DE60000}"/>
    <cellStyle name="SAPBEXHLevel0X 3 2 3 3" xfId="58992" xr:uid="{00000000-0005-0000-0000-00006EE60000}"/>
    <cellStyle name="SAPBEXHLevel0X 3 2 4" xfId="58993" xr:uid="{00000000-0005-0000-0000-00006FE60000}"/>
    <cellStyle name="SAPBEXHLevel0X 3 2 5" xfId="58994" xr:uid="{00000000-0005-0000-0000-000070E60000}"/>
    <cellStyle name="SAPBEXHLevel0X 3 3" xfId="58995" xr:uid="{00000000-0005-0000-0000-000071E60000}"/>
    <cellStyle name="SAPBEXHLevel0X 3 3 2" xfId="58996" xr:uid="{00000000-0005-0000-0000-000072E60000}"/>
    <cellStyle name="SAPBEXHLevel0X 3 4" xfId="58997" xr:uid="{00000000-0005-0000-0000-000073E60000}"/>
    <cellStyle name="SAPBEXHLevel0X 3 4 2" xfId="58998" xr:uid="{00000000-0005-0000-0000-000074E60000}"/>
    <cellStyle name="SAPBEXHLevel0X 3 4 3" xfId="58999" xr:uid="{00000000-0005-0000-0000-000075E60000}"/>
    <cellStyle name="SAPBEXHLevel0X 3 5" xfId="59000" xr:uid="{00000000-0005-0000-0000-000076E60000}"/>
    <cellStyle name="SAPBEXHLevel0X 3 6" xfId="59001" xr:uid="{00000000-0005-0000-0000-000077E60000}"/>
    <cellStyle name="SAPBEXHLevel0X 4" xfId="59002" xr:uid="{00000000-0005-0000-0000-000078E60000}"/>
    <cellStyle name="SAPBEXHLevel0X 4 2" xfId="59003" xr:uid="{00000000-0005-0000-0000-000079E60000}"/>
    <cellStyle name="SAPBEXHLevel0X 4 2 2" xfId="59004" xr:uid="{00000000-0005-0000-0000-00007AE60000}"/>
    <cellStyle name="SAPBEXHLevel0X 4 2 2 2" xfId="59005" xr:uid="{00000000-0005-0000-0000-00007BE60000}"/>
    <cellStyle name="SAPBEXHLevel0X 4 2 3" xfId="59006" xr:uid="{00000000-0005-0000-0000-00007CE60000}"/>
    <cellStyle name="SAPBEXHLevel0X 4 2 3 2" xfId="59007" xr:uid="{00000000-0005-0000-0000-00007DE60000}"/>
    <cellStyle name="SAPBEXHLevel0X 4 2 3 3" xfId="59008" xr:uid="{00000000-0005-0000-0000-00007EE60000}"/>
    <cellStyle name="SAPBEXHLevel0X 4 2 4" xfId="59009" xr:uid="{00000000-0005-0000-0000-00007FE60000}"/>
    <cellStyle name="SAPBEXHLevel0X 4 2 5" xfId="59010" xr:uid="{00000000-0005-0000-0000-000080E60000}"/>
    <cellStyle name="SAPBEXHLevel0X 4 3" xfId="59011" xr:uid="{00000000-0005-0000-0000-000081E60000}"/>
    <cellStyle name="SAPBEXHLevel0X 4 3 2" xfId="59012" xr:uid="{00000000-0005-0000-0000-000082E60000}"/>
    <cellStyle name="SAPBEXHLevel0X 4 4" xfId="59013" xr:uid="{00000000-0005-0000-0000-000083E60000}"/>
    <cellStyle name="SAPBEXHLevel0X 4 4 2" xfId="59014" xr:uid="{00000000-0005-0000-0000-000084E60000}"/>
    <cellStyle name="SAPBEXHLevel0X 4 4 3" xfId="59015" xr:uid="{00000000-0005-0000-0000-000085E60000}"/>
    <cellStyle name="SAPBEXHLevel0X 4 5" xfId="59016" xr:uid="{00000000-0005-0000-0000-000086E60000}"/>
    <cellStyle name="SAPBEXHLevel0X 4 6" xfId="59017" xr:uid="{00000000-0005-0000-0000-000087E60000}"/>
    <cellStyle name="SAPBEXHLevel0X 5" xfId="59018" xr:uid="{00000000-0005-0000-0000-000088E60000}"/>
    <cellStyle name="SAPBEXHLevel0X 5 2" xfId="59019" xr:uid="{00000000-0005-0000-0000-000089E60000}"/>
    <cellStyle name="SAPBEXHLevel0X 5 2 2" xfId="59020" xr:uid="{00000000-0005-0000-0000-00008AE60000}"/>
    <cellStyle name="SAPBEXHLevel0X 5 2 2 2" xfId="59021" xr:uid="{00000000-0005-0000-0000-00008BE60000}"/>
    <cellStyle name="SAPBEXHLevel0X 5 2 3" xfId="59022" xr:uid="{00000000-0005-0000-0000-00008CE60000}"/>
    <cellStyle name="SAPBEXHLevel0X 5 2 3 2" xfId="59023" xr:uid="{00000000-0005-0000-0000-00008DE60000}"/>
    <cellStyle name="SAPBEXHLevel0X 5 2 3 3" xfId="59024" xr:uid="{00000000-0005-0000-0000-00008EE60000}"/>
    <cellStyle name="SAPBEXHLevel0X 5 2 4" xfId="59025" xr:uid="{00000000-0005-0000-0000-00008FE60000}"/>
    <cellStyle name="SAPBEXHLevel0X 5 2 5" xfId="59026" xr:uid="{00000000-0005-0000-0000-000090E60000}"/>
    <cellStyle name="SAPBEXHLevel0X 5 3" xfId="59027" xr:uid="{00000000-0005-0000-0000-000091E60000}"/>
    <cellStyle name="SAPBEXHLevel0X 5 3 2" xfId="59028" xr:uid="{00000000-0005-0000-0000-000092E60000}"/>
    <cellStyle name="SAPBEXHLevel0X 5 4" xfId="59029" xr:uid="{00000000-0005-0000-0000-000093E60000}"/>
    <cellStyle name="SAPBEXHLevel0X 5 4 2" xfId="59030" xr:uid="{00000000-0005-0000-0000-000094E60000}"/>
    <cellStyle name="SAPBEXHLevel0X 5 4 3" xfId="59031" xr:uid="{00000000-0005-0000-0000-000095E60000}"/>
    <cellStyle name="SAPBEXHLevel0X 5 5" xfId="59032" xr:uid="{00000000-0005-0000-0000-000096E60000}"/>
    <cellStyle name="SAPBEXHLevel0X 5 6" xfId="59033" xr:uid="{00000000-0005-0000-0000-000097E60000}"/>
    <cellStyle name="SAPBEXHLevel0X 6" xfId="59034" xr:uid="{00000000-0005-0000-0000-000098E60000}"/>
    <cellStyle name="SAPBEXHLevel0X 6 2" xfId="59035" xr:uid="{00000000-0005-0000-0000-000099E60000}"/>
    <cellStyle name="SAPBEXHLevel0X 6 2 2" xfId="59036" xr:uid="{00000000-0005-0000-0000-00009AE60000}"/>
    <cellStyle name="SAPBEXHLevel0X 6 2 2 2" xfId="59037" xr:uid="{00000000-0005-0000-0000-00009BE60000}"/>
    <cellStyle name="SAPBEXHLevel0X 6 2 3" xfId="59038" xr:uid="{00000000-0005-0000-0000-00009CE60000}"/>
    <cellStyle name="SAPBEXHLevel0X 6 2 3 2" xfId="59039" xr:uid="{00000000-0005-0000-0000-00009DE60000}"/>
    <cellStyle name="SAPBEXHLevel0X 6 2 3 3" xfId="59040" xr:uid="{00000000-0005-0000-0000-00009EE60000}"/>
    <cellStyle name="SAPBEXHLevel0X 6 2 4" xfId="59041" xr:uid="{00000000-0005-0000-0000-00009FE60000}"/>
    <cellStyle name="SAPBEXHLevel0X 6 2 5" xfId="59042" xr:uid="{00000000-0005-0000-0000-0000A0E60000}"/>
    <cellStyle name="SAPBEXHLevel0X 6 3" xfId="59043" xr:uid="{00000000-0005-0000-0000-0000A1E60000}"/>
    <cellStyle name="SAPBEXHLevel0X 6 3 2" xfId="59044" xr:uid="{00000000-0005-0000-0000-0000A2E60000}"/>
    <cellStyle name="SAPBEXHLevel0X 6 4" xfId="59045" xr:uid="{00000000-0005-0000-0000-0000A3E60000}"/>
    <cellStyle name="SAPBEXHLevel0X 6 4 2" xfId="59046" xr:uid="{00000000-0005-0000-0000-0000A4E60000}"/>
    <cellStyle name="SAPBEXHLevel0X 6 4 3" xfId="59047" xr:uid="{00000000-0005-0000-0000-0000A5E60000}"/>
    <cellStyle name="SAPBEXHLevel0X 6 5" xfId="59048" xr:uid="{00000000-0005-0000-0000-0000A6E60000}"/>
    <cellStyle name="SAPBEXHLevel0X 6 6" xfId="59049" xr:uid="{00000000-0005-0000-0000-0000A7E60000}"/>
    <cellStyle name="SAPBEXHLevel0X 7" xfId="59050" xr:uid="{00000000-0005-0000-0000-0000A8E60000}"/>
    <cellStyle name="SAPBEXHLevel0X 7 2" xfId="59051" xr:uid="{00000000-0005-0000-0000-0000A9E60000}"/>
    <cellStyle name="SAPBEXHLevel0X 7 2 2" xfId="59052" xr:uid="{00000000-0005-0000-0000-0000AAE60000}"/>
    <cellStyle name="SAPBEXHLevel0X 7 2 2 2" xfId="59053" xr:uid="{00000000-0005-0000-0000-0000ABE60000}"/>
    <cellStyle name="SAPBEXHLevel0X 7 2 3" xfId="59054" xr:uid="{00000000-0005-0000-0000-0000ACE60000}"/>
    <cellStyle name="SAPBEXHLevel0X 7 2 3 2" xfId="59055" xr:uid="{00000000-0005-0000-0000-0000ADE60000}"/>
    <cellStyle name="SAPBEXHLevel0X 7 2 3 3" xfId="59056" xr:uid="{00000000-0005-0000-0000-0000AEE60000}"/>
    <cellStyle name="SAPBEXHLevel0X 7 2 4" xfId="59057" xr:uid="{00000000-0005-0000-0000-0000AFE60000}"/>
    <cellStyle name="SAPBEXHLevel0X 7 2 5" xfId="59058" xr:uid="{00000000-0005-0000-0000-0000B0E60000}"/>
    <cellStyle name="SAPBEXHLevel0X 7 3" xfId="59059" xr:uid="{00000000-0005-0000-0000-0000B1E60000}"/>
    <cellStyle name="SAPBEXHLevel0X 7 3 2" xfId="59060" xr:uid="{00000000-0005-0000-0000-0000B2E60000}"/>
    <cellStyle name="SAPBEXHLevel0X 7 4" xfId="59061" xr:uid="{00000000-0005-0000-0000-0000B3E60000}"/>
    <cellStyle name="SAPBEXHLevel0X 7 4 2" xfId="59062" xr:uid="{00000000-0005-0000-0000-0000B4E60000}"/>
    <cellStyle name="SAPBEXHLevel0X 7 4 3" xfId="59063" xr:uid="{00000000-0005-0000-0000-0000B5E60000}"/>
    <cellStyle name="SAPBEXHLevel0X 7 5" xfId="59064" xr:uid="{00000000-0005-0000-0000-0000B6E60000}"/>
    <cellStyle name="SAPBEXHLevel0X 7 6" xfId="59065" xr:uid="{00000000-0005-0000-0000-0000B7E60000}"/>
    <cellStyle name="SAPBEXHLevel0X 8" xfId="59066" xr:uid="{00000000-0005-0000-0000-0000B8E60000}"/>
    <cellStyle name="SAPBEXHLevel0X 8 2" xfId="59067" xr:uid="{00000000-0005-0000-0000-0000B9E60000}"/>
    <cellStyle name="SAPBEXHLevel0X 8 2 2" xfId="59068" xr:uid="{00000000-0005-0000-0000-0000BAE60000}"/>
    <cellStyle name="SAPBEXHLevel0X 8 2 2 2" xfId="59069" xr:uid="{00000000-0005-0000-0000-0000BBE60000}"/>
    <cellStyle name="SAPBEXHLevel0X 8 2 3" xfId="59070" xr:uid="{00000000-0005-0000-0000-0000BCE60000}"/>
    <cellStyle name="SAPBEXHLevel0X 8 2 3 2" xfId="59071" xr:uid="{00000000-0005-0000-0000-0000BDE60000}"/>
    <cellStyle name="SAPBEXHLevel0X 8 2 3 3" xfId="59072" xr:uid="{00000000-0005-0000-0000-0000BEE60000}"/>
    <cellStyle name="SAPBEXHLevel0X 8 2 4" xfId="59073" xr:uid="{00000000-0005-0000-0000-0000BFE60000}"/>
    <cellStyle name="SAPBEXHLevel0X 8 2 5" xfId="59074" xr:uid="{00000000-0005-0000-0000-0000C0E60000}"/>
    <cellStyle name="SAPBEXHLevel0X 8 3" xfId="59075" xr:uid="{00000000-0005-0000-0000-0000C1E60000}"/>
    <cellStyle name="SAPBEXHLevel0X 8 3 2" xfId="59076" xr:uid="{00000000-0005-0000-0000-0000C2E60000}"/>
    <cellStyle name="SAPBEXHLevel0X 8 4" xfId="59077" xr:uid="{00000000-0005-0000-0000-0000C3E60000}"/>
    <cellStyle name="SAPBEXHLevel0X 8 4 2" xfId="59078" xr:uid="{00000000-0005-0000-0000-0000C4E60000}"/>
    <cellStyle name="SAPBEXHLevel0X 8 4 3" xfId="59079" xr:uid="{00000000-0005-0000-0000-0000C5E60000}"/>
    <cellStyle name="SAPBEXHLevel0X 8 5" xfId="59080" xr:uid="{00000000-0005-0000-0000-0000C6E60000}"/>
    <cellStyle name="SAPBEXHLevel0X 8 6" xfId="59081" xr:uid="{00000000-0005-0000-0000-0000C7E60000}"/>
    <cellStyle name="SAPBEXHLevel0X 9" xfId="59082" xr:uid="{00000000-0005-0000-0000-0000C8E60000}"/>
    <cellStyle name="SAPBEXHLevel0X 9 2" xfId="59083" xr:uid="{00000000-0005-0000-0000-0000C9E60000}"/>
    <cellStyle name="SAPBEXHLevel0X 9 2 2" xfId="59084" xr:uid="{00000000-0005-0000-0000-0000CAE60000}"/>
    <cellStyle name="SAPBEXHLevel0X 9 2 2 2" xfId="59085" xr:uid="{00000000-0005-0000-0000-0000CBE60000}"/>
    <cellStyle name="SAPBEXHLevel0X 9 2 3" xfId="59086" xr:uid="{00000000-0005-0000-0000-0000CCE60000}"/>
    <cellStyle name="SAPBEXHLevel0X 9 2 3 2" xfId="59087" xr:uid="{00000000-0005-0000-0000-0000CDE60000}"/>
    <cellStyle name="SAPBEXHLevel0X 9 2 3 3" xfId="59088" xr:uid="{00000000-0005-0000-0000-0000CEE60000}"/>
    <cellStyle name="SAPBEXHLevel0X 9 2 4" xfId="59089" xr:uid="{00000000-0005-0000-0000-0000CFE60000}"/>
    <cellStyle name="SAPBEXHLevel0X 9 2 5" xfId="59090" xr:uid="{00000000-0005-0000-0000-0000D0E60000}"/>
    <cellStyle name="SAPBEXHLevel0X 9 3" xfId="59091" xr:uid="{00000000-0005-0000-0000-0000D1E60000}"/>
    <cellStyle name="SAPBEXHLevel0X 9 3 2" xfId="59092" xr:uid="{00000000-0005-0000-0000-0000D2E60000}"/>
    <cellStyle name="SAPBEXHLevel0X 9 4" xfId="59093" xr:uid="{00000000-0005-0000-0000-0000D3E60000}"/>
    <cellStyle name="SAPBEXHLevel0X 9 4 2" xfId="59094" xr:uid="{00000000-0005-0000-0000-0000D4E60000}"/>
    <cellStyle name="SAPBEXHLevel0X 9 4 3" xfId="59095" xr:uid="{00000000-0005-0000-0000-0000D5E60000}"/>
    <cellStyle name="SAPBEXHLevel0X 9 5" xfId="59096" xr:uid="{00000000-0005-0000-0000-0000D6E60000}"/>
    <cellStyle name="SAPBEXHLevel0X 9 6" xfId="59097" xr:uid="{00000000-0005-0000-0000-0000D7E60000}"/>
    <cellStyle name="SAPBEXHLevel1" xfId="59098" xr:uid="{00000000-0005-0000-0000-0000D8E60000}"/>
    <cellStyle name="SAPBEXHLevel1 10" xfId="59099" xr:uid="{00000000-0005-0000-0000-0000D9E60000}"/>
    <cellStyle name="SAPBEXHLevel1 10 2" xfId="59100" xr:uid="{00000000-0005-0000-0000-0000DAE60000}"/>
    <cellStyle name="SAPBEXHLevel1 10 2 2" xfId="59101" xr:uid="{00000000-0005-0000-0000-0000DBE60000}"/>
    <cellStyle name="SAPBEXHLevel1 10 2 2 2" xfId="59102" xr:uid="{00000000-0005-0000-0000-0000DCE60000}"/>
    <cellStyle name="SAPBEXHLevel1 10 2 3" xfId="59103" xr:uid="{00000000-0005-0000-0000-0000DDE60000}"/>
    <cellStyle name="SAPBEXHLevel1 10 2 3 2" xfId="59104" xr:uid="{00000000-0005-0000-0000-0000DEE60000}"/>
    <cellStyle name="SAPBEXHLevel1 10 2 3 3" xfId="59105" xr:uid="{00000000-0005-0000-0000-0000DFE60000}"/>
    <cellStyle name="SAPBEXHLevel1 10 2 4" xfId="59106" xr:uid="{00000000-0005-0000-0000-0000E0E60000}"/>
    <cellStyle name="SAPBEXHLevel1 10 2 5" xfId="59107" xr:uid="{00000000-0005-0000-0000-0000E1E60000}"/>
    <cellStyle name="SAPBEXHLevel1 10 3" xfId="59108" xr:uid="{00000000-0005-0000-0000-0000E2E60000}"/>
    <cellStyle name="SAPBEXHLevel1 10 3 2" xfId="59109" xr:uid="{00000000-0005-0000-0000-0000E3E60000}"/>
    <cellStyle name="SAPBEXHLevel1 10 3 3" xfId="59110" xr:uid="{00000000-0005-0000-0000-0000E4E60000}"/>
    <cellStyle name="SAPBEXHLevel1 10 4" xfId="59111" xr:uid="{00000000-0005-0000-0000-0000E5E60000}"/>
    <cellStyle name="SAPBEXHLevel1 10 5" xfId="59112" xr:uid="{00000000-0005-0000-0000-0000E6E60000}"/>
    <cellStyle name="SAPBEXHLevel1 11" xfId="59113" xr:uid="{00000000-0005-0000-0000-0000E7E60000}"/>
    <cellStyle name="SAPBEXHLevel1 11 2" xfId="59114" xr:uid="{00000000-0005-0000-0000-0000E8E60000}"/>
    <cellStyle name="SAPBEXHLevel1 11 2 2" xfId="59115" xr:uid="{00000000-0005-0000-0000-0000E9E60000}"/>
    <cellStyle name="SAPBEXHLevel1 11 2 2 2" xfId="59116" xr:uid="{00000000-0005-0000-0000-0000EAE60000}"/>
    <cellStyle name="SAPBEXHLevel1 11 2 3" xfId="59117" xr:uid="{00000000-0005-0000-0000-0000EBE60000}"/>
    <cellStyle name="SAPBEXHLevel1 11 2 3 2" xfId="59118" xr:uid="{00000000-0005-0000-0000-0000ECE60000}"/>
    <cellStyle name="SAPBEXHLevel1 11 2 3 3" xfId="59119" xr:uid="{00000000-0005-0000-0000-0000EDE60000}"/>
    <cellStyle name="SAPBEXHLevel1 11 2 4" xfId="59120" xr:uid="{00000000-0005-0000-0000-0000EEE60000}"/>
    <cellStyle name="SAPBEXHLevel1 11 2 5" xfId="59121" xr:uid="{00000000-0005-0000-0000-0000EFE60000}"/>
    <cellStyle name="SAPBEXHLevel1 11 3" xfId="59122" xr:uid="{00000000-0005-0000-0000-0000F0E60000}"/>
    <cellStyle name="SAPBEXHLevel1 11 3 2" xfId="59123" xr:uid="{00000000-0005-0000-0000-0000F1E60000}"/>
    <cellStyle name="SAPBEXHLevel1 11 3 3" xfId="59124" xr:uid="{00000000-0005-0000-0000-0000F2E60000}"/>
    <cellStyle name="SAPBEXHLevel1 11 4" xfId="59125" xr:uid="{00000000-0005-0000-0000-0000F3E60000}"/>
    <cellStyle name="SAPBEXHLevel1 11 5" xfId="59126" xr:uid="{00000000-0005-0000-0000-0000F4E60000}"/>
    <cellStyle name="SAPBEXHLevel1 12" xfId="59127" xr:uid="{00000000-0005-0000-0000-0000F5E60000}"/>
    <cellStyle name="SAPBEXHLevel1 12 2" xfId="59128" xr:uid="{00000000-0005-0000-0000-0000F6E60000}"/>
    <cellStyle name="SAPBEXHLevel1 12 2 2" xfId="59129" xr:uid="{00000000-0005-0000-0000-0000F7E60000}"/>
    <cellStyle name="SAPBEXHLevel1 12 2 2 2" xfId="59130" xr:uid="{00000000-0005-0000-0000-0000F8E60000}"/>
    <cellStyle name="SAPBEXHLevel1 12 2 3" xfId="59131" xr:uid="{00000000-0005-0000-0000-0000F9E60000}"/>
    <cellStyle name="SAPBEXHLevel1 12 2 3 2" xfId="59132" xr:uid="{00000000-0005-0000-0000-0000FAE60000}"/>
    <cellStyle name="SAPBEXHLevel1 12 2 3 3" xfId="59133" xr:uid="{00000000-0005-0000-0000-0000FBE60000}"/>
    <cellStyle name="SAPBEXHLevel1 12 2 4" xfId="59134" xr:uid="{00000000-0005-0000-0000-0000FCE60000}"/>
    <cellStyle name="SAPBEXHLevel1 12 2 5" xfId="59135" xr:uid="{00000000-0005-0000-0000-0000FDE60000}"/>
    <cellStyle name="SAPBEXHLevel1 12 3" xfId="59136" xr:uid="{00000000-0005-0000-0000-0000FEE60000}"/>
    <cellStyle name="SAPBEXHLevel1 12 3 2" xfId="59137" xr:uid="{00000000-0005-0000-0000-0000FFE60000}"/>
    <cellStyle name="SAPBEXHLevel1 12 4" xfId="59138" xr:uid="{00000000-0005-0000-0000-000000E70000}"/>
    <cellStyle name="SAPBEXHLevel1 12 4 2" xfId="59139" xr:uid="{00000000-0005-0000-0000-000001E70000}"/>
    <cellStyle name="SAPBEXHLevel1 12 4 3" xfId="59140" xr:uid="{00000000-0005-0000-0000-000002E70000}"/>
    <cellStyle name="SAPBEXHLevel1 12 5" xfId="59141" xr:uid="{00000000-0005-0000-0000-000003E70000}"/>
    <cellStyle name="SAPBEXHLevel1 12 6" xfId="59142" xr:uid="{00000000-0005-0000-0000-000004E70000}"/>
    <cellStyle name="SAPBEXHLevel1 13" xfId="59143" xr:uid="{00000000-0005-0000-0000-000005E70000}"/>
    <cellStyle name="SAPBEXHLevel1 13 2" xfId="59144" xr:uid="{00000000-0005-0000-0000-000006E70000}"/>
    <cellStyle name="SAPBEXHLevel1 13 2 2" xfId="59145" xr:uid="{00000000-0005-0000-0000-000007E70000}"/>
    <cellStyle name="SAPBEXHLevel1 13 3" xfId="59146" xr:uid="{00000000-0005-0000-0000-000008E70000}"/>
    <cellStyle name="SAPBEXHLevel1 13 3 2" xfId="59147" xr:uid="{00000000-0005-0000-0000-000009E70000}"/>
    <cellStyle name="SAPBEXHLevel1 13 3 3" xfId="59148" xr:uid="{00000000-0005-0000-0000-00000AE70000}"/>
    <cellStyle name="SAPBEXHLevel1 13 4" xfId="59149" xr:uid="{00000000-0005-0000-0000-00000BE70000}"/>
    <cellStyle name="SAPBEXHLevel1 13 5" xfId="59150" xr:uid="{00000000-0005-0000-0000-00000CE70000}"/>
    <cellStyle name="SAPBEXHLevel1 14" xfId="59151" xr:uid="{00000000-0005-0000-0000-00000DE70000}"/>
    <cellStyle name="SAPBEXHLevel1 14 2" xfId="59152" xr:uid="{00000000-0005-0000-0000-00000EE70000}"/>
    <cellStyle name="SAPBEXHLevel1 14 3" xfId="59153" xr:uid="{00000000-0005-0000-0000-00000FE70000}"/>
    <cellStyle name="SAPBEXHLevel1 15" xfId="59154" xr:uid="{00000000-0005-0000-0000-000010E70000}"/>
    <cellStyle name="SAPBEXHLevel1 16" xfId="59155" xr:uid="{00000000-0005-0000-0000-000011E70000}"/>
    <cellStyle name="SAPBEXHLevel1 2" xfId="59156" xr:uid="{00000000-0005-0000-0000-000012E70000}"/>
    <cellStyle name="SAPBEXHLevel1 2 2" xfId="59157" xr:uid="{00000000-0005-0000-0000-000013E70000}"/>
    <cellStyle name="SAPBEXHLevel1 2 2 2" xfId="59158" xr:uid="{00000000-0005-0000-0000-000014E70000}"/>
    <cellStyle name="SAPBEXHLevel1 2 2 2 2" xfId="59159" xr:uid="{00000000-0005-0000-0000-000015E70000}"/>
    <cellStyle name="SAPBEXHLevel1 2 2 3" xfId="59160" xr:uid="{00000000-0005-0000-0000-000016E70000}"/>
    <cellStyle name="SAPBEXHLevel1 2 2 3 2" xfId="59161" xr:uid="{00000000-0005-0000-0000-000017E70000}"/>
    <cellStyle name="SAPBEXHLevel1 2 2 3 3" xfId="59162" xr:uid="{00000000-0005-0000-0000-000018E70000}"/>
    <cellStyle name="SAPBEXHLevel1 2 2 4" xfId="59163" xr:uid="{00000000-0005-0000-0000-000019E70000}"/>
    <cellStyle name="SAPBEXHLevel1 2 2 5" xfId="59164" xr:uid="{00000000-0005-0000-0000-00001AE70000}"/>
    <cellStyle name="SAPBEXHLevel1 2 3" xfId="59165" xr:uid="{00000000-0005-0000-0000-00001BE70000}"/>
    <cellStyle name="SAPBEXHLevel1 2 3 2" xfId="59166" xr:uid="{00000000-0005-0000-0000-00001CE70000}"/>
    <cellStyle name="SAPBEXHLevel1 2 3 3" xfId="59167" xr:uid="{00000000-0005-0000-0000-00001DE70000}"/>
    <cellStyle name="SAPBEXHLevel1 2 4" xfId="59168" xr:uid="{00000000-0005-0000-0000-00001EE70000}"/>
    <cellStyle name="SAPBEXHLevel1 2 5" xfId="59169" xr:uid="{00000000-0005-0000-0000-00001FE70000}"/>
    <cellStyle name="SAPBEXHLevel1 3" xfId="59170" xr:uid="{00000000-0005-0000-0000-000020E70000}"/>
    <cellStyle name="SAPBEXHLevel1 3 2" xfId="59171" xr:uid="{00000000-0005-0000-0000-000021E70000}"/>
    <cellStyle name="SAPBEXHLevel1 3 2 2" xfId="59172" xr:uid="{00000000-0005-0000-0000-000022E70000}"/>
    <cellStyle name="SAPBEXHLevel1 3 2 2 2" xfId="59173" xr:uid="{00000000-0005-0000-0000-000023E70000}"/>
    <cellStyle name="SAPBEXHLevel1 3 2 3" xfId="59174" xr:uid="{00000000-0005-0000-0000-000024E70000}"/>
    <cellStyle name="SAPBEXHLevel1 3 2 3 2" xfId="59175" xr:uid="{00000000-0005-0000-0000-000025E70000}"/>
    <cellStyle name="SAPBEXHLevel1 3 2 3 3" xfId="59176" xr:uid="{00000000-0005-0000-0000-000026E70000}"/>
    <cellStyle name="SAPBEXHLevel1 3 2 4" xfId="59177" xr:uid="{00000000-0005-0000-0000-000027E70000}"/>
    <cellStyle name="SAPBEXHLevel1 3 2 5" xfId="59178" xr:uid="{00000000-0005-0000-0000-000028E70000}"/>
    <cellStyle name="SAPBEXHLevel1 3 3" xfId="59179" xr:uid="{00000000-0005-0000-0000-000029E70000}"/>
    <cellStyle name="SAPBEXHLevel1 3 3 2" xfId="59180" xr:uid="{00000000-0005-0000-0000-00002AE70000}"/>
    <cellStyle name="SAPBEXHLevel1 3 3 3" xfId="59181" xr:uid="{00000000-0005-0000-0000-00002BE70000}"/>
    <cellStyle name="SAPBEXHLevel1 3 4" xfId="59182" xr:uid="{00000000-0005-0000-0000-00002CE70000}"/>
    <cellStyle name="SAPBEXHLevel1 3 5" xfId="59183" xr:uid="{00000000-0005-0000-0000-00002DE70000}"/>
    <cellStyle name="SAPBEXHLevel1 4" xfId="59184" xr:uid="{00000000-0005-0000-0000-00002EE70000}"/>
    <cellStyle name="SAPBEXHLevel1 4 2" xfId="59185" xr:uid="{00000000-0005-0000-0000-00002FE70000}"/>
    <cellStyle name="SAPBEXHLevel1 4 2 2" xfId="59186" xr:uid="{00000000-0005-0000-0000-000030E70000}"/>
    <cellStyle name="SAPBEXHLevel1 4 2 2 2" xfId="59187" xr:uid="{00000000-0005-0000-0000-000031E70000}"/>
    <cellStyle name="SAPBEXHLevel1 4 2 3" xfId="59188" xr:uid="{00000000-0005-0000-0000-000032E70000}"/>
    <cellStyle name="SAPBEXHLevel1 4 2 3 2" xfId="59189" xr:uid="{00000000-0005-0000-0000-000033E70000}"/>
    <cellStyle name="SAPBEXHLevel1 4 2 3 3" xfId="59190" xr:uid="{00000000-0005-0000-0000-000034E70000}"/>
    <cellStyle name="SAPBEXHLevel1 4 2 4" xfId="59191" xr:uid="{00000000-0005-0000-0000-000035E70000}"/>
    <cellStyle name="SAPBEXHLevel1 4 2 5" xfId="59192" xr:uid="{00000000-0005-0000-0000-000036E70000}"/>
    <cellStyle name="SAPBEXHLevel1 4 3" xfId="59193" xr:uid="{00000000-0005-0000-0000-000037E70000}"/>
    <cellStyle name="SAPBEXHLevel1 4 3 2" xfId="59194" xr:uid="{00000000-0005-0000-0000-000038E70000}"/>
    <cellStyle name="SAPBEXHLevel1 4 3 3" xfId="59195" xr:uid="{00000000-0005-0000-0000-000039E70000}"/>
    <cellStyle name="SAPBEXHLevel1 4 4" xfId="59196" xr:uid="{00000000-0005-0000-0000-00003AE70000}"/>
    <cellStyle name="SAPBEXHLevel1 4 5" xfId="59197" xr:uid="{00000000-0005-0000-0000-00003BE70000}"/>
    <cellStyle name="SAPBEXHLevel1 5" xfId="59198" xr:uid="{00000000-0005-0000-0000-00003CE70000}"/>
    <cellStyle name="SAPBEXHLevel1 5 2" xfId="59199" xr:uid="{00000000-0005-0000-0000-00003DE70000}"/>
    <cellStyle name="SAPBEXHLevel1 5 2 2" xfId="59200" xr:uid="{00000000-0005-0000-0000-00003EE70000}"/>
    <cellStyle name="SAPBEXHLevel1 5 2 2 2" xfId="59201" xr:uid="{00000000-0005-0000-0000-00003FE70000}"/>
    <cellStyle name="SAPBEXHLevel1 5 2 3" xfId="59202" xr:uid="{00000000-0005-0000-0000-000040E70000}"/>
    <cellStyle name="SAPBEXHLevel1 5 2 3 2" xfId="59203" xr:uid="{00000000-0005-0000-0000-000041E70000}"/>
    <cellStyle name="SAPBEXHLevel1 5 2 3 3" xfId="59204" xr:uid="{00000000-0005-0000-0000-000042E70000}"/>
    <cellStyle name="SAPBEXHLevel1 5 2 4" xfId="59205" xr:uid="{00000000-0005-0000-0000-000043E70000}"/>
    <cellStyle name="SAPBEXHLevel1 5 2 5" xfId="59206" xr:uid="{00000000-0005-0000-0000-000044E70000}"/>
    <cellStyle name="SAPBEXHLevel1 5 3" xfId="59207" xr:uid="{00000000-0005-0000-0000-000045E70000}"/>
    <cellStyle name="SAPBEXHLevel1 5 3 2" xfId="59208" xr:uid="{00000000-0005-0000-0000-000046E70000}"/>
    <cellStyle name="SAPBEXHLevel1 5 3 3" xfId="59209" xr:uid="{00000000-0005-0000-0000-000047E70000}"/>
    <cellStyle name="SAPBEXHLevel1 5 4" xfId="59210" xr:uid="{00000000-0005-0000-0000-000048E70000}"/>
    <cellStyle name="SAPBEXHLevel1 5 5" xfId="59211" xr:uid="{00000000-0005-0000-0000-000049E70000}"/>
    <cellStyle name="SAPBEXHLevel1 6" xfId="59212" xr:uid="{00000000-0005-0000-0000-00004AE70000}"/>
    <cellStyle name="SAPBEXHLevel1 6 2" xfId="59213" xr:uid="{00000000-0005-0000-0000-00004BE70000}"/>
    <cellStyle name="SAPBEXHLevel1 6 2 2" xfId="59214" xr:uid="{00000000-0005-0000-0000-00004CE70000}"/>
    <cellStyle name="SAPBEXHLevel1 6 2 2 2" xfId="59215" xr:uid="{00000000-0005-0000-0000-00004DE70000}"/>
    <cellStyle name="SAPBEXHLevel1 6 2 3" xfId="59216" xr:uid="{00000000-0005-0000-0000-00004EE70000}"/>
    <cellStyle name="SAPBEXHLevel1 6 2 3 2" xfId="59217" xr:uid="{00000000-0005-0000-0000-00004FE70000}"/>
    <cellStyle name="SAPBEXHLevel1 6 2 3 3" xfId="59218" xr:uid="{00000000-0005-0000-0000-000050E70000}"/>
    <cellStyle name="SAPBEXHLevel1 6 2 4" xfId="59219" xr:uid="{00000000-0005-0000-0000-000051E70000}"/>
    <cellStyle name="SAPBEXHLevel1 6 2 5" xfId="59220" xr:uid="{00000000-0005-0000-0000-000052E70000}"/>
    <cellStyle name="SAPBEXHLevel1 6 3" xfId="59221" xr:uid="{00000000-0005-0000-0000-000053E70000}"/>
    <cellStyle name="SAPBEXHLevel1 6 3 2" xfId="59222" xr:uid="{00000000-0005-0000-0000-000054E70000}"/>
    <cellStyle name="SAPBEXHLevel1 6 3 3" xfId="59223" xr:uid="{00000000-0005-0000-0000-000055E70000}"/>
    <cellStyle name="SAPBEXHLevel1 6 4" xfId="59224" xr:uid="{00000000-0005-0000-0000-000056E70000}"/>
    <cellStyle name="SAPBEXHLevel1 6 5" xfId="59225" xr:uid="{00000000-0005-0000-0000-000057E70000}"/>
    <cellStyle name="SAPBEXHLevel1 7" xfId="59226" xr:uid="{00000000-0005-0000-0000-000058E70000}"/>
    <cellStyle name="SAPBEXHLevel1 7 2" xfId="59227" xr:uid="{00000000-0005-0000-0000-000059E70000}"/>
    <cellStyle name="SAPBEXHLevel1 7 2 2" xfId="59228" xr:uid="{00000000-0005-0000-0000-00005AE70000}"/>
    <cellStyle name="SAPBEXHLevel1 7 2 2 2" xfId="59229" xr:uid="{00000000-0005-0000-0000-00005BE70000}"/>
    <cellStyle name="SAPBEXHLevel1 7 2 3" xfId="59230" xr:uid="{00000000-0005-0000-0000-00005CE70000}"/>
    <cellStyle name="SAPBEXHLevel1 7 2 3 2" xfId="59231" xr:uid="{00000000-0005-0000-0000-00005DE70000}"/>
    <cellStyle name="SAPBEXHLevel1 7 2 3 3" xfId="59232" xr:uid="{00000000-0005-0000-0000-00005EE70000}"/>
    <cellStyle name="SAPBEXHLevel1 7 2 4" xfId="59233" xr:uid="{00000000-0005-0000-0000-00005FE70000}"/>
    <cellStyle name="SAPBEXHLevel1 7 2 5" xfId="59234" xr:uid="{00000000-0005-0000-0000-000060E70000}"/>
    <cellStyle name="SAPBEXHLevel1 7 3" xfId="59235" xr:uid="{00000000-0005-0000-0000-000061E70000}"/>
    <cellStyle name="SAPBEXHLevel1 7 3 2" xfId="59236" xr:uid="{00000000-0005-0000-0000-000062E70000}"/>
    <cellStyle name="SAPBEXHLevel1 7 3 3" xfId="59237" xr:uid="{00000000-0005-0000-0000-000063E70000}"/>
    <cellStyle name="SAPBEXHLevel1 7 4" xfId="59238" xr:uid="{00000000-0005-0000-0000-000064E70000}"/>
    <cellStyle name="SAPBEXHLevel1 7 5" xfId="59239" xr:uid="{00000000-0005-0000-0000-000065E70000}"/>
    <cellStyle name="SAPBEXHLevel1 8" xfId="59240" xr:uid="{00000000-0005-0000-0000-000066E70000}"/>
    <cellStyle name="SAPBEXHLevel1 8 2" xfId="59241" xr:uid="{00000000-0005-0000-0000-000067E70000}"/>
    <cellStyle name="SAPBEXHLevel1 8 2 2" xfId="59242" xr:uid="{00000000-0005-0000-0000-000068E70000}"/>
    <cellStyle name="SAPBEXHLevel1 8 2 2 2" xfId="59243" xr:uid="{00000000-0005-0000-0000-000069E70000}"/>
    <cellStyle name="SAPBEXHLevel1 8 2 3" xfId="59244" xr:uid="{00000000-0005-0000-0000-00006AE70000}"/>
    <cellStyle name="SAPBEXHLevel1 8 2 3 2" xfId="59245" xr:uid="{00000000-0005-0000-0000-00006BE70000}"/>
    <cellStyle name="SAPBEXHLevel1 8 2 3 3" xfId="59246" xr:uid="{00000000-0005-0000-0000-00006CE70000}"/>
    <cellStyle name="SAPBEXHLevel1 8 2 4" xfId="59247" xr:uid="{00000000-0005-0000-0000-00006DE70000}"/>
    <cellStyle name="SAPBEXHLevel1 8 2 5" xfId="59248" xr:uid="{00000000-0005-0000-0000-00006EE70000}"/>
    <cellStyle name="SAPBEXHLevel1 8 3" xfId="59249" xr:uid="{00000000-0005-0000-0000-00006FE70000}"/>
    <cellStyle name="SAPBEXHLevel1 8 3 2" xfId="59250" xr:uid="{00000000-0005-0000-0000-000070E70000}"/>
    <cellStyle name="SAPBEXHLevel1 8 3 3" xfId="59251" xr:uid="{00000000-0005-0000-0000-000071E70000}"/>
    <cellStyle name="SAPBEXHLevel1 8 4" xfId="59252" xr:uid="{00000000-0005-0000-0000-000072E70000}"/>
    <cellStyle name="SAPBEXHLevel1 8 5" xfId="59253" xr:uid="{00000000-0005-0000-0000-000073E70000}"/>
    <cellStyle name="SAPBEXHLevel1 9" xfId="59254" xr:uid="{00000000-0005-0000-0000-000074E70000}"/>
    <cellStyle name="SAPBEXHLevel1 9 2" xfId="59255" xr:uid="{00000000-0005-0000-0000-000075E70000}"/>
    <cellStyle name="SAPBEXHLevel1 9 2 2" xfId="59256" xr:uid="{00000000-0005-0000-0000-000076E70000}"/>
    <cellStyle name="SAPBEXHLevel1 9 2 2 2" xfId="59257" xr:uid="{00000000-0005-0000-0000-000077E70000}"/>
    <cellStyle name="SAPBEXHLevel1 9 2 3" xfId="59258" xr:uid="{00000000-0005-0000-0000-000078E70000}"/>
    <cellStyle name="SAPBEXHLevel1 9 2 3 2" xfId="59259" xr:uid="{00000000-0005-0000-0000-000079E70000}"/>
    <cellStyle name="SAPBEXHLevel1 9 2 3 3" xfId="59260" xr:uid="{00000000-0005-0000-0000-00007AE70000}"/>
    <cellStyle name="SAPBEXHLevel1 9 2 4" xfId="59261" xr:uid="{00000000-0005-0000-0000-00007BE70000}"/>
    <cellStyle name="SAPBEXHLevel1 9 2 5" xfId="59262" xr:uid="{00000000-0005-0000-0000-00007CE70000}"/>
    <cellStyle name="SAPBEXHLevel1 9 3" xfId="59263" xr:uid="{00000000-0005-0000-0000-00007DE70000}"/>
    <cellStyle name="SAPBEXHLevel1 9 3 2" xfId="59264" xr:uid="{00000000-0005-0000-0000-00007EE70000}"/>
    <cellStyle name="SAPBEXHLevel1 9 3 3" xfId="59265" xr:uid="{00000000-0005-0000-0000-00007FE70000}"/>
    <cellStyle name="SAPBEXHLevel1 9 4" xfId="59266" xr:uid="{00000000-0005-0000-0000-000080E70000}"/>
    <cellStyle name="SAPBEXHLevel1 9 5" xfId="59267" xr:uid="{00000000-0005-0000-0000-000081E70000}"/>
    <cellStyle name="SAPBEXHLevel1X" xfId="59268" xr:uid="{00000000-0005-0000-0000-000082E70000}"/>
    <cellStyle name="SAPBEXHLevel1X 10" xfId="59269" xr:uid="{00000000-0005-0000-0000-000083E70000}"/>
    <cellStyle name="SAPBEXHLevel1X 10 2" xfId="59270" xr:uid="{00000000-0005-0000-0000-000084E70000}"/>
    <cellStyle name="SAPBEXHLevel1X 10 2 2" xfId="59271" xr:uid="{00000000-0005-0000-0000-000085E70000}"/>
    <cellStyle name="SAPBEXHLevel1X 10 2 2 2" xfId="59272" xr:uid="{00000000-0005-0000-0000-000086E70000}"/>
    <cellStyle name="SAPBEXHLevel1X 10 2 3" xfId="59273" xr:uid="{00000000-0005-0000-0000-000087E70000}"/>
    <cellStyle name="SAPBEXHLevel1X 10 2 3 2" xfId="59274" xr:uid="{00000000-0005-0000-0000-000088E70000}"/>
    <cellStyle name="SAPBEXHLevel1X 10 2 3 3" xfId="59275" xr:uid="{00000000-0005-0000-0000-000089E70000}"/>
    <cellStyle name="SAPBEXHLevel1X 10 2 4" xfId="59276" xr:uid="{00000000-0005-0000-0000-00008AE70000}"/>
    <cellStyle name="SAPBEXHLevel1X 10 2 5" xfId="59277" xr:uid="{00000000-0005-0000-0000-00008BE70000}"/>
    <cellStyle name="SAPBEXHLevel1X 10 3" xfId="59278" xr:uid="{00000000-0005-0000-0000-00008CE70000}"/>
    <cellStyle name="SAPBEXHLevel1X 10 3 2" xfId="59279" xr:uid="{00000000-0005-0000-0000-00008DE70000}"/>
    <cellStyle name="SAPBEXHLevel1X 10 4" xfId="59280" xr:uid="{00000000-0005-0000-0000-00008EE70000}"/>
    <cellStyle name="SAPBEXHLevel1X 10 4 2" xfId="59281" xr:uid="{00000000-0005-0000-0000-00008FE70000}"/>
    <cellStyle name="SAPBEXHLevel1X 10 4 3" xfId="59282" xr:uid="{00000000-0005-0000-0000-000090E70000}"/>
    <cellStyle name="SAPBEXHLevel1X 10 5" xfId="59283" xr:uid="{00000000-0005-0000-0000-000091E70000}"/>
    <cellStyle name="SAPBEXHLevel1X 10 6" xfId="59284" xr:uid="{00000000-0005-0000-0000-000092E70000}"/>
    <cellStyle name="SAPBEXHLevel1X 11" xfId="59285" xr:uid="{00000000-0005-0000-0000-000093E70000}"/>
    <cellStyle name="SAPBEXHLevel1X 11 2" xfId="59286" xr:uid="{00000000-0005-0000-0000-000094E70000}"/>
    <cellStyle name="SAPBEXHLevel1X 11 2 2" xfId="59287" xr:uid="{00000000-0005-0000-0000-000095E70000}"/>
    <cellStyle name="SAPBEXHLevel1X 11 2 2 2" xfId="59288" xr:uid="{00000000-0005-0000-0000-000096E70000}"/>
    <cellStyle name="SAPBEXHLevel1X 11 2 3" xfId="59289" xr:uid="{00000000-0005-0000-0000-000097E70000}"/>
    <cellStyle name="SAPBEXHLevel1X 11 2 3 2" xfId="59290" xr:uid="{00000000-0005-0000-0000-000098E70000}"/>
    <cellStyle name="SAPBEXHLevel1X 11 2 3 3" xfId="59291" xr:uid="{00000000-0005-0000-0000-000099E70000}"/>
    <cellStyle name="SAPBEXHLevel1X 11 2 4" xfId="59292" xr:uid="{00000000-0005-0000-0000-00009AE70000}"/>
    <cellStyle name="SAPBEXHLevel1X 11 2 5" xfId="59293" xr:uid="{00000000-0005-0000-0000-00009BE70000}"/>
    <cellStyle name="SAPBEXHLevel1X 11 3" xfId="59294" xr:uid="{00000000-0005-0000-0000-00009CE70000}"/>
    <cellStyle name="SAPBEXHLevel1X 11 3 2" xfId="59295" xr:uid="{00000000-0005-0000-0000-00009DE70000}"/>
    <cellStyle name="SAPBEXHLevel1X 11 4" xfId="59296" xr:uid="{00000000-0005-0000-0000-00009EE70000}"/>
    <cellStyle name="SAPBEXHLevel1X 11 4 2" xfId="59297" xr:uid="{00000000-0005-0000-0000-00009FE70000}"/>
    <cellStyle name="SAPBEXHLevel1X 11 4 3" xfId="59298" xr:uid="{00000000-0005-0000-0000-0000A0E70000}"/>
    <cellStyle name="SAPBEXHLevel1X 11 5" xfId="59299" xr:uid="{00000000-0005-0000-0000-0000A1E70000}"/>
    <cellStyle name="SAPBEXHLevel1X 11 6" xfId="59300" xr:uid="{00000000-0005-0000-0000-0000A2E70000}"/>
    <cellStyle name="SAPBEXHLevel1X 12" xfId="59301" xr:uid="{00000000-0005-0000-0000-0000A3E70000}"/>
    <cellStyle name="SAPBEXHLevel1X 12 2" xfId="59302" xr:uid="{00000000-0005-0000-0000-0000A4E70000}"/>
    <cellStyle name="SAPBEXHLevel1X 12 2 2" xfId="59303" xr:uid="{00000000-0005-0000-0000-0000A5E70000}"/>
    <cellStyle name="SAPBEXHLevel1X 12 2 2 2" xfId="59304" xr:uid="{00000000-0005-0000-0000-0000A6E70000}"/>
    <cellStyle name="SAPBEXHLevel1X 12 2 3" xfId="59305" xr:uid="{00000000-0005-0000-0000-0000A7E70000}"/>
    <cellStyle name="SAPBEXHLevel1X 12 2 3 2" xfId="59306" xr:uid="{00000000-0005-0000-0000-0000A8E70000}"/>
    <cellStyle name="SAPBEXHLevel1X 12 2 3 3" xfId="59307" xr:uid="{00000000-0005-0000-0000-0000A9E70000}"/>
    <cellStyle name="SAPBEXHLevel1X 12 2 4" xfId="59308" xr:uid="{00000000-0005-0000-0000-0000AAE70000}"/>
    <cellStyle name="SAPBEXHLevel1X 12 2 5" xfId="59309" xr:uid="{00000000-0005-0000-0000-0000ABE70000}"/>
    <cellStyle name="SAPBEXHLevel1X 12 3" xfId="59310" xr:uid="{00000000-0005-0000-0000-0000ACE70000}"/>
    <cellStyle name="SAPBEXHLevel1X 12 3 2" xfId="59311" xr:uid="{00000000-0005-0000-0000-0000ADE70000}"/>
    <cellStyle name="SAPBEXHLevel1X 12 4" xfId="59312" xr:uid="{00000000-0005-0000-0000-0000AEE70000}"/>
    <cellStyle name="SAPBEXHLevel1X 12 4 2" xfId="59313" xr:uid="{00000000-0005-0000-0000-0000AFE70000}"/>
    <cellStyle name="SAPBEXHLevel1X 12 4 3" xfId="59314" xr:uid="{00000000-0005-0000-0000-0000B0E70000}"/>
    <cellStyle name="SAPBEXHLevel1X 12 5" xfId="59315" xr:uid="{00000000-0005-0000-0000-0000B1E70000}"/>
    <cellStyle name="SAPBEXHLevel1X 12 6" xfId="59316" xr:uid="{00000000-0005-0000-0000-0000B2E70000}"/>
    <cellStyle name="SAPBEXHLevel1X 13" xfId="59317" xr:uid="{00000000-0005-0000-0000-0000B3E70000}"/>
    <cellStyle name="SAPBEXHLevel1X 13 2" xfId="59318" xr:uid="{00000000-0005-0000-0000-0000B4E70000}"/>
    <cellStyle name="SAPBEXHLevel1X 13 2 2" xfId="59319" xr:uid="{00000000-0005-0000-0000-0000B5E70000}"/>
    <cellStyle name="SAPBEXHLevel1X 13 3" xfId="59320" xr:uid="{00000000-0005-0000-0000-0000B6E70000}"/>
    <cellStyle name="SAPBEXHLevel1X 13 3 2" xfId="59321" xr:uid="{00000000-0005-0000-0000-0000B7E70000}"/>
    <cellStyle name="SAPBEXHLevel1X 13 3 3" xfId="59322" xr:uid="{00000000-0005-0000-0000-0000B8E70000}"/>
    <cellStyle name="SAPBEXHLevel1X 13 4" xfId="59323" xr:uid="{00000000-0005-0000-0000-0000B9E70000}"/>
    <cellStyle name="SAPBEXHLevel1X 13 5" xfId="59324" xr:uid="{00000000-0005-0000-0000-0000BAE70000}"/>
    <cellStyle name="SAPBEXHLevel1X 14" xfId="59325" xr:uid="{00000000-0005-0000-0000-0000BBE70000}"/>
    <cellStyle name="SAPBEXHLevel1X 14 2" xfId="59326" xr:uid="{00000000-0005-0000-0000-0000BCE70000}"/>
    <cellStyle name="SAPBEXHLevel1X 14 2 2" xfId="59327" xr:uid="{00000000-0005-0000-0000-0000BDE70000}"/>
    <cellStyle name="SAPBEXHLevel1X 14 3" xfId="59328" xr:uid="{00000000-0005-0000-0000-0000BEE70000}"/>
    <cellStyle name="SAPBEXHLevel1X 15" xfId="59329" xr:uid="{00000000-0005-0000-0000-0000BFE70000}"/>
    <cellStyle name="SAPBEXHLevel1X 15 2" xfId="59330" xr:uid="{00000000-0005-0000-0000-0000C0E70000}"/>
    <cellStyle name="SAPBEXHLevel1X 15 3" xfId="59331" xr:uid="{00000000-0005-0000-0000-0000C1E70000}"/>
    <cellStyle name="SAPBEXHLevel1X 16" xfId="59332" xr:uid="{00000000-0005-0000-0000-0000C2E70000}"/>
    <cellStyle name="SAPBEXHLevel1X 17" xfId="59333" xr:uid="{00000000-0005-0000-0000-0000C3E70000}"/>
    <cellStyle name="SAPBEXHLevel1X 2" xfId="59334" xr:uid="{00000000-0005-0000-0000-0000C4E70000}"/>
    <cellStyle name="SAPBEXHLevel1X 2 2" xfId="59335" xr:uid="{00000000-0005-0000-0000-0000C5E70000}"/>
    <cellStyle name="SAPBEXHLevel1X 2 2 2" xfId="59336" xr:uid="{00000000-0005-0000-0000-0000C6E70000}"/>
    <cellStyle name="SAPBEXHLevel1X 2 2 2 2" xfId="59337" xr:uid="{00000000-0005-0000-0000-0000C7E70000}"/>
    <cellStyle name="SAPBEXHLevel1X 2 2 3" xfId="59338" xr:uid="{00000000-0005-0000-0000-0000C8E70000}"/>
    <cellStyle name="SAPBEXHLevel1X 2 2 3 2" xfId="59339" xr:uid="{00000000-0005-0000-0000-0000C9E70000}"/>
    <cellStyle name="SAPBEXHLevel1X 2 2 3 3" xfId="59340" xr:uid="{00000000-0005-0000-0000-0000CAE70000}"/>
    <cellStyle name="SAPBEXHLevel1X 2 2 4" xfId="59341" xr:uid="{00000000-0005-0000-0000-0000CBE70000}"/>
    <cellStyle name="SAPBEXHLevel1X 2 2 5" xfId="59342" xr:uid="{00000000-0005-0000-0000-0000CCE70000}"/>
    <cellStyle name="SAPBEXHLevel1X 2 3" xfId="59343" xr:uid="{00000000-0005-0000-0000-0000CDE70000}"/>
    <cellStyle name="SAPBEXHLevel1X 2 3 2" xfId="59344" xr:uid="{00000000-0005-0000-0000-0000CEE70000}"/>
    <cellStyle name="SAPBEXHLevel1X 2 4" xfId="59345" xr:uid="{00000000-0005-0000-0000-0000CFE70000}"/>
    <cellStyle name="SAPBEXHLevel1X 2 4 2" xfId="59346" xr:uid="{00000000-0005-0000-0000-0000D0E70000}"/>
    <cellStyle name="SAPBEXHLevel1X 2 4 3" xfId="59347" xr:uid="{00000000-0005-0000-0000-0000D1E70000}"/>
    <cellStyle name="SAPBEXHLevel1X 2 5" xfId="59348" xr:uid="{00000000-0005-0000-0000-0000D2E70000}"/>
    <cellStyle name="SAPBEXHLevel1X 2 6" xfId="59349" xr:uid="{00000000-0005-0000-0000-0000D3E70000}"/>
    <cellStyle name="SAPBEXHLevel1X 3" xfId="59350" xr:uid="{00000000-0005-0000-0000-0000D4E70000}"/>
    <cellStyle name="SAPBEXHLevel1X 3 2" xfId="59351" xr:uid="{00000000-0005-0000-0000-0000D5E70000}"/>
    <cellStyle name="SAPBEXHLevel1X 3 2 2" xfId="59352" xr:uid="{00000000-0005-0000-0000-0000D6E70000}"/>
    <cellStyle name="SAPBEXHLevel1X 3 2 2 2" xfId="59353" xr:uid="{00000000-0005-0000-0000-0000D7E70000}"/>
    <cellStyle name="SAPBEXHLevel1X 3 2 3" xfId="59354" xr:uid="{00000000-0005-0000-0000-0000D8E70000}"/>
    <cellStyle name="SAPBEXHLevel1X 3 2 3 2" xfId="59355" xr:uid="{00000000-0005-0000-0000-0000D9E70000}"/>
    <cellStyle name="SAPBEXHLevel1X 3 2 3 3" xfId="59356" xr:uid="{00000000-0005-0000-0000-0000DAE70000}"/>
    <cellStyle name="SAPBEXHLevel1X 3 2 4" xfId="59357" xr:uid="{00000000-0005-0000-0000-0000DBE70000}"/>
    <cellStyle name="SAPBEXHLevel1X 3 2 5" xfId="59358" xr:uid="{00000000-0005-0000-0000-0000DCE70000}"/>
    <cellStyle name="SAPBEXHLevel1X 3 3" xfId="59359" xr:uid="{00000000-0005-0000-0000-0000DDE70000}"/>
    <cellStyle name="SAPBEXHLevel1X 3 3 2" xfId="59360" xr:uid="{00000000-0005-0000-0000-0000DEE70000}"/>
    <cellStyle name="SAPBEXHLevel1X 3 4" xfId="59361" xr:uid="{00000000-0005-0000-0000-0000DFE70000}"/>
    <cellStyle name="SAPBEXHLevel1X 3 4 2" xfId="59362" xr:uid="{00000000-0005-0000-0000-0000E0E70000}"/>
    <cellStyle name="SAPBEXHLevel1X 3 4 3" xfId="59363" xr:uid="{00000000-0005-0000-0000-0000E1E70000}"/>
    <cellStyle name="SAPBEXHLevel1X 3 5" xfId="59364" xr:uid="{00000000-0005-0000-0000-0000E2E70000}"/>
    <cellStyle name="SAPBEXHLevel1X 3 6" xfId="59365" xr:uid="{00000000-0005-0000-0000-0000E3E70000}"/>
    <cellStyle name="SAPBEXHLevel1X 4" xfId="59366" xr:uid="{00000000-0005-0000-0000-0000E4E70000}"/>
    <cellStyle name="SAPBEXHLevel1X 4 2" xfId="59367" xr:uid="{00000000-0005-0000-0000-0000E5E70000}"/>
    <cellStyle name="SAPBEXHLevel1X 4 2 2" xfId="59368" xr:uid="{00000000-0005-0000-0000-0000E6E70000}"/>
    <cellStyle name="SAPBEXHLevel1X 4 2 2 2" xfId="59369" xr:uid="{00000000-0005-0000-0000-0000E7E70000}"/>
    <cellStyle name="SAPBEXHLevel1X 4 2 3" xfId="59370" xr:uid="{00000000-0005-0000-0000-0000E8E70000}"/>
    <cellStyle name="SAPBEXHLevel1X 4 2 3 2" xfId="59371" xr:uid="{00000000-0005-0000-0000-0000E9E70000}"/>
    <cellStyle name="SAPBEXHLevel1X 4 2 3 3" xfId="59372" xr:uid="{00000000-0005-0000-0000-0000EAE70000}"/>
    <cellStyle name="SAPBEXHLevel1X 4 2 4" xfId="59373" xr:uid="{00000000-0005-0000-0000-0000EBE70000}"/>
    <cellStyle name="SAPBEXHLevel1X 4 2 5" xfId="59374" xr:uid="{00000000-0005-0000-0000-0000ECE70000}"/>
    <cellStyle name="SAPBEXHLevel1X 4 3" xfId="59375" xr:uid="{00000000-0005-0000-0000-0000EDE70000}"/>
    <cellStyle name="SAPBEXHLevel1X 4 3 2" xfId="59376" xr:uid="{00000000-0005-0000-0000-0000EEE70000}"/>
    <cellStyle name="SAPBEXHLevel1X 4 4" xfId="59377" xr:uid="{00000000-0005-0000-0000-0000EFE70000}"/>
    <cellStyle name="SAPBEXHLevel1X 4 4 2" xfId="59378" xr:uid="{00000000-0005-0000-0000-0000F0E70000}"/>
    <cellStyle name="SAPBEXHLevel1X 4 4 3" xfId="59379" xr:uid="{00000000-0005-0000-0000-0000F1E70000}"/>
    <cellStyle name="SAPBEXHLevel1X 4 5" xfId="59380" xr:uid="{00000000-0005-0000-0000-0000F2E70000}"/>
    <cellStyle name="SAPBEXHLevel1X 4 6" xfId="59381" xr:uid="{00000000-0005-0000-0000-0000F3E70000}"/>
    <cellStyle name="SAPBEXHLevel1X 5" xfId="59382" xr:uid="{00000000-0005-0000-0000-0000F4E70000}"/>
    <cellStyle name="SAPBEXHLevel1X 5 2" xfId="59383" xr:uid="{00000000-0005-0000-0000-0000F5E70000}"/>
    <cellStyle name="SAPBEXHLevel1X 5 2 2" xfId="59384" xr:uid="{00000000-0005-0000-0000-0000F6E70000}"/>
    <cellStyle name="SAPBEXHLevel1X 5 2 2 2" xfId="59385" xr:uid="{00000000-0005-0000-0000-0000F7E70000}"/>
    <cellStyle name="SAPBEXHLevel1X 5 2 3" xfId="59386" xr:uid="{00000000-0005-0000-0000-0000F8E70000}"/>
    <cellStyle name="SAPBEXHLevel1X 5 2 3 2" xfId="59387" xr:uid="{00000000-0005-0000-0000-0000F9E70000}"/>
    <cellStyle name="SAPBEXHLevel1X 5 2 3 3" xfId="59388" xr:uid="{00000000-0005-0000-0000-0000FAE70000}"/>
    <cellStyle name="SAPBEXHLevel1X 5 2 4" xfId="59389" xr:uid="{00000000-0005-0000-0000-0000FBE70000}"/>
    <cellStyle name="SAPBEXHLevel1X 5 2 5" xfId="59390" xr:uid="{00000000-0005-0000-0000-0000FCE70000}"/>
    <cellStyle name="SAPBEXHLevel1X 5 3" xfId="59391" xr:uid="{00000000-0005-0000-0000-0000FDE70000}"/>
    <cellStyle name="SAPBEXHLevel1X 5 3 2" xfId="59392" xr:uid="{00000000-0005-0000-0000-0000FEE70000}"/>
    <cellStyle name="SAPBEXHLevel1X 5 4" xfId="59393" xr:uid="{00000000-0005-0000-0000-0000FFE70000}"/>
    <cellStyle name="SAPBEXHLevel1X 5 4 2" xfId="59394" xr:uid="{00000000-0005-0000-0000-000000E80000}"/>
    <cellStyle name="SAPBEXHLevel1X 5 4 3" xfId="59395" xr:uid="{00000000-0005-0000-0000-000001E80000}"/>
    <cellStyle name="SAPBEXHLevel1X 5 5" xfId="59396" xr:uid="{00000000-0005-0000-0000-000002E80000}"/>
    <cellStyle name="SAPBEXHLevel1X 5 6" xfId="59397" xr:uid="{00000000-0005-0000-0000-000003E80000}"/>
    <cellStyle name="SAPBEXHLevel1X 6" xfId="59398" xr:uid="{00000000-0005-0000-0000-000004E80000}"/>
    <cellStyle name="SAPBEXHLevel1X 6 2" xfId="59399" xr:uid="{00000000-0005-0000-0000-000005E80000}"/>
    <cellStyle name="SAPBEXHLevel1X 6 2 2" xfId="59400" xr:uid="{00000000-0005-0000-0000-000006E80000}"/>
    <cellStyle name="SAPBEXHLevel1X 6 2 2 2" xfId="59401" xr:uid="{00000000-0005-0000-0000-000007E80000}"/>
    <cellStyle name="SAPBEXHLevel1X 6 2 3" xfId="59402" xr:uid="{00000000-0005-0000-0000-000008E80000}"/>
    <cellStyle name="SAPBEXHLevel1X 6 2 3 2" xfId="59403" xr:uid="{00000000-0005-0000-0000-000009E80000}"/>
    <cellStyle name="SAPBEXHLevel1X 6 2 3 3" xfId="59404" xr:uid="{00000000-0005-0000-0000-00000AE80000}"/>
    <cellStyle name="SAPBEXHLevel1X 6 2 4" xfId="59405" xr:uid="{00000000-0005-0000-0000-00000BE80000}"/>
    <cellStyle name="SAPBEXHLevel1X 6 2 5" xfId="59406" xr:uid="{00000000-0005-0000-0000-00000CE80000}"/>
    <cellStyle name="SAPBEXHLevel1X 6 3" xfId="59407" xr:uid="{00000000-0005-0000-0000-00000DE80000}"/>
    <cellStyle name="SAPBEXHLevel1X 6 3 2" xfId="59408" xr:uid="{00000000-0005-0000-0000-00000EE80000}"/>
    <cellStyle name="SAPBEXHLevel1X 6 4" xfId="59409" xr:uid="{00000000-0005-0000-0000-00000FE80000}"/>
    <cellStyle name="SAPBEXHLevel1X 6 4 2" xfId="59410" xr:uid="{00000000-0005-0000-0000-000010E80000}"/>
    <cellStyle name="SAPBEXHLevel1X 6 4 3" xfId="59411" xr:uid="{00000000-0005-0000-0000-000011E80000}"/>
    <cellStyle name="SAPBEXHLevel1X 6 5" xfId="59412" xr:uid="{00000000-0005-0000-0000-000012E80000}"/>
    <cellStyle name="SAPBEXHLevel1X 6 6" xfId="59413" xr:uid="{00000000-0005-0000-0000-000013E80000}"/>
    <cellStyle name="SAPBEXHLevel1X 7" xfId="59414" xr:uid="{00000000-0005-0000-0000-000014E80000}"/>
    <cellStyle name="SAPBEXHLevel1X 7 2" xfId="59415" xr:uid="{00000000-0005-0000-0000-000015E80000}"/>
    <cellStyle name="SAPBEXHLevel1X 7 2 2" xfId="59416" xr:uid="{00000000-0005-0000-0000-000016E80000}"/>
    <cellStyle name="SAPBEXHLevel1X 7 2 2 2" xfId="59417" xr:uid="{00000000-0005-0000-0000-000017E80000}"/>
    <cellStyle name="SAPBEXHLevel1X 7 2 3" xfId="59418" xr:uid="{00000000-0005-0000-0000-000018E80000}"/>
    <cellStyle name="SAPBEXHLevel1X 7 2 3 2" xfId="59419" xr:uid="{00000000-0005-0000-0000-000019E80000}"/>
    <cellStyle name="SAPBEXHLevel1X 7 2 3 3" xfId="59420" xr:uid="{00000000-0005-0000-0000-00001AE80000}"/>
    <cellStyle name="SAPBEXHLevel1X 7 2 4" xfId="59421" xr:uid="{00000000-0005-0000-0000-00001BE80000}"/>
    <cellStyle name="SAPBEXHLevel1X 7 2 5" xfId="59422" xr:uid="{00000000-0005-0000-0000-00001CE80000}"/>
    <cellStyle name="SAPBEXHLevel1X 7 3" xfId="59423" xr:uid="{00000000-0005-0000-0000-00001DE80000}"/>
    <cellStyle name="SAPBEXHLevel1X 7 3 2" xfId="59424" xr:uid="{00000000-0005-0000-0000-00001EE80000}"/>
    <cellStyle name="SAPBEXHLevel1X 7 4" xfId="59425" xr:uid="{00000000-0005-0000-0000-00001FE80000}"/>
    <cellStyle name="SAPBEXHLevel1X 7 4 2" xfId="59426" xr:uid="{00000000-0005-0000-0000-000020E80000}"/>
    <cellStyle name="SAPBEXHLevel1X 7 4 3" xfId="59427" xr:uid="{00000000-0005-0000-0000-000021E80000}"/>
    <cellStyle name="SAPBEXHLevel1X 7 5" xfId="59428" xr:uid="{00000000-0005-0000-0000-000022E80000}"/>
    <cellStyle name="SAPBEXHLevel1X 7 6" xfId="59429" xr:uid="{00000000-0005-0000-0000-000023E80000}"/>
    <cellStyle name="SAPBEXHLevel1X 8" xfId="59430" xr:uid="{00000000-0005-0000-0000-000024E80000}"/>
    <cellStyle name="SAPBEXHLevel1X 8 2" xfId="59431" xr:uid="{00000000-0005-0000-0000-000025E80000}"/>
    <cellStyle name="SAPBEXHLevel1X 8 2 2" xfId="59432" xr:uid="{00000000-0005-0000-0000-000026E80000}"/>
    <cellStyle name="SAPBEXHLevel1X 8 2 2 2" xfId="59433" xr:uid="{00000000-0005-0000-0000-000027E80000}"/>
    <cellStyle name="SAPBEXHLevel1X 8 2 3" xfId="59434" xr:uid="{00000000-0005-0000-0000-000028E80000}"/>
    <cellStyle name="SAPBEXHLevel1X 8 2 3 2" xfId="59435" xr:uid="{00000000-0005-0000-0000-000029E80000}"/>
    <cellStyle name="SAPBEXHLevel1X 8 2 3 3" xfId="59436" xr:uid="{00000000-0005-0000-0000-00002AE80000}"/>
    <cellStyle name="SAPBEXHLevel1X 8 2 4" xfId="59437" xr:uid="{00000000-0005-0000-0000-00002BE80000}"/>
    <cellStyle name="SAPBEXHLevel1X 8 2 5" xfId="59438" xr:uid="{00000000-0005-0000-0000-00002CE80000}"/>
    <cellStyle name="SAPBEXHLevel1X 8 3" xfId="59439" xr:uid="{00000000-0005-0000-0000-00002DE80000}"/>
    <cellStyle name="SAPBEXHLevel1X 8 3 2" xfId="59440" xr:uid="{00000000-0005-0000-0000-00002EE80000}"/>
    <cellStyle name="SAPBEXHLevel1X 8 4" xfId="59441" xr:uid="{00000000-0005-0000-0000-00002FE80000}"/>
    <cellStyle name="SAPBEXHLevel1X 8 4 2" xfId="59442" xr:uid="{00000000-0005-0000-0000-000030E80000}"/>
    <cellStyle name="SAPBEXHLevel1X 8 4 3" xfId="59443" xr:uid="{00000000-0005-0000-0000-000031E80000}"/>
    <cellStyle name="SAPBEXHLevel1X 8 5" xfId="59444" xr:uid="{00000000-0005-0000-0000-000032E80000}"/>
    <cellStyle name="SAPBEXHLevel1X 8 6" xfId="59445" xr:uid="{00000000-0005-0000-0000-000033E80000}"/>
    <cellStyle name="SAPBEXHLevel1X 9" xfId="59446" xr:uid="{00000000-0005-0000-0000-000034E80000}"/>
    <cellStyle name="SAPBEXHLevel1X 9 2" xfId="59447" xr:uid="{00000000-0005-0000-0000-000035E80000}"/>
    <cellStyle name="SAPBEXHLevel1X 9 2 2" xfId="59448" xr:uid="{00000000-0005-0000-0000-000036E80000}"/>
    <cellStyle name="SAPBEXHLevel1X 9 2 2 2" xfId="59449" xr:uid="{00000000-0005-0000-0000-000037E80000}"/>
    <cellStyle name="SAPBEXHLevel1X 9 2 3" xfId="59450" xr:uid="{00000000-0005-0000-0000-000038E80000}"/>
    <cellStyle name="SAPBEXHLevel1X 9 2 3 2" xfId="59451" xr:uid="{00000000-0005-0000-0000-000039E80000}"/>
    <cellStyle name="SAPBEXHLevel1X 9 2 3 3" xfId="59452" xr:uid="{00000000-0005-0000-0000-00003AE80000}"/>
    <cellStyle name="SAPBEXHLevel1X 9 2 4" xfId="59453" xr:uid="{00000000-0005-0000-0000-00003BE80000}"/>
    <cellStyle name="SAPBEXHLevel1X 9 2 5" xfId="59454" xr:uid="{00000000-0005-0000-0000-00003CE80000}"/>
    <cellStyle name="SAPBEXHLevel1X 9 3" xfId="59455" xr:uid="{00000000-0005-0000-0000-00003DE80000}"/>
    <cellStyle name="SAPBEXHLevel1X 9 3 2" xfId="59456" xr:uid="{00000000-0005-0000-0000-00003EE80000}"/>
    <cellStyle name="SAPBEXHLevel1X 9 4" xfId="59457" xr:uid="{00000000-0005-0000-0000-00003FE80000}"/>
    <cellStyle name="SAPBEXHLevel1X 9 4 2" xfId="59458" xr:uid="{00000000-0005-0000-0000-000040E80000}"/>
    <cellStyle name="SAPBEXHLevel1X 9 4 3" xfId="59459" xr:uid="{00000000-0005-0000-0000-000041E80000}"/>
    <cellStyle name="SAPBEXHLevel1X 9 5" xfId="59460" xr:uid="{00000000-0005-0000-0000-000042E80000}"/>
    <cellStyle name="SAPBEXHLevel1X 9 6" xfId="59461" xr:uid="{00000000-0005-0000-0000-000043E80000}"/>
    <cellStyle name="SAPBEXHLevel2" xfId="59462" xr:uid="{00000000-0005-0000-0000-000044E80000}"/>
    <cellStyle name="SAPBEXHLevel2 10" xfId="59463" xr:uid="{00000000-0005-0000-0000-000045E80000}"/>
    <cellStyle name="SAPBEXHLevel2 10 2" xfId="59464" xr:uid="{00000000-0005-0000-0000-000046E80000}"/>
    <cellStyle name="SAPBEXHLevel2 10 2 2" xfId="59465" xr:uid="{00000000-0005-0000-0000-000047E80000}"/>
    <cellStyle name="SAPBEXHLevel2 10 2 2 2" xfId="59466" xr:uid="{00000000-0005-0000-0000-000048E80000}"/>
    <cellStyle name="SAPBEXHLevel2 10 2 3" xfId="59467" xr:uid="{00000000-0005-0000-0000-000049E80000}"/>
    <cellStyle name="SAPBEXHLevel2 10 2 3 2" xfId="59468" xr:uid="{00000000-0005-0000-0000-00004AE80000}"/>
    <cellStyle name="SAPBEXHLevel2 10 2 3 3" xfId="59469" xr:uid="{00000000-0005-0000-0000-00004BE80000}"/>
    <cellStyle name="SAPBEXHLevel2 10 2 4" xfId="59470" xr:uid="{00000000-0005-0000-0000-00004CE80000}"/>
    <cellStyle name="SAPBEXHLevel2 10 2 5" xfId="59471" xr:uid="{00000000-0005-0000-0000-00004DE80000}"/>
    <cellStyle name="SAPBEXHLevel2 10 3" xfId="59472" xr:uid="{00000000-0005-0000-0000-00004EE80000}"/>
    <cellStyle name="SAPBEXHLevel2 10 3 2" xfId="59473" xr:uid="{00000000-0005-0000-0000-00004FE80000}"/>
    <cellStyle name="SAPBEXHLevel2 10 3 3" xfId="59474" xr:uid="{00000000-0005-0000-0000-000050E80000}"/>
    <cellStyle name="SAPBEXHLevel2 10 4" xfId="59475" xr:uid="{00000000-0005-0000-0000-000051E80000}"/>
    <cellStyle name="SAPBEXHLevel2 10 5" xfId="59476" xr:uid="{00000000-0005-0000-0000-000052E80000}"/>
    <cellStyle name="SAPBEXHLevel2 11" xfId="59477" xr:uid="{00000000-0005-0000-0000-000053E80000}"/>
    <cellStyle name="SAPBEXHLevel2 11 2" xfId="59478" xr:uid="{00000000-0005-0000-0000-000054E80000}"/>
    <cellStyle name="SAPBEXHLevel2 11 2 2" xfId="59479" xr:uid="{00000000-0005-0000-0000-000055E80000}"/>
    <cellStyle name="SAPBEXHLevel2 11 2 2 2" xfId="59480" xr:uid="{00000000-0005-0000-0000-000056E80000}"/>
    <cellStyle name="SAPBEXHLevel2 11 2 3" xfId="59481" xr:uid="{00000000-0005-0000-0000-000057E80000}"/>
    <cellStyle name="SAPBEXHLevel2 11 2 3 2" xfId="59482" xr:uid="{00000000-0005-0000-0000-000058E80000}"/>
    <cellStyle name="SAPBEXHLevel2 11 2 3 3" xfId="59483" xr:uid="{00000000-0005-0000-0000-000059E80000}"/>
    <cellStyle name="SAPBEXHLevel2 11 2 4" xfId="59484" xr:uid="{00000000-0005-0000-0000-00005AE80000}"/>
    <cellStyle name="SAPBEXHLevel2 11 2 5" xfId="59485" xr:uid="{00000000-0005-0000-0000-00005BE80000}"/>
    <cellStyle name="SAPBEXHLevel2 11 3" xfId="59486" xr:uid="{00000000-0005-0000-0000-00005CE80000}"/>
    <cellStyle name="SAPBEXHLevel2 11 3 2" xfId="59487" xr:uid="{00000000-0005-0000-0000-00005DE80000}"/>
    <cellStyle name="SAPBEXHLevel2 11 3 3" xfId="59488" xr:uid="{00000000-0005-0000-0000-00005EE80000}"/>
    <cellStyle name="SAPBEXHLevel2 11 4" xfId="59489" xr:uid="{00000000-0005-0000-0000-00005FE80000}"/>
    <cellStyle name="SAPBEXHLevel2 11 5" xfId="59490" xr:uid="{00000000-0005-0000-0000-000060E80000}"/>
    <cellStyle name="SAPBEXHLevel2 12" xfId="59491" xr:uid="{00000000-0005-0000-0000-000061E80000}"/>
    <cellStyle name="SAPBEXHLevel2 12 2" xfId="59492" xr:uid="{00000000-0005-0000-0000-000062E80000}"/>
    <cellStyle name="SAPBEXHLevel2 12 2 2" xfId="59493" xr:uid="{00000000-0005-0000-0000-000063E80000}"/>
    <cellStyle name="SAPBEXHLevel2 12 2 2 2" xfId="59494" xr:uid="{00000000-0005-0000-0000-000064E80000}"/>
    <cellStyle name="SAPBEXHLevel2 12 2 3" xfId="59495" xr:uid="{00000000-0005-0000-0000-000065E80000}"/>
    <cellStyle name="SAPBEXHLevel2 12 2 3 2" xfId="59496" xr:uid="{00000000-0005-0000-0000-000066E80000}"/>
    <cellStyle name="SAPBEXHLevel2 12 2 3 3" xfId="59497" xr:uid="{00000000-0005-0000-0000-000067E80000}"/>
    <cellStyle name="SAPBEXHLevel2 12 2 4" xfId="59498" xr:uid="{00000000-0005-0000-0000-000068E80000}"/>
    <cellStyle name="SAPBEXHLevel2 12 2 5" xfId="59499" xr:uid="{00000000-0005-0000-0000-000069E80000}"/>
    <cellStyle name="SAPBEXHLevel2 12 3" xfId="59500" xr:uid="{00000000-0005-0000-0000-00006AE80000}"/>
    <cellStyle name="SAPBEXHLevel2 12 3 2" xfId="59501" xr:uid="{00000000-0005-0000-0000-00006BE80000}"/>
    <cellStyle name="SAPBEXHLevel2 12 4" xfId="59502" xr:uid="{00000000-0005-0000-0000-00006CE80000}"/>
    <cellStyle name="SAPBEXHLevel2 12 4 2" xfId="59503" xr:uid="{00000000-0005-0000-0000-00006DE80000}"/>
    <cellStyle name="SAPBEXHLevel2 12 4 3" xfId="59504" xr:uid="{00000000-0005-0000-0000-00006EE80000}"/>
    <cellStyle name="SAPBEXHLevel2 12 5" xfId="59505" xr:uid="{00000000-0005-0000-0000-00006FE80000}"/>
    <cellStyle name="SAPBEXHLevel2 12 6" xfId="59506" xr:uid="{00000000-0005-0000-0000-000070E80000}"/>
    <cellStyle name="SAPBEXHLevel2 13" xfId="59507" xr:uid="{00000000-0005-0000-0000-000071E80000}"/>
    <cellStyle name="SAPBEXHLevel2 13 2" xfId="59508" xr:uid="{00000000-0005-0000-0000-000072E80000}"/>
    <cellStyle name="SAPBEXHLevel2 13 2 2" xfId="59509" xr:uid="{00000000-0005-0000-0000-000073E80000}"/>
    <cellStyle name="SAPBEXHLevel2 13 3" xfId="59510" xr:uid="{00000000-0005-0000-0000-000074E80000}"/>
    <cellStyle name="SAPBEXHLevel2 13 3 2" xfId="59511" xr:uid="{00000000-0005-0000-0000-000075E80000}"/>
    <cellStyle name="SAPBEXHLevel2 13 3 3" xfId="59512" xr:uid="{00000000-0005-0000-0000-000076E80000}"/>
    <cellStyle name="SAPBEXHLevel2 13 4" xfId="59513" xr:uid="{00000000-0005-0000-0000-000077E80000}"/>
    <cellStyle name="SAPBEXHLevel2 13 5" xfId="59514" xr:uid="{00000000-0005-0000-0000-000078E80000}"/>
    <cellStyle name="SAPBEXHLevel2 14" xfId="59515" xr:uid="{00000000-0005-0000-0000-000079E80000}"/>
    <cellStyle name="SAPBEXHLevel2 14 2" xfId="59516" xr:uid="{00000000-0005-0000-0000-00007AE80000}"/>
    <cellStyle name="SAPBEXHLevel2 14 3" xfId="59517" xr:uid="{00000000-0005-0000-0000-00007BE80000}"/>
    <cellStyle name="SAPBEXHLevel2 15" xfId="59518" xr:uid="{00000000-0005-0000-0000-00007CE80000}"/>
    <cellStyle name="SAPBEXHLevel2 16" xfId="59519" xr:uid="{00000000-0005-0000-0000-00007DE80000}"/>
    <cellStyle name="SAPBEXHLevel2 2" xfId="59520" xr:uid="{00000000-0005-0000-0000-00007EE80000}"/>
    <cellStyle name="SAPBEXHLevel2 2 2" xfId="59521" xr:uid="{00000000-0005-0000-0000-00007FE80000}"/>
    <cellStyle name="SAPBEXHLevel2 2 2 2" xfId="59522" xr:uid="{00000000-0005-0000-0000-000080E80000}"/>
    <cellStyle name="SAPBEXHLevel2 2 2 2 2" xfId="59523" xr:uid="{00000000-0005-0000-0000-000081E80000}"/>
    <cellStyle name="SAPBEXHLevel2 2 2 3" xfId="59524" xr:uid="{00000000-0005-0000-0000-000082E80000}"/>
    <cellStyle name="SAPBEXHLevel2 2 2 3 2" xfId="59525" xr:uid="{00000000-0005-0000-0000-000083E80000}"/>
    <cellStyle name="SAPBEXHLevel2 2 2 3 3" xfId="59526" xr:uid="{00000000-0005-0000-0000-000084E80000}"/>
    <cellStyle name="SAPBEXHLevel2 2 2 4" xfId="59527" xr:uid="{00000000-0005-0000-0000-000085E80000}"/>
    <cellStyle name="SAPBEXHLevel2 2 2 5" xfId="59528" xr:uid="{00000000-0005-0000-0000-000086E80000}"/>
    <cellStyle name="SAPBEXHLevel2 2 3" xfId="59529" xr:uid="{00000000-0005-0000-0000-000087E80000}"/>
    <cellStyle name="SAPBEXHLevel2 2 3 2" xfId="59530" xr:uid="{00000000-0005-0000-0000-000088E80000}"/>
    <cellStyle name="SAPBEXHLevel2 2 3 3" xfId="59531" xr:uid="{00000000-0005-0000-0000-000089E80000}"/>
    <cellStyle name="SAPBEXHLevel2 2 4" xfId="59532" xr:uid="{00000000-0005-0000-0000-00008AE80000}"/>
    <cellStyle name="SAPBEXHLevel2 2 5" xfId="59533" xr:uid="{00000000-0005-0000-0000-00008BE80000}"/>
    <cellStyle name="SAPBEXHLevel2 3" xfId="59534" xr:uid="{00000000-0005-0000-0000-00008CE80000}"/>
    <cellStyle name="SAPBEXHLevel2 3 2" xfId="59535" xr:uid="{00000000-0005-0000-0000-00008DE80000}"/>
    <cellStyle name="SAPBEXHLevel2 3 2 2" xfId="59536" xr:uid="{00000000-0005-0000-0000-00008EE80000}"/>
    <cellStyle name="SAPBEXHLevel2 3 2 2 2" xfId="59537" xr:uid="{00000000-0005-0000-0000-00008FE80000}"/>
    <cellStyle name="SAPBEXHLevel2 3 2 3" xfId="59538" xr:uid="{00000000-0005-0000-0000-000090E80000}"/>
    <cellStyle name="SAPBEXHLevel2 3 2 3 2" xfId="59539" xr:uid="{00000000-0005-0000-0000-000091E80000}"/>
    <cellStyle name="SAPBEXHLevel2 3 2 3 3" xfId="59540" xr:uid="{00000000-0005-0000-0000-000092E80000}"/>
    <cellStyle name="SAPBEXHLevel2 3 2 4" xfId="59541" xr:uid="{00000000-0005-0000-0000-000093E80000}"/>
    <cellStyle name="SAPBEXHLevel2 3 2 5" xfId="59542" xr:uid="{00000000-0005-0000-0000-000094E80000}"/>
    <cellStyle name="SAPBEXHLevel2 3 3" xfId="59543" xr:uid="{00000000-0005-0000-0000-000095E80000}"/>
    <cellStyle name="SAPBEXHLevel2 3 3 2" xfId="59544" xr:uid="{00000000-0005-0000-0000-000096E80000}"/>
    <cellStyle name="SAPBEXHLevel2 3 3 3" xfId="59545" xr:uid="{00000000-0005-0000-0000-000097E80000}"/>
    <cellStyle name="SAPBEXHLevel2 3 4" xfId="59546" xr:uid="{00000000-0005-0000-0000-000098E80000}"/>
    <cellStyle name="SAPBEXHLevel2 3 5" xfId="59547" xr:uid="{00000000-0005-0000-0000-000099E80000}"/>
    <cellStyle name="SAPBEXHLevel2 4" xfId="59548" xr:uid="{00000000-0005-0000-0000-00009AE80000}"/>
    <cellStyle name="SAPBEXHLevel2 4 2" xfId="59549" xr:uid="{00000000-0005-0000-0000-00009BE80000}"/>
    <cellStyle name="SAPBEXHLevel2 4 2 2" xfId="59550" xr:uid="{00000000-0005-0000-0000-00009CE80000}"/>
    <cellStyle name="SAPBEXHLevel2 4 2 2 2" xfId="59551" xr:uid="{00000000-0005-0000-0000-00009DE80000}"/>
    <cellStyle name="SAPBEXHLevel2 4 2 3" xfId="59552" xr:uid="{00000000-0005-0000-0000-00009EE80000}"/>
    <cellStyle name="SAPBEXHLevel2 4 2 3 2" xfId="59553" xr:uid="{00000000-0005-0000-0000-00009FE80000}"/>
    <cellStyle name="SAPBEXHLevel2 4 2 3 3" xfId="59554" xr:uid="{00000000-0005-0000-0000-0000A0E80000}"/>
    <cellStyle name="SAPBEXHLevel2 4 2 4" xfId="59555" xr:uid="{00000000-0005-0000-0000-0000A1E80000}"/>
    <cellStyle name="SAPBEXHLevel2 4 2 5" xfId="59556" xr:uid="{00000000-0005-0000-0000-0000A2E80000}"/>
    <cellStyle name="SAPBEXHLevel2 4 3" xfId="59557" xr:uid="{00000000-0005-0000-0000-0000A3E80000}"/>
    <cellStyle name="SAPBEXHLevel2 4 3 2" xfId="59558" xr:uid="{00000000-0005-0000-0000-0000A4E80000}"/>
    <cellStyle name="SAPBEXHLevel2 4 3 3" xfId="59559" xr:uid="{00000000-0005-0000-0000-0000A5E80000}"/>
    <cellStyle name="SAPBEXHLevel2 4 4" xfId="59560" xr:uid="{00000000-0005-0000-0000-0000A6E80000}"/>
    <cellStyle name="SAPBEXHLevel2 4 5" xfId="59561" xr:uid="{00000000-0005-0000-0000-0000A7E80000}"/>
    <cellStyle name="SAPBEXHLevel2 5" xfId="59562" xr:uid="{00000000-0005-0000-0000-0000A8E80000}"/>
    <cellStyle name="SAPBEXHLevel2 5 2" xfId="59563" xr:uid="{00000000-0005-0000-0000-0000A9E80000}"/>
    <cellStyle name="SAPBEXHLevel2 5 2 2" xfId="59564" xr:uid="{00000000-0005-0000-0000-0000AAE80000}"/>
    <cellStyle name="SAPBEXHLevel2 5 2 2 2" xfId="59565" xr:uid="{00000000-0005-0000-0000-0000ABE80000}"/>
    <cellStyle name="SAPBEXHLevel2 5 2 3" xfId="59566" xr:uid="{00000000-0005-0000-0000-0000ACE80000}"/>
    <cellStyle name="SAPBEXHLevel2 5 2 3 2" xfId="59567" xr:uid="{00000000-0005-0000-0000-0000ADE80000}"/>
    <cellStyle name="SAPBEXHLevel2 5 2 3 3" xfId="59568" xr:uid="{00000000-0005-0000-0000-0000AEE80000}"/>
    <cellStyle name="SAPBEXHLevel2 5 2 4" xfId="59569" xr:uid="{00000000-0005-0000-0000-0000AFE80000}"/>
    <cellStyle name="SAPBEXHLevel2 5 2 5" xfId="59570" xr:uid="{00000000-0005-0000-0000-0000B0E80000}"/>
    <cellStyle name="SAPBEXHLevel2 5 3" xfId="59571" xr:uid="{00000000-0005-0000-0000-0000B1E80000}"/>
    <cellStyle name="SAPBEXHLevel2 5 3 2" xfId="59572" xr:uid="{00000000-0005-0000-0000-0000B2E80000}"/>
    <cellStyle name="SAPBEXHLevel2 5 3 3" xfId="59573" xr:uid="{00000000-0005-0000-0000-0000B3E80000}"/>
    <cellStyle name="SAPBEXHLevel2 5 4" xfId="59574" xr:uid="{00000000-0005-0000-0000-0000B4E80000}"/>
    <cellStyle name="SAPBEXHLevel2 5 5" xfId="59575" xr:uid="{00000000-0005-0000-0000-0000B5E80000}"/>
    <cellStyle name="SAPBEXHLevel2 6" xfId="59576" xr:uid="{00000000-0005-0000-0000-0000B6E80000}"/>
    <cellStyle name="SAPBEXHLevel2 6 2" xfId="59577" xr:uid="{00000000-0005-0000-0000-0000B7E80000}"/>
    <cellStyle name="SAPBEXHLevel2 6 2 2" xfId="59578" xr:uid="{00000000-0005-0000-0000-0000B8E80000}"/>
    <cellStyle name="SAPBEXHLevel2 6 2 2 2" xfId="59579" xr:uid="{00000000-0005-0000-0000-0000B9E80000}"/>
    <cellStyle name="SAPBEXHLevel2 6 2 3" xfId="59580" xr:uid="{00000000-0005-0000-0000-0000BAE80000}"/>
    <cellStyle name="SAPBEXHLevel2 6 2 3 2" xfId="59581" xr:uid="{00000000-0005-0000-0000-0000BBE80000}"/>
    <cellStyle name="SAPBEXHLevel2 6 2 3 3" xfId="59582" xr:uid="{00000000-0005-0000-0000-0000BCE80000}"/>
    <cellStyle name="SAPBEXHLevel2 6 2 4" xfId="59583" xr:uid="{00000000-0005-0000-0000-0000BDE80000}"/>
    <cellStyle name="SAPBEXHLevel2 6 2 5" xfId="59584" xr:uid="{00000000-0005-0000-0000-0000BEE80000}"/>
    <cellStyle name="SAPBEXHLevel2 6 3" xfId="59585" xr:uid="{00000000-0005-0000-0000-0000BFE80000}"/>
    <cellStyle name="SAPBEXHLevel2 6 3 2" xfId="59586" xr:uid="{00000000-0005-0000-0000-0000C0E80000}"/>
    <cellStyle name="SAPBEXHLevel2 6 3 3" xfId="59587" xr:uid="{00000000-0005-0000-0000-0000C1E80000}"/>
    <cellStyle name="SAPBEXHLevel2 6 4" xfId="59588" xr:uid="{00000000-0005-0000-0000-0000C2E80000}"/>
    <cellStyle name="SAPBEXHLevel2 6 5" xfId="59589" xr:uid="{00000000-0005-0000-0000-0000C3E80000}"/>
    <cellStyle name="SAPBEXHLevel2 7" xfId="59590" xr:uid="{00000000-0005-0000-0000-0000C4E80000}"/>
    <cellStyle name="SAPBEXHLevel2 7 2" xfId="59591" xr:uid="{00000000-0005-0000-0000-0000C5E80000}"/>
    <cellStyle name="SAPBEXHLevel2 7 2 2" xfId="59592" xr:uid="{00000000-0005-0000-0000-0000C6E80000}"/>
    <cellStyle name="SAPBEXHLevel2 7 2 2 2" xfId="59593" xr:uid="{00000000-0005-0000-0000-0000C7E80000}"/>
    <cellStyle name="SAPBEXHLevel2 7 2 3" xfId="59594" xr:uid="{00000000-0005-0000-0000-0000C8E80000}"/>
    <cellStyle name="SAPBEXHLevel2 7 2 3 2" xfId="59595" xr:uid="{00000000-0005-0000-0000-0000C9E80000}"/>
    <cellStyle name="SAPBEXHLevel2 7 2 3 3" xfId="59596" xr:uid="{00000000-0005-0000-0000-0000CAE80000}"/>
    <cellStyle name="SAPBEXHLevel2 7 2 4" xfId="59597" xr:uid="{00000000-0005-0000-0000-0000CBE80000}"/>
    <cellStyle name="SAPBEXHLevel2 7 2 5" xfId="59598" xr:uid="{00000000-0005-0000-0000-0000CCE80000}"/>
    <cellStyle name="SAPBEXHLevel2 7 3" xfId="59599" xr:uid="{00000000-0005-0000-0000-0000CDE80000}"/>
    <cellStyle name="SAPBEXHLevel2 7 3 2" xfId="59600" xr:uid="{00000000-0005-0000-0000-0000CEE80000}"/>
    <cellStyle name="SAPBEXHLevel2 7 3 3" xfId="59601" xr:uid="{00000000-0005-0000-0000-0000CFE80000}"/>
    <cellStyle name="SAPBEXHLevel2 7 4" xfId="59602" xr:uid="{00000000-0005-0000-0000-0000D0E80000}"/>
    <cellStyle name="SAPBEXHLevel2 7 5" xfId="59603" xr:uid="{00000000-0005-0000-0000-0000D1E80000}"/>
    <cellStyle name="SAPBEXHLevel2 8" xfId="59604" xr:uid="{00000000-0005-0000-0000-0000D2E80000}"/>
    <cellStyle name="SAPBEXHLevel2 8 2" xfId="59605" xr:uid="{00000000-0005-0000-0000-0000D3E80000}"/>
    <cellStyle name="SAPBEXHLevel2 8 2 2" xfId="59606" xr:uid="{00000000-0005-0000-0000-0000D4E80000}"/>
    <cellStyle name="SAPBEXHLevel2 8 2 2 2" xfId="59607" xr:uid="{00000000-0005-0000-0000-0000D5E80000}"/>
    <cellStyle name="SAPBEXHLevel2 8 2 3" xfId="59608" xr:uid="{00000000-0005-0000-0000-0000D6E80000}"/>
    <cellStyle name="SAPBEXHLevel2 8 2 3 2" xfId="59609" xr:uid="{00000000-0005-0000-0000-0000D7E80000}"/>
    <cellStyle name="SAPBEXHLevel2 8 2 3 3" xfId="59610" xr:uid="{00000000-0005-0000-0000-0000D8E80000}"/>
    <cellStyle name="SAPBEXHLevel2 8 2 4" xfId="59611" xr:uid="{00000000-0005-0000-0000-0000D9E80000}"/>
    <cellStyle name="SAPBEXHLevel2 8 2 5" xfId="59612" xr:uid="{00000000-0005-0000-0000-0000DAE80000}"/>
    <cellStyle name="SAPBEXHLevel2 8 3" xfId="59613" xr:uid="{00000000-0005-0000-0000-0000DBE80000}"/>
    <cellStyle name="SAPBEXHLevel2 8 3 2" xfId="59614" xr:uid="{00000000-0005-0000-0000-0000DCE80000}"/>
    <cellStyle name="SAPBEXHLevel2 8 3 3" xfId="59615" xr:uid="{00000000-0005-0000-0000-0000DDE80000}"/>
    <cellStyle name="SAPBEXHLevel2 8 4" xfId="59616" xr:uid="{00000000-0005-0000-0000-0000DEE80000}"/>
    <cellStyle name="SAPBEXHLevel2 8 5" xfId="59617" xr:uid="{00000000-0005-0000-0000-0000DFE80000}"/>
    <cellStyle name="SAPBEXHLevel2 9" xfId="59618" xr:uid="{00000000-0005-0000-0000-0000E0E80000}"/>
    <cellStyle name="SAPBEXHLevel2 9 2" xfId="59619" xr:uid="{00000000-0005-0000-0000-0000E1E80000}"/>
    <cellStyle name="SAPBEXHLevel2 9 2 2" xfId="59620" xr:uid="{00000000-0005-0000-0000-0000E2E80000}"/>
    <cellStyle name="SAPBEXHLevel2 9 2 2 2" xfId="59621" xr:uid="{00000000-0005-0000-0000-0000E3E80000}"/>
    <cellStyle name="SAPBEXHLevel2 9 2 3" xfId="59622" xr:uid="{00000000-0005-0000-0000-0000E4E80000}"/>
    <cellStyle name="SAPBEXHLevel2 9 2 3 2" xfId="59623" xr:uid="{00000000-0005-0000-0000-0000E5E80000}"/>
    <cellStyle name="SAPBEXHLevel2 9 2 3 3" xfId="59624" xr:uid="{00000000-0005-0000-0000-0000E6E80000}"/>
    <cellStyle name="SAPBEXHLevel2 9 2 4" xfId="59625" xr:uid="{00000000-0005-0000-0000-0000E7E80000}"/>
    <cellStyle name="SAPBEXHLevel2 9 2 5" xfId="59626" xr:uid="{00000000-0005-0000-0000-0000E8E80000}"/>
    <cellStyle name="SAPBEXHLevel2 9 3" xfId="59627" xr:uid="{00000000-0005-0000-0000-0000E9E80000}"/>
    <cellStyle name="SAPBEXHLevel2 9 3 2" xfId="59628" xr:uid="{00000000-0005-0000-0000-0000EAE80000}"/>
    <cellStyle name="SAPBEXHLevel2 9 3 3" xfId="59629" xr:uid="{00000000-0005-0000-0000-0000EBE80000}"/>
    <cellStyle name="SAPBEXHLevel2 9 4" xfId="59630" xr:uid="{00000000-0005-0000-0000-0000ECE80000}"/>
    <cellStyle name="SAPBEXHLevel2 9 5" xfId="59631" xr:uid="{00000000-0005-0000-0000-0000EDE80000}"/>
    <cellStyle name="SAPBEXHLevel2X" xfId="59632" xr:uid="{00000000-0005-0000-0000-0000EEE80000}"/>
    <cellStyle name="SAPBEXHLevel2X 10" xfId="59633" xr:uid="{00000000-0005-0000-0000-0000EFE80000}"/>
    <cellStyle name="SAPBEXHLevel2X 10 2" xfId="59634" xr:uid="{00000000-0005-0000-0000-0000F0E80000}"/>
    <cellStyle name="SAPBEXHLevel2X 10 2 2" xfId="59635" xr:uid="{00000000-0005-0000-0000-0000F1E80000}"/>
    <cellStyle name="SAPBEXHLevel2X 10 2 2 2" xfId="59636" xr:uid="{00000000-0005-0000-0000-0000F2E80000}"/>
    <cellStyle name="SAPBEXHLevel2X 10 2 3" xfId="59637" xr:uid="{00000000-0005-0000-0000-0000F3E80000}"/>
    <cellStyle name="SAPBEXHLevel2X 10 2 3 2" xfId="59638" xr:uid="{00000000-0005-0000-0000-0000F4E80000}"/>
    <cellStyle name="SAPBEXHLevel2X 10 2 3 3" xfId="59639" xr:uid="{00000000-0005-0000-0000-0000F5E80000}"/>
    <cellStyle name="SAPBEXHLevel2X 10 2 4" xfId="59640" xr:uid="{00000000-0005-0000-0000-0000F6E80000}"/>
    <cellStyle name="SAPBEXHLevel2X 10 2 5" xfId="59641" xr:uid="{00000000-0005-0000-0000-0000F7E80000}"/>
    <cellStyle name="SAPBEXHLevel2X 10 3" xfId="59642" xr:uid="{00000000-0005-0000-0000-0000F8E80000}"/>
    <cellStyle name="SAPBEXHLevel2X 10 3 2" xfId="59643" xr:uid="{00000000-0005-0000-0000-0000F9E80000}"/>
    <cellStyle name="SAPBEXHLevel2X 10 4" xfId="59644" xr:uid="{00000000-0005-0000-0000-0000FAE80000}"/>
    <cellStyle name="SAPBEXHLevel2X 10 4 2" xfId="59645" xr:uid="{00000000-0005-0000-0000-0000FBE80000}"/>
    <cellStyle name="SAPBEXHLevel2X 10 4 3" xfId="59646" xr:uid="{00000000-0005-0000-0000-0000FCE80000}"/>
    <cellStyle name="SAPBEXHLevel2X 10 5" xfId="59647" xr:uid="{00000000-0005-0000-0000-0000FDE80000}"/>
    <cellStyle name="SAPBEXHLevel2X 10 6" xfId="59648" xr:uid="{00000000-0005-0000-0000-0000FEE80000}"/>
    <cellStyle name="SAPBEXHLevel2X 11" xfId="59649" xr:uid="{00000000-0005-0000-0000-0000FFE80000}"/>
    <cellStyle name="SAPBEXHLevel2X 11 2" xfId="59650" xr:uid="{00000000-0005-0000-0000-000000E90000}"/>
    <cellStyle name="SAPBEXHLevel2X 11 2 2" xfId="59651" xr:uid="{00000000-0005-0000-0000-000001E90000}"/>
    <cellStyle name="SAPBEXHLevel2X 11 2 2 2" xfId="59652" xr:uid="{00000000-0005-0000-0000-000002E90000}"/>
    <cellStyle name="SAPBEXHLevel2X 11 2 3" xfId="59653" xr:uid="{00000000-0005-0000-0000-000003E90000}"/>
    <cellStyle name="SAPBEXHLevel2X 11 2 3 2" xfId="59654" xr:uid="{00000000-0005-0000-0000-000004E90000}"/>
    <cellStyle name="SAPBEXHLevel2X 11 2 3 3" xfId="59655" xr:uid="{00000000-0005-0000-0000-000005E90000}"/>
    <cellStyle name="SAPBEXHLevel2X 11 2 4" xfId="59656" xr:uid="{00000000-0005-0000-0000-000006E90000}"/>
    <cellStyle name="SAPBEXHLevel2X 11 2 5" xfId="59657" xr:uid="{00000000-0005-0000-0000-000007E90000}"/>
    <cellStyle name="SAPBEXHLevel2X 11 3" xfId="59658" xr:uid="{00000000-0005-0000-0000-000008E90000}"/>
    <cellStyle name="SAPBEXHLevel2X 11 3 2" xfId="59659" xr:uid="{00000000-0005-0000-0000-000009E90000}"/>
    <cellStyle name="SAPBEXHLevel2X 11 4" xfId="59660" xr:uid="{00000000-0005-0000-0000-00000AE90000}"/>
    <cellStyle name="SAPBEXHLevel2X 11 4 2" xfId="59661" xr:uid="{00000000-0005-0000-0000-00000BE90000}"/>
    <cellStyle name="SAPBEXHLevel2X 11 4 3" xfId="59662" xr:uid="{00000000-0005-0000-0000-00000CE90000}"/>
    <cellStyle name="SAPBEXHLevel2X 11 5" xfId="59663" xr:uid="{00000000-0005-0000-0000-00000DE90000}"/>
    <cellStyle name="SAPBEXHLevel2X 11 6" xfId="59664" xr:uid="{00000000-0005-0000-0000-00000EE90000}"/>
    <cellStyle name="SAPBEXHLevel2X 12" xfId="59665" xr:uid="{00000000-0005-0000-0000-00000FE90000}"/>
    <cellStyle name="SAPBEXHLevel2X 12 2" xfId="59666" xr:uid="{00000000-0005-0000-0000-000010E90000}"/>
    <cellStyle name="SAPBEXHLevel2X 12 2 2" xfId="59667" xr:uid="{00000000-0005-0000-0000-000011E90000}"/>
    <cellStyle name="SAPBEXHLevel2X 12 2 2 2" xfId="59668" xr:uid="{00000000-0005-0000-0000-000012E90000}"/>
    <cellStyle name="SAPBEXHLevel2X 12 2 3" xfId="59669" xr:uid="{00000000-0005-0000-0000-000013E90000}"/>
    <cellStyle name="SAPBEXHLevel2X 12 2 3 2" xfId="59670" xr:uid="{00000000-0005-0000-0000-000014E90000}"/>
    <cellStyle name="SAPBEXHLevel2X 12 2 3 3" xfId="59671" xr:uid="{00000000-0005-0000-0000-000015E90000}"/>
    <cellStyle name="SAPBEXHLevel2X 12 2 4" xfId="59672" xr:uid="{00000000-0005-0000-0000-000016E90000}"/>
    <cellStyle name="SAPBEXHLevel2X 12 2 5" xfId="59673" xr:uid="{00000000-0005-0000-0000-000017E90000}"/>
    <cellStyle name="SAPBEXHLevel2X 12 3" xfId="59674" xr:uid="{00000000-0005-0000-0000-000018E90000}"/>
    <cellStyle name="SAPBEXHLevel2X 12 3 2" xfId="59675" xr:uid="{00000000-0005-0000-0000-000019E90000}"/>
    <cellStyle name="SAPBEXHLevel2X 12 4" xfId="59676" xr:uid="{00000000-0005-0000-0000-00001AE90000}"/>
    <cellStyle name="SAPBEXHLevel2X 12 4 2" xfId="59677" xr:uid="{00000000-0005-0000-0000-00001BE90000}"/>
    <cellStyle name="SAPBEXHLevel2X 12 4 3" xfId="59678" xr:uid="{00000000-0005-0000-0000-00001CE90000}"/>
    <cellStyle name="SAPBEXHLevel2X 12 5" xfId="59679" xr:uid="{00000000-0005-0000-0000-00001DE90000}"/>
    <cellStyle name="SAPBEXHLevel2X 12 6" xfId="59680" xr:uid="{00000000-0005-0000-0000-00001EE90000}"/>
    <cellStyle name="SAPBEXHLevel2X 13" xfId="59681" xr:uid="{00000000-0005-0000-0000-00001FE90000}"/>
    <cellStyle name="SAPBEXHLevel2X 13 2" xfId="59682" xr:uid="{00000000-0005-0000-0000-000020E90000}"/>
    <cellStyle name="SAPBEXHLevel2X 13 2 2" xfId="59683" xr:uid="{00000000-0005-0000-0000-000021E90000}"/>
    <cellStyle name="SAPBEXHLevel2X 13 3" xfId="59684" xr:uid="{00000000-0005-0000-0000-000022E90000}"/>
    <cellStyle name="SAPBEXHLevel2X 13 3 2" xfId="59685" xr:uid="{00000000-0005-0000-0000-000023E90000}"/>
    <cellStyle name="SAPBEXHLevel2X 13 3 3" xfId="59686" xr:uid="{00000000-0005-0000-0000-000024E90000}"/>
    <cellStyle name="SAPBEXHLevel2X 13 4" xfId="59687" xr:uid="{00000000-0005-0000-0000-000025E90000}"/>
    <cellStyle name="SAPBEXHLevel2X 13 5" xfId="59688" xr:uid="{00000000-0005-0000-0000-000026E90000}"/>
    <cellStyle name="SAPBEXHLevel2X 14" xfId="59689" xr:uid="{00000000-0005-0000-0000-000027E90000}"/>
    <cellStyle name="SAPBEXHLevel2X 14 2" xfId="59690" xr:uid="{00000000-0005-0000-0000-000028E90000}"/>
    <cellStyle name="SAPBEXHLevel2X 15" xfId="59691" xr:uid="{00000000-0005-0000-0000-000029E90000}"/>
    <cellStyle name="SAPBEXHLevel2X 15 2" xfId="59692" xr:uid="{00000000-0005-0000-0000-00002AE90000}"/>
    <cellStyle name="SAPBEXHLevel2X 15 3" xfId="59693" xr:uid="{00000000-0005-0000-0000-00002BE90000}"/>
    <cellStyle name="SAPBEXHLevel2X 16" xfId="59694" xr:uid="{00000000-0005-0000-0000-00002CE90000}"/>
    <cellStyle name="SAPBEXHLevel2X 17" xfId="59695" xr:uid="{00000000-0005-0000-0000-00002DE90000}"/>
    <cellStyle name="SAPBEXHLevel2X 2" xfId="59696" xr:uid="{00000000-0005-0000-0000-00002EE90000}"/>
    <cellStyle name="SAPBEXHLevel2X 2 2" xfId="59697" xr:uid="{00000000-0005-0000-0000-00002FE90000}"/>
    <cellStyle name="SAPBEXHLevel2X 2 2 2" xfId="59698" xr:uid="{00000000-0005-0000-0000-000030E90000}"/>
    <cellStyle name="SAPBEXHLevel2X 2 2 2 2" xfId="59699" xr:uid="{00000000-0005-0000-0000-000031E90000}"/>
    <cellStyle name="SAPBEXHLevel2X 2 2 3" xfId="59700" xr:uid="{00000000-0005-0000-0000-000032E90000}"/>
    <cellStyle name="SAPBEXHLevel2X 2 2 3 2" xfId="59701" xr:uid="{00000000-0005-0000-0000-000033E90000}"/>
    <cellStyle name="SAPBEXHLevel2X 2 2 3 3" xfId="59702" xr:uid="{00000000-0005-0000-0000-000034E90000}"/>
    <cellStyle name="SAPBEXHLevel2X 2 2 4" xfId="59703" xr:uid="{00000000-0005-0000-0000-000035E90000}"/>
    <cellStyle name="SAPBEXHLevel2X 2 2 5" xfId="59704" xr:uid="{00000000-0005-0000-0000-000036E90000}"/>
    <cellStyle name="SAPBEXHLevel2X 2 3" xfId="59705" xr:uid="{00000000-0005-0000-0000-000037E90000}"/>
    <cellStyle name="SAPBEXHLevel2X 2 3 2" xfId="59706" xr:uid="{00000000-0005-0000-0000-000038E90000}"/>
    <cellStyle name="SAPBEXHLevel2X 2 4" xfId="59707" xr:uid="{00000000-0005-0000-0000-000039E90000}"/>
    <cellStyle name="SAPBEXHLevel2X 2 4 2" xfId="59708" xr:uid="{00000000-0005-0000-0000-00003AE90000}"/>
    <cellStyle name="SAPBEXHLevel2X 2 4 3" xfId="59709" xr:uid="{00000000-0005-0000-0000-00003BE90000}"/>
    <cellStyle name="SAPBEXHLevel2X 2 5" xfId="59710" xr:uid="{00000000-0005-0000-0000-00003CE90000}"/>
    <cellStyle name="SAPBEXHLevel2X 2 6" xfId="59711" xr:uid="{00000000-0005-0000-0000-00003DE90000}"/>
    <cellStyle name="SAPBEXHLevel2X 3" xfId="59712" xr:uid="{00000000-0005-0000-0000-00003EE90000}"/>
    <cellStyle name="SAPBEXHLevel2X 3 2" xfId="59713" xr:uid="{00000000-0005-0000-0000-00003FE90000}"/>
    <cellStyle name="SAPBEXHLevel2X 3 2 2" xfId="59714" xr:uid="{00000000-0005-0000-0000-000040E90000}"/>
    <cellStyle name="SAPBEXHLevel2X 3 2 2 2" xfId="59715" xr:uid="{00000000-0005-0000-0000-000041E90000}"/>
    <cellStyle name="SAPBEXHLevel2X 3 2 3" xfId="59716" xr:uid="{00000000-0005-0000-0000-000042E90000}"/>
    <cellStyle name="SAPBEXHLevel2X 3 2 3 2" xfId="59717" xr:uid="{00000000-0005-0000-0000-000043E90000}"/>
    <cellStyle name="SAPBEXHLevel2X 3 2 3 3" xfId="59718" xr:uid="{00000000-0005-0000-0000-000044E90000}"/>
    <cellStyle name="SAPBEXHLevel2X 3 2 4" xfId="59719" xr:uid="{00000000-0005-0000-0000-000045E90000}"/>
    <cellStyle name="SAPBEXHLevel2X 3 2 5" xfId="59720" xr:uid="{00000000-0005-0000-0000-000046E90000}"/>
    <cellStyle name="SAPBEXHLevel2X 3 3" xfId="59721" xr:uid="{00000000-0005-0000-0000-000047E90000}"/>
    <cellStyle name="SAPBEXHLevel2X 3 3 2" xfId="59722" xr:uid="{00000000-0005-0000-0000-000048E90000}"/>
    <cellStyle name="SAPBEXHLevel2X 3 4" xfId="59723" xr:uid="{00000000-0005-0000-0000-000049E90000}"/>
    <cellStyle name="SAPBEXHLevel2X 3 4 2" xfId="59724" xr:uid="{00000000-0005-0000-0000-00004AE90000}"/>
    <cellStyle name="SAPBEXHLevel2X 3 4 3" xfId="59725" xr:uid="{00000000-0005-0000-0000-00004BE90000}"/>
    <cellStyle name="SAPBEXHLevel2X 3 5" xfId="59726" xr:uid="{00000000-0005-0000-0000-00004CE90000}"/>
    <cellStyle name="SAPBEXHLevel2X 3 6" xfId="59727" xr:uid="{00000000-0005-0000-0000-00004DE90000}"/>
    <cellStyle name="SAPBEXHLevel2X 4" xfId="59728" xr:uid="{00000000-0005-0000-0000-00004EE90000}"/>
    <cellStyle name="SAPBEXHLevel2X 4 2" xfId="59729" xr:uid="{00000000-0005-0000-0000-00004FE90000}"/>
    <cellStyle name="SAPBEXHLevel2X 4 2 2" xfId="59730" xr:uid="{00000000-0005-0000-0000-000050E90000}"/>
    <cellStyle name="SAPBEXHLevel2X 4 2 2 2" xfId="59731" xr:uid="{00000000-0005-0000-0000-000051E90000}"/>
    <cellStyle name="SAPBEXHLevel2X 4 2 3" xfId="59732" xr:uid="{00000000-0005-0000-0000-000052E90000}"/>
    <cellStyle name="SAPBEXHLevel2X 4 2 3 2" xfId="59733" xr:uid="{00000000-0005-0000-0000-000053E90000}"/>
    <cellStyle name="SAPBEXHLevel2X 4 2 3 3" xfId="59734" xr:uid="{00000000-0005-0000-0000-000054E90000}"/>
    <cellStyle name="SAPBEXHLevel2X 4 2 4" xfId="59735" xr:uid="{00000000-0005-0000-0000-000055E90000}"/>
    <cellStyle name="SAPBEXHLevel2X 4 2 5" xfId="59736" xr:uid="{00000000-0005-0000-0000-000056E90000}"/>
    <cellStyle name="SAPBEXHLevel2X 4 3" xfId="59737" xr:uid="{00000000-0005-0000-0000-000057E90000}"/>
    <cellStyle name="SAPBEXHLevel2X 4 3 2" xfId="59738" xr:uid="{00000000-0005-0000-0000-000058E90000}"/>
    <cellStyle name="SAPBEXHLevel2X 4 4" xfId="59739" xr:uid="{00000000-0005-0000-0000-000059E90000}"/>
    <cellStyle name="SAPBEXHLevel2X 4 4 2" xfId="59740" xr:uid="{00000000-0005-0000-0000-00005AE90000}"/>
    <cellStyle name="SAPBEXHLevel2X 4 4 3" xfId="59741" xr:uid="{00000000-0005-0000-0000-00005BE90000}"/>
    <cellStyle name="SAPBEXHLevel2X 4 5" xfId="59742" xr:uid="{00000000-0005-0000-0000-00005CE90000}"/>
    <cellStyle name="SAPBEXHLevel2X 4 6" xfId="59743" xr:uid="{00000000-0005-0000-0000-00005DE90000}"/>
    <cellStyle name="SAPBEXHLevel2X 5" xfId="59744" xr:uid="{00000000-0005-0000-0000-00005EE90000}"/>
    <cellStyle name="SAPBEXHLevel2X 5 2" xfId="59745" xr:uid="{00000000-0005-0000-0000-00005FE90000}"/>
    <cellStyle name="SAPBEXHLevel2X 5 2 2" xfId="59746" xr:uid="{00000000-0005-0000-0000-000060E90000}"/>
    <cellStyle name="SAPBEXHLevel2X 5 2 2 2" xfId="59747" xr:uid="{00000000-0005-0000-0000-000061E90000}"/>
    <cellStyle name="SAPBEXHLevel2X 5 2 3" xfId="59748" xr:uid="{00000000-0005-0000-0000-000062E90000}"/>
    <cellStyle name="SAPBEXHLevel2X 5 2 3 2" xfId="59749" xr:uid="{00000000-0005-0000-0000-000063E90000}"/>
    <cellStyle name="SAPBEXHLevel2X 5 2 3 3" xfId="59750" xr:uid="{00000000-0005-0000-0000-000064E90000}"/>
    <cellStyle name="SAPBEXHLevel2X 5 2 4" xfId="59751" xr:uid="{00000000-0005-0000-0000-000065E90000}"/>
    <cellStyle name="SAPBEXHLevel2X 5 2 5" xfId="59752" xr:uid="{00000000-0005-0000-0000-000066E90000}"/>
    <cellStyle name="SAPBEXHLevel2X 5 3" xfId="59753" xr:uid="{00000000-0005-0000-0000-000067E90000}"/>
    <cellStyle name="SAPBEXHLevel2X 5 3 2" xfId="59754" xr:uid="{00000000-0005-0000-0000-000068E90000}"/>
    <cellStyle name="SAPBEXHLevel2X 5 4" xfId="59755" xr:uid="{00000000-0005-0000-0000-000069E90000}"/>
    <cellStyle name="SAPBEXHLevel2X 5 4 2" xfId="59756" xr:uid="{00000000-0005-0000-0000-00006AE90000}"/>
    <cellStyle name="SAPBEXHLevel2X 5 4 3" xfId="59757" xr:uid="{00000000-0005-0000-0000-00006BE90000}"/>
    <cellStyle name="SAPBEXHLevel2X 5 5" xfId="59758" xr:uid="{00000000-0005-0000-0000-00006CE90000}"/>
    <cellStyle name="SAPBEXHLevel2X 5 6" xfId="59759" xr:uid="{00000000-0005-0000-0000-00006DE90000}"/>
    <cellStyle name="SAPBEXHLevel2X 6" xfId="59760" xr:uid="{00000000-0005-0000-0000-00006EE90000}"/>
    <cellStyle name="SAPBEXHLevel2X 6 2" xfId="59761" xr:uid="{00000000-0005-0000-0000-00006FE90000}"/>
    <cellStyle name="SAPBEXHLevel2X 6 2 2" xfId="59762" xr:uid="{00000000-0005-0000-0000-000070E90000}"/>
    <cellStyle name="SAPBEXHLevel2X 6 2 2 2" xfId="59763" xr:uid="{00000000-0005-0000-0000-000071E90000}"/>
    <cellStyle name="SAPBEXHLevel2X 6 2 3" xfId="59764" xr:uid="{00000000-0005-0000-0000-000072E90000}"/>
    <cellStyle name="SAPBEXHLevel2X 6 2 3 2" xfId="59765" xr:uid="{00000000-0005-0000-0000-000073E90000}"/>
    <cellStyle name="SAPBEXHLevel2X 6 2 3 3" xfId="59766" xr:uid="{00000000-0005-0000-0000-000074E90000}"/>
    <cellStyle name="SAPBEXHLevel2X 6 2 4" xfId="59767" xr:uid="{00000000-0005-0000-0000-000075E90000}"/>
    <cellStyle name="SAPBEXHLevel2X 6 2 5" xfId="59768" xr:uid="{00000000-0005-0000-0000-000076E90000}"/>
    <cellStyle name="SAPBEXHLevel2X 6 3" xfId="59769" xr:uid="{00000000-0005-0000-0000-000077E90000}"/>
    <cellStyle name="SAPBEXHLevel2X 6 3 2" xfId="59770" xr:uid="{00000000-0005-0000-0000-000078E90000}"/>
    <cellStyle name="SAPBEXHLevel2X 6 4" xfId="59771" xr:uid="{00000000-0005-0000-0000-000079E90000}"/>
    <cellStyle name="SAPBEXHLevel2X 6 4 2" xfId="59772" xr:uid="{00000000-0005-0000-0000-00007AE90000}"/>
    <cellStyle name="SAPBEXHLevel2X 6 4 3" xfId="59773" xr:uid="{00000000-0005-0000-0000-00007BE90000}"/>
    <cellStyle name="SAPBEXHLevel2X 6 5" xfId="59774" xr:uid="{00000000-0005-0000-0000-00007CE90000}"/>
    <cellStyle name="SAPBEXHLevel2X 6 6" xfId="59775" xr:uid="{00000000-0005-0000-0000-00007DE90000}"/>
    <cellStyle name="SAPBEXHLevel2X 7" xfId="59776" xr:uid="{00000000-0005-0000-0000-00007EE90000}"/>
    <cellStyle name="SAPBEXHLevel2X 7 2" xfId="59777" xr:uid="{00000000-0005-0000-0000-00007FE90000}"/>
    <cellStyle name="SAPBEXHLevel2X 7 2 2" xfId="59778" xr:uid="{00000000-0005-0000-0000-000080E90000}"/>
    <cellStyle name="SAPBEXHLevel2X 7 2 2 2" xfId="59779" xr:uid="{00000000-0005-0000-0000-000081E90000}"/>
    <cellStyle name="SAPBEXHLevel2X 7 2 3" xfId="59780" xr:uid="{00000000-0005-0000-0000-000082E90000}"/>
    <cellStyle name="SAPBEXHLevel2X 7 2 3 2" xfId="59781" xr:uid="{00000000-0005-0000-0000-000083E90000}"/>
    <cellStyle name="SAPBEXHLevel2X 7 2 3 3" xfId="59782" xr:uid="{00000000-0005-0000-0000-000084E90000}"/>
    <cellStyle name="SAPBEXHLevel2X 7 2 4" xfId="59783" xr:uid="{00000000-0005-0000-0000-000085E90000}"/>
    <cellStyle name="SAPBEXHLevel2X 7 2 5" xfId="59784" xr:uid="{00000000-0005-0000-0000-000086E90000}"/>
    <cellStyle name="SAPBEXHLevel2X 7 3" xfId="59785" xr:uid="{00000000-0005-0000-0000-000087E90000}"/>
    <cellStyle name="SAPBEXHLevel2X 7 3 2" xfId="59786" xr:uid="{00000000-0005-0000-0000-000088E90000}"/>
    <cellStyle name="SAPBEXHLevel2X 7 4" xfId="59787" xr:uid="{00000000-0005-0000-0000-000089E90000}"/>
    <cellStyle name="SAPBEXHLevel2X 7 4 2" xfId="59788" xr:uid="{00000000-0005-0000-0000-00008AE90000}"/>
    <cellStyle name="SAPBEXHLevel2X 7 4 3" xfId="59789" xr:uid="{00000000-0005-0000-0000-00008BE90000}"/>
    <cellStyle name="SAPBEXHLevel2X 7 5" xfId="59790" xr:uid="{00000000-0005-0000-0000-00008CE90000}"/>
    <cellStyle name="SAPBEXHLevel2X 7 6" xfId="59791" xr:uid="{00000000-0005-0000-0000-00008DE90000}"/>
    <cellStyle name="SAPBEXHLevel2X 8" xfId="59792" xr:uid="{00000000-0005-0000-0000-00008EE90000}"/>
    <cellStyle name="SAPBEXHLevel2X 8 2" xfId="59793" xr:uid="{00000000-0005-0000-0000-00008FE90000}"/>
    <cellStyle name="SAPBEXHLevel2X 8 2 2" xfId="59794" xr:uid="{00000000-0005-0000-0000-000090E90000}"/>
    <cellStyle name="SAPBEXHLevel2X 8 2 2 2" xfId="59795" xr:uid="{00000000-0005-0000-0000-000091E90000}"/>
    <cellStyle name="SAPBEXHLevel2X 8 2 3" xfId="59796" xr:uid="{00000000-0005-0000-0000-000092E90000}"/>
    <cellStyle name="SAPBEXHLevel2X 8 2 3 2" xfId="59797" xr:uid="{00000000-0005-0000-0000-000093E90000}"/>
    <cellStyle name="SAPBEXHLevel2X 8 2 3 3" xfId="59798" xr:uid="{00000000-0005-0000-0000-000094E90000}"/>
    <cellStyle name="SAPBEXHLevel2X 8 2 4" xfId="59799" xr:uid="{00000000-0005-0000-0000-000095E90000}"/>
    <cellStyle name="SAPBEXHLevel2X 8 2 5" xfId="59800" xr:uid="{00000000-0005-0000-0000-000096E90000}"/>
    <cellStyle name="SAPBEXHLevel2X 8 3" xfId="59801" xr:uid="{00000000-0005-0000-0000-000097E90000}"/>
    <cellStyle name="SAPBEXHLevel2X 8 3 2" xfId="59802" xr:uid="{00000000-0005-0000-0000-000098E90000}"/>
    <cellStyle name="SAPBEXHLevel2X 8 4" xfId="59803" xr:uid="{00000000-0005-0000-0000-000099E90000}"/>
    <cellStyle name="SAPBEXHLevel2X 8 4 2" xfId="59804" xr:uid="{00000000-0005-0000-0000-00009AE90000}"/>
    <cellStyle name="SAPBEXHLevel2X 8 4 3" xfId="59805" xr:uid="{00000000-0005-0000-0000-00009BE90000}"/>
    <cellStyle name="SAPBEXHLevel2X 8 5" xfId="59806" xr:uid="{00000000-0005-0000-0000-00009CE90000}"/>
    <cellStyle name="SAPBEXHLevel2X 8 6" xfId="59807" xr:uid="{00000000-0005-0000-0000-00009DE90000}"/>
    <cellStyle name="SAPBEXHLevel2X 9" xfId="59808" xr:uid="{00000000-0005-0000-0000-00009EE90000}"/>
    <cellStyle name="SAPBEXHLevel2X 9 2" xfId="59809" xr:uid="{00000000-0005-0000-0000-00009FE90000}"/>
    <cellStyle name="SAPBEXHLevel2X 9 2 2" xfId="59810" xr:uid="{00000000-0005-0000-0000-0000A0E90000}"/>
    <cellStyle name="SAPBEXHLevel2X 9 2 2 2" xfId="59811" xr:uid="{00000000-0005-0000-0000-0000A1E90000}"/>
    <cellStyle name="SAPBEXHLevel2X 9 2 3" xfId="59812" xr:uid="{00000000-0005-0000-0000-0000A2E90000}"/>
    <cellStyle name="SAPBEXHLevel2X 9 2 3 2" xfId="59813" xr:uid="{00000000-0005-0000-0000-0000A3E90000}"/>
    <cellStyle name="SAPBEXHLevel2X 9 2 3 3" xfId="59814" xr:uid="{00000000-0005-0000-0000-0000A4E90000}"/>
    <cellStyle name="SAPBEXHLevel2X 9 2 4" xfId="59815" xr:uid="{00000000-0005-0000-0000-0000A5E90000}"/>
    <cellStyle name="SAPBEXHLevel2X 9 2 5" xfId="59816" xr:uid="{00000000-0005-0000-0000-0000A6E90000}"/>
    <cellStyle name="SAPBEXHLevel2X 9 3" xfId="59817" xr:uid="{00000000-0005-0000-0000-0000A7E90000}"/>
    <cellStyle name="SAPBEXHLevel2X 9 3 2" xfId="59818" xr:uid="{00000000-0005-0000-0000-0000A8E90000}"/>
    <cellStyle name="SAPBEXHLevel2X 9 4" xfId="59819" xr:uid="{00000000-0005-0000-0000-0000A9E90000}"/>
    <cellStyle name="SAPBEXHLevel2X 9 4 2" xfId="59820" xr:uid="{00000000-0005-0000-0000-0000AAE90000}"/>
    <cellStyle name="SAPBEXHLevel2X 9 4 3" xfId="59821" xr:uid="{00000000-0005-0000-0000-0000ABE90000}"/>
    <cellStyle name="SAPBEXHLevel2X 9 5" xfId="59822" xr:uid="{00000000-0005-0000-0000-0000ACE90000}"/>
    <cellStyle name="SAPBEXHLevel2X 9 6" xfId="59823" xr:uid="{00000000-0005-0000-0000-0000ADE90000}"/>
    <cellStyle name="SAPBEXHLevel3" xfId="59824" xr:uid="{00000000-0005-0000-0000-0000AEE90000}"/>
    <cellStyle name="SAPBEXHLevel3 10" xfId="59825" xr:uid="{00000000-0005-0000-0000-0000AFE90000}"/>
    <cellStyle name="SAPBEXHLevel3 10 2" xfId="59826" xr:uid="{00000000-0005-0000-0000-0000B0E90000}"/>
    <cellStyle name="SAPBEXHLevel3 10 2 2" xfId="59827" xr:uid="{00000000-0005-0000-0000-0000B1E90000}"/>
    <cellStyle name="SAPBEXHLevel3 10 2 2 2" xfId="59828" xr:uid="{00000000-0005-0000-0000-0000B2E90000}"/>
    <cellStyle name="SAPBEXHLevel3 10 2 3" xfId="59829" xr:uid="{00000000-0005-0000-0000-0000B3E90000}"/>
    <cellStyle name="SAPBEXHLevel3 10 2 3 2" xfId="59830" xr:uid="{00000000-0005-0000-0000-0000B4E90000}"/>
    <cellStyle name="SAPBEXHLevel3 10 2 3 3" xfId="59831" xr:uid="{00000000-0005-0000-0000-0000B5E90000}"/>
    <cellStyle name="SAPBEXHLevel3 10 2 4" xfId="59832" xr:uid="{00000000-0005-0000-0000-0000B6E90000}"/>
    <cellStyle name="SAPBEXHLevel3 10 2 5" xfId="59833" xr:uid="{00000000-0005-0000-0000-0000B7E90000}"/>
    <cellStyle name="SAPBEXHLevel3 10 3" xfId="59834" xr:uid="{00000000-0005-0000-0000-0000B8E90000}"/>
    <cellStyle name="SAPBEXHLevel3 10 3 2" xfId="59835" xr:uid="{00000000-0005-0000-0000-0000B9E90000}"/>
    <cellStyle name="SAPBEXHLevel3 10 3 3" xfId="59836" xr:uid="{00000000-0005-0000-0000-0000BAE90000}"/>
    <cellStyle name="SAPBEXHLevel3 10 4" xfId="59837" xr:uid="{00000000-0005-0000-0000-0000BBE90000}"/>
    <cellStyle name="SAPBEXHLevel3 10 5" xfId="59838" xr:uid="{00000000-0005-0000-0000-0000BCE90000}"/>
    <cellStyle name="SAPBEXHLevel3 11" xfId="59839" xr:uid="{00000000-0005-0000-0000-0000BDE90000}"/>
    <cellStyle name="SAPBEXHLevel3 11 2" xfId="59840" xr:uid="{00000000-0005-0000-0000-0000BEE90000}"/>
    <cellStyle name="SAPBEXHLevel3 11 2 2" xfId="59841" xr:uid="{00000000-0005-0000-0000-0000BFE90000}"/>
    <cellStyle name="SAPBEXHLevel3 11 2 2 2" xfId="59842" xr:uid="{00000000-0005-0000-0000-0000C0E90000}"/>
    <cellStyle name="SAPBEXHLevel3 11 2 3" xfId="59843" xr:uid="{00000000-0005-0000-0000-0000C1E90000}"/>
    <cellStyle name="SAPBEXHLevel3 11 2 3 2" xfId="59844" xr:uid="{00000000-0005-0000-0000-0000C2E90000}"/>
    <cellStyle name="SAPBEXHLevel3 11 2 3 3" xfId="59845" xr:uid="{00000000-0005-0000-0000-0000C3E90000}"/>
    <cellStyle name="SAPBEXHLevel3 11 2 4" xfId="59846" xr:uid="{00000000-0005-0000-0000-0000C4E90000}"/>
    <cellStyle name="SAPBEXHLevel3 11 2 5" xfId="59847" xr:uid="{00000000-0005-0000-0000-0000C5E90000}"/>
    <cellStyle name="SAPBEXHLevel3 11 3" xfId="59848" xr:uid="{00000000-0005-0000-0000-0000C6E90000}"/>
    <cellStyle name="SAPBEXHLevel3 11 3 2" xfId="59849" xr:uid="{00000000-0005-0000-0000-0000C7E90000}"/>
    <cellStyle name="SAPBEXHLevel3 11 3 3" xfId="59850" xr:uid="{00000000-0005-0000-0000-0000C8E90000}"/>
    <cellStyle name="SAPBEXHLevel3 11 4" xfId="59851" xr:uid="{00000000-0005-0000-0000-0000C9E90000}"/>
    <cellStyle name="SAPBEXHLevel3 11 5" xfId="59852" xr:uid="{00000000-0005-0000-0000-0000CAE90000}"/>
    <cellStyle name="SAPBEXHLevel3 12" xfId="59853" xr:uid="{00000000-0005-0000-0000-0000CBE90000}"/>
    <cellStyle name="SAPBEXHLevel3 12 2" xfId="59854" xr:uid="{00000000-0005-0000-0000-0000CCE90000}"/>
    <cellStyle name="SAPBEXHLevel3 12 2 2" xfId="59855" xr:uid="{00000000-0005-0000-0000-0000CDE90000}"/>
    <cellStyle name="SAPBEXHLevel3 12 2 2 2" xfId="59856" xr:uid="{00000000-0005-0000-0000-0000CEE90000}"/>
    <cellStyle name="SAPBEXHLevel3 12 2 3" xfId="59857" xr:uid="{00000000-0005-0000-0000-0000CFE90000}"/>
    <cellStyle name="SAPBEXHLevel3 12 2 3 2" xfId="59858" xr:uid="{00000000-0005-0000-0000-0000D0E90000}"/>
    <cellStyle name="SAPBEXHLevel3 12 2 3 3" xfId="59859" xr:uid="{00000000-0005-0000-0000-0000D1E90000}"/>
    <cellStyle name="SAPBEXHLevel3 12 2 4" xfId="59860" xr:uid="{00000000-0005-0000-0000-0000D2E90000}"/>
    <cellStyle name="SAPBEXHLevel3 12 2 5" xfId="59861" xr:uid="{00000000-0005-0000-0000-0000D3E90000}"/>
    <cellStyle name="SAPBEXHLevel3 12 3" xfId="59862" xr:uid="{00000000-0005-0000-0000-0000D4E90000}"/>
    <cellStyle name="SAPBEXHLevel3 12 3 2" xfId="59863" xr:uid="{00000000-0005-0000-0000-0000D5E90000}"/>
    <cellStyle name="SAPBEXHLevel3 12 4" xfId="59864" xr:uid="{00000000-0005-0000-0000-0000D6E90000}"/>
    <cellStyle name="SAPBEXHLevel3 12 4 2" xfId="59865" xr:uid="{00000000-0005-0000-0000-0000D7E90000}"/>
    <cellStyle name="SAPBEXHLevel3 12 4 3" xfId="59866" xr:uid="{00000000-0005-0000-0000-0000D8E90000}"/>
    <cellStyle name="SAPBEXHLevel3 12 5" xfId="59867" xr:uid="{00000000-0005-0000-0000-0000D9E90000}"/>
    <cellStyle name="SAPBEXHLevel3 12 6" xfId="59868" xr:uid="{00000000-0005-0000-0000-0000DAE90000}"/>
    <cellStyle name="SAPBEXHLevel3 13" xfId="59869" xr:uid="{00000000-0005-0000-0000-0000DBE90000}"/>
    <cellStyle name="SAPBEXHLevel3 13 2" xfId="59870" xr:uid="{00000000-0005-0000-0000-0000DCE90000}"/>
    <cellStyle name="SAPBEXHLevel3 13 2 2" xfId="59871" xr:uid="{00000000-0005-0000-0000-0000DDE90000}"/>
    <cellStyle name="SAPBEXHLevel3 13 3" xfId="59872" xr:uid="{00000000-0005-0000-0000-0000DEE90000}"/>
    <cellStyle name="SAPBEXHLevel3 13 3 2" xfId="59873" xr:uid="{00000000-0005-0000-0000-0000DFE90000}"/>
    <cellStyle name="SAPBEXHLevel3 13 3 3" xfId="59874" xr:uid="{00000000-0005-0000-0000-0000E0E90000}"/>
    <cellStyle name="SAPBEXHLevel3 13 4" xfId="59875" xr:uid="{00000000-0005-0000-0000-0000E1E90000}"/>
    <cellStyle name="SAPBEXHLevel3 13 5" xfId="59876" xr:uid="{00000000-0005-0000-0000-0000E2E90000}"/>
    <cellStyle name="SAPBEXHLevel3 14" xfId="59877" xr:uid="{00000000-0005-0000-0000-0000E3E90000}"/>
    <cellStyle name="SAPBEXHLevel3 14 2" xfId="59878" xr:uid="{00000000-0005-0000-0000-0000E4E90000}"/>
    <cellStyle name="SAPBEXHLevel3 14 3" xfId="59879" xr:uid="{00000000-0005-0000-0000-0000E5E90000}"/>
    <cellStyle name="SAPBEXHLevel3 15" xfId="59880" xr:uid="{00000000-0005-0000-0000-0000E6E90000}"/>
    <cellStyle name="SAPBEXHLevel3 16" xfId="59881" xr:uid="{00000000-0005-0000-0000-0000E7E90000}"/>
    <cellStyle name="SAPBEXHLevel3 2" xfId="59882" xr:uid="{00000000-0005-0000-0000-0000E8E90000}"/>
    <cellStyle name="SAPBEXHLevel3 2 2" xfId="59883" xr:uid="{00000000-0005-0000-0000-0000E9E90000}"/>
    <cellStyle name="SAPBEXHLevel3 2 2 2" xfId="59884" xr:uid="{00000000-0005-0000-0000-0000EAE90000}"/>
    <cellStyle name="SAPBEXHLevel3 2 2 2 2" xfId="59885" xr:uid="{00000000-0005-0000-0000-0000EBE90000}"/>
    <cellStyle name="SAPBEXHLevel3 2 2 3" xfId="59886" xr:uid="{00000000-0005-0000-0000-0000ECE90000}"/>
    <cellStyle name="SAPBEXHLevel3 2 2 3 2" xfId="59887" xr:uid="{00000000-0005-0000-0000-0000EDE90000}"/>
    <cellStyle name="SAPBEXHLevel3 2 2 3 3" xfId="59888" xr:uid="{00000000-0005-0000-0000-0000EEE90000}"/>
    <cellStyle name="SAPBEXHLevel3 2 2 4" xfId="59889" xr:uid="{00000000-0005-0000-0000-0000EFE90000}"/>
    <cellStyle name="SAPBEXHLevel3 2 2 5" xfId="59890" xr:uid="{00000000-0005-0000-0000-0000F0E90000}"/>
    <cellStyle name="SAPBEXHLevel3 2 3" xfId="59891" xr:uid="{00000000-0005-0000-0000-0000F1E90000}"/>
    <cellStyle name="SAPBEXHLevel3 2 3 2" xfId="59892" xr:uid="{00000000-0005-0000-0000-0000F2E90000}"/>
    <cellStyle name="SAPBEXHLevel3 2 3 3" xfId="59893" xr:uid="{00000000-0005-0000-0000-0000F3E90000}"/>
    <cellStyle name="SAPBEXHLevel3 2 4" xfId="59894" xr:uid="{00000000-0005-0000-0000-0000F4E90000}"/>
    <cellStyle name="SAPBEXHLevel3 2 5" xfId="59895" xr:uid="{00000000-0005-0000-0000-0000F5E90000}"/>
    <cellStyle name="SAPBEXHLevel3 3" xfId="59896" xr:uid="{00000000-0005-0000-0000-0000F6E90000}"/>
    <cellStyle name="SAPBEXHLevel3 3 2" xfId="59897" xr:uid="{00000000-0005-0000-0000-0000F7E90000}"/>
    <cellStyle name="SAPBEXHLevel3 3 2 2" xfId="59898" xr:uid="{00000000-0005-0000-0000-0000F8E90000}"/>
    <cellStyle name="SAPBEXHLevel3 3 2 2 2" xfId="59899" xr:uid="{00000000-0005-0000-0000-0000F9E90000}"/>
    <cellStyle name="SAPBEXHLevel3 3 2 3" xfId="59900" xr:uid="{00000000-0005-0000-0000-0000FAE90000}"/>
    <cellStyle name="SAPBEXHLevel3 3 2 3 2" xfId="59901" xr:uid="{00000000-0005-0000-0000-0000FBE90000}"/>
    <cellStyle name="SAPBEXHLevel3 3 2 3 3" xfId="59902" xr:uid="{00000000-0005-0000-0000-0000FCE90000}"/>
    <cellStyle name="SAPBEXHLevel3 3 2 4" xfId="59903" xr:uid="{00000000-0005-0000-0000-0000FDE90000}"/>
    <cellStyle name="SAPBEXHLevel3 3 2 5" xfId="59904" xr:uid="{00000000-0005-0000-0000-0000FEE90000}"/>
    <cellStyle name="SAPBEXHLevel3 3 3" xfId="59905" xr:uid="{00000000-0005-0000-0000-0000FFE90000}"/>
    <cellStyle name="SAPBEXHLevel3 3 3 2" xfId="59906" xr:uid="{00000000-0005-0000-0000-000000EA0000}"/>
    <cellStyle name="SAPBEXHLevel3 3 3 3" xfId="59907" xr:uid="{00000000-0005-0000-0000-000001EA0000}"/>
    <cellStyle name="SAPBEXHLevel3 3 4" xfId="59908" xr:uid="{00000000-0005-0000-0000-000002EA0000}"/>
    <cellStyle name="SAPBEXHLevel3 3 5" xfId="59909" xr:uid="{00000000-0005-0000-0000-000003EA0000}"/>
    <cellStyle name="SAPBEXHLevel3 4" xfId="59910" xr:uid="{00000000-0005-0000-0000-000004EA0000}"/>
    <cellStyle name="SAPBEXHLevel3 4 2" xfId="59911" xr:uid="{00000000-0005-0000-0000-000005EA0000}"/>
    <cellStyle name="SAPBEXHLevel3 4 2 2" xfId="59912" xr:uid="{00000000-0005-0000-0000-000006EA0000}"/>
    <cellStyle name="SAPBEXHLevel3 4 2 2 2" xfId="59913" xr:uid="{00000000-0005-0000-0000-000007EA0000}"/>
    <cellStyle name="SAPBEXHLevel3 4 2 3" xfId="59914" xr:uid="{00000000-0005-0000-0000-000008EA0000}"/>
    <cellStyle name="SAPBEXHLevel3 4 2 3 2" xfId="59915" xr:uid="{00000000-0005-0000-0000-000009EA0000}"/>
    <cellStyle name="SAPBEXHLevel3 4 2 3 3" xfId="59916" xr:uid="{00000000-0005-0000-0000-00000AEA0000}"/>
    <cellStyle name="SAPBEXHLevel3 4 2 4" xfId="59917" xr:uid="{00000000-0005-0000-0000-00000BEA0000}"/>
    <cellStyle name="SAPBEXHLevel3 4 2 5" xfId="59918" xr:uid="{00000000-0005-0000-0000-00000CEA0000}"/>
    <cellStyle name="SAPBEXHLevel3 4 3" xfId="59919" xr:uid="{00000000-0005-0000-0000-00000DEA0000}"/>
    <cellStyle name="SAPBEXHLevel3 4 3 2" xfId="59920" xr:uid="{00000000-0005-0000-0000-00000EEA0000}"/>
    <cellStyle name="SAPBEXHLevel3 4 3 3" xfId="59921" xr:uid="{00000000-0005-0000-0000-00000FEA0000}"/>
    <cellStyle name="SAPBEXHLevel3 4 4" xfId="59922" xr:uid="{00000000-0005-0000-0000-000010EA0000}"/>
    <cellStyle name="SAPBEXHLevel3 4 5" xfId="59923" xr:uid="{00000000-0005-0000-0000-000011EA0000}"/>
    <cellStyle name="SAPBEXHLevel3 5" xfId="59924" xr:uid="{00000000-0005-0000-0000-000012EA0000}"/>
    <cellStyle name="SAPBEXHLevel3 5 2" xfId="59925" xr:uid="{00000000-0005-0000-0000-000013EA0000}"/>
    <cellStyle name="SAPBEXHLevel3 5 2 2" xfId="59926" xr:uid="{00000000-0005-0000-0000-000014EA0000}"/>
    <cellStyle name="SAPBEXHLevel3 5 2 2 2" xfId="59927" xr:uid="{00000000-0005-0000-0000-000015EA0000}"/>
    <cellStyle name="SAPBEXHLevel3 5 2 3" xfId="59928" xr:uid="{00000000-0005-0000-0000-000016EA0000}"/>
    <cellStyle name="SAPBEXHLevel3 5 2 3 2" xfId="59929" xr:uid="{00000000-0005-0000-0000-000017EA0000}"/>
    <cellStyle name="SAPBEXHLevel3 5 2 3 3" xfId="59930" xr:uid="{00000000-0005-0000-0000-000018EA0000}"/>
    <cellStyle name="SAPBEXHLevel3 5 2 4" xfId="59931" xr:uid="{00000000-0005-0000-0000-000019EA0000}"/>
    <cellStyle name="SAPBEXHLevel3 5 2 5" xfId="59932" xr:uid="{00000000-0005-0000-0000-00001AEA0000}"/>
    <cellStyle name="SAPBEXHLevel3 5 3" xfId="59933" xr:uid="{00000000-0005-0000-0000-00001BEA0000}"/>
    <cellStyle name="SAPBEXHLevel3 5 3 2" xfId="59934" xr:uid="{00000000-0005-0000-0000-00001CEA0000}"/>
    <cellStyle name="SAPBEXHLevel3 5 3 3" xfId="59935" xr:uid="{00000000-0005-0000-0000-00001DEA0000}"/>
    <cellStyle name="SAPBEXHLevel3 5 4" xfId="59936" xr:uid="{00000000-0005-0000-0000-00001EEA0000}"/>
    <cellStyle name="SAPBEXHLevel3 5 5" xfId="59937" xr:uid="{00000000-0005-0000-0000-00001FEA0000}"/>
    <cellStyle name="SAPBEXHLevel3 6" xfId="59938" xr:uid="{00000000-0005-0000-0000-000020EA0000}"/>
    <cellStyle name="SAPBEXHLevel3 6 2" xfId="59939" xr:uid="{00000000-0005-0000-0000-000021EA0000}"/>
    <cellStyle name="SAPBEXHLevel3 6 2 2" xfId="59940" xr:uid="{00000000-0005-0000-0000-000022EA0000}"/>
    <cellStyle name="SAPBEXHLevel3 6 2 2 2" xfId="59941" xr:uid="{00000000-0005-0000-0000-000023EA0000}"/>
    <cellStyle name="SAPBEXHLevel3 6 2 3" xfId="59942" xr:uid="{00000000-0005-0000-0000-000024EA0000}"/>
    <cellStyle name="SAPBEXHLevel3 6 2 3 2" xfId="59943" xr:uid="{00000000-0005-0000-0000-000025EA0000}"/>
    <cellStyle name="SAPBEXHLevel3 6 2 3 3" xfId="59944" xr:uid="{00000000-0005-0000-0000-000026EA0000}"/>
    <cellStyle name="SAPBEXHLevel3 6 2 4" xfId="59945" xr:uid="{00000000-0005-0000-0000-000027EA0000}"/>
    <cellStyle name="SAPBEXHLevel3 6 2 5" xfId="59946" xr:uid="{00000000-0005-0000-0000-000028EA0000}"/>
    <cellStyle name="SAPBEXHLevel3 6 3" xfId="59947" xr:uid="{00000000-0005-0000-0000-000029EA0000}"/>
    <cellStyle name="SAPBEXHLevel3 6 3 2" xfId="59948" xr:uid="{00000000-0005-0000-0000-00002AEA0000}"/>
    <cellStyle name="SAPBEXHLevel3 6 3 3" xfId="59949" xr:uid="{00000000-0005-0000-0000-00002BEA0000}"/>
    <cellStyle name="SAPBEXHLevel3 6 4" xfId="59950" xr:uid="{00000000-0005-0000-0000-00002CEA0000}"/>
    <cellStyle name="SAPBEXHLevel3 6 5" xfId="59951" xr:uid="{00000000-0005-0000-0000-00002DEA0000}"/>
    <cellStyle name="SAPBEXHLevel3 7" xfId="59952" xr:uid="{00000000-0005-0000-0000-00002EEA0000}"/>
    <cellStyle name="SAPBEXHLevel3 7 2" xfId="59953" xr:uid="{00000000-0005-0000-0000-00002FEA0000}"/>
    <cellStyle name="SAPBEXHLevel3 7 2 2" xfId="59954" xr:uid="{00000000-0005-0000-0000-000030EA0000}"/>
    <cellStyle name="SAPBEXHLevel3 7 2 2 2" xfId="59955" xr:uid="{00000000-0005-0000-0000-000031EA0000}"/>
    <cellStyle name="SAPBEXHLevel3 7 2 3" xfId="59956" xr:uid="{00000000-0005-0000-0000-000032EA0000}"/>
    <cellStyle name="SAPBEXHLevel3 7 2 3 2" xfId="59957" xr:uid="{00000000-0005-0000-0000-000033EA0000}"/>
    <cellStyle name="SAPBEXHLevel3 7 2 3 3" xfId="59958" xr:uid="{00000000-0005-0000-0000-000034EA0000}"/>
    <cellStyle name="SAPBEXHLevel3 7 2 4" xfId="59959" xr:uid="{00000000-0005-0000-0000-000035EA0000}"/>
    <cellStyle name="SAPBEXHLevel3 7 2 5" xfId="59960" xr:uid="{00000000-0005-0000-0000-000036EA0000}"/>
    <cellStyle name="SAPBEXHLevel3 7 3" xfId="59961" xr:uid="{00000000-0005-0000-0000-000037EA0000}"/>
    <cellStyle name="SAPBEXHLevel3 7 3 2" xfId="59962" xr:uid="{00000000-0005-0000-0000-000038EA0000}"/>
    <cellStyle name="SAPBEXHLevel3 7 3 3" xfId="59963" xr:uid="{00000000-0005-0000-0000-000039EA0000}"/>
    <cellStyle name="SAPBEXHLevel3 7 4" xfId="59964" xr:uid="{00000000-0005-0000-0000-00003AEA0000}"/>
    <cellStyle name="SAPBEXHLevel3 7 5" xfId="59965" xr:uid="{00000000-0005-0000-0000-00003BEA0000}"/>
    <cellStyle name="SAPBEXHLevel3 8" xfId="59966" xr:uid="{00000000-0005-0000-0000-00003CEA0000}"/>
    <cellStyle name="SAPBEXHLevel3 8 2" xfId="59967" xr:uid="{00000000-0005-0000-0000-00003DEA0000}"/>
    <cellStyle name="SAPBEXHLevel3 8 2 2" xfId="59968" xr:uid="{00000000-0005-0000-0000-00003EEA0000}"/>
    <cellStyle name="SAPBEXHLevel3 8 2 2 2" xfId="59969" xr:uid="{00000000-0005-0000-0000-00003FEA0000}"/>
    <cellStyle name="SAPBEXHLevel3 8 2 3" xfId="59970" xr:uid="{00000000-0005-0000-0000-000040EA0000}"/>
    <cellStyle name="SAPBEXHLevel3 8 2 3 2" xfId="59971" xr:uid="{00000000-0005-0000-0000-000041EA0000}"/>
    <cellStyle name="SAPBEXHLevel3 8 2 3 3" xfId="59972" xr:uid="{00000000-0005-0000-0000-000042EA0000}"/>
    <cellStyle name="SAPBEXHLevel3 8 2 4" xfId="59973" xr:uid="{00000000-0005-0000-0000-000043EA0000}"/>
    <cellStyle name="SAPBEXHLevel3 8 2 5" xfId="59974" xr:uid="{00000000-0005-0000-0000-000044EA0000}"/>
    <cellStyle name="SAPBEXHLevel3 8 3" xfId="59975" xr:uid="{00000000-0005-0000-0000-000045EA0000}"/>
    <cellStyle name="SAPBEXHLevel3 8 3 2" xfId="59976" xr:uid="{00000000-0005-0000-0000-000046EA0000}"/>
    <cellStyle name="SAPBEXHLevel3 8 3 3" xfId="59977" xr:uid="{00000000-0005-0000-0000-000047EA0000}"/>
    <cellStyle name="SAPBEXHLevel3 8 4" xfId="59978" xr:uid="{00000000-0005-0000-0000-000048EA0000}"/>
    <cellStyle name="SAPBEXHLevel3 8 5" xfId="59979" xr:uid="{00000000-0005-0000-0000-000049EA0000}"/>
    <cellStyle name="SAPBEXHLevel3 9" xfId="59980" xr:uid="{00000000-0005-0000-0000-00004AEA0000}"/>
    <cellStyle name="SAPBEXHLevel3 9 2" xfId="59981" xr:uid="{00000000-0005-0000-0000-00004BEA0000}"/>
    <cellStyle name="SAPBEXHLevel3 9 2 2" xfId="59982" xr:uid="{00000000-0005-0000-0000-00004CEA0000}"/>
    <cellStyle name="SAPBEXHLevel3 9 2 2 2" xfId="59983" xr:uid="{00000000-0005-0000-0000-00004DEA0000}"/>
    <cellStyle name="SAPBEXHLevel3 9 2 3" xfId="59984" xr:uid="{00000000-0005-0000-0000-00004EEA0000}"/>
    <cellStyle name="SAPBEXHLevel3 9 2 3 2" xfId="59985" xr:uid="{00000000-0005-0000-0000-00004FEA0000}"/>
    <cellStyle name="SAPBEXHLevel3 9 2 3 3" xfId="59986" xr:uid="{00000000-0005-0000-0000-000050EA0000}"/>
    <cellStyle name="SAPBEXHLevel3 9 2 4" xfId="59987" xr:uid="{00000000-0005-0000-0000-000051EA0000}"/>
    <cellStyle name="SAPBEXHLevel3 9 2 5" xfId="59988" xr:uid="{00000000-0005-0000-0000-000052EA0000}"/>
    <cellStyle name="SAPBEXHLevel3 9 3" xfId="59989" xr:uid="{00000000-0005-0000-0000-000053EA0000}"/>
    <cellStyle name="SAPBEXHLevel3 9 3 2" xfId="59990" xr:uid="{00000000-0005-0000-0000-000054EA0000}"/>
    <cellStyle name="SAPBEXHLevel3 9 3 3" xfId="59991" xr:uid="{00000000-0005-0000-0000-000055EA0000}"/>
    <cellStyle name="SAPBEXHLevel3 9 4" xfId="59992" xr:uid="{00000000-0005-0000-0000-000056EA0000}"/>
    <cellStyle name="SAPBEXHLevel3 9 5" xfId="59993" xr:uid="{00000000-0005-0000-0000-000057EA0000}"/>
    <cellStyle name="SAPBEXHLevel3X" xfId="59994" xr:uid="{00000000-0005-0000-0000-000058EA0000}"/>
    <cellStyle name="SAPBEXHLevel3X 10" xfId="59995" xr:uid="{00000000-0005-0000-0000-000059EA0000}"/>
    <cellStyle name="SAPBEXHLevel3X 10 2" xfId="59996" xr:uid="{00000000-0005-0000-0000-00005AEA0000}"/>
    <cellStyle name="SAPBEXHLevel3X 10 2 2" xfId="59997" xr:uid="{00000000-0005-0000-0000-00005BEA0000}"/>
    <cellStyle name="SAPBEXHLevel3X 10 2 2 2" xfId="59998" xr:uid="{00000000-0005-0000-0000-00005CEA0000}"/>
    <cellStyle name="SAPBEXHLevel3X 10 2 3" xfId="59999" xr:uid="{00000000-0005-0000-0000-00005DEA0000}"/>
    <cellStyle name="SAPBEXHLevel3X 10 2 3 2" xfId="60000" xr:uid="{00000000-0005-0000-0000-00005EEA0000}"/>
    <cellStyle name="SAPBEXHLevel3X 10 2 3 3" xfId="60001" xr:uid="{00000000-0005-0000-0000-00005FEA0000}"/>
    <cellStyle name="SAPBEXHLevel3X 10 2 4" xfId="60002" xr:uid="{00000000-0005-0000-0000-000060EA0000}"/>
    <cellStyle name="SAPBEXHLevel3X 10 2 5" xfId="60003" xr:uid="{00000000-0005-0000-0000-000061EA0000}"/>
    <cellStyle name="SAPBEXHLevel3X 10 3" xfId="60004" xr:uid="{00000000-0005-0000-0000-000062EA0000}"/>
    <cellStyle name="SAPBEXHLevel3X 10 3 2" xfId="60005" xr:uid="{00000000-0005-0000-0000-000063EA0000}"/>
    <cellStyle name="SAPBEXHLevel3X 10 4" xfId="60006" xr:uid="{00000000-0005-0000-0000-000064EA0000}"/>
    <cellStyle name="SAPBEXHLevel3X 10 4 2" xfId="60007" xr:uid="{00000000-0005-0000-0000-000065EA0000}"/>
    <cellStyle name="SAPBEXHLevel3X 10 4 3" xfId="60008" xr:uid="{00000000-0005-0000-0000-000066EA0000}"/>
    <cellStyle name="SAPBEXHLevel3X 10 5" xfId="60009" xr:uid="{00000000-0005-0000-0000-000067EA0000}"/>
    <cellStyle name="SAPBEXHLevel3X 10 6" xfId="60010" xr:uid="{00000000-0005-0000-0000-000068EA0000}"/>
    <cellStyle name="SAPBEXHLevel3X 11" xfId="60011" xr:uid="{00000000-0005-0000-0000-000069EA0000}"/>
    <cellStyle name="SAPBEXHLevel3X 11 2" xfId="60012" xr:uid="{00000000-0005-0000-0000-00006AEA0000}"/>
    <cellStyle name="SAPBEXHLevel3X 11 2 2" xfId="60013" xr:uid="{00000000-0005-0000-0000-00006BEA0000}"/>
    <cellStyle name="SAPBEXHLevel3X 11 2 2 2" xfId="60014" xr:uid="{00000000-0005-0000-0000-00006CEA0000}"/>
    <cellStyle name="SAPBEXHLevel3X 11 2 3" xfId="60015" xr:uid="{00000000-0005-0000-0000-00006DEA0000}"/>
    <cellStyle name="SAPBEXHLevel3X 11 2 3 2" xfId="60016" xr:uid="{00000000-0005-0000-0000-00006EEA0000}"/>
    <cellStyle name="SAPBEXHLevel3X 11 2 3 3" xfId="60017" xr:uid="{00000000-0005-0000-0000-00006FEA0000}"/>
    <cellStyle name="SAPBEXHLevel3X 11 2 4" xfId="60018" xr:uid="{00000000-0005-0000-0000-000070EA0000}"/>
    <cellStyle name="SAPBEXHLevel3X 11 2 5" xfId="60019" xr:uid="{00000000-0005-0000-0000-000071EA0000}"/>
    <cellStyle name="SAPBEXHLevel3X 11 3" xfId="60020" xr:uid="{00000000-0005-0000-0000-000072EA0000}"/>
    <cellStyle name="SAPBEXHLevel3X 11 3 2" xfId="60021" xr:uid="{00000000-0005-0000-0000-000073EA0000}"/>
    <cellStyle name="SAPBEXHLevel3X 11 4" xfId="60022" xr:uid="{00000000-0005-0000-0000-000074EA0000}"/>
    <cellStyle name="SAPBEXHLevel3X 11 4 2" xfId="60023" xr:uid="{00000000-0005-0000-0000-000075EA0000}"/>
    <cellStyle name="SAPBEXHLevel3X 11 4 3" xfId="60024" xr:uid="{00000000-0005-0000-0000-000076EA0000}"/>
    <cellStyle name="SAPBEXHLevel3X 11 5" xfId="60025" xr:uid="{00000000-0005-0000-0000-000077EA0000}"/>
    <cellStyle name="SAPBEXHLevel3X 11 6" xfId="60026" xr:uid="{00000000-0005-0000-0000-000078EA0000}"/>
    <cellStyle name="SAPBEXHLevel3X 12" xfId="60027" xr:uid="{00000000-0005-0000-0000-000079EA0000}"/>
    <cellStyle name="SAPBEXHLevel3X 12 2" xfId="60028" xr:uid="{00000000-0005-0000-0000-00007AEA0000}"/>
    <cellStyle name="SAPBEXHLevel3X 12 2 2" xfId="60029" xr:uid="{00000000-0005-0000-0000-00007BEA0000}"/>
    <cellStyle name="SAPBEXHLevel3X 12 2 2 2" xfId="60030" xr:uid="{00000000-0005-0000-0000-00007CEA0000}"/>
    <cellStyle name="SAPBEXHLevel3X 12 2 3" xfId="60031" xr:uid="{00000000-0005-0000-0000-00007DEA0000}"/>
    <cellStyle name="SAPBEXHLevel3X 12 2 3 2" xfId="60032" xr:uid="{00000000-0005-0000-0000-00007EEA0000}"/>
    <cellStyle name="SAPBEXHLevel3X 12 2 3 3" xfId="60033" xr:uid="{00000000-0005-0000-0000-00007FEA0000}"/>
    <cellStyle name="SAPBEXHLevel3X 12 2 4" xfId="60034" xr:uid="{00000000-0005-0000-0000-000080EA0000}"/>
    <cellStyle name="SAPBEXHLevel3X 12 2 5" xfId="60035" xr:uid="{00000000-0005-0000-0000-000081EA0000}"/>
    <cellStyle name="SAPBEXHLevel3X 12 3" xfId="60036" xr:uid="{00000000-0005-0000-0000-000082EA0000}"/>
    <cellStyle name="SAPBEXHLevel3X 12 3 2" xfId="60037" xr:uid="{00000000-0005-0000-0000-000083EA0000}"/>
    <cellStyle name="SAPBEXHLevel3X 12 4" xfId="60038" xr:uid="{00000000-0005-0000-0000-000084EA0000}"/>
    <cellStyle name="SAPBEXHLevel3X 12 4 2" xfId="60039" xr:uid="{00000000-0005-0000-0000-000085EA0000}"/>
    <cellStyle name="SAPBEXHLevel3X 12 4 3" xfId="60040" xr:uid="{00000000-0005-0000-0000-000086EA0000}"/>
    <cellStyle name="SAPBEXHLevel3X 12 5" xfId="60041" xr:uid="{00000000-0005-0000-0000-000087EA0000}"/>
    <cellStyle name="SAPBEXHLevel3X 12 6" xfId="60042" xr:uid="{00000000-0005-0000-0000-000088EA0000}"/>
    <cellStyle name="SAPBEXHLevel3X 13" xfId="60043" xr:uid="{00000000-0005-0000-0000-000089EA0000}"/>
    <cellStyle name="SAPBEXHLevel3X 13 2" xfId="60044" xr:uid="{00000000-0005-0000-0000-00008AEA0000}"/>
    <cellStyle name="SAPBEXHLevel3X 13 2 2" xfId="60045" xr:uid="{00000000-0005-0000-0000-00008BEA0000}"/>
    <cellStyle name="SAPBEXHLevel3X 13 3" xfId="60046" xr:uid="{00000000-0005-0000-0000-00008CEA0000}"/>
    <cellStyle name="SAPBEXHLevel3X 13 3 2" xfId="60047" xr:uid="{00000000-0005-0000-0000-00008DEA0000}"/>
    <cellStyle name="SAPBEXHLevel3X 13 3 3" xfId="60048" xr:uid="{00000000-0005-0000-0000-00008EEA0000}"/>
    <cellStyle name="SAPBEXHLevel3X 13 4" xfId="60049" xr:uid="{00000000-0005-0000-0000-00008FEA0000}"/>
    <cellStyle name="SAPBEXHLevel3X 13 5" xfId="60050" xr:uid="{00000000-0005-0000-0000-000090EA0000}"/>
    <cellStyle name="SAPBEXHLevel3X 14" xfId="60051" xr:uid="{00000000-0005-0000-0000-000091EA0000}"/>
    <cellStyle name="SAPBEXHLevel3X 14 2" xfId="60052" xr:uid="{00000000-0005-0000-0000-000092EA0000}"/>
    <cellStyle name="SAPBEXHLevel3X 15" xfId="60053" xr:uid="{00000000-0005-0000-0000-000093EA0000}"/>
    <cellStyle name="SAPBEXHLevel3X 15 2" xfId="60054" xr:uid="{00000000-0005-0000-0000-000094EA0000}"/>
    <cellStyle name="SAPBEXHLevel3X 15 3" xfId="60055" xr:uid="{00000000-0005-0000-0000-000095EA0000}"/>
    <cellStyle name="SAPBEXHLevel3X 16" xfId="60056" xr:uid="{00000000-0005-0000-0000-000096EA0000}"/>
    <cellStyle name="SAPBEXHLevel3X 17" xfId="60057" xr:uid="{00000000-0005-0000-0000-000097EA0000}"/>
    <cellStyle name="SAPBEXHLevel3X 2" xfId="60058" xr:uid="{00000000-0005-0000-0000-000098EA0000}"/>
    <cellStyle name="SAPBEXHLevel3X 2 2" xfId="60059" xr:uid="{00000000-0005-0000-0000-000099EA0000}"/>
    <cellStyle name="SAPBEXHLevel3X 2 2 2" xfId="60060" xr:uid="{00000000-0005-0000-0000-00009AEA0000}"/>
    <cellStyle name="SAPBEXHLevel3X 2 2 2 2" xfId="60061" xr:uid="{00000000-0005-0000-0000-00009BEA0000}"/>
    <cellStyle name="SAPBEXHLevel3X 2 2 3" xfId="60062" xr:uid="{00000000-0005-0000-0000-00009CEA0000}"/>
    <cellStyle name="SAPBEXHLevel3X 2 2 3 2" xfId="60063" xr:uid="{00000000-0005-0000-0000-00009DEA0000}"/>
    <cellStyle name="SAPBEXHLevel3X 2 2 3 3" xfId="60064" xr:uid="{00000000-0005-0000-0000-00009EEA0000}"/>
    <cellStyle name="SAPBEXHLevel3X 2 2 4" xfId="60065" xr:uid="{00000000-0005-0000-0000-00009FEA0000}"/>
    <cellStyle name="SAPBEXHLevel3X 2 2 5" xfId="60066" xr:uid="{00000000-0005-0000-0000-0000A0EA0000}"/>
    <cellStyle name="SAPBEXHLevel3X 2 3" xfId="60067" xr:uid="{00000000-0005-0000-0000-0000A1EA0000}"/>
    <cellStyle name="SAPBEXHLevel3X 2 3 2" xfId="60068" xr:uid="{00000000-0005-0000-0000-0000A2EA0000}"/>
    <cellStyle name="SAPBEXHLevel3X 2 4" xfId="60069" xr:uid="{00000000-0005-0000-0000-0000A3EA0000}"/>
    <cellStyle name="SAPBEXHLevel3X 2 4 2" xfId="60070" xr:uid="{00000000-0005-0000-0000-0000A4EA0000}"/>
    <cellStyle name="SAPBEXHLevel3X 2 4 3" xfId="60071" xr:uid="{00000000-0005-0000-0000-0000A5EA0000}"/>
    <cellStyle name="SAPBEXHLevel3X 2 5" xfId="60072" xr:uid="{00000000-0005-0000-0000-0000A6EA0000}"/>
    <cellStyle name="SAPBEXHLevel3X 2 6" xfId="60073" xr:uid="{00000000-0005-0000-0000-0000A7EA0000}"/>
    <cellStyle name="SAPBEXHLevel3X 3" xfId="60074" xr:uid="{00000000-0005-0000-0000-0000A8EA0000}"/>
    <cellStyle name="SAPBEXHLevel3X 3 2" xfId="60075" xr:uid="{00000000-0005-0000-0000-0000A9EA0000}"/>
    <cellStyle name="SAPBEXHLevel3X 3 2 2" xfId="60076" xr:uid="{00000000-0005-0000-0000-0000AAEA0000}"/>
    <cellStyle name="SAPBEXHLevel3X 3 2 2 2" xfId="60077" xr:uid="{00000000-0005-0000-0000-0000ABEA0000}"/>
    <cellStyle name="SAPBEXHLevel3X 3 2 3" xfId="60078" xr:uid="{00000000-0005-0000-0000-0000ACEA0000}"/>
    <cellStyle name="SAPBEXHLevel3X 3 2 3 2" xfId="60079" xr:uid="{00000000-0005-0000-0000-0000ADEA0000}"/>
    <cellStyle name="SAPBEXHLevel3X 3 2 3 3" xfId="60080" xr:uid="{00000000-0005-0000-0000-0000AEEA0000}"/>
    <cellStyle name="SAPBEXHLevel3X 3 2 4" xfId="60081" xr:uid="{00000000-0005-0000-0000-0000AFEA0000}"/>
    <cellStyle name="SAPBEXHLevel3X 3 2 5" xfId="60082" xr:uid="{00000000-0005-0000-0000-0000B0EA0000}"/>
    <cellStyle name="SAPBEXHLevel3X 3 3" xfId="60083" xr:uid="{00000000-0005-0000-0000-0000B1EA0000}"/>
    <cellStyle name="SAPBEXHLevel3X 3 3 2" xfId="60084" xr:uid="{00000000-0005-0000-0000-0000B2EA0000}"/>
    <cellStyle name="SAPBEXHLevel3X 3 4" xfId="60085" xr:uid="{00000000-0005-0000-0000-0000B3EA0000}"/>
    <cellStyle name="SAPBEXHLevel3X 3 4 2" xfId="60086" xr:uid="{00000000-0005-0000-0000-0000B4EA0000}"/>
    <cellStyle name="SAPBEXHLevel3X 3 4 3" xfId="60087" xr:uid="{00000000-0005-0000-0000-0000B5EA0000}"/>
    <cellStyle name="SAPBEXHLevel3X 3 5" xfId="60088" xr:uid="{00000000-0005-0000-0000-0000B6EA0000}"/>
    <cellStyle name="SAPBEXHLevel3X 3 6" xfId="60089" xr:uid="{00000000-0005-0000-0000-0000B7EA0000}"/>
    <cellStyle name="SAPBEXHLevel3X 4" xfId="60090" xr:uid="{00000000-0005-0000-0000-0000B8EA0000}"/>
    <cellStyle name="SAPBEXHLevel3X 4 2" xfId="60091" xr:uid="{00000000-0005-0000-0000-0000B9EA0000}"/>
    <cellStyle name="SAPBEXHLevel3X 4 2 2" xfId="60092" xr:uid="{00000000-0005-0000-0000-0000BAEA0000}"/>
    <cellStyle name="SAPBEXHLevel3X 4 2 2 2" xfId="60093" xr:uid="{00000000-0005-0000-0000-0000BBEA0000}"/>
    <cellStyle name="SAPBEXHLevel3X 4 2 3" xfId="60094" xr:uid="{00000000-0005-0000-0000-0000BCEA0000}"/>
    <cellStyle name="SAPBEXHLevel3X 4 2 3 2" xfId="60095" xr:uid="{00000000-0005-0000-0000-0000BDEA0000}"/>
    <cellStyle name="SAPBEXHLevel3X 4 2 3 3" xfId="60096" xr:uid="{00000000-0005-0000-0000-0000BEEA0000}"/>
    <cellStyle name="SAPBEXHLevel3X 4 2 4" xfId="60097" xr:uid="{00000000-0005-0000-0000-0000BFEA0000}"/>
    <cellStyle name="SAPBEXHLevel3X 4 2 5" xfId="60098" xr:uid="{00000000-0005-0000-0000-0000C0EA0000}"/>
    <cellStyle name="SAPBEXHLevel3X 4 3" xfId="60099" xr:uid="{00000000-0005-0000-0000-0000C1EA0000}"/>
    <cellStyle name="SAPBEXHLevel3X 4 3 2" xfId="60100" xr:uid="{00000000-0005-0000-0000-0000C2EA0000}"/>
    <cellStyle name="SAPBEXHLevel3X 4 4" xfId="60101" xr:uid="{00000000-0005-0000-0000-0000C3EA0000}"/>
    <cellStyle name="SAPBEXHLevel3X 4 4 2" xfId="60102" xr:uid="{00000000-0005-0000-0000-0000C4EA0000}"/>
    <cellStyle name="SAPBEXHLevel3X 4 4 3" xfId="60103" xr:uid="{00000000-0005-0000-0000-0000C5EA0000}"/>
    <cellStyle name="SAPBEXHLevel3X 4 5" xfId="60104" xr:uid="{00000000-0005-0000-0000-0000C6EA0000}"/>
    <cellStyle name="SAPBEXHLevel3X 4 6" xfId="60105" xr:uid="{00000000-0005-0000-0000-0000C7EA0000}"/>
    <cellStyle name="SAPBEXHLevel3X 5" xfId="60106" xr:uid="{00000000-0005-0000-0000-0000C8EA0000}"/>
    <cellStyle name="SAPBEXHLevel3X 5 2" xfId="60107" xr:uid="{00000000-0005-0000-0000-0000C9EA0000}"/>
    <cellStyle name="SAPBEXHLevel3X 5 2 2" xfId="60108" xr:uid="{00000000-0005-0000-0000-0000CAEA0000}"/>
    <cellStyle name="SAPBEXHLevel3X 5 2 2 2" xfId="60109" xr:uid="{00000000-0005-0000-0000-0000CBEA0000}"/>
    <cellStyle name="SAPBEXHLevel3X 5 2 3" xfId="60110" xr:uid="{00000000-0005-0000-0000-0000CCEA0000}"/>
    <cellStyle name="SAPBEXHLevel3X 5 2 3 2" xfId="60111" xr:uid="{00000000-0005-0000-0000-0000CDEA0000}"/>
    <cellStyle name="SAPBEXHLevel3X 5 2 3 3" xfId="60112" xr:uid="{00000000-0005-0000-0000-0000CEEA0000}"/>
    <cellStyle name="SAPBEXHLevel3X 5 2 4" xfId="60113" xr:uid="{00000000-0005-0000-0000-0000CFEA0000}"/>
    <cellStyle name="SAPBEXHLevel3X 5 2 5" xfId="60114" xr:uid="{00000000-0005-0000-0000-0000D0EA0000}"/>
    <cellStyle name="SAPBEXHLevel3X 5 3" xfId="60115" xr:uid="{00000000-0005-0000-0000-0000D1EA0000}"/>
    <cellStyle name="SAPBEXHLevel3X 5 3 2" xfId="60116" xr:uid="{00000000-0005-0000-0000-0000D2EA0000}"/>
    <cellStyle name="SAPBEXHLevel3X 5 4" xfId="60117" xr:uid="{00000000-0005-0000-0000-0000D3EA0000}"/>
    <cellStyle name="SAPBEXHLevel3X 5 4 2" xfId="60118" xr:uid="{00000000-0005-0000-0000-0000D4EA0000}"/>
    <cellStyle name="SAPBEXHLevel3X 5 4 3" xfId="60119" xr:uid="{00000000-0005-0000-0000-0000D5EA0000}"/>
    <cellStyle name="SAPBEXHLevel3X 5 5" xfId="60120" xr:uid="{00000000-0005-0000-0000-0000D6EA0000}"/>
    <cellStyle name="SAPBEXHLevel3X 5 6" xfId="60121" xr:uid="{00000000-0005-0000-0000-0000D7EA0000}"/>
    <cellStyle name="SAPBEXHLevel3X 6" xfId="60122" xr:uid="{00000000-0005-0000-0000-0000D8EA0000}"/>
    <cellStyle name="SAPBEXHLevel3X 6 2" xfId="60123" xr:uid="{00000000-0005-0000-0000-0000D9EA0000}"/>
    <cellStyle name="SAPBEXHLevel3X 6 2 2" xfId="60124" xr:uid="{00000000-0005-0000-0000-0000DAEA0000}"/>
    <cellStyle name="SAPBEXHLevel3X 6 2 2 2" xfId="60125" xr:uid="{00000000-0005-0000-0000-0000DBEA0000}"/>
    <cellStyle name="SAPBEXHLevel3X 6 2 3" xfId="60126" xr:uid="{00000000-0005-0000-0000-0000DCEA0000}"/>
    <cellStyle name="SAPBEXHLevel3X 6 2 3 2" xfId="60127" xr:uid="{00000000-0005-0000-0000-0000DDEA0000}"/>
    <cellStyle name="SAPBEXHLevel3X 6 2 3 3" xfId="60128" xr:uid="{00000000-0005-0000-0000-0000DEEA0000}"/>
    <cellStyle name="SAPBEXHLevel3X 6 2 4" xfId="60129" xr:uid="{00000000-0005-0000-0000-0000DFEA0000}"/>
    <cellStyle name="SAPBEXHLevel3X 6 2 5" xfId="60130" xr:uid="{00000000-0005-0000-0000-0000E0EA0000}"/>
    <cellStyle name="SAPBEXHLevel3X 6 3" xfId="60131" xr:uid="{00000000-0005-0000-0000-0000E1EA0000}"/>
    <cellStyle name="SAPBEXHLevel3X 6 3 2" xfId="60132" xr:uid="{00000000-0005-0000-0000-0000E2EA0000}"/>
    <cellStyle name="SAPBEXHLevel3X 6 4" xfId="60133" xr:uid="{00000000-0005-0000-0000-0000E3EA0000}"/>
    <cellStyle name="SAPBEXHLevel3X 6 4 2" xfId="60134" xr:uid="{00000000-0005-0000-0000-0000E4EA0000}"/>
    <cellStyle name="SAPBEXHLevel3X 6 4 3" xfId="60135" xr:uid="{00000000-0005-0000-0000-0000E5EA0000}"/>
    <cellStyle name="SAPBEXHLevel3X 6 5" xfId="60136" xr:uid="{00000000-0005-0000-0000-0000E6EA0000}"/>
    <cellStyle name="SAPBEXHLevel3X 6 6" xfId="60137" xr:uid="{00000000-0005-0000-0000-0000E7EA0000}"/>
    <cellStyle name="SAPBEXHLevel3X 7" xfId="60138" xr:uid="{00000000-0005-0000-0000-0000E8EA0000}"/>
    <cellStyle name="SAPBEXHLevel3X 7 2" xfId="60139" xr:uid="{00000000-0005-0000-0000-0000E9EA0000}"/>
    <cellStyle name="SAPBEXHLevel3X 7 2 2" xfId="60140" xr:uid="{00000000-0005-0000-0000-0000EAEA0000}"/>
    <cellStyle name="SAPBEXHLevel3X 7 2 2 2" xfId="60141" xr:uid="{00000000-0005-0000-0000-0000EBEA0000}"/>
    <cellStyle name="SAPBEXHLevel3X 7 2 3" xfId="60142" xr:uid="{00000000-0005-0000-0000-0000ECEA0000}"/>
    <cellStyle name="SAPBEXHLevel3X 7 2 3 2" xfId="60143" xr:uid="{00000000-0005-0000-0000-0000EDEA0000}"/>
    <cellStyle name="SAPBEXHLevel3X 7 2 3 3" xfId="60144" xr:uid="{00000000-0005-0000-0000-0000EEEA0000}"/>
    <cellStyle name="SAPBEXHLevel3X 7 2 4" xfId="60145" xr:uid="{00000000-0005-0000-0000-0000EFEA0000}"/>
    <cellStyle name="SAPBEXHLevel3X 7 2 5" xfId="60146" xr:uid="{00000000-0005-0000-0000-0000F0EA0000}"/>
    <cellStyle name="SAPBEXHLevel3X 7 3" xfId="60147" xr:uid="{00000000-0005-0000-0000-0000F1EA0000}"/>
    <cellStyle name="SAPBEXHLevel3X 7 3 2" xfId="60148" xr:uid="{00000000-0005-0000-0000-0000F2EA0000}"/>
    <cellStyle name="SAPBEXHLevel3X 7 4" xfId="60149" xr:uid="{00000000-0005-0000-0000-0000F3EA0000}"/>
    <cellStyle name="SAPBEXHLevel3X 7 4 2" xfId="60150" xr:uid="{00000000-0005-0000-0000-0000F4EA0000}"/>
    <cellStyle name="SAPBEXHLevel3X 7 4 3" xfId="60151" xr:uid="{00000000-0005-0000-0000-0000F5EA0000}"/>
    <cellStyle name="SAPBEXHLevel3X 7 5" xfId="60152" xr:uid="{00000000-0005-0000-0000-0000F6EA0000}"/>
    <cellStyle name="SAPBEXHLevel3X 7 6" xfId="60153" xr:uid="{00000000-0005-0000-0000-0000F7EA0000}"/>
    <cellStyle name="SAPBEXHLevel3X 8" xfId="60154" xr:uid="{00000000-0005-0000-0000-0000F8EA0000}"/>
    <cellStyle name="SAPBEXHLevel3X 8 2" xfId="60155" xr:uid="{00000000-0005-0000-0000-0000F9EA0000}"/>
    <cellStyle name="SAPBEXHLevel3X 8 2 2" xfId="60156" xr:uid="{00000000-0005-0000-0000-0000FAEA0000}"/>
    <cellStyle name="SAPBEXHLevel3X 8 2 2 2" xfId="60157" xr:uid="{00000000-0005-0000-0000-0000FBEA0000}"/>
    <cellStyle name="SAPBEXHLevel3X 8 2 3" xfId="60158" xr:uid="{00000000-0005-0000-0000-0000FCEA0000}"/>
    <cellStyle name="SAPBEXHLevel3X 8 2 3 2" xfId="60159" xr:uid="{00000000-0005-0000-0000-0000FDEA0000}"/>
    <cellStyle name="SAPBEXHLevel3X 8 2 3 3" xfId="60160" xr:uid="{00000000-0005-0000-0000-0000FEEA0000}"/>
    <cellStyle name="SAPBEXHLevel3X 8 2 4" xfId="60161" xr:uid="{00000000-0005-0000-0000-0000FFEA0000}"/>
    <cellStyle name="SAPBEXHLevel3X 8 2 5" xfId="60162" xr:uid="{00000000-0005-0000-0000-000000EB0000}"/>
    <cellStyle name="SAPBEXHLevel3X 8 3" xfId="60163" xr:uid="{00000000-0005-0000-0000-000001EB0000}"/>
    <cellStyle name="SAPBEXHLevel3X 8 3 2" xfId="60164" xr:uid="{00000000-0005-0000-0000-000002EB0000}"/>
    <cellStyle name="SAPBEXHLevel3X 8 4" xfId="60165" xr:uid="{00000000-0005-0000-0000-000003EB0000}"/>
    <cellStyle name="SAPBEXHLevel3X 8 4 2" xfId="60166" xr:uid="{00000000-0005-0000-0000-000004EB0000}"/>
    <cellStyle name="SAPBEXHLevel3X 8 4 3" xfId="60167" xr:uid="{00000000-0005-0000-0000-000005EB0000}"/>
    <cellStyle name="SAPBEXHLevel3X 8 5" xfId="60168" xr:uid="{00000000-0005-0000-0000-000006EB0000}"/>
    <cellStyle name="SAPBEXHLevel3X 8 6" xfId="60169" xr:uid="{00000000-0005-0000-0000-000007EB0000}"/>
    <cellStyle name="SAPBEXHLevel3X 9" xfId="60170" xr:uid="{00000000-0005-0000-0000-000008EB0000}"/>
    <cellStyle name="SAPBEXHLevel3X 9 2" xfId="60171" xr:uid="{00000000-0005-0000-0000-000009EB0000}"/>
    <cellStyle name="SAPBEXHLevel3X 9 2 2" xfId="60172" xr:uid="{00000000-0005-0000-0000-00000AEB0000}"/>
    <cellStyle name="SAPBEXHLevel3X 9 2 2 2" xfId="60173" xr:uid="{00000000-0005-0000-0000-00000BEB0000}"/>
    <cellStyle name="SAPBEXHLevel3X 9 2 3" xfId="60174" xr:uid="{00000000-0005-0000-0000-00000CEB0000}"/>
    <cellStyle name="SAPBEXHLevel3X 9 2 3 2" xfId="60175" xr:uid="{00000000-0005-0000-0000-00000DEB0000}"/>
    <cellStyle name="SAPBEXHLevel3X 9 2 3 3" xfId="60176" xr:uid="{00000000-0005-0000-0000-00000EEB0000}"/>
    <cellStyle name="SAPBEXHLevel3X 9 2 4" xfId="60177" xr:uid="{00000000-0005-0000-0000-00000FEB0000}"/>
    <cellStyle name="SAPBEXHLevel3X 9 2 5" xfId="60178" xr:uid="{00000000-0005-0000-0000-000010EB0000}"/>
    <cellStyle name="SAPBEXHLevel3X 9 3" xfId="60179" xr:uid="{00000000-0005-0000-0000-000011EB0000}"/>
    <cellStyle name="SAPBEXHLevel3X 9 3 2" xfId="60180" xr:uid="{00000000-0005-0000-0000-000012EB0000}"/>
    <cellStyle name="SAPBEXHLevel3X 9 4" xfId="60181" xr:uid="{00000000-0005-0000-0000-000013EB0000}"/>
    <cellStyle name="SAPBEXHLevel3X 9 4 2" xfId="60182" xr:uid="{00000000-0005-0000-0000-000014EB0000}"/>
    <cellStyle name="SAPBEXHLevel3X 9 4 3" xfId="60183" xr:uid="{00000000-0005-0000-0000-000015EB0000}"/>
    <cellStyle name="SAPBEXHLevel3X 9 5" xfId="60184" xr:uid="{00000000-0005-0000-0000-000016EB0000}"/>
    <cellStyle name="SAPBEXHLevel3X 9 6" xfId="60185" xr:uid="{00000000-0005-0000-0000-000017EB0000}"/>
    <cellStyle name="SAPBEXinputData" xfId="60186" xr:uid="{00000000-0005-0000-0000-000018EB0000}"/>
    <cellStyle name="SAPBEXinputData 2" xfId="60187" xr:uid="{00000000-0005-0000-0000-000019EB0000}"/>
    <cellStyle name="SAPBEXinputData 2 2" xfId="60188" xr:uid="{00000000-0005-0000-0000-00001AEB0000}"/>
    <cellStyle name="SAPBEXinputData 2 2 2" xfId="60189" xr:uid="{00000000-0005-0000-0000-00001BEB0000}"/>
    <cellStyle name="SAPBEXinputData 2 2 2 2" xfId="60190" xr:uid="{00000000-0005-0000-0000-00001CEB0000}"/>
    <cellStyle name="SAPBEXinputData 2 2 3" xfId="60191" xr:uid="{00000000-0005-0000-0000-00001DEB0000}"/>
    <cellStyle name="SAPBEXinputData 2 3" xfId="60192" xr:uid="{00000000-0005-0000-0000-00001EEB0000}"/>
    <cellStyle name="SAPBEXinputData 3" xfId="60193" xr:uid="{00000000-0005-0000-0000-00001FEB0000}"/>
    <cellStyle name="SAPBEXinputData 3 2" xfId="60194" xr:uid="{00000000-0005-0000-0000-000020EB0000}"/>
    <cellStyle name="SAPBEXinputData 3 2 2" xfId="60195" xr:uid="{00000000-0005-0000-0000-000021EB0000}"/>
    <cellStyle name="SAPBEXinputData 3 3" xfId="60196" xr:uid="{00000000-0005-0000-0000-000022EB0000}"/>
    <cellStyle name="SAPBEXinputData 4" xfId="60197" xr:uid="{00000000-0005-0000-0000-000023EB0000}"/>
    <cellStyle name="SAPBEXItemHeader" xfId="60198" xr:uid="{00000000-0005-0000-0000-000024EB0000}"/>
    <cellStyle name="SAPBEXItemHeader 2" xfId="60199" xr:uid="{00000000-0005-0000-0000-000025EB0000}"/>
    <cellStyle name="SAPBEXItemHeader 2 2" xfId="60200" xr:uid="{00000000-0005-0000-0000-000026EB0000}"/>
    <cellStyle name="SAPBEXItemHeader 2 2 2" xfId="60201" xr:uid="{00000000-0005-0000-0000-000027EB0000}"/>
    <cellStyle name="SAPBEXItemHeader 2 3" xfId="60202" xr:uid="{00000000-0005-0000-0000-000028EB0000}"/>
    <cellStyle name="SAPBEXItemHeader 2 3 2" xfId="60203" xr:uid="{00000000-0005-0000-0000-000029EB0000}"/>
    <cellStyle name="SAPBEXItemHeader 2 3 3" xfId="60204" xr:uid="{00000000-0005-0000-0000-00002AEB0000}"/>
    <cellStyle name="SAPBEXItemHeader 2 4" xfId="60205" xr:uid="{00000000-0005-0000-0000-00002BEB0000}"/>
    <cellStyle name="SAPBEXItemHeader 2 5" xfId="60206" xr:uid="{00000000-0005-0000-0000-00002CEB0000}"/>
    <cellStyle name="SAPBEXItemHeader 3" xfId="60207" xr:uid="{00000000-0005-0000-0000-00002DEB0000}"/>
    <cellStyle name="SAPBEXItemHeader 3 2" xfId="60208" xr:uid="{00000000-0005-0000-0000-00002EEB0000}"/>
    <cellStyle name="SAPBEXItemHeader 3 3" xfId="60209" xr:uid="{00000000-0005-0000-0000-00002FEB0000}"/>
    <cellStyle name="SAPBEXItemHeader 4" xfId="60210" xr:uid="{00000000-0005-0000-0000-000030EB0000}"/>
    <cellStyle name="SAPBEXItemHeader 5" xfId="60211" xr:uid="{00000000-0005-0000-0000-000031EB0000}"/>
    <cellStyle name="SAPBEXresData" xfId="60212" xr:uid="{00000000-0005-0000-0000-000032EB0000}"/>
    <cellStyle name="SAPBEXresData 10" xfId="60213" xr:uid="{00000000-0005-0000-0000-000033EB0000}"/>
    <cellStyle name="SAPBEXresData 10 2" xfId="60214" xr:uid="{00000000-0005-0000-0000-000034EB0000}"/>
    <cellStyle name="SAPBEXresData 10 2 2" xfId="60215" xr:uid="{00000000-0005-0000-0000-000035EB0000}"/>
    <cellStyle name="SAPBEXresData 10 3" xfId="60216" xr:uid="{00000000-0005-0000-0000-000036EB0000}"/>
    <cellStyle name="SAPBEXresData 11" xfId="60217" xr:uid="{00000000-0005-0000-0000-000037EB0000}"/>
    <cellStyle name="SAPBEXresData 11 2" xfId="60218" xr:uid="{00000000-0005-0000-0000-000038EB0000}"/>
    <cellStyle name="SAPBEXresData 11 2 2" xfId="60219" xr:uid="{00000000-0005-0000-0000-000039EB0000}"/>
    <cellStyle name="SAPBEXresData 11 3" xfId="60220" xr:uid="{00000000-0005-0000-0000-00003AEB0000}"/>
    <cellStyle name="SAPBEXresData 12" xfId="60221" xr:uid="{00000000-0005-0000-0000-00003BEB0000}"/>
    <cellStyle name="SAPBEXresData 12 2" xfId="60222" xr:uid="{00000000-0005-0000-0000-00003CEB0000}"/>
    <cellStyle name="SAPBEXresData 12 2 2" xfId="60223" xr:uid="{00000000-0005-0000-0000-00003DEB0000}"/>
    <cellStyle name="SAPBEXresData 12 3" xfId="60224" xr:uid="{00000000-0005-0000-0000-00003EEB0000}"/>
    <cellStyle name="SAPBEXresData 13" xfId="60225" xr:uid="{00000000-0005-0000-0000-00003FEB0000}"/>
    <cellStyle name="SAPBEXresData 13 2" xfId="60226" xr:uid="{00000000-0005-0000-0000-000040EB0000}"/>
    <cellStyle name="SAPBEXresData 14" xfId="60227" xr:uid="{00000000-0005-0000-0000-000041EB0000}"/>
    <cellStyle name="SAPBEXresData 2" xfId="60228" xr:uid="{00000000-0005-0000-0000-000042EB0000}"/>
    <cellStyle name="SAPBEXresData 2 2" xfId="60229" xr:uid="{00000000-0005-0000-0000-000043EB0000}"/>
    <cellStyle name="SAPBEXresData 2 2 2" xfId="60230" xr:uid="{00000000-0005-0000-0000-000044EB0000}"/>
    <cellStyle name="SAPBEXresData 2 2 2 2" xfId="60231" xr:uid="{00000000-0005-0000-0000-000045EB0000}"/>
    <cellStyle name="SAPBEXresData 2 2 3" xfId="60232" xr:uid="{00000000-0005-0000-0000-000046EB0000}"/>
    <cellStyle name="SAPBEXresData 2 3" xfId="60233" xr:uid="{00000000-0005-0000-0000-000047EB0000}"/>
    <cellStyle name="SAPBEXresData 2 3 2" xfId="60234" xr:uid="{00000000-0005-0000-0000-000048EB0000}"/>
    <cellStyle name="SAPBEXresData 2 4" xfId="60235" xr:uid="{00000000-0005-0000-0000-000049EB0000}"/>
    <cellStyle name="SAPBEXresData 3" xfId="60236" xr:uid="{00000000-0005-0000-0000-00004AEB0000}"/>
    <cellStyle name="SAPBEXresData 3 2" xfId="60237" xr:uid="{00000000-0005-0000-0000-00004BEB0000}"/>
    <cellStyle name="SAPBEXresData 3 2 2" xfId="60238" xr:uid="{00000000-0005-0000-0000-00004CEB0000}"/>
    <cellStyle name="SAPBEXresData 3 3" xfId="60239" xr:uid="{00000000-0005-0000-0000-00004DEB0000}"/>
    <cellStyle name="SAPBEXresData 4" xfId="60240" xr:uid="{00000000-0005-0000-0000-00004EEB0000}"/>
    <cellStyle name="SAPBEXresData 4 2" xfId="60241" xr:uid="{00000000-0005-0000-0000-00004FEB0000}"/>
    <cellStyle name="SAPBEXresData 4 2 2" xfId="60242" xr:uid="{00000000-0005-0000-0000-000050EB0000}"/>
    <cellStyle name="SAPBEXresData 4 3" xfId="60243" xr:uid="{00000000-0005-0000-0000-000051EB0000}"/>
    <cellStyle name="SAPBEXresData 5" xfId="60244" xr:uid="{00000000-0005-0000-0000-000052EB0000}"/>
    <cellStyle name="SAPBEXresData 5 2" xfId="60245" xr:uid="{00000000-0005-0000-0000-000053EB0000}"/>
    <cellStyle name="SAPBEXresData 5 2 2" xfId="60246" xr:uid="{00000000-0005-0000-0000-000054EB0000}"/>
    <cellStyle name="SAPBEXresData 5 3" xfId="60247" xr:uid="{00000000-0005-0000-0000-000055EB0000}"/>
    <cellStyle name="SAPBEXresData 6" xfId="60248" xr:uid="{00000000-0005-0000-0000-000056EB0000}"/>
    <cellStyle name="SAPBEXresData 6 2" xfId="60249" xr:uid="{00000000-0005-0000-0000-000057EB0000}"/>
    <cellStyle name="SAPBEXresData 6 2 2" xfId="60250" xr:uid="{00000000-0005-0000-0000-000058EB0000}"/>
    <cellStyle name="SAPBEXresData 6 3" xfId="60251" xr:uid="{00000000-0005-0000-0000-000059EB0000}"/>
    <cellStyle name="SAPBEXresData 7" xfId="60252" xr:uid="{00000000-0005-0000-0000-00005AEB0000}"/>
    <cellStyle name="SAPBEXresData 7 2" xfId="60253" xr:uid="{00000000-0005-0000-0000-00005BEB0000}"/>
    <cellStyle name="SAPBEXresData 7 2 2" xfId="60254" xr:uid="{00000000-0005-0000-0000-00005CEB0000}"/>
    <cellStyle name="SAPBEXresData 7 3" xfId="60255" xr:uid="{00000000-0005-0000-0000-00005DEB0000}"/>
    <cellStyle name="SAPBEXresData 8" xfId="60256" xr:uid="{00000000-0005-0000-0000-00005EEB0000}"/>
    <cellStyle name="SAPBEXresData 8 2" xfId="60257" xr:uid="{00000000-0005-0000-0000-00005FEB0000}"/>
    <cellStyle name="SAPBEXresData 8 2 2" xfId="60258" xr:uid="{00000000-0005-0000-0000-000060EB0000}"/>
    <cellStyle name="SAPBEXresData 8 3" xfId="60259" xr:uid="{00000000-0005-0000-0000-000061EB0000}"/>
    <cellStyle name="SAPBEXresData 9" xfId="60260" xr:uid="{00000000-0005-0000-0000-000062EB0000}"/>
    <cellStyle name="SAPBEXresData 9 2" xfId="60261" xr:uid="{00000000-0005-0000-0000-000063EB0000}"/>
    <cellStyle name="SAPBEXresData 9 2 2" xfId="60262" xr:uid="{00000000-0005-0000-0000-000064EB0000}"/>
    <cellStyle name="SAPBEXresData 9 3" xfId="60263" xr:uid="{00000000-0005-0000-0000-000065EB0000}"/>
    <cellStyle name="SAPBEXresDataEmph" xfId="60264" xr:uid="{00000000-0005-0000-0000-000066EB0000}"/>
    <cellStyle name="SAPBEXresDataEmph 10" xfId="60265" xr:uid="{00000000-0005-0000-0000-000067EB0000}"/>
    <cellStyle name="SAPBEXresDataEmph 10 2" xfId="60266" xr:uid="{00000000-0005-0000-0000-000068EB0000}"/>
    <cellStyle name="SAPBEXresDataEmph 10 2 2" xfId="60267" xr:uid="{00000000-0005-0000-0000-000069EB0000}"/>
    <cellStyle name="SAPBEXresDataEmph 10 2 3" xfId="60268" xr:uid="{00000000-0005-0000-0000-00006AEB0000}"/>
    <cellStyle name="SAPBEXresDataEmph 10 2 3 2" xfId="60269" xr:uid="{00000000-0005-0000-0000-00006BEB0000}"/>
    <cellStyle name="SAPBEXresDataEmph 10 3" xfId="60270" xr:uid="{00000000-0005-0000-0000-00006CEB0000}"/>
    <cellStyle name="SAPBEXresDataEmph 10 4" xfId="60271" xr:uid="{00000000-0005-0000-0000-00006DEB0000}"/>
    <cellStyle name="SAPBEXresDataEmph 10 4 2" xfId="60272" xr:uid="{00000000-0005-0000-0000-00006EEB0000}"/>
    <cellStyle name="SAPBEXresDataEmph 11" xfId="60273" xr:uid="{00000000-0005-0000-0000-00006FEB0000}"/>
    <cellStyle name="SAPBEXresDataEmph 11 2" xfId="60274" xr:uid="{00000000-0005-0000-0000-000070EB0000}"/>
    <cellStyle name="SAPBEXresDataEmph 11 2 2" xfId="60275" xr:uid="{00000000-0005-0000-0000-000071EB0000}"/>
    <cellStyle name="SAPBEXresDataEmph 11 2 3" xfId="60276" xr:uid="{00000000-0005-0000-0000-000072EB0000}"/>
    <cellStyle name="SAPBEXresDataEmph 11 2 3 2" xfId="60277" xr:uid="{00000000-0005-0000-0000-000073EB0000}"/>
    <cellStyle name="SAPBEXresDataEmph 11 3" xfId="60278" xr:uid="{00000000-0005-0000-0000-000074EB0000}"/>
    <cellStyle name="SAPBEXresDataEmph 11 4" xfId="60279" xr:uid="{00000000-0005-0000-0000-000075EB0000}"/>
    <cellStyle name="SAPBEXresDataEmph 11 4 2" xfId="60280" xr:uid="{00000000-0005-0000-0000-000076EB0000}"/>
    <cellStyle name="SAPBEXresDataEmph 12" xfId="60281" xr:uid="{00000000-0005-0000-0000-000077EB0000}"/>
    <cellStyle name="SAPBEXresDataEmph 12 2" xfId="60282" xr:uid="{00000000-0005-0000-0000-000078EB0000}"/>
    <cellStyle name="SAPBEXresDataEmph 12 2 2" xfId="60283" xr:uid="{00000000-0005-0000-0000-000079EB0000}"/>
    <cellStyle name="SAPBEXresDataEmph 12 3" xfId="60284" xr:uid="{00000000-0005-0000-0000-00007AEB0000}"/>
    <cellStyle name="SAPBEXresDataEmph 13" xfId="60285" xr:uid="{00000000-0005-0000-0000-00007BEB0000}"/>
    <cellStyle name="SAPBEXresDataEmph 13 2" xfId="60286" xr:uid="{00000000-0005-0000-0000-00007CEB0000}"/>
    <cellStyle name="SAPBEXresDataEmph 14" xfId="60287" xr:uid="{00000000-0005-0000-0000-00007DEB0000}"/>
    <cellStyle name="SAPBEXresDataEmph 15" xfId="60288" xr:uid="{00000000-0005-0000-0000-00007EEB0000}"/>
    <cellStyle name="SAPBEXresDataEmph 15 2" xfId="60289" xr:uid="{00000000-0005-0000-0000-00007FEB0000}"/>
    <cellStyle name="SAPBEXresDataEmph 2" xfId="60290" xr:uid="{00000000-0005-0000-0000-000080EB0000}"/>
    <cellStyle name="SAPBEXresDataEmph 2 2" xfId="60291" xr:uid="{00000000-0005-0000-0000-000081EB0000}"/>
    <cellStyle name="SAPBEXresDataEmph 2 2 2" xfId="60292" xr:uid="{00000000-0005-0000-0000-000082EB0000}"/>
    <cellStyle name="SAPBEXresDataEmph 2 2 3" xfId="60293" xr:uid="{00000000-0005-0000-0000-000083EB0000}"/>
    <cellStyle name="SAPBEXresDataEmph 2 2 3 2" xfId="60294" xr:uid="{00000000-0005-0000-0000-000084EB0000}"/>
    <cellStyle name="SAPBEXresDataEmph 2 3" xfId="60295" xr:uid="{00000000-0005-0000-0000-000085EB0000}"/>
    <cellStyle name="SAPBEXresDataEmph 2 4" xfId="60296" xr:uid="{00000000-0005-0000-0000-000086EB0000}"/>
    <cellStyle name="SAPBEXresDataEmph 2 4 2" xfId="60297" xr:uid="{00000000-0005-0000-0000-000087EB0000}"/>
    <cellStyle name="SAPBEXresDataEmph 3" xfId="60298" xr:uid="{00000000-0005-0000-0000-000088EB0000}"/>
    <cellStyle name="SAPBEXresDataEmph 3 2" xfId="60299" xr:uid="{00000000-0005-0000-0000-000089EB0000}"/>
    <cellStyle name="SAPBEXresDataEmph 3 2 2" xfId="60300" xr:uid="{00000000-0005-0000-0000-00008AEB0000}"/>
    <cellStyle name="SAPBEXresDataEmph 3 2 3" xfId="60301" xr:uid="{00000000-0005-0000-0000-00008BEB0000}"/>
    <cellStyle name="SAPBEXresDataEmph 3 2 3 2" xfId="60302" xr:uid="{00000000-0005-0000-0000-00008CEB0000}"/>
    <cellStyle name="SAPBEXresDataEmph 3 3" xfId="60303" xr:uid="{00000000-0005-0000-0000-00008DEB0000}"/>
    <cellStyle name="SAPBEXresDataEmph 3 4" xfId="60304" xr:uid="{00000000-0005-0000-0000-00008EEB0000}"/>
    <cellStyle name="SAPBEXresDataEmph 3 4 2" xfId="60305" xr:uid="{00000000-0005-0000-0000-00008FEB0000}"/>
    <cellStyle name="SAPBEXresDataEmph 4" xfId="60306" xr:uid="{00000000-0005-0000-0000-000090EB0000}"/>
    <cellStyle name="SAPBEXresDataEmph 4 2" xfId="60307" xr:uid="{00000000-0005-0000-0000-000091EB0000}"/>
    <cellStyle name="SAPBEXresDataEmph 4 2 2" xfId="60308" xr:uid="{00000000-0005-0000-0000-000092EB0000}"/>
    <cellStyle name="SAPBEXresDataEmph 4 2 3" xfId="60309" xr:uid="{00000000-0005-0000-0000-000093EB0000}"/>
    <cellStyle name="SAPBEXresDataEmph 4 2 3 2" xfId="60310" xr:uid="{00000000-0005-0000-0000-000094EB0000}"/>
    <cellStyle name="SAPBEXresDataEmph 4 3" xfId="60311" xr:uid="{00000000-0005-0000-0000-000095EB0000}"/>
    <cellStyle name="SAPBEXresDataEmph 4 4" xfId="60312" xr:uid="{00000000-0005-0000-0000-000096EB0000}"/>
    <cellStyle name="SAPBEXresDataEmph 4 4 2" xfId="60313" xr:uid="{00000000-0005-0000-0000-000097EB0000}"/>
    <cellStyle name="SAPBEXresDataEmph 5" xfId="60314" xr:uid="{00000000-0005-0000-0000-000098EB0000}"/>
    <cellStyle name="SAPBEXresDataEmph 5 2" xfId="60315" xr:uid="{00000000-0005-0000-0000-000099EB0000}"/>
    <cellStyle name="SAPBEXresDataEmph 5 2 2" xfId="60316" xr:uid="{00000000-0005-0000-0000-00009AEB0000}"/>
    <cellStyle name="SAPBEXresDataEmph 5 2 3" xfId="60317" xr:uid="{00000000-0005-0000-0000-00009BEB0000}"/>
    <cellStyle name="SAPBEXresDataEmph 5 2 3 2" xfId="60318" xr:uid="{00000000-0005-0000-0000-00009CEB0000}"/>
    <cellStyle name="SAPBEXresDataEmph 5 3" xfId="60319" xr:uid="{00000000-0005-0000-0000-00009DEB0000}"/>
    <cellStyle name="SAPBEXresDataEmph 5 4" xfId="60320" xr:uid="{00000000-0005-0000-0000-00009EEB0000}"/>
    <cellStyle name="SAPBEXresDataEmph 5 4 2" xfId="60321" xr:uid="{00000000-0005-0000-0000-00009FEB0000}"/>
    <cellStyle name="SAPBEXresDataEmph 6" xfId="60322" xr:uid="{00000000-0005-0000-0000-0000A0EB0000}"/>
    <cellStyle name="SAPBEXresDataEmph 6 2" xfId="60323" xr:uid="{00000000-0005-0000-0000-0000A1EB0000}"/>
    <cellStyle name="SAPBEXresDataEmph 6 2 2" xfId="60324" xr:uid="{00000000-0005-0000-0000-0000A2EB0000}"/>
    <cellStyle name="SAPBEXresDataEmph 6 2 3" xfId="60325" xr:uid="{00000000-0005-0000-0000-0000A3EB0000}"/>
    <cellStyle name="SAPBEXresDataEmph 6 2 3 2" xfId="60326" xr:uid="{00000000-0005-0000-0000-0000A4EB0000}"/>
    <cellStyle name="SAPBEXresDataEmph 6 3" xfId="60327" xr:uid="{00000000-0005-0000-0000-0000A5EB0000}"/>
    <cellStyle name="SAPBEXresDataEmph 6 4" xfId="60328" xr:uid="{00000000-0005-0000-0000-0000A6EB0000}"/>
    <cellStyle name="SAPBEXresDataEmph 6 4 2" xfId="60329" xr:uid="{00000000-0005-0000-0000-0000A7EB0000}"/>
    <cellStyle name="SAPBEXresDataEmph 7" xfId="60330" xr:uid="{00000000-0005-0000-0000-0000A8EB0000}"/>
    <cellStyle name="SAPBEXresDataEmph 7 2" xfId="60331" xr:uid="{00000000-0005-0000-0000-0000A9EB0000}"/>
    <cellStyle name="SAPBEXresDataEmph 7 2 2" xfId="60332" xr:uid="{00000000-0005-0000-0000-0000AAEB0000}"/>
    <cellStyle name="SAPBEXresDataEmph 7 2 3" xfId="60333" xr:uid="{00000000-0005-0000-0000-0000ABEB0000}"/>
    <cellStyle name="SAPBEXresDataEmph 7 2 3 2" xfId="60334" xr:uid="{00000000-0005-0000-0000-0000ACEB0000}"/>
    <cellStyle name="SAPBEXresDataEmph 7 3" xfId="60335" xr:uid="{00000000-0005-0000-0000-0000ADEB0000}"/>
    <cellStyle name="SAPBEXresDataEmph 7 4" xfId="60336" xr:uid="{00000000-0005-0000-0000-0000AEEB0000}"/>
    <cellStyle name="SAPBEXresDataEmph 7 4 2" xfId="60337" xr:uid="{00000000-0005-0000-0000-0000AFEB0000}"/>
    <cellStyle name="SAPBEXresDataEmph 8" xfId="60338" xr:uid="{00000000-0005-0000-0000-0000B0EB0000}"/>
    <cellStyle name="SAPBEXresDataEmph 8 2" xfId="60339" xr:uid="{00000000-0005-0000-0000-0000B1EB0000}"/>
    <cellStyle name="SAPBEXresDataEmph 8 2 2" xfId="60340" xr:uid="{00000000-0005-0000-0000-0000B2EB0000}"/>
    <cellStyle name="SAPBEXresDataEmph 8 2 3" xfId="60341" xr:uid="{00000000-0005-0000-0000-0000B3EB0000}"/>
    <cellStyle name="SAPBEXresDataEmph 8 2 3 2" xfId="60342" xr:uid="{00000000-0005-0000-0000-0000B4EB0000}"/>
    <cellStyle name="SAPBEXresDataEmph 8 3" xfId="60343" xr:uid="{00000000-0005-0000-0000-0000B5EB0000}"/>
    <cellStyle name="SAPBEXresDataEmph 8 4" xfId="60344" xr:uid="{00000000-0005-0000-0000-0000B6EB0000}"/>
    <cellStyle name="SAPBEXresDataEmph 8 4 2" xfId="60345" xr:uid="{00000000-0005-0000-0000-0000B7EB0000}"/>
    <cellStyle name="SAPBEXresDataEmph 9" xfId="60346" xr:uid="{00000000-0005-0000-0000-0000B8EB0000}"/>
    <cellStyle name="SAPBEXresDataEmph 9 2" xfId="60347" xr:uid="{00000000-0005-0000-0000-0000B9EB0000}"/>
    <cellStyle name="SAPBEXresDataEmph 9 2 2" xfId="60348" xr:uid="{00000000-0005-0000-0000-0000BAEB0000}"/>
    <cellStyle name="SAPBEXresDataEmph 9 2 3" xfId="60349" xr:uid="{00000000-0005-0000-0000-0000BBEB0000}"/>
    <cellStyle name="SAPBEXresDataEmph 9 2 3 2" xfId="60350" xr:uid="{00000000-0005-0000-0000-0000BCEB0000}"/>
    <cellStyle name="SAPBEXresDataEmph 9 3" xfId="60351" xr:uid="{00000000-0005-0000-0000-0000BDEB0000}"/>
    <cellStyle name="SAPBEXresDataEmph 9 4" xfId="60352" xr:uid="{00000000-0005-0000-0000-0000BEEB0000}"/>
    <cellStyle name="SAPBEXresDataEmph 9 4 2" xfId="60353" xr:uid="{00000000-0005-0000-0000-0000BFEB0000}"/>
    <cellStyle name="SAPBEXresItem" xfId="60354" xr:uid="{00000000-0005-0000-0000-0000C0EB0000}"/>
    <cellStyle name="SAPBEXresItem 10" xfId="60355" xr:uid="{00000000-0005-0000-0000-0000C1EB0000}"/>
    <cellStyle name="SAPBEXresItem 10 2" xfId="60356" xr:uid="{00000000-0005-0000-0000-0000C2EB0000}"/>
    <cellStyle name="SAPBEXresItem 10 2 2" xfId="60357" xr:uid="{00000000-0005-0000-0000-0000C3EB0000}"/>
    <cellStyle name="SAPBEXresItem 10 3" xfId="60358" xr:uid="{00000000-0005-0000-0000-0000C4EB0000}"/>
    <cellStyle name="SAPBEXresItem 11" xfId="60359" xr:uid="{00000000-0005-0000-0000-0000C5EB0000}"/>
    <cellStyle name="SAPBEXresItem 11 2" xfId="60360" xr:uid="{00000000-0005-0000-0000-0000C6EB0000}"/>
    <cellStyle name="SAPBEXresItem 11 2 2" xfId="60361" xr:uid="{00000000-0005-0000-0000-0000C7EB0000}"/>
    <cellStyle name="SAPBEXresItem 11 3" xfId="60362" xr:uid="{00000000-0005-0000-0000-0000C8EB0000}"/>
    <cellStyle name="SAPBEXresItem 12" xfId="60363" xr:uid="{00000000-0005-0000-0000-0000C9EB0000}"/>
    <cellStyle name="SAPBEXresItem 12 2" xfId="60364" xr:uid="{00000000-0005-0000-0000-0000CAEB0000}"/>
    <cellStyle name="SAPBEXresItem 12 2 2" xfId="60365" xr:uid="{00000000-0005-0000-0000-0000CBEB0000}"/>
    <cellStyle name="SAPBEXresItem 12 3" xfId="60366" xr:uid="{00000000-0005-0000-0000-0000CCEB0000}"/>
    <cellStyle name="SAPBEXresItem 13" xfId="60367" xr:uid="{00000000-0005-0000-0000-0000CDEB0000}"/>
    <cellStyle name="SAPBEXresItem 13 2" xfId="60368" xr:uid="{00000000-0005-0000-0000-0000CEEB0000}"/>
    <cellStyle name="SAPBEXresItem 14" xfId="60369" xr:uid="{00000000-0005-0000-0000-0000CFEB0000}"/>
    <cellStyle name="SAPBEXresItem 2" xfId="60370" xr:uid="{00000000-0005-0000-0000-0000D0EB0000}"/>
    <cellStyle name="SAPBEXresItem 2 2" xfId="60371" xr:uid="{00000000-0005-0000-0000-0000D1EB0000}"/>
    <cellStyle name="SAPBEXresItem 2 2 2" xfId="60372" xr:uid="{00000000-0005-0000-0000-0000D2EB0000}"/>
    <cellStyle name="SAPBEXresItem 2 2 2 2" xfId="60373" xr:uid="{00000000-0005-0000-0000-0000D3EB0000}"/>
    <cellStyle name="SAPBEXresItem 2 2 3" xfId="60374" xr:uid="{00000000-0005-0000-0000-0000D4EB0000}"/>
    <cellStyle name="SAPBEXresItem 2 3" xfId="60375" xr:uid="{00000000-0005-0000-0000-0000D5EB0000}"/>
    <cellStyle name="SAPBEXresItem 2 3 2" xfId="60376" xr:uid="{00000000-0005-0000-0000-0000D6EB0000}"/>
    <cellStyle name="SAPBEXresItem 2 4" xfId="60377" xr:uid="{00000000-0005-0000-0000-0000D7EB0000}"/>
    <cellStyle name="SAPBEXresItem 3" xfId="60378" xr:uid="{00000000-0005-0000-0000-0000D8EB0000}"/>
    <cellStyle name="SAPBEXresItem 3 2" xfId="60379" xr:uid="{00000000-0005-0000-0000-0000D9EB0000}"/>
    <cellStyle name="SAPBEXresItem 3 2 2" xfId="60380" xr:uid="{00000000-0005-0000-0000-0000DAEB0000}"/>
    <cellStyle name="SAPBEXresItem 3 3" xfId="60381" xr:uid="{00000000-0005-0000-0000-0000DBEB0000}"/>
    <cellStyle name="SAPBEXresItem 4" xfId="60382" xr:uid="{00000000-0005-0000-0000-0000DCEB0000}"/>
    <cellStyle name="SAPBEXresItem 4 2" xfId="60383" xr:uid="{00000000-0005-0000-0000-0000DDEB0000}"/>
    <cellStyle name="SAPBEXresItem 4 2 2" xfId="60384" xr:uid="{00000000-0005-0000-0000-0000DEEB0000}"/>
    <cellStyle name="SAPBEXresItem 4 3" xfId="60385" xr:uid="{00000000-0005-0000-0000-0000DFEB0000}"/>
    <cellStyle name="SAPBEXresItem 5" xfId="60386" xr:uid="{00000000-0005-0000-0000-0000E0EB0000}"/>
    <cellStyle name="SAPBEXresItem 5 2" xfId="60387" xr:uid="{00000000-0005-0000-0000-0000E1EB0000}"/>
    <cellStyle name="SAPBEXresItem 5 2 2" xfId="60388" xr:uid="{00000000-0005-0000-0000-0000E2EB0000}"/>
    <cellStyle name="SAPBEXresItem 5 3" xfId="60389" xr:uid="{00000000-0005-0000-0000-0000E3EB0000}"/>
    <cellStyle name="SAPBEXresItem 6" xfId="60390" xr:uid="{00000000-0005-0000-0000-0000E4EB0000}"/>
    <cellStyle name="SAPBEXresItem 6 2" xfId="60391" xr:uid="{00000000-0005-0000-0000-0000E5EB0000}"/>
    <cellStyle name="SAPBEXresItem 6 2 2" xfId="60392" xr:uid="{00000000-0005-0000-0000-0000E6EB0000}"/>
    <cellStyle name="SAPBEXresItem 6 3" xfId="60393" xr:uid="{00000000-0005-0000-0000-0000E7EB0000}"/>
    <cellStyle name="SAPBEXresItem 7" xfId="60394" xr:uid="{00000000-0005-0000-0000-0000E8EB0000}"/>
    <cellStyle name="SAPBEXresItem 7 2" xfId="60395" xr:uid="{00000000-0005-0000-0000-0000E9EB0000}"/>
    <cellStyle name="SAPBEXresItem 7 2 2" xfId="60396" xr:uid="{00000000-0005-0000-0000-0000EAEB0000}"/>
    <cellStyle name="SAPBEXresItem 7 3" xfId="60397" xr:uid="{00000000-0005-0000-0000-0000EBEB0000}"/>
    <cellStyle name="SAPBEXresItem 8" xfId="60398" xr:uid="{00000000-0005-0000-0000-0000ECEB0000}"/>
    <cellStyle name="SAPBEXresItem 8 2" xfId="60399" xr:uid="{00000000-0005-0000-0000-0000EDEB0000}"/>
    <cellStyle name="SAPBEXresItem 8 2 2" xfId="60400" xr:uid="{00000000-0005-0000-0000-0000EEEB0000}"/>
    <cellStyle name="SAPBEXresItem 8 3" xfId="60401" xr:uid="{00000000-0005-0000-0000-0000EFEB0000}"/>
    <cellStyle name="SAPBEXresItem 9" xfId="60402" xr:uid="{00000000-0005-0000-0000-0000F0EB0000}"/>
    <cellStyle name="SAPBEXresItem 9 2" xfId="60403" xr:uid="{00000000-0005-0000-0000-0000F1EB0000}"/>
    <cellStyle name="SAPBEXresItem 9 2 2" xfId="60404" xr:uid="{00000000-0005-0000-0000-0000F2EB0000}"/>
    <cellStyle name="SAPBEXresItem 9 3" xfId="60405" xr:uid="{00000000-0005-0000-0000-0000F3EB0000}"/>
    <cellStyle name="SAPBEXresItemX" xfId="60406" xr:uid="{00000000-0005-0000-0000-0000F4EB0000}"/>
    <cellStyle name="SAPBEXresItemX 10" xfId="60407" xr:uid="{00000000-0005-0000-0000-0000F5EB0000}"/>
    <cellStyle name="SAPBEXresItemX 10 2" xfId="60408" xr:uid="{00000000-0005-0000-0000-0000F6EB0000}"/>
    <cellStyle name="SAPBEXresItemX 10 2 2" xfId="60409" xr:uid="{00000000-0005-0000-0000-0000F7EB0000}"/>
    <cellStyle name="SAPBEXresItemX 10 2 2 2" xfId="60410" xr:uid="{00000000-0005-0000-0000-0000F8EB0000}"/>
    <cellStyle name="SAPBEXresItemX 10 2 3" xfId="60411" xr:uid="{00000000-0005-0000-0000-0000F9EB0000}"/>
    <cellStyle name="SAPBEXresItemX 10 2 3 2" xfId="60412" xr:uid="{00000000-0005-0000-0000-0000FAEB0000}"/>
    <cellStyle name="SAPBEXresItemX 10 2 3 3" xfId="60413" xr:uid="{00000000-0005-0000-0000-0000FBEB0000}"/>
    <cellStyle name="SAPBEXresItemX 10 2 4" xfId="60414" xr:uid="{00000000-0005-0000-0000-0000FCEB0000}"/>
    <cellStyle name="SAPBEXresItemX 10 2 5" xfId="60415" xr:uid="{00000000-0005-0000-0000-0000FDEB0000}"/>
    <cellStyle name="SAPBEXresItemX 10 3" xfId="60416" xr:uid="{00000000-0005-0000-0000-0000FEEB0000}"/>
    <cellStyle name="SAPBEXresItemX 10 3 2" xfId="60417" xr:uid="{00000000-0005-0000-0000-0000FFEB0000}"/>
    <cellStyle name="SAPBEXresItemX 10 4" xfId="60418" xr:uid="{00000000-0005-0000-0000-000000EC0000}"/>
    <cellStyle name="SAPBEXresItemX 10 4 2" xfId="60419" xr:uid="{00000000-0005-0000-0000-000001EC0000}"/>
    <cellStyle name="SAPBEXresItemX 10 4 3" xfId="60420" xr:uid="{00000000-0005-0000-0000-000002EC0000}"/>
    <cellStyle name="SAPBEXresItemX 10 5" xfId="60421" xr:uid="{00000000-0005-0000-0000-000003EC0000}"/>
    <cellStyle name="SAPBEXresItemX 10 6" xfId="60422" xr:uid="{00000000-0005-0000-0000-000004EC0000}"/>
    <cellStyle name="SAPBEXresItemX 11" xfId="60423" xr:uid="{00000000-0005-0000-0000-000005EC0000}"/>
    <cellStyle name="SAPBEXresItemX 11 2" xfId="60424" xr:uid="{00000000-0005-0000-0000-000006EC0000}"/>
    <cellStyle name="SAPBEXresItemX 11 2 2" xfId="60425" xr:uid="{00000000-0005-0000-0000-000007EC0000}"/>
    <cellStyle name="SAPBEXresItemX 11 2 2 2" xfId="60426" xr:uid="{00000000-0005-0000-0000-000008EC0000}"/>
    <cellStyle name="SAPBEXresItemX 11 2 3" xfId="60427" xr:uid="{00000000-0005-0000-0000-000009EC0000}"/>
    <cellStyle name="SAPBEXresItemX 11 2 3 2" xfId="60428" xr:uid="{00000000-0005-0000-0000-00000AEC0000}"/>
    <cellStyle name="SAPBEXresItemX 11 2 3 3" xfId="60429" xr:uid="{00000000-0005-0000-0000-00000BEC0000}"/>
    <cellStyle name="SAPBEXresItemX 11 2 4" xfId="60430" xr:uid="{00000000-0005-0000-0000-00000CEC0000}"/>
    <cellStyle name="SAPBEXresItemX 11 2 5" xfId="60431" xr:uid="{00000000-0005-0000-0000-00000DEC0000}"/>
    <cellStyle name="SAPBEXresItemX 11 3" xfId="60432" xr:uid="{00000000-0005-0000-0000-00000EEC0000}"/>
    <cellStyle name="SAPBEXresItemX 11 3 2" xfId="60433" xr:uid="{00000000-0005-0000-0000-00000FEC0000}"/>
    <cellStyle name="SAPBEXresItemX 11 4" xfId="60434" xr:uid="{00000000-0005-0000-0000-000010EC0000}"/>
    <cellStyle name="SAPBEXresItemX 11 4 2" xfId="60435" xr:uid="{00000000-0005-0000-0000-000011EC0000}"/>
    <cellStyle name="SAPBEXresItemX 11 4 3" xfId="60436" xr:uid="{00000000-0005-0000-0000-000012EC0000}"/>
    <cellStyle name="SAPBEXresItemX 11 5" xfId="60437" xr:uid="{00000000-0005-0000-0000-000013EC0000}"/>
    <cellStyle name="SAPBEXresItemX 11 6" xfId="60438" xr:uid="{00000000-0005-0000-0000-000014EC0000}"/>
    <cellStyle name="SAPBEXresItemX 12" xfId="60439" xr:uid="{00000000-0005-0000-0000-000015EC0000}"/>
    <cellStyle name="SAPBEXresItemX 12 2" xfId="60440" xr:uid="{00000000-0005-0000-0000-000016EC0000}"/>
    <cellStyle name="SAPBEXresItemX 12 2 2" xfId="60441" xr:uid="{00000000-0005-0000-0000-000017EC0000}"/>
    <cellStyle name="SAPBEXresItemX 12 3" xfId="60442" xr:uid="{00000000-0005-0000-0000-000018EC0000}"/>
    <cellStyle name="SAPBEXresItemX 13" xfId="60443" xr:uid="{00000000-0005-0000-0000-000019EC0000}"/>
    <cellStyle name="SAPBEXresItemX 13 2" xfId="60444" xr:uid="{00000000-0005-0000-0000-00001AEC0000}"/>
    <cellStyle name="SAPBEXresItemX 13 2 2" xfId="60445" xr:uid="{00000000-0005-0000-0000-00001BEC0000}"/>
    <cellStyle name="SAPBEXresItemX 13 3" xfId="60446" xr:uid="{00000000-0005-0000-0000-00001CEC0000}"/>
    <cellStyle name="SAPBEXresItemX 13 3 2" xfId="60447" xr:uid="{00000000-0005-0000-0000-00001DEC0000}"/>
    <cellStyle name="SAPBEXresItemX 13 3 3" xfId="60448" xr:uid="{00000000-0005-0000-0000-00001EEC0000}"/>
    <cellStyle name="SAPBEXresItemX 13 4" xfId="60449" xr:uid="{00000000-0005-0000-0000-00001FEC0000}"/>
    <cellStyle name="SAPBEXresItemX 13 5" xfId="60450" xr:uid="{00000000-0005-0000-0000-000020EC0000}"/>
    <cellStyle name="SAPBEXresItemX 14" xfId="60451" xr:uid="{00000000-0005-0000-0000-000021EC0000}"/>
    <cellStyle name="SAPBEXresItemX 14 2" xfId="60452" xr:uid="{00000000-0005-0000-0000-000022EC0000}"/>
    <cellStyle name="SAPBEXresItemX 15" xfId="60453" xr:uid="{00000000-0005-0000-0000-000023EC0000}"/>
    <cellStyle name="SAPBEXresItemX 15 2" xfId="60454" xr:uid="{00000000-0005-0000-0000-000024EC0000}"/>
    <cellStyle name="SAPBEXresItemX 15 3" xfId="60455" xr:uid="{00000000-0005-0000-0000-000025EC0000}"/>
    <cellStyle name="SAPBEXresItemX 16" xfId="60456" xr:uid="{00000000-0005-0000-0000-000026EC0000}"/>
    <cellStyle name="SAPBEXresItemX 17" xfId="60457" xr:uid="{00000000-0005-0000-0000-000027EC0000}"/>
    <cellStyle name="SAPBEXresItemX 2" xfId="60458" xr:uid="{00000000-0005-0000-0000-000028EC0000}"/>
    <cellStyle name="SAPBEXresItemX 2 2" xfId="60459" xr:uid="{00000000-0005-0000-0000-000029EC0000}"/>
    <cellStyle name="SAPBEXresItemX 2 2 2" xfId="60460" xr:uid="{00000000-0005-0000-0000-00002AEC0000}"/>
    <cellStyle name="SAPBEXresItemX 2 2 2 2" xfId="60461" xr:uid="{00000000-0005-0000-0000-00002BEC0000}"/>
    <cellStyle name="SAPBEXresItemX 2 2 2 2 2" xfId="60462" xr:uid="{00000000-0005-0000-0000-00002CEC0000}"/>
    <cellStyle name="SAPBEXresItemX 2 2 2 3" xfId="60463" xr:uid="{00000000-0005-0000-0000-00002DEC0000}"/>
    <cellStyle name="SAPBEXresItemX 2 2 2 3 2" xfId="60464" xr:uid="{00000000-0005-0000-0000-00002EEC0000}"/>
    <cellStyle name="SAPBEXresItemX 2 2 2 3 3" xfId="60465" xr:uid="{00000000-0005-0000-0000-00002FEC0000}"/>
    <cellStyle name="SAPBEXresItemX 2 2 2 4" xfId="60466" xr:uid="{00000000-0005-0000-0000-000030EC0000}"/>
    <cellStyle name="SAPBEXresItemX 2 2 2 5" xfId="60467" xr:uid="{00000000-0005-0000-0000-000031EC0000}"/>
    <cellStyle name="SAPBEXresItemX 2 2 3" xfId="60468" xr:uid="{00000000-0005-0000-0000-000032EC0000}"/>
    <cellStyle name="SAPBEXresItemX 2 2 3 2" xfId="60469" xr:uid="{00000000-0005-0000-0000-000033EC0000}"/>
    <cellStyle name="SAPBEXresItemX 2 2 4" xfId="60470" xr:uid="{00000000-0005-0000-0000-000034EC0000}"/>
    <cellStyle name="SAPBEXresItemX 2 2 4 2" xfId="60471" xr:uid="{00000000-0005-0000-0000-000035EC0000}"/>
    <cellStyle name="SAPBEXresItemX 2 2 4 3" xfId="60472" xr:uid="{00000000-0005-0000-0000-000036EC0000}"/>
    <cellStyle name="SAPBEXresItemX 2 2 5" xfId="60473" xr:uid="{00000000-0005-0000-0000-000037EC0000}"/>
    <cellStyle name="SAPBEXresItemX 2 2 6" xfId="60474" xr:uid="{00000000-0005-0000-0000-000038EC0000}"/>
    <cellStyle name="SAPBEXresItemX 2 3" xfId="60475" xr:uid="{00000000-0005-0000-0000-000039EC0000}"/>
    <cellStyle name="SAPBEXresItemX 2 3 2" xfId="60476" xr:uid="{00000000-0005-0000-0000-00003AEC0000}"/>
    <cellStyle name="SAPBEXresItemX 2 3 2 2" xfId="60477" xr:uid="{00000000-0005-0000-0000-00003BEC0000}"/>
    <cellStyle name="SAPBEXresItemX 2 3 3" xfId="60478" xr:uid="{00000000-0005-0000-0000-00003CEC0000}"/>
    <cellStyle name="SAPBEXresItemX 2 3 3 2" xfId="60479" xr:uid="{00000000-0005-0000-0000-00003DEC0000}"/>
    <cellStyle name="SAPBEXresItemX 2 3 3 3" xfId="60480" xr:uid="{00000000-0005-0000-0000-00003EEC0000}"/>
    <cellStyle name="SAPBEXresItemX 2 3 4" xfId="60481" xr:uid="{00000000-0005-0000-0000-00003FEC0000}"/>
    <cellStyle name="SAPBEXresItemX 2 3 5" xfId="60482" xr:uid="{00000000-0005-0000-0000-000040EC0000}"/>
    <cellStyle name="SAPBEXresItemX 2 4" xfId="60483" xr:uid="{00000000-0005-0000-0000-000041EC0000}"/>
    <cellStyle name="SAPBEXresItemX 2 4 2" xfId="60484" xr:uid="{00000000-0005-0000-0000-000042EC0000}"/>
    <cellStyle name="SAPBEXresItemX 2 5" xfId="60485" xr:uid="{00000000-0005-0000-0000-000043EC0000}"/>
    <cellStyle name="SAPBEXresItemX 2 5 2" xfId="60486" xr:uid="{00000000-0005-0000-0000-000044EC0000}"/>
    <cellStyle name="SAPBEXresItemX 2 5 3" xfId="60487" xr:uid="{00000000-0005-0000-0000-000045EC0000}"/>
    <cellStyle name="SAPBEXresItemX 2 6" xfId="60488" xr:uid="{00000000-0005-0000-0000-000046EC0000}"/>
    <cellStyle name="SAPBEXresItemX 2 7" xfId="60489" xr:uid="{00000000-0005-0000-0000-000047EC0000}"/>
    <cellStyle name="SAPBEXresItemX 3" xfId="60490" xr:uid="{00000000-0005-0000-0000-000048EC0000}"/>
    <cellStyle name="SAPBEXresItemX 3 2" xfId="60491" xr:uid="{00000000-0005-0000-0000-000049EC0000}"/>
    <cellStyle name="SAPBEXresItemX 3 2 2" xfId="60492" xr:uid="{00000000-0005-0000-0000-00004AEC0000}"/>
    <cellStyle name="SAPBEXresItemX 3 2 2 2" xfId="60493" xr:uid="{00000000-0005-0000-0000-00004BEC0000}"/>
    <cellStyle name="SAPBEXresItemX 3 2 3" xfId="60494" xr:uid="{00000000-0005-0000-0000-00004CEC0000}"/>
    <cellStyle name="SAPBEXresItemX 3 2 3 2" xfId="60495" xr:uid="{00000000-0005-0000-0000-00004DEC0000}"/>
    <cellStyle name="SAPBEXresItemX 3 2 3 3" xfId="60496" xr:uid="{00000000-0005-0000-0000-00004EEC0000}"/>
    <cellStyle name="SAPBEXresItemX 3 2 4" xfId="60497" xr:uid="{00000000-0005-0000-0000-00004FEC0000}"/>
    <cellStyle name="SAPBEXresItemX 3 2 5" xfId="60498" xr:uid="{00000000-0005-0000-0000-000050EC0000}"/>
    <cellStyle name="SAPBEXresItemX 3 3" xfId="60499" xr:uid="{00000000-0005-0000-0000-000051EC0000}"/>
    <cellStyle name="SAPBEXresItemX 3 3 2" xfId="60500" xr:uid="{00000000-0005-0000-0000-000052EC0000}"/>
    <cellStyle name="SAPBEXresItemX 3 4" xfId="60501" xr:uid="{00000000-0005-0000-0000-000053EC0000}"/>
    <cellStyle name="SAPBEXresItemX 3 4 2" xfId="60502" xr:uid="{00000000-0005-0000-0000-000054EC0000}"/>
    <cellStyle name="SAPBEXresItemX 3 4 3" xfId="60503" xr:uid="{00000000-0005-0000-0000-000055EC0000}"/>
    <cellStyle name="SAPBEXresItemX 3 5" xfId="60504" xr:uid="{00000000-0005-0000-0000-000056EC0000}"/>
    <cellStyle name="SAPBEXresItemX 3 6" xfId="60505" xr:uid="{00000000-0005-0000-0000-000057EC0000}"/>
    <cellStyle name="SAPBEXresItemX 4" xfId="60506" xr:uid="{00000000-0005-0000-0000-000058EC0000}"/>
    <cellStyle name="SAPBEXresItemX 4 2" xfId="60507" xr:uid="{00000000-0005-0000-0000-000059EC0000}"/>
    <cellStyle name="SAPBEXresItemX 4 2 2" xfId="60508" xr:uid="{00000000-0005-0000-0000-00005AEC0000}"/>
    <cellStyle name="SAPBEXresItemX 4 2 2 2" xfId="60509" xr:uid="{00000000-0005-0000-0000-00005BEC0000}"/>
    <cellStyle name="SAPBEXresItemX 4 2 3" xfId="60510" xr:uid="{00000000-0005-0000-0000-00005CEC0000}"/>
    <cellStyle name="SAPBEXresItemX 4 2 3 2" xfId="60511" xr:uid="{00000000-0005-0000-0000-00005DEC0000}"/>
    <cellStyle name="SAPBEXresItemX 4 2 3 3" xfId="60512" xr:uid="{00000000-0005-0000-0000-00005EEC0000}"/>
    <cellStyle name="SAPBEXresItemX 4 2 4" xfId="60513" xr:uid="{00000000-0005-0000-0000-00005FEC0000}"/>
    <cellStyle name="SAPBEXresItemX 4 2 5" xfId="60514" xr:uid="{00000000-0005-0000-0000-000060EC0000}"/>
    <cellStyle name="SAPBEXresItemX 4 3" xfId="60515" xr:uid="{00000000-0005-0000-0000-000061EC0000}"/>
    <cellStyle name="SAPBEXresItemX 4 3 2" xfId="60516" xr:uid="{00000000-0005-0000-0000-000062EC0000}"/>
    <cellStyle name="SAPBEXresItemX 4 4" xfId="60517" xr:uid="{00000000-0005-0000-0000-000063EC0000}"/>
    <cellStyle name="SAPBEXresItemX 4 4 2" xfId="60518" xr:uid="{00000000-0005-0000-0000-000064EC0000}"/>
    <cellStyle name="SAPBEXresItemX 4 4 3" xfId="60519" xr:uid="{00000000-0005-0000-0000-000065EC0000}"/>
    <cellStyle name="SAPBEXresItemX 4 5" xfId="60520" xr:uid="{00000000-0005-0000-0000-000066EC0000}"/>
    <cellStyle name="SAPBEXresItemX 4 6" xfId="60521" xr:uid="{00000000-0005-0000-0000-000067EC0000}"/>
    <cellStyle name="SAPBEXresItemX 5" xfId="60522" xr:uid="{00000000-0005-0000-0000-000068EC0000}"/>
    <cellStyle name="SAPBEXresItemX 5 2" xfId="60523" xr:uid="{00000000-0005-0000-0000-000069EC0000}"/>
    <cellStyle name="SAPBEXresItemX 5 2 2" xfId="60524" xr:uid="{00000000-0005-0000-0000-00006AEC0000}"/>
    <cellStyle name="SAPBEXresItemX 5 2 2 2" xfId="60525" xr:uid="{00000000-0005-0000-0000-00006BEC0000}"/>
    <cellStyle name="SAPBEXresItemX 5 2 3" xfId="60526" xr:uid="{00000000-0005-0000-0000-00006CEC0000}"/>
    <cellStyle name="SAPBEXresItemX 5 2 3 2" xfId="60527" xr:uid="{00000000-0005-0000-0000-00006DEC0000}"/>
    <cellStyle name="SAPBEXresItemX 5 2 3 3" xfId="60528" xr:uid="{00000000-0005-0000-0000-00006EEC0000}"/>
    <cellStyle name="SAPBEXresItemX 5 2 4" xfId="60529" xr:uid="{00000000-0005-0000-0000-00006FEC0000}"/>
    <cellStyle name="SAPBEXresItemX 5 2 5" xfId="60530" xr:uid="{00000000-0005-0000-0000-000070EC0000}"/>
    <cellStyle name="SAPBEXresItemX 5 3" xfId="60531" xr:uid="{00000000-0005-0000-0000-000071EC0000}"/>
    <cellStyle name="SAPBEXresItemX 5 3 2" xfId="60532" xr:uid="{00000000-0005-0000-0000-000072EC0000}"/>
    <cellStyle name="SAPBEXresItemX 5 4" xfId="60533" xr:uid="{00000000-0005-0000-0000-000073EC0000}"/>
    <cellStyle name="SAPBEXresItemX 5 4 2" xfId="60534" xr:uid="{00000000-0005-0000-0000-000074EC0000}"/>
    <cellStyle name="SAPBEXresItemX 5 4 3" xfId="60535" xr:uid="{00000000-0005-0000-0000-000075EC0000}"/>
    <cellStyle name="SAPBEXresItemX 5 5" xfId="60536" xr:uid="{00000000-0005-0000-0000-000076EC0000}"/>
    <cellStyle name="SAPBEXresItemX 5 6" xfId="60537" xr:uid="{00000000-0005-0000-0000-000077EC0000}"/>
    <cellStyle name="SAPBEXresItemX 6" xfId="60538" xr:uid="{00000000-0005-0000-0000-000078EC0000}"/>
    <cellStyle name="SAPBEXresItemX 6 2" xfId="60539" xr:uid="{00000000-0005-0000-0000-000079EC0000}"/>
    <cellStyle name="SAPBEXresItemX 6 2 2" xfId="60540" xr:uid="{00000000-0005-0000-0000-00007AEC0000}"/>
    <cellStyle name="SAPBEXresItemX 6 2 2 2" xfId="60541" xr:uid="{00000000-0005-0000-0000-00007BEC0000}"/>
    <cellStyle name="SAPBEXresItemX 6 2 3" xfId="60542" xr:uid="{00000000-0005-0000-0000-00007CEC0000}"/>
    <cellStyle name="SAPBEXresItemX 6 2 3 2" xfId="60543" xr:uid="{00000000-0005-0000-0000-00007DEC0000}"/>
    <cellStyle name="SAPBEXresItemX 6 2 3 3" xfId="60544" xr:uid="{00000000-0005-0000-0000-00007EEC0000}"/>
    <cellStyle name="SAPBEXresItemX 6 2 4" xfId="60545" xr:uid="{00000000-0005-0000-0000-00007FEC0000}"/>
    <cellStyle name="SAPBEXresItemX 6 2 5" xfId="60546" xr:uid="{00000000-0005-0000-0000-000080EC0000}"/>
    <cellStyle name="SAPBEXresItemX 6 3" xfId="60547" xr:uid="{00000000-0005-0000-0000-000081EC0000}"/>
    <cellStyle name="SAPBEXresItemX 6 3 2" xfId="60548" xr:uid="{00000000-0005-0000-0000-000082EC0000}"/>
    <cellStyle name="SAPBEXresItemX 6 4" xfId="60549" xr:uid="{00000000-0005-0000-0000-000083EC0000}"/>
    <cellStyle name="SAPBEXresItemX 6 4 2" xfId="60550" xr:uid="{00000000-0005-0000-0000-000084EC0000}"/>
    <cellStyle name="SAPBEXresItemX 6 4 3" xfId="60551" xr:uid="{00000000-0005-0000-0000-000085EC0000}"/>
    <cellStyle name="SAPBEXresItemX 6 5" xfId="60552" xr:uid="{00000000-0005-0000-0000-000086EC0000}"/>
    <cellStyle name="SAPBEXresItemX 6 6" xfId="60553" xr:uid="{00000000-0005-0000-0000-000087EC0000}"/>
    <cellStyle name="SAPBEXresItemX 7" xfId="60554" xr:uid="{00000000-0005-0000-0000-000088EC0000}"/>
    <cellStyle name="SAPBEXresItemX 7 2" xfId="60555" xr:uid="{00000000-0005-0000-0000-000089EC0000}"/>
    <cellStyle name="SAPBEXresItemX 7 2 2" xfId="60556" xr:uid="{00000000-0005-0000-0000-00008AEC0000}"/>
    <cellStyle name="SAPBEXresItemX 7 2 2 2" xfId="60557" xr:uid="{00000000-0005-0000-0000-00008BEC0000}"/>
    <cellStyle name="SAPBEXresItemX 7 2 3" xfId="60558" xr:uid="{00000000-0005-0000-0000-00008CEC0000}"/>
    <cellStyle name="SAPBEXresItemX 7 2 3 2" xfId="60559" xr:uid="{00000000-0005-0000-0000-00008DEC0000}"/>
    <cellStyle name="SAPBEXresItemX 7 2 3 3" xfId="60560" xr:uid="{00000000-0005-0000-0000-00008EEC0000}"/>
    <cellStyle name="SAPBEXresItemX 7 2 4" xfId="60561" xr:uid="{00000000-0005-0000-0000-00008FEC0000}"/>
    <cellStyle name="SAPBEXresItemX 7 2 5" xfId="60562" xr:uid="{00000000-0005-0000-0000-000090EC0000}"/>
    <cellStyle name="SAPBEXresItemX 7 3" xfId="60563" xr:uid="{00000000-0005-0000-0000-000091EC0000}"/>
    <cellStyle name="SAPBEXresItemX 7 3 2" xfId="60564" xr:uid="{00000000-0005-0000-0000-000092EC0000}"/>
    <cellStyle name="SAPBEXresItemX 7 4" xfId="60565" xr:uid="{00000000-0005-0000-0000-000093EC0000}"/>
    <cellStyle name="SAPBEXresItemX 7 4 2" xfId="60566" xr:uid="{00000000-0005-0000-0000-000094EC0000}"/>
    <cellStyle name="SAPBEXresItemX 7 4 3" xfId="60567" xr:uid="{00000000-0005-0000-0000-000095EC0000}"/>
    <cellStyle name="SAPBEXresItemX 7 5" xfId="60568" xr:uid="{00000000-0005-0000-0000-000096EC0000}"/>
    <cellStyle name="SAPBEXresItemX 7 6" xfId="60569" xr:uid="{00000000-0005-0000-0000-000097EC0000}"/>
    <cellStyle name="SAPBEXresItemX 8" xfId="60570" xr:uid="{00000000-0005-0000-0000-000098EC0000}"/>
    <cellStyle name="SAPBEXresItemX 8 2" xfId="60571" xr:uid="{00000000-0005-0000-0000-000099EC0000}"/>
    <cellStyle name="SAPBEXresItemX 8 2 2" xfId="60572" xr:uid="{00000000-0005-0000-0000-00009AEC0000}"/>
    <cellStyle name="SAPBEXresItemX 8 2 2 2" xfId="60573" xr:uid="{00000000-0005-0000-0000-00009BEC0000}"/>
    <cellStyle name="SAPBEXresItemX 8 2 3" xfId="60574" xr:uid="{00000000-0005-0000-0000-00009CEC0000}"/>
    <cellStyle name="SAPBEXresItemX 8 2 3 2" xfId="60575" xr:uid="{00000000-0005-0000-0000-00009DEC0000}"/>
    <cellStyle name="SAPBEXresItemX 8 2 3 3" xfId="60576" xr:uid="{00000000-0005-0000-0000-00009EEC0000}"/>
    <cellStyle name="SAPBEXresItemX 8 2 4" xfId="60577" xr:uid="{00000000-0005-0000-0000-00009FEC0000}"/>
    <cellStyle name="SAPBEXresItemX 8 2 5" xfId="60578" xr:uid="{00000000-0005-0000-0000-0000A0EC0000}"/>
    <cellStyle name="SAPBEXresItemX 8 3" xfId="60579" xr:uid="{00000000-0005-0000-0000-0000A1EC0000}"/>
    <cellStyle name="SAPBEXresItemX 8 3 2" xfId="60580" xr:uid="{00000000-0005-0000-0000-0000A2EC0000}"/>
    <cellStyle name="SAPBEXresItemX 8 4" xfId="60581" xr:uid="{00000000-0005-0000-0000-0000A3EC0000}"/>
    <cellStyle name="SAPBEXresItemX 8 4 2" xfId="60582" xr:uid="{00000000-0005-0000-0000-0000A4EC0000}"/>
    <cellStyle name="SAPBEXresItemX 8 4 3" xfId="60583" xr:uid="{00000000-0005-0000-0000-0000A5EC0000}"/>
    <cellStyle name="SAPBEXresItemX 8 5" xfId="60584" xr:uid="{00000000-0005-0000-0000-0000A6EC0000}"/>
    <cellStyle name="SAPBEXresItemX 8 6" xfId="60585" xr:uid="{00000000-0005-0000-0000-0000A7EC0000}"/>
    <cellStyle name="SAPBEXresItemX 9" xfId="60586" xr:uid="{00000000-0005-0000-0000-0000A8EC0000}"/>
    <cellStyle name="SAPBEXresItemX 9 2" xfId="60587" xr:uid="{00000000-0005-0000-0000-0000A9EC0000}"/>
    <cellStyle name="SAPBEXresItemX 9 2 2" xfId="60588" xr:uid="{00000000-0005-0000-0000-0000AAEC0000}"/>
    <cellStyle name="SAPBEXresItemX 9 2 2 2" xfId="60589" xr:uid="{00000000-0005-0000-0000-0000ABEC0000}"/>
    <cellStyle name="SAPBEXresItemX 9 2 3" xfId="60590" xr:uid="{00000000-0005-0000-0000-0000ACEC0000}"/>
    <cellStyle name="SAPBEXresItemX 9 2 3 2" xfId="60591" xr:uid="{00000000-0005-0000-0000-0000ADEC0000}"/>
    <cellStyle name="SAPBEXresItemX 9 2 3 3" xfId="60592" xr:uid="{00000000-0005-0000-0000-0000AEEC0000}"/>
    <cellStyle name="SAPBEXresItemX 9 2 4" xfId="60593" xr:uid="{00000000-0005-0000-0000-0000AFEC0000}"/>
    <cellStyle name="SAPBEXresItemX 9 2 5" xfId="60594" xr:uid="{00000000-0005-0000-0000-0000B0EC0000}"/>
    <cellStyle name="SAPBEXresItemX 9 3" xfId="60595" xr:uid="{00000000-0005-0000-0000-0000B1EC0000}"/>
    <cellStyle name="SAPBEXresItemX 9 3 2" xfId="60596" xr:uid="{00000000-0005-0000-0000-0000B2EC0000}"/>
    <cellStyle name="SAPBEXresItemX 9 4" xfId="60597" xr:uid="{00000000-0005-0000-0000-0000B3EC0000}"/>
    <cellStyle name="SAPBEXresItemX 9 4 2" xfId="60598" xr:uid="{00000000-0005-0000-0000-0000B4EC0000}"/>
    <cellStyle name="SAPBEXresItemX 9 4 3" xfId="60599" xr:uid="{00000000-0005-0000-0000-0000B5EC0000}"/>
    <cellStyle name="SAPBEXresItemX 9 5" xfId="60600" xr:uid="{00000000-0005-0000-0000-0000B6EC0000}"/>
    <cellStyle name="SAPBEXresItemX 9 6" xfId="60601" xr:uid="{00000000-0005-0000-0000-0000B7EC0000}"/>
    <cellStyle name="SAPBEXstdData" xfId="60602" xr:uid="{00000000-0005-0000-0000-0000B8EC0000}"/>
    <cellStyle name="SAPBEXstdData 10" xfId="60603" xr:uid="{00000000-0005-0000-0000-0000B9EC0000}"/>
    <cellStyle name="SAPBEXstdData 10 2" xfId="60604" xr:uid="{00000000-0005-0000-0000-0000BAEC0000}"/>
    <cellStyle name="SAPBEXstdData 10 2 2" xfId="60605" xr:uid="{00000000-0005-0000-0000-0000BBEC0000}"/>
    <cellStyle name="SAPBEXstdData 10 3" xfId="60606" xr:uid="{00000000-0005-0000-0000-0000BCEC0000}"/>
    <cellStyle name="SAPBEXstdData 11" xfId="60607" xr:uid="{00000000-0005-0000-0000-0000BDEC0000}"/>
    <cellStyle name="SAPBEXstdData 11 2" xfId="60608" xr:uid="{00000000-0005-0000-0000-0000BEEC0000}"/>
    <cellStyle name="SAPBEXstdData 11 2 2" xfId="60609" xr:uid="{00000000-0005-0000-0000-0000BFEC0000}"/>
    <cellStyle name="SAPBEXstdData 11 3" xfId="60610" xr:uid="{00000000-0005-0000-0000-0000C0EC0000}"/>
    <cellStyle name="SAPBEXstdData 12" xfId="60611" xr:uid="{00000000-0005-0000-0000-0000C1EC0000}"/>
    <cellStyle name="SAPBEXstdData 12 2" xfId="60612" xr:uid="{00000000-0005-0000-0000-0000C2EC0000}"/>
    <cellStyle name="SAPBEXstdData 12 2 2" xfId="60613" xr:uid="{00000000-0005-0000-0000-0000C3EC0000}"/>
    <cellStyle name="SAPBEXstdData 12 3" xfId="60614" xr:uid="{00000000-0005-0000-0000-0000C4EC0000}"/>
    <cellStyle name="SAPBEXstdData 13" xfId="60615" xr:uid="{00000000-0005-0000-0000-0000C5EC0000}"/>
    <cellStyle name="SAPBEXstdData 13 2" xfId="60616" xr:uid="{00000000-0005-0000-0000-0000C6EC0000}"/>
    <cellStyle name="SAPBEXstdData 14" xfId="60617" xr:uid="{00000000-0005-0000-0000-0000C7EC0000}"/>
    <cellStyle name="SAPBEXstdData 14 2" xfId="60618" xr:uid="{00000000-0005-0000-0000-0000C8EC0000}"/>
    <cellStyle name="SAPBEXstdData 14 2 2" xfId="60619" xr:uid="{00000000-0005-0000-0000-0000C9EC0000}"/>
    <cellStyle name="SAPBEXstdData 15" xfId="60620" xr:uid="{00000000-0005-0000-0000-0000CAEC0000}"/>
    <cellStyle name="SAPBEXstdData 2" xfId="60621" xr:uid="{00000000-0005-0000-0000-0000CBEC0000}"/>
    <cellStyle name="SAPBEXstdData 2 2" xfId="60622" xr:uid="{00000000-0005-0000-0000-0000CCEC0000}"/>
    <cellStyle name="SAPBEXstdData 2 2 2" xfId="60623" xr:uid="{00000000-0005-0000-0000-0000CDEC0000}"/>
    <cellStyle name="SAPBEXstdData 2 2 2 2" xfId="60624" xr:uid="{00000000-0005-0000-0000-0000CEEC0000}"/>
    <cellStyle name="SAPBEXstdData 2 2 3" xfId="60625" xr:uid="{00000000-0005-0000-0000-0000CFEC0000}"/>
    <cellStyle name="SAPBEXstdData 2 3" xfId="60626" xr:uid="{00000000-0005-0000-0000-0000D0EC0000}"/>
    <cellStyle name="SAPBEXstdData 2 3 2" xfId="60627" xr:uid="{00000000-0005-0000-0000-0000D1EC0000}"/>
    <cellStyle name="SAPBEXstdData 2 4" xfId="60628" xr:uid="{00000000-0005-0000-0000-0000D2EC0000}"/>
    <cellStyle name="SAPBEXstdData 3" xfId="60629" xr:uid="{00000000-0005-0000-0000-0000D3EC0000}"/>
    <cellStyle name="SAPBEXstdData 3 2" xfId="60630" xr:uid="{00000000-0005-0000-0000-0000D4EC0000}"/>
    <cellStyle name="SAPBEXstdData 3 2 2" xfId="60631" xr:uid="{00000000-0005-0000-0000-0000D5EC0000}"/>
    <cellStyle name="SAPBEXstdData 3 3" xfId="60632" xr:uid="{00000000-0005-0000-0000-0000D6EC0000}"/>
    <cellStyle name="SAPBEXstdData 4" xfId="60633" xr:uid="{00000000-0005-0000-0000-0000D7EC0000}"/>
    <cellStyle name="SAPBEXstdData 4 2" xfId="60634" xr:uid="{00000000-0005-0000-0000-0000D8EC0000}"/>
    <cellStyle name="SAPBEXstdData 4 2 2" xfId="60635" xr:uid="{00000000-0005-0000-0000-0000D9EC0000}"/>
    <cellStyle name="SAPBEXstdData 4 3" xfId="60636" xr:uid="{00000000-0005-0000-0000-0000DAEC0000}"/>
    <cellStyle name="SAPBEXstdData 5" xfId="60637" xr:uid="{00000000-0005-0000-0000-0000DBEC0000}"/>
    <cellStyle name="SAPBEXstdData 5 2" xfId="60638" xr:uid="{00000000-0005-0000-0000-0000DCEC0000}"/>
    <cellStyle name="SAPBEXstdData 5 2 2" xfId="60639" xr:uid="{00000000-0005-0000-0000-0000DDEC0000}"/>
    <cellStyle name="SAPBEXstdData 5 3" xfId="60640" xr:uid="{00000000-0005-0000-0000-0000DEEC0000}"/>
    <cellStyle name="SAPBEXstdData 6" xfId="60641" xr:uid="{00000000-0005-0000-0000-0000DFEC0000}"/>
    <cellStyle name="SAPBEXstdData 6 2" xfId="60642" xr:uid="{00000000-0005-0000-0000-0000E0EC0000}"/>
    <cellStyle name="SAPBEXstdData 6 2 2" xfId="60643" xr:uid="{00000000-0005-0000-0000-0000E1EC0000}"/>
    <cellStyle name="SAPBEXstdData 6 3" xfId="60644" xr:uid="{00000000-0005-0000-0000-0000E2EC0000}"/>
    <cellStyle name="SAPBEXstdData 7" xfId="60645" xr:uid="{00000000-0005-0000-0000-0000E3EC0000}"/>
    <cellStyle name="SAPBEXstdData 7 2" xfId="60646" xr:uid="{00000000-0005-0000-0000-0000E4EC0000}"/>
    <cellStyle name="SAPBEXstdData 7 2 2" xfId="60647" xr:uid="{00000000-0005-0000-0000-0000E5EC0000}"/>
    <cellStyle name="SAPBEXstdData 7 3" xfId="60648" xr:uid="{00000000-0005-0000-0000-0000E6EC0000}"/>
    <cellStyle name="SAPBEXstdData 8" xfId="60649" xr:uid="{00000000-0005-0000-0000-0000E7EC0000}"/>
    <cellStyle name="SAPBEXstdData 8 2" xfId="60650" xr:uid="{00000000-0005-0000-0000-0000E8EC0000}"/>
    <cellStyle name="SAPBEXstdData 8 2 2" xfId="60651" xr:uid="{00000000-0005-0000-0000-0000E9EC0000}"/>
    <cellStyle name="SAPBEXstdData 8 3" xfId="60652" xr:uid="{00000000-0005-0000-0000-0000EAEC0000}"/>
    <cellStyle name="SAPBEXstdData 9" xfId="60653" xr:uid="{00000000-0005-0000-0000-0000EBEC0000}"/>
    <cellStyle name="SAPBEXstdData 9 2" xfId="60654" xr:uid="{00000000-0005-0000-0000-0000ECEC0000}"/>
    <cellStyle name="SAPBEXstdData 9 2 2" xfId="60655" xr:uid="{00000000-0005-0000-0000-0000EDEC0000}"/>
    <cellStyle name="SAPBEXstdData 9 3" xfId="60656" xr:uid="{00000000-0005-0000-0000-0000EEEC0000}"/>
    <cellStyle name="SAPBEXstdDataEmph" xfId="60657" xr:uid="{00000000-0005-0000-0000-0000EFEC0000}"/>
    <cellStyle name="SAPBEXstdDataEmph 10" xfId="60658" xr:uid="{00000000-0005-0000-0000-0000F0EC0000}"/>
    <cellStyle name="SAPBEXstdDataEmph 10 2" xfId="60659" xr:uid="{00000000-0005-0000-0000-0000F1EC0000}"/>
    <cellStyle name="SAPBEXstdDataEmph 10 2 2" xfId="60660" xr:uid="{00000000-0005-0000-0000-0000F2EC0000}"/>
    <cellStyle name="SAPBEXstdDataEmph 10 3" xfId="60661" xr:uid="{00000000-0005-0000-0000-0000F3EC0000}"/>
    <cellStyle name="SAPBEXstdDataEmph 11" xfId="60662" xr:uid="{00000000-0005-0000-0000-0000F4EC0000}"/>
    <cellStyle name="SAPBEXstdDataEmph 11 2" xfId="60663" xr:uid="{00000000-0005-0000-0000-0000F5EC0000}"/>
    <cellStyle name="SAPBEXstdDataEmph 11 2 2" xfId="60664" xr:uid="{00000000-0005-0000-0000-0000F6EC0000}"/>
    <cellStyle name="SAPBEXstdDataEmph 11 3" xfId="60665" xr:uid="{00000000-0005-0000-0000-0000F7EC0000}"/>
    <cellStyle name="SAPBEXstdDataEmph 12" xfId="60666" xr:uid="{00000000-0005-0000-0000-0000F8EC0000}"/>
    <cellStyle name="SAPBEXstdDataEmph 12 2" xfId="60667" xr:uid="{00000000-0005-0000-0000-0000F9EC0000}"/>
    <cellStyle name="SAPBEXstdDataEmph 12 2 2" xfId="60668" xr:uid="{00000000-0005-0000-0000-0000FAEC0000}"/>
    <cellStyle name="SAPBEXstdDataEmph 12 3" xfId="60669" xr:uid="{00000000-0005-0000-0000-0000FBEC0000}"/>
    <cellStyle name="SAPBEXstdDataEmph 13" xfId="60670" xr:uid="{00000000-0005-0000-0000-0000FCEC0000}"/>
    <cellStyle name="SAPBEXstdDataEmph 13 2" xfId="60671" xr:uid="{00000000-0005-0000-0000-0000FDEC0000}"/>
    <cellStyle name="SAPBEXstdDataEmph 14" xfId="60672" xr:uid="{00000000-0005-0000-0000-0000FEEC0000}"/>
    <cellStyle name="SAPBEXstdDataEmph 2" xfId="60673" xr:uid="{00000000-0005-0000-0000-0000FFEC0000}"/>
    <cellStyle name="SAPBEXstdDataEmph 2 2" xfId="60674" xr:uid="{00000000-0005-0000-0000-000000ED0000}"/>
    <cellStyle name="SAPBEXstdDataEmph 2 2 2" xfId="60675" xr:uid="{00000000-0005-0000-0000-000001ED0000}"/>
    <cellStyle name="SAPBEXstdDataEmph 2 3" xfId="60676" xr:uid="{00000000-0005-0000-0000-000002ED0000}"/>
    <cellStyle name="SAPBEXstdDataEmph 3" xfId="60677" xr:uid="{00000000-0005-0000-0000-000003ED0000}"/>
    <cellStyle name="SAPBEXstdDataEmph 3 2" xfId="60678" xr:uid="{00000000-0005-0000-0000-000004ED0000}"/>
    <cellStyle name="SAPBEXstdDataEmph 3 2 2" xfId="60679" xr:uid="{00000000-0005-0000-0000-000005ED0000}"/>
    <cellStyle name="SAPBEXstdDataEmph 3 3" xfId="60680" xr:uid="{00000000-0005-0000-0000-000006ED0000}"/>
    <cellStyle name="SAPBEXstdDataEmph 4" xfId="60681" xr:uid="{00000000-0005-0000-0000-000007ED0000}"/>
    <cellStyle name="SAPBEXstdDataEmph 4 2" xfId="60682" xr:uid="{00000000-0005-0000-0000-000008ED0000}"/>
    <cellStyle name="SAPBEXstdDataEmph 4 2 2" xfId="60683" xr:uid="{00000000-0005-0000-0000-000009ED0000}"/>
    <cellStyle name="SAPBEXstdDataEmph 4 3" xfId="60684" xr:uid="{00000000-0005-0000-0000-00000AED0000}"/>
    <cellStyle name="SAPBEXstdDataEmph 5" xfId="60685" xr:uid="{00000000-0005-0000-0000-00000BED0000}"/>
    <cellStyle name="SAPBEXstdDataEmph 5 2" xfId="60686" xr:uid="{00000000-0005-0000-0000-00000CED0000}"/>
    <cellStyle name="SAPBEXstdDataEmph 5 2 2" xfId="60687" xr:uid="{00000000-0005-0000-0000-00000DED0000}"/>
    <cellStyle name="SAPBEXstdDataEmph 5 3" xfId="60688" xr:uid="{00000000-0005-0000-0000-00000EED0000}"/>
    <cellStyle name="SAPBEXstdDataEmph 6" xfId="60689" xr:uid="{00000000-0005-0000-0000-00000FED0000}"/>
    <cellStyle name="SAPBEXstdDataEmph 6 2" xfId="60690" xr:uid="{00000000-0005-0000-0000-000010ED0000}"/>
    <cellStyle name="SAPBEXstdDataEmph 6 2 2" xfId="60691" xr:uid="{00000000-0005-0000-0000-000011ED0000}"/>
    <cellStyle name="SAPBEXstdDataEmph 6 3" xfId="60692" xr:uid="{00000000-0005-0000-0000-000012ED0000}"/>
    <cellStyle name="SAPBEXstdDataEmph 7" xfId="60693" xr:uid="{00000000-0005-0000-0000-000013ED0000}"/>
    <cellStyle name="SAPBEXstdDataEmph 7 2" xfId="60694" xr:uid="{00000000-0005-0000-0000-000014ED0000}"/>
    <cellStyle name="SAPBEXstdDataEmph 7 2 2" xfId="60695" xr:uid="{00000000-0005-0000-0000-000015ED0000}"/>
    <cellStyle name="SAPBEXstdDataEmph 7 3" xfId="60696" xr:uid="{00000000-0005-0000-0000-000016ED0000}"/>
    <cellStyle name="SAPBEXstdDataEmph 8" xfId="60697" xr:uid="{00000000-0005-0000-0000-000017ED0000}"/>
    <cellStyle name="SAPBEXstdDataEmph 8 2" xfId="60698" xr:uid="{00000000-0005-0000-0000-000018ED0000}"/>
    <cellStyle name="SAPBEXstdDataEmph 8 2 2" xfId="60699" xr:uid="{00000000-0005-0000-0000-000019ED0000}"/>
    <cellStyle name="SAPBEXstdDataEmph 8 3" xfId="60700" xr:uid="{00000000-0005-0000-0000-00001AED0000}"/>
    <cellStyle name="SAPBEXstdDataEmph 9" xfId="60701" xr:uid="{00000000-0005-0000-0000-00001BED0000}"/>
    <cellStyle name="SAPBEXstdDataEmph 9 2" xfId="60702" xr:uid="{00000000-0005-0000-0000-00001CED0000}"/>
    <cellStyle name="SAPBEXstdDataEmph 9 2 2" xfId="60703" xr:uid="{00000000-0005-0000-0000-00001DED0000}"/>
    <cellStyle name="SAPBEXstdDataEmph 9 3" xfId="60704" xr:uid="{00000000-0005-0000-0000-00001EED0000}"/>
    <cellStyle name="SAPBEXstdItem" xfId="60705" xr:uid="{00000000-0005-0000-0000-00001FED0000}"/>
    <cellStyle name="SAPBEXstdItem 10" xfId="60706" xr:uid="{00000000-0005-0000-0000-000020ED0000}"/>
    <cellStyle name="SAPBEXstdItem 10 2" xfId="60707" xr:uid="{00000000-0005-0000-0000-000021ED0000}"/>
    <cellStyle name="SAPBEXstdItem 10 2 2" xfId="60708" xr:uid="{00000000-0005-0000-0000-000022ED0000}"/>
    <cellStyle name="SAPBEXstdItem 10 3" xfId="60709" xr:uid="{00000000-0005-0000-0000-000023ED0000}"/>
    <cellStyle name="SAPBEXstdItem 11" xfId="60710" xr:uid="{00000000-0005-0000-0000-000024ED0000}"/>
    <cellStyle name="SAPBEXstdItem 11 2" xfId="60711" xr:uid="{00000000-0005-0000-0000-000025ED0000}"/>
    <cellStyle name="SAPBEXstdItem 11 2 2" xfId="60712" xr:uid="{00000000-0005-0000-0000-000026ED0000}"/>
    <cellStyle name="SAPBEXstdItem 11 3" xfId="60713" xr:uid="{00000000-0005-0000-0000-000027ED0000}"/>
    <cellStyle name="SAPBEXstdItem 12" xfId="60714" xr:uid="{00000000-0005-0000-0000-000028ED0000}"/>
    <cellStyle name="SAPBEXstdItem 12 2" xfId="60715" xr:uid="{00000000-0005-0000-0000-000029ED0000}"/>
    <cellStyle name="SAPBEXstdItem 12 2 2" xfId="60716" xr:uid="{00000000-0005-0000-0000-00002AED0000}"/>
    <cellStyle name="SAPBEXstdItem 12 2 2 2" xfId="60717" xr:uid="{00000000-0005-0000-0000-00002BED0000}"/>
    <cellStyle name="SAPBEXstdItem 12 2 3" xfId="60718" xr:uid="{00000000-0005-0000-0000-00002CED0000}"/>
    <cellStyle name="SAPBEXstdItem 12 2 3 2" xfId="60719" xr:uid="{00000000-0005-0000-0000-00002DED0000}"/>
    <cellStyle name="SAPBEXstdItem 12 2 3 3" xfId="60720" xr:uid="{00000000-0005-0000-0000-00002EED0000}"/>
    <cellStyle name="SAPBEXstdItem 12 2 4" xfId="60721" xr:uid="{00000000-0005-0000-0000-00002FED0000}"/>
    <cellStyle name="SAPBEXstdItem 12 2 5" xfId="60722" xr:uid="{00000000-0005-0000-0000-000030ED0000}"/>
    <cellStyle name="SAPBEXstdItem 12 3" xfId="60723" xr:uid="{00000000-0005-0000-0000-000031ED0000}"/>
    <cellStyle name="SAPBEXstdItem 12 3 2" xfId="60724" xr:uid="{00000000-0005-0000-0000-000032ED0000}"/>
    <cellStyle name="SAPBEXstdItem 12 4" xfId="60725" xr:uid="{00000000-0005-0000-0000-000033ED0000}"/>
    <cellStyle name="SAPBEXstdItem 12 4 2" xfId="60726" xr:uid="{00000000-0005-0000-0000-000034ED0000}"/>
    <cellStyle name="SAPBEXstdItem 12 4 3" xfId="60727" xr:uid="{00000000-0005-0000-0000-000035ED0000}"/>
    <cellStyle name="SAPBEXstdItem 12 5" xfId="60728" xr:uid="{00000000-0005-0000-0000-000036ED0000}"/>
    <cellStyle name="SAPBEXstdItem 12 6" xfId="60729" xr:uid="{00000000-0005-0000-0000-000037ED0000}"/>
    <cellStyle name="SAPBEXstdItem 13" xfId="60730" xr:uid="{00000000-0005-0000-0000-000038ED0000}"/>
    <cellStyle name="SAPBEXstdItem 13 2" xfId="60731" xr:uid="{00000000-0005-0000-0000-000039ED0000}"/>
    <cellStyle name="SAPBEXstdItem 14" xfId="60732" xr:uid="{00000000-0005-0000-0000-00003AED0000}"/>
    <cellStyle name="SAPBEXstdItem 14 2" xfId="60733" xr:uid="{00000000-0005-0000-0000-00003BED0000}"/>
    <cellStyle name="SAPBEXstdItem 14 3" xfId="60734" xr:uid="{00000000-0005-0000-0000-00003CED0000}"/>
    <cellStyle name="SAPBEXstdItem 14 3 2" xfId="60735" xr:uid="{00000000-0005-0000-0000-00003DED0000}"/>
    <cellStyle name="SAPBEXstdItem 15" xfId="60736" xr:uid="{00000000-0005-0000-0000-00003EED0000}"/>
    <cellStyle name="SAPBEXstdItem 2" xfId="60737" xr:uid="{00000000-0005-0000-0000-00003FED0000}"/>
    <cellStyle name="SAPBEXstdItem 2 2" xfId="60738" xr:uid="{00000000-0005-0000-0000-000040ED0000}"/>
    <cellStyle name="SAPBEXstdItem 2 2 2" xfId="60739" xr:uid="{00000000-0005-0000-0000-000041ED0000}"/>
    <cellStyle name="SAPBEXstdItem 2 2 2 2" xfId="60740" xr:uid="{00000000-0005-0000-0000-000042ED0000}"/>
    <cellStyle name="SAPBEXstdItem 2 2 3" xfId="60741" xr:uid="{00000000-0005-0000-0000-000043ED0000}"/>
    <cellStyle name="SAPBEXstdItem 2 3" xfId="60742" xr:uid="{00000000-0005-0000-0000-000044ED0000}"/>
    <cellStyle name="SAPBEXstdItem 2 3 2" xfId="60743" xr:uid="{00000000-0005-0000-0000-000045ED0000}"/>
    <cellStyle name="SAPBEXstdItem 2 4" xfId="60744" xr:uid="{00000000-0005-0000-0000-000046ED0000}"/>
    <cellStyle name="SAPBEXstdItem 2 4 2" xfId="60745" xr:uid="{00000000-0005-0000-0000-000047ED0000}"/>
    <cellStyle name="SAPBEXstdItem 2 4 2 2" xfId="60746" xr:uid="{00000000-0005-0000-0000-000048ED0000}"/>
    <cellStyle name="SAPBEXstdItem 3" xfId="60747" xr:uid="{00000000-0005-0000-0000-000049ED0000}"/>
    <cellStyle name="SAPBEXstdItem 3 2" xfId="60748" xr:uid="{00000000-0005-0000-0000-00004AED0000}"/>
    <cellStyle name="SAPBEXstdItem 3 2 2" xfId="60749" xr:uid="{00000000-0005-0000-0000-00004BED0000}"/>
    <cellStyle name="SAPBEXstdItem 3 3" xfId="60750" xr:uid="{00000000-0005-0000-0000-00004CED0000}"/>
    <cellStyle name="SAPBEXstdItem 4" xfId="60751" xr:uid="{00000000-0005-0000-0000-00004DED0000}"/>
    <cellStyle name="SAPBEXstdItem 4 2" xfId="60752" xr:uid="{00000000-0005-0000-0000-00004EED0000}"/>
    <cellStyle name="SAPBEXstdItem 4 2 2" xfId="60753" xr:uid="{00000000-0005-0000-0000-00004FED0000}"/>
    <cellStyle name="SAPBEXstdItem 4 3" xfId="60754" xr:uid="{00000000-0005-0000-0000-000050ED0000}"/>
    <cellStyle name="SAPBEXstdItem 5" xfId="60755" xr:uid="{00000000-0005-0000-0000-000051ED0000}"/>
    <cellStyle name="SAPBEXstdItem 5 2" xfId="60756" xr:uid="{00000000-0005-0000-0000-000052ED0000}"/>
    <cellStyle name="SAPBEXstdItem 5 2 2" xfId="60757" xr:uid="{00000000-0005-0000-0000-000053ED0000}"/>
    <cellStyle name="SAPBEXstdItem 5 3" xfId="60758" xr:uid="{00000000-0005-0000-0000-000054ED0000}"/>
    <cellStyle name="SAPBEXstdItem 6" xfId="60759" xr:uid="{00000000-0005-0000-0000-000055ED0000}"/>
    <cellStyle name="SAPBEXstdItem 6 2" xfId="60760" xr:uid="{00000000-0005-0000-0000-000056ED0000}"/>
    <cellStyle name="SAPBEXstdItem 6 2 2" xfId="60761" xr:uid="{00000000-0005-0000-0000-000057ED0000}"/>
    <cellStyle name="SAPBEXstdItem 6 3" xfId="60762" xr:uid="{00000000-0005-0000-0000-000058ED0000}"/>
    <cellStyle name="SAPBEXstdItem 7" xfId="60763" xr:uid="{00000000-0005-0000-0000-000059ED0000}"/>
    <cellStyle name="SAPBEXstdItem 7 2" xfId="60764" xr:uid="{00000000-0005-0000-0000-00005AED0000}"/>
    <cellStyle name="SAPBEXstdItem 7 2 2" xfId="60765" xr:uid="{00000000-0005-0000-0000-00005BED0000}"/>
    <cellStyle name="SAPBEXstdItem 7 3" xfId="60766" xr:uid="{00000000-0005-0000-0000-00005CED0000}"/>
    <cellStyle name="SAPBEXstdItem 8" xfId="60767" xr:uid="{00000000-0005-0000-0000-00005DED0000}"/>
    <cellStyle name="SAPBEXstdItem 8 2" xfId="60768" xr:uid="{00000000-0005-0000-0000-00005EED0000}"/>
    <cellStyle name="SAPBEXstdItem 8 2 2" xfId="60769" xr:uid="{00000000-0005-0000-0000-00005FED0000}"/>
    <cellStyle name="SAPBEXstdItem 8 3" xfId="60770" xr:uid="{00000000-0005-0000-0000-000060ED0000}"/>
    <cellStyle name="SAPBEXstdItem 9" xfId="60771" xr:uid="{00000000-0005-0000-0000-000061ED0000}"/>
    <cellStyle name="SAPBEXstdItem 9 2" xfId="60772" xr:uid="{00000000-0005-0000-0000-000062ED0000}"/>
    <cellStyle name="SAPBEXstdItem 9 2 2" xfId="60773" xr:uid="{00000000-0005-0000-0000-000063ED0000}"/>
    <cellStyle name="SAPBEXstdItem 9 3" xfId="60774" xr:uid="{00000000-0005-0000-0000-000064ED0000}"/>
    <cellStyle name="SAPBEXstdItemX" xfId="60775" xr:uid="{00000000-0005-0000-0000-000065ED0000}"/>
    <cellStyle name="SAPBEXstdItemX 10" xfId="60776" xr:uid="{00000000-0005-0000-0000-000066ED0000}"/>
    <cellStyle name="SAPBEXstdItemX 10 2" xfId="60777" xr:uid="{00000000-0005-0000-0000-000067ED0000}"/>
    <cellStyle name="SAPBEXstdItemX 10 2 2" xfId="60778" xr:uid="{00000000-0005-0000-0000-000068ED0000}"/>
    <cellStyle name="SAPBEXstdItemX 10 2 2 2" xfId="60779" xr:uid="{00000000-0005-0000-0000-000069ED0000}"/>
    <cellStyle name="SAPBEXstdItemX 10 2 3" xfId="60780" xr:uid="{00000000-0005-0000-0000-00006AED0000}"/>
    <cellStyle name="SAPBEXstdItemX 10 2 3 2" xfId="60781" xr:uid="{00000000-0005-0000-0000-00006BED0000}"/>
    <cellStyle name="SAPBEXstdItemX 10 2 3 3" xfId="60782" xr:uid="{00000000-0005-0000-0000-00006CED0000}"/>
    <cellStyle name="SAPBEXstdItemX 10 2 4" xfId="60783" xr:uid="{00000000-0005-0000-0000-00006DED0000}"/>
    <cellStyle name="SAPBEXstdItemX 10 2 5" xfId="60784" xr:uid="{00000000-0005-0000-0000-00006EED0000}"/>
    <cellStyle name="SAPBEXstdItemX 10 3" xfId="60785" xr:uid="{00000000-0005-0000-0000-00006FED0000}"/>
    <cellStyle name="SAPBEXstdItemX 10 3 2" xfId="60786" xr:uid="{00000000-0005-0000-0000-000070ED0000}"/>
    <cellStyle name="SAPBEXstdItemX 10 4" xfId="60787" xr:uid="{00000000-0005-0000-0000-000071ED0000}"/>
    <cellStyle name="SAPBEXstdItemX 10 4 2" xfId="60788" xr:uid="{00000000-0005-0000-0000-000072ED0000}"/>
    <cellStyle name="SAPBEXstdItemX 10 4 3" xfId="60789" xr:uid="{00000000-0005-0000-0000-000073ED0000}"/>
    <cellStyle name="SAPBEXstdItemX 10 5" xfId="60790" xr:uid="{00000000-0005-0000-0000-000074ED0000}"/>
    <cellStyle name="SAPBEXstdItemX 10 6" xfId="60791" xr:uid="{00000000-0005-0000-0000-000075ED0000}"/>
    <cellStyle name="SAPBEXstdItemX 11" xfId="60792" xr:uid="{00000000-0005-0000-0000-000076ED0000}"/>
    <cellStyle name="SAPBEXstdItemX 11 2" xfId="60793" xr:uid="{00000000-0005-0000-0000-000077ED0000}"/>
    <cellStyle name="SAPBEXstdItemX 11 2 2" xfId="60794" xr:uid="{00000000-0005-0000-0000-000078ED0000}"/>
    <cellStyle name="SAPBEXstdItemX 11 2 2 2" xfId="60795" xr:uid="{00000000-0005-0000-0000-000079ED0000}"/>
    <cellStyle name="SAPBEXstdItemX 11 2 3" xfId="60796" xr:uid="{00000000-0005-0000-0000-00007AED0000}"/>
    <cellStyle name="SAPBEXstdItemX 11 2 3 2" xfId="60797" xr:uid="{00000000-0005-0000-0000-00007BED0000}"/>
    <cellStyle name="SAPBEXstdItemX 11 2 3 3" xfId="60798" xr:uid="{00000000-0005-0000-0000-00007CED0000}"/>
    <cellStyle name="SAPBEXstdItemX 11 2 4" xfId="60799" xr:uid="{00000000-0005-0000-0000-00007DED0000}"/>
    <cellStyle name="SAPBEXstdItemX 11 2 5" xfId="60800" xr:uid="{00000000-0005-0000-0000-00007EED0000}"/>
    <cellStyle name="SAPBEXstdItemX 11 3" xfId="60801" xr:uid="{00000000-0005-0000-0000-00007FED0000}"/>
    <cellStyle name="SAPBEXstdItemX 11 3 2" xfId="60802" xr:uid="{00000000-0005-0000-0000-000080ED0000}"/>
    <cellStyle name="SAPBEXstdItemX 11 4" xfId="60803" xr:uid="{00000000-0005-0000-0000-000081ED0000}"/>
    <cellStyle name="SAPBEXstdItemX 11 4 2" xfId="60804" xr:uid="{00000000-0005-0000-0000-000082ED0000}"/>
    <cellStyle name="SAPBEXstdItemX 11 4 3" xfId="60805" xr:uid="{00000000-0005-0000-0000-000083ED0000}"/>
    <cellStyle name="SAPBEXstdItemX 11 5" xfId="60806" xr:uid="{00000000-0005-0000-0000-000084ED0000}"/>
    <cellStyle name="SAPBEXstdItemX 11 6" xfId="60807" xr:uid="{00000000-0005-0000-0000-000085ED0000}"/>
    <cellStyle name="SAPBEXstdItemX 12" xfId="60808" xr:uid="{00000000-0005-0000-0000-000086ED0000}"/>
    <cellStyle name="SAPBEXstdItemX 12 2" xfId="60809" xr:uid="{00000000-0005-0000-0000-000087ED0000}"/>
    <cellStyle name="SAPBEXstdItemX 12 2 2" xfId="60810" xr:uid="{00000000-0005-0000-0000-000088ED0000}"/>
    <cellStyle name="SAPBEXstdItemX 12 2 2 2" xfId="60811" xr:uid="{00000000-0005-0000-0000-000089ED0000}"/>
    <cellStyle name="SAPBEXstdItemX 12 2 3" xfId="60812" xr:uid="{00000000-0005-0000-0000-00008AED0000}"/>
    <cellStyle name="SAPBEXstdItemX 12 2 3 2" xfId="60813" xr:uid="{00000000-0005-0000-0000-00008BED0000}"/>
    <cellStyle name="SAPBEXstdItemX 12 2 3 3" xfId="60814" xr:uid="{00000000-0005-0000-0000-00008CED0000}"/>
    <cellStyle name="SAPBEXstdItemX 12 2 4" xfId="60815" xr:uid="{00000000-0005-0000-0000-00008DED0000}"/>
    <cellStyle name="SAPBEXstdItemX 12 2 5" xfId="60816" xr:uid="{00000000-0005-0000-0000-00008EED0000}"/>
    <cellStyle name="SAPBEXstdItemX 12 3" xfId="60817" xr:uid="{00000000-0005-0000-0000-00008FED0000}"/>
    <cellStyle name="SAPBEXstdItemX 12 3 2" xfId="60818" xr:uid="{00000000-0005-0000-0000-000090ED0000}"/>
    <cellStyle name="SAPBEXstdItemX 12 4" xfId="60819" xr:uid="{00000000-0005-0000-0000-000091ED0000}"/>
    <cellStyle name="SAPBEXstdItemX 12 4 2" xfId="60820" xr:uid="{00000000-0005-0000-0000-000092ED0000}"/>
    <cellStyle name="SAPBEXstdItemX 12 4 3" xfId="60821" xr:uid="{00000000-0005-0000-0000-000093ED0000}"/>
    <cellStyle name="SAPBEXstdItemX 12 5" xfId="60822" xr:uid="{00000000-0005-0000-0000-000094ED0000}"/>
    <cellStyle name="SAPBEXstdItemX 12 6" xfId="60823" xr:uid="{00000000-0005-0000-0000-000095ED0000}"/>
    <cellStyle name="SAPBEXstdItemX 13" xfId="60824" xr:uid="{00000000-0005-0000-0000-000096ED0000}"/>
    <cellStyle name="SAPBEXstdItemX 13 2" xfId="60825" xr:uid="{00000000-0005-0000-0000-000097ED0000}"/>
    <cellStyle name="SAPBEXstdItemX 13 2 2" xfId="60826" xr:uid="{00000000-0005-0000-0000-000098ED0000}"/>
    <cellStyle name="SAPBEXstdItemX 13 2 3" xfId="60827" xr:uid="{00000000-0005-0000-0000-000099ED0000}"/>
    <cellStyle name="SAPBEXstdItemX 13 3" xfId="60828" xr:uid="{00000000-0005-0000-0000-00009AED0000}"/>
    <cellStyle name="SAPBEXstdItemX 13 3 2" xfId="60829" xr:uid="{00000000-0005-0000-0000-00009BED0000}"/>
    <cellStyle name="SAPBEXstdItemX 13 4" xfId="60830" xr:uid="{00000000-0005-0000-0000-00009CED0000}"/>
    <cellStyle name="SAPBEXstdItemX 13 5" xfId="60831" xr:uid="{00000000-0005-0000-0000-00009DED0000}"/>
    <cellStyle name="SAPBEXstdItemX 14" xfId="60832" xr:uid="{00000000-0005-0000-0000-00009EED0000}"/>
    <cellStyle name="SAPBEXstdItemX 14 2" xfId="60833" xr:uid="{00000000-0005-0000-0000-00009FED0000}"/>
    <cellStyle name="SAPBEXstdItemX 14 2 2" xfId="60834" xr:uid="{00000000-0005-0000-0000-0000A0ED0000}"/>
    <cellStyle name="SAPBEXstdItemX 14 2 3" xfId="60835" xr:uid="{00000000-0005-0000-0000-0000A1ED0000}"/>
    <cellStyle name="SAPBEXstdItemX 14 3" xfId="60836" xr:uid="{00000000-0005-0000-0000-0000A2ED0000}"/>
    <cellStyle name="SAPBEXstdItemX 15" xfId="60837" xr:uid="{00000000-0005-0000-0000-0000A3ED0000}"/>
    <cellStyle name="SAPBEXstdItemX 15 2" xfId="60838" xr:uid="{00000000-0005-0000-0000-0000A4ED0000}"/>
    <cellStyle name="SAPBEXstdItemX 16" xfId="60839" xr:uid="{00000000-0005-0000-0000-0000A5ED0000}"/>
    <cellStyle name="SAPBEXstdItemX 16 2" xfId="60840" xr:uid="{00000000-0005-0000-0000-0000A6ED0000}"/>
    <cellStyle name="SAPBEXstdItemX 16 3" xfId="60841" xr:uid="{00000000-0005-0000-0000-0000A7ED0000}"/>
    <cellStyle name="SAPBEXstdItemX 17" xfId="60842" xr:uid="{00000000-0005-0000-0000-0000A8ED0000}"/>
    <cellStyle name="SAPBEXstdItemX 18" xfId="60843" xr:uid="{00000000-0005-0000-0000-0000A9ED0000}"/>
    <cellStyle name="SAPBEXstdItemX 2" xfId="60844" xr:uid="{00000000-0005-0000-0000-0000AAED0000}"/>
    <cellStyle name="SAPBEXstdItemX 2 2" xfId="60845" xr:uid="{00000000-0005-0000-0000-0000ABED0000}"/>
    <cellStyle name="SAPBEXstdItemX 2 2 2" xfId="60846" xr:uid="{00000000-0005-0000-0000-0000ACED0000}"/>
    <cellStyle name="SAPBEXstdItemX 2 2 2 2" xfId="60847" xr:uid="{00000000-0005-0000-0000-0000ADED0000}"/>
    <cellStyle name="SAPBEXstdItemX 2 2 3" xfId="60848" xr:uid="{00000000-0005-0000-0000-0000AEED0000}"/>
    <cellStyle name="SAPBEXstdItemX 2 2 3 2" xfId="60849" xr:uid="{00000000-0005-0000-0000-0000AFED0000}"/>
    <cellStyle name="SAPBEXstdItemX 2 2 3 3" xfId="60850" xr:uid="{00000000-0005-0000-0000-0000B0ED0000}"/>
    <cellStyle name="SAPBEXstdItemX 2 2 4" xfId="60851" xr:uid="{00000000-0005-0000-0000-0000B1ED0000}"/>
    <cellStyle name="SAPBEXstdItemX 2 2 5" xfId="60852" xr:uid="{00000000-0005-0000-0000-0000B2ED0000}"/>
    <cellStyle name="SAPBEXstdItemX 2 3" xfId="60853" xr:uid="{00000000-0005-0000-0000-0000B3ED0000}"/>
    <cellStyle name="SAPBEXstdItemX 2 3 2" xfId="60854" xr:uid="{00000000-0005-0000-0000-0000B4ED0000}"/>
    <cellStyle name="SAPBEXstdItemX 2 4" xfId="60855" xr:uid="{00000000-0005-0000-0000-0000B5ED0000}"/>
    <cellStyle name="SAPBEXstdItemX 2 4 2" xfId="60856" xr:uid="{00000000-0005-0000-0000-0000B6ED0000}"/>
    <cellStyle name="SAPBEXstdItemX 2 4 3" xfId="60857" xr:uid="{00000000-0005-0000-0000-0000B7ED0000}"/>
    <cellStyle name="SAPBEXstdItemX 2 5" xfId="60858" xr:uid="{00000000-0005-0000-0000-0000B8ED0000}"/>
    <cellStyle name="SAPBEXstdItemX 2 6" xfId="60859" xr:uid="{00000000-0005-0000-0000-0000B9ED0000}"/>
    <cellStyle name="SAPBEXstdItemX 3" xfId="60860" xr:uid="{00000000-0005-0000-0000-0000BAED0000}"/>
    <cellStyle name="SAPBEXstdItemX 3 2" xfId="60861" xr:uid="{00000000-0005-0000-0000-0000BBED0000}"/>
    <cellStyle name="SAPBEXstdItemX 3 2 2" xfId="60862" xr:uid="{00000000-0005-0000-0000-0000BCED0000}"/>
    <cellStyle name="SAPBEXstdItemX 3 2 2 2" xfId="60863" xr:uid="{00000000-0005-0000-0000-0000BDED0000}"/>
    <cellStyle name="SAPBEXstdItemX 3 2 3" xfId="60864" xr:uid="{00000000-0005-0000-0000-0000BEED0000}"/>
    <cellStyle name="SAPBEXstdItemX 3 2 3 2" xfId="60865" xr:uid="{00000000-0005-0000-0000-0000BFED0000}"/>
    <cellStyle name="SAPBEXstdItemX 3 2 3 3" xfId="60866" xr:uid="{00000000-0005-0000-0000-0000C0ED0000}"/>
    <cellStyle name="SAPBEXstdItemX 3 2 4" xfId="60867" xr:uid="{00000000-0005-0000-0000-0000C1ED0000}"/>
    <cellStyle name="SAPBEXstdItemX 3 2 5" xfId="60868" xr:uid="{00000000-0005-0000-0000-0000C2ED0000}"/>
    <cellStyle name="SAPBEXstdItemX 3 3" xfId="60869" xr:uid="{00000000-0005-0000-0000-0000C3ED0000}"/>
    <cellStyle name="SAPBEXstdItemX 3 3 2" xfId="60870" xr:uid="{00000000-0005-0000-0000-0000C4ED0000}"/>
    <cellStyle name="SAPBEXstdItemX 3 4" xfId="60871" xr:uid="{00000000-0005-0000-0000-0000C5ED0000}"/>
    <cellStyle name="SAPBEXstdItemX 3 4 2" xfId="60872" xr:uid="{00000000-0005-0000-0000-0000C6ED0000}"/>
    <cellStyle name="SAPBEXstdItemX 3 4 3" xfId="60873" xr:uid="{00000000-0005-0000-0000-0000C7ED0000}"/>
    <cellStyle name="SAPBEXstdItemX 3 5" xfId="60874" xr:uid="{00000000-0005-0000-0000-0000C8ED0000}"/>
    <cellStyle name="SAPBEXstdItemX 3 6" xfId="60875" xr:uid="{00000000-0005-0000-0000-0000C9ED0000}"/>
    <cellStyle name="SAPBEXstdItemX 4" xfId="60876" xr:uid="{00000000-0005-0000-0000-0000CAED0000}"/>
    <cellStyle name="SAPBEXstdItemX 4 2" xfId="60877" xr:uid="{00000000-0005-0000-0000-0000CBED0000}"/>
    <cellStyle name="SAPBEXstdItemX 4 2 2" xfId="60878" xr:uid="{00000000-0005-0000-0000-0000CCED0000}"/>
    <cellStyle name="SAPBEXstdItemX 4 2 2 2" xfId="60879" xr:uid="{00000000-0005-0000-0000-0000CDED0000}"/>
    <cellStyle name="SAPBEXstdItemX 4 2 3" xfId="60880" xr:uid="{00000000-0005-0000-0000-0000CEED0000}"/>
    <cellStyle name="SAPBEXstdItemX 4 2 3 2" xfId="60881" xr:uid="{00000000-0005-0000-0000-0000CFED0000}"/>
    <cellStyle name="SAPBEXstdItemX 4 2 3 3" xfId="60882" xr:uid="{00000000-0005-0000-0000-0000D0ED0000}"/>
    <cellStyle name="SAPBEXstdItemX 4 2 4" xfId="60883" xr:uid="{00000000-0005-0000-0000-0000D1ED0000}"/>
    <cellStyle name="SAPBEXstdItemX 4 2 5" xfId="60884" xr:uid="{00000000-0005-0000-0000-0000D2ED0000}"/>
    <cellStyle name="SAPBEXstdItemX 4 3" xfId="60885" xr:uid="{00000000-0005-0000-0000-0000D3ED0000}"/>
    <cellStyle name="SAPBEXstdItemX 4 3 2" xfId="60886" xr:uid="{00000000-0005-0000-0000-0000D4ED0000}"/>
    <cellStyle name="SAPBEXstdItemX 4 4" xfId="60887" xr:uid="{00000000-0005-0000-0000-0000D5ED0000}"/>
    <cellStyle name="SAPBEXstdItemX 4 4 2" xfId="60888" xr:uid="{00000000-0005-0000-0000-0000D6ED0000}"/>
    <cellStyle name="SAPBEXstdItemX 4 4 3" xfId="60889" xr:uid="{00000000-0005-0000-0000-0000D7ED0000}"/>
    <cellStyle name="SAPBEXstdItemX 4 5" xfId="60890" xr:uid="{00000000-0005-0000-0000-0000D8ED0000}"/>
    <cellStyle name="SAPBEXstdItemX 4 6" xfId="60891" xr:uid="{00000000-0005-0000-0000-0000D9ED0000}"/>
    <cellStyle name="SAPBEXstdItemX 5" xfId="60892" xr:uid="{00000000-0005-0000-0000-0000DAED0000}"/>
    <cellStyle name="SAPBEXstdItemX 5 2" xfId="60893" xr:uid="{00000000-0005-0000-0000-0000DBED0000}"/>
    <cellStyle name="SAPBEXstdItemX 5 2 2" xfId="60894" xr:uid="{00000000-0005-0000-0000-0000DCED0000}"/>
    <cellStyle name="SAPBEXstdItemX 5 2 2 2" xfId="60895" xr:uid="{00000000-0005-0000-0000-0000DDED0000}"/>
    <cellStyle name="SAPBEXstdItemX 5 2 3" xfId="60896" xr:uid="{00000000-0005-0000-0000-0000DEED0000}"/>
    <cellStyle name="SAPBEXstdItemX 5 2 3 2" xfId="60897" xr:uid="{00000000-0005-0000-0000-0000DFED0000}"/>
    <cellStyle name="SAPBEXstdItemX 5 2 3 3" xfId="60898" xr:uid="{00000000-0005-0000-0000-0000E0ED0000}"/>
    <cellStyle name="SAPBEXstdItemX 5 2 4" xfId="60899" xr:uid="{00000000-0005-0000-0000-0000E1ED0000}"/>
    <cellStyle name="SAPBEXstdItemX 5 2 5" xfId="60900" xr:uid="{00000000-0005-0000-0000-0000E2ED0000}"/>
    <cellStyle name="SAPBEXstdItemX 5 3" xfId="60901" xr:uid="{00000000-0005-0000-0000-0000E3ED0000}"/>
    <cellStyle name="SAPBEXstdItemX 5 3 2" xfId="60902" xr:uid="{00000000-0005-0000-0000-0000E4ED0000}"/>
    <cellStyle name="SAPBEXstdItemX 5 4" xfId="60903" xr:uid="{00000000-0005-0000-0000-0000E5ED0000}"/>
    <cellStyle name="SAPBEXstdItemX 5 4 2" xfId="60904" xr:uid="{00000000-0005-0000-0000-0000E6ED0000}"/>
    <cellStyle name="SAPBEXstdItemX 5 4 3" xfId="60905" xr:uid="{00000000-0005-0000-0000-0000E7ED0000}"/>
    <cellStyle name="SAPBEXstdItemX 5 5" xfId="60906" xr:uid="{00000000-0005-0000-0000-0000E8ED0000}"/>
    <cellStyle name="SAPBEXstdItemX 5 6" xfId="60907" xr:uid="{00000000-0005-0000-0000-0000E9ED0000}"/>
    <cellStyle name="SAPBEXstdItemX 6" xfId="60908" xr:uid="{00000000-0005-0000-0000-0000EAED0000}"/>
    <cellStyle name="SAPBEXstdItemX 6 2" xfId="60909" xr:uid="{00000000-0005-0000-0000-0000EBED0000}"/>
    <cellStyle name="SAPBEXstdItemX 6 2 2" xfId="60910" xr:uid="{00000000-0005-0000-0000-0000ECED0000}"/>
    <cellStyle name="SAPBEXstdItemX 6 2 2 2" xfId="60911" xr:uid="{00000000-0005-0000-0000-0000EDED0000}"/>
    <cellStyle name="SAPBEXstdItemX 6 2 3" xfId="60912" xr:uid="{00000000-0005-0000-0000-0000EEED0000}"/>
    <cellStyle name="SAPBEXstdItemX 6 2 3 2" xfId="60913" xr:uid="{00000000-0005-0000-0000-0000EFED0000}"/>
    <cellStyle name="SAPBEXstdItemX 6 2 3 3" xfId="60914" xr:uid="{00000000-0005-0000-0000-0000F0ED0000}"/>
    <cellStyle name="SAPBEXstdItemX 6 2 4" xfId="60915" xr:uid="{00000000-0005-0000-0000-0000F1ED0000}"/>
    <cellStyle name="SAPBEXstdItemX 6 2 5" xfId="60916" xr:uid="{00000000-0005-0000-0000-0000F2ED0000}"/>
    <cellStyle name="SAPBEXstdItemX 6 3" xfId="60917" xr:uid="{00000000-0005-0000-0000-0000F3ED0000}"/>
    <cellStyle name="SAPBEXstdItemX 6 3 2" xfId="60918" xr:uid="{00000000-0005-0000-0000-0000F4ED0000}"/>
    <cellStyle name="SAPBEXstdItemX 6 4" xfId="60919" xr:uid="{00000000-0005-0000-0000-0000F5ED0000}"/>
    <cellStyle name="SAPBEXstdItemX 6 4 2" xfId="60920" xr:uid="{00000000-0005-0000-0000-0000F6ED0000}"/>
    <cellStyle name="SAPBEXstdItemX 6 4 3" xfId="60921" xr:uid="{00000000-0005-0000-0000-0000F7ED0000}"/>
    <cellStyle name="SAPBEXstdItemX 6 5" xfId="60922" xr:uid="{00000000-0005-0000-0000-0000F8ED0000}"/>
    <cellStyle name="SAPBEXstdItemX 6 6" xfId="60923" xr:uid="{00000000-0005-0000-0000-0000F9ED0000}"/>
    <cellStyle name="SAPBEXstdItemX 7" xfId="60924" xr:uid="{00000000-0005-0000-0000-0000FAED0000}"/>
    <cellStyle name="SAPBEXstdItemX 7 2" xfId="60925" xr:uid="{00000000-0005-0000-0000-0000FBED0000}"/>
    <cellStyle name="SAPBEXstdItemX 7 2 2" xfId="60926" xr:uid="{00000000-0005-0000-0000-0000FCED0000}"/>
    <cellStyle name="SAPBEXstdItemX 7 2 2 2" xfId="60927" xr:uid="{00000000-0005-0000-0000-0000FDED0000}"/>
    <cellStyle name="SAPBEXstdItemX 7 2 3" xfId="60928" xr:uid="{00000000-0005-0000-0000-0000FEED0000}"/>
    <cellStyle name="SAPBEXstdItemX 7 2 3 2" xfId="60929" xr:uid="{00000000-0005-0000-0000-0000FFED0000}"/>
    <cellStyle name="SAPBEXstdItemX 7 2 3 3" xfId="60930" xr:uid="{00000000-0005-0000-0000-000000EE0000}"/>
    <cellStyle name="SAPBEXstdItemX 7 2 4" xfId="60931" xr:uid="{00000000-0005-0000-0000-000001EE0000}"/>
    <cellStyle name="SAPBEXstdItemX 7 2 5" xfId="60932" xr:uid="{00000000-0005-0000-0000-000002EE0000}"/>
    <cellStyle name="SAPBEXstdItemX 7 3" xfId="60933" xr:uid="{00000000-0005-0000-0000-000003EE0000}"/>
    <cellStyle name="SAPBEXstdItemX 7 3 2" xfId="60934" xr:uid="{00000000-0005-0000-0000-000004EE0000}"/>
    <cellStyle name="SAPBEXstdItemX 7 4" xfId="60935" xr:uid="{00000000-0005-0000-0000-000005EE0000}"/>
    <cellStyle name="SAPBEXstdItemX 7 4 2" xfId="60936" xr:uid="{00000000-0005-0000-0000-000006EE0000}"/>
    <cellStyle name="SAPBEXstdItemX 7 4 3" xfId="60937" xr:uid="{00000000-0005-0000-0000-000007EE0000}"/>
    <cellStyle name="SAPBEXstdItemX 7 5" xfId="60938" xr:uid="{00000000-0005-0000-0000-000008EE0000}"/>
    <cellStyle name="SAPBEXstdItemX 7 6" xfId="60939" xr:uid="{00000000-0005-0000-0000-000009EE0000}"/>
    <cellStyle name="SAPBEXstdItemX 8" xfId="60940" xr:uid="{00000000-0005-0000-0000-00000AEE0000}"/>
    <cellStyle name="SAPBEXstdItemX 8 2" xfId="60941" xr:uid="{00000000-0005-0000-0000-00000BEE0000}"/>
    <cellStyle name="SAPBEXstdItemX 8 2 2" xfId="60942" xr:uid="{00000000-0005-0000-0000-00000CEE0000}"/>
    <cellStyle name="SAPBEXstdItemX 8 2 2 2" xfId="60943" xr:uid="{00000000-0005-0000-0000-00000DEE0000}"/>
    <cellStyle name="SAPBEXstdItemX 8 2 3" xfId="60944" xr:uid="{00000000-0005-0000-0000-00000EEE0000}"/>
    <cellStyle name="SAPBEXstdItemX 8 2 3 2" xfId="60945" xr:uid="{00000000-0005-0000-0000-00000FEE0000}"/>
    <cellStyle name="SAPBEXstdItemX 8 2 3 3" xfId="60946" xr:uid="{00000000-0005-0000-0000-000010EE0000}"/>
    <cellStyle name="SAPBEXstdItemX 8 2 4" xfId="60947" xr:uid="{00000000-0005-0000-0000-000011EE0000}"/>
    <cellStyle name="SAPBEXstdItemX 8 2 5" xfId="60948" xr:uid="{00000000-0005-0000-0000-000012EE0000}"/>
    <cellStyle name="SAPBEXstdItemX 8 3" xfId="60949" xr:uid="{00000000-0005-0000-0000-000013EE0000}"/>
    <cellStyle name="SAPBEXstdItemX 8 3 2" xfId="60950" xr:uid="{00000000-0005-0000-0000-000014EE0000}"/>
    <cellStyle name="SAPBEXstdItemX 8 4" xfId="60951" xr:uid="{00000000-0005-0000-0000-000015EE0000}"/>
    <cellStyle name="SAPBEXstdItemX 8 4 2" xfId="60952" xr:uid="{00000000-0005-0000-0000-000016EE0000}"/>
    <cellStyle name="SAPBEXstdItemX 8 4 3" xfId="60953" xr:uid="{00000000-0005-0000-0000-000017EE0000}"/>
    <cellStyle name="SAPBEXstdItemX 8 5" xfId="60954" xr:uid="{00000000-0005-0000-0000-000018EE0000}"/>
    <cellStyle name="SAPBEXstdItemX 8 6" xfId="60955" xr:uid="{00000000-0005-0000-0000-000019EE0000}"/>
    <cellStyle name="SAPBEXstdItemX 9" xfId="60956" xr:uid="{00000000-0005-0000-0000-00001AEE0000}"/>
    <cellStyle name="SAPBEXstdItemX 9 2" xfId="60957" xr:uid="{00000000-0005-0000-0000-00001BEE0000}"/>
    <cellStyle name="SAPBEXstdItemX 9 2 2" xfId="60958" xr:uid="{00000000-0005-0000-0000-00001CEE0000}"/>
    <cellStyle name="SAPBEXstdItemX 9 2 2 2" xfId="60959" xr:uid="{00000000-0005-0000-0000-00001DEE0000}"/>
    <cellStyle name="SAPBEXstdItemX 9 2 3" xfId="60960" xr:uid="{00000000-0005-0000-0000-00001EEE0000}"/>
    <cellStyle name="SAPBEXstdItemX 9 2 3 2" xfId="60961" xr:uid="{00000000-0005-0000-0000-00001FEE0000}"/>
    <cellStyle name="SAPBEXstdItemX 9 2 3 3" xfId="60962" xr:uid="{00000000-0005-0000-0000-000020EE0000}"/>
    <cellStyle name="SAPBEXstdItemX 9 2 4" xfId="60963" xr:uid="{00000000-0005-0000-0000-000021EE0000}"/>
    <cellStyle name="SAPBEXstdItemX 9 2 5" xfId="60964" xr:uid="{00000000-0005-0000-0000-000022EE0000}"/>
    <cellStyle name="SAPBEXstdItemX 9 3" xfId="60965" xr:uid="{00000000-0005-0000-0000-000023EE0000}"/>
    <cellStyle name="SAPBEXstdItemX 9 3 2" xfId="60966" xr:uid="{00000000-0005-0000-0000-000024EE0000}"/>
    <cellStyle name="SAPBEXstdItemX 9 4" xfId="60967" xr:uid="{00000000-0005-0000-0000-000025EE0000}"/>
    <cellStyle name="SAPBEXstdItemX 9 4 2" xfId="60968" xr:uid="{00000000-0005-0000-0000-000026EE0000}"/>
    <cellStyle name="SAPBEXstdItemX 9 4 3" xfId="60969" xr:uid="{00000000-0005-0000-0000-000027EE0000}"/>
    <cellStyle name="SAPBEXstdItemX 9 5" xfId="60970" xr:uid="{00000000-0005-0000-0000-000028EE0000}"/>
    <cellStyle name="SAPBEXstdItemX 9 6" xfId="60971" xr:uid="{00000000-0005-0000-0000-000029EE0000}"/>
    <cellStyle name="SAPBEXtitle" xfId="60972" xr:uid="{00000000-0005-0000-0000-00002AEE0000}"/>
    <cellStyle name="SAPBEXtitle 10" xfId="60973" xr:uid="{00000000-0005-0000-0000-00002BEE0000}"/>
    <cellStyle name="SAPBEXtitle 10 2" xfId="60974" xr:uid="{00000000-0005-0000-0000-00002CEE0000}"/>
    <cellStyle name="SAPBEXtitle 10 2 2" xfId="60975" xr:uid="{00000000-0005-0000-0000-00002DEE0000}"/>
    <cellStyle name="SAPBEXtitle 10 3" xfId="60976" xr:uid="{00000000-0005-0000-0000-00002EEE0000}"/>
    <cellStyle name="SAPBEXtitle 11" xfId="60977" xr:uid="{00000000-0005-0000-0000-00002FEE0000}"/>
    <cellStyle name="SAPBEXtitle 11 2" xfId="60978" xr:uid="{00000000-0005-0000-0000-000030EE0000}"/>
    <cellStyle name="SAPBEXtitle 11 2 2" xfId="60979" xr:uid="{00000000-0005-0000-0000-000031EE0000}"/>
    <cellStyle name="SAPBEXtitle 11 3" xfId="60980" xr:uid="{00000000-0005-0000-0000-000032EE0000}"/>
    <cellStyle name="SAPBEXtitle 12" xfId="60981" xr:uid="{00000000-0005-0000-0000-000033EE0000}"/>
    <cellStyle name="SAPBEXtitle 12 2" xfId="60982" xr:uid="{00000000-0005-0000-0000-000034EE0000}"/>
    <cellStyle name="SAPBEXtitle 12 2 2" xfId="60983" xr:uid="{00000000-0005-0000-0000-000035EE0000}"/>
    <cellStyle name="SAPBEXtitle 12 3" xfId="60984" xr:uid="{00000000-0005-0000-0000-000036EE0000}"/>
    <cellStyle name="SAPBEXtitle 13" xfId="60985" xr:uid="{00000000-0005-0000-0000-000037EE0000}"/>
    <cellStyle name="SAPBEXtitle 14" xfId="60986" xr:uid="{00000000-0005-0000-0000-000038EE0000}"/>
    <cellStyle name="SAPBEXtitle 2" xfId="60987" xr:uid="{00000000-0005-0000-0000-000039EE0000}"/>
    <cellStyle name="SAPBEXtitle 2 2" xfId="60988" xr:uid="{00000000-0005-0000-0000-00003AEE0000}"/>
    <cellStyle name="SAPBEXtitle 2 2 2" xfId="60989" xr:uid="{00000000-0005-0000-0000-00003BEE0000}"/>
    <cellStyle name="SAPBEXtitle 2 3" xfId="60990" xr:uid="{00000000-0005-0000-0000-00003CEE0000}"/>
    <cellStyle name="SAPBEXtitle 3" xfId="60991" xr:uid="{00000000-0005-0000-0000-00003DEE0000}"/>
    <cellStyle name="SAPBEXtitle 3 2" xfId="60992" xr:uid="{00000000-0005-0000-0000-00003EEE0000}"/>
    <cellStyle name="SAPBEXtitle 3 2 2" xfId="60993" xr:uid="{00000000-0005-0000-0000-00003FEE0000}"/>
    <cellStyle name="SAPBEXtitle 3 3" xfId="60994" xr:uid="{00000000-0005-0000-0000-000040EE0000}"/>
    <cellStyle name="SAPBEXtitle 4" xfId="60995" xr:uid="{00000000-0005-0000-0000-000041EE0000}"/>
    <cellStyle name="SAPBEXtitle 4 2" xfId="60996" xr:uid="{00000000-0005-0000-0000-000042EE0000}"/>
    <cellStyle name="SAPBEXtitle 4 2 2" xfId="60997" xr:uid="{00000000-0005-0000-0000-000043EE0000}"/>
    <cellStyle name="SAPBEXtitle 4 3" xfId="60998" xr:uid="{00000000-0005-0000-0000-000044EE0000}"/>
    <cellStyle name="SAPBEXtitle 5" xfId="60999" xr:uid="{00000000-0005-0000-0000-000045EE0000}"/>
    <cellStyle name="SAPBEXtitle 5 2" xfId="61000" xr:uid="{00000000-0005-0000-0000-000046EE0000}"/>
    <cellStyle name="SAPBEXtitle 5 2 2" xfId="61001" xr:uid="{00000000-0005-0000-0000-000047EE0000}"/>
    <cellStyle name="SAPBEXtitle 5 3" xfId="61002" xr:uid="{00000000-0005-0000-0000-000048EE0000}"/>
    <cellStyle name="SAPBEXtitle 6" xfId="61003" xr:uid="{00000000-0005-0000-0000-000049EE0000}"/>
    <cellStyle name="SAPBEXtitle 6 2" xfId="61004" xr:uid="{00000000-0005-0000-0000-00004AEE0000}"/>
    <cellStyle name="SAPBEXtitle 6 2 2" xfId="61005" xr:uid="{00000000-0005-0000-0000-00004BEE0000}"/>
    <cellStyle name="SAPBEXtitle 6 3" xfId="61006" xr:uid="{00000000-0005-0000-0000-00004CEE0000}"/>
    <cellStyle name="SAPBEXtitle 7" xfId="61007" xr:uid="{00000000-0005-0000-0000-00004DEE0000}"/>
    <cellStyle name="SAPBEXtitle 7 2" xfId="61008" xr:uid="{00000000-0005-0000-0000-00004EEE0000}"/>
    <cellStyle name="SAPBEXtitle 7 2 2" xfId="61009" xr:uid="{00000000-0005-0000-0000-00004FEE0000}"/>
    <cellStyle name="SAPBEXtitle 7 3" xfId="61010" xr:uid="{00000000-0005-0000-0000-000050EE0000}"/>
    <cellStyle name="SAPBEXtitle 8" xfId="61011" xr:uid="{00000000-0005-0000-0000-000051EE0000}"/>
    <cellStyle name="SAPBEXtitle 8 2" xfId="61012" xr:uid="{00000000-0005-0000-0000-000052EE0000}"/>
    <cellStyle name="SAPBEXtitle 8 2 2" xfId="61013" xr:uid="{00000000-0005-0000-0000-000053EE0000}"/>
    <cellStyle name="SAPBEXtitle 8 3" xfId="61014" xr:uid="{00000000-0005-0000-0000-000054EE0000}"/>
    <cellStyle name="SAPBEXtitle 9" xfId="61015" xr:uid="{00000000-0005-0000-0000-000055EE0000}"/>
    <cellStyle name="SAPBEXtitle 9 2" xfId="61016" xr:uid="{00000000-0005-0000-0000-000056EE0000}"/>
    <cellStyle name="SAPBEXtitle 9 2 2" xfId="61017" xr:uid="{00000000-0005-0000-0000-000057EE0000}"/>
    <cellStyle name="SAPBEXtitle 9 3" xfId="61018" xr:uid="{00000000-0005-0000-0000-000058EE0000}"/>
    <cellStyle name="SAPBEXunassignedItem" xfId="61019" xr:uid="{00000000-0005-0000-0000-000059EE0000}"/>
    <cellStyle name="SAPBEXunassignedItem 2" xfId="61020" xr:uid="{00000000-0005-0000-0000-00005AEE0000}"/>
    <cellStyle name="SAPBEXunassignedItem 2 2" xfId="61021" xr:uid="{00000000-0005-0000-0000-00005BEE0000}"/>
    <cellStyle name="SAPBEXunassignedItem 2 2 2" xfId="61022" xr:uid="{00000000-0005-0000-0000-00005CEE0000}"/>
    <cellStyle name="SAPBEXunassignedItem 2 3" xfId="61023" xr:uid="{00000000-0005-0000-0000-00005DEE0000}"/>
    <cellStyle name="SAPBEXunassignedItem 2 3 2" xfId="61024" xr:uid="{00000000-0005-0000-0000-00005EEE0000}"/>
    <cellStyle name="SAPBEXunassignedItem 2 3 3" xfId="61025" xr:uid="{00000000-0005-0000-0000-00005FEE0000}"/>
    <cellStyle name="SAPBEXunassignedItem 2 4" xfId="61026" xr:uid="{00000000-0005-0000-0000-000060EE0000}"/>
    <cellStyle name="SAPBEXunassignedItem 2 5" xfId="61027" xr:uid="{00000000-0005-0000-0000-000061EE0000}"/>
    <cellStyle name="SAPBEXunassignedItem 3" xfId="61028" xr:uid="{00000000-0005-0000-0000-000062EE0000}"/>
    <cellStyle name="SAPBEXunassignedItem 3 2" xfId="61029" xr:uid="{00000000-0005-0000-0000-000063EE0000}"/>
    <cellStyle name="SAPBEXunassignedItem 4" xfId="61030" xr:uid="{00000000-0005-0000-0000-000064EE0000}"/>
    <cellStyle name="SAPBEXunassignedItem 4 2" xfId="61031" xr:uid="{00000000-0005-0000-0000-000065EE0000}"/>
    <cellStyle name="SAPBEXunassignedItem 4 3" xfId="61032" xr:uid="{00000000-0005-0000-0000-000066EE0000}"/>
    <cellStyle name="SAPBEXunassignedItem 5" xfId="61033" xr:uid="{00000000-0005-0000-0000-000067EE0000}"/>
    <cellStyle name="SAPBEXunassignedItem 6" xfId="61034" xr:uid="{00000000-0005-0000-0000-000068EE0000}"/>
    <cellStyle name="SAPBEXundefined" xfId="61035" xr:uid="{00000000-0005-0000-0000-000069EE0000}"/>
    <cellStyle name="SAPBEXundefined 10" xfId="61036" xr:uid="{00000000-0005-0000-0000-00006AEE0000}"/>
    <cellStyle name="SAPBEXundefined 10 2" xfId="61037" xr:uid="{00000000-0005-0000-0000-00006BEE0000}"/>
    <cellStyle name="SAPBEXundefined 10 2 2" xfId="61038" xr:uid="{00000000-0005-0000-0000-00006CEE0000}"/>
    <cellStyle name="SAPBEXundefined 10 3" xfId="61039" xr:uid="{00000000-0005-0000-0000-00006DEE0000}"/>
    <cellStyle name="SAPBEXundefined 11" xfId="61040" xr:uid="{00000000-0005-0000-0000-00006EEE0000}"/>
    <cellStyle name="SAPBEXundefined 11 2" xfId="61041" xr:uid="{00000000-0005-0000-0000-00006FEE0000}"/>
    <cellStyle name="SAPBEXundefined 11 2 2" xfId="61042" xr:uid="{00000000-0005-0000-0000-000070EE0000}"/>
    <cellStyle name="SAPBEXundefined 11 3" xfId="61043" xr:uid="{00000000-0005-0000-0000-000071EE0000}"/>
    <cellStyle name="SAPBEXundefined 12" xfId="61044" xr:uid="{00000000-0005-0000-0000-000072EE0000}"/>
    <cellStyle name="SAPBEXundefined 12 2" xfId="61045" xr:uid="{00000000-0005-0000-0000-000073EE0000}"/>
    <cellStyle name="SAPBEXundefined 12 2 2" xfId="61046" xr:uid="{00000000-0005-0000-0000-000074EE0000}"/>
    <cellStyle name="SAPBEXundefined 12 3" xfId="61047" xr:uid="{00000000-0005-0000-0000-000075EE0000}"/>
    <cellStyle name="SAPBEXundefined 13" xfId="61048" xr:uid="{00000000-0005-0000-0000-000076EE0000}"/>
    <cellStyle name="SAPBEXundefined 13 2" xfId="61049" xr:uid="{00000000-0005-0000-0000-000077EE0000}"/>
    <cellStyle name="SAPBEXundefined 14" xfId="61050" xr:uid="{00000000-0005-0000-0000-000078EE0000}"/>
    <cellStyle name="SAPBEXundefined 2" xfId="61051" xr:uid="{00000000-0005-0000-0000-000079EE0000}"/>
    <cellStyle name="SAPBEXundefined 2 2" xfId="61052" xr:uid="{00000000-0005-0000-0000-00007AEE0000}"/>
    <cellStyle name="SAPBEXundefined 2 2 2" xfId="61053" xr:uid="{00000000-0005-0000-0000-00007BEE0000}"/>
    <cellStyle name="SAPBEXundefined 2 3" xfId="61054" xr:uid="{00000000-0005-0000-0000-00007CEE0000}"/>
    <cellStyle name="SAPBEXundefined 3" xfId="61055" xr:uid="{00000000-0005-0000-0000-00007DEE0000}"/>
    <cellStyle name="SAPBEXundefined 3 2" xfId="61056" xr:uid="{00000000-0005-0000-0000-00007EEE0000}"/>
    <cellStyle name="SAPBEXundefined 3 2 2" xfId="61057" xr:uid="{00000000-0005-0000-0000-00007FEE0000}"/>
    <cellStyle name="SAPBEXundefined 3 3" xfId="61058" xr:uid="{00000000-0005-0000-0000-000080EE0000}"/>
    <cellStyle name="SAPBEXundefined 4" xfId="61059" xr:uid="{00000000-0005-0000-0000-000081EE0000}"/>
    <cellStyle name="SAPBEXundefined 4 2" xfId="61060" xr:uid="{00000000-0005-0000-0000-000082EE0000}"/>
    <cellStyle name="SAPBEXundefined 4 2 2" xfId="61061" xr:uid="{00000000-0005-0000-0000-000083EE0000}"/>
    <cellStyle name="SAPBEXundefined 4 3" xfId="61062" xr:uid="{00000000-0005-0000-0000-000084EE0000}"/>
    <cellStyle name="SAPBEXundefined 5" xfId="61063" xr:uid="{00000000-0005-0000-0000-000085EE0000}"/>
    <cellStyle name="SAPBEXundefined 5 2" xfId="61064" xr:uid="{00000000-0005-0000-0000-000086EE0000}"/>
    <cellStyle name="SAPBEXundefined 5 2 2" xfId="61065" xr:uid="{00000000-0005-0000-0000-000087EE0000}"/>
    <cellStyle name="SAPBEXundefined 5 3" xfId="61066" xr:uid="{00000000-0005-0000-0000-000088EE0000}"/>
    <cellStyle name="SAPBEXundefined 6" xfId="61067" xr:uid="{00000000-0005-0000-0000-000089EE0000}"/>
    <cellStyle name="SAPBEXundefined 6 2" xfId="61068" xr:uid="{00000000-0005-0000-0000-00008AEE0000}"/>
    <cellStyle name="SAPBEXundefined 6 2 2" xfId="61069" xr:uid="{00000000-0005-0000-0000-00008BEE0000}"/>
    <cellStyle name="SAPBEXundefined 6 3" xfId="61070" xr:uid="{00000000-0005-0000-0000-00008CEE0000}"/>
    <cellStyle name="SAPBEXundefined 7" xfId="61071" xr:uid="{00000000-0005-0000-0000-00008DEE0000}"/>
    <cellStyle name="SAPBEXundefined 7 2" xfId="61072" xr:uid="{00000000-0005-0000-0000-00008EEE0000}"/>
    <cellStyle name="SAPBEXundefined 7 2 2" xfId="61073" xr:uid="{00000000-0005-0000-0000-00008FEE0000}"/>
    <cellStyle name="SAPBEXundefined 7 3" xfId="61074" xr:uid="{00000000-0005-0000-0000-000090EE0000}"/>
    <cellStyle name="SAPBEXundefined 8" xfId="61075" xr:uid="{00000000-0005-0000-0000-000091EE0000}"/>
    <cellStyle name="SAPBEXundefined 8 2" xfId="61076" xr:uid="{00000000-0005-0000-0000-000092EE0000}"/>
    <cellStyle name="SAPBEXundefined 8 2 2" xfId="61077" xr:uid="{00000000-0005-0000-0000-000093EE0000}"/>
    <cellStyle name="SAPBEXundefined 8 3" xfId="61078" xr:uid="{00000000-0005-0000-0000-000094EE0000}"/>
    <cellStyle name="SAPBEXundefined 9" xfId="61079" xr:uid="{00000000-0005-0000-0000-000095EE0000}"/>
    <cellStyle name="SAPBEXundefined 9 2" xfId="61080" xr:uid="{00000000-0005-0000-0000-000096EE0000}"/>
    <cellStyle name="SAPBEXundefined 9 2 2" xfId="61081" xr:uid="{00000000-0005-0000-0000-000097EE0000}"/>
    <cellStyle name="SAPBEXundefined 9 3" xfId="61082" xr:uid="{00000000-0005-0000-0000-000098EE0000}"/>
    <cellStyle name="SAPError" xfId="61083" xr:uid="{00000000-0005-0000-0000-000099EE0000}"/>
    <cellStyle name="SAPError 10" xfId="61084" xr:uid="{00000000-0005-0000-0000-00009AEE0000}"/>
    <cellStyle name="SAPError 11" xfId="61085" xr:uid="{00000000-0005-0000-0000-00009BEE0000}"/>
    <cellStyle name="SAPError 2" xfId="61086" xr:uid="{00000000-0005-0000-0000-00009CEE0000}"/>
    <cellStyle name="SAPError 2 2" xfId="61087" xr:uid="{00000000-0005-0000-0000-00009DEE0000}"/>
    <cellStyle name="SAPError 3" xfId="61088" xr:uid="{00000000-0005-0000-0000-00009EEE0000}"/>
    <cellStyle name="SAPError 4" xfId="61089" xr:uid="{00000000-0005-0000-0000-00009FEE0000}"/>
    <cellStyle name="SAPError 5" xfId="61090" xr:uid="{00000000-0005-0000-0000-0000A0EE0000}"/>
    <cellStyle name="SAPError 6" xfId="61091" xr:uid="{00000000-0005-0000-0000-0000A1EE0000}"/>
    <cellStyle name="SAPError 7" xfId="61092" xr:uid="{00000000-0005-0000-0000-0000A2EE0000}"/>
    <cellStyle name="SAPError 8" xfId="61093" xr:uid="{00000000-0005-0000-0000-0000A3EE0000}"/>
    <cellStyle name="SAPError 9" xfId="61094" xr:uid="{00000000-0005-0000-0000-0000A4EE0000}"/>
    <cellStyle name="SAPKey" xfId="61095" xr:uid="{00000000-0005-0000-0000-0000A5EE0000}"/>
    <cellStyle name="SAPKey 10" xfId="61096" xr:uid="{00000000-0005-0000-0000-0000A6EE0000}"/>
    <cellStyle name="SAPKey 11" xfId="61097" xr:uid="{00000000-0005-0000-0000-0000A7EE0000}"/>
    <cellStyle name="SAPKey 2" xfId="61098" xr:uid="{00000000-0005-0000-0000-0000A8EE0000}"/>
    <cellStyle name="SAPKey 2 2" xfId="61099" xr:uid="{00000000-0005-0000-0000-0000A9EE0000}"/>
    <cellStyle name="SAPKey 3" xfId="61100" xr:uid="{00000000-0005-0000-0000-0000AAEE0000}"/>
    <cellStyle name="SAPKey 4" xfId="61101" xr:uid="{00000000-0005-0000-0000-0000ABEE0000}"/>
    <cellStyle name="SAPKey 5" xfId="61102" xr:uid="{00000000-0005-0000-0000-0000ACEE0000}"/>
    <cellStyle name="SAPKey 6" xfId="61103" xr:uid="{00000000-0005-0000-0000-0000ADEE0000}"/>
    <cellStyle name="SAPKey 7" xfId="61104" xr:uid="{00000000-0005-0000-0000-0000AEEE0000}"/>
    <cellStyle name="SAPKey 8" xfId="61105" xr:uid="{00000000-0005-0000-0000-0000AFEE0000}"/>
    <cellStyle name="SAPKey 9" xfId="61106" xr:uid="{00000000-0005-0000-0000-0000B0EE0000}"/>
    <cellStyle name="SAPLocked" xfId="61107" xr:uid="{00000000-0005-0000-0000-0000B1EE0000}"/>
    <cellStyle name="SAPLocked 10" xfId="61108" xr:uid="{00000000-0005-0000-0000-0000B2EE0000}"/>
    <cellStyle name="SAPLocked 11" xfId="61109" xr:uid="{00000000-0005-0000-0000-0000B3EE0000}"/>
    <cellStyle name="SAPLocked 2" xfId="61110" xr:uid="{00000000-0005-0000-0000-0000B4EE0000}"/>
    <cellStyle name="SAPLocked 2 2" xfId="61111" xr:uid="{00000000-0005-0000-0000-0000B5EE0000}"/>
    <cellStyle name="SAPLocked 3" xfId="61112" xr:uid="{00000000-0005-0000-0000-0000B6EE0000}"/>
    <cellStyle name="SAPLocked 4" xfId="61113" xr:uid="{00000000-0005-0000-0000-0000B7EE0000}"/>
    <cellStyle name="SAPLocked 5" xfId="61114" xr:uid="{00000000-0005-0000-0000-0000B8EE0000}"/>
    <cellStyle name="SAPLocked 6" xfId="61115" xr:uid="{00000000-0005-0000-0000-0000B9EE0000}"/>
    <cellStyle name="SAPLocked 7" xfId="61116" xr:uid="{00000000-0005-0000-0000-0000BAEE0000}"/>
    <cellStyle name="SAPLocked 8" xfId="61117" xr:uid="{00000000-0005-0000-0000-0000BBEE0000}"/>
    <cellStyle name="SAPLocked 9" xfId="61118" xr:uid="{00000000-0005-0000-0000-0000BCEE0000}"/>
    <cellStyle name="SAPOutput" xfId="61119" xr:uid="{00000000-0005-0000-0000-0000BDEE0000}"/>
    <cellStyle name="SAPOutput 10" xfId="61120" xr:uid="{00000000-0005-0000-0000-0000BEEE0000}"/>
    <cellStyle name="SAPOutput 11" xfId="61121" xr:uid="{00000000-0005-0000-0000-0000BFEE0000}"/>
    <cellStyle name="SAPOutput 2" xfId="61122" xr:uid="{00000000-0005-0000-0000-0000C0EE0000}"/>
    <cellStyle name="SAPOutput 2 2" xfId="61123" xr:uid="{00000000-0005-0000-0000-0000C1EE0000}"/>
    <cellStyle name="SAPOutput 3" xfId="61124" xr:uid="{00000000-0005-0000-0000-0000C2EE0000}"/>
    <cellStyle name="SAPOutput 4" xfId="61125" xr:uid="{00000000-0005-0000-0000-0000C3EE0000}"/>
    <cellStyle name="SAPOutput 5" xfId="61126" xr:uid="{00000000-0005-0000-0000-0000C4EE0000}"/>
    <cellStyle name="SAPOutput 6" xfId="61127" xr:uid="{00000000-0005-0000-0000-0000C5EE0000}"/>
    <cellStyle name="SAPOutput 7" xfId="61128" xr:uid="{00000000-0005-0000-0000-0000C6EE0000}"/>
    <cellStyle name="SAPOutput 8" xfId="61129" xr:uid="{00000000-0005-0000-0000-0000C7EE0000}"/>
    <cellStyle name="SAPOutput 9" xfId="61130" xr:uid="{00000000-0005-0000-0000-0000C8EE0000}"/>
    <cellStyle name="SAPSpace" xfId="61131" xr:uid="{00000000-0005-0000-0000-0000C9EE0000}"/>
    <cellStyle name="SAPSpace 10" xfId="61132" xr:uid="{00000000-0005-0000-0000-0000CAEE0000}"/>
    <cellStyle name="SAPSpace 11" xfId="61133" xr:uid="{00000000-0005-0000-0000-0000CBEE0000}"/>
    <cellStyle name="SAPSpace 2" xfId="61134" xr:uid="{00000000-0005-0000-0000-0000CCEE0000}"/>
    <cellStyle name="SAPSpace 2 2" xfId="61135" xr:uid="{00000000-0005-0000-0000-0000CDEE0000}"/>
    <cellStyle name="SAPSpace 3" xfId="61136" xr:uid="{00000000-0005-0000-0000-0000CEEE0000}"/>
    <cellStyle name="SAPSpace 4" xfId="61137" xr:uid="{00000000-0005-0000-0000-0000CFEE0000}"/>
    <cellStyle name="SAPSpace 5" xfId="61138" xr:uid="{00000000-0005-0000-0000-0000D0EE0000}"/>
    <cellStyle name="SAPSpace 6" xfId="61139" xr:uid="{00000000-0005-0000-0000-0000D1EE0000}"/>
    <cellStyle name="SAPSpace 7" xfId="61140" xr:uid="{00000000-0005-0000-0000-0000D2EE0000}"/>
    <cellStyle name="SAPSpace 8" xfId="61141" xr:uid="{00000000-0005-0000-0000-0000D3EE0000}"/>
    <cellStyle name="SAPSpace 9" xfId="61142" xr:uid="{00000000-0005-0000-0000-0000D4EE0000}"/>
    <cellStyle name="SAPText" xfId="61143" xr:uid="{00000000-0005-0000-0000-0000D5EE0000}"/>
    <cellStyle name="SAPText 10" xfId="61144" xr:uid="{00000000-0005-0000-0000-0000D6EE0000}"/>
    <cellStyle name="SAPText 11" xfId="61145" xr:uid="{00000000-0005-0000-0000-0000D7EE0000}"/>
    <cellStyle name="SAPText 2" xfId="61146" xr:uid="{00000000-0005-0000-0000-0000D8EE0000}"/>
    <cellStyle name="SAPText 2 2" xfId="61147" xr:uid="{00000000-0005-0000-0000-0000D9EE0000}"/>
    <cellStyle name="SAPText 3" xfId="61148" xr:uid="{00000000-0005-0000-0000-0000DAEE0000}"/>
    <cellStyle name="SAPText 4" xfId="61149" xr:uid="{00000000-0005-0000-0000-0000DBEE0000}"/>
    <cellStyle name="SAPText 5" xfId="61150" xr:uid="{00000000-0005-0000-0000-0000DCEE0000}"/>
    <cellStyle name="SAPText 6" xfId="61151" xr:uid="{00000000-0005-0000-0000-0000DDEE0000}"/>
    <cellStyle name="SAPText 7" xfId="61152" xr:uid="{00000000-0005-0000-0000-0000DEEE0000}"/>
    <cellStyle name="SAPText 8" xfId="61153" xr:uid="{00000000-0005-0000-0000-0000DFEE0000}"/>
    <cellStyle name="SAPText 9" xfId="61154" xr:uid="{00000000-0005-0000-0000-0000E0EE0000}"/>
    <cellStyle name="SAPUnLocked" xfId="61155" xr:uid="{00000000-0005-0000-0000-0000E1EE0000}"/>
    <cellStyle name="SAPUnLocked 10" xfId="61156" xr:uid="{00000000-0005-0000-0000-0000E2EE0000}"/>
    <cellStyle name="SAPUnLocked 11" xfId="61157" xr:uid="{00000000-0005-0000-0000-0000E3EE0000}"/>
    <cellStyle name="SAPUnLocked 2" xfId="61158" xr:uid="{00000000-0005-0000-0000-0000E4EE0000}"/>
    <cellStyle name="SAPUnLocked 2 2" xfId="61159" xr:uid="{00000000-0005-0000-0000-0000E5EE0000}"/>
    <cellStyle name="SAPUnLocked 3" xfId="61160" xr:uid="{00000000-0005-0000-0000-0000E6EE0000}"/>
    <cellStyle name="SAPUnLocked 4" xfId="61161" xr:uid="{00000000-0005-0000-0000-0000E7EE0000}"/>
    <cellStyle name="SAPUnLocked 5" xfId="61162" xr:uid="{00000000-0005-0000-0000-0000E8EE0000}"/>
    <cellStyle name="SAPUnLocked 6" xfId="61163" xr:uid="{00000000-0005-0000-0000-0000E9EE0000}"/>
    <cellStyle name="SAPUnLocked 7" xfId="61164" xr:uid="{00000000-0005-0000-0000-0000EAEE0000}"/>
    <cellStyle name="SAPUnLocked 8" xfId="61165" xr:uid="{00000000-0005-0000-0000-0000EBEE0000}"/>
    <cellStyle name="SAPUnLocked 9" xfId="61166" xr:uid="{00000000-0005-0000-0000-0000ECEE0000}"/>
    <cellStyle name="Satisfaisant" xfId="61167" xr:uid="{00000000-0005-0000-0000-0000EDEE0000}"/>
    <cellStyle name="Satisfaisant 2" xfId="61168" xr:uid="{00000000-0005-0000-0000-0000EEEE0000}"/>
    <cellStyle name="Satisfaisant 2 2" xfId="61169" xr:uid="{00000000-0005-0000-0000-0000EFEE0000}"/>
    <cellStyle name="Satisfaisant 3" xfId="61170" xr:uid="{00000000-0005-0000-0000-0000F0EE0000}"/>
    <cellStyle name="ScotchRule" xfId="61171" xr:uid="{00000000-0005-0000-0000-0000F1EE0000}"/>
    <cellStyle name="ScotchRule 2" xfId="61172" xr:uid="{00000000-0005-0000-0000-0000F2EE0000}"/>
    <cellStyle name="ScotchRule 2 2" xfId="61173" xr:uid="{00000000-0005-0000-0000-0000F3EE0000}"/>
    <cellStyle name="ScotchRule 2 2 2" xfId="61174" xr:uid="{00000000-0005-0000-0000-0000F4EE0000}"/>
    <cellStyle name="ScotchRule 2 2 2 2" xfId="61175" xr:uid="{00000000-0005-0000-0000-0000F5EE0000}"/>
    <cellStyle name="ScotchRule 2 2 3" xfId="61176" xr:uid="{00000000-0005-0000-0000-0000F6EE0000}"/>
    <cellStyle name="ScotchRule 2 2 4" xfId="61177" xr:uid="{00000000-0005-0000-0000-0000F7EE0000}"/>
    <cellStyle name="ScotchRule 2 3" xfId="61178" xr:uid="{00000000-0005-0000-0000-0000F8EE0000}"/>
    <cellStyle name="ScotchRule 2 3 2" xfId="61179" xr:uid="{00000000-0005-0000-0000-0000F9EE0000}"/>
    <cellStyle name="ScotchRule 2 3 2 2" xfId="61180" xr:uid="{00000000-0005-0000-0000-0000FAEE0000}"/>
    <cellStyle name="ScotchRule 2 3 3" xfId="61181" xr:uid="{00000000-0005-0000-0000-0000FBEE0000}"/>
    <cellStyle name="ScotchRule 2 3 4" xfId="61182" xr:uid="{00000000-0005-0000-0000-0000FCEE0000}"/>
    <cellStyle name="ScotchRule 2 4" xfId="61183" xr:uid="{00000000-0005-0000-0000-0000FDEE0000}"/>
    <cellStyle name="ScotchRule 2 4 2" xfId="61184" xr:uid="{00000000-0005-0000-0000-0000FEEE0000}"/>
    <cellStyle name="ScotchRule 2 5" xfId="61185" xr:uid="{00000000-0005-0000-0000-0000FFEE0000}"/>
    <cellStyle name="ScotchRule 2 6" xfId="61186" xr:uid="{00000000-0005-0000-0000-000000EF0000}"/>
    <cellStyle name="ScotchRule 3" xfId="61187" xr:uid="{00000000-0005-0000-0000-000001EF0000}"/>
    <cellStyle name="ScotchRule 3 2" xfId="61188" xr:uid="{00000000-0005-0000-0000-000002EF0000}"/>
    <cellStyle name="ScotchRule 3 2 2" xfId="61189" xr:uid="{00000000-0005-0000-0000-000003EF0000}"/>
    <cellStyle name="ScotchRule 3 3" xfId="61190" xr:uid="{00000000-0005-0000-0000-000004EF0000}"/>
    <cellStyle name="ScotchRule 3 4" xfId="61191" xr:uid="{00000000-0005-0000-0000-000005EF0000}"/>
    <cellStyle name="ScotchRule 4" xfId="61192" xr:uid="{00000000-0005-0000-0000-000006EF0000}"/>
    <cellStyle name="ScotchRule 4 2" xfId="61193" xr:uid="{00000000-0005-0000-0000-000007EF0000}"/>
    <cellStyle name="ScotchRule 5" xfId="61194" xr:uid="{00000000-0005-0000-0000-000008EF0000}"/>
    <cellStyle name="Section Title" xfId="61195" xr:uid="{00000000-0005-0000-0000-000009EF0000}"/>
    <cellStyle name="Section Title 2" xfId="61196" xr:uid="{00000000-0005-0000-0000-00000AEF0000}"/>
    <cellStyle name="Section Title 2 2" xfId="61197" xr:uid="{00000000-0005-0000-0000-00000BEF0000}"/>
    <cellStyle name="Section Title 3" xfId="61198" xr:uid="{00000000-0005-0000-0000-00000CEF0000}"/>
    <cellStyle name="SEM-BPS-sub1" xfId="61199" xr:uid="{00000000-0005-0000-0000-00000DEF0000}"/>
    <cellStyle name="SEM-BPS-sub1 2" xfId="61200" xr:uid="{00000000-0005-0000-0000-00000EEF0000}"/>
    <cellStyle name="SEM-BPS-sub1 2 2" xfId="61201" xr:uid="{00000000-0005-0000-0000-00000FEF0000}"/>
    <cellStyle name="SEM-BPS-sub1 3" xfId="61202" xr:uid="{00000000-0005-0000-0000-000010EF0000}"/>
    <cellStyle name="Sep. milhar [0]" xfId="61203" xr:uid="{00000000-0005-0000-0000-000011EF0000}"/>
    <cellStyle name="Separador de milhares 2" xfId="61204" xr:uid="{00000000-0005-0000-0000-000013EF0000}"/>
    <cellStyle name="Separador de milhares 2 2" xfId="5" xr:uid="{00000000-0005-0000-0000-000014EF0000}"/>
    <cellStyle name="shade" xfId="61205" xr:uid="{00000000-0005-0000-0000-000015EF0000}"/>
    <cellStyle name="shade 2" xfId="61206" xr:uid="{00000000-0005-0000-0000-000016EF0000}"/>
    <cellStyle name="shade 2 2" xfId="61207" xr:uid="{00000000-0005-0000-0000-000017EF0000}"/>
    <cellStyle name="shade 3" xfId="61208" xr:uid="{00000000-0005-0000-0000-000018EF0000}"/>
    <cellStyle name="SHADEDSTORES" xfId="61209" xr:uid="{00000000-0005-0000-0000-000019EF0000}"/>
    <cellStyle name="SHADEDSTORES 2" xfId="61210" xr:uid="{00000000-0005-0000-0000-00001AEF0000}"/>
    <cellStyle name="SHADEDSTORES 2 2" xfId="61211" xr:uid="{00000000-0005-0000-0000-00001BEF0000}"/>
    <cellStyle name="SHADEDSTORES 2 2 2" xfId="61212" xr:uid="{00000000-0005-0000-0000-00001CEF0000}"/>
    <cellStyle name="SHADEDSTORES 2 3" xfId="61213" xr:uid="{00000000-0005-0000-0000-00001DEF0000}"/>
    <cellStyle name="SHADEDSTORES 2 3 2" xfId="61214" xr:uid="{00000000-0005-0000-0000-00001EEF0000}"/>
    <cellStyle name="SHADEDSTORES 2 3 3" xfId="61215" xr:uid="{00000000-0005-0000-0000-00001FEF0000}"/>
    <cellStyle name="SHADEDSTORES 2 4" xfId="61216" xr:uid="{00000000-0005-0000-0000-000020EF0000}"/>
    <cellStyle name="SHADEDSTORES 2 5" xfId="61217" xr:uid="{00000000-0005-0000-0000-000021EF0000}"/>
    <cellStyle name="SHADEDSTORES 3" xfId="61218" xr:uid="{00000000-0005-0000-0000-000022EF0000}"/>
    <cellStyle name="SHADEDSTORES 3 2" xfId="61219" xr:uid="{00000000-0005-0000-0000-000023EF0000}"/>
    <cellStyle name="SHADEDSTORES 3 2 2" xfId="61220" xr:uid="{00000000-0005-0000-0000-000024EF0000}"/>
    <cellStyle name="SHADEDSTORES 3 3" xfId="61221" xr:uid="{00000000-0005-0000-0000-000025EF0000}"/>
    <cellStyle name="SHADEDSTORES 3 3 2" xfId="61222" xr:uid="{00000000-0005-0000-0000-000026EF0000}"/>
    <cellStyle name="SHADEDSTORES 3 3 3" xfId="61223" xr:uid="{00000000-0005-0000-0000-000027EF0000}"/>
    <cellStyle name="SHADEDSTORES 3 4" xfId="61224" xr:uid="{00000000-0005-0000-0000-000028EF0000}"/>
    <cellStyle name="SHADEDSTORES 3 5" xfId="61225" xr:uid="{00000000-0005-0000-0000-000029EF0000}"/>
    <cellStyle name="SHADEDSTORES 4" xfId="61226" xr:uid="{00000000-0005-0000-0000-00002AEF0000}"/>
    <cellStyle name="SHADEDSTORES 4 2" xfId="61227" xr:uid="{00000000-0005-0000-0000-00002BEF0000}"/>
    <cellStyle name="SHADEDSTORES 5" xfId="61228" xr:uid="{00000000-0005-0000-0000-00002CEF0000}"/>
    <cellStyle name="SHADEDSTORES 5 2" xfId="61229" xr:uid="{00000000-0005-0000-0000-00002DEF0000}"/>
    <cellStyle name="SHADEDSTORES 5 3" xfId="61230" xr:uid="{00000000-0005-0000-0000-00002EEF0000}"/>
    <cellStyle name="SHADEDSTORES 6" xfId="61231" xr:uid="{00000000-0005-0000-0000-00002FEF0000}"/>
    <cellStyle name="SHADEDSTORES 7" xfId="61232" xr:uid="{00000000-0005-0000-0000-000030EF0000}"/>
    <cellStyle name="Shares" xfId="61233" xr:uid="{00000000-0005-0000-0000-000031EF0000}"/>
    <cellStyle name="sharesout" xfId="61234" xr:uid="{00000000-0005-0000-0000-000032EF0000}"/>
    <cellStyle name="sharesout 2" xfId="61235" xr:uid="{00000000-0005-0000-0000-000033EF0000}"/>
    <cellStyle name="sharesout 2 2" xfId="61236" xr:uid="{00000000-0005-0000-0000-000034EF0000}"/>
    <cellStyle name="sharesout 2 3" xfId="61237" xr:uid="{00000000-0005-0000-0000-000035EF0000}"/>
    <cellStyle name="sharesout 2 3 2" xfId="61238" xr:uid="{00000000-0005-0000-0000-000036EF0000}"/>
    <cellStyle name="sharesout 3" xfId="61239" xr:uid="{00000000-0005-0000-0000-000037EF0000}"/>
    <cellStyle name="sharesout 4" xfId="61240" xr:uid="{00000000-0005-0000-0000-000038EF0000}"/>
    <cellStyle name="sharesout 4 2" xfId="61241" xr:uid="{00000000-0005-0000-0000-000039EF0000}"/>
    <cellStyle name="Sheet Title" xfId="61242" xr:uid="{00000000-0005-0000-0000-00003AEF0000}"/>
    <cellStyle name="Sheet Title 2" xfId="61243" xr:uid="{00000000-0005-0000-0000-00003BEF0000}"/>
    <cellStyle name="Sheet Title 2 2" xfId="61244" xr:uid="{00000000-0005-0000-0000-00003CEF0000}"/>
    <cellStyle name="Sheet Title 3" xfId="61245" xr:uid="{00000000-0005-0000-0000-00003DEF0000}"/>
    <cellStyle name="Short $" xfId="61246" xr:uid="{00000000-0005-0000-0000-00003EEF0000}"/>
    <cellStyle name="Single Accounting" xfId="61247" xr:uid="{00000000-0005-0000-0000-00003FEF0000}"/>
    <cellStyle name="Single Accounting 2" xfId="61248" xr:uid="{00000000-0005-0000-0000-000040EF0000}"/>
    <cellStyle name="Single Accounting 2 2" xfId="61249" xr:uid="{00000000-0005-0000-0000-000041EF0000}"/>
    <cellStyle name="Single Accounting 2 2 2" xfId="61250" xr:uid="{00000000-0005-0000-0000-000042EF0000}"/>
    <cellStyle name="Single Accounting 2 3" xfId="61251" xr:uid="{00000000-0005-0000-0000-000043EF0000}"/>
    <cellStyle name="Single Accounting 3" xfId="61252" xr:uid="{00000000-0005-0000-0000-000044EF0000}"/>
    <cellStyle name="Single Accounting 3 2" xfId="61253" xr:uid="{00000000-0005-0000-0000-000045EF0000}"/>
    <cellStyle name="Single Accounting 4" xfId="61254" xr:uid="{00000000-0005-0000-0000-000046EF0000}"/>
    <cellStyle name="small" xfId="61255" xr:uid="{00000000-0005-0000-0000-000047EF0000}"/>
    <cellStyle name="small 2" xfId="61256" xr:uid="{00000000-0005-0000-0000-000048EF0000}"/>
    <cellStyle name="small 2 2" xfId="61257" xr:uid="{00000000-0005-0000-0000-000049EF0000}"/>
    <cellStyle name="small 2 2 2" xfId="61258" xr:uid="{00000000-0005-0000-0000-00004AEF0000}"/>
    <cellStyle name="small 2 3" xfId="61259" xr:uid="{00000000-0005-0000-0000-00004BEF0000}"/>
    <cellStyle name="small 3" xfId="61260" xr:uid="{00000000-0005-0000-0000-00004CEF0000}"/>
    <cellStyle name="small 3 2" xfId="61261" xr:uid="{00000000-0005-0000-0000-00004DEF0000}"/>
    <cellStyle name="small 4" xfId="61262" xr:uid="{00000000-0005-0000-0000-00004EEF0000}"/>
    <cellStyle name="SN" xfId="61263" xr:uid="{00000000-0005-0000-0000-00004FEF0000}"/>
    <cellStyle name="SOMA" xfId="61264" xr:uid="{00000000-0005-0000-0000-000050EF0000}"/>
    <cellStyle name="SOMA 2" xfId="61265" xr:uid="{00000000-0005-0000-0000-000051EF0000}"/>
    <cellStyle name="SOMA 2 2" xfId="61266" xr:uid="{00000000-0005-0000-0000-000052EF0000}"/>
    <cellStyle name="SOMA 2 2 2" xfId="61267" xr:uid="{00000000-0005-0000-0000-000053EF0000}"/>
    <cellStyle name="SOMA 2 3" xfId="61268" xr:uid="{00000000-0005-0000-0000-000054EF0000}"/>
    <cellStyle name="SOMA 2 3 2" xfId="61269" xr:uid="{00000000-0005-0000-0000-000055EF0000}"/>
    <cellStyle name="SOMA 2 3 3" xfId="61270" xr:uid="{00000000-0005-0000-0000-000056EF0000}"/>
    <cellStyle name="SOMA 2 4" xfId="61271" xr:uid="{00000000-0005-0000-0000-000057EF0000}"/>
    <cellStyle name="SOMA 2 5" xfId="61272" xr:uid="{00000000-0005-0000-0000-000058EF0000}"/>
    <cellStyle name="SOMA 3" xfId="61273" xr:uid="{00000000-0005-0000-0000-000059EF0000}"/>
    <cellStyle name="SOMA 3 2" xfId="61274" xr:uid="{00000000-0005-0000-0000-00005AEF0000}"/>
    <cellStyle name="SOMA 4" xfId="61275" xr:uid="{00000000-0005-0000-0000-00005BEF0000}"/>
    <cellStyle name="SOMA 4 2" xfId="61276" xr:uid="{00000000-0005-0000-0000-00005CEF0000}"/>
    <cellStyle name="SOMA 4 3" xfId="61277" xr:uid="{00000000-0005-0000-0000-00005DEF0000}"/>
    <cellStyle name="SOMA 5" xfId="61278" xr:uid="{00000000-0005-0000-0000-00005EEF0000}"/>
    <cellStyle name="SOMA 6" xfId="61279" xr:uid="{00000000-0005-0000-0000-00005FEF0000}"/>
    <cellStyle name="Sortie" xfId="61280" xr:uid="{00000000-0005-0000-0000-000060EF0000}"/>
    <cellStyle name="Sortie 2" xfId="61281" xr:uid="{00000000-0005-0000-0000-000061EF0000}"/>
    <cellStyle name="Sortie 2 2" xfId="61282" xr:uid="{00000000-0005-0000-0000-000062EF0000}"/>
    <cellStyle name="Sortie 2 2 2" xfId="61283" xr:uid="{00000000-0005-0000-0000-000063EF0000}"/>
    <cellStyle name="Sortie 2 3" xfId="61284" xr:uid="{00000000-0005-0000-0000-000064EF0000}"/>
    <cellStyle name="Sortie 2 3 2" xfId="61285" xr:uid="{00000000-0005-0000-0000-000065EF0000}"/>
    <cellStyle name="Sortie 2 3 3" xfId="61286" xr:uid="{00000000-0005-0000-0000-000066EF0000}"/>
    <cellStyle name="Sortie 2 4" xfId="61287" xr:uid="{00000000-0005-0000-0000-000067EF0000}"/>
    <cellStyle name="Sortie 2 5" xfId="61288" xr:uid="{00000000-0005-0000-0000-000068EF0000}"/>
    <cellStyle name="Sortie 3" xfId="61289" xr:uid="{00000000-0005-0000-0000-000069EF0000}"/>
    <cellStyle name="Sortie 3 2" xfId="61290" xr:uid="{00000000-0005-0000-0000-00006AEF0000}"/>
    <cellStyle name="Sortie 4" xfId="61291" xr:uid="{00000000-0005-0000-0000-00006BEF0000}"/>
    <cellStyle name="Sortie 4 2" xfId="61292" xr:uid="{00000000-0005-0000-0000-00006CEF0000}"/>
    <cellStyle name="Sortie 4 3" xfId="61293" xr:uid="{00000000-0005-0000-0000-00006DEF0000}"/>
    <cellStyle name="Sortie 5" xfId="61294" xr:uid="{00000000-0005-0000-0000-00006EEF0000}"/>
    <cellStyle name="Sortie 6" xfId="61295" xr:uid="{00000000-0005-0000-0000-00006FEF0000}"/>
    <cellStyle name="specstores" xfId="61296" xr:uid="{00000000-0005-0000-0000-000070EF0000}"/>
    <cellStyle name="specstores 2" xfId="61297" xr:uid="{00000000-0005-0000-0000-000071EF0000}"/>
    <cellStyle name="specstores 2 2" xfId="61298" xr:uid="{00000000-0005-0000-0000-000072EF0000}"/>
    <cellStyle name="specstores 3" xfId="61299" xr:uid="{00000000-0005-0000-0000-000073EF0000}"/>
    <cellStyle name="Standaard_ABBA version 1.4 dd 27-06-2000" xfId="61300" xr:uid="{00000000-0005-0000-0000-000074EF0000}"/>
    <cellStyle name="STANDARD" xfId="61301" xr:uid="{00000000-0005-0000-0000-000075EF0000}"/>
    <cellStyle name="Stück" xfId="61302" xr:uid="{00000000-0005-0000-0000-000076EF0000}"/>
    <cellStyle name="Style 1" xfId="61303" xr:uid="{00000000-0005-0000-0000-000077EF0000}"/>
    <cellStyle name="Style 1 2" xfId="61304" xr:uid="{00000000-0005-0000-0000-000078EF0000}"/>
    <cellStyle name="Style 1 2 2" xfId="61305" xr:uid="{00000000-0005-0000-0000-000079EF0000}"/>
    <cellStyle name="Style 1 2 2 2" xfId="61306" xr:uid="{00000000-0005-0000-0000-00007AEF0000}"/>
    <cellStyle name="Style 1 2 3" xfId="61307" xr:uid="{00000000-0005-0000-0000-00007BEF0000}"/>
    <cellStyle name="Style 1 3" xfId="61308" xr:uid="{00000000-0005-0000-0000-00007CEF0000}"/>
    <cellStyle name="Style 1 3 2" xfId="61309" xr:uid="{00000000-0005-0000-0000-00007DEF0000}"/>
    <cellStyle name="Style 1 4" xfId="61310" xr:uid="{00000000-0005-0000-0000-00007EEF0000}"/>
    <cellStyle name="Style 1 4 2" xfId="61311" xr:uid="{00000000-0005-0000-0000-00007FEF0000}"/>
    <cellStyle name="Style 1 5" xfId="61312" xr:uid="{00000000-0005-0000-0000-000080EF0000}"/>
    <cellStyle name="Style 2" xfId="61313" xr:uid="{00000000-0005-0000-0000-000081EF0000}"/>
    <cellStyle name="Style 21" xfId="61314" xr:uid="{00000000-0005-0000-0000-000082EF0000}"/>
    <cellStyle name="Style 21 2" xfId="61315" xr:uid="{00000000-0005-0000-0000-000083EF0000}"/>
    <cellStyle name="Style 22" xfId="61316" xr:uid="{00000000-0005-0000-0000-000084EF0000}"/>
    <cellStyle name="Style 22 2" xfId="61317" xr:uid="{00000000-0005-0000-0000-000085EF0000}"/>
    <cellStyle name="Style 23" xfId="61318" xr:uid="{00000000-0005-0000-0000-000086EF0000}"/>
    <cellStyle name="Style 23 2" xfId="61319" xr:uid="{00000000-0005-0000-0000-000087EF0000}"/>
    <cellStyle name="Style 24" xfId="61320" xr:uid="{00000000-0005-0000-0000-000088EF0000}"/>
    <cellStyle name="Style 24 2" xfId="61321" xr:uid="{00000000-0005-0000-0000-000089EF0000}"/>
    <cellStyle name="Style 24 2 2" xfId="61322" xr:uid="{00000000-0005-0000-0000-00008AEF0000}"/>
    <cellStyle name="Style 24 3" xfId="61323" xr:uid="{00000000-0005-0000-0000-00008BEF0000}"/>
    <cellStyle name="Style 25" xfId="61324" xr:uid="{00000000-0005-0000-0000-00008CEF0000}"/>
    <cellStyle name="Style 25 2" xfId="61325" xr:uid="{00000000-0005-0000-0000-00008DEF0000}"/>
    <cellStyle name="Style 26" xfId="61326" xr:uid="{00000000-0005-0000-0000-00008EEF0000}"/>
    <cellStyle name="Style 27" xfId="61327" xr:uid="{00000000-0005-0000-0000-00008FEF0000}"/>
    <cellStyle name="Style 28" xfId="61328" xr:uid="{00000000-0005-0000-0000-000090EF0000}"/>
    <cellStyle name="Style 28 2" xfId="61329" xr:uid="{00000000-0005-0000-0000-000091EF0000}"/>
    <cellStyle name="Style 29" xfId="61330" xr:uid="{00000000-0005-0000-0000-000092EF0000}"/>
    <cellStyle name="Style 29 2" xfId="61331" xr:uid="{00000000-0005-0000-0000-000093EF0000}"/>
    <cellStyle name="Style 3" xfId="61332" xr:uid="{00000000-0005-0000-0000-000094EF0000}"/>
    <cellStyle name="Style 30" xfId="61333" xr:uid="{00000000-0005-0000-0000-000095EF0000}"/>
    <cellStyle name="Style 30 2" xfId="61334" xr:uid="{00000000-0005-0000-0000-000096EF0000}"/>
    <cellStyle name="Style 31" xfId="61335" xr:uid="{00000000-0005-0000-0000-000097EF0000}"/>
    <cellStyle name="Style 31 2" xfId="61336" xr:uid="{00000000-0005-0000-0000-000098EF0000}"/>
    <cellStyle name="Sub Title" xfId="61337" xr:uid="{00000000-0005-0000-0000-000099EF0000}"/>
    <cellStyle name="Sub-Heading" xfId="61338" xr:uid="{00000000-0005-0000-0000-00009AEF0000}"/>
    <cellStyle name="Sub-Heading 2" xfId="61339" xr:uid="{00000000-0005-0000-0000-00009BEF0000}"/>
    <cellStyle name="Sub-Heading 2 2" xfId="61340" xr:uid="{00000000-0005-0000-0000-00009CEF0000}"/>
    <cellStyle name="Sub-Heading 3" xfId="61341" xr:uid="{00000000-0005-0000-0000-00009DEF0000}"/>
    <cellStyle name="Subtitle" xfId="61342" xr:uid="{00000000-0005-0000-0000-00009EEF0000}"/>
    <cellStyle name="Subtitle 2" xfId="61343" xr:uid="{00000000-0005-0000-0000-00009FEF0000}"/>
    <cellStyle name="Subtitle 2 2" xfId="61344" xr:uid="{00000000-0005-0000-0000-0000A0EF0000}"/>
    <cellStyle name="Subtitle 2 2 2" xfId="61345" xr:uid="{00000000-0005-0000-0000-0000A1EF0000}"/>
    <cellStyle name="Subtitle 2 3" xfId="61346" xr:uid="{00000000-0005-0000-0000-0000A2EF0000}"/>
    <cellStyle name="Subtitle 3" xfId="61347" xr:uid="{00000000-0005-0000-0000-0000A3EF0000}"/>
    <cellStyle name="Subtitle 3 2" xfId="61348" xr:uid="{00000000-0005-0000-0000-0000A4EF0000}"/>
    <cellStyle name="Subtitle 4" xfId="61349" xr:uid="{00000000-0005-0000-0000-0000A5EF0000}"/>
    <cellStyle name="Subtítulos" xfId="61350" xr:uid="{00000000-0005-0000-0000-0000A6EF0000}"/>
    <cellStyle name="Subtítulos 2" xfId="61351" xr:uid="{00000000-0005-0000-0000-0000A7EF0000}"/>
    <cellStyle name="Subtotal" xfId="61352" xr:uid="{00000000-0005-0000-0000-0000A8EF0000}"/>
    <cellStyle name="Subtotal 2" xfId="61353" xr:uid="{00000000-0005-0000-0000-0000A9EF0000}"/>
    <cellStyle name="t" xfId="61354" xr:uid="{00000000-0005-0000-0000-0000AAEF0000}"/>
    <cellStyle name="t 2" xfId="61355" xr:uid="{00000000-0005-0000-0000-0000ABEF0000}"/>
    <cellStyle name="t 2 2" xfId="61356" xr:uid="{00000000-0005-0000-0000-0000ACEF0000}"/>
    <cellStyle name="t 3" xfId="61357" xr:uid="{00000000-0005-0000-0000-0000ADEF0000}"/>
    <cellStyle name="t_~0010203" xfId="61358" xr:uid="{00000000-0005-0000-0000-0000AEEF0000}"/>
    <cellStyle name="t_~0010203 2" xfId="61359" xr:uid="{00000000-0005-0000-0000-0000AFEF0000}"/>
    <cellStyle name="t_~0010203 2 2" xfId="61360" xr:uid="{00000000-0005-0000-0000-0000B0EF0000}"/>
    <cellStyle name="t_~0010203 3" xfId="61361" xr:uid="{00000000-0005-0000-0000-0000B1EF0000}"/>
    <cellStyle name="t_Comps3   Monday 19 11 99 Implied" xfId="61362" xr:uid="{00000000-0005-0000-0000-0000B2EF0000}"/>
    <cellStyle name="t_Comps3   Monday 19 11 99 Implied 2" xfId="61363" xr:uid="{00000000-0005-0000-0000-0000B3EF0000}"/>
    <cellStyle name="t_Comps3   Monday 19 11 99 Implied 2 2" xfId="61364" xr:uid="{00000000-0005-0000-0000-0000B4EF0000}"/>
    <cellStyle name="t_Comps3   Monday 19 11 99 Implied 3" xfId="61365" xr:uid="{00000000-0005-0000-0000-0000B5EF0000}"/>
    <cellStyle name="t_Manager" xfId="61366" xr:uid="{00000000-0005-0000-0000-0000B6EF0000}"/>
    <cellStyle name="t_Manager 2" xfId="61367" xr:uid="{00000000-0005-0000-0000-0000B7EF0000}"/>
    <cellStyle name="t_Manager 2 2" xfId="61368" xr:uid="{00000000-0005-0000-0000-0000B8EF0000}"/>
    <cellStyle name="t_Manager 3" xfId="61369" xr:uid="{00000000-0005-0000-0000-0000B9EF0000}"/>
    <cellStyle name="Table Col Head" xfId="61370" xr:uid="{00000000-0005-0000-0000-0000BAEF0000}"/>
    <cellStyle name="Table Col Head 2" xfId="61371" xr:uid="{00000000-0005-0000-0000-0000BBEF0000}"/>
    <cellStyle name="Table Col Head 2 2" xfId="61372" xr:uid="{00000000-0005-0000-0000-0000BCEF0000}"/>
    <cellStyle name="Table Col Head 3" xfId="61373" xr:uid="{00000000-0005-0000-0000-0000BDEF0000}"/>
    <cellStyle name="Table Head" xfId="61374" xr:uid="{00000000-0005-0000-0000-0000BEEF0000}"/>
    <cellStyle name="Table Head 2" xfId="61375" xr:uid="{00000000-0005-0000-0000-0000BFEF0000}"/>
    <cellStyle name="Table Head 2 2" xfId="61376" xr:uid="{00000000-0005-0000-0000-0000C0EF0000}"/>
    <cellStyle name="Table Head 2 2 2" xfId="61377" xr:uid="{00000000-0005-0000-0000-0000C1EF0000}"/>
    <cellStyle name="Table Head 2 3" xfId="61378" xr:uid="{00000000-0005-0000-0000-0000C2EF0000}"/>
    <cellStyle name="Table Head 3" xfId="61379" xr:uid="{00000000-0005-0000-0000-0000C3EF0000}"/>
    <cellStyle name="Table Head 3 2" xfId="61380" xr:uid="{00000000-0005-0000-0000-0000C4EF0000}"/>
    <cellStyle name="Table Head 4" xfId="61381" xr:uid="{00000000-0005-0000-0000-0000C5EF0000}"/>
    <cellStyle name="Table Head Aligned" xfId="61382" xr:uid="{00000000-0005-0000-0000-0000C6EF0000}"/>
    <cellStyle name="Table Head Aligned 2" xfId="61383" xr:uid="{00000000-0005-0000-0000-0000C7EF0000}"/>
    <cellStyle name="Table Head Aligned 2 2" xfId="61384" xr:uid="{00000000-0005-0000-0000-0000C8EF0000}"/>
    <cellStyle name="Table Head Aligned 2 2 2" xfId="61385" xr:uid="{00000000-0005-0000-0000-0000C9EF0000}"/>
    <cellStyle name="Table Head Aligned 2 3" xfId="61386" xr:uid="{00000000-0005-0000-0000-0000CAEF0000}"/>
    <cellStyle name="Table Head Aligned 3" xfId="61387" xr:uid="{00000000-0005-0000-0000-0000CBEF0000}"/>
    <cellStyle name="Table Head Aligned 3 2" xfId="61388" xr:uid="{00000000-0005-0000-0000-0000CCEF0000}"/>
    <cellStyle name="Table Head Aligned 4" xfId="61389" xr:uid="{00000000-0005-0000-0000-0000CDEF0000}"/>
    <cellStyle name="Table Head Blue" xfId="61390" xr:uid="{00000000-0005-0000-0000-0000CEEF0000}"/>
    <cellStyle name="Table Head Blue 2" xfId="61391" xr:uid="{00000000-0005-0000-0000-0000CFEF0000}"/>
    <cellStyle name="Table Head Blue 2 2" xfId="61392" xr:uid="{00000000-0005-0000-0000-0000D0EF0000}"/>
    <cellStyle name="Table Head Blue 2 2 2" xfId="61393" xr:uid="{00000000-0005-0000-0000-0000D1EF0000}"/>
    <cellStyle name="Table Head Blue 2 3" xfId="61394" xr:uid="{00000000-0005-0000-0000-0000D2EF0000}"/>
    <cellStyle name="Table Head Blue 3" xfId="61395" xr:uid="{00000000-0005-0000-0000-0000D3EF0000}"/>
    <cellStyle name="Table Head Blue 3 2" xfId="61396" xr:uid="{00000000-0005-0000-0000-0000D4EF0000}"/>
    <cellStyle name="Table Head Blue 4" xfId="61397" xr:uid="{00000000-0005-0000-0000-0000D5EF0000}"/>
    <cellStyle name="Table Head Green" xfId="61398" xr:uid="{00000000-0005-0000-0000-0000D6EF0000}"/>
    <cellStyle name="Table Head Green 2" xfId="61399" xr:uid="{00000000-0005-0000-0000-0000D7EF0000}"/>
    <cellStyle name="Table Head Green 2 2" xfId="61400" xr:uid="{00000000-0005-0000-0000-0000D8EF0000}"/>
    <cellStyle name="Table Head Green 2 2 2" xfId="61401" xr:uid="{00000000-0005-0000-0000-0000D9EF0000}"/>
    <cellStyle name="Table Head Green 2 3" xfId="61402" xr:uid="{00000000-0005-0000-0000-0000DAEF0000}"/>
    <cellStyle name="Table Head Green 3" xfId="61403" xr:uid="{00000000-0005-0000-0000-0000DBEF0000}"/>
    <cellStyle name="Table Head Green 3 2" xfId="61404" xr:uid="{00000000-0005-0000-0000-0000DCEF0000}"/>
    <cellStyle name="Table Head Green 4" xfId="61405" xr:uid="{00000000-0005-0000-0000-0000DDEF0000}"/>
    <cellStyle name="Table Head_0908 Gabarito exchange rate" xfId="61406" xr:uid="{00000000-0005-0000-0000-0000DEEF0000}"/>
    <cellStyle name="Table header" xfId="61407" xr:uid="{00000000-0005-0000-0000-0000DFEF0000}"/>
    <cellStyle name="Table Heading" xfId="61408" xr:uid="{00000000-0005-0000-0000-0000E0EF0000}"/>
    <cellStyle name="Table Heading 2" xfId="61409" xr:uid="{00000000-0005-0000-0000-0000E1EF0000}"/>
    <cellStyle name="Table Heading 2 2" xfId="61410" xr:uid="{00000000-0005-0000-0000-0000E2EF0000}"/>
    <cellStyle name="Table Heading 3" xfId="61411" xr:uid="{00000000-0005-0000-0000-0000E3EF0000}"/>
    <cellStyle name="Table Sub Head" xfId="61412" xr:uid="{00000000-0005-0000-0000-0000E4EF0000}"/>
    <cellStyle name="Table Sub Head 2" xfId="61413" xr:uid="{00000000-0005-0000-0000-0000E5EF0000}"/>
    <cellStyle name="Table Sub Head 2 2" xfId="61414" xr:uid="{00000000-0005-0000-0000-0000E6EF0000}"/>
    <cellStyle name="Table Sub Head 3" xfId="61415" xr:uid="{00000000-0005-0000-0000-0000E7EF0000}"/>
    <cellStyle name="Table Text" xfId="61416" xr:uid="{00000000-0005-0000-0000-0000E8EF0000}"/>
    <cellStyle name="Table Text 2" xfId="61417" xr:uid="{00000000-0005-0000-0000-0000E9EF0000}"/>
    <cellStyle name="Table Text 2 2" xfId="61418" xr:uid="{00000000-0005-0000-0000-0000EAEF0000}"/>
    <cellStyle name="Table Text 2 2 2" xfId="61419" xr:uid="{00000000-0005-0000-0000-0000EBEF0000}"/>
    <cellStyle name="Table Text 2 3" xfId="61420" xr:uid="{00000000-0005-0000-0000-0000ECEF0000}"/>
    <cellStyle name="Table Text 3" xfId="61421" xr:uid="{00000000-0005-0000-0000-0000EDEF0000}"/>
    <cellStyle name="Table Text 3 2" xfId="61422" xr:uid="{00000000-0005-0000-0000-0000EEEF0000}"/>
    <cellStyle name="Table Text 4" xfId="61423" xr:uid="{00000000-0005-0000-0000-0000EFEF0000}"/>
    <cellStyle name="Table Title" xfId="61424" xr:uid="{00000000-0005-0000-0000-0000F0EF0000}"/>
    <cellStyle name="Table Title 2" xfId="61425" xr:uid="{00000000-0005-0000-0000-0000F1EF0000}"/>
    <cellStyle name="Table Title 2 2" xfId="61426" xr:uid="{00000000-0005-0000-0000-0000F2EF0000}"/>
    <cellStyle name="Table Title 2 2 2" xfId="61427" xr:uid="{00000000-0005-0000-0000-0000F3EF0000}"/>
    <cellStyle name="Table Title 2 3" xfId="61428" xr:uid="{00000000-0005-0000-0000-0000F4EF0000}"/>
    <cellStyle name="Table Title 3" xfId="61429" xr:uid="{00000000-0005-0000-0000-0000F5EF0000}"/>
    <cellStyle name="Table Title 3 2" xfId="61430" xr:uid="{00000000-0005-0000-0000-0000F6EF0000}"/>
    <cellStyle name="Table Title 4" xfId="61431" xr:uid="{00000000-0005-0000-0000-0000F7EF0000}"/>
    <cellStyle name="Table Units" xfId="61432" xr:uid="{00000000-0005-0000-0000-0000F8EF0000}"/>
    <cellStyle name="Table Units 2" xfId="61433" xr:uid="{00000000-0005-0000-0000-0000F9EF0000}"/>
    <cellStyle name="Table Units 2 2" xfId="61434" xr:uid="{00000000-0005-0000-0000-0000FAEF0000}"/>
    <cellStyle name="Table Units 2 2 2" xfId="61435" xr:uid="{00000000-0005-0000-0000-0000FBEF0000}"/>
    <cellStyle name="Table Units 2 3" xfId="61436" xr:uid="{00000000-0005-0000-0000-0000FCEF0000}"/>
    <cellStyle name="Table Units 3" xfId="61437" xr:uid="{00000000-0005-0000-0000-0000FDEF0000}"/>
    <cellStyle name="Table Units 3 2" xfId="61438" xr:uid="{00000000-0005-0000-0000-0000FEEF0000}"/>
    <cellStyle name="Table Units 4" xfId="61439" xr:uid="{00000000-0005-0000-0000-0000FFEF0000}"/>
    <cellStyle name="Table_Header" xfId="61440" xr:uid="{00000000-0005-0000-0000-000000F00000}"/>
    <cellStyle name="TableColumnHeading" xfId="61441" xr:uid="{00000000-0005-0000-0000-000001F00000}"/>
    <cellStyle name="TableColumnHeading 2" xfId="61442" xr:uid="{00000000-0005-0000-0000-000002F00000}"/>
    <cellStyle name="TableColumnHeading 2 2" xfId="61443" xr:uid="{00000000-0005-0000-0000-000003F00000}"/>
    <cellStyle name="TableColumnHeading 3" xfId="61444" xr:uid="{00000000-0005-0000-0000-000004F00000}"/>
    <cellStyle name="Tableheader" xfId="61445" xr:uid="{00000000-0005-0000-0000-000005F00000}"/>
    <cellStyle name="TableSubTitleItalic" xfId="61446" xr:uid="{00000000-0005-0000-0000-000006F00000}"/>
    <cellStyle name="TableSubTitleItalic 2" xfId="61447" xr:uid="{00000000-0005-0000-0000-000007F00000}"/>
    <cellStyle name="TableSubTitleItalic 2 2" xfId="61448" xr:uid="{00000000-0005-0000-0000-000008F00000}"/>
    <cellStyle name="TableSubTitleItalic 3" xfId="61449" xr:uid="{00000000-0005-0000-0000-000009F00000}"/>
    <cellStyle name="TableText" xfId="61450" xr:uid="{00000000-0005-0000-0000-00000AF00000}"/>
    <cellStyle name="TableText 2" xfId="61451" xr:uid="{00000000-0005-0000-0000-00000BF00000}"/>
    <cellStyle name="TableText 2 2" xfId="61452" xr:uid="{00000000-0005-0000-0000-00000CF00000}"/>
    <cellStyle name="TableText 3" xfId="61453" xr:uid="{00000000-0005-0000-0000-00000DF00000}"/>
    <cellStyle name="TableTitle" xfId="61454" xr:uid="{00000000-0005-0000-0000-00000EF00000}"/>
    <cellStyle name="TableTitle 2" xfId="61455" xr:uid="{00000000-0005-0000-0000-00000FF00000}"/>
    <cellStyle name="TableTitle 2 2" xfId="61456" xr:uid="{00000000-0005-0000-0000-000010F00000}"/>
    <cellStyle name="TableTitle 3" xfId="61457" xr:uid="{00000000-0005-0000-0000-000011F00000}"/>
    <cellStyle name="Text" xfId="61458" xr:uid="{00000000-0005-0000-0000-000012F00000}"/>
    <cellStyle name="Text 1" xfId="61459" xr:uid="{00000000-0005-0000-0000-000013F00000}"/>
    <cellStyle name="Text 1 2" xfId="61460" xr:uid="{00000000-0005-0000-0000-000014F00000}"/>
    <cellStyle name="Text 1 2 2" xfId="61461" xr:uid="{00000000-0005-0000-0000-000015F00000}"/>
    <cellStyle name="Text 1 2 2 2" xfId="61462" xr:uid="{00000000-0005-0000-0000-000016F00000}"/>
    <cellStyle name="Text 1 2 3" xfId="61463" xr:uid="{00000000-0005-0000-0000-000017F00000}"/>
    <cellStyle name="Text 1 3" xfId="61464" xr:uid="{00000000-0005-0000-0000-000018F00000}"/>
    <cellStyle name="Text 1 3 2" xfId="61465" xr:uid="{00000000-0005-0000-0000-000019F00000}"/>
    <cellStyle name="Text 1 4" xfId="61466" xr:uid="{00000000-0005-0000-0000-00001AF00000}"/>
    <cellStyle name="Text 2" xfId="61467" xr:uid="{00000000-0005-0000-0000-00001BF00000}"/>
    <cellStyle name="Text 2 2" xfId="61468" xr:uid="{00000000-0005-0000-0000-00001CF00000}"/>
    <cellStyle name="Text 3" xfId="61469" xr:uid="{00000000-0005-0000-0000-00001DF00000}"/>
    <cellStyle name="Text Head" xfId="61470" xr:uid="{00000000-0005-0000-0000-00001EF00000}"/>
    <cellStyle name="Text Head 1" xfId="61471" xr:uid="{00000000-0005-0000-0000-00001FF00000}"/>
    <cellStyle name="Text Head 1 2" xfId="61472" xr:uid="{00000000-0005-0000-0000-000020F00000}"/>
    <cellStyle name="Text Head 1 2 2" xfId="61473" xr:uid="{00000000-0005-0000-0000-000021F00000}"/>
    <cellStyle name="Text Head 1 2 2 2" xfId="61474" xr:uid="{00000000-0005-0000-0000-000022F00000}"/>
    <cellStyle name="Text Head 1 2 3" xfId="61475" xr:uid="{00000000-0005-0000-0000-000023F00000}"/>
    <cellStyle name="Text Head 1 3" xfId="61476" xr:uid="{00000000-0005-0000-0000-000024F00000}"/>
    <cellStyle name="Text Head 1 3 2" xfId="61477" xr:uid="{00000000-0005-0000-0000-000025F00000}"/>
    <cellStyle name="Text Head 1 4" xfId="61478" xr:uid="{00000000-0005-0000-0000-000026F00000}"/>
    <cellStyle name="Text Head 2" xfId="61479" xr:uid="{00000000-0005-0000-0000-000027F00000}"/>
    <cellStyle name="Text Head 2 2" xfId="61480" xr:uid="{00000000-0005-0000-0000-000028F00000}"/>
    <cellStyle name="Text Head 3" xfId="61481" xr:uid="{00000000-0005-0000-0000-000029F00000}"/>
    <cellStyle name="Text Indent A" xfId="61482" xr:uid="{00000000-0005-0000-0000-00002AF00000}"/>
    <cellStyle name="Text Indent B" xfId="61483" xr:uid="{00000000-0005-0000-0000-00002BF00000}"/>
    <cellStyle name="Text Indent B 2" xfId="61484" xr:uid="{00000000-0005-0000-0000-00002CF00000}"/>
    <cellStyle name="Text Indent B 2 2" xfId="61485" xr:uid="{00000000-0005-0000-0000-00002DF00000}"/>
    <cellStyle name="Text Indent B 3" xfId="61486" xr:uid="{00000000-0005-0000-0000-00002EF00000}"/>
    <cellStyle name="Text Indent C" xfId="61487" xr:uid="{00000000-0005-0000-0000-00002FF00000}"/>
    <cellStyle name="Text Indent C 2" xfId="61488" xr:uid="{00000000-0005-0000-0000-000030F00000}"/>
    <cellStyle name="Text Indent C 2 2" xfId="61489" xr:uid="{00000000-0005-0000-0000-000031F00000}"/>
    <cellStyle name="Text Indent C 3" xfId="61490" xr:uid="{00000000-0005-0000-0000-000032F00000}"/>
    <cellStyle name="Texte explicatif" xfId="61491" xr:uid="{00000000-0005-0000-0000-000033F00000}"/>
    <cellStyle name="Texte explicatif 2" xfId="61492" xr:uid="{00000000-0005-0000-0000-000034F00000}"/>
    <cellStyle name="Texte explicatif 2 2" xfId="61493" xr:uid="{00000000-0005-0000-0000-000035F00000}"/>
    <cellStyle name="Texte explicatif 3" xfId="61494" xr:uid="{00000000-0005-0000-0000-000036F00000}"/>
    <cellStyle name="Texto de advertencia" xfId="61495" xr:uid="{00000000-0005-0000-0000-000037F00000}"/>
    <cellStyle name="Texto de advertencia 2" xfId="61496" xr:uid="{00000000-0005-0000-0000-000038F00000}"/>
    <cellStyle name="Texto de advertencia 2 2" xfId="61497" xr:uid="{00000000-0005-0000-0000-000039F00000}"/>
    <cellStyle name="Texto de advertencia 3" xfId="61498" xr:uid="{00000000-0005-0000-0000-00003AF00000}"/>
    <cellStyle name="Texto de Aviso 2" xfId="61499" xr:uid="{00000000-0005-0000-0000-00003BF00000}"/>
    <cellStyle name="Texto de Aviso 2 2" xfId="61500" xr:uid="{00000000-0005-0000-0000-00003CF00000}"/>
    <cellStyle name="Texto de Aviso 3" xfId="61501" xr:uid="{00000000-0005-0000-0000-00003DF00000}"/>
    <cellStyle name="Texto Explicativo 2" xfId="61502" xr:uid="{00000000-0005-0000-0000-00003EF00000}"/>
    <cellStyle name="Texto Explicativo 2 2" xfId="61503" xr:uid="{00000000-0005-0000-0000-00003FF00000}"/>
    <cellStyle name="Texto Explicativo 3" xfId="61504" xr:uid="{00000000-0005-0000-0000-000040F00000}"/>
    <cellStyle name="textos izq" xfId="61505" xr:uid="{00000000-0005-0000-0000-000041F00000}"/>
    <cellStyle name="textos izq 2" xfId="61506" xr:uid="{00000000-0005-0000-0000-000042F00000}"/>
    <cellStyle name="textos izq 2 2" xfId="61507" xr:uid="{00000000-0005-0000-0000-000043F00000}"/>
    <cellStyle name="textos izq 2 2 2" xfId="61508" xr:uid="{00000000-0005-0000-0000-000044F00000}"/>
    <cellStyle name="textos izq 2 3" xfId="61509" xr:uid="{00000000-0005-0000-0000-000045F00000}"/>
    <cellStyle name="textos izq 2 3 2" xfId="61510" xr:uid="{00000000-0005-0000-0000-000046F00000}"/>
    <cellStyle name="textos izq 2 3 3" xfId="61511" xr:uid="{00000000-0005-0000-0000-000047F00000}"/>
    <cellStyle name="textos izq 2 4" xfId="61512" xr:uid="{00000000-0005-0000-0000-000048F00000}"/>
    <cellStyle name="textos izq 2 5" xfId="61513" xr:uid="{00000000-0005-0000-0000-000049F00000}"/>
    <cellStyle name="textos izq 3" xfId="61514" xr:uid="{00000000-0005-0000-0000-00004AF00000}"/>
    <cellStyle name="textos izq 3 2" xfId="61515" xr:uid="{00000000-0005-0000-0000-00004BF00000}"/>
    <cellStyle name="textos izq 3 2 2" xfId="61516" xr:uid="{00000000-0005-0000-0000-00004CF00000}"/>
    <cellStyle name="textos izq 3 3" xfId="61517" xr:uid="{00000000-0005-0000-0000-00004DF00000}"/>
    <cellStyle name="textos izq 3 3 2" xfId="61518" xr:uid="{00000000-0005-0000-0000-00004EF00000}"/>
    <cellStyle name="textos izq 3 3 3" xfId="61519" xr:uid="{00000000-0005-0000-0000-00004FF00000}"/>
    <cellStyle name="textos izq 3 4" xfId="61520" xr:uid="{00000000-0005-0000-0000-000050F00000}"/>
    <cellStyle name="textos izq 3 5" xfId="61521" xr:uid="{00000000-0005-0000-0000-000051F00000}"/>
    <cellStyle name="textos izq 4" xfId="61522" xr:uid="{00000000-0005-0000-0000-000052F00000}"/>
    <cellStyle name="textos izq 4 2" xfId="61523" xr:uid="{00000000-0005-0000-0000-000053F00000}"/>
    <cellStyle name="textos izq 4 3" xfId="61524" xr:uid="{00000000-0005-0000-0000-000054F00000}"/>
    <cellStyle name="textos izq 5" xfId="61525" xr:uid="{00000000-0005-0000-0000-000055F00000}"/>
    <cellStyle name="textos izq 6" xfId="61526" xr:uid="{00000000-0005-0000-0000-000056F00000}"/>
    <cellStyle name="þ_x001d_ð'_x000c_Bý_x0017__x000d_3ýV_x0001_º_x001f_¦&lt;G_x0015__x0001_" xfId="61527" xr:uid="{00000000-0005-0000-0000-000057F00000}"/>
    <cellStyle name="þ_x001d_ð'_x000c_Bý_x0017__x000d_3ýV_x0001_º_x001f_¦&lt;G_x0015__x0001_ 2" xfId="61528" xr:uid="{00000000-0005-0000-0000-000058F00000}"/>
    <cellStyle name="þ_x001d_ð'_x000c_Bý_x0017__x000d_3ýV_x0001_º_x001f_¦&lt;G_x0015__x0001_ 2 2" xfId="61529" xr:uid="{00000000-0005-0000-0000-000059F00000}"/>
    <cellStyle name="þ_x001d_ð'_x000c_Bý_x0017__x000d_3ýV_x0001_º_x001f_¦&lt;G_x0015__x0001_ 3" xfId="61530" xr:uid="{00000000-0005-0000-0000-00005AF00000}"/>
    <cellStyle name="þ_x001d_ð+&amp;¨û›&amp;¡ûG_x0008_Ç Ÿ_x000a__x0007__x0001__x0001_" xfId="61531" xr:uid="{00000000-0005-0000-0000-00005BF00000}"/>
    <cellStyle name="þ_x001d_ð+&amp;¨û›&amp;¡ûG_x0008_Ç Ÿ_x000a__x0007__x0001__x0001_ 2" xfId="61532" xr:uid="{00000000-0005-0000-0000-00005CF00000}"/>
    <cellStyle name="þ_x001d_ð+&amp;¨û›&amp;¡ûG_x0008_Ç Ÿ_x000a__x0007__x0001__x0001_ 2 2" xfId="61533" xr:uid="{00000000-0005-0000-0000-00005DF00000}"/>
    <cellStyle name="þ_x001d_ð+&amp;¨û›&amp;¡ûG_x0008_Ç Ÿ_x000a__x0007__x0001__x0001_ 3" xfId="61534" xr:uid="{00000000-0005-0000-0000-00005EF00000}"/>
    <cellStyle name="þ_x001d_ð+&amp;¨û›&amp;¡ûG_x0008_Ç_x0009_Ÿ_x000a__x0007__x0001__x0001_" xfId="61535" xr:uid="{00000000-0005-0000-0000-00005FF00000}"/>
    <cellStyle name="þ_x001d_ð+&amp;¨û›&amp;¡ûG_x0008_Ç_x0009_Ÿ_x000a__x0007__x0001__x0001_ 2" xfId="61536" xr:uid="{00000000-0005-0000-0000-000060F00000}"/>
    <cellStyle name="thenums" xfId="61537" xr:uid="{00000000-0005-0000-0000-000061F00000}"/>
    <cellStyle name="thenums 2" xfId="61538" xr:uid="{00000000-0005-0000-0000-000062F00000}"/>
    <cellStyle name="thenums 2 2" xfId="61539" xr:uid="{00000000-0005-0000-0000-000063F00000}"/>
    <cellStyle name="thenums 3" xfId="61540" xr:uid="{00000000-0005-0000-0000-000064F00000}"/>
    <cellStyle name="Tickmark" xfId="61541" xr:uid="{00000000-0005-0000-0000-000065F00000}"/>
    <cellStyle name="Tickmark 2" xfId="61542" xr:uid="{00000000-0005-0000-0000-000066F00000}"/>
    <cellStyle name="Tickmark 2 2" xfId="61543" xr:uid="{00000000-0005-0000-0000-000067F00000}"/>
    <cellStyle name="Tickmark 3" xfId="61544" xr:uid="{00000000-0005-0000-0000-000068F00000}"/>
    <cellStyle name="Times 10" xfId="61545" xr:uid="{00000000-0005-0000-0000-000069F00000}"/>
    <cellStyle name="Times 10 2" xfId="61546" xr:uid="{00000000-0005-0000-0000-00006AF00000}"/>
    <cellStyle name="Times 10 2 2" xfId="61547" xr:uid="{00000000-0005-0000-0000-00006BF00000}"/>
    <cellStyle name="Times 10 2 2 2" xfId="61548" xr:uid="{00000000-0005-0000-0000-00006CF00000}"/>
    <cellStyle name="Times 10 2 3" xfId="61549" xr:uid="{00000000-0005-0000-0000-00006DF00000}"/>
    <cellStyle name="Times 10 3" xfId="61550" xr:uid="{00000000-0005-0000-0000-00006EF00000}"/>
    <cellStyle name="Times 10 3 2" xfId="61551" xr:uid="{00000000-0005-0000-0000-00006FF00000}"/>
    <cellStyle name="Times 10 4" xfId="61552" xr:uid="{00000000-0005-0000-0000-000070F00000}"/>
    <cellStyle name="Times 12" xfId="61553" xr:uid="{00000000-0005-0000-0000-000071F00000}"/>
    <cellStyle name="Times 12 2" xfId="61554" xr:uid="{00000000-0005-0000-0000-000072F00000}"/>
    <cellStyle name="Times 12 2 2" xfId="61555" xr:uid="{00000000-0005-0000-0000-000073F00000}"/>
    <cellStyle name="Times 12 2 2 2" xfId="61556" xr:uid="{00000000-0005-0000-0000-000074F00000}"/>
    <cellStyle name="Times 12 2 3" xfId="61557" xr:uid="{00000000-0005-0000-0000-000075F00000}"/>
    <cellStyle name="Times 12 3" xfId="61558" xr:uid="{00000000-0005-0000-0000-000076F00000}"/>
    <cellStyle name="Times 12 3 2" xfId="61559" xr:uid="{00000000-0005-0000-0000-000077F00000}"/>
    <cellStyle name="Times 12 4" xfId="61560" xr:uid="{00000000-0005-0000-0000-000078F00000}"/>
    <cellStyle name="Tipo de calculo" xfId="61561" xr:uid="{00000000-0005-0000-0000-000079F00000}"/>
    <cellStyle name="Tipo de calculo 2" xfId="61562" xr:uid="{00000000-0005-0000-0000-00007AF00000}"/>
    <cellStyle name="Tipo de calculo 2 2" xfId="61563" xr:uid="{00000000-0005-0000-0000-00007BF00000}"/>
    <cellStyle name="Tipo de calculo 3" xfId="61564" xr:uid="{00000000-0005-0000-0000-00007CF00000}"/>
    <cellStyle name="Title 10" xfId="61565" xr:uid="{00000000-0005-0000-0000-00007DF00000}"/>
    <cellStyle name="Title 10 2" xfId="61566" xr:uid="{00000000-0005-0000-0000-00007EF00000}"/>
    <cellStyle name="Title 100" xfId="61567" xr:uid="{00000000-0005-0000-0000-00007FF00000}"/>
    <cellStyle name="Title 100 2" xfId="61568" xr:uid="{00000000-0005-0000-0000-000080F00000}"/>
    <cellStyle name="Title 101" xfId="61569" xr:uid="{00000000-0005-0000-0000-000081F00000}"/>
    <cellStyle name="Title 101 2" xfId="61570" xr:uid="{00000000-0005-0000-0000-000082F00000}"/>
    <cellStyle name="Title 102" xfId="61571" xr:uid="{00000000-0005-0000-0000-000083F00000}"/>
    <cellStyle name="Title 102 2" xfId="61572" xr:uid="{00000000-0005-0000-0000-000084F00000}"/>
    <cellStyle name="Title 103" xfId="61573" xr:uid="{00000000-0005-0000-0000-000085F00000}"/>
    <cellStyle name="Title 103 2" xfId="61574" xr:uid="{00000000-0005-0000-0000-000086F00000}"/>
    <cellStyle name="Title 104" xfId="61575" xr:uid="{00000000-0005-0000-0000-000087F00000}"/>
    <cellStyle name="Title 104 2" xfId="61576" xr:uid="{00000000-0005-0000-0000-000088F00000}"/>
    <cellStyle name="Title 105" xfId="61577" xr:uid="{00000000-0005-0000-0000-000089F00000}"/>
    <cellStyle name="Title 105 2" xfId="61578" xr:uid="{00000000-0005-0000-0000-00008AF00000}"/>
    <cellStyle name="Title 106" xfId="61579" xr:uid="{00000000-0005-0000-0000-00008BF00000}"/>
    <cellStyle name="Title 106 2" xfId="61580" xr:uid="{00000000-0005-0000-0000-00008CF00000}"/>
    <cellStyle name="Title 107" xfId="61581" xr:uid="{00000000-0005-0000-0000-00008DF00000}"/>
    <cellStyle name="Title 107 2" xfId="61582" xr:uid="{00000000-0005-0000-0000-00008EF00000}"/>
    <cellStyle name="Title 108" xfId="61583" xr:uid="{00000000-0005-0000-0000-00008FF00000}"/>
    <cellStyle name="Title 108 2" xfId="61584" xr:uid="{00000000-0005-0000-0000-000090F00000}"/>
    <cellStyle name="Title 109" xfId="61585" xr:uid="{00000000-0005-0000-0000-000091F00000}"/>
    <cellStyle name="Title 109 2" xfId="61586" xr:uid="{00000000-0005-0000-0000-000092F00000}"/>
    <cellStyle name="Title 11" xfId="61587" xr:uid="{00000000-0005-0000-0000-000093F00000}"/>
    <cellStyle name="Title 11 2" xfId="61588" xr:uid="{00000000-0005-0000-0000-000094F00000}"/>
    <cellStyle name="Title 110" xfId="61589" xr:uid="{00000000-0005-0000-0000-000095F00000}"/>
    <cellStyle name="Title 110 2" xfId="61590" xr:uid="{00000000-0005-0000-0000-000096F00000}"/>
    <cellStyle name="Title 111" xfId="61591" xr:uid="{00000000-0005-0000-0000-000097F00000}"/>
    <cellStyle name="Title 111 2" xfId="61592" xr:uid="{00000000-0005-0000-0000-000098F00000}"/>
    <cellStyle name="Title 112" xfId="61593" xr:uid="{00000000-0005-0000-0000-000099F00000}"/>
    <cellStyle name="Title 112 2" xfId="61594" xr:uid="{00000000-0005-0000-0000-00009AF00000}"/>
    <cellStyle name="Title 113" xfId="61595" xr:uid="{00000000-0005-0000-0000-00009BF00000}"/>
    <cellStyle name="Title 113 2" xfId="61596" xr:uid="{00000000-0005-0000-0000-00009CF00000}"/>
    <cellStyle name="Title 114" xfId="61597" xr:uid="{00000000-0005-0000-0000-00009DF00000}"/>
    <cellStyle name="Title 114 2" xfId="61598" xr:uid="{00000000-0005-0000-0000-00009EF00000}"/>
    <cellStyle name="Title 115" xfId="61599" xr:uid="{00000000-0005-0000-0000-00009FF00000}"/>
    <cellStyle name="Title 115 2" xfId="61600" xr:uid="{00000000-0005-0000-0000-0000A0F00000}"/>
    <cellStyle name="Title 116" xfId="61601" xr:uid="{00000000-0005-0000-0000-0000A1F00000}"/>
    <cellStyle name="Title 116 2" xfId="61602" xr:uid="{00000000-0005-0000-0000-0000A2F00000}"/>
    <cellStyle name="Title 117" xfId="61603" xr:uid="{00000000-0005-0000-0000-0000A3F00000}"/>
    <cellStyle name="Title 117 2" xfId="61604" xr:uid="{00000000-0005-0000-0000-0000A4F00000}"/>
    <cellStyle name="Title 118" xfId="61605" xr:uid="{00000000-0005-0000-0000-0000A5F00000}"/>
    <cellStyle name="Title 118 2" xfId="61606" xr:uid="{00000000-0005-0000-0000-0000A6F00000}"/>
    <cellStyle name="Title 119" xfId="61607" xr:uid="{00000000-0005-0000-0000-0000A7F00000}"/>
    <cellStyle name="Title 119 2" xfId="61608" xr:uid="{00000000-0005-0000-0000-0000A8F00000}"/>
    <cellStyle name="Title 12" xfId="61609" xr:uid="{00000000-0005-0000-0000-0000A9F00000}"/>
    <cellStyle name="Title 12 2" xfId="61610" xr:uid="{00000000-0005-0000-0000-0000AAF00000}"/>
    <cellStyle name="Title 120" xfId="61611" xr:uid="{00000000-0005-0000-0000-0000ABF00000}"/>
    <cellStyle name="Title 120 2" xfId="61612" xr:uid="{00000000-0005-0000-0000-0000ACF00000}"/>
    <cellStyle name="Title 121" xfId="61613" xr:uid="{00000000-0005-0000-0000-0000ADF00000}"/>
    <cellStyle name="Title 121 2" xfId="61614" xr:uid="{00000000-0005-0000-0000-0000AEF00000}"/>
    <cellStyle name="Title 122" xfId="61615" xr:uid="{00000000-0005-0000-0000-0000AFF00000}"/>
    <cellStyle name="Title 122 2" xfId="61616" xr:uid="{00000000-0005-0000-0000-0000B0F00000}"/>
    <cellStyle name="Title 123" xfId="61617" xr:uid="{00000000-0005-0000-0000-0000B1F00000}"/>
    <cellStyle name="Title 123 2" xfId="61618" xr:uid="{00000000-0005-0000-0000-0000B2F00000}"/>
    <cellStyle name="Title 124" xfId="61619" xr:uid="{00000000-0005-0000-0000-0000B3F00000}"/>
    <cellStyle name="Title 124 2" xfId="61620" xr:uid="{00000000-0005-0000-0000-0000B4F00000}"/>
    <cellStyle name="Title 125" xfId="61621" xr:uid="{00000000-0005-0000-0000-0000B5F00000}"/>
    <cellStyle name="Title 125 2" xfId="61622" xr:uid="{00000000-0005-0000-0000-0000B6F00000}"/>
    <cellStyle name="Title 126" xfId="61623" xr:uid="{00000000-0005-0000-0000-0000B7F00000}"/>
    <cellStyle name="Title 126 2" xfId="61624" xr:uid="{00000000-0005-0000-0000-0000B8F00000}"/>
    <cellStyle name="Title 127" xfId="61625" xr:uid="{00000000-0005-0000-0000-0000B9F00000}"/>
    <cellStyle name="Title 127 2" xfId="61626" xr:uid="{00000000-0005-0000-0000-0000BAF00000}"/>
    <cellStyle name="Title 128" xfId="61627" xr:uid="{00000000-0005-0000-0000-0000BBF00000}"/>
    <cellStyle name="Title 128 2" xfId="61628" xr:uid="{00000000-0005-0000-0000-0000BCF00000}"/>
    <cellStyle name="Title 129" xfId="61629" xr:uid="{00000000-0005-0000-0000-0000BDF00000}"/>
    <cellStyle name="Title 129 2" xfId="61630" xr:uid="{00000000-0005-0000-0000-0000BEF00000}"/>
    <cellStyle name="Title 13" xfId="61631" xr:uid="{00000000-0005-0000-0000-0000BFF00000}"/>
    <cellStyle name="Title 13 2" xfId="61632" xr:uid="{00000000-0005-0000-0000-0000C0F00000}"/>
    <cellStyle name="Title 130" xfId="61633" xr:uid="{00000000-0005-0000-0000-0000C1F00000}"/>
    <cellStyle name="Title 130 2" xfId="61634" xr:uid="{00000000-0005-0000-0000-0000C2F00000}"/>
    <cellStyle name="Title 131" xfId="61635" xr:uid="{00000000-0005-0000-0000-0000C3F00000}"/>
    <cellStyle name="Title 131 2" xfId="61636" xr:uid="{00000000-0005-0000-0000-0000C4F00000}"/>
    <cellStyle name="Title 132" xfId="61637" xr:uid="{00000000-0005-0000-0000-0000C5F00000}"/>
    <cellStyle name="Title 132 2" xfId="61638" xr:uid="{00000000-0005-0000-0000-0000C6F00000}"/>
    <cellStyle name="Title 133" xfId="61639" xr:uid="{00000000-0005-0000-0000-0000C7F00000}"/>
    <cellStyle name="Title 133 2" xfId="61640" xr:uid="{00000000-0005-0000-0000-0000C8F00000}"/>
    <cellStyle name="Title 134" xfId="61641" xr:uid="{00000000-0005-0000-0000-0000C9F00000}"/>
    <cellStyle name="Title 134 2" xfId="61642" xr:uid="{00000000-0005-0000-0000-0000CAF00000}"/>
    <cellStyle name="Title 135" xfId="61643" xr:uid="{00000000-0005-0000-0000-0000CBF00000}"/>
    <cellStyle name="Title 135 2" xfId="61644" xr:uid="{00000000-0005-0000-0000-0000CCF00000}"/>
    <cellStyle name="Title 136" xfId="61645" xr:uid="{00000000-0005-0000-0000-0000CDF00000}"/>
    <cellStyle name="Title 136 2" xfId="61646" xr:uid="{00000000-0005-0000-0000-0000CEF00000}"/>
    <cellStyle name="Title 137" xfId="61647" xr:uid="{00000000-0005-0000-0000-0000CFF00000}"/>
    <cellStyle name="Title 137 2" xfId="61648" xr:uid="{00000000-0005-0000-0000-0000D0F00000}"/>
    <cellStyle name="Title 138" xfId="61649" xr:uid="{00000000-0005-0000-0000-0000D1F00000}"/>
    <cellStyle name="Title 138 2" xfId="61650" xr:uid="{00000000-0005-0000-0000-0000D2F00000}"/>
    <cellStyle name="Title 139" xfId="61651" xr:uid="{00000000-0005-0000-0000-0000D3F00000}"/>
    <cellStyle name="Title 139 2" xfId="61652" xr:uid="{00000000-0005-0000-0000-0000D4F00000}"/>
    <cellStyle name="Title 14" xfId="61653" xr:uid="{00000000-0005-0000-0000-0000D5F00000}"/>
    <cellStyle name="Title 14 2" xfId="61654" xr:uid="{00000000-0005-0000-0000-0000D6F00000}"/>
    <cellStyle name="Title 140" xfId="61655" xr:uid="{00000000-0005-0000-0000-0000D7F00000}"/>
    <cellStyle name="Title 140 2" xfId="61656" xr:uid="{00000000-0005-0000-0000-0000D8F00000}"/>
    <cellStyle name="Title 141" xfId="61657" xr:uid="{00000000-0005-0000-0000-0000D9F00000}"/>
    <cellStyle name="Title 141 2" xfId="61658" xr:uid="{00000000-0005-0000-0000-0000DAF00000}"/>
    <cellStyle name="Title 142" xfId="61659" xr:uid="{00000000-0005-0000-0000-0000DBF00000}"/>
    <cellStyle name="Title 142 2" xfId="61660" xr:uid="{00000000-0005-0000-0000-0000DCF00000}"/>
    <cellStyle name="Title 143" xfId="61661" xr:uid="{00000000-0005-0000-0000-0000DDF00000}"/>
    <cellStyle name="Title 143 2" xfId="61662" xr:uid="{00000000-0005-0000-0000-0000DEF00000}"/>
    <cellStyle name="Title 144" xfId="61663" xr:uid="{00000000-0005-0000-0000-0000DFF00000}"/>
    <cellStyle name="Title 144 2" xfId="61664" xr:uid="{00000000-0005-0000-0000-0000E0F00000}"/>
    <cellStyle name="Title 145" xfId="61665" xr:uid="{00000000-0005-0000-0000-0000E1F00000}"/>
    <cellStyle name="Title 145 2" xfId="61666" xr:uid="{00000000-0005-0000-0000-0000E2F00000}"/>
    <cellStyle name="Title 146" xfId="61667" xr:uid="{00000000-0005-0000-0000-0000E3F00000}"/>
    <cellStyle name="Title 146 2" xfId="61668" xr:uid="{00000000-0005-0000-0000-0000E4F00000}"/>
    <cellStyle name="Title 147" xfId="61669" xr:uid="{00000000-0005-0000-0000-0000E5F00000}"/>
    <cellStyle name="Title 147 2" xfId="61670" xr:uid="{00000000-0005-0000-0000-0000E6F00000}"/>
    <cellStyle name="Title 148" xfId="61671" xr:uid="{00000000-0005-0000-0000-0000E7F00000}"/>
    <cellStyle name="Title 148 2" xfId="61672" xr:uid="{00000000-0005-0000-0000-0000E8F00000}"/>
    <cellStyle name="Title 149" xfId="61673" xr:uid="{00000000-0005-0000-0000-0000E9F00000}"/>
    <cellStyle name="Title 149 2" xfId="61674" xr:uid="{00000000-0005-0000-0000-0000EAF00000}"/>
    <cellStyle name="Title 15" xfId="61675" xr:uid="{00000000-0005-0000-0000-0000EBF00000}"/>
    <cellStyle name="Title 15 2" xfId="61676" xr:uid="{00000000-0005-0000-0000-0000ECF00000}"/>
    <cellStyle name="Title 150" xfId="61677" xr:uid="{00000000-0005-0000-0000-0000EDF00000}"/>
    <cellStyle name="Title 150 2" xfId="61678" xr:uid="{00000000-0005-0000-0000-0000EEF00000}"/>
    <cellStyle name="Title 151" xfId="61679" xr:uid="{00000000-0005-0000-0000-0000EFF00000}"/>
    <cellStyle name="Title 151 2" xfId="61680" xr:uid="{00000000-0005-0000-0000-0000F0F00000}"/>
    <cellStyle name="Title 152" xfId="61681" xr:uid="{00000000-0005-0000-0000-0000F1F00000}"/>
    <cellStyle name="Title 152 2" xfId="61682" xr:uid="{00000000-0005-0000-0000-0000F2F00000}"/>
    <cellStyle name="Title 153" xfId="61683" xr:uid="{00000000-0005-0000-0000-0000F3F00000}"/>
    <cellStyle name="Title 153 2" xfId="61684" xr:uid="{00000000-0005-0000-0000-0000F4F00000}"/>
    <cellStyle name="Title 154" xfId="61685" xr:uid="{00000000-0005-0000-0000-0000F5F00000}"/>
    <cellStyle name="Title 154 2" xfId="61686" xr:uid="{00000000-0005-0000-0000-0000F6F00000}"/>
    <cellStyle name="Title 155" xfId="61687" xr:uid="{00000000-0005-0000-0000-0000F7F00000}"/>
    <cellStyle name="Title 155 2" xfId="61688" xr:uid="{00000000-0005-0000-0000-0000F8F00000}"/>
    <cellStyle name="Title 156" xfId="61689" xr:uid="{00000000-0005-0000-0000-0000F9F00000}"/>
    <cellStyle name="Title 156 2" xfId="61690" xr:uid="{00000000-0005-0000-0000-0000FAF00000}"/>
    <cellStyle name="Title 157" xfId="61691" xr:uid="{00000000-0005-0000-0000-0000FBF00000}"/>
    <cellStyle name="Title 157 2" xfId="61692" xr:uid="{00000000-0005-0000-0000-0000FCF00000}"/>
    <cellStyle name="Title 158" xfId="61693" xr:uid="{00000000-0005-0000-0000-0000FDF00000}"/>
    <cellStyle name="Title 158 2" xfId="61694" xr:uid="{00000000-0005-0000-0000-0000FEF00000}"/>
    <cellStyle name="Title 159" xfId="61695" xr:uid="{00000000-0005-0000-0000-0000FFF00000}"/>
    <cellStyle name="Title 159 2" xfId="61696" xr:uid="{00000000-0005-0000-0000-000000F10000}"/>
    <cellStyle name="Title 16" xfId="61697" xr:uid="{00000000-0005-0000-0000-000001F10000}"/>
    <cellStyle name="Title 16 2" xfId="61698" xr:uid="{00000000-0005-0000-0000-000002F10000}"/>
    <cellStyle name="Title 160" xfId="61699" xr:uid="{00000000-0005-0000-0000-000003F10000}"/>
    <cellStyle name="Title 160 2" xfId="61700" xr:uid="{00000000-0005-0000-0000-000004F10000}"/>
    <cellStyle name="Title 161" xfId="61701" xr:uid="{00000000-0005-0000-0000-000005F10000}"/>
    <cellStyle name="Title 161 2" xfId="61702" xr:uid="{00000000-0005-0000-0000-000006F10000}"/>
    <cellStyle name="Title 162" xfId="61703" xr:uid="{00000000-0005-0000-0000-000007F10000}"/>
    <cellStyle name="Title 162 2" xfId="61704" xr:uid="{00000000-0005-0000-0000-000008F10000}"/>
    <cellStyle name="Title 163" xfId="61705" xr:uid="{00000000-0005-0000-0000-000009F10000}"/>
    <cellStyle name="Title 163 2" xfId="61706" xr:uid="{00000000-0005-0000-0000-00000AF10000}"/>
    <cellStyle name="Title 164" xfId="61707" xr:uid="{00000000-0005-0000-0000-00000BF10000}"/>
    <cellStyle name="Title 164 2" xfId="61708" xr:uid="{00000000-0005-0000-0000-00000CF10000}"/>
    <cellStyle name="Title 165" xfId="61709" xr:uid="{00000000-0005-0000-0000-00000DF10000}"/>
    <cellStyle name="Title 165 2" xfId="61710" xr:uid="{00000000-0005-0000-0000-00000EF10000}"/>
    <cellStyle name="Title 166" xfId="61711" xr:uid="{00000000-0005-0000-0000-00000FF10000}"/>
    <cellStyle name="Title 166 2" xfId="61712" xr:uid="{00000000-0005-0000-0000-000010F10000}"/>
    <cellStyle name="Title 167" xfId="61713" xr:uid="{00000000-0005-0000-0000-000011F10000}"/>
    <cellStyle name="Title 167 2" xfId="61714" xr:uid="{00000000-0005-0000-0000-000012F10000}"/>
    <cellStyle name="Title 168" xfId="61715" xr:uid="{00000000-0005-0000-0000-000013F10000}"/>
    <cellStyle name="Title 168 2" xfId="61716" xr:uid="{00000000-0005-0000-0000-000014F10000}"/>
    <cellStyle name="Title 169" xfId="61717" xr:uid="{00000000-0005-0000-0000-000015F10000}"/>
    <cellStyle name="Title 169 2" xfId="61718" xr:uid="{00000000-0005-0000-0000-000016F10000}"/>
    <cellStyle name="Title 17" xfId="61719" xr:uid="{00000000-0005-0000-0000-000017F10000}"/>
    <cellStyle name="Title 17 2" xfId="61720" xr:uid="{00000000-0005-0000-0000-000018F10000}"/>
    <cellStyle name="Title 170" xfId="61721" xr:uid="{00000000-0005-0000-0000-000019F10000}"/>
    <cellStyle name="Title 170 2" xfId="61722" xr:uid="{00000000-0005-0000-0000-00001AF10000}"/>
    <cellStyle name="Title 171" xfId="61723" xr:uid="{00000000-0005-0000-0000-00001BF10000}"/>
    <cellStyle name="Title 171 2" xfId="61724" xr:uid="{00000000-0005-0000-0000-00001CF10000}"/>
    <cellStyle name="Title 172" xfId="61725" xr:uid="{00000000-0005-0000-0000-00001DF10000}"/>
    <cellStyle name="Title 172 2" xfId="61726" xr:uid="{00000000-0005-0000-0000-00001EF10000}"/>
    <cellStyle name="Title 173" xfId="61727" xr:uid="{00000000-0005-0000-0000-00001FF10000}"/>
    <cellStyle name="Title 173 2" xfId="61728" xr:uid="{00000000-0005-0000-0000-000020F10000}"/>
    <cellStyle name="Title 174" xfId="61729" xr:uid="{00000000-0005-0000-0000-000021F10000}"/>
    <cellStyle name="Title 174 2" xfId="61730" xr:uid="{00000000-0005-0000-0000-000022F10000}"/>
    <cellStyle name="Title 175" xfId="61731" xr:uid="{00000000-0005-0000-0000-000023F10000}"/>
    <cellStyle name="Title 175 2" xfId="61732" xr:uid="{00000000-0005-0000-0000-000024F10000}"/>
    <cellStyle name="Title 176" xfId="61733" xr:uid="{00000000-0005-0000-0000-000025F10000}"/>
    <cellStyle name="Title 176 2" xfId="61734" xr:uid="{00000000-0005-0000-0000-000026F10000}"/>
    <cellStyle name="Title 177" xfId="61735" xr:uid="{00000000-0005-0000-0000-000027F10000}"/>
    <cellStyle name="Title 177 2" xfId="61736" xr:uid="{00000000-0005-0000-0000-000028F10000}"/>
    <cellStyle name="Title 178" xfId="61737" xr:uid="{00000000-0005-0000-0000-000029F10000}"/>
    <cellStyle name="Title 178 2" xfId="61738" xr:uid="{00000000-0005-0000-0000-00002AF10000}"/>
    <cellStyle name="Title 179" xfId="61739" xr:uid="{00000000-0005-0000-0000-00002BF10000}"/>
    <cellStyle name="Title 179 2" xfId="61740" xr:uid="{00000000-0005-0000-0000-00002CF10000}"/>
    <cellStyle name="Title 18" xfId="61741" xr:uid="{00000000-0005-0000-0000-00002DF10000}"/>
    <cellStyle name="Title 18 2" xfId="61742" xr:uid="{00000000-0005-0000-0000-00002EF10000}"/>
    <cellStyle name="Title 180" xfId="61743" xr:uid="{00000000-0005-0000-0000-00002FF10000}"/>
    <cellStyle name="Title 180 2" xfId="61744" xr:uid="{00000000-0005-0000-0000-000030F10000}"/>
    <cellStyle name="Title 181" xfId="61745" xr:uid="{00000000-0005-0000-0000-000031F10000}"/>
    <cellStyle name="Title 181 2" xfId="61746" xr:uid="{00000000-0005-0000-0000-000032F10000}"/>
    <cellStyle name="Title 182" xfId="61747" xr:uid="{00000000-0005-0000-0000-000033F10000}"/>
    <cellStyle name="Title 182 2" xfId="61748" xr:uid="{00000000-0005-0000-0000-000034F10000}"/>
    <cellStyle name="Title 183" xfId="61749" xr:uid="{00000000-0005-0000-0000-000035F10000}"/>
    <cellStyle name="Title 183 2" xfId="61750" xr:uid="{00000000-0005-0000-0000-000036F10000}"/>
    <cellStyle name="Title 184" xfId="61751" xr:uid="{00000000-0005-0000-0000-000037F10000}"/>
    <cellStyle name="Title 184 2" xfId="61752" xr:uid="{00000000-0005-0000-0000-000038F10000}"/>
    <cellStyle name="Title 185" xfId="61753" xr:uid="{00000000-0005-0000-0000-000039F10000}"/>
    <cellStyle name="Title 185 2" xfId="61754" xr:uid="{00000000-0005-0000-0000-00003AF10000}"/>
    <cellStyle name="Title 186" xfId="61755" xr:uid="{00000000-0005-0000-0000-00003BF10000}"/>
    <cellStyle name="Title 186 2" xfId="61756" xr:uid="{00000000-0005-0000-0000-00003CF10000}"/>
    <cellStyle name="Title 187" xfId="61757" xr:uid="{00000000-0005-0000-0000-00003DF10000}"/>
    <cellStyle name="Title 187 2" xfId="61758" xr:uid="{00000000-0005-0000-0000-00003EF10000}"/>
    <cellStyle name="Title 188" xfId="61759" xr:uid="{00000000-0005-0000-0000-00003FF10000}"/>
    <cellStyle name="Title 188 2" xfId="61760" xr:uid="{00000000-0005-0000-0000-000040F10000}"/>
    <cellStyle name="Title 189" xfId="61761" xr:uid="{00000000-0005-0000-0000-000041F10000}"/>
    <cellStyle name="Title 189 2" xfId="61762" xr:uid="{00000000-0005-0000-0000-000042F10000}"/>
    <cellStyle name="Title 19" xfId="61763" xr:uid="{00000000-0005-0000-0000-000043F10000}"/>
    <cellStyle name="Title 19 2" xfId="61764" xr:uid="{00000000-0005-0000-0000-000044F10000}"/>
    <cellStyle name="Title 190" xfId="61765" xr:uid="{00000000-0005-0000-0000-000045F10000}"/>
    <cellStyle name="Title 190 2" xfId="61766" xr:uid="{00000000-0005-0000-0000-000046F10000}"/>
    <cellStyle name="Title 191" xfId="61767" xr:uid="{00000000-0005-0000-0000-000047F10000}"/>
    <cellStyle name="Title 191 2" xfId="61768" xr:uid="{00000000-0005-0000-0000-000048F10000}"/>
    <cellStyle name="Title 192" xfId="61769" xr:uid="{00000000-0005-0000-0000-000049F10000}"/>
    <cellStyle name="Title 192 2" xfId="61770" xr:uid="{00000000-0005-0000-0000-00004AF10000}"/>
    <cellStyle name="Title 193" xfId="61771" xr:uid="{00000000-0005-0000-0000-00004BF10000}"/>
    <cellStyle name="Title 193 2" xfId="61772" xr:uid="{00000000-0005-0000-0000-00004CF10000}"/>
    <cellStyle name="Title 194" xfId="61773" xr:uid="{00000000-0005-0000-0000-00004DF10000}"/>
    <cellStyle name="Title 194 2" xfId="61774" xr:uid="{00000000-0005-0000-0000-00004EF10000}"/>
    <cellStyle name="Title 195" xfId="61775" xr:uid="{00000000-0005-0000-0000-00004FF10000}"/>
    <cellStyle name="Title 195 2" xfId="61776" xr:uid="{00000000-0005-0000-0000-000050F10000}"/>
    <cellStyle name="Title 196" xfId="61777" xr:uid="{00000000-0005-0000-0000-000051F10000}"/>
    <cellStyle name="Title 196 2" xfId="61778" xr:uid="{00000000-0005-0000-0000-000052F10000}"/>
    <cellStyle name="Title 197" xfId="61779" xr:uid="{00000000-0005-0000-0000-000053F10000}"/>
    <cellStyle name="Title 197 2" xfId="61780" xr:uid="{00000000-0005-0000-0000-000054F10000}"/>
    <cellStyle name="Title 198" xfId="61781" xr:uid="{00000000-0005-0000-0000-000055F10000}"/>
    <cellStyle name="Title 198 2" xfId="61782" xr:uid="{00000000-0005-0000-0000-000056F10000}"/>
    <cellStyle name="Title 2" xfId="61783" xr:uid="{00000000-0005-0000-0000-000057F10000}"/>
    <cellStyle name="Title 2 2" xfId="61784" xr:uid="{00000000-0005-0000-0000-000058F10000}"/>
    <cellStyle name="Title 2 2 2" xfId="61785" xr:uid="{00000000-0005-0000-0000-000059F10000}"/>
    <cellStyle name="Title 2 2 2 2" xfId="61786" xr:uid="{00000000-0005-0000-0000-00005AF10000}"/>
    <cellStyle name="Title 2 2 2 2 2" xfId="61787" xr:uid="{00000000-0005-0000-0000-00005BF10000}"/>
    <cellStyle name="Title 2 2 2 2 2 2" xfId="61788" xr:uid="{00000000-0005-0000-0000-00005CF10000}"/>
    <cellStyle name="Title 2 2 2 2 3" xfId="61789" xr:uid="{00000000-0005-0000-0000-00005DF10000}"/>
    <cellStyle name="Title 2 2 2 3" xfId="61790" xr:uid="{00000000-0005-0000-0000-00005EF10000}"/>
    <cellStyle name="Title 2 2 3" xfId="61791" xr:uid="{00000000-0005-0000-0000-00005FF10000}"/>
    <cellStyle name="Title 2 2 3 2" xfId="61792" xr:uid="{00000000-0005-0000-0000-000060F10000}"/>
    <cellStyle name="Title 2 2 4" xfId="61793" xr:uid="{00000000-0005-0000-0000-000061F10000}"/>
    <cellStyle name="Title 2 2 4 2" xfId="61794" xr:uid="{00000000-0005-0000-0000-000062F10000}"/>
    <cellStyle name="Title 2 2 5" xfId="61795" xr:uid="{00000000-0005-0000-0000-000063F10000}"/>
    <cellStyle name="Title 2 3" xfId="61796" xr:uid="{00000000-0005-0000-0000-000064F10000}"/>
    <cellStyle name="Title 2 3 2" xfId="61797" xr:uid="{00000000-0005-0000-0000-000065F10000}"/>
    <cellStyle name="Title 2 4" xfId="61798" xr:uid="{00000000-0005-0000-0000-000066F10000}"/>
    <cellStyle name="Title 2 4 2" xfId="61799" xr:uid="{00000000-0005-0000-0000-000067F10000}"/>
    <cellStyle name="Title 2 5" xfId="61800" xr:uid="{00000000-0005-0000-0000-000068F10000}"/>
    <cellStyle name="Title 2 5 2" xfId="61801" xr:uid="{00000000-0005-0000-0000-000069F10000}"/>
    <cellStyle name="Title 2 6" xfId="61802" xr:uid="{00000000-0005-0000-0000-00006AF10000}"/>
    <cellStyle name="Title 20" xfId="61803" xr:uid="{00000000-0005-0000-0000-00006BF10000}"/>
    <cellStyle name="Title 20 2" xfId="61804" xr:uid="{00000000-0005-0000-0000-00006CF10000}"/>
    <cellStyle name="Title 21" xfId="61805" xr:uid="{00000000-0005-0000-0000-00006DF10000}"/>
    <cellStyle name="Title 21 2" xfId="61806" xr:uid="{00000000-0005-0000-0000-00006EF10000}"/>
    <cellStyle name="Title 22" xfId="61807" xr:uid="{00000000-0005-0000-0000-00006FF10000}"/>
    <cellStyle name="Title 22 2" xfId="61808" xr:uid="{00000000-0005-0000-0000-000070F10000}"/>
    <cellStyle name="Title 23" xfId="61809" xr:uid="{00000000-0005-0000-0000-000071F10000}"/>
    <cellStyle name="Title 23 2" xfId="61810" xr:uid="{00000000-0005-0000-0000-000072F10000}"/>
    <cellStyle name="Title 24" xfId="61811" xr:uid="{00000000-0005-0000-0000-000073F10000}"/>
    <cellStyle name="Title 24 2" xfId="61812" xr:uid="{00000000-0005-0000-0000-000074F10000}"/>
    <cellStyle name="Title 25" xfId="61813" xr:uid="{00000000-0005-0000-0000-000075F10000}"/>
    <cellStyle name="Title 25 2" xfId="61814" xr:uid="{00000000-0005-0000-0000-000076F10000}"/>
    <cellStyle name="Title 26" xfId="61815" xr:uid="{00000000-0005-0000-0000-000077F10000}"/>
    <cellStyle name="Title 26 2" xfId="61816" xr:uid="{00000000-0005-0000-0000-000078F10000}"/>
    <cellStyle name="Title 27" xfId="61817" xr:uid="{00000000-0005-0000-0000-000079F10000}"/>
    <cellStyle name="Title 27 2" xfId="61818" xr:uid="{00000000-0005-0000-0000-00007AF10000}"/>
    <cellStyle name="Title 28" xfId="61819" xr:uid="{00000000-0005-0000-0000-00007BF10000}"/>
    <cellStyle name="Title 28 2" xfId="61820" xr:uid="{00000000-0005-0000-0000-00007CF10000}"/>
    <cellStyle name="Title 29" xfId="61821" xr:uid="{00000000-0005-0000-0000-00007DF10000}"/>
    <cellStyle name="Title 29 2" xfId="61822" xr:uid="{00000000-0005-0000-0000-00007EF10000}"/>
    <cellStyle name="Title 3" xfId="61823" xr:uid="{00000000-0005-0000-0000-00007FF10000}"/>
    <cellStyle name="Title 3 2" xfId="61824" xr:uid="{00000000-0005-0000-0000-000080F10000}"/>
    <cellStyle name="Title 30" xfId="61825" xr:uid="{00000000-0005-0000-0000-000081F10000}"/>
    <cellStyle name="Title 30 2" xfId="61826" xr:uid="{00000000-0005-0000-0000-000082F10000}"/>
    <cellStyle name="Title 31" xfId="61827" xr:uid="{00000000-0005-0000-0000-000083F10000}"/>
    <cellStyle name="Title 31 2" xfId="61828" xr:uid="{00000000-0005-0000-0000-000084F10000}"/>
    <cellStyle name="Title 32" xfId="61829" xr:uid="{00000000-0005-0000-0000-000085F10000}"/>
    <cellStyle name="Title 32 2" xfId="61830" xr:uid="{00000000-0005-0000-0000-000086F10000}"/>
    <cellStyle name="Title 33" xfId="61831" xr:uid="{00000000-0005-0000-0000-000087F10000}"/>
    <cellStyle name="Title 33 2" xfId="61832" xr:uid="{00000000-0005-0000-0000-000088F10000}"/>
    <cellStyle name="Title 34" xfId="61833" xr:uid="{00000000-0005-0000-0000-000089F10000}"/>
    <cellStyle name="Title 34 2" xfId="61834" xr:uid="{00000000-0005-0000-0000-00008AF10000}"/>
    <cellStyle name="Title 35" xfId="61835" xr:uid="{00000000-0005-0000-0000-00008BF10000}"/>
    <cellStyle name="Title 35 2" xfId="61836" xr:uid="{00000000-0005-0000-0000-00008CF10000}"/>
    <cellStyle name="Title 36" xfId="61837" xr:uid="{00000000-0005-0000-0000-00008DF10000}"/>
    <cellStyle name="Title 36 2" xfId="61838" xr:uid="{00000000-0005-0000-0000-00008EF10000}"/>
    <cellStyle name="Title 37" xfId="61839" xr:uid="{00000000-0005-0000-0000-00008FF10000}"/>
    <cellStyle name="Title 37 2" xfId="61840" xr:uid="{00000000-0005-0000-0000-000090F10000}"/>
    <cellStyle name="Title 38" xfId="61841" xr:uid="{00000000-0005-0000-0000-000091F10000}"/>
    <cellStyle name="Title 38 2" xfId="61842" xr:uid="{00000000-0005-0000-0000-000092F10000}"/>
    <cellStyle name="Title 39" xfId="61843" xr:uid="{00000000-0005-0000-0000-000093F10000}"/>
    <cellStyle name="Title 39 2" xfId="61844" xr:uid="{00000000-0005-0000-0000-000094F10000}"/>
    <cellStyle name="Title 4" xfId="61845" xr:uid="{00000000-0005-0000-0000-000095F10000}"/>
    <cellStyle name="Title 4 2" xfId="61846" xr:uid="{00000000-0005-0000-0000-000096F10000}"/>
    <cellStyle name="Title 40" xfId="61847" xr:uid="{00000000-0005-0000-0000-000097F10000}"/>
    <cellStyle name="Title 40 2" xfId="61848" xr:uid="{00000000-0005-0000-0000-000098F10000}"/>
    <cellStyle name="Title 41" xfId="61849" xr:uid="{00000000-0005-0000-0000-000099F10000}"/>
    <cellStyle name="Title 41 2" xfId="61850" xr:uid="{00000000-0005-0000-0000-00009AF10000}"/>
    <cellStyle name="Title 42" xfId="61851" xr:uid="{00000000-0005-0000-0000-00009BF10000}"/>
    <cellStyle name="Title 42 2" xfId="61852" xr:uid="{00000000-0005-0000-0000-00009CF10000}"/>
    <cellStyle name="Title 43" xfId="61853" xr:uid="{00000000-0005-0000-0000-00009DF10000}"/>
    <cellStyle name="Title 43 2" xfId="61854" xr:uid="{00000000-0005-0000-0000-00009EF10000}"/>
    <cellStyle name="Title 44" xfId="61855" xr:uid="{00000000-0005-0000-0000-00009FF10000}"/>
    <cellStyle name="Title 44 2" xfId="61856" xr:uid="{00000000-0005-0000-0000-0000A0F10000}"/>
    <cellStyle name="Title 45" xfId="61857" xr:uid="{00000000-0005-0000-0000-0000A1F10000}"/>
    <cellStyle name="Title 45 2" xfId="61858" xr:uid="{00000000-0005-0000-0000-0000A2F10000}"/>
    <cellStyle name="Title 46" xfId="61859" xr:uid="{00000000-0005-0000-0000-0000A3F10000}"/>
    <cellStyle name="Title 46 2" xfId="61860" xr:uid="{00000000-0005-0000-0000-0000A4F10000}"/>
    <cellStyle name="Title 47" xfId="61861" xr:uid="{00000000-0005-0000-0000-0000A5F10000}"/>
    <cellStyle name="Title 47 2" xfId="61862" xr:uid="{00000000-0005-0000-0000-0000A6F10000}"/>
    <cellStyle name="Title 48" xfId="61863" xr:uid="{00000000-0005-0000-0000-0000A7F10000}"/>
    <cellStyle name="Title 48 2" xfId="61864" xr:uid="{00000000-0005-0000-0000-0000A8F10000}"/>
    <cellStyle name="Title 49" xfId="61865" xr:uid="{00000000-0005-0000-0000-0000A9F10000}"/>
    <cellStyle name="Title 49 2" xfId="61866" xr:uid="{00000000-0005-0000-0000-0000AAF10000}"/>
    <cellStyle name="Title 5" xfId="61867" xr:uid="{00000000-0005-0000-0000-0000ABF10000}"/>
    <cellStyle name="Title 5 2" xfId="61868" xr:uid="{00000000-0005-0000-0000-0000ACF10000}"/>
    <cellStyle name="Title 50" xfId="61869" xr:uid="{00000000-0005-0000-0000-0000ADF10000}"/>
    <cellStyle name="Title 50 2" xfId="61870" xr:uid="{00000000-0005-0000-0000-0000AEF10000}"/>
    <cellStyle name="Title 51" xfId="61871" xr:uid="{00000000-0005-0000-0000-0000AFF10000}"/>
    <cellStyle name="Title 51 2" xfId="61872" xr:uid="{00000000-0005-0000-0000-0000B0F10000}"/>
    <cellStyle name="Title 52" xfId="61873" xr:uid="{00000000-0005-0000-0000-0000B1F10000}"/>
    <cellStyle name="Title 52 2" xfId="61874" xr:uid="{00000000-0005-0000-0000-0000B2F10000}"/>
    <cellStyle name="Title 53" xfId="61875" xr:uid="{00000000-0005-0000-0000-0000B3F10000}"/>
    <cellStyle name="Title 53 2" xfId="61876" xr:uid="{00000000-0005-0000-0000-0000B4F10000}"/>
    <cellStyle name="Title 54" xfId="61877" xr:uid="{00000000-0005-0000-0000-0000B5F10000}"/>
    <cellStyle name="Title 54 2" xfId="61878" xr:uid="{00000000-0005-0000-0000-0000B6F10000}"/>
    <cellStyle name="Title 55" xfId="61879" xr:uid="{00000000-0005-0000-0000-0000B7F10000}"/>
    <cellStyle name="Title 55 2" xfId="61880" xr:uid="{00000000-0005-0000-0000-0000B8F10000}"/>
    <cellStyle name="Title 56" xfId="61881" xr:uid="{00000000-0005-0000-0000-0000B9F10000}"/>
    <cellStyle name="Title 56 2" xfId="61882" xr:uid="{00000000-0005-0000-0000-0000BAF10000}"/>
    <cellStyle name="Title 57" xfId="61883" xr:uid="{00000000-0005-0000-0000-0000BBF10000}"/>
    <cellStyle name="Title 57 2" xfId="61884" xr:uid="{00000000-0005-0000-0000-0000BCF10000}"/>
    <cellStyle name="Title 58" xfId="61885" xr:uid="{00000000-0005-0000-0000-0000BDF10000}"/>
    <cellStyle name="Title 58 2" xfId="61886" xr:uid="{00000000-0005-0000-0000-0000BEF10000}"/>
    <cellStyle name="Title 59" xfId="61887" xr:uid="{00000000-0005-0000-0000-0000BFF10000}"/>
    <cellStyle name="Title 59 2" xfId="61888" xr:uid="{00000000-0005-0000-0000-0000C0F10000}"/>
    <cellStyle name="Title 59 2 2" xfId="61889" xr:uid="{00000000-0005-0000-0000-0000C1F10000}"/>
    <cellStyle name="Title 59 3" xfId="61890" xr:uid="{00000000-0005-0000-0000-0000C2F10000}"/>
    <cellStyle name="Title 6" xfId="61891" xr:uid="{00000000-0005-0000-0000-0000C3F10000}"/>
    <cellStyle name="Title 6 2" xfId="61892" xr:uid="{00000000-0005-0000-0000-0000C4F10000}"/>
    <cellStyle name="Title 60" xfId="61893" xr:uid="{00000000-0005-0000-0000-0000C5F10000}"/>
    <cellStyle name="Title 60 2" xfId="61894" xr:uid="{00000000-0005-0000-0000-0000C6F10000}"/>
    <cellStyle name="Title 61" xfId="61895" xr:uid="{00000000-0005-0000-0000-0000C7F10000}"/>
    <cellStyle name="Title 61 2" xfId="61896" xr:uid="{00000000-0005-0000-0000-0000C8F10000}"/>
    <cellStyle name="Title 62" xfId="61897" xr:uid="{00000000-0005-0000-0000-0000C9F10000}"/>
    <cellStyle name="Title 62 2" xfId="61898" xr:uid="{00000000-0005-0000-0000-0000CAF10000}"/>
    <cellStyle name="Title 63" xfId="61899" xr:uid="{00000000-0005-0000-0000-0000CBF10000}"/>
    <cellStyle name="Title 63 2" xfId="61900" xr:uid="{00000000-0005-0000-0000-0000CCF10000}"/>
    <cellStyle name="Title 64" xfId="61901" xr:uid="{00000000-0005-0000-0000-0000CDF10000}"/>
    <cellStyle name="Title 64 2" xfId="61902" xr:uid="{00000000-0005-0000-0000-0000CEF10000}"/>
    <cellStyle name="Title 65" xfId="61903" xr:uid="{00000000-0005-0000-0000-0000CFF10000}"/>
    <cellStyle name="Title 65 2" xfId="61904" xr:uid="{00000000-0005-0000-0000-0000D0F10000}"/>
    <cellStyle name="Title 66" xfId="61905" xr:uid="{00000000-0005-0000-0000-0000D1F10000}"/>
    <cellStyle name="Title 66 2" xfId="61906" xr:uid="{00000000-0005-0000-0000-0000D2F10000}"/>
    <cellStyle name="Title 67" xfId="61907" xr:uid="{00000000-0005-0000-0000-0000D3F10000}"/>
    <cellStyle name="Title 67 2" xfId="61908" xr:uid="{00000000-0005-0000-0000-0000D4F10000}"/>
    <cellStyle name="Title 68" xfId="61909" xr:uid="{00000000-0005-0000-0000-0000D5F10000}"/>
    <cellStyle name="Title 68 2" xfId="61910" xr:uid="{00000000-0005-0000-0000-0000D6F10000}"/>
    <cellStyle name="Title 69" xfId="61911" xr:uid="{00000000-0005-0000-0000-0000D7F10000}"/>
    <cellStyle name="Title 69 2" xfId="61912" xr:uid="{00000000-0005-0000-0000-0000D8F10000}"/>
    <cellStyle name="Title 7" xfId="61913" xr:uid="{00000000-0005-0000-0000-0000D9F10000}"/>
    <cellStyle name="Title 7 2" xfId="61914" xr:uid="{00000000-0005-0000-0000-0000DAF10000}"/>
    <cellStyle name="Title 70" xfId="61915" xr:uid="{00000000-0005-0000-0000-0000DBF10000}"/>
    <cellStyle name="Title 70 2" xfId="61916" xr:uid="{00000000-0005-0000-0000-0000DCF10000}"/>
    <cellStyle name="Title 71" xfId="61917" xr:uid="{00000000-0005-0000-0000-0000DDF10000}"/>
    <cellStyle name="Title 71 2" xfId="61918" xr:uid="{00000000-0005-0000-0000-0000DEF10000}"/>
    <cellStyle name="Title 72" xfId="61919" xr:uid="{00000000-0005-0000-0000-0000DFF10000}"/>
    <cellStyle name="Title 72 2" xfId="61920" xr:uid="{00000000-0005-0000-0000-0000E0F10000}"/>
    <cellStyle name="Title 73" xfId="61921" xr:uid="{00000000-0005-0000-0000-0000E1F10000}"/>
    <cellStyle name="Title 73 2" xfId="61922" xr:uid="{00000000-0005-0000-0000-0000E2F10000}"/>
    <cellStyle name="Title 74" xfId="61923" xr:uid="{00000000-0005-0000-0000-0000E3F10000}"/>
    <cellStyle name="Title 74 2" xfId="61924" xr:uid="{00000000-0005-0000-0000-0000E4F10000}"/>
    <cellStyle name="Title 75" xfId="61925" xr:uid="{00000000-0005-0000-0000-0000E5F10000}"/>
    <cellStyle name="Title 75 2" xfId="61926" xr:uid="{00000000-0005-0000-0000-0000E6F10000}"/>
    <cellStyle name="Title 76" xfId="61927" xr:uid="{00000000-0005-0000-0000-0000E7F10000}"/>
    <cellStyle name="Title 76 2" xfId="61928" xr:uid="{00000000-0005-0000-0000-0000E8F10000}"/>
    <cellStyle name="Title 77" xfId="61929" xr:uid="{00000000-0005-0000-0000-0000E9F10000}"/>
    <cellStyle name="Title 77 2" xfId="61930" xr:uid="{00000000-0005-0000-0000-0000EAF10000}"/>
    <cellStyle name="Title 78" xfId="61931" xr:uid="{00000000-0005-0000-0000-0000EBF10000}"/>
    <cellStyle name="Title 78 2" xfId="61932" xr:uid="{00000000-0005-0000-0000-0000ECF10000}"/>
    <cellStyle name="Title 79" xfId="61933" xr:uid="{00000000-0005-0000-0000-0000EDF10000}"/>
    <cellStyle name="Title 79 2" xfId="61934" xr:uid="{00000000-0005-0000-0000-0000EEF10000}"/>
    <cellStyle name="Title 8" xfId="61935" xr:uid="{00000000-0005-0000-0000-0000EFF10000}"/>
    <cellStyle name="Title 8 2" xfId="61936" xr:uid="{00000000-0005-0000-0000-0000F0F10000}"/>
    <cellStyle name="Title 80" xfId="61937" xr:uid="{00000000-0005-0000-0000-0000F1F10000}"/>
    <cellStyle name="Title 80 2" xfId="61938" xr:uid="{00000000-0005-0000-0000-0000F2F10000}"/>
    <cellStyle name="Title 81" xfId="61939" xr:uid="{00000000-0005-0000-0000-0000F3F10000}"/>
    <cellStyle name="Title 81 2" xfId="61940" xr:uid="{00000000-0005-0000-0000-0000F4F10000}"/>
    <cellStyle name="Title 82" xfId="61941" xr:uid="{00000000-0005-0000-0000-0000F5F10000}"/>
    <cellStyle name="Title 82 2" xfId="61942" xr:uid="{00000000-0005-0000-0000-0000F6F10000}"/>
    <cellStyle name="Title 83" xfId="61943" xr:uid="{00000000-0005-0000-0000-0000F7F10000}"/>
    <cellStyle name="Title 83 2" xfId="61944" xr:uid="{00000000-0005-0000-0000-0000F8F10000}"/>
    <cellStyle name="Title 84" xfId="61945" xr:uid="{00000000-0005-0000-0000-0000F9F10000}"/>
    <cellStyle name="Title 84 2" xfId="61946" xr:uid="{00000000-0005-0000-0000-0000FAF10000}"/>
    <cellStyle name="Title 85" xfId="61947" xr:uid="{00000000-0005-0000-0000-0000FBF10000}"/>
    <cellStyle name="Title 85 2" xfId="61948" xr:uid="{00000000-0005-0000-0000-0000FCF10000}"/>
    <cellStyle name="Title 86" xfId="61949" xr:uid="{00000000-0005-0000-0000-0000FDF10000}"/>
    <cellStyle name="Title 86 2" xfId="61950" xr:uid="{00000000-0005-0000-0000-0000FEF10000}"/>
    <cellStyle name="Title 87" xfId="61951" xr:uid="{00000000-0005-0000-0000-0000FFF10000}"/>
    <cellStyle name="Title 87 2" xfId="61952" xr:uid="{00000000-0005-0000-0000-000000F20000}"/>
    <cellStyle name="Title 88" xfId="61953" xr:uid="{00000000-0005-0000-0000-000001F20000}"/>
    <cellStyle name="Title 88 2" xfId="61954" xr:uid="{00000000-0005-0000-0000-000002F20000}"/>
    <cellStyle name="Title 89" xfId="61955" xr:uid="{00000000-0005-0000-0000-000003F20000}"/>
    <cellStyle name="Title 89 2" xfId="61956" xr:uid="{00000000-0005-0000-0000-000004F20000}"/>
    <cellStyle name="Title 9" xfId="61957" xr:uid="{00000000-0005-0000-0000-000005F20000}"/>
    <cellStyle name="Title 9 2" xfId="61958" xr:uid="{00000000-0005-0000-0000-000006F20000}"/>
    <cellStyle name="Title 90" xfId="61959" xr:uid="{00000000-0005-0000-0000-000007F20000}"/>
    <cellStyle name="Title 90 2" xfId="61960" xr:uid="{00000000-0005-0000-0000-000008F20000}"/>
    <cellStyle name="Title 91" xfId="61961" xr:uid="{00000000-0005-0000-0000-000009F20000}"/>
    <cellStyle name="Title 91 2" xfId="61962" xr:uid="{00000000-0005-0000-0000-00000AF20000}"/>
    <cellStyle name="Title 92" xfId="61963" xr:uid="{00000000-0005-0000-0000-00000BF20000}"/>
    <cellStyle name="Title 92 2" xfId="61964" xr:uid="{00000000-0005-0000-0000-00000CF20000}"/>
    <cellStyle name="Title 93" xfId="61965" xr:uid="{00000000-0005-0000-0000-00000DF20000}"/>
    <cellStyle name="Title 93 2" xfId="61966" xr:uid="{00000000-0005-0000-0000-00000EF20000}"/>
    <cellStyle name="Title 94" xfId="61967" xr:uid="{00000000-0005-0000-0000-00000FF20000}"/>
    <cellStyle name="Title 94 2" xfId="61968" xr:uid="{00000000-0005-0000-0000-000010F20000}"/>
    <cellStyle name="Title 95" xfId="61969" xr:uid="{00000000-0005-0000-0000-000011F20000}"/>
    <cellStyle name="Title 95 2" xfId="61970" xr:uid="{00000000-0005-0000-0000-000012F20000}"/>
    <cellStyle name="Title 96" xfId="61971" xr:uid="{00000000-0005-0000-0000-000013F20000}"/>
    <cellStyle name="Title 96 2" xfId="61972" xr:uid="{00000000-0005-0000-0000-000014F20000}"/>
    <cellStyle name="Title 97" xfId="61973" xr:uid="{00000000-0005-0000-0000-000015F20000}"/>
    <cellStyle name="Title 97 2" xfId="61974" xr:uid="{00000000-0005-0000-0000-000016F20000}"/>
    <cellStyle name="Title 98" xfId="61975" xr:uid="{00000000-0005-0000-0000-000017F20000}"/>
    <cellStyle name="Title 98 2" xfId="61976" xr:uid="{00000000-0005-0000-0000-000018F20000}"/>
    <cellStyle name="Title 99" xfId="61977" xr:uid="{00000000-0005-0000-0000-000019F20000}"/>
    <cellStyle name="Title 99 2" xfId="61978" xr:uid="{00000000-0005-0000-0000-00001AF20000}"/>
    <cellStyle name="TitleII" xfId="61979" xr:uid="{00000000-0005-0000-0000-00001BF20000}"/>
    <cellStyle name="TitleII 2" xfId="61980" xr:uid="{00000000-0005-0000-0000-00001CF20000}"/>
    <cellStyle name="TitleII 2 2" xfId="61981" xr:uid="{00000000-0005-0000-0000-00001DF20000}"/>
    <cellStyle name="TitleII 3" xfId="61982" xr:uid="{00000000-0005-0000-0000-00001EF20000}"/>
    <cellStyle name="Titre" xfId="61983" xr:uid="{00000000-0005-0000-0000-00001FF20000}"/>
    <cellStyle name="Titre 2" xfId="61984" xr:uid="{00000000-0005-0000-0000-000020F20000}"/>
    <cellStyle name="Titre 2 2" xfId="61985" xr:uid="{00000000-0005-0000-0000-000021F20000}"/>
    <cellStyle name="Titre 3" xfId="61986" xr:uid="{00000000-0005-0000-0000-000022F20000}"/>
    <cellStyle name="Titre 1" xfId="61987" xr:uid="{00000000-0005-0000-0000-000023F20000}"/>
    <cellStyle name="Titre 1 2" xfId="61988" xr:uid="{00000000-0005-0000-0000-000024F20000}"/>
    <cellStyle name="Titre 1 2 2" xfId="61989" xr:uid="{00000000-0005-0000-0000-000025F20000}"/>
    <cellStyle name="Titre 1 3" xfId="61990" xr:uid="{00000000-0005-0000-0000-000026F20000}"/>
    <cellStyle name="Titre 2" xfId="61991" xr:uid="{00000000-0005-0000-0000-000027F20000}"/>
    <cellStyle name="Titre 2 2" xfId="61992" xr:uid="{00000000-0005-0000-0000-000028F20000}"/>
    <cellStyle name="Titre 2 2 2" xfId="61993" xr:uid="{00000000-0005-0000-0000-000029F20000}"/>
    <cellStyle name="Titre 2 3" xfId="61994" xr:uid="{00000000-0005-0000-0000-00002AF20000}"/>
    <cellStyle name="Titre 3" xfId="61995" xr:uid="{00000000-0005-0000-0000-00002BF20000}"/>
    <cellStyle name="Titre 3 2" xfId="61996" xr:uid="{00000000-0005-0000-0000-00002CF20000}"/>
    <cellStyle name="Titre 3 2 2" xfId="61997" xr:uid="{00000000-0005-0000-0000-00002DF20000}"/>
    <cellStyle name="Titre 3 3" xfId="61998" xr:uid="{00000000-0005-0000-0000-00002EF20000}"/>
    <cellStyle name="Titre 3 4" xfId="61999" xr:uid="{00000000-0005-0000-0000-00002FF20000}"/>
    <cellStyle name="Titre 4" xfId="62000" xr:uid="{00000000-0005-0000-0000-000030F20000}"/>
    <cellStyle name="Titre 4 2" xfId="62001" xr:uid="{00000000-0005-0000-0000-000031F20000}"/>
    <cellStyle name="Titre 4 2 2" xfId="62002" xr:uid="{00000000-0005-0000-0000-000032F20000}"/>
    <cellStyle name="Titre 4 3" xfId="62003" xr:uid="{00000000-0005-0000-0000-000033F20000}"/>
    <cellStyle name="Tittle" xfId="62004" xr:uid="{00000000-0005-0000-0000-000034F20000}"/>
    <cellStyle name="Tittle 2" xfId="62005" xr:uid="{00000000-0005-0000-0000-000035F20000}"/>
    <cellStyle name="Tittle 2 2" xfId="62006" xr:uid="{00000000-0005-0000-0000-000036F20000}"/>
    <cellStyle name="Tittle 3" xfId="62007" xr:uid="{00000000-0005-0000-0000-000037F20000}"/>
    <cellStyle name="TITULO" xfId="62008" xr:uid="{00000000-0005-0000-0000-000038F20000}"/>
    <cellStyle name="Titulo #1" xfId="62009" xr:uid="{00000000-0005-0000-0000-000039F20000}"/>
    <cellStyle name="Titulo #1 2" xfId="62010" xr:uid="{00000000-0005-0000-0000-00003AF20000}"/>
    <cellStyle name="Titulo #1 2 2" xfId="62011" xr:uid="{00000000-0005-0000-0000-00003BF20000}"/>
    <cellStyle name="Titulo #1 3" xfId="62012" xr:uid="{00000000-0005-0000-0000-00003CF20000}"/>
    <cellStyle name="Titulo #2" xfId="62013" xr:uid="{00000000-0005-0000-0000-00003DF20000}"/>
    <cellStyle name="Titulo #2 2" xfId="62014" xr:uid="{00000000-0005-0000-0000-00003EF20000}"/>
    <cellStyle name="Titulo #2 2 2" xfId="62015" xr:uid="{00000000-0005-0000-0000-00003FF20000}"/>
    <cellStyle name="Titulo #2 3" xfId="62016" xr:uid="{00000000-0005-0000-0000-000040F20000}"/>
    <cellStyle name="Titulo #3" xfId="62017" xr:uid="{00000000-0005-0000-0000-000041F20000}"/>
    <cellStyle name="Titulo #3 2" xfId="62018" xr:uid="{00000000-0005-0000-0000-000042F20000}"/>
    <cellStyle name="Titulo #3 2 2" xfId="62019" xr:uid="{00000000-0005-0000-0000-000043F20000}"/>
    <cellStyle name="Titulo #3 3" xfId="62020" xr:uid="{00000000-0005-0000-0000-000044F20000}"/>
    <cellStyle name="Título 1 2" xfId="62021" xr:uid="{00000000-0005-0000-0000-000045F20000}"/>
    <cellStyle name="Título 1 2 2" xfId="62022" xr:uid="{00000000-0005-0000-0000-000046F20000}"/>
    <cellStyle name="Título 1 3" xfId="62023" xr:uid="{00000000-0005-0000-0000-000047F20000}"/>
    <cellStyle name="TITULO 2" xfId="62024" xr:uid="{00000000-0005-0000-0000-000048F20000}"/>
    <cellStyle name="TITULO 2 2" xfId="62025" xr:uid="{00000000-0005-0000-0000-000049F20000}"/>
    <cellStyle name="Título 2 2" xfId="62026" xr:uid="{00000000-0005-0000-0000-00004AF20000}"/>
    <cellStyle name="Título 2 2 2" xfId="62027" xr:uid="{00000000-0005-0000-0000-00004BF20000}"/>
    <cellStyle name="Título 2 3" xfId="62028" xr:uid="{00000000-0005-0000-0000-00004CF20000}"/>
    <cellStyle name="TITULO 3" xfId="62029" xr:uid="{00000000-0005-0000-0000-00004DF20000}"/>
    <cellStyle name="TITULO 3 2" xfId="62030" xr:uid="{00000000-0005-0000-0000-00004EF20000}"/>
    <cellStyle name="Título 3 2" xfId="62031" xr:uid="{00000000-0005-0000-0000-00004FF20000}"/>
    <cellStyle name="Título 3 2 2" xfId="62032" xr:uid="{00000000-0005-0000-0000-000050F20000}"/>
    <cellStyle name="Título 3 3" xfId="62033" xr:uid="{00000000-0005-0000-0000-000051F20000}"/>
    <cellStyle name="Título 3 4" xfId="62034" xr:uid="{00000000-0005-0000-0000-000052F20000}"/>
    <cellStyle name="TITULO 4" xfId="62035" xr:uid="{00000000-0005-0000-0000-000053F20000}"/>
    <cellStyle name="Título 4 2" xfId="62036" xr:uid="{00000000-0005-0000-0000-000054F20000}"/>
    <cellStyle name="Título 4 2 2" xfId="62037" xr:uid="{00000000-0005-0000-0000-000055F20000}"/>
    <cellStyle name="Título 4 3" xfId="62038" xr:uid="{00000000-0005-0000-0000-000056F20000}"/>
    <cellStyle name="TITULO 5" xfId="62039" xr:uid="{00000000-0005-0000-0000-000057F20000}"/>
    <cellStyle name="Título 5" xfId="62040" xr:uid="{00000000-0005-0000-0000-000058F20000}"/>
    <cellStyle name="Título 5 2" xfId="62041" xr:uid="{00000000-0005-0000-0000-000059F20000}"/>
    <cellStyle name="Título 6" xfId="62042" xr:uid="{00000000-0005-0000-0000-00005AF20000}"/>
    <cellStyle name="Título 6 2" xfId="62043" xr:uid="{00000000-0005-0000-0000-00005BF20000}"/>
    <cellStyle name="Título 7" xfId="62044" xr:uid="{00000000-0005-0000-0000-00005CF20000}"/>
    <cellStyle name="Título 8" xfId="62045" xr:uid="{00000000-0005-0000-0000-00005DF20000}"/>
    <cellStyle name="TITULO_CA ML" xfId="62046" xr:uid="{00000000-0005-0000-0000-00005EF20000}"/>
    <cellStyle name="Títulos" xfId="62047" xr:uid="{00000000-0005-0000-0000-00005FF20000}"/>
    <cellStyle name="Títulos 2" xfId="62048" xr:uid="{00000000-0005-0000-0000-000060F20000}"/>
    <cellStyle name="TopGrey" xfId="62049" xr:uid="{00000000-0005-0000-0000-000061F20000}"/>
    <cellStyle name="TopGrey 2" xfId="62050" xr:uid="{00000000-0005-0000-0000-000062F20000}"/>
    <cellStyle name="TopGrey 2 2" xfId="62051" xr:uid="{00000000-0005-0000-0000-000063F20000}"/>
    <cellStyle name="TopGrey 3" xfId="62052" xr:uid="{00000000-0005-0000-0000-000064F20000}"/>
    <cellStyle name="Total - Style2" xfId="62053" xr:uid="{00000000-0005-0000-0000-000065F20000}"/>
    <cellStyle name="Total - Style2 2" xfId="62054" xr:uid="{00000000-0005-0000-0000-000066F20000}"/>
    <cellStyle name="Total - Style2 3" xfId="62055" xr:uid="{00000000-0005-0000-0000-000067F20000}"/>
    <cellStyle name="Total - Style2 4" xfId="62056" xr:uid="{00000000-0005-0000-0000-000068F20000}"/>
    <cellStyle name="Total 10" xfId="62057" xr:uid="{00000000-0005-0000-0000-000069F20000}"/>
    <cellStyle name="Total 10 2" xfId="62058" xr:uid="{00000000-0005-0000-0000-00006AF20000}"/>
    <cellStyle name="Total 10 2 2" xfId="62059" xr:uid="{00000000-0005-0000-0000-00006BF20000}"/>
    <cellStyle name="Total 10 2 2 2" xfId="62060" xr:uid="{00000000-0005-0000-0000-00006CF20000}"/>
    <cellStyle name="Total 10 2 3" xfId="62061" xr:uid="{00000000-0005-0000-0000-00006DF20000}"/>
    <cellStyle name="Total 10 2 3 2" xfId="62062" xr:uid="{00000000-0005-0000-0000-00006EF20000}"/>
    <cellStyle name="Total 10 2 3 3" xfId="62063" xr:uid="{00000000-0005-0000-0000-00006FF20000}"/>
    <cellStyle name="Total 10 2 4" xfId="62064" xr:uid="{00000000-0005-0000-0000-000070F20000}"/>
    <cellStyle name="Total 10 2 5" xfId="62065" xr:uid="{00000000-0005-0000-0000-000071F20000}"/>
    <cellStyle name="Total 10 3" xfId="62066" xr:uid="{00000000-0005-0000-0000-000072F20000}"/>
    <cellStyle name="Total 10 3 2" xfId="62067" xr:uid="{00000000-0005-0000-0000-000073F20000}"/>
    <cellStyle name="Total 10 3 3" xfId="62068" xr:uid="{00000000-0005-0000-0000-000074F20000}"/>
    <cellStyle name="Total 10 4" xfId="62069" xr:uid="{00000000-0005-0000-0000-000075F20000}"/>
    <cellStyle name="Total 10 5" xfId="62070" xr:uid="{00000000-0005-0000-0000-000076F20000}"/>
    <cellStyle name="Total 100" xfId="62071" xr:uid="{00000000-0005-0000-0000-000077F20000}"/>
    <cellStyle name="Total 100 2" xfId="62072" xr:uid="{00000000-0005-0000-0000-000078F20000}"/>
    <cellStyle name="Total 100 2 2" xfId="62073" xr:uid="{00000000-0005-0000-0000-000079F20000}"/>
    <cellStyle name="Total 100 2 2 2" xfId="62074" xr:uid="{00000000-0005-0000-0000-00007AF20000}"/>
    <cellStyle name="Total 100 2 3" xfId="62075" xr:uid="{00000000-0005-0000-0000-00007BF20000}"/>
    <cellStyle name="Total 100 2 3 2" xfId="62076" xr:uid="{00000000-0005-0000-0000-00007CF20000}"/>
    <cellStyle name="Total 100 2 3 3" xfId="62077" xr:uid="{00000000-0005-0000-0000-00007DF20000}"/>
    <cellStyle name="Total 100 2 4" xfId="62078" xr:uid="{00000000-0005-0000-0000-00007EF20000}"/>
    <cellStyle name="Total 100 2 5" xfId="62079" xr:uid="{00000000-0005-0000-0000-00007FF20000}"/>
    <cellStyle name="Total 100 3" xfId="62080" xr:uid="{00000000-0005-0000-0000-000080F20000}"/>
    <cellStyle name="Total 100 3 2" xfId="62081" xr:uid="{00000000-0005-0000-0000-000081F20000}"/>
    <cellStyle name="Total 100 3 3" xfId="62082" xr:uid="{00000000-0005-0000-0000-000082F20000}"/>
    <cellStyle name="Total 100 4" xfId="62083" xr:uid="{00000000-0005-0000-0000-000083F20000}"/>
    <cellStyle name="Total 100 5" xfId="62084" xr:uid="{00000000-0005-0000-0000-000084F20000}"/>
    <cellStyle name="Total 101" xfId="62085" xr:uid="{00000000-0005-0000-0000-000085F20000}"/>
    <cellStyle name="Total 101 2" xfId="62086" xr:uid="{00000000-0005-0000-0000-000086F20000}"/>
    <cellStyle name="Total 101 2 2" xfId="62087" xr:uid="{00000000-0005-0000-0000-000087F20000}"/>
    <cellStyle name="Total 101 2 2 2" xfId="62088" xr:uid="{00000000-0005-0000-0000-000088F20000}"/>
    <cellStyle name="Total 101 2 3" xfId="62089" xr:uid="{00000000-0005-0000-0000-000089F20000}"/>
    <cellStyle name="Total 101 2 3 2" xfId="62090" xr:uid="{00000000-0005-0000-0000-00008AF20000}"/>
    <cellStyle name="Total 101 2 3 3" xfId="62091" xr:uid="{00000000-0005-0000-0000-00008BF20000}"/>
    <cellStyle name="Total 101 2 4" xfId="62092" xr:uid="{00000000-0005-0000-0000-00008CF20000}"/>
    <cellStyle name="Total 101 2 5" xfId="62093" xr:uid="{00000000-0005-0000-0000-00008DF20000}"/>
    <cellStyle name="Total 101 3" xfId="62094" xr:uid="{00000000-0005-0000-0000-00008EF20000}"/>
    <cellStyle name="Total 101 3 2" xfId="62095" xr:uid="{00000000-0005-0000-0000-00008FF20000}"/>
    <cellStyle name="Total 101 3 3" xfId="62096" xr:uid="{00000000-0005-0000-0000-000090F20000}"/>
    <cellStyle name="Total 101 4" xfId="62097" xr:uid="{00000000-0005-0000-0000-000091F20000}"/>
    <cellStyle name="Total 101 5" xfId="62098" xr:uid="{00000000-0005-0000-0000-000092F20000}"/>
    <cellStyle name="Total 102" xfId="62099" xr:uid="{00000000-0005-0000-0000-000093F20000}"/>
    <cellStyle name="Total 102 2" xfId="62100" xr:uid="{00000000-0005-0000-0000-000094F20000}"/>
    <cellStyle name="Total 102 2 2" xfId="62101" xr:uid="{00000000-0005-0000-0000-000095F20000}"/>
    <cellStyle name="Total 102 2 2 2" xfId="62102" xr:uid="{00000000-0005-0000-0000-000096F20000}"/>
    <cellStyle name="Total 102 2 3" xfId="62103" xr:uid="{00000000-0005-0000-0000-000097F20000}"/>
    <cellStyle name="Total 102 2 3 2" xfId="62104" xr:uid="{00000000-0005-0000-0000-000098F20000}"/>
    <cellStyle name="Total 102 2 3 3" xfId="62105" xr:uid="{00000000-0005-0000-0000-000099F20000}"/>
    <cellStyle name="Total 102 2 4" xfId="62106" xr:uid="{00000000-0005-0000-0000-00009AF20000}"/>
    <cellStyle name="Total 102 2 5" xfId="62107" xr:uid="{00000000-0005-0000-0000-00009BF20000}"/>
    <cellStyle name="Total 102 3" xfId="62108" xr:uid="{00000000-0005-0000-0000-00009CF20000}"/>
    <cellStyle name="Total 102 3 2" xfId="62109" xr:uid="{00000000-0005-0000-0000-00009DF20000}"/>
    <cellStyle name="Total 102 3 3" xfId="62110" xr:uid="{00000000-0005-0000-0000-00009EF20000}"/>
    <cellStyle name="Total 102 4" xfId="62111" xr:uid="{00000000-0005-0000-0000-00009FF20000}"/>
    <cellStyle name="Total 102 5" xfId="62112" xr:uid="{00000000-0005-0000-0000-0000A0F20000}"/>
    <cellStyle name="Total 103" xfId="62113" xr:uid="{00000000-0005-0000-0000-0000A1F20000}"/>
    <cellStyle name="Total 103 2" xfId="62114" xr:uid="{00000000-0005-0000-0000-0000A2F20000}"/>
    <cellStyle name="Total 103 2 2" xfId="62115" xr:uid="{00000000-0005-0000-0000-0000A3F20000}"/>
    <cellStyle name="Total 103 2 2 2" xfId="62116" xr:uid="{00000000-0005-0000-0000-0000A4F20000}"/>
    <cellStyle name="Total 103 2 3" xfId="62117" xr:uid="{00000000-0005-0000-0000-0000A5F20000}"/>
    <cellStyle name="Total 103 2 3 2" xfId="62118" xr:uid="{00000000-0005-0000-0000-0000A6F20000}"/>
    <cellStyle name="Total 103 2 3 3" xfId="62119" xr:uid="{00000000-0005-0000-0000-0000A7F20000}"/>
    <cellStyle name="Total 103 2 4" xfId="62120" xr:uid="{00000000-0005-0000-0000-0000A8F20000}"/>
    <cellStyle name="Total 103 2 5" xfId="62121" xr:uid="{00000000-0005-0000-0000-0000A9F20000}"/>
    <cellStyle name="Total 103 3" xfId="62122" xr:uid="{00000000-0005-0000-0000-0000AAF20000}"/>
    <cellStyle name="Total 103 3 2" xfId="62123" xr:uid="{00000000-0005-0000-0000-0000ABF20000}"/>
    <cellStyle name="Total 103 3 3" xfId="62124" xr:uid="{00000000-0005-0000-0000-0000ACF20000}"/>
    <cellStyle name="Total 103 4" xfId="62125" xr:uid="{00000000-0005-0000-0000-0000ADF20000}"/>
    <cellStyle name="Total 103 5" xfId="62126" xr:uid="{00000000-0005-0000-0000-0000AEF20000}"/>
    <cellStyle name="Total 104" xfId="62127" xr:uid="{00000000-0005-0000-0000-0000AFF20000}"/>
    <cellStyle name="Total 104 2" xfId="62128" xr:uid="{00000000-0005-0000-0000-0000B0F20000}"/>
    <cellStyle name="Total 104 2 2" xfId="62129" xr:uid="{00000000-0005-0000-0000-0000B1F20000}"/>
    <cellStyle name="Total 104 2 2 2" xfId="62130" xr:uid="{00000000-0005-0000-0000-0000B2F20000}"/>
    <cellStyle name="Total 104 2 3" xfId="62131" xr:uid="{00000000-0005-0000-0000-0000B3F20000}"/>
    <cellStyle name="Total 104 2 3 2" xfId="62132" xr:uid="{00000000-0005-0000-0000-0000B4F20000}"/>
    <cellStyle name="Total 104 2 3 3" xfId="62133" xr:uid="{00000000-0005-0000-0000-0000B5F20000}"/>
    <cellStyle name="Total 104 2 4" xfId="62134" xr:uid="{00000000-0005-0000-0000-0000B6F20000}"/>
    <cellStyle name="Total 104 2 5" xfId="62135" xr:uid="{00000000-0005-0000-0000-0000B7F20000}"/>
    <cellStyle name="Total 104 3" xfId="62136" xr:uid="{00000000-0005-0000-0000-0000B8F20000}"/>
    <cellStyle name="Total 104 3 2" xfId="62137" xr:uid="{00000000-0005-0000-0000-0000B9F20000}"/>
    <cellStyle name="Total 104 3 3" xfId="62138" xr:uid="{00000000-0005-0000-0000-0000BAF20000}"/>
    <cellStyle name="Total 104 4" xfId="62139" xr:uid="{00000000-0005-0000-0000-0000BBF20000}"/>
    <cellStyle name="Total 104 5" xfId="62140" xr:uid="{00000000-0005-0000-0000-0000BCF20000}"/>
    <cellStyle name="Total 105" xfId="62141" xr:uid="{00000000-0005-0000-0000-0000BDF20000}"/>
    <cellStyle name="Total 105 2" xfId="62142" xr:uid="{00000000-0005-0000-0000-0000BEF20000}"/>
    <cellStyle name="Total 105 2 2" xfId="62143" xr:uid="{00000000-0005-0000-0000-0000BFF20000}"/>
    <cellStyle name="Total 105 2 2 2" xfId="62144" xr:uid="{00000000-0005-0000-0000-0000C0F20000}"/>
    <cellStyle name="Total 105 2 3" xfId="62145" xr:uid="{00000000-0005-0000-0000-0000C1F20000}"/>
    <cellStyle name="Total 105 2 3 2" xfId="62146" xr:uid="{00000000-0005-0000-0000-0000C2F20000}"/>
    <cellStyle name="Total 105 2 3 3" xfId="62147" xr:uid="{00000000-0005-0000-0000-0000C3F20000}"/>
    <cellStyle name="Total 105 2 4" xfId="62148" xr:uid="{00000000-0005-0000-0000-0000C4F20000}"/>
    <cellStyle name="Total 105 2 5" xfId="62149" xr:uid="{00000000-0005-0000-0000-0000C5F20000}"/>
    <cellStyle name="Total 105 3" xfId="62150" xr:uid="{00000000-0005-0000-0000-0000C6F20000}"/>
    <cellStyle name="Total 105 3 2" xfId="62151" xr:uid="{00000000-0005-0000-0000-0000C7F20000}"/>
    <cellStyle name="Total 105 3 3" xfId="62152" xr:uid="{00000000-0005-0000-0000-0000C8F20000}"/>
    <cellStyle name="Total 105 4" xfId="62153" xr:uid="{00000000-0005-0000-0000-0000C9F20000}"/>
    <cellStyle name="Total 105 5" xfId="62154" xr:uid="{00000000-0005-0000-0000-0000CAF20000}"/>
    <cellStyle name="Total 106" xfId="62155" xr:uid="{00000000-0005-0000-0000-0000CBF20000}"/>
    <cellStyle name="Total 106 2" xfId="62156" xr:uid="{00000000-0005-0000-0000-0000CCF20000}"/>
    <cellStyle name="Total 106 2 2" xfId="62157" xr:uid="{00000000-0005-0000-0000-0000CDF20000}"/>
    <cellStyle name="Total 106 2 2 2" xfId="62158" xr:uid="{00000000-0005-0000-0000-0000CEF20000}"/>
    <cellStyle name="Total 106 2 3" xfId="62159" xr:uid="{00000000-0005-0000-0000-0000CFF20000}"/>
    <cellStyle name="Total 106 2 3 2" xfId="62160" xr:uid="{00000000-0005-0000-0000-0000D0F20000}"/>
    <cellStyle name="Total 106 2 3 3" xfId="62161" xr:uid="{00000000-0005-0000-0000-0000D1F20000}"/>
    <cellStyle name="Total 106 2 4" xfId="62162" xr:uid="{00000000-0005-0000-0000-0000D2F20000}"/>
    <cellStyle name="Total 106 2 5" xfId="62163" xr:uid="{00000000-0005-0000-0000-0000D3F20000}"/>
    <cellStyle name="Total 106 3" xfId="62164" xr:uid="{00000000-0005-0000-0000-0000D4F20000}"/>
    <cellStyle name="Total 106 3 2" xfId="62165" xr:uid="{00000000-0005-0000-0000-0000D5F20000}"/>
    <cellStyle name="Total 106 3 3" xfId="62166" xr:uid="{00000000-0005-0000-0000-0000D6F20000}"/>
    <cellStyle name="Total 106 4" xfId="62167" xr:uid="{00000000-0005-0000-0000-0000D7F20000}"/>
    <cellStyle name="Total 106 5" xfId="62168" xr:uid="{00000000-0005-0000-0000-0000D8F20000}"/>
    <cellStyle name="Total 107" xfId="62169" xr:uid="{00000000-0005-0000-0000-0000D9F20000}"/>
    <cellStyle name="Total 107 2" xfId="62170" xr:uid="{00000000-0005-0000-0000-0000DAF20000}"/>
    <cellStyle name="Total 107 2 2" xfId="62171" xr:uid="{00000000-0005-0000-0000-0000DBF20000}"/>
    <cellStyle name="Total 107 2 2 2" xfId="62172" xr:uid="{00000000-0005-0000-0000-0000DCF20000}"/>
    <cellStyle name="Total 107 2 3" xfId="62173" xr:uid="{00000000-0005-0000-0000-0000DDF20000}"/>
    <cellStyle name="Total 107 2 3 2" xfId="62174" xr:uid="{00000000-0005-0000-0000-0000DEF20000}"/>
    <cellStyle name="Total 107 2 3 3" xfId="62175" xr:uid="{00000000-0005-0000-0000-0000DFF20000}"/>
    <cellStyle name="Total 107 2 4" xfId="62176" xr:uid="{00000000-0005-0000-0000-0000E0F20000}"/>
    <cellStyle name="Total 107 2 5" xfId="62177" xr:uid="{00000000-0005-0000-0000-0000E1F20000}"/>
    <cellStyle name="Total 107 3" xfId="62178" xr:uid="{00000000-0005-0000-0000-0000E2F20000}"/>
    <cellStyle name="Total 107 3 2" xfId="62179" xr:uid="{00000000-0005-0000-0000-0000E3F20000}"/>
    <cellStyle name="Total 107 3 3" xfId="62180" xr:uid="{00000000-0005-0000-0000-0000E4F20000}"/>
    <cellStyle name="Total 107 4" xfId="62181" xr:uid="{00000000-0005-0000-0000-0000E5F20000}"/>
    <cellStyle name="Total 107 5" xfId="62182" xr:uid="{00000000-0005-0000-0000-0000E6F20000}"/>
    <cellStyle name="Total 108" xfId="62183" xr:uid="{00000000-0005-0000-0000-0000E7F20000}"/>
    <cellStyle name="Total 108 2" xfId="62184" xr:uid="{00000000-0005-0000-0000-0000E8F20000}"/>
    <cellStyle name="Total 108 2 2" xfId="62185" xr:uid="{00000000-0005-0000-0000-0000E9F20000}"/>
    <cellStyle name="Total 108 2 2 2" xfId="62186" xr:uid="{00000000-0005-0000-0000-0000EAF20000}"/>
    <cellStyle name="Total 108 2 3" xfId="62187" xr:uid="{00000000-0005-0000-0000-0000EBF20000}"/>
    <cellStyle name="Total 108 2 3 2" xfId="62188" xr:uid="{00000000-0005-0000-0000-0000ECF20000}"/>
    <cellStyle name="Total 108 2 3 3" xfId="62189" xr:uid="{00000000-0005-0000-0000-0000EDF20000}"/>
    <cellStyle name="Total 108 2 4" xfId="62190" xr:uid="{00000000-0005-0000-0000-0000EEF20000}"/>
    <cellStyle name="Total 108 2 5" xfId="62191" xr:uid="{00000000-0005-0000-0000-0000EFF20000}"/>
    <cellStyle name="Total 108 3" xfId="62192" xr:uid="{00000000-0005-0000-0000-0000F0F20000}"/>
    <cellStyle name="Total 108 3 2" xfId="62193" xr:uid="{00000000-0005-0000-0000-0000F1F20000}"/>
    <cellStyle name="Total 108 3 3" xfId="62194" xr:uid="{00000000-0005-0000-0000-0000F2F20000}"/>
    <cellStyle name="Total 108 4" xfId="62195" xr:uid="{00000000-0005-0000-0000-0000F3F20000}"/>
    <cellStyle name="Total 108 5" xfId="62196" xr:uid="{00000000-0005-0000-0000-0000F4F20000}"/>
    <cellStyle name="Total 109" xfId="62197" xr:uid="{00000000-0005-0000-0000-0000F5F20000}"/>
    <cellStyle name="Total 109 2" xfId="62198" xr:uid="{00000000-0005-0000-0000-0000F6F20000}"/>
    <cellStyle name="Total 109 2 2" xfId="62199" xr:uid="{00000000-0005-0000-0000-0000F7F20000}"/>
    <cellStyle name="Total 109 2 2 2" xfId="62200" xr:uid="{00000000-0005-0000-0000-0000F8F20000}"/>
    <cellStyle name="Total 109 2 3" xfId="62201" xr:uid="{00000000-0005-0000-0000-0000F9F20000}"/>
    <cellStyle name="Total 109 2 3 2" xfId="62202" xr:uid="{00000000-0005-0000-0000-0000FAF20000}"/>
    <cellStyle name="Total 109 2 3 3" xfId="62203" xr:uid="{00000000-0005-0000-0000-0000FBF20000}"/>
    <cellStyle name="Total 109 2 4" xfId="62204" xr:uid="{00000000-0005-0000-0000-0000FCF20000}"/>
    <cellStyle name="Total 109 2 5" xfId="62205" xr:uid="{00000000-0005-0000-0000-0000FDF20000}"/>
    <cellStyle name="Total 109 3" xfId="62206" xr:uid="{00000000-0005-0000-0000-0000FEF20000}"/>
    <cellStyle name="Total 109 3 2" xfId="62207" xr:uid="{00000000-0005-0000-0000-0000FFF20000}"/>
    <cellStyle name="Total 109 3 3" xfId="62208" xr:uid="{00000000-0005-0000-0000-000000F30000}"/>
    <cellStyle name="Total 109 4" xfId="62209" xr:uid="{00000000-0005-0000-0000-000001F30000}"/>
    <cellStyle name="Total 109 5" xfId="62210" xr:uid="{00000000-0005-0000-0000-000002F30000}"/>
    <cellStyle name="Total 11" xfId="62211" xr:uid="{00000000-0005-0000-0000-000003F30000}"/>
    <cellStyle name="Total 11 2" xfId="62212" xr:uid="{00000000-0005-0000-0000-000004F30000}"/>
    <cellStyle name="Total 11 2 2" xfId="62213" xr:uid="{00000000-0005-0000-0000-000005F30000}"/>
    <cellStyle name="Total 11 2 2 2" xfId="62214" xr:uid="{00000000-0005-0000-0000-000006F30000}"/>
    <cellStyle name="Total 11 2 3" xfId="62215" xr:uid="{00000000-0005-0000-0000-000007F30000}"/>
    <cellStyle name="Total 11 2 3 2" xfId="62216" xr:uid="{00000000-0005-0000-0000-000008F30000}"/>
    <cellStyle name="Total 11 2 3 3" xfId="62217" xr:uid="{00000000-0005-0000-0000-000009F30000}"/>
    <cellStyle name="Total 11 2 4" xfId="62218" xr:uid="{00000000-0005-0000-0000-00000AF30000}"/>
    <cellStyle name="Total 11 2 5" xfId="62219" xr:uid="{00000000-0005-0000-0000-00000BF30000}"/>
    <cellStyle name="Total 11 3" xfId="62220" xr:uid="{00000000-0005-0000-0000-00000CF30000}"/>
    <cellStyle name="Total 11 3 2" xfId="62221" xr:uid="{00000000-0005-0000-0000-00000DF30000}"/>
    <cellStyle name="Total 11 3 3" xfId="62222" xr:uid="{00000000-0005-0000-0000-00000EF30000}"/>
    <cellStyle name="Total 11 4" xfId="62223" xr:uid="{00000000-0005-0000-0000-00000FF30000}"/>
    <cellStyle name="Total 11 5" xfId="62224" xr:uid="{00000000-0005-0000-0000-000010F30000}"/>
    <cellStyle name="Total 110" xfId="62225" xr:uid="{00000000-0005-0000-0000-000011F30000}"/>
    <cellStyle name="Total 110 2" xfId="62226" xr:uid="{00000000-0005-0000-0000-000012F30000}"/>
    <cellStyle name="Total 110 2 2" xfId="62227" xr:uid="{00000000-0005-0000-0000-000013F30000}"/>
    <cellStyle name="Total 110 2 2 2" xfId="62228" xr:uid="{00000000-0005-0000-0000-000014F30000}"/>
    <cellStyle name="Total 110 2 3" xfId="62229" xr:uid="{00000000-0005-0000-0000-000015F30000}"/>
    <cellStyle name="Total 110 2 3 2" xfId="62230" xr:uid="{00000000-0005-0000-0000-000016F30000}"/>
    <cellStyle name="Total 110 2 3 3" xfId="62231" xr:uid="{00000000-0005-0000-0000-000017F30000}"/>
    <cellStyle name="Total 110 2 4" xfId="62232" xr:uid="{00000000-0005-0000-0000-000018F30000}"/>
    <cellStyle name="Total 110 2 5" xfId="62233" xr:uid="{00000000-0005-0000-0000-000019F30000}"/>
    <cellStyle name="Total 110 3" xfId="62234" xr:uid="{00000000-0005-0000-0000-00001AF30000}"/>
    <cellStyle name="Total 110 3 2" xfId="62235" xr:uid="{00000000-0005-0000-0000-00001BF30000}"/>
    <cellStyle name="Total 110 3 3" xfId="62236" xr:uid="{00000000-0005-0000-0000-00001CF30000}"/>
    <cellStyle name="Total 110 4" xfId="62237" xr:uid="{00000000-0005-0000-0000-00001DF30000}"/>
    <cellStyle name="Total 110 5" xfId="62238" xr:uid="{00000000-0005-0000-0000-00001EF30000}"/>
    <cellStyle name="Total 111" xfId="62239" xr:uid="{00000000-0005-0000-0000-00001FF30000}"/>
    <cellStyle name="Total 111 2" xfId="62240" xr:uid="{00000000-0005-0000-0000-000020F30000}"/>
    <cellStyle name="Total 111 2 2" xfId="62241" xr:uid="{00000000-0005-0000-0000-000021F30000}"/>
    <cellStyle name="Total 111 2 2 2" xfId="62242" xr:uid="{00000000-0005-0000-0000-000022F30000}"/>
    <cellStyle name="Total 111 2 3" xfId="62243" xr:uid="{00000000-0005-0000-0000-000023F30000}"/>
    <cellStyle name="Total 111 2 3 2" xfId="62244" xr:uid="{00000000-0005-0000-0000-000024F30000}"/>
    <cellStyle name="Total 111 2 3 3" xfId="62245" xr:uid="{00000000-0005-0000-0000-000025F30000}"/>
    <cellStyle name="Total 111 2 4" xfId="62246" xr:uid="{00000000-0005-0000-0000-000026F30000}"/>
    <cellStyle name="Total 111 2 5" xfId="62247" xr:uid="{00000000-0005-0000-0000-000027F30000}"/>
    <cellStyle name="Total 111 3" xfId="62248" xr:uid="{00000000-0005-0000-0000-000028F30000}"/>
    <cellStyle name="Total 111 3 2" xfId="62249" xr:uid="{00000000-0005-0000-0000-000029F30000}"/>
    <cellStyle name="Total 111 3 3" xfId="62250" xr:uid="{00000000-0005-0000-0000-00002AF30000}"/>
    <cellStyle name="Total 111 4" xfId="62251" xr:uid="{00000000-0005-0000-0000-00002BF30000}"/>
    <cellStyle name="Total 111 5" xfId="62252" xr:uid="{00000000-0005-0000-0000-00002CF30000}"/>
    <cellStyle name="Total 112" xfId="62253" xr:uid="{00000000-0005-0000-0000-00002DF30000}"/>
    <cellStyle name="Total 112 2" xfId="62254" xr:uid="{00000000-0005-0000-0000-00002EF30000}"/>
    <cellStyle name="Total 112 2 2" xfId="62255" xr:uid="{00000000-0005-0000-0000-00002FF30000}"/>
    <cellStyle name="Total 112 2 2 2" xfId="62256" xr:uid="{00000000-0005-0000-0000-000030F30000}"/>
    <cellStyle name="Total 112 2 3" xfId="62257" xr:uid="{00000000-0005-0000-0000-000031F30000}"/>
    <cellStyle name="Total 112 2 3 2" xfId="62258" xr:uid="{00000000-0005-0000-0000-000032F30000}"/>
    <cellStyle name="Total 112 2 3 3" xfId="62259" xr:uid="{00000000-0005-0000-0000-000033F30000}"/>
    <cellStyle name="Total 112 2 4" xfId="62260" xr:uid="{00000000-0005-0000-0000-000034F30000}"/>
    <cellStyle name="Total 112 2 5" xfId="62261" xr:uid="{00000000-0005-0000-0000-000035F30000}"/>
    <cellStyle name="Total 112 3" xfId="62262" xr:uid="{00000000-0005-0000-0000-000036F30000}"/>
    <cellStyle name="Total 112 3 2" xfId="62263" xr:uid="{00000000-0005-0000-0000-000037F30000}"/>
    <cellStyle name="Total 112 3 3" xfId="62264" xr:uid="{00000000-0005-0000-0000-000038F30000}"/>
    <cellStyle name="Total 112 4" xfId="62265" xr:uid="{00000000-0005-0000-0000-000039F30000}"/>
    <cellStyle name="Total 112 5" xfId="62266" xr:uid="{00000000-0005-0000-0000-00003AF30000}"/>
    <cellStyle name="Total 113" xfId="62267" xr:uid="{00000000-0005-0000-0000-00003BF30000}"/>
    <cellStyle name="Total 113 2" xfId="62268" xr:uid="{00000000-0005-0000-0000-00003CF30000}"/>
    <cellStyle name="Total 113 2 2" xfId="62269" xr:uid="{00000000-0005-0000-0000-00003DF30000}"/>
    <cellStyle name="Total 113 2 2 2" xfId="62270" xr:uid="{00000000-0005-0000-0000-00003EF30000}"/>
    <cellStyle name="Total 113 2 3" xfId="62271" xr:uid="{00000000-0005-0000-0000-00003FF30000}"/>
    <cellStyle name="Total 113 2 3 2" xfId="62272" xr:uid="{00000000-0005-0000-0000-000040F30000}"/>
    <cellStyle name="Total 113 2 3 3" xfId="62273" xr:uid="{00000000-0005-0000-0000-000041F30000}"/>
    <cellStyle name="Total 113 2 4" xfId="62274" xr:uid="{00000000-0005-0000-0000-000042F30000}"/>
    <cellStyle name="Total 113 2 5" xfId="62275" xr:uid="{00000000-0005-0000-0000-000043F30000}"/>
    <cellStyle name="Total 113 3" xfId="62276" xr:uid="{00000000-0005-0000-0000-000044F30000}"/>
    <cellStyle name="Total 113 3 2" xfId="62277" xr:uid="{00000000-0005-0000-0000-000045F30000}"/>
    <cellStyle name="Total 113 3 3" xfId="62278" xr:uid="{00000000-0005-0000-0000-000046F30000}"/>
    <cellStyle name="Total 113 4" xfId="62279" xr:uid="{00000000-0005-0000-0000-000047F30000}"/>
    <cellStyle name="Total 113 5" xfId="62280" xr:uid="{00000000-0005-0000-0000-000048F30000}"/>
    <cellStyle name="Total 114" xfId="62281" xr:uid="{00000000-0005-0000-0000-000049F30000}"/>
    <cellStyle name="Total 114 2" xfId="62282" xr:uid="{00000000-0005-0000-0000-00004AF30000}"/>
    <cellStyle name="Total 114 2 2" xfId="62283" xr:uid="{00000000-0005-0000-0000-00004BF30000}"/>
    <cellStyle name="Total 114 2 2 2" xfId="62284" xr:uid="{00000000-0005-0000-0000-00004CF30000}"/>
    <cellStyle name="Total 114 2 3" xfId="62285" xr:uid="{00000000-0005-0000-0000-00004DF30000}"/>
    <cellStyle name="Total 114 2 3 2" xfId="62286" xr:uid="{00000000-0005-0000-0000-00004EF30000}"/>
    <cellStyle name="Total 114 2 3 3" xfId="62287" xr:uid="{00000000-0005-0000-0000-00004FF30000}"/>
    <cellStyle name="Total 114 2 4" xfId="62288" xr:uid="{00000000-0005-0000-0000-000050F30000}"/>
    <cellStyle name="Total 114 2 5" xfId="62289" xr:uid="{00000000-0005-0000-0000-000051F30000}"/>
    <cellStyle name="Total 114 3" xfId="62290" xr:uid="{00000000-0005-0000-0000-000052F30000}"/>
    <cellStyle name="Total 114 3 2" xfId="62291" xr:uid="{00000000-0005-0000-0000-000053F30000}"/>
    <cellStyle name="Total 114 3 3" xfId="62292" xr:uid="{00000000-0005-0000-0000-000054F30000}"/>
    <cellStyle name="Total 114 4" xfId="62293" xr:uid="{00000000-0005-0000-0000-000055F30000}"/>
    <cellStyle name="Total 114 5" xfId="62294" xr:uid="{00000000-0005-0000-0000-000056F30000}"/>
    <cellStyle name="Total 115" xfId="62295" xr:uid="{00000000-0005-0000-0000-000057F30000}"/>
    <cellStyle name="Total 115 2" xfId="62296" xr:uid="{00000000-0005-0000-0000-000058F30000}"/>
    <cellStyle name="Total 115 2 2" xfId="62297" xr:uid="{00000000-0005-0000-0000-000059F30000}"/>
    <cellStyle name="Total 115 2 2 2" xfId="62298" xr:uid="{00000000-0005-0000-0000-00005AF30000}"/>
    <cellStyle name="Total 115 2 3" xfId="62299" xr:uid="{00000000-0005-0000-0000-00005BF30000}"/>
    <cellStyle name="Total 115 2 3 2" xfId="62300" xr:uid="{00000000-0005-0000-0000-00005CF30000}"/>
    <cellStyle name="Total 115 2 3 3" xfId="62301" xr:uid="{00000000-0005-0000-0000-00005DF30000}"/>
    <cellStyle name="Total 115 2 4" xfId="62302" xr:uid="{00000000-0005-0000-0000-00005EF30000}"/>
    <cellStyle name="Total 115 2 5" xfId="62303" xr:uid="{00000000-0005-0000-0000-00005FF30000}"/>
    <cellStyle name="Total 115 3" xfId="62304" xr:uid="{00000000-0005-0000-0000-000060F30000}"/>
    <cellStyle name="Total 115 3 2" xfId="62305" xr:uid="{00000000-0005-0000-0000-000061F30000}"/>
    <cellStyle name="Total 115 3 3" xfId="62306" xr:uid="{00000000-0005-0000-0000-000062F30000}"/>
    <cellStyle name="Total 115 4" xfId="62307" xr:uid="{00000000-0005-0000-0000-000063F30000}"/>
    <cellStyle name="Total 115 5" xfId="62308" xr:uid="{00000000-0005-0000-0000-000064F30000}"/>
    <cellStyle name="Total 116" xfId="62309" xr:uid="{00000000-0005-0000-0000-000065F30000}"/>
    <cellStyle name="Total 116 2" xfId="62310" xr:uid="{00000000-0005-0000-0000-000066F30000}"/>
    <cellStyle name="Total 116 2 2" xfId="62311" xr:uid="{00000000-0005-0000-0000-000067F30000}"/>
    <cellStyle name="Total 116 2 2 2" xfId="62312" xr:uid="{00000000-0005-0000-0000-000068F30000}"/>
    <cellStyle name="Total 116 2 3" xfId="62313" xr:uid="{00000000-0005-0000-0000-000069F30000}"/>
    <cellStyle name="Total 116 2 3 2" xfId="62314" xr:uid="{00000000-0005-0000-0000-00006AF30000}"/>
    <cellStyle name="Total 116 2 3 3" xfId="62315" xr:uid="{00000000-0005-0000-0000-00006BF30000}"/>
    <cellStyle name="Total 116 2 4" xfId="62316" xr:uid="{00000000-0005-0000-0000-00006CF30000}"/>
    <cellStyle name="Total 116 2 5" xfId="62317" xr:uid="{00000000-0005-0000-0000-00006DF30000}"/>
    <cellStyle name="Total 116 3" xfId="62318" xr:uid="{00000000-0005-0000-0000-00006EF30000}"/>
    <cellStyle name="Total 116 3 2" xfId="62319" xr:uid="{00000000-0005-0000-0000-00006FF30000}"/>
    <cellStyle name="Total 116 3 3" xfId="62320" xr:uid="{00000000-0005-0000-0000-000070F30000}"/>
    <cellStyle name="Total 116 4" xfId="62321" xr:uid="{00000000-0005-0000-0000-000071F30000}"/>
    <cellStyle name="Total 116 5" xfId="62322" xr:uid="{00000000-0005-0000-0000-000072F30000}"/>
    <cellStyle name="Total 117" xfId="62323" xr:uid="{00000000-0005-0000-0000-000073F30000}"/>
    <cellStyle name="Total 117 2" xfId="62324" xr:uid="{00000000-0005-0000-0000-000074F30000}"/>
    <cellStyle name="Total 117 2 2" xfId="62325" xr:uid="{00000000-0005-0000-0000-000075F30000}"/>
    <cellStyle name="Total 117 2 2 2" xfId="62326" xr:uid="{00000000-0005-0000-0000-000076F30000}"/>
    <cellStyle name="Total 117 2 3" xfId="62327" xr:uid="{00000000-0005-0000-0000-000077F30000}"/>
    <cellStyle name="Total 117 2 3 2" xfId="62328" xr:uid="{00000000-0005-0000-0000-000078F30000}"/>
    <cellStyle name="Total 117 2 3 3" xfId="62329" xr:uid="{00000000-0005-0000-0000-000079F30000}"/>
    <cellStyle name="Total 117 2 4" xfId="62330" xr:uid="{00000000-0005-0000-0000-00007AF30000}"/>
    <cellStyle name="Total 117 2 5" xfId="62331" xr:uid="{00000000-0005-0000-0000-00007BF30000}"/>
    <cellStyle name="Total 117 3" xfId="62332" xr:uid="{00000000-0005-0000-0000-00007CF30000}"/>
    <cellStyle name="Total 117 3 2" xfId="62333" xr:uid="{00000000-0005-0000-0000-00007DF30000}"/>
    <cellStyle name="Total 117 3 3" xfId="62334" xr:uid="{00000000-0005-0000-0000-00007EF30000}"/>
    <cellStyle name="Total 117 4" xfId="62335" xr:uid="{00000000-0005-0000-0000-00007FF30000}"/>
    <cellStyle name="Total 117 5" xfId="62336" xr:uid="{00000000-0005-0000-0000-000080F30000}"/>
    <cellStyle name="Total 118" xfId="62337" xr:uid="{00000000-0005-0000-0000-000081F30000}"/>
    <cellStyle name="Total 118 2" xfId="62338" xr:uid="{00000000-0005-0000-0000-000082F30000}"/>
    <cellStyle name="Total 118 2 2" xfId="62339" xr:uid="{00000000-0005-0000-0000-000083F30000}"/>
    <cellStyle name="Total 118 2 2 2" xfId="62340" xr:uid="{00000000-0005-0000-0000-000084F30000}"/>
    <cellStyle name="Total 118 2 3" xfId="62341" xr:uid="{00000000-0005-0000-0000-000085F30000}"/>
    <cellStyle name="Total 118 2 3 2" xfId="62342" xr:uid="{00000000-0005-0000-0000-000086F30000}"/>
    <cellStyle name="Total 118 2 3 3" xfId="62343" xr:uid="{00000000-0005-0000-0000-000087F30000}"/>
    <cellStyle name="Total 118 2 4" xfId="62344" xr:uid="{00000000-0005-0000-0000-000088F30000}"/>
    <cellStyle name="Total 118 2 5" xfId="62345" xr:uid="{00000000-0005-0000-0000-000089F30000}"/>
    <cellStyle name="Total 118 3" xfId="62346" xr:uid="{00000000-0005-0000-0000-00008AF30000}"/>
    <cellStyle name="Total 118 3 2" xfId="62347" xr:uid="{00000000-0005-0000-0000-00008BF30000}"/>
    <cellStyle name="Total 118 3 3" xfId="62348" xr:uid="{00000000-0005-0000-0000-00008CF30000}"/>
    <cellStyle name="Total 118 4" xfId="62349" xr:uid="{00000000-0005-0000-0000-00008DF30000}"/>
    <cellStyle name="Total 118 5" xfId="62350" xr:uid="{00000000-0005-0000-0000-00008EF30000}"/>
    <cellStyle name="Total 119" xfId="62351" xr:uid="{00000000-0005-0000-0000-00008FF30000}"/>
    <cellStyle name="Total 119 2" xfId="62352" xr:uid="{00000000-0005-0000-0000-000090F30000}"/>
    <cellStyle name="Total 119 2 2" xfId="62353" xr:uid="{00000000-0005-0000-0000-000091F30000}"/>
    <cellStyle name="Total 119 2 2 2" xfId="62354" xr:uid="{00000000-0005-0000-0000-000092F30000}"/>
    <cellStyle name="Total 119 2 3" xfId="62355" xr:uid="{00000000-0005-0000-0000-000093F30000}"/>
    <cellStyle name="Total 119 2 3 2" xfId="62356" xr:uid="{00000000-0005-0000-0000-000094F30000}"/>
    <cellStyle name="Total 119 2 3 3" xfId="62357" xr:uid="{00000000-0005-0000-0000-000095F30000}"/>
    <cellStyle name="Total 119 2 4" xfId="62358" xr:uid="{00000000-0005-0000-0000-000096F30000}"/>
    <cellStyle name="Total 119 2 5" xfId="62359" xr:uid="{00000000-0005-0000-0000-000097F30000}"/>
    <cellStyle name="Total 119 3" xfId="62360" xr:uid="{00000000-0005-0000-0000-000098F30000}"/>
    <cellStyle name="Total 119 3 2" xfId="62361" xr:uid="{00000000-0005-0000-0000-000099F30000}"/>
    <cellStyle name="Total 119 3 3" xfId="62362" xr:uid="{00000000-0005-0000-0000-00009AF30000}"/>
    <cellStyle name="Total 119 4" xfId="62363" xr:uid="{00000000-0005-0000-0000-00009BF30000}"/>
    <cellStyle name="Total 119 5" xfId="62364" xr:uid="{00000000-0005-0000-0000-00009CF30000}"/>
    <cellStyle name="Total 12" xfId="62365" xr:uid="{00000000-0005-0000-0000-00009DF30000}"/>
    <cellStyle name="Total 12 2" xfId="62366" xr:uid="{00000000-0005-0000-0000-00009EF30000}"/>
    <cellStyle name="Total 12 2 2" xfId="62367" xr:uid="{00000000-0005-0000-0000-00009FF30000}"/>
    <cellStyle name="Total 12 2 2 2" xfId="62368" xr:uid="{00000000-0005-0000-0000-0000A0F30000}"/>
    <cellStyle name="Total 12 2 3" xfId="62369" xr:uid="{00000000-0005-0000-0000-0000A1F30000}"/>
    <cellStyle name="Total 12 2 3 2" xfId="62370" xr:uid="{00000000-0005-0000-0000-0000A2F30000}"/>
    <cellStyle name="Total 12 2 3 3" xfId="62371" xr:uid="{00000000-0005-0000-0000-0000A3F30000}"/>
    <cellStyle name="Total 12 2 4" xfId="62372" xr:uid="{00000000-0005-0000-0000-0000A4F30000}"/>
    <cellStyle name="Total 12 2 5" xfId="62373" xr:uid="{00000000-0005-0000-0000-0000A5F30000}"/>
    <cellStyle name="Total 12 3" xfId="62374" xr:uid="{00000000-0005-0000-0000-0000A6F30000}"/>
    <cellStyle name="Total 12 3 2" xfId="62375" xr:uid="{00000000-0005-0000-0000-0000A7F30000}"/>
    <cellStyle name="Total 12 3 3" xfId="62376" xr:uid="{00000000-0005-0000-0000-0000A8F30000}"/>
    <cellStyle name="Total 12 4" xfId="62377" xr:uid="{00000000-0005-0000-0000-0000A9F30000}"/>
    <cellStyle name="Total 12 5" xfId="62378" xr:uid="{00000000-0005-0000-0000-0000AAF30000}"/>
    <cellStyle name="Total 120" xfId="62379" xr:uid="{00000000-0005-0000-0000-0000ABF30000}"/>
    <cellStyle name="Total 120 2" xfId="62380" xr:uid="{00000000-0005-0000-0000-0000ACF30000}"/>
    <cellStyle name="Total 120 2 2" xfId="62381" xr:uid="{00000000-0005-0000-0000-0000ADF30000}"/>
    <cellStyle name="Total 120 2 2 2" xfId="62382" xr:uid="{00000000-0005-0000-0000-0000AEF30000}"/>
    <cellStyle name="Total 120 2 3" xfId="62383" xr:uid="{00000000-0005-0000-0000-0000AFF30000}"/>
    <cellStyle name="Total 120 2 3 2" xfId="62384" xr:uid="{00000000-0005-0000-0000-0000B0F30000}"/>
    <cellStyle name="Total 120 2 3 3" xfId="62385" xr:uid="{00000000-0005-0000-0000-0000B1F30000}"/>
    <cellStyle name="Total 120 2 4" xfId="62386" xr:uid="{00000000-0005-0000-0000-0000B2F30000}"/>
    <cellStyle name="Total 120 2 5" xfId="62387" xr:uid="{00000000-0005-0000-0000-0000B3F30000}"/>
    <cellStyle name="Total 120 3" xfId="62388" xr:uid="{00000000-0005-0000-0000-0000B4F30000}"/>
    <cellStyle name="Total 120 3 2" xfId="62389" xr:uid="{00000000-0005-0000-0000-0000B5F30000}"/>
    <cellStyle name="Total 120 3 3" xfId="62390" xr:uid="{00000000-0005-0000-0000-0000B6F30000}"/>
    <cellStyle name="Total 120 4" xfId="62391" xr:uid="{00000000-0005-0000-0000-0000B7F30000}"/>
    <cellStyle name="Total 120 5" xfId="62392" xr:uid="{00000000-0005-0000-0000-0000B8F30000}"/>
    <cellStyle name="Total 121" xfId="62393" xr:uid="{00000000-0005-0000-0000-0000B9F30000}"/>
    <cellStyle name="Total 121 2" xfId="62394" xr:uid="{00000000-0005-0000-0000-0000BAF30000}"/>
    <cellStyle name="Total 121 2 2" xfId="62395" xr:uid="{00000000-0005-0000-0000-0000BBF30000}"/>
    <cellStyle name="Total 121 2 2 2" xfId="62396" xr:uid="{00000000-0005-0000-0000-0000BCF30000}"/>
    <cellStyle name="Total 121 2 3" xfId="62397" xr:uid="{00000000-0005-0000-0000-0000BDF30000}"/>
    <cellStyle name="Total 121 2 3 2" xfId="62398" xr:uid="{00000000-0005-0000-0000-0000BEF30000}"/>
    <cellStyle name="Total 121 2 3 3" xfId="62399" xr:uid="{00000000-0005-0000-0000-0000BFF30000}"/>
    <cellStyle name="Total 121 2 4" xfId="62400" xr:uid="{00000000-0005-0000-0000-0000C0F30000}"/>
    <cellStyle name="Total 121 2 5" xfId="62401" xr:uid="{00000000-0005-0000-0000-0000C1F30000}"/>
    <cellStyle name="Total 121 3" xfId="62402" xr:uid="{00000000-0005-0000-0000-0000C2F30000}"/>
    <cellStyle name="Total 121 3 2" xfId="62403" xr:uid="{00000000-0005-0000-0000-0000C3F30000}"/>
    <cellStyle name="Total 121 3 3" xfId="62404" xr:uid="{00000000-0005-0000-0000-0000C4F30000}"/>
    <cellStyle name="Total 121 4" xfId="62405" xr:uid="{00000000-0005-0000-0000-0000C5F30000}"/>
    <cellStyle name="Total 121 5" xfId="62406" xr:uid="{00000000-0005-0000-0000-0000C6F30000}"/>
    <cellStyle name="Total 122" xfId="62407" xr:uid="{00000000-0005-0000-0000-0000C7F30000}"/>
    <cellStyle name="Total 122 2" xfId="62408" xr:uid="{00000000-0005-0000-0000-0000C8F30000}"/>
    <cellStyle name="Total 122 2 2" xfId="62409" xr:uid="{00000000-0005-0000-0000-0000C9F30000}"/>
    <cellStyle name="Total 122 2 2 2" xfId="62410" xr:uid="{00000000-0005-0000-0000-0000CAF30000}"/>
    <cellStyle name="Total 122 2 3" xfId="62411" xr:uid="{00000000-0005-0000-0000-0000CBF30000}"/>
    <cellStyle name="Total 122 2 3 2" xfId="62412" xr:uid="{00000000-0005-0000-0000-0000CCF30000}"/>
    <cellStyle name="Total 122 2 3 3" xfId="62413" xr:uid="{00000000-0005-0000-0000-0000CDF30000}"/>
    <cellStyle name="Total 122 2 4" xfId="62414" xr:uid="{00000000-0005-0000-0000-0000CEF30000}"/>
    <cellStyle name="Total 122 2 5" xfId="62415" xr:uid="{00000000-0005-0000-0000-0000CFF30000}"/>
    <cellStyle name="Total 122 3" xfId="62416" xr:uid="{00000000-0005-0000-0000-0000D0F30000}"/>
    <cellStyle name="Total 122 3 2" xfId="62417" xr:uid="{00000000-0005-0000-0000-0000D1F30000}"/>
    <cellStyle name="Total 122 3 3" xfId="62418" xr:uid="{00000000-0005-0000-0000-0000D2F30000}"/>
    <cellStyle name="Total 122 4" xfId="62419" xr:uid="{00000000-0005-0000-0000-0000D3F30000}"/>
    <cellStyle name="Total 122 5" xfId="62420" xr:uid="{00000000-0005-0000-0000-0000D4F30000}"/>
    <cellStyle name="Total 123" xfId="62421" xr:uid="{00000000-0005-0000-0000-0000D5F30000}"/>
    <cellStyle name="Total 123 2" xfId="62422" xr:uid="{00000000-0005-0000-0000-0000D6F30000}"/>
    <cellStyle name="Total 123 2 2" xfId="62423" xr:uid="{00000000-0005-0000-0000-0000D7F30000}"/>
    <cellStyle name="Total 123 2 2 2" xfId="62424" xr:uid="{00000000-0005-0000-0000-0000D8F30000}"/>
    <cellStyle name="Total 123 2 3" xfId="62425" xr:uid="{00000000-0005-0000-0000-0000D9F30000}"/>
    <cellStyle name="Total 123 2 3 2" xfId="62426" xr:uid="{00000000-0005-0000-0000-0000DAF30000}"/>
    <cellStyle name="Total 123 2 3 3" xfId="62427" xr:uid="{00000000-0005-0000-0000-0000DBF30000}"/>
    <cellStyle name="Total 123 2 4" xfId="62428" xr:uid="{00000000-0005-0000-0000-0000DCF30000}"/>
    <cellStyle name="Total 123 2 5" xfId="62429" xr:uid="{00000000-0005-0000-0000-0000DDF30000}"/>
    <cellStyle name="Total 123 3" xfId="62430" xr:uid="{00000000-0005-0000-0000-0000DEF30000}"/>
    <cellStyle name="Total 123 3 2" xfId="62431" xr:uid="{00000000-0005-0000-0000-0000DFF30000}"/>
    <cellStyle name="Total 123 3 3" xfId="62432" xr:uid="{00000000-0005-0000-0000-0000E0F30000}"/>
    <cellStyle name="Total 123 4" xfId="62433" xr:uid="{00000000-0005-0000-0000-0000E1F30000}"/>
    <cellStyle name="Total 123 5" xfId="62434" xr:uid="{00000000-0005-0000-0000-0000E2F30000}"/>
    <cellStyle name="Total 124" xfId="62435" xr:uid="{00000000-0005-0000-0000-0000E3F30000}"/>
    <cellStyle name="Total 124 2" xfId="62436" xr:uid="{00000000-0005-0000-0000-0000E4F30000}"/>
    <cellStyle name="Total 124 2 2" xfId="62437" xr:uid="{00000000-0005-0000-0000-0000E5F30000}"/>
    <cellStyle name="Total 124 2 2 2" xfId="62438" xr:uid="{00000000-0005-0000-0000-0000E6F30000}"/>
    <cellStyle name="Total 124 2 3" xfId="62439" xr:uid="{00000000-0005-0000-0000-0000E7F30000}"/>
    <cellStyle name="Total 124 2 3 2" xfId="62440" xr:uid="{00000000-0005-0000-0000-0000E8F30000}"/>
    <cellStyle name="Total 124 2 3 3" xfId="62441" xr:uid="{00000000-0005-0000-0000-0000E9F30000}"/>
    <cellStyle name="Total 124 2 4" xfId="62442" xr:uid="{00000000-0005-0000-0000-0000EAF30000}"/>
    <cellStyle name="Total 124 2 5" xfId="62443" xr:uid="{00000000-0005-0000-0000-0000EBF30000}"/>
    <cellStyle name="Total 124 3" xfId="62444" xr:uid="{00000000-0005-0000-0000-0000ECF30000}"/>
    <cellStyle name="Total 124 3 2" xfId="62445" xr:uid="{00000000-0005-0000-0000-0000EDF30000}"/>
    <cellStyle name="Total 124 3 3" xfId="62446" xr:uid="{00000000-0005-0000-0000-0000EEF30000}"/>
    <cellStyle name="Total 124 4" xfId="62447" xr:uid="{00000000-0005-0000-0000-0000EFF30000}"/>
    <cellStyle name="Total 124 5" xfId="62448" xr:uid="{00000000-0005-0000-0000-0000F0F30000}"/>
    <cellStyle name="Total 125" xfId="62449" xr:uid="{00000000-0005-0000-0000-0000F1F30000}"/>
    <cellStyle name="Total 125 2" xfId="62450" xr:uid="{00000000-0005-0000-0000-0000F2F30000}"/>
    <cellStyle name="Total 125 2 2" xfId="62451" xr:uid="{00000000-0005-0000-0000-0000F3F30000}"/>
    <cellStyle name="Total 125 2 2 2" xfId="62452" xr:uid="{00000000-0005-0000-0000-0000F4F30000}"/>
    <cellStyle name="Total 125 2 3" xfId="62453" xr:uid="{00000000-0005-0000-0000-0000F5F30000}"/>
    <cellStyle name="Total 125 2 3 2" xfId="62454" xr:uid="{00000000-0005-0000-0000-0000F6F30000}"/>
    <cellStyle name="Total 125 2 3 3" xfId="62455" xr:uid="{00000000-0005-0000-0000-0000F7F30000}"/>
    <cellStyle name="Total 125 2 4" xfId="62456" xr:uid="{00000000-0005-0000-0000-0000F8F30000}"/>
    <cellStyle name="Total 125 2 5" xfId="62457" xr:uid="{00000000-0005-0000-0000-0000F9F30000}"/>
    <cellStyle name="Total 125 3" xfId="62458" xr:uid="{00000000-0005-0000-0000-0000FAF30000}"/>
    <cellStyle name="Total 125 3 2" xfId="62459" xr:uid="{00000000-0005-0000-0000-0000FBF30000}"/>
    <cellStyle name="Total 125 3 3" xfId="62460" xr:uid="{00000000-0005-0000-0000-0000FCF30000}"/>
    <cellStyle name="Total 125 4" xfId="62461" xr:uid="{00000000-0005-0000-0000-0000FDF30000}"/>
    <cellStyle name="Total 125 5" xfId="62462" xr:uid="{00000000-0005-0000-0000-0000FEF30000}"/>
    <cellStyle name="Total 126" xfId="62463" xr:uid="{00000000-0005-0000-0000-0000FFF30000}"/>
    <cellStyle name="Total 126 2" xfId="62464" xr:uid="{00000000-0005-0000-0000-000000F40000}"/>
    <cellStyle name="Total 126 2 2" xfId="62465" xr:uid="{00000000-0005-0000-0000-000001F40000}"/>
    <cellStyle name="Total 126 2 2 2" xfId="62466" xr:uid="{00000000-0005-0000-0000-000002F40000}"/>
    <cellStyle name="Total 126 2 3" xfId="62467" xr:uid="{00000000-0005-0000-0000-000003F40000}"/>
    <cellStyle name="Total 126 2 3 2" xfId="62468" xr:uid="{00000000-0005-0000-0000-000004F40000}"/>
    <cellStyle name="Total 126 2 3 3" xfId="62469" xr:uid="{00000000-0005-0000-0000-000005F40000}"/>
    <cellStyle name="Total 126 2 4" xfId="62470" xr:uid="{00000000-0005-0000-0000-000006F40000}"/>
    <cellStyle name="Total 126 2 5" xfId="62471" xr:uid="{00000000-0005-0000-0000-000007F40000}"/>
    <cellStyle name="Total 126 3" xfId="62472" xr:uid="{00000000-0005-0000-0000-000008F40000}"/>
    <cellStyle name="Total 126 3 2" xfId="62473" xr:uid="{00000000-0005-0000-0000-000009F40000}"/>
    <cellStyle name="Total 126 3 3" xfId="62474" xr:uid="{00000000-0005-0000-0000-00000AF40000}"/>
    <cellStyle name="Total 126 4" xfId="62475" xr:uid="{00000000-0005-0000-0000-00000BF40000}"/>
    <cellStyle name="Total 126 5" xfId="62476" xr:uid="{00000000-0005-0000-0000-00000CF40000}"/>
    <cellStyle name="Total 127" xfId="62477" xr:uid="{00000000-0005-0000-0000-00000DF40000}"/>
    <cellStyle name="Total 127 2" xfId="62478" xr:uid="{00000000-0005-0000-0000-00000EF40000}"/>
    <cellStyle name="Total 127 2 2" xfId="62479" xr:uid="{00000000-0005-0000-0000-00000FF40000}"/>
    <cellStyle name="Total 127 2 2 2" xfId="62480" xr:uid="{00000000-0005-0000-0000-000010F40000}"/>
    <cellStyle name="Total 127 2 3" xfId="62481" xr:uid="{00000000-0005-0000-0000-000011F40000}"/>
    <cellStyle name="Total 127 2 3 2" xfId="62482" xr:uid="{00000000-0005-0000-0000-000012F40000}"/>
    <cellStyle name="Total 127 2 3 3" xfId="62483" xr:uid="{00000000-0005-0000-0000-000013F40000}"/>
    <cellStyle name="Total 127 2 4" xfId="62484" xr:uid="{00000000-0005-0000-0000-000014F40000}"/>
    <cellStyle name="Total 127 2 5" xfId="62485" xr:uid="{00000000-0005-0000-0000-000015F40000}"/>
    <cellStyle name="Total 127 3" xfId="62486" xr:uid="{00000000-0005-0000-0000-000016F40000}"/>
    <cellStyle name="Total 127 3 2" xfId="62487" xr:uid="{00000000-0005-0000-0000-000017F40000}"/>
    <cellStyle name="Total 127 3 3" xfId="62488" xr:uid="{00000000-0005-0000-0000-000018F40000}"/>
    <cellStyle name="Total 127 4" xfId="62489" xr:uid="{00000000-0005-0000-0000-000019F40000}"/>
    <cellStyle name="Total 127 5" xfId="62490" xr:uid="{00000000-0005-0000-0000-00001AF40000}"/>
    <cellStyle name="Total 128" xfId="62491" xr:uid="{00000000-0005-0000-0000-00001BF40000}"/>
    <cellStyle name="Total 128 2" xfId="62492" xr:uid="{00000000-0005-0000-0000-00001CF40000}"/>
    <cellStyle name="Total 128 2 2" xfId="62493" xr:uid="{00000000-0005-0000-0000-00001DF40000}"/>
    <cellStyle name="Total 128 2 2 2" xfId="62494" xr:uid="{00000000-0005-0000-0000-00001EF40000}"/>
    <cellStyle name="Total 128 2 3" xfId="62495" xr:uid="{00000000-0005-0000-0000-00001FF40000}"/>
    <cellStyle name="Total 128 2 3 2" xfId="62496" xr:uid="{00000000-0005-0000-0000-000020F40000}"/>
    <cellStyle name="Total 128 2 3 3" xfId="62497" xr:uid="{00000000-0005-0000-0000-000021F40000}"/>
    <cellStyle name="Total 128 2 4" xfId="62498" xr:uid="{00000000-0005-0000-0000-000022F40000}"/>
    <cellStyle name="Total 128 2 5" xfId="62499" xr:uid="{00000000-0005-0000-0000-000023F40000}"/>
    <cellStyle name="Total 128 3" xfId="62500" xr:uid="{00000000-0005-0000-0000-000024F40000}"/>
    <cellStyle name="Total 128 3 2" xfId="62501" xr:uid="{00000000-0005-0000-0000-000025F40000}"/>
    <cellStyle name="Total 128 3 3" xfId="62502" xr:uid="{00000000-0005-0000-0000-000026F40000}"/>
    <cellStyle name="Total 128 4" xfId="62503" xr:uid="{00000000-0005-0000-0000-000027F40000}"/>
    <cellStyle name="Total 128 5" xfId="62504" xr:uid="{00000000-0005-0000-0000-000028F40000}"/>
    <cellStyle name="Total 129" xfId="62505" xr:uid="{00000000-0005-0000-0000-000029F40000}"/>
    <cellStyle name="Total 129 2" xfId="62506" xr:uid="{00000000-0005-0000-0000-00002AF40000}"/>
    <cellStyle name="Total 129 2 2" xfId="62507" xr:uid="{00000000-0005-0000-0000-00002BF40000}"/>
    <cellStyle name="Total 129 2 2 2" xfId="62508" xr:uid="{00000000-0005-0000-0000-00002CF40000}"/>
    <cellStyle name="Total 129 2 3" xfId="62509" xr:uid="{00000000-0005-0000-0000-00002DF40000}"/>
    <cellStyle name="Total 129 2 3 2" xfId="62510" xr:uid="{00000000-0005-0000-0000-00002EF40000}"/>
    <cellStyle name="Total 129 2 3 3" xfId="62511" xr:uid="{00000000-0005-0000-0000-00002FF40000}"/>
    <cellStyle name="Total 129 2 4" xfId="62512" xr:uid="{00000000-0005-0000-0000-000030F40000}"/>
    <cellStyle name="Total 129 2 5" xfId="62513" xr:uid="{00000000-0005-0000-0000-000031F40000}"/>
    <cellStyle name="Total 129 3" xfId="62514" xr:uid="{00000000-0005-0000-0000-000032F40000}"/>
    <cellStyle name="Total 129 3 2" xfId="62515" xr:uid="{00000000-0005-0000-0000-000033F40000}"/>
    <cellStyle name="Total 129 3 3" xfId="62516" xr:uid="{00000000-0005-0000-0000-000034F40000}"/>
    <cellStyle name="Total 129 4" xfId="62517" xr:uid="{00000000-0005-0000-0000-000035F40000}"/>
    <cellStyle name="Total 129 5" xfId="62518" xr:uid="{00000000-0005-0000-0000-000036F40000}"/>
    <cellStyle name="Total 13" xfId="62519" xr:uid="{00000000-0005-0000-0000-000037F40000}"/>
    <cellStyle name="Total 13 2" xfId="62520" xr:uid="{00000000-0005-0000-0000-000038F40000}"/>
    <cellStyle name="Total 13 2 2" xfId="62521" xr:uid="{00000000-0005-0000-0000-000039F40000}"/>
    <cellStyle name="Total 13 2 2 2" xfId="62522" xr:uid="{00000000-0005-0000-0000-00003AF40000}"/>
    <cellStyle name="Total 13 2 3" xfId="62523" xr:uid="{00000000-0005-0000-0000-00003BF40000}"/>
    <cellStyle name="Total 13 2 3 2" xfId="62524" xr:uid="{00000000-0005-0000-0000-00003CF40000}"/>
    <cellStyle name="Total 13 2 3 3" xfId="62525" xr:uid="{00000000-0005-0000-0000-00003DF40000}"/>
    <cellStyle name="Total 13 2 4" xfId="62526" xr:uid="{00000000-0005-0000-0000-00003EF40000}"/>
    <cellStyle name="Total 13 2 5" xfId="62527" xr:uid="{00000000-0005-0000-0000-00003FF40000}"/>
    <cellStyle name="Total 13 3" xfId="62528" xr:uid="{00000000-0005-0000-0000-000040F40000}"/>
    <cellStyle name="Total 13 3 2" xfId="62529" xr:uid="{00000000-0005-0000-0000-000041F40000}"/>
    <cellStyle name="Total 13 3 3" xfId="62530" xr:uid="{00000000-0005-0000-0000-000042F40000}"/>
    <cellStyle name="Total 13 4" xfId="62531" xr:uid="{00000000-0005-0000-0000-000043F40000}"/>
    <cellStyle name="Total 13 5" xfId="62532" xr:uid="{00000000-0005-0000-0000-000044F40000}"/>
    <cellStyle name="Total 130" xfId="62533" xr:uid="{00000000-0005-0000-0000-000045F40000}"/>
    <cellStyle name="Total 130 2" xfId="62534" xr:uid="{00000000-0005-0000-0000-000046F40000}"/>
    <cellStyle name="Total 130 2 2" xfId="62535" xr:uid="{00000000-0005-0000-0000-000047F40000}"/>
    <cellStyle name="Total 130 2 2 2" xfId="62536" xr:uid="{00000000-0005-0000-0000-000048F40000}"/>
    <cellStyle name="Total 130 2 3" xfId="62537" xr:uid="{00000000-0005-0000-0000-000049F40000}"/>
    <cellStyle name="Total 130 2 3 2" xfId="62538" xr:uid="{00000000-0005-0000-0000-00004AF40000}"/>
    <cellStyle name="Total 130 2 3 3" xfId="62539" xr:uid="{00000000-0005-0000-0000-00004BF40000}"/>
    <cellStyle name="Total 130 2 4" xfId="62540" xr:uid="{00000000-0005-0000-0000-00004CF40000}"/>
    <cellStyle name="Total 130 2 5" xfId="62541" xr:uid="{00000000-0005-0000-0000-00004DF40000}"/>
    <cellStyle name="Total 130 3" xfId="62542" xr:uid="{00000000-0005-0000-0000-00004EF40000}"/>
    <cellStyle name="Total 130 3 2" xfId="62543" xr:uid="{00000000-0005-0000-0000-00004FF40000}"/>
    <cellStyle name="Total 130 3 3" xfId="62544" xr:uid="{00000000-0005-0000-0000-000050F40000}"/>
    <cellStyle name="Total 130 4" xfId="62545" xr:uid="{00000000-0005-0000-0000-000051F40000}"/>
    <cellStyle name="Total 130 5" xfId="62546" xr:uid="{00000000-0005-0000-0000-000052F40000}"/>
    <cellStyle name="Total 131" xfId="62547" xr:uid="{00000000-0005-0000-0000-000053F40000}"/>
    <cellStyle name="Total 131 2" xfId="62548" xr:uid="{00000000-0005-0000-0000-000054F40000}"/>
    <cellStyle name="Total 131 2 2" xfId="62549" xr:uid="{00000000-0005-0000-0000-000055F40000}"/>
    <cellStyle name="Total 131 2 2 2" xfId="62550" xr:uid="{00000000-0005-0000-0000-000056F40000}"/>
    <cellStyle name="Total 131 2 3" xfId="62551" xr:uid="{00000000-0005-0000-0000-000057F40000}"/>
    <cellStyle name="Total 131 2 3 2" xfId="62552" xr:uid="{00000000-0005-0000-0000-000058F40000}"/>
    <cellStyle name="Total 131 2 3 3" xfId="62553" xr:uid="{00000000-0005-0000-0000-000059F40000}"/>
    <cellStyle name="Total 131 2 4" xfId="62554" xr:uid="{00000000-0005-0000-0000-00005AF40000}"/>
    <cellStyle name="Total 131 2 5" xfId="62555" xr:uid="{00000000-0005-0000-0000-00005BF40000}"/>
    <cellStyle name="Total 131 3" xfId="62556" xr:uid="{00000000-0005-0000-0000-00005CF40000}"/>
    <cellStyle name="Total 131 3 2" xfId="62557" xr:uid="{00000000-0005-0000-0000-00005DF40000}"/>
    <cellStyle name="Total 131 3 3" xfId="62558" xr:uid="{00000000-0005-0000-0000-00005EF40000}"/>
    <cellStyle name="Total 131 4" xfId="62559" xr:uid="{00000000-0005-0000-0000-00005FF40000}"/>
    <cellStyle name="Total 131 5" xfId="62560" xr:uid="{00000000-0005-0000-0000-000060F40000}"/>
    <cellStyle name="Total 132" xfId="62561" xr:uid="{00000000-0005-0000-0000-000061F40000}"/>
    <cellStyle name="Total 132 2" xfId="62562" xr:uid="{00000000-0005-0000-0000-000062F40000}"/>
    <cellStyle name="Total 132 2 2" xfId="62563" xr:uid="{00000000-0005-0000-0000-000063F40000}"/>
    <cellStyle name="Total 132 2 2 2" xfId="62564" xr:uid="{00000000-0005-0000-0000-000064F40000}"/>
    <cellStyle name="Total 132 2 3" xfId="62565" xr:uid="{00000000-0005-0000-0000-000065F40000}"/>
    <cellStyle name="Total 132 2 3 2" xfId="62566" xr:uid="{00000000-0005-0000-0000-000066F40000}"/>
    <cellStyle name="Total 132 2 3 3" xfId="62567" xr:uid="{00000000-0005-0000-0000-000067F40000}"/>
    <cellStyle name="Total 132 2 4" xfId="62568" xr:uid="{00000000-0005-0000-0000-000068F40000}"/>
    <cellStyle name="Total 132 2 5" xfId="62569" xr:uid="{00000000-0005-0000-0000-000069F40000}"/>
    <cellStyle name="Total 132 3" xfId="62570" xr:uid="{00000000-0005-0000-0000-00006AF40000}"/>
    <cellStyle name="Total 132 3 2" xfId="62571" xr:uid="{00000000-0005-0000-0000-00006BF40000}"/>
    <cellStyle name="Total 132 3 3" xfId="62572" xr:uid="{00000000-0005-0000-0000-00006CF40000}"/>
    <cellStyle name="Total 132 4" xfId="62573" xr:uid="{00000000-0005-0000-0000-00006DF40000}"/>
    <cellStyle name="Total 132 5" xfId="62574" xr:uid="{00000000-0005-0000-0000-00006EF40000}"/>
    <cellStyle name="Total 133" xfId="62575" xr:uid="{00000000-0005-0000-0000-00006FF40000}"/>
    <cellStyle name="Total 133 2" xfId="62576" xr:uid="{00000000-0005-0000-0000-000070F40000}"/>
    <cellStyle name="Total 133 2 2" xfId="62577" xr:uid="{00000000-0005-0000-0000-000071F40000}"/>
    <cellStyle name="Total 133 2 2 2" xfId="62578" xr:uid="{00000000-0005-0000-0000-000072F40000}"/>
    <cellStyle name="Total 133 2 3" xfId="62579" xr:uid="{00000000-0005-0000-0000-000073F40000}"/>
    <cellStyle name="Total 133 2 3 2" xfId="62580" xr:uid="{00000000-0005-0000-0000-000074F40000}"/>
    <cellStyle name="Total 133 2 3 3" xfId="62581" xr:uid="{00000000-0005-0000-0000-000075F40000}"/>
    <cellStyle name="Total 133 2 4" xfId="62582" xr:uid="{00000000-0005-0000-0000-000076F40000}"/>
    <cellStyle name="Total 133 2 5" xfId="62583" xr:uid="{00000000-0005-0000-0000-000077F40000}"/>
    <cellStyle name="Total 133 3" xfId="62584" xr:uid="{00000000-0005-0000-0000-000078F40000}"/>
    <cellStyle name="Total 133 3 2" xfId="62585" xr:uid="{00000000-0005-0000-0000-000079F40000}"/>
    <cellStyle name="Total 133 3 3" xfId="62586" xr:uid="{00000000-0005-0000-0000-00007AF40000}"/>
    <cellStyle name="Total 133 4" xfId="62587" xr:uid="{00000000-0005-0000-0000-00007BF40000}"/>
    <cellStyle name="Total 133 5" xfId="62588" xr:uid="{00000000-0005-0000-0000-00007CF40000}"/>
    <cellStyle name="Total 134" xfId="62589" xr:uid="{00000000-0005-0000-0000-00007DF40000}"/>
    <cellStyle name="Total 134 2" xfId="62590" xr:uid="{00000000-0005-0000-0000-00007EF40000}"/>
    <cellStyle name="Total 134 2 2" xfId="62591" xr:uid="{00000000-0005-0000-0000-00007FF40000}"/>
    <cellStyle name="Total 134 2 2 2" xfId="62592" xr:uid="{00000000-0005-0000-0000-000080F40000}"/>
    <cellStyle name="Total 134 2 3" xfId="62593" xr:uid="{00000000-0005-0000-0000-000081F40000}"/>
    <cellStyle name="Total 134 2 3 2" xfId="62594" xr:uid="{00000000-0005-0000-0000-000082F40000}"/>
    <cellStyle name="Total 134 2 3 3" xfId="62595" xr:uid="{00000000-0005-0000-0000-000083F40000}"/>
    <cellStyle name="Total 134 2 4" xfId="62596" xr:uid="{00000000-0005-0000-0000-000084F40000}"/>
    <cellStyle name="Total 134 2 5" xfId="62597" xr:uid="{00000000-0005-0000-0000-000085F40000}"/>
    <cellStyle name="Total 134 3" xfId="62598" xr:uid="{00000000-0005-0000-0000-000086F40000}"/>
    <cellStyle name="Total 134 3 2" xfId="62599" xr:uid="{00000000-0005-0000-0000-000087F40000}"/>
    <cellStyle name="Total 134 3 3" xfId="62600" xr:uid="{00000000-0005-0000-0000-000088F40000}"/>
    <cellStyle name="Total 134 4" xfId="62601" xr:uid="{00000000-0005-0000-0000-000089F40000}"/>
    <cellStyle name="Total 134 5" xfId="62602" xr:uid="{00000000-0005-0000-0000-00008AF40000}"/>
    <cellStyle name="Total 135" xfId="62603" xr:uid="{00000000-0005-0000-0000-00008BF40000}"/>
    <cellStyle name="Total 135 2" xfId="62604" xr:uid="{00000000-0005-0000-0000-00008CF40000}"/>
    <cellStyle name="Total 135 2 2" xfId="62605" xr:uid="{00000000-0005-0000-0000-00008DF40000}"/>
    <cellStyle name="Total 135 2 2 2" xfId="62606" xr:uid="{00000000-0005-0000-0000-00008EF40000}"/>
    <cellStyle name="Total 135 2 3" xfId="62607" xr:uid="{00000000-0005-0000-0000-00008FF40000}"/>
    <cellStyle name="Total 135 2 3 2" xfId="62608" xr:uid="{00000000-0005-0000-0000-000090F40000}"/>
    <cellStyle name="Total 135 2 3 3" xfId="62609" xr:uid="{00000000-0005-0000-0000-000091F40000}"/>
    <cellStyle name="Total 135 2 4" xfId="62610" xr:uid="{00000000-0005-0000-0000-000092F40000}"/>
    <cellStyle name="Total 135 2 5" xfId="62611" xr:uid="{00000000-0005-0000-0000-000093F40000}"/>
    <cellStyle name="Total 135 3" xfId="62612" xr:uid="{00000000-0005-0000-0000-000094F40000}"/>
    <cellStyle name="Total 135 3 2" xfId="62613" xr:uid="{00000000-0005-0000-0000-000095F40000}"/>
    <cellStyle name="Total 135 3 3" xfId="62614" xr:uid="{00000000-0005-0000-0000-000096F40000}"/>
    <cellStyle name="Total 135 4" xfId="62615" xr:uid="{00000000-0005-0000-0000-000097F40000}"/>
    <cellStyle name="Total 135 5" xfId="62616" xr:uid="{00000000-0005-0000-0000-000098F40000}"/>
    <cellStyle name="Total 136" xfId="62617" xr:uid="{00000000-0005-0000-0000-000099F40000}"/>
    <cellStyle name="Total 136 2" xfId="62618" xr:uid="{00000000-0005-0000-0000-00009AF40000}"/>
    <cellStyle name="Total 136 2 2" xfId="62619" xr:uid="{00000000-0005-0000-0000-00009BF40000}"/>
    <cellStyle name="Total 136 2 2 2" xfId="62620" xr:uid="{00000000-0005-0000-0000-00009CF40000}"/>
    <cellStyle name="Total 136 2 3" xfId="62621" xr:uid="{00000000-0005-0000-0000-00009DF40000}"/>
    <cellStyle name="Total 136 2 3 2" xfId="62622" xr:uid="{00000000-0005-0000-0000-00009EF40000}"/>
    <cellStyle name="Total 136 2 3 3" xfId="62623" xr:uid="{00000000-0005-0000-0000-00009FF40000}"/>
    <cellStyle name="Total 136 2 4" xfId="62624" xr:uid="{00000000-0005-0000-0000-0000A0F40000}"/>
    <cellStyle name="Total 136 2 5" xfId="62625" xr:uid="{00000000-0005-0000-0000-0000A1F40000}"/>
    <cellStyle name="Total 136 3" xfId="62626" xr:uid="{00000000-0005-0000-0000-0000A2F40000}"/>
    <cellStyle name="Total 136 3 2" xfId="62627" xr:uid="{00000000-0005-0000-0000-0000A3F40000}"/>
    <cellStyle name="Total 136 3 3" xfId="62628" xr:uid="{00000000-0005-0000-0000-0000A4F40000}"/>
    <cellStyle name="Total 136 4" xfId="62629" xr:uid="{00000000-0005-0000-0000-0000A5F40000}"/>
    <cellStyle name="Total 136 5" xfId="62630" xr:uid="{00000000-0005-0000-0000-0000A6F40000}"/>
    <cellStyle name="Total 137" xfId="62631" xr:uid="{00000000-0005-0000-0000-0000A7F40000}"/>
    <cellStyle name="Total 137 2" xfId="62632" xr:uid="{00000000-0005-0000-0000-0000A8F40000}"/>
    <cellStyle name="Total 137 2 2" xfId="62633" xr:uid="{00000000-0005-0000-0000-0000A9F40000}"/>
    <cellStyle name="Total 137 3" xfId="62634" xr:uid="{00000000-0005-0000-0000-0000AAF40000}"/>
    <cellStyle name="Total 137 3 2" xfId="62635" xr:uid="{00000000-0005-0000-0000-0000ABF40000}"/>
    <cellStyle name="Total 137 3 3" xfId="62636" xr:uid="{00000000-0005-0000-0000-0000ACF40000}"/>
    <cellStyle name="Total 137 4" xfId="62637" xr:uid="{00000000-0005-0000-0000-0000ADF40000}"/>
    <cellStyle name="Total 138" xfId="62638" xr:uid="{00000000-0005-0000-0000-0000AEF40000}"/>
    <cellStyle name="Total 138 2" xfId="62639" xr:uid="{00000000-0005-0000-0000-0000AFF40000}"/>
    <cellStyle name="Total 138 2 2" xfId="62640" xr:uid="{00000000-0005-0000-0000-0000B0F40000}"/>
    <cellStyle name="Total 138 3" xfId="62641" xr:uid="{00000000-0005-0000-0000-0000B1F40000}"/>
    <cellStyle name="Total 138 3 2" xfId="62642" xr:uid="{00000000-0005-0000-0000-0000B2F40000}"/>
    <cellStyle name="Total 138 3 3" xfId="62643" xr:uid="{00000000-0005-0000-0000-0000B3F40000}"/>
    <cellStyle name="Total 138 4" xfId="62644" xr:uid="{00000000-0005-0000-0000-0000B4F40000}"/>
    <cellStyle name="Total 139" xfId="62645" xr:uid="{00000000-0005-0000-0000-0000B5F40000}"/>
    <cellStyle name="Total 139 2" xfId="62646" xr:uid="{00000000-0005-0000-0000-0000B6F40000}"/>
    <cellStyle name="Total 139 2 2" xfId="62647" xr:uid="{00000000-0005-0000-0000-0000B7F40000}"/>
    <cellStyle name="Total 139 3" xfId="62648" xr:uid="{00000000-0005-0000-0000-0000B8F40000}"/>
    <cellStyle name="Total 139 3 2" xfId="62649" xr:uid="{00000000-0005-0000-0000-0000B9F40000}"/>
    <cellStyle name="Total 139 3 3" xfId="62650" xr:uid="{00000000-0005-0000-0000-0000BAF40000}"/>
    <cellStyle name="Total 139 4" xfId="62651" xr:uid="{00000000-0005-0000-0000-0000BBF40000}"/>
    <cellStyle name="Total 14" xfId="62652" xr:uid="{00000000-0005-0000-0000-0000BCF40000}"/>
    <cellStyle name="Total 14 2" xfId="62653" xr:uid="{00000000-0005-0000-0000-0000BDF40000}"/>
    <cellStyle name="Total 14 2 2" xfId="62654" xr:uid="{00000000-0005-0000-0000-0000BEF40000}"/>
    <cellStyle name="Total 14 2 2 2" xfId="62655" xr:uid="{00000000-0005-0000-0000-0000BFF40000}"/>
    <cellStyle name="Total 14 2 3" xfId="62656" xr:uid="{00000000-0005-0000-0000-0000C0F40000}"/>
    <cellStyle name="Total 14 2 3 2" xfId="62657" xr:uid="{00000000-0005-0000-0000-0000C1F40000}"/>
    <cellStyle name="Total 14 2 3 3" xfId="62658" xr:uid="{00000000-0005-0000-0000-0000C2F40000}"/>
    <cellStyle name="Total 14 2 4" xfId="62659" xr:uid="{00000000-0005-0000-0000-0000C3F40000}"/>
    <cellStyle name="Total 14 2 5" xfId="62660" xr:uid="{00000000-0005-0000-0000-0000C4F40000}"/>
    <cellStyle name="Total 14 3" xfId="62661" xr:uid="{00000000-0005-0000-0000-0000C5F40000}"/>
    <cellStyle name="Total 14 3 2" xfId="62662" xr:uid="{00000000-0005-0000-0000-0000C6F40000}"/>
    <cellStyle name="Total 14 3 3" xfId="62663" xr:uid="{00000000-0005-0000-0000-0000C7F40000}"/>
    <cellStyle name="Total 14 4" xfId="62664" xr:uid="{00000000-0005-0000-0000-0000C8F40000}"/>
    <cellStyle name="Total 14 5" xfId="62665" xr:uid="{00000000-0005-0000-0000-0000C9F40000}"/>
    <cellStyle name="Total 140" xfId="62666" xr:uid="{00000000-0005-0000-0000-0000CAF40000}"/>
    <cellStyle name="Total 140 2" xfId="62667" xr:uid="{00000000-0005-0000-0000-0000CBF40000}"/>
    <cellStyle name="Total 140 2 2" xfId="62668" xr:uid="{00000000-0005-0000-0000-0000CCF40000}"/>
    <cellStyle name="Total 140 3" xfId="62669" xr:uid="{00000000-0005-0000-0000-0000CDF40000}"/>
    <cellStyle name="Total 140 3 2" xfId="62670" xr:uid="{00000000-0005-0000-0000-0000CEF40000}"/>
    <cellStyle name="Total 140 3 3" xfId="62671" xr:uid="{00000000-0005-0000-0000-0000CFF40000}"/>
    <cellStyle name="Total 140 4" xfId="62672" xr:uid="{00000000-0005-0000-0000-0000D0F40000}"/>
    <cellStyle name="Total 141" xfId="62673" xr:uid="{00000000-0005-0000-0000-0000D1F40000}"/>
    <cellStyle name="Total 141 2" xfId="62674" xr:uid="{00000000-0005-0000-0000-0000D2F40000}"/>
    <cellStyle name="Total 141 2 2" xfId="62675" xr:uid="{00000000-0005-0000-0000-0000D3F40000}"/>
    <cellStyle name="Total 141 3" xfId="62676" xr:uid="{00000000-0005-0000-0000-0000D4F40000}"/>
    <cellStyle name="Total 141 3 2" xfId="62677" xr:uid="{00000000-0005-0000-0000-0000D5F40000}"/>
    <cellStyle name="Total 141 3 3" xfId="62678" xr:uid="{00000000-0005-0000-0000-0000D6F40000}"/>
    <cellStyle name="Total 141 4" xfId="62679" xr:uid="{00000000-0005-0000-0000-0000D7F40000}"/>
    <cellStyle name="Total 142" xfId="62680" xr:uid="{00000000-0005-0000-0000-0000D8F40000}"/>
    <cellStyle name="Total 142 2" xfId="62681" xr:uid="{00000000-0005-0000-0000-0000D9F40000}"/>
    <cellStyle name="Total 142 2 2" xfId="62682" xr:uid="{00000000-0005-0000-0000-0000DAF40000}"/>
    <cellStyle name="Total 142 3" xfId="62683" xr:uid="{00000000-0005-0000-0000-0000DBF40000}"/>
    <cellStyle name="Total 142 3 2" xfId="62684" xr:uid="{00000000-0005-0000-0000-0000DCF40000}"/>
    <cellStyle name="Total 142 3 3" xfId="62685" xr:uid="{00000000-0005-0000-0000-0000DDF40000}"/>
    <cellStyle name="Total 142 4" xfId="62686" xr:uid="{00000000-0005-0000-0000-0000DEF40000}"/>
    <cellStyle name="Total 143" xfId="62687" xr:uid="{00000000-0005-0000-0000-0000DFF40000}"/>
    <cellStyle name="Total 143 2" xfId="62688" xr:uid="{00000000-0005-0000-0000-0000E0F40000}"/>
    <cellStyle name="Total 143 2 2" xfId="62689" xr:uid="{00000000-0005-0000-0000-0000E1F40000}"/>
    <cellStyle name="Total 143 3" xfId="62690" xr:uid="{00000000-0005-0000-0000-0000E2F40000}"/>
    <cellStyle name="Total 143 3 2" xfId="62691" xr:uid="{00000000-0005-0000-0000-0000E3F40000}"/>
    <cellStyle name="Total 143 3 3" xfId="62692" xr:uid="{00000000-0005-0000-0000-0000E4F40000}"/>
    <cellStyle name="Total 143 4" xfId="62693" xr:uid="{00000000-0005-0000-0000-0000E5F40000}"/>
    <cellStyle name="Total 144" xfId="62694" xr:uid="{00000000-0005-0000-0000-0000E6F40000}"/>
    <cellStyle name="Total 144 2" xfId="62695" xr:uid="{00000000-0005-0000-0000-0000E7F40000}"/>
    <cellStyle name="Total 144 2 2" xfId="62696" xr:uid="{00000000-0005-0000-0000-0000E8F40000}"/>
    <cellStyle name="Total 144 3" xfId="62697" xr:uid="{00000000-0005-0000-0000-0000E9F40000}"/>
    <cellStyle name="Total 144 3 2" xfId="62698" xr:uid="{00000000-0005-0000-0000-0000EAF40000}"/>
    <cellStyle name="Total 144 3 3" xfId="62699" xr:uid="{00000000-0005-0000-0000-0000EBF40000}"/>
    <cellStyle name="Total 144 4" xfId="62700" xr:uid="{00000000-0005-0000-0000-0000ECF40000}"/>
    <cellStyle name="Total 145" xfId="62701" xr:uid="{00000000-0005-0000-0000-0000EDF40000}"/>
    <cellStyle name="Total 145 2" xfId="62702" xr:uid="{00000000-0005-0000-0000-0000EEF40000}"/>
    <cellStyle name="Total 145 2 2" xfId="62703" xr:uid="{00000000-0005-0000-0000-0000EFF40000}"/>
    <cellStyle name="Total 145 3" xfId="62704" xr:uid="{00000000-0005-0000-0000-0000F0F40000}"/>
    <cellStyle name="Total 145 3 2" xfId="62705" xr:uid="{00000000-0005-0000-0000-0000F1F40000}"/>
    <cellStyle name="Total 145 3 3" xfId="62706" xr:uid="{00000000-0005-0000-0000-0000F2F40000}"/>
    <cellStyle name="Total 145 4" xfId="62707" xr:uid="{00000000-0005-0000-0000-0000F3F40000}"/>
    <cellStyle name="Total 146" xfId="62708" xr:uid="{00000000-0005-0000-0000-0000F4F40000}"/>
    <cellStyle name="Total 146 2" xfId="62709" xr:uid="{00000000-0005-0000-0000-0000F5F40000}"/>
    <cellStyle name="Total 146 2 2" xfId="62710" xr:uid="{00000000-0005-0000-0000-0000F6F40000}"/>
    <cellStyle name="Total 146 3" xfId="62711" xr:uid="{00000000-0005-0000-0000-0000F7F40000}"/>
    <cellStyle name="Total 146 3 2" xfId="62712" xr:uid="{00000000-0005-0000-0000-0000F8F40000}"/>
    <cellStyle name="Total 146 3 3" xfId="62713" xr:uid="{00000000-0005-0000-0000-0000F9F40000}"/>
    <cellStyle name="Total 146 4" xfId="62714" xr:uid="{00000000-0005-0000-0000-0000FAF40000}"/>
    <cellStyle name="Total 147" xfId="62715" xr:uid="{00000000-0005-0000-0000-0000FBF40000}"/>
    <cellStyle name="Total 147 2" xfId="62716" xr:uid="{00000000-0005-0000-0000-0000FCF40000}"/>
    <cellStyle name="Total 147 2 2" xfId="62717" xr:uid="{00000000-0005-0000-0000-0000FDF40000}"/>
    <cellStyle name="Total 147 3" xfId="62718" xr:uid="{00000000-0005-0000-0000-0000FEF40000}"/>
    <cellStyle name="Total 147 3 2" xfId="62719" xr:uid="{00000000-0005-0000-0000-0000FFF40000}"/>
    <cellStyle name="Total 147 3 3" xfId="62720" xr:uid="{00000000-0005-0000-0000-000000F50000}"/>
    <cellStyle name="Total 147 4" xfId="62721" xr:uid="{00000000-0005-0000-0000-000001F50000}"/>
    <cellStyle name="Total 148" xfId="62722" xr:uid="{00000000-0005-0000-0000-000002F50000}"/>
    <cellStyle name="Total 148 2" xfId="62723" xr:uid="{00000000-0005-0000-0000-000003F50000}"/>
    <cellStyle name="Total 148 2 2" xfId="62724" xr:uid="{00000000-0005-0000-0000-000004F50000}"/>
    <cellStyle name="Total 148 3" xfId="62725" xr:uid="{00000000-0005-0000-0000-000005F50000}"/>
    <cellStyle name="Total 148 3 2" xfId="62726" xr:uid="{00000000-0005-0000-0000-000006F50000}"/>
    <cellStyle name="Total 148 3 3" xfId="62727" xr:uid="{00000000-0005-0000-0000-000007F50000}"/>
    <cellStyle name="Total 148 4" xfId="62728" xr:uid="{00000000-0005-0000-0000-000008F50000}"/>
    <cellStyle name="Total 149" xfId="62729" xr:uid="{00000000-0005-0000-0000-000009F50000}"/>
    <cellStyle name="Total 149 2" xfId="62730" xr:uid="{00000000-0005-0000-0000-00000AF50000}"/>
    <cellStyle name="Total 149 2 2" xfId="62731" xr:uid="{00000000-0005-0000-0000-00000BF50000}"/>
    <cellStyle name="Total 149 3" xfId="62732" xr:uid="{00000000-0005-0000-0000-00000CF50000}"/>
    <cellStyle name="Total 149 3 2" xfId="62733" xr:uid="{00000000-0005-0000-0000-00000DF50000}"/>
    <cellStyle name="Total 149 3 3" xfId="62734" xr:uid="{00000000-0005-0000-0000-00000EF50000}"/>
    <cellStyle name="Total 149 4" xfId="62735" xr:uid="{00000000-0005-0000-0000-00000FF50000}"/>
    <cellStyle name="Total 15" xfId="62736" xr:uid="{00000000-0005-0000-0000-000010F50000}"/>
    <cellStyle name="Total 15 2" xfId="62737" xr:uid="{00000000-0005-0000-0000-000011F50000}"/>
    <cellStyle name="Total 15 2 2" xfId="62738" xr:uid="{00000000-0005-0000-0000-000012F50000}"/>
    <cellStyle name="Total 15 2 2 2" xfId="62739" xr:uid="{00000000-0005-0000-0000-000013F50000}"/>
    <cellStyle name="Total 15 2 3" xfId="62740" xr:uid="{00000000-0005-0000-0000-000014F50000}"/>
    <cellStyle name="Total 15 2 3 2" xfId="62741" xr:uid="{00000000-0005-0000-0000-000015F50000}"/>
    <cellStyle name="Total 15 2 3 3" xfId="62742" xr:uid="{00000000-0005-0000-0000-000016F50000}"/>
    <cellStyle name="Total 15 2 4" xfId="62743" xr:uid="{00000000-0005-0000-0000-000017F50000}"/>
    <cellStyle name="Total 15 2 5" xfId="62744" xr:uid="{00000000-0005-0000-0000-000018F50000}"/>
    <cellStyle name="Total 15 3" xfId="62745" xr:uid="{00000000-0005-0000-0000-000019F50000}"/>
    <cellStyle name="Total 15 3 2" xfId="62746" xr:uid="{00000000-0005-0000-0000-00001AF50000}"/>
    <cellStyle name="Total 15 3 3" xfId="62747" xr:uid="{00000000-0005-0000-0000-00001BF50000}"/>
    <cellStyle name="Total 15 4" xfId="62748" xr:uid="{00000000-0005-0000-0000-00001CF50000}"/>
    <cellStyle name="Total 15 5" xfId="62749" xr:uid="{00000000-0005-0000-0000-00001DF50000}"/>
    <cellStyle name="Total 150" xfId="62750" xr:uid="{00000000-0005-0000-0000-00001EF50000}"/>
    <cellStyle name="Total 150 2" xfId="62751" xr:uid="{00000000-0005-0000-0000-00001FF50000}"/>
    <cellStyle name="Total 150 2 2" xfId="62752" xr:uid="{00000000-0005-0000-0000-000020F50000}"/>
    <cellStyle name="Total 150 3" xfId="62753" xr:uid="{00000000-0005-0000-0000-000021F50000}"/>
    <cellStyle name="Total 150 3 2" xfId="62754" xr:uid="{00000000-0005-0000-0000-000022F50000}"/>
    <cellStyle name="Total 150 3 3" xfId="62755" xr:uid="{00000000-0005-0000-0000-000023F50000}"/>
    <cellStyle name="Total 150 4" xfId="62756" xr:uid="{00000000-0005-0000-0000-000024F50000}"/>
    <cellStyle name="Total 151" xfId="62757" xr:uid="{00000000-0005-0000-0000-000025F50000}"/>
    <cellStyle name="Total 151 2" xfId="62758" xr:uid="{00000000-0005-0000-0000-000026F50000}"/>
    <cellStyle name="Total 151 2 2" xfId="62759" xr:uid="{00000000-0005-0000-0000-000027F50000}"/>
    <cellStyle name="Total 151 3" xfId="62760" xr:uid="{00000000-0005-0000-0000-000028F50000}"/>
    <cellStyle name="Total 151 3 2" xfId="62761" xr:uid="{00000000-0005-0000-0000-000029F50000}"/>
    <cellStyle name="Total 151 3 3" xfId="62762" xr:uid="{00000000-0005-0000-0000-00002AF50000}"/>
    <cellStyle name="Total 151 4" xfId="62763" xr:uid="{00000000-0005-0000-0000-00002BF50000}"/>
    <cellStyle name="Total 152" xfId="62764" xr:uid="{00000000-0005-0000-0000-00002CF50000}"/>
    <cellStyle name="Total 152 2" xfId="62765" xr:uid="{00000000-0005-0000-0000-00002DF50000}"/>
    <cellStyle name="Total 152 2 2" xfId="62766" xr:uid="{00000000-0005-0000-0000-00002EF50000}"/>
    <cellStyle name="Total 152 3" xfId="62767" xr:uid="{00000000-0005-0000-0000-00002FF50000}"/>
    <cellStyle name="Total 152 3 2" xfId="62768" xr:uid="{00000000-0005-0000-0000-000030F50000}"/>
    <cellStyle name="Total 152 3 3" xfId="62769" xr:uid="{00000000-0005-0000-0000-000031F50000}"/>
    <cellStyle name="Total 152 4" xfId="62770" xr:uid="{00000000-0005-0000-0000-000032F50000}"/>
    <cellStyle name="Total 153" xfId="62771" xr:uid="{00000000-0005-0000-0000-000033F50000}"/>
    <cellStyle name="Total 153 2" xfId="62772" xr:uid="{00000000-0005-0000-0000-000034F50000}"/>
    <cellStyle name="Total 153 2 2" xfId="62773" xr:uid="{00000000-0005-0000-0000-000035F50000}"/>
    <cellStyle name="Total 153 3" xfId="62774" xr:uid="{00000000-0005-0000-0000-000036F50000}"/>
    <cellStyle name="Total 153 3 2" xfId="62775" xr:uid="{00000000-0005-0000-0000-000037F50000}"/>
    <cellStyle name="Total 153 3 3" xfId="62776" xr:uid="{00000000-0005-0000-0000-000038F50000}"/>
    <cellStyle name="Total 153 4" xfId="62777" xr:uid="{00000000-0005-0000-0000-000039F50000}"/>
    <cellStyle name="Total 154" xfId="62778" xr:uid="{00000000-0005-0000-0000-00003AF50000}"/>
    <cellStyle name="Total 154 2" xfId="62779" xr:uid="{00000000-0005-0000-0000-00003BF50000}"/>
    <cellStyle name="Total 154 2 2" xfId="62780" xr:uid="{00000000-0005-0000-0000-00003CF50000}"/>
    <cellStyle name="Total 154 3" xfId="62781" xr:uid="{00000000-0005-0000-0000-00003DF50000}"/>
    <cellStyle name="Total 154 3 2" xfId="62782" xr:uid="{00000000-0005-0000-0000-00003EF50000}"/>
    <cellStyle name="Total 154 3 3" xfId="62783" xr:uid="{00000000-0005-0000-0000-00003FF50000}"/>
    <cellStyle name="Total 154 4" xfId="62784" xr:uid="{00000000-0005-0000-0000-000040F50000}"/>
    <cellStyle name="Total 155" xfId="62785" xr:uid="{00000000-0005-0000-0000-000041F50000}"/>
    <cellStyle name="Total 155 2" xfId="62786" xr:uid="{00000000-0005-0000-0000-000042F50000}"/>
    <cellStyle name="Total 155 2 2" xfId="62787" xr:uid="{00000000-0005-0000-0000-000043F50000}"/>
    <cellStyle name="Total 155 3" xfId="62788" xr:uid="{00000000-0005-0000-0000-000044F50000}"/>
    <cellStyle name="Total 155 3 2" xfId="62789" xr:uid="{00000000-0005-0000-0000-000045F50000}"/>
    <cellStyle name="Total 155 3 3" xfId="62790" xr:uid="{00000000-0005-0000-0000-000046F50000}"/>
    <cellStyle name="Total 155 4" xfId="62791" xr:uid="{00000000-0005-0000-0000-000047F50000}"/>
    <cellStyle name="Total 156" xfId="62792" xr:uid="{00000000-0005-0000-0000-000048F50000}"/>
    <cellStyle name="Total 156 2" xfId="62793" xr:uid="{00000000-0005-0000-0000-000049F50000}"/>
    <cellStyle name="Total 156 2 2" xfId="62794" xr:uid="{00000000-0005-0000-0000-00004AF50000}"/>
    <cellStyle name="Total 156 3" xfId="62795" xr:uid="{00000000-0005-0000-0000-00004BF50000}"/>
    <cellStyle name="Total 156 3 2" xfId="62796" xr:uid="{00000000-0005-0000-0000-00004CF50000}"/>
    <cellStyle name="Total 156 3 3" xfId="62797" xr:uid="{00000000-0005-0000-0000-00004DF50000}"/>
    <cellStyle name="Total 156 4" xfId="62798" xr:uid="{00000000-0005-0000-0000-00004EF50000}"/>
    <cellStyle name="Total 157" xfId="62799" xr:uid="{00000000-0005-0000-0000-00004FF50000}"/>
    <cellStyle name="Total 157 2" xfId="62800" xr:uid="{00000000-0005-0000-0000-000050F50000}"/>
    <cellStyle name="Total 157 2 2" xfId="62801" xr:uid="{00000000-0005-0000-0000-000051F50000}"/>
    <cellStyle name="Total 157 3" xfId="62802" xr:uid="{00000000-0005-0000-0000-000052F50000}"/>
    <cellStyle name="Total 157 3 2" xfId="62803" xr:uid="{00000000-0005-0000-0000-000053F50000}"/>
    <cellStyle name="Total 157 3 3" xfId="62804" xr:uid="{00000000-0005-0000-0000-000054F50000}"/>
    <cellStyle name="Total 157 4" xfId="62805" xr:uid="{00000000-0005-0000-0000-000055F50000}"/>
    <cellStyle name="Total 158" xfId="62806" xr:uid="{00000000-0005-0000-0000-000056F50000}"/>
    <cellStyle name="Total 158 2" xfId="62807" xr:uid="{00000000-0005-0000-0000-000057F50000}"/>
    <cellStyle name="Total 158 2 2" xfId="62808" xr:uid="{00000000-0005-0000-0000-000058F50000}"/>
    <cellStyle name="Total 158 3" xfId="62809" xr:uid="{00000000-0005-0000-0000-000059F50000}"/>
    <cellStyle name="Total 158 3 2" xfId="62810" xr:uid="{00000000-0005-0000-0000-00005AF50000}"/>
    <cellStyle name="Total 158 3 3" xfId="62811" xr:uid="{00000000-0005-0000-0000-00005BF50000}"/>
    <cellStyle name="Total 158 4" xfId="62812" xr:uid="{00000000-0005-0000-0000-00005CF50000}"/>
    <cellStyle name="Total 159" xfId="62813" xr:uid="{00000000-0005-0000-0000-00005DF50000}"/>
    <cellStyle name="Total 159 2" xfId="62814" xr:uid="{00000000-0005-0000-0000-00005EF50000}"/>
    <cellStyle name="Total 16" xfId="62815" xr:uid="{00000000-0005-0000-0000-00005FF50000}"/>
    <cellStyle name="Total 16 2" xfId="62816" xr:uid="{00000000-0005-0000-0000-000060F50000}"/>
    <cellStyle name="Total 16 2 2" xfId="62817" xr:uid="{00000000-0005-0000-0000-000061F50000}"/>
    <cellStyle name="Total 16 2 2 2" xfId="62818" xr:uid="{00000000-0005-0000-0000-000062F50000}"/>
    <cellStyle name="Total 16 2 3" xfId="62819" xr:uid="{00000000-0005-0000-0000-000063F50000}"/>
    <cellStyle name="Total 16 2 3 2" xfId="62820" xr:uid="{00000000-0005-0000-0000-000064F50000}"/>
    <cellStyle name="Total 16 2 3 3" xfId="62821" xr:uid="{00000000-0005-0000-0000-000065F50000}"/>
    <cellStyle name="Total 16 2 4" xfId="62822" xr:uid="{00000000-0005-0000-0000-000066F50000}"/>
    <cellStyle name="Total 16 2 5" xfId="62823" xr:uid="{00000000-0005-0000-0000-000067F50000}"/>
    <cellStyle name="Total 16 3" xfId="62824" xr:uid="{00000000-0005-0000-0000-000068F50000}"/>
    <cellStyle name="Total 16 3 2" xfId="62825" xr:uid="{00000000-0005-0000-0000-000069F50000}"/>
    <cellStyle name="Total 16 3 3" xfId="62826" xr:uid="{00000000-0005-0000-0000-00006AF50000}"/>
    <cellStyle name="Total 16 4" xfId="62827" xr:uid="{00000000-0005-0000-0000-00006BF50000}"/>
    <cellStyle name="Total 16 5" xfId="62828" xr:uid="{00000000-0005-0000-0000-00006CF50000}"/>
    <cellStyle name="Total 160" xfId="62829" xr:uid="{00000000-0005-0000-0000-00006DF50000}"/>
    <cellStyle name="Total 160 2" xfId="62830" xr:uid="{00000000-0005-0000-0000-00006EF50000}"/>
    <cellStyle name="Total 161" xfId="62831" xr:uid="{00000000-0005-0000-0000-00006FF50000}"/>
    <cellStyle name="Total 161 2" xfId="62832" xr:uid="{00000000-0005-0000-0000-000070F50000}"/>
    <cellStyle name="Total 162" xfId="62833" xr:uid="{00000000-0005-0000-0000-000071F50000}"/>
    <cellStyle name="Total 162 2" xfId="62834" xr:uid="{00000000-0005-0000-0000-000072F50000}"/>
    <cellStyle name="Total 163" xfId="62835" xr:uid="{00000000-0005-0000-0000-000073F50000}"/>
    <cellStyle name="Total 163 2" xfId="62836" xr:uid="{00000000-0005-0000-0000-000074F50000}"/>
    <cellStyle name="Total 164" xfId="62837" xr:uid="{00000000-0005-0000-0000-000075F50000}"/>
    <cellStyle name="Total 164 2" xfId="62838" xr:uid="{00000000-0005-0000-0000-000076F50000}"/>
    <cellStyle name="Total 165" xfId="62839" xr:uid="{00000000-0005-0000-0000-000077F50000}"/>
    <cellStyle name="Total 165 2" xfId="62840" xr:uid="{00000000-0005-0000-0000-000078F50000}"/>
    <cellStyle name="Total 166" xfId="62841" xr:uid="{00000000-0005-0000-0000-000079F50000}"/>
    <cellStyle name="Total 166 2" xfId="62842" xr:uid="{00000000-0005-0000-0000-00007AF50000}"/>
    <cellStyle name="Total 167" xfId="62843" xr:uid="{00000000-0005-0000-0000-00007BF50000}"/>
    <cellStyle name="Total 167 2" xfId="62844" xr:uid="{00000000-0005-0000-0000-00007CF50000}"/>
    <cellStyle name="Total 168" xfId="62845" xr:uid="{00000000-0005-0000-0000-00007DF50000}"/>
    <cellStyle name="Total 168 2" xfId="62846" xr:uid="{00000000-0005-0000-0000-00007EF50000}"/>
    <cellStyle name="Total 169" xfId="62847" xr:uid="{00000000-0005-0000-0000-00007FF50000}"/>
    <cellStyle name="Total 169 2" xfId="62848" xr:uid="{00000000-0005-0000-0000-000080F50000}"/>
    <cellStyle name="Total 17" xfId="62849" xr:uid="{00000000-0005-0000-0000-000081F50000}"/>
    <cellStyle name="Total 17 2" xfId="62850" xr:uid="{00000000-0005-0000-0000-000082F50000}"/>
    <cellStyle name="Total 17 2 2" xfId="62851" xr:uid="{00000000-0005-0000-0000-000083F50000}"/>
    <cellStyle name="Total 17 2 2 2" xfId="62852" xr:uid="{00000000-0005-0000-0000-000084F50000}"/>
    <cellStyle name="Total 17 2 3" xfId="62853" xr:uid="{00000000-0005-0000-0000-000085F50000}"/>
    <cellStyle name="Total 17 2 3 2" xfId="62854" xr:uid="{00000000-0005-0000-0000-000086F50000}"/>
    <cellStyle name="Total 17 2 3 3" xfId="62855" xr:uid="{00000000-0005-0000-0000-000087F50000}"/>
    <cellStyle name="Total 17 2 4" xfId="62856" xr:uid="{00000000-0005-0000-0000-000088F50000}"/>
    <cellStyle name="Total 17 2 5" xfId="62857" xr:uid="{00000000-0005-0000-0000-000089F50000}"/>
    <cellStyle name="Total 17 3" xfId="62858" xr:uid="{00000000-0005-0000-0000-00008AF50000}"/>
    <cellStyle name="Total 17 3 2" xfId="62859" xr:uid="{00000000-0005-0000-0000-00008BF50000}"/>
    <cellStyle name="Total 17 3 3" xfId="62860" xr:uid="{00000000-0005-0000-0000-00008CF50000}"/>
    <cellStyle name="Total 17 4" xfId="62861" xr:uid="{00000000-0005-0000-0000-00008DF50000}"/>
    <cellStyle name="Total 17 5" xfId="62862" xr:uid="{00000000-0005-0000-0000-00008EF50000}"/>
    <cellStyle name="Total 170" xfId="62863" xr:uid="{00000000-0005-0000-0000-00008FF50000}"/>
    <cellStyle name="Total 170 2" xfId="62864" xr:uid="{00000000-0005-0000-0000-000090F50000}"/>
    <cellStyle name="Total 171" xfId="62865" xr:uid="{00000000-0005-0000-0000-000091F50000}"/>
    <cellStyle name="Total 171 2" xfId="62866" xr:uid="{00000000-0005-0000-0000-000092F50000}"/>
    <cellStyle name="Total 172" xfId="62867" xr:uid="{00000000-0005-0000-0000-000093F50000}"/>
    <cellStyle name="Total 172 2" xfId="62868" xr:uid="{00000000-0005-0000-0000-000094F50000}"/>
    <cellStyle name="Total 173" xfId="62869" xr:uid="{00000000-0005-0000-0000-000095F50000}"/>
    <cellStyle name="Total 173 2" xfId="62870" xr:uid="{00000000-0005-0000-0000-000096F50000}"/>
    <cellStyle name="Total 174" xfId="62871" xr:uid="{00000000-0005-0000-0000-000097F50000}"/>
    <cellStyle name="Total 174 2" xfId="62872" xr:uid="{00000000-0005-0000-0000-000098F50000}"/>
    <cellStyle name="Total 175" xfId="62873" xr:uid="{00000000-0005-0000-0000-000099F50000}"/>
    <cellStyle name="Total 175 2" xfId="62874" xr:uid="{00000000-0005-0000-0000-00009AF50000}"/>
    <cellStyle name="Total 176" xfId="62875" xr:uid="{00000000-0005-0000-0000-00009BF50000}"/>
    <cellStyle name="Total 176 2" xfId="62876" xr:uid="{00000000-0005-0000-0000-00009CF50000}"/>
    <cellStyle name="Total 177" xfId="62877" xr:uid="{00000000-0005-0000-0000-00009DF50000}"/>
    <cellStyle name="Total 177 2" xfId="62878" xr:uid="{00000000-0005-0000-0000-00009EF50000}"/>
    <cellStyle name="Total 178" xfId="62879" xr:uid="{00000000-0005-0000-0000-00009FF50000}"/>
    <cellStyle name="Total 178 2" xfId="62880" xr:uid="{00000000-0005-0000-0000-0000A0F50000}"/>
    <cellStyle name="Total 179" xfId="62881" xr:uid="{00000000-0005-0000-0000-0000A1F50000}"/>
    <cellStyle name="Total 179 2" xfId="62882" xr:uid="{00000000-0005-0000-0000-0000A2F50000}"/>
    <cellStyle name="Total 18" xfId="62883" xr:uid="{00000000-0005-0000-0000-0000A3F50000}"/>
    <cellStyle name="Total 18 2" xfId="62884" xr:uid="{00000000-0005-0000-0000-0000A4F50000}"/>
    <cellStyle name="Total 18 2 2" xfId="62885" xr:uid="{00000000-0005-0000-0000-0000A5F50000}"/>
    <cellStyle name="Total 18 2 2 2" xfId="62886" xr:uid="{00000000-0005-0000-0000-0000A6F50000}"/>
    <cellStyle name="Total 18 2 3" xfId="62887" xr:uid="{00000000-0005-0000-0000-0000A7F50000}"/>
    <cellStyle name="Total 18 2 3 2" xfId="62888" xr:uid="{00000000-0005-0000-0000-0000A8F50000}"/>
    <cellStyle name="Total 18 2 3 3" xfId="62889" xr:uid="{00000000-0005-0000-0000-0000A9F50000}"/>
    <cellStyle name="Total 18 2 4" xfId="62890" xr:uid="{00000000-0005-0000-0000-0000AAF50000}"/>
    <cellStyle name="Total 18 2 5" xfId="62891" xr:uid="{00000000-0005-0000-0000-0000ABF50000}"/>
    <cellStyle name="Total 18 3" xfId="62892" xr:uid="{00000000-0005-0000-0000-0000ACF50000}"/>
    <cellStyle name="Total 18 3 2" xfId="62893" xr:uid="{00000000-0005-0000-0000-0000ADF50000}"/>
    <cellStyle name="Total 18 3 3" xfId="62894" xr:uid="{00000000-0005-0000-0000-0000AEF50000}"/>
    <cellStyle name="Total 18 4" xfId="62895" xr:uid="{00000000-0005-0000-0000-0000AFF50000}"/>
    <cellStyle name="Total 18 5" xfId="62896" xr:uid="{00000000-0005-0000-0000-0000B0F50000}"/>
    <cellStyle name="Total 180" xfId="62897" xr:uid="{00000000-0005-0000-0000-0000B1F50000}"/>
    <cellStyle name="Total 180 2" xfId="62898" xr:uid="{00000000-0005-0000-0000-0000B2F50000}"/>
    <cellStyle name="Total 181" xfId="62899" xr:uid="{00000000-0005-0000-0000-0000B3F50000}"/>
    <cellStyle name="Total 181 2" xfId="62900" xr:uid="{00000000-0005-0000-0000-0000B4F50000}"/>
    <cellStyle name="Total 182" xfId="62901" xr:uid="{00000000-0005-0000-0000-0000B5F50000}"/>
    <cellStyle name="Total 182 2" xfId="62902" xr:uid="{00000000-0005-0000-0000-0000B6F50000}"/>
    <cellStyle name="Total 183" xfId="62903" xr:uid="{00000000-0005-0000-0000-0000B7F50000}"/>
    <cellStyle name="Total 183 2" xfId="62904" xr:uid="{00000000-0005-0000-0000-0000B8F50000}"/>
    <cellStyle name="Total 184" xfId="62905" xr:uid="{00000000-0005-0000-0000-0000B9F50000}"/>
    <cellStyle name="Total 184 2" xfId="62906" xr:uid="{00000000-0005-0000-0000-0000BAF50000}"/>
    <cellStyle name="Total 185" xfId="62907" xr:uid="{00000000-0005-0000-0000-0000BBF50000}"/>
    <cellStyle name="Total 185 2" xfId="62908" xr:uid="{00000000-0005-0000-0000-0000BCF50000}"/>
    <cellStyle name="Total 186" xfId="62909" xr:uid="{00000000-0005-0000-0000-0000BDF50000}"/>
    <cellStyle name="Total 186 2" xfId="62910" xr:uid="{00000000-0005-0000-0000-0000BEF50000}"/>
    <cellStyle name="Total 187" xfId="62911" xr:uid="{00000000-0005-0000-0000-0000BFF50000}"/>
    <cellStyle name="Total 187 2" xfId="62912" xr:uid="{00000000-0005-0000-0000-0000C0F50000}"/>
    <cellStyle name="Total 188" xfId="62913" xr:uid="{00000000-0005-0000-0000-0000C1F50000}"/>
    <cellStyle name="Total 188 2" xfId="62914" xr:uid="{00000000-0005-0000-0000-0000C2F50000}"/>
    <cellStyle name="Total 189" xfId="62915" xr:uid="{00000000-0005-0000-0000-0000C3F50000}"/>
    <cellStyle name="Total 189 2" xfId="62916" xr:uid="{00000000-0005-0000-0000-0000C4F50000}"/>
    <cellStyle name="Total 19" xfId="62917" xr:uid="{00000000-0005-0000-0000-0000C5F50000}"/>
    <cellStyle name="Total 19 2" xfId="62918" xr:uid="{00000000-0005-0000-0000-0000C6F50000}"/>
    <cellStyle name="Total 19 2 2" xfId="62919" xr:uid="{00000000-0005-0000-0000-0000C7F50000}"/>
    <cellStyle name="Total 19 2 2 2" xfId="62920" xr:uid="{00000000-0005-0000-0000-0000C8F50000}"/>
    <cellStyle name="Total 19 2 3" xfId="62921" xr:uid="{00000000-0005-0000-0000-0000C9F50000}"/>
    <cellStyle name="Total 19 2 3 2" xfId="62922" xr:uid="{00000000-0005-0000-0000-0000CAF50000}"/>
    <cellStyle name="Total 19 2 3 3" xfId="62923" xr:uid="{00000000-0005-0000-0000-0000CBF50000}"/>
    <cellStyle name="Total 19 2 4" xfId="62924" xr:uid="{00000000-0005-0000-0000-0000CCF50000}"/>
    <cellStyle name="Total 19 2 5" xfId="62925" xr:uid="{00000000-0005-0000-0000-0000CDF50000}"/>
    <cellStyle name="Total 19 3" xfId="62926" xr:uid="{00000000-0005-0000-0000-0000CEF50000}"/>
    <cellStyle name="Total 19 3 2" xfId="62927" xr:uid="{00000000-0005-0000-0000-0000CFF50000}"/>
    <cellStyle name="Total 19 3 3" xfId="62928" xr:uid="{00000000-0005-0000-0000-0000D0F50000}"/>
    <cellStyle name="Total 19 4" xfId="62929" xr:uid="{00000000-0005-0000-0000-0000D1F50000}"/>
    <cellStyle name="Total 19 5" xfId="62930" xr:uid="{00000000-0005-0000-0000-0000D2F50000}"/>
    <cellStyle name="Total 190" xfId="62931" xr:uid="{00000000-0005-0000-0000-0000D3F50000}"/>
    <cellStyle name="Total 190 2" xfId="62932" xr:uid="{00000000-0005-0000-0000-0000D4F50000}"/>
    <cellStyle name="Total 191" xfId="62933" xr:uid="{00000000-0005-0000-0000-0000D5F50000}"/>
    <cellStyle name="Total 191 2" xfId="62934" xr:uid="{00000000-0005-0000-0000-0000D6F50000}"/>
    <cellStyle name="Total 192" xfId="62935" xr:uid="{00000000-0005-0000-0000-0000D7F50000}"/>
    <cellStyle name="Total 192 2" xfId="62936" xr:uid="{00000000-0005-0000-0000-0000D8F50000}"/>
    <cellStyle name="Total 193" xfId="62937" xr:uid="{00000000-0005-0000-0000-0000D9F50000}"/>
    <cellStyle name="Total 193 2" xfId="62938" xr:uid="{00000000-0005-0000-0000-0000DAF50000}"/>
    <cellStyle name="Total 194" xfId="62939" xr:uid="{00000000-0005-0000-0000-0000DBF50000}"/>
    <cellStyle name="Total 194 2" xfId="62940" xr:uid="{00000000-0005-0000-0000-0000DCF50000}"/>
    <cellStyle name="Total 195" xfId="62941" xr:uid="{00000000-0005-0000-0000-0000DDF50000}"/>
    <cellStyle name="Total 195 2" xfId="62942" xr:uid="{00000000-0005-0000-0000-0000DEF50000}"/>
    <cellStyle name="Total 196" xfId="62943" xr:uid="{00000000-0005-0000-0000-0000DFF50000}"/>
    <cellStyle name="Total 196 2" xfId="62944" xr:uid="{00000000-0005-0000-0000-0000E0F50000}"/>
    <cellStyle name="Total 197" xfId="62945" xr:uid="{00000000-0005-0000-0000-0000E1F50000}"/>
    <cellStyle name="Total 197 2" xfId="62946" xr:uid="{00000000-0005-0000-0000-0000E2F50000}"/>
    <cellStyle name="Total 198" xfId="62947" xr:uid="{00000000-0005-0000-0000-0000E3F50000}"/>
    <cellStyle name="Total 198 2" xfId="62948" xr:uid="{00000000-0005-0000-0000-0000E4F50000}"/>
    <cellStyle name="Total 2" xfId="62949" xr:uid="{00000000-0005-0000-0000-0000E5F50000}"/>
    <cellStyle name="Total 2 2" xfId="62950" xr:uid="{00000000-0005-0000-0000-0000E6F50000}"/>
    <cellStyle name="Total 2 2 2" xfId="62951" xr:uid="{00000000-0005-0000-0000-0000E7F50000}"/>
    <cellStyle name="Total 2 2 2 2" xfId="62952" xr:uid="{00000000-0005-0000-0000-0000E8F50000}"/>
    <cellStyle name="Total 2 2 2 2 2" xfId="62953" xr:uid="{00000000-0005-0000-0000-0000E9F50000}"/>
    <cellStyle name="Total 2 2 2 2 2 2" xfId="62954" xr:uid="{00000000-0005-0000-0000-0000EAF50000}"/>
    <cellStyle name="Total 2 2 2 2 3" xfId="62955" xr:uid="{00000000-0005-0000-0000-0000EBF50000}"/>
    <cellStyle name="Total 2 2 2 3" xfId="62956" xr:uid="{00000000-0005-0000-0000-0000ECF50000}"/>
    <cellStyle name="Total 2 2 3" xfId="62957" xr:uid="{00000000-0005-0000-0000-0000EDF50000}"/>
    <cellStyle name="Total 2 2 3 2" xfId="62958" xr:uid="{00000000-0005-0000-0000-0000EEF50000}"/>
    <cellStyle name="Total 2 2 4" xfId="62959" xr:uid="{00000000-0005-0000-0000-0000EFF50000}"/>
    <cellStyle name="Total 2 2 4 2" xfId="62960" xr:uid="{00000000-0005-0000-0000-0000F0F50000}"/>
    <cellStyle name="Total 2 2 5" xfId="62961" xr:uid="{00000000-0005-0000-0000-0000F1F50000}"/>
    <cellStyle name="Total 2 2 5 2" xfId="62962" xr:uid="{00000000-0005-0000-0000-0000F2F50000}"/>
    <cellStyle name="Total 2 2 6" xfId="62963" xr:uid="{00000000-0005-0000-0000-0000F3F50000}"/>
    <cellStyle name="Total 2 2 6 2" xfId="62964" xr:uid="{00000000-0005-0000-0000-0000F4F50000}"/>
    <cellStyle name="Total 2 2 6 3" xfId="62965" xr:uid="{00000000-0005-0000-0000-0000F5F50000}"/>
    <cellStyle name="Total 2 3" xfId="62966" xr:uid="{00000000-0005-0000-0000-0000F6F50000}"/>
    <cellStyle name="Total 2 4" xfId="62967" xr:uid="{00000000-0005-0000-0000-0000F7F50000}"/>
    <cellStyle name="Total 2 5" xfId="62968" xr:uid="{00000000-0005-0000-0000-0000F8F50000}"/>
    <cellStyle name="Total 2 5 2" xfId="62969" xr:uid="{00000000-0005-0000-0000-0000F9F50000}"/>
    <cellStyle name="Total 2 6" xfId="62970" xr:uid="{00000000-0005-0000-0000-0000FAF50000}"/>
    <cellStyle name="Total 2 6 2" xfId="62971" xr:uid="{00000000-0005-0000-0000-0000FBF50000}"/>
    <cellStyle name="Total 2 6 3" xfId="62972" xr:uid="{00000000-0005-0000-0000-0000FCF50000}"/>
    <cellStyle name="Total 2 7" xfId="62973" xr:uid="{00000000-0005-0000-0000-0000FDF50000}"/>
    <cellStyle name="Total 2 8" xfId="62974" xr:uid="{00000000-0005-0000-0000-0000FEF50000}"/>
    <cellStyle name="Total 20" xfId="62975" xr:uid="{00000000-0005-0000-0000-0000FFF50000}"/>
    <cellStyle name="Total 20 2" xfId="62976" xr:uid="{00000000-0005-0000-0000-000000F60000}"/>
    <cellStyle name="Total 20 2 2" xfId="62977" xr:uid="{00000000-0005-0000-0000-000001F60000}"/>
    <cellStyle name="Total 20 2 2 2" xfId="62978" xr:uid="{00000000-0005-0000-0000-000002F60000}"/>
    <cellStyle name="Total 20 2 3" xfId="62979" xr:uid="{00000000-0005-0000-0000-000003F60000}"/>
    <cellStyle name="Total 20 2 3 2" xfId="62980" xr:uid="{00000000-0005-0000-0000-000004F60000}"/>
    <cellStyle name="Total 20 2 3 3" xfId="62981" xr:uid="{00000000-0005-0000-0000-000005F60000}"/>
    <cellStyle name="Total 20 2 4" xfId="62982" xr:uid="{00000000-0005-0000-0000-000006F60000}"/>
    <cellStyle name="Total 20 2 5" xfId="62983" xr:uid="{00000000-0005-0000-0000-000007F60000}"/>
    <cellStyle name="Total 20 3" xfId="62984" xr:uid="{00000000-0005-0000-0000-000008F60000}"/>
    <cellStyle name="Total 20 3 2" xfId="62985" xr:uid="{00000000-0005-0000-0000-000009F60000}"/>
    <cellStyle name="Total 20 3 3" xfId="62986" xr:uid="{00000000-0005-0000-0000-00000AF60000}"/>
    <cellStyle name="Total 20 4" xfId="62987" xr:uid="{00000000-0005-0000-0000-00000BF60000}"/>
    <cellStyle name="Total 20 5" xfId="62988" xr:uid="{00000000-0005-0000-0000-00000CF60000}"/>
    <cellStyle name="Total 21" xfId="62989" xr:uid="{00000000-0005-0000-0000-00000DF60000}"/>
    <cellStyle name="Total 21 2" xfId="62990" xr:uid="{00000000-0005-0000-0000-00000EF60000}"/>
    <cellStyle name="Total 21 2 2" xfId="62991" xr:uid="{00000000-0005-0000-0000-00000FF60000}"/>
    <cellStyle name="Total 21 2 2 2" xfId="62992" xr:uid="{00000000-0005-0000-0000-000010F60000}"/>
    <cellStyle name="Total 21 2 3" xfId="62993" xr:uid="{00000000-0005-0000-0000-000011F60000}"/>
    <cellStyle name="Total 21 2 3 2" xfId="62994" xr:uid="{00000000-0005-0000-0000-000012F60000}"/>
    <cellStyle name="Total 21 2 3 3" xfId="62995" xr:uid="{00000000-0005-0000-0000-000013F60000}"/>
    <cellStyle name="Total 21 2 4" xfId="62996" xr:uid="{00000000-0005-0000-0000-000014F60000}"/>
    <cellStyle name="Total 21 2 5" xfId="62997" xr:uid="{00000000-0005-0000-0000-000015F60000}"/>
    <cellStyle name="Total 21 3" xfId="62998" xr:uid="{00000000-0005-0000-0000-000016F60000}"/>
    <cellStyle name="Total 21 3 2" xfId="62999" xr:uid="{00000000-0005-0000-0000-000017F60000}"/>
    <cellStyle name="Total 21 3 3" xfId="63000" xr:uid="{00000000-0005-0000-0000-000018F60000}"/>
    <cellStyle name="Total 21 4" xfId="63001" xr:uid="{00000000-0005-0000-0000-000019F60000}"/>
    <cellStyle name="Total 21 5" xfId="63002" xr:uid="{00000000-0005-0000-0000-00001AF60000}"/>
    <cellStyle name="Total 22" xfId="63003" xr:uid="{00000000-0005-0000-0000-00001BF60000}"/>
    <cellStyle name="Total 22 2" xfId="63004" xr:uid="{00000000-0005-0000-0000-00001CF60000}"/>
    <cellStyle name="Total 22 2 2" xfId="63005" xr:uid="{00000000-0005-0000-0000-00001DF60000}"/>
    <cellStyle name="Total 22 2 2 2" xfId="63006" xr:uid="{00000000-0005-0000-0000-00001EF60000}"/>
    <cellStyle name="Total 22 2 3" xfId="63007" xr:uid="{00000000-0005-0000-0000-00001FF60000}"/>
    <cellStyle name="Total 22 2 3 2" xfId="63008" xr:uid="{00000000-0005-0000-0000-000020F60000}"/>
    <cellStyle name="Total 22 2 3 3" xfId="63009" xr:uid="{00000000-0005-0000-0000-000021F60000}"/>
    <cellStyle name="Total 22 2 4" xfId="63010" xr:uid="{00000000-0005-0000-0000-000022F60000}"/>
    <cellStyle name="Total 22 2 5" xfId="63011" xr:uid="{00000000-0005-0000-0000-000023F60000}"/>
    <cellStyle name="Total 22 3" xfId="63012" xr:uid="{00000000-0005-0000-0000-000024F60000}"/>
    <cellStyle name="Total 22 3 2" xfId="63013" xr:uid="{00000000-0005-0000-0000-000025F60000}"/>
    <cellStyle name="Total 22 3 3" xfId="63014" xr:uid="{00000000-0005-0000-0000-000026F60000}"/>
    <cellStyle name="Total 22 4" xfId="63015" xr:uid="{00000000-0005-0000-0000-000027F60000}"/>
    <cellStyle name="Total 22 5" xfId="63016" xr:uid="{00000000-0005-0000-0000-000028F60000}"/>
    <cellStyle name="Total 23" xfId="63017" xr:uid="{00000000-0005-0000-0000-000029F60000}"/>
    <cellStyle name="Total 23 2" xfId="63018" xr:uid="{00000000-0005-0000-0000-00002AF60000}"/>
    <cellStyle name="Total 23 2 2" xfId="63019" xr:uid="{00000000-0005-0000-0000-00002BF60000}"/>
    <cellStyle name="Total 23 2 2 2" xfId="63020" xr:uid="{00000000-0005-0000-0000-00002CF60000}"/>
    <cellStyle name="Total 23 2 3" xfId="63021" xr:uid="{00000000-0005-0000-0000-00002DF60000}"/>
    <cellStyle name="Total 23 2 3 2" xfId="63022" xr:uid="{00000000-0005-0000-0000-00002EF60000}"/>
    <cellStyle name="Total 23 2 3 3" xfId="63023" xr:uid="{00000000-0005-0000-0000-00002FF60000}"/>
    <cellStyle name="Total 23 2 4" xfId="63024" xr:uid="{00000000-0005-0000-0000-000030F60000}"/>
    <cellStyle name="Total 23 2 5" xfId="63025" xr:uid="{00000000-0005-0000-0000-000031F60000}"/>
    <cellStyle name="Total 23 3" xfId="63026" xr:uid="{00000000-0005-0000-0000-000032F60000}"/>
    <cellStyle name="Total 23 3 2" xfId="63027" xr:uid="{00000000-0005-0000-0000-000033F60000}"/>
    <cellStyle name="Total 23 3 3" xfId="63028" xr:uid="{00000000-0005-0000-0000-000034F60000}"/>
    <cellStyle name="Total 23 4" xfId="63029" xr:uid="{00000000-0005-0000-0000-000035F60000}"/>
    <cellStyle name="Total 23 5" xfId="63030" xr:uid="{00000000-0005-0000-0000-000036F60000}"/>
    <cellStyle name="Total 24" xfId="63031" xr:uid="{00000000-0005-0000-0000-000037F60000}"/>
    <cellStyle name="Total 24 2" xfId="63032" xr:uid="{00000000-0005-0000-0000-000038F60000}"/>
    <cellStyle name="Total 24 2 2" xfId="63033" xr:uid="{00000000-0005-0000-0000-000039F60000}"/>
    <cellStyle name="Total 24 2 2 2" xfId="63034" xr:uid="{00000000-0005-0000-0000-00003AF60000}"/>
    <cellStyle name="Total 24 2 3" xfId="63035" xr:uid="{00000000-0005-0000-0000-00003BF60000}"/>
    <cellStyle name="Total 24 2 3 2" xfId="63036" xr:uid="{00000000-0005-0000-0000-00003CF60000}"/>
    <cellStyle name="Total 24 2 3 3" xfId="63037" xr:uid="{00000000-0005-0000-0000-00003DF60000}"/>
    <cellStyle name="Total 24 2 4" xfId="63038" xr:uid="{00000000-0005-0000-0000-00003EF60000}"/>
    <cellStyle name="Total 24 2 5" xfId="63039" xr:uid="{00000000-0005-0000-0000-00003FF60000}"/>
    <cellStyle name="Total 24 3" xfId="63040" xr:uid="{00000000-0005-0000-0000-000040F60000}"/>
    <cellStyle name="Total 24 3 2" xfId="63041" xr:uid="{00000000-0005-0000-0000-000041F60000}"/>
    <cellStyle name="Total 24 3 3" xfId="63042" xr:uid="{00000000-0005-0000-0000-000042F60000}"/>
    <cellStyle name="Total 24 4" xfId="63043" xr:uid="{00000000-0005-0000-0000-000043F60000}"/>
    <cellStyle name="Total 24 5" xfId="63044" xr:uid="{00000000-0005-0000-0000-000044F60000}"/>
    <cellStyle name="Total 25" xfId="63045" xr:uid="{00000000-0005-0000-0000-000045F60000}"/>
    <cellStyle name="Total 25 2" xfId="63046" xr:uid="{00000000-0005-0000-0000-000046F60000}"/>
    <cellStyle name="Total 25 2 2" xfId="63047" xr:uid="{00000000-0005-0000-0000-000047F60000}"/>
    <cellStyle name="Total 25 2 2 2" xfId="63048" xr:uid="{00000000-0005-0000-0000-000048F60000}"/>
    <cellStyle name="Total 25 2 3" xfId="63049" xr:uid="{00000000-0005-0000-0000-000049F60000}"/>
    <cellStyle name="Total 25 2 3 2" xfId="63050" xr:uid="{00000000-0005-0000-0000-00004AF60000}"/>
    <cellStyle name="Total 25 2 3 3" xfId="63051" xr:uid="{00000000-0005-0000-0000-00004BF60000}"/>
    <cellStyle name="Total 25 2 4" xfId="63052" xr:uid="{00000000-0005-0000-0000-00004CF60000}"/>
    <cellStyle name="Total 25 2 5" xfId="63053" xr:uid="{00000000-0005-0000-0000-00004DF60000}"/>
    <cellStyle name="Total 25 3" xfId="63054" xr:uid="{00000000-0005-0000-0000-00004EF60000}"/>
    <cellStyle name="Total 25 3 2" xfId="63055" xr:uid="{00000000-0005-0000-0000-00004FF60000}"/>
    <cellStyle name="Total 25 3 3" xfId="63056" xr:uid="{00000000-0005-0000-0000-000050F60000}"/>
    <cellStyle name="Total 25 4" xfId="63057" xr:uid="{00000000-0005-0000-0000-000051F60000}"/>
    <cellStyle name="Total 25 5" xfId="63058" xr:uid="{00000000-0005-0000-0000-000052F60000}"/>
    <cellStyle name="Total 26" xfId="63059" xr:uid="{00000000-0005-0000-0000-000053F60000}"/>
    <cellStyle name="Total 26 2" xfId="63060" xr:uid="{00000000-0005-0000-0000-000054F60000}"/>
    <cellStyle name="Total 26 2 2" xfId="63061" xr:uid="{00000000-0005-0000-0000-000055F60000}"/>
    <cellStyle name="Total 26 2 2 2" xfId="63062" xr:uid="{00000000-0005-0000-0000-000056F60000}"/>
    <cellStyle name="Total 26 2 3" xfId="63063" xr:uid="{00000000-0005-0000-0000-000057F60000}"/>
    <cellStyle name="Total 26 2 3 2" xfId="63064" xr:uid="{00000000-0005-0000-0000-000058F60000}"/>
    <cellStyle name="Total 26 2 3 3" xfId="63065" xr:uid="{00000000-0005-0000-0000-000059F60000}"/>
    <cellStyle name="Total 26 2 4" xfId="63066" xr:uid="{00000000-0005-0000-0000-00005AF60000}"/>
    <cellStyle name="Total 26 2 5" xfId="63067" xr:uid="{00000000-0005-0000-0000-00005BF60000}"/>
    <cellStyle name="Total 26 3" xfId="63068" xr:uid="{00000000-0005-0000-0000-00005CF60000}"/>
    <cellStyle name="Total 26 3 2" xfId="63069" xr:uid="{00000000-0005-0000-0000-00005DF60000}"/>
    <cellStyle name="Total 26 3 3" xfId="63070" xr:uid="{00000000-0005-0000-0000-00005EF60000}"/>
    <cellStyle name="Total 26 4" xfId="63071" xr:uid="{00000000-0005-0000-0000-00005FF60000}"/>
    <cellStyle name="Total 26 5" xfId="63072" xr:uid="{00000000-0005-0000-0000-000060F60000}"/>
    <cellStyle name="Total 27" xfId="63073" xr:uid="{00000000-0005-0000-0000-000061F60000}"/>
    <cellStyle name="Total 27 2" xfId="63074" xr:uid="{00000000-0005-0000-0000-000062F60000}"/>
    <cellStyle name="Total 27 2 2" xfId="63075" xr:uid="{00000000-0005-0000-0000-000063F60000}"/>
    <cellStyle name="Total 27 2 2 2" xfId="63076" xr:uid="{00000000-0005-0000-0000-000064F60000}"/>
    <cellStyle name="Total 27 2 3" xfId="63077" xr:uid="{00000000-0005-0000-0000-000065F60000}"/>
    <cellStyle name="Total 27 2 3 2" xfId="63078" xr:uid="{00000000-0005-0000-0000-000066F60000}"/>
    <cellStyle name="Total 27 2 3 3" xfId="63079" xr:uid="{00000000-0005-0000-0000-000067F60000}"/>
    <cellStyle name="Total 27 2 4" xfId="63080" xr:uid="{00000000-0005-0000-0000-000068F60000}"/>
    <cellStyle name="Total 27 2 5" xfId="63081" xr:uid="{00000000-0005-0000-0000-000069F60000}"/>
    <cellStyle name="Total 27 3" xfId="63082" xr:uid="{00000000-0005-0000-0000-00006AF60000}"/>
    <cellStyle name="Total 27 3 2" xfId="63083" xr:uid="{00000000-0005-0000-0000-00006BF60000}"/>
    <cellStyle name="Total 27 3 3" xfId="63084" xr:uid="{00000000-0005-0000-0000-00006CF60000}"/>
    <cellStyle name="Total 27 4" xfId="63085" xr:uid="{00000000-0005-0000-0000-00006DF60000}"/>
    <cellStyle name="Total 27 5" xfId="63086" xr:uid="{00000000-0005-0000-0000-00006EF60000}"/>
    <cellStyle name="Total 28" xfId="63087" xr:uid="{00000000-0005-0000-0000-00006FF60000}"/>
    <cellStyle name="Total 28 2" xfId="63088" xr:uid="{00000000-0005-0000-0000-000070F60000}"/>
    <cellStyle name="Total 28 2 2" xfId="63089" xr:uid="{00000000-0005-0000-0000-000071F60000}"/>
    <cellStyle name="Total 28 2 2 2" xfId="63090" xr:uid="{00000000-0005-0000-0000-000072F60000}"/>
    <cellStyle name="Total 28 2 3" xfId="63091" xr:uid="{00000000-0005-0000-0000-000073F60000}"/>
    <cellStyle name="Total 28 2 3 2" xfId="63092" xr:uid="{00000000-0005-0000-0000-000074F60000}"/>
    <cellStyle name="Total 28 2 3 3" xfId="63093" xr:uid="{00000000-0005-0000-0000-000075F60000}"/>
    <cellStyle name="Total 28 2 4" xfId="63094" xr:uid="{00000000-0005-0000-0000-000076F60000}"/>
    <cellStyle name="Total 28 2 5" xfId="63095" xr:uid="{00000000-0005-0000-0000-000077F60000}"/>
    <cellStyle name="Total 28 3" xfId="63096" xr:uid="{00000000-0005-0000-0000-000078F60000}"/>
    <cellStyle name="Total 28 3 2" xfId="63097" xr:uid="{00000000-0005-0000-0000-000079F60000}"/>
    <cellStyle name="Total 28 3 3" xfId="63098" xr:uid="{00000000-0005-0000-0000-00007AF60000}"/>
    <cellStyle name="Total 28 4" xfId="63099" xr:uid="{00000000-0005-0000-0000-00007BF60000}"/>
    <cellStyle name="Total 28 5" xfId="63100" xr:uid="{00000000-0005-0000-0000-00007CF60000}"/>
    <cellStyle name="Total 29" xfId="63101" xr:uid="{00000000-0005-0000-0000-00007DF60000}"/>
    <cellStyle name="Total 29 2" xfId="63102" xr:uid="{00000000-0005-0000-0000-00007EF60000}"/>
    <cellStyle name="Total 29 2 2" xfId="63103" xr:uid="{00000000-0005-0000-0000-00007FF60000}"/>
    <cellStyle name="Total 29 2 2 2" xfId="63104" xr:uid="{00000000-0005-0000-0000-000080F60000}"/>
    <cellStyle name="Total 29 2 3" xfId="63105" xr:uid="{00000000-0005-0000-0000-000081F60000}"/>
    <cellStyle name="Total 29 2 3 2" xfId="63106" xr:uid="{00000000-0005-0000-0000-000082F60000}"/>
    <cellStyle name="Total 29 2 3 3" xfId="63107" xr:uid="{00000000-0005-0000-0000-000083F60000}"/>
    <cellStyle name="Total 29 2 4" xfId="63108" xr:uid="{00000000-0005-0000-0000-000084F60000}"/>
    <cellStyle name="Total 29 2 5" xfId="63109" xr:uid="{00000000-0005-0000-0000-000085F60000}"/>
    <cellStyle name="Total 29 3" xfId="63110" xr:uid="{00000000-0005-0000-0000-000086F60000}"/>
    <cellStyle name="Total 29 3 2" xfId="63111" xr:uid="{00000000-0005-0000-0000-000087F60000}"/>
    <cellStyle name="Total 29 3 3" xfId="63112" xr:uid="{00000000-0005-0000-0000-000088F60000}"/>
    <cellStyle name="Total 29 4" xfId="63113" xr:uid="{00000000-0005-0000-0000-000089F60000}"/>
    <cellStyle name="Total 29 5" xfId="63114" xr:uid="{00000000-0005-0000-0000-00008AF60000}"/>
    <cellStyle name="Total 3" xfId="63115" xr:uid="{00000000-0005-0000-0000-00008BF60000}"/>
    <cellStyle name="Total 3 2" xfId="63116" xr:uid="{00000000-0005-0000-0000-00008CF60000}"/>
    <cellStyle name="Total 3 2 2" xfId="63117" xr:uid="{00000000-0005-0000-0000-00008DF60000}"/>
    <cellStyle name="Total 3 2 2 2" xfId="63118" xr:uid="{00000000-0005-0000-0000-00008EF60000}"/>
    <cellStyle name="Total 3 2 3" xfId="63119" xr:uid="{00000000-0005-0000-0000-00008FF60000}"/>
    <cellStyle name="Total 3 2 3 2" xfId="63120" xr:uid="{00000000-0005-0000-0000-000090F60000}"/>
    <cellStyle name="Total 3 2 3 3" xfId="63121" xr:uid="{00000000-0005-0000-0000-000091F60000}"/>
    <cellStyle name="Total 3 2 4" xfId="63122" xr:uid="{00000000-0005-0000-0000-000092F60000}"/>
    <cellStyle name="Total 3 3" xfId="63123" xr:uid="{00000000-0005-0000-0000-000093F60000}"/>
    <cellStyle name="Total 3 3 2" xfId="63124" xr:uid="{00000000-0005-0000-0000-000094F60000}"/>
    <cellStyle name="Total 3 4" xfId="63125" xr:uid="{00000000-0005-0000-0000-000095F60000}"/>
    <cellStyle name="Total 3 4 2" xfId="63126" xr:uid="{00000000-0005-0000-0000-000096F60000}"/>
    <cellStyle name="Total 3 4 3" xfId="63127" xr:uid="{00000000-0005-0000-0000-000097F60000}"/>
    <cellStyle name="Total 3 5" xfId="63128" xr:uid="{00000000-0005-0000-0000-000098F60000}"/>
    <cellStyle name="Total 3 6" xfId="63129" xr:uid="{00000000-0005-0000-0000-000099F60000}"/>
    <cellStyle name="Total 30" xfId="63130" xr:uid="{00000000-0005-0000-0000-00009AF60000}"/>
    <cellStyle name="Total 30 2" xfId="63131" xr:uid="{00000000-0005-0000-0000-00009BF60000}"/>
    <cellStyle name="Total 30 2 2" xfId="63132" xr:uid="{00000000-0005-0000-0000-00009CF60000}"/>
    <cellStyle name="Total 30 2 2 2" xfId="63133" xr:uid="{00000000-0005-0000-0000-00009DF60000}"/>
    <cellStyle name="Total 30 2 3" xfId="63134" xr:uid="{00000000-0005-0000-0000-00009EF60000}"/>
    <cellStyle name="Total 30 2 3 2" xfId="63135" xr:uid="{00000000-0005-0000-0000-00009FF60000}"/>
    <cellStyle name="Total 30 2 3 3" xfId="63136" xr:uid="{00000000-0005-0000-0000-0000A0F60000}"/>
    <cellStyle name="Total 30 2 4" xfId="63137" xr:uid="{00000000-0005-0000-0000-0000A1F60000}"/>
    <cellStyle name="Total 30 2 5" xfId="63138" xr:uid="{00000000-0005-0000-0000-0000A2F60000}"/>
    <cellStyle name="Total 30 3" xfId="63139" xr:uid="{00000000-0005-0000-0000-0000A3F60000}"/>
    <cellStyle name="Total 30 3 2" xfId="63140" xr:uid="{00000000-0005-0000-0000-0000A4F60000}"/>
    <cellStyle name="Total 30 3 3" xfId="63141" xr:uid="{00000000-0005-0000-0000-0000A5F60000}"/>
    <cellStyle name="Total 30 4" xfId="63142" xr:uid="{00000000-0005-0000-0000-0000A6F60000}"/>
    <cellStyle name="Total 30 5" xfId="63143" xr:uid="{00000000-0005-0000-0000-0000A7F60000}"/>
    <cellStyle name="Total 31" xfId="63144" xr:uid="{00000000-0005-0000-0000-0000A8F60000}"/>
    <cellStyle name="Total 31 2" xfId="63145" xr:uid="{00000000-0005-0000-0000-0000A9F60000}"/>
    <cellStyle name="Total 31 2 2" xfId="63146" xr:uid="{00000000-0005-0000-0000-0000AAF60000}"/>
    <cellStyle name="Total 31 2 2 2" xfId="63147" xr:uid="{00000000-0005-0000-0000-0000ABF60000}"/>
    <cellStyle name="Total 31 2 3" xfId="63148" xr:uid="{00000000-0005-0000-0000-0000ACF60000}"/>
    <cellStyle name="Total 31 2 3 2" xfId="63149" xr:uid="{00000000-0005-0000-0000-0000ADF60000}"/>
    <cellStyle name="Total 31 2 3 3" xfId="63150" xr:uid="{00000000-0005-0000-0000-0000AEF60000}"/>
    <cellStyle name="Total 31 2 4" xfId="63151" xr:uid="{00000000-0005-0000-0000-0000AFF60000}"/>
    <cellStyle name="Total 31 2 5" xfId="63152" xr:uid="{00000000-0005-0000-0000-0000B0F60000}"/>
    <cellStyle name="Total 31 3" xfId="63153" xr:uid="{00000000-0005-0000-0000-0000B1F60000}"/>
    <cellStyle name="Total 31 3 2" xfId="63154" xr:uid="{00000000-0005-0000-0000-0000B2F60000}"/>
    <cellStyle name="Total 31 3 3" xfId="63155" xr:uid="{00000000-0005-0000-0000-0000B3F60000}"/>
    <cellStyle name="Total 31 4" xfId="63156" xr:uid="{00000000-0005-0000-0000-0000B4F60000}"/>
    <cellStyle name="Total 31 5" xfId="63157" xr:uid="{00000000-0005-0000-0000-0000B5F60000}"/>
    <cellStyle name="Total 32" xfId="63158" xr:uid="{00000000-0005-0000-0000-0000B6F60000}"/>
    <cellStyle name="Total 32 2" xfId="63159" xr:uid="{00000000-0005-0000-0000-0000B7F60000}"/>
    <cellStyle name="Total 32 2 2" xfId="63160" xr:uid="{00000000-0005-0000-0000-0000B8F60000}"/>
    <cellStyle name="Total 32 2 2 2" xfId="63161" xr:uid="{00000000-0005-0000-0000-0000B9F60000}"/>
    <cellStyle name="Total 32 2 3" xfId="63162" xr:uid="{00000000-0005-0000-0000-0000BAF60000}"/>
    <cellStyle name="Total 32 2 3 2" xfId="63163" xr:uid="{00000000-0005-0000-0000-0000BBF60000}"/>
    <cellStyle name="Total 32 2 3 3" xfId="63164" xr:uid="{00000000-0005-0000-0000-0000BCF60000}"/>
    <cellStyle name="Total 32 2 4" xfId="63165" xr:uid="{00000000-0005-0000-0000-0000BDF60000}"/>
    <cellStyle name="Total 32 2 5" xfId="63166" xr:uid="{00000000-0005-0000-0000-0000BEF60000}"/>
    <cellStyle name="Total 32 3" xfId="63167" xr:uid="{00000000-0005-0000-0000-0000BFF60000}"/>
    <cellStyle name="Total 32 3 2" xfId="63168" xr:uid="{00000000-0005-0000-0000-0000C0F60000}"/>
    <cellStyle name="Total 32 3 3" xfId="63169" xr:uid="{00000000-0005-0000-0000-0000C1F60000}"/>
    <cellStyle name="Total 32 4" xfId="63170" xr:uid="{00000000-0005-0000-0000-0000C2F60000}"/>
    <cellStyle name="Total 32 5" xfId="63171" xr:uid="{00000000-0005-0000-0000-0000C3F60000}"/>
    <cellStyle name="Total 33" xfId="63172" xr:uid="{00000000-0005-0000-0000-0000C4F60000}"/>
    <cellStyle name="Total 33 2" xfId="63173" xr:uid="{00000000-0005-0000-0000-0000C5F60000}"/>
    <cellStyle name="Total 33 2 2" xfId="63174" xr:uid="{00000000-0005-0000-0000-0000C6F60000}"/>
    <cellStyle name="Total 33 2 2 2" xfId="63175" xr:uid="{00000000-0005-0000-0000-0000C7F60000}"/>
    <cellStyle name="Total 33 2 3" xfId="63176" xr:uid="{00000000-0005-0000-0000-0000C8F60000}"/>
    <cellStyle name="Total 33 2 3 2" xfId="63177" xr:uid="{00000000-0005-0000-0000-0000C9F60000}"/>
    <cellStyle name="Total 33 2 3 3" xfId="63178" xr:uid="{00000000-0005-0000-0000-0000CAF60000}"/>
    <cellStyle name="Total 33 2 4" xfId="63179" xr:uid="{00000000-0005-0000-0000-0000CBF60000}"/>
    <cellStyle name="Total 33 2 5" xfId="63180" xr:uid="{00000000-0005-0000-0000-0000CCF60000}"/>
    <cellStyle name="Total 33 3" xfId="63181" xr:uid="{00000000-0005-0000-0000-0000CDF60000}"/>
    <cellStyle name="Total 33 3 2" xfId="63182" xr:uid="{00000000-0005-0000-0000-0000CEF60000}"/>
    <cellStyle name="Total 33 3 3" xfId="63183" xr:uid="{00000000-0005-0000-0000-0000CFF60000}"/>
    <cellStyle name="Total 33 4" xfId="63184" xr:uid="{00000000-0005-0000-0000-0000D0F60000}"/>
    <cellStyle name="Total 33 5" xfId="63185" xr:uid="{00000000-0005-0000-0000-0000D1F60000}"/>
    <cellStyle name="Total 34" xfId="63186" xr:uid="{00000000-0005-0000-0000-0000D2F60000}"/>
    <cellStyle name="Total 34 2" xfId="63187" xr:uid="{00000000-0005-0000-0000-0000D3F60000}"/>
    <cellStyle name="Total 34 2 2" xfId="63188" xr:uid="{00000000-0005-0000-0000-0000D4F60000}"/>
    <cellStyle name="Total 34 2 2 2" xfId="63189" xr:uid="{00000000-0005-0000-0000-0000D5F60000}"/>
    <cellStyle name="Total 34 2 3" xfId="63190" xr:uid="{00000000-0005-0000-0000-0000D6F60000}"/>
    <cellStyle name="Total 34 2 3 2" xfId="63191" xr:uid="{00000000-0005-0000-0000-0000D7F60000}"/>
    <cellStyle name="Total 34 2 3 3" xfId="63192" xr:uid="{00000000-0005-0000-0000-0000D8F60000}"/>
    <cellStyle name="Total 34 2 4" xfId="63193" xr:uid="{00000000-0005-0000-0000-0000D9F60000}"/>
    <cellStyle name="Total 34 2 5" xfId="63194" xr:uid="{00000000-0005-0000-0000-0000DAF60000}"/>
    <cellStyle name="Total 34 3" xfId="63195" xr:uid="{00000000-0005-0000-0000-0000DBF60000}"/>
    <cellStyle name="Total 34 3 2" xfId="63196" xr:uid="{00000000-0005-0000-0000-0000DCF60000}"/>
    <cellStyle name="Total 34 3 3" xfId="63197" xr:uid="{00000000-0005-0000-0000-0000DDF60000}"/>
    <cellStyle name="Total 34 4" xfId="63198" xr:uid="{00000000-0005-0000-0000-0000DEF60000}"/>
    <cellStyle name="Total 34 5" xfId="63199" xr:uid="{00000000-0005-0000-0000-0000DFF60000}"/>
    <cellStyle name="Total 35" xfId="63200" xr:uid="{00000000-0005-0000-0000-0000E0F60000}"/>
    <cellStyle name="Total 35 2" xfId="63201" xr:uid="{00000000-0005-0000-0000-0000E1F60000}"/>
    <cellStyle name="Total 35 2 2" xfId="63202" xr:uid="{00000000-0005-0000-0000-0000E2F60000}"/>
    <cellStyle name="Total 35 2 2 2" xfId="63203" xr:uid="{00000000-0005-0000-0000-0000E3F60000}"/>
    <cellStyle name="Total 35 2 3" xfId="63204" xr:uid="{00000000-0005-0000-0000-0000E4F60000}"/>
    <cellStyle name="Total 35 2 3 2" xfId="63205" xr:uid="{00000000-0005-0000-0000-0000E5F60000}"/>
    <cellStyle name="Total 35 2 3 3" xfId="63206" xr:uid="{00000000-0005-0000-0000-0000E6F60000}"/>
    <cellStyle name="Total 35 2 4" xfId="63207" xr:uid="{00000000-0005-0000-0000-0000E7F60000}"/>
    <cellStyle name="Total 35 2 5" xfId="63208" xr:uid="{00000000-0005-0000-0000-0000E8F60000}"/>
    <cellStyle name="Total 35 3" xfId="63209" xr:uid="{00000000-0005-0000-0000-0000E9F60000}"/>
    <cellStyle name="Total 35 3 2" xfId="63210" xr:uid="{00000000-0005-0000-0000-0000EAF60000}"/>
    <cellStyle name="Total 35 3 3" xfId="63211" xr:uid="{00000000-0005-0000-0000-0000EBF60000}"/>
    <cellStyle name="Total 35 4" xfId="63212" xr:uid="{00000000-0005-0000-0000-0000ECF60000}"/>
    <cellStyle name="Total 35 5" xfId="63213" xr:uid="{00000000-0005-0000-0000-0000EDF60000}"/>
    <cellStyle name="Total 36" xfId="63214" xr:uid="{00000000-0005-0000-0000-0000EEF60000}"/>
    <cellStyle name="Total 36 2" xfId="63215" xr:uid="{00000000-0005-0000-0000-0000EFF60000}"/>
    <cellStyle name="Total 36 2 2" xfId="63216" xr:uid="{00000000-0005-0000-0000-0000F0F60000}"/>
    <cellStyle name="Total 36 2 2 2" xfId="63217" xr:uid="{00000000-0005-0000-0000-0000F1F60000}"/>
    <cellStyle name="Total 36 2 3" xfId="63218" xr:uid="{00000000-0005-0000-0000-0000F2F60000}"/>
    <cellStyle name="Total 36 2 3 2" xfId="63219" xr:uid="{00000000-0005-0000-0000-0000F3F60000}"/>
    <cellStyle name="Total 36 2 3 3" xfId="63220" xr:uid="{00000000-0005-0000-0000-0000F4F60000}"/>
    <cellStyle name="Total 36 2 4" xfId="63221" xr:uid="{00000000-0005-0000-0000-0000F5F60000}"/>
    <cellStyle name="Total 36 2 5" xfId="63222" xr:uid="{00000000-0005-0000-0000-0000F6F60000}"/>
    <cellStyle name="Total 36 3" xfId="63223" xr:uid="{00000000-0005-0000-0000-0000F7F60000}"/>
    <cellStyle name="Total 36 3 2" xfId="63224" xr:uid="{00000000-0005-0000-0000-0000F8F60000}"/>
    <cellStyle name="Total 36 3 3" xfId="63225" xr:uid="{00000000-0005-0000-0000-0000F9F60000}"/>
    <cellStyle name="Total 36 4" xfId="63226" xr:uid="{00000000-0005-0000-0000-0000FAF60000}"/>
    <cellStyle name="Total 36 5" xfId="63227" xr:uid="{00000000-0005-0000-0000-0000FBF60000}"/>
    <cellStyle name="Total 37" xfId="63228" xr:uid="{00000000-0005-0000-0000-0000FCF60000}"/>
    <cellStyle name="Total 37 2" xfId="63229" xr:uid="{00000000-0005-0000-0000-0000FDF60000}"/>
    <cellStyle name="Total 37 2 2" xfId="63230" xr:uid="{00000000-0005-0000-0000-0000FEF60000}"/>
    <cellStyle name="Total 37 2 2 2" xfId="63231" xr:uid="{00000000-0005-0000-0000-0000FFF60000}"/>
    <cellStyle name="Total 37 2 3" xfId="63232" xr:uid="{00000000-0005-0000-0000-000000F70000}"/>
    <cellStyle name="Total 37 2 3 2" xfId="63233" xr:uid="{00000000-0005-0000-0000-000001F70000}"/>
    <cellStyle name="Total 37 2 3 3" xfId="63234" xr:uid="{00000000-0005-0000-0000-000002F70000}"/>
    <cellStyle name="Total 37 2 4" xfId="63235" xr:uid="{00000000-0005-0000-0000-000003F70000}"/>
    <cellStyle name="Total 37 2 5" xfId="63236" xr:uid="{00000000-0005-0000-0000-000004F70000}"/>
    <cellStyle name="Total 37 3" xfId="63237" xr:uid="{00000000-0005-0000-0000-000005F70000}"/>
    <cellStyle name="Total 37 3 2" xfId="63238" xr:uid="{00000000-0005-0000-0000-000006F70000}"/>
    <cellStyle name="Total 37 3 3" xfId="63239" xr:uid="{00000000-0005-0000-0000-000007F70000}"/>
    <cellStyle name="Total 37 4" xfId="63240" xr:uid="{00000000-0005-0000-0000-000008F70000}"/>
    <cellStyle name="Total 37 5" xfId="63241" xr:uid="{00000000-0005-0000-0000-000009F70000}"/>
    <cellStyle name="Total 38" xfId="63242" xr:uid="{00000000-0005-0000-0000-00000AF70000}"/>
    <cellStyle name="Total 38 2" xfId="63243" xr:uid="{00000000-0005-0000-0000-00000BF70000}"/>
    <cellStyle name="Total 38 2 2" xfId="63244" xr:uid="{00000000-0005-0000-0000-00000CF70000}"/>
    <cellStyle name="Total 38 2 2 2" xfId="63245" xr:uid="{00000000-0005-0000-0000-00000DF70000}"/>
    <cellStyle name="Total 38 2 3" xfId="63246" xr:uid="{00000000-0005-0000-0000-00000EF70000}"/>
    <cellStyle name="Total 38 2 3 2" xfId="63247" xr:uid="{00000000-0005-0000-0000-00000FF70000}"/>
    <cellStyle name="Total 38 2 3 3" xfId="63248" xr:uid="{00000000-0005-0000-0000-000010F70000}"/>
    <cellStyle name="Total 38 2 4" xfId="63249" xr:uid="{00000000-0005-0000-0000-000011F70000}"/>
    <cellStyle name="Total 38 2 5" xfId="63250" xr:uid="{00000000-0005-0000-0000-000012F70000}"/>
    <cellStyle name="Total 38 3" xfId="63251" xr:uid="{00000000-0005-0000-0000-000013F70000}"/>
    <cellStyle name="Total 38 3 2" xfId="63252" xr:uid="{00000000-0005-0000-0000-000014F70000}"/>
    <cellStyle name="Total 38 3 3" xfId="63253" xr:uid="{00000000-0005-0000-0000-000015F70000}"/>
    <cellStyle name="Total 38 4" xfId="63254" xr:uid="{00000000-0005-0000-0000-000016F70000}"/>
    <cellStyle name="Total 38 5" xfId="63255" xr:uid="{00000000-0005-0000-0000-000017F70000}"/>
    <cellStyle name="Total 39" xfId="63256" xr:uid="{00000000-0005-0000-0000-000018F70000}"/>
    <cellStyle name="Total 39 2" xfId="63257" xr:uid="{00000000-0005-0000-0000-000019F70000}"/>
    <cellStyle name="Total 39 2 2" xfId="63258" xr:uid="{00000000-0005-0000-0000-00001AF70000}"/>
    <cellStyle name="Total 39 2 2 2" xfId="63259" xr:uid="{00000000-0005-0000-0000-00001BF70000}"/>
    <cellStyle name="Total 39 2 3" xfId="63260" xr:uid="{00000000-0005-0000-0000-00001CF70000}"/>
    <cellStyle name="Total 39 2 3 2" xfId="63261" xr:uid="{00000000-0005-0000-0000-00001DF70000}"/>
    <cellStyle name="Total 39 2 3 3" xfId="63262" xr:uid="{00000000-0005-0000-0000-00001EF70000}"/>
    <cellStyle name="Total 39 2 4" xfId="63263" xr:uid="{00000000-0005-0000-0000-00001FF70000}"/>
    <cellStyle name="Total 39 2 5" xfId="63264" xr:uid="{00000000-0005-0000-0000-000020F70000}"/>
    <cellStyle name="Total 39 3" xfId="63265" xr:uid="{00000000-0005-0000-0000-000021F70000}"/>
    <cellStyle name="Total 39 3 2" xfId="63266" xr:uid="{00000000-0005-0000-0000-000022F70000}"/>
    <cellStyle name="Total 39 3 3" xfId="63267" xr:uid="{00000000-0005-0000-0000-000023F70000}"/>
    <cellStyle name="Total 39 4" xfId="63268" xr:uid="{00000000-0005-0000-0000-000024F70000}"/>
    <cellStyle name="Total 39 5" xfId="63269" xr:uid="{00000000-0005-0000-0000-000025F70000}"/>
    <cellStyle name="Total 4" xfId="63270" xr:uid="{00000000-0005-0000-0000-000026F70000}"/>
    <cellStyle name="Total 4 2" xfId="63271" xr:uid="{00000000-0005-0000-0000-000027F70000}"/>
    <cellStyle name="Total 4 2 2" xfId="63272" xr:uid="{00000000-0005-0000-0000-000028F70000}"/>
    <cellStyle name="Total 4 2 2 2" xfId="63273" xr:uid="{00000000-0005-0000-0000-000029F70000}"/>
    <cellStyle name="Total 4 2 3" xfId="63274" xr:uid="{00000000-0005-0000-0000-00002AF70000}"/>
    <cellStyle name="Total 4 2 3 2" xfId="63275" xr:uid="{00000000-0005-0000-0000-00002BF70000}"/>
    <cellStyle name="Total 4 2 3 3" xfId="63276" xr:uid="{00000000-0005-0000-0000-00002CF70000}"/>
    <cellStyle name="Total 4 2 4" xfId="63277" xr:uid="{00000000-0005-0000-0000-00002DF70000}"/>
    <cellStyle name="Total 4 3" xfId="63278" xr:uid="{00000000-0005-0000-0000-00002EF70000}"/>
    <cellStyle name="Total 4 3 2" xfId="63279" xr:uid="{00000000-0005-0000-0000-00002FF70000}"/>
    <cellStyle name="Total 4 4" xfId="63280" xr:uid="{00000000-0005-0000-0000-000030F70000}"/>
    <cellStyle name="Total 4 4 2" xfId="63281" xr:uid="{00000000-0005-0000-0000-000031F70000}"/>
    <cellStyle name="Total 4 4 3" xfId="63282" xr:uid="{00000000-0005-0000-0000-000032F70000}"/>
    <cellStyle name="Total 4 5" xfId="63283" xr:uid="{00000000-0005-0000-0000-000033F70000}"/>
    <cellStyle name="Total 4 6" xfId="63284" xr:uid="{00000000-0005-0000-0000-000034F70000}"/>
    <cellStyle name="Total 40" xfId="63285" xr:uid="{00000000-0005-0000-0000-000035F70000}"/>
    <cellStyle name="Total 40 2" xfId="63286" xr:uid="{00000000-0005-0000-0000-000036F70000}"/>
    <cellStyle name="Total 40 2 2" xfId="63287" xr:uid="{00000000-0005-0000-0000-000037F70000}"/>
    <cellStyle name="Total 40 2 2 2" xfId="63288" xr:uid="{00000000-0005-0000-0000-000038F70000}"/>
    <cellStyle name="Total 40 2 3" xfId="63289" xr:uid="{00000000-0005-0000-0000-000039F70000}"/>
    <cellStyle name="Total 40 2 3 2" xfId="63290" xr:uid="{00000000-0005-0000-0000-00003AF70000}"/>
    <cellStyle name="Total 40 2 3 3" xfId="63291" xr:uid="{00000000-0005-0000-0000-00003BF70000}"/>
    <cellStyle name="Total 40 2 4" xfId="63292" xr:uid="{00000000-0005-0000-0000-00003CF70000}"/>
    <cellStyle name="Total 40 2 5" xfId="63293" xr:uid="{00000000-0005-0000-0000-00003DF70000}"/>
    <cellStyle name="Total 40 3" xfId="63294" xr:uid="{00000000-0005-0000-0000-00003EF70000}"/>
    <cellStyle name="Total 40 3 2" xfId="63295" xr:uid="{00000000-0005-0000-0000-00003FF70000}"/>
    <cellStyle name="Total 40 3 3" xfId="63296" xr:uid="{00000000-0005-0000-0000-000040F70000}"/>
    <cellStyle name="Total 40 4" xfId="63297" xr:uid="{00000000-0005-0000-0000-000041F70000}"/>
    <cellStyle name="Total 40 5" xfId="63298" xr:uid="{00000000-0005-0000-0000-000042F70000}"/>
    <cellStyle name="Total 41" xfId="63299" xr:uid="{00000000-0005-0000-0000-000043F70000}"/>
    <cellStyle name="Total 41 2" xfId="63300" xr:uid="{00000000-0005-0000-0000-000044F70000}"/>
    <cellStyle name="Total 41 2 2" xfId="63301" xr:uid="{00000000-0005-0000-0000-000045F70000}"/>
    <cellStyle name="Total 41 2 2 2" xfId="63302" xr:uid="{00000000-0005-0000-0000-000046F70000}"/>
    <cellStyle name="Total 41 2 3" xfId="63303" xr:uid="{00000000-0005-0000-0000-000047F70000}"/>
    <cellStyle name="Total 41 2 3 2" xfId="63304" xr:uid="{00000000-0005-0000-0000-000048F70000}"/>
    <cellStyle name="Total 41 2 3 3" xfId="63305" xr:uid="{00000000-0005-0000-0000-000049F70000}"/>
    <cellStyle name="Total 41 2 4" xfId="63306" xr:uid="{00000000-0005-0000-0000-00004AF70000}"/>
    <cellStyle name="Total 41 2 5" xfId="63307" xr:uid="{00000000-0005-0000-0000-00004BF70000}"/>
    <cellStyle name="Total 41 3" xfId="63308" xr:uid="{00000000-0005-0000-0000-00004CF70000}"/>
    <cellStyle name="Total 41 3 2" xfId="63309" xr:uid="{00000000-0005-0000-0000-00004DF70000}"/>
    <cellStyle name="Total 41 3 3" xfId="63310" xr:uid="{00000000-0005-0000-0000-00004EF70000}"/>
    <cellStyle name="Total 41 4" xfId="63311" xr:uid="{00000000-0005-0000-0000-00004FF70000}"/>
    <cellStyle name="Total 41 5" xfId="63312" xr:uid="{00000000-0005-0000-0000-000050F70000}"/>
    <cellStyle name="Total 42" xfId="63313" xr:uid="{00000000-0005-0000-0000-000051F70000}"/>
    <cellStyle name="Total 42 2" xfId="63314" xr:uid="{00000000-0005-0000-0000-000052F70000}"/>
    <cellStyle name="Total 42 2 2" xfId="63315" xr:uid="{00000000-0005-0000-0000-000053F70000}"/>
    <cellStyle name="Total 42 2 2 2" xfId="63316" xr:uid="{00000000-0005-0000-0000-000054F70000}"/>
    <cellStyle name="Total 42 2 3" xfId="63317" xr:uid="{00000000-0005-0000-0000-000055F70000}"/>
    <cellStyle name="Total 42 2 3 2" xfId="63318" xr:uid="{00000000-0005-0000-0000-000056F70000}"/>
    <cellStyle name="Total 42 2 3 3" xfId="63319" xr:uid="{00000000-0005-0000-0000-000057F70000}"/>
    <cellStyle name="Total 42 2 4" xfId="63320" xr:uid="{00000000-0005-0000-0000-000058F70000}"/>
    <cellStyle name="Total 42 2 5" xfId="63321" xr:uid="{00000000-0005-0000-0000-000059F70000}"/>
    <cellStyle name="Total 42 3" xfId="63322" xr:uid="{00000000-0005-0000-0000-00005AF70000}"/>
    <cellStyle name="Total 42 3 2" xfId="63323" xr:uid="{00000000-0005-0000-0000-00005BF70000}"/>
    <cellStyle name="Total 42 3 3" xfId="63324" xr:uid="{00000000-0005-0000-0000-00005CF70000}"/>
    <cellStyle name="Total 42 4" xfId="63325" xr:uid="{00000000-0005-0000-0000-00005DF70000}"/>
    <cellStyle name="Total 42 5" xfId="63326" xr:uid="{00000000-0005-0000-0000-00005EF70000}"/>
    <cellStyle name="Total 43" xfId="63327" xr:uid="{00000000-0005-0000-0000-00005FF70000}"/>
    <cellStyle name="Total 43 2" xfId="63328" xr:uid="{00000000-0005-0000-0000-000060F70000}"/>
    <cellStyle name="Total 43 2 2" xfId="63329" xr:uid="{00000000-0005-0000-0000-000061F70000}"/>
    <cellStyle name="Total 43 2 2 2" xfId="63330" xr:uid="{00000000-0005-0000-0000-000062F70000}"/>
    <cellStyle name="Total 43 2 3" xfId="63331" xr:uid="{00000000-0005-0000-0000-000063F70000}"/>
    <cellStyle name="Total 43 2 3 2" xfId="63332" xr:uid="{00000000-0005-0000-0000-000064F70000}"/>
    <cellStyle name="Total 43 2 3 3" xfId="63333" xr:uid="{00000000-0005-0000-0000-000065F70000}"/>
    <cellStyle name="Total 43 2 4" xfId="63334" xr:uid="{00000000-0005-0000-0000-000066F70000}"/>
    <cellStyle name="Total 43 2 5" xfId="63335" xr:uid="{00000000-0005-0000-0000-000067F70000}"/>
    <cellStyle name="Total 43 3" xfId="63336" xr:uid="{00000000-0005-0000-0000-000068F70000}"/>
    <cellStyle name="Total 43 3 2" xfId="63337" xr:uid="{00000000-0005-0000-0000-000069F70000}"/>
    <cellStyle name="Total 43 3 3" xfId="63338" xr:uid="{00000000-0005-0000-0000-00006AF70000}"/>
    <cellStyle name="Total 43 4" xfId="63339" xr:uid="{00000000-0005-0000-0000-00006BF70000}"/>
    <cellStyle name="Total 43 5" xfId="63340" xr:uid="{00000000-0005-0000-0000-00006CF70000}"/>
    <cellStyle name="Total 44" xfId="63341" xr:uid="{00000000-0005-0000-0000-00006DF70000}"/>
    <cellStyle name="Total 44 2" xfId="63342" xr:uid="{00000000-0005-0000-0000-00006EF70000}"/>
    <cellStyle name="Total 44 2 2" xfId="63343" xr:uid="{00000000-0005-0000-0000-00006FF70000}"/>
    <cellStyle name="Total 44 2 2 2" xfId="63344" xr:uid="{00000000-0005-0000-0000-000070F70000}"/>
    <cellStyle name="Total 44 2 3" xfId="63345" xr:uid="{00000000-0005-0000-0000-000071F70000}"/>
    <cellStyle name="Total 44 2 3 2" xfId="63346" xr:uid="{00000000-0005-0000-0000-000072F70000}"/>
    <cellStyle name="Total 44 2 3 3" xfId="63347" xr:uid="{00000000-0005-0000-0000-000073F70000}"/>
    <cellStyle name="Total 44 2 4" xfId="63348" xr:uid="{00000000-0005-0000-0000-000074F70000}"/>
    <cellStyle name="Total 44 2 5" xfId="63349" xr:uid="{00000000-0005-0000-0000-000075F70000}"/>
    <cellStyle name="Total 44 3" xfId="63350" xr:uid="{00000000-0005-0000-0000-000076F70000}"/>
    <cellStyle name="Total 44 3 2" xfId="63351" xr:uid="{00000000-0005-0000-0000-000077F70000}"/>
    <cellStyle name="Total 44 3 3" xfId="63352" xr:uid="{00000000-0005-0000-0000-000078F70000}"/>
    <cellStyle name="Total 44 4" xfId="63353" xr:uid="{00000000-0005-0000-0000-000079F70000}"/>
    <cellStyle name="Total 44 5" xfId="63354" xr:uid="{00000000-0005-0000-0000-00007AF70000}"/>
    <cellStyle name="Total 45" xfId="63355" xr:uid="{00000000-0005-0000-0000-00007BF70000}"/>
    <cellStyle name="Total 45 2" xfId="63356" xr:uid="{00000000-0005-0000-0000-00007CF70000}"/>
    <cellStyle name="Total 45 2 2" xfId="63357" xr:uid="{00000000-0005-0000-0000-00007DF70000}"/>
    <cellStyle name="Total 45 2 2 2" xfId="63358" xr:uid="{00000000-0005-0000-0000-00007EF70000}"/>
    <cellStyle name="Total 45 2 3" xfId="63359" xr:uid="{00000000-0005-0000-0000-00007FF70000}"/>
    <cellStyle name="Total 45 2 3 2" xfId="63360" xr:uid="{00000000-0005-0000-0000-000080F70000}"/>
    <cellStyle name="Total 45 2 3 3" xfId="63361" xr:uid="{00000000-0005-0000-0000-000081F70000}"/>
    <cellStyle name="Total 45 2 4" xfId="63362" xr:uid="{00000000-0005-0000-0000-000082F70000}"/>
    <cellStyle name="Total 45 2 5" xfId="63363" xr:uid="{00000000-0005-0000-0000-000083F70000}"/>
    <cellStyle name="Total 45 3" xfId="63364" xr:uid="{00000000-0005-0000-0000-000084F70000}"/>
    <cellStyle name="Total 45 3 2" xfId="63365" xr:uid="{00000000-0005-0000-0000-000085F70000}"/>
    <cellStyle name="Total 45 3 3" xfId="63366" xr:uid="{00000000-0005-0000-0000-000086F70000}"/>
    <cellStyle name="Total 45 4" xfId="63367" xr:uid="{00000000-0005-0000-0000-000087F70000}"/>
    <cellStyle name="Total 45 5" xfId="63368" xr:uid="{00000000-0005-0000-0000-000088F70000}"/>
    <cellStyle name="Total 46" xfId="63369" xr:uid="{00000000-0005-0000-0000-000089F70000}"/>
    <cellStyle name="Total 46 2" xfId="63370" xr:uid="{00000000-0005-0000-0000-00008AF70000}"/>
    <cellStyle name="Total 46 2 2" xfId="63371" xr:uid="{00000000-0005-0000-0000-00008BF70000}"/>
    <cellStyle name="Total 46 2 2 2" xfId="63372" xr:uid="{00000000-0005-0000-0000-00008CF70000}"/>
    <cellStyle name="Total 46 2 3" xfId="63373" xr:uid="{00000000-0005-0000-0000-00008DF70000}"/>
    <cellStyle name="Total 46 2 3 2" xfId="63374" xr:uid="{00000000-0005-0000-0000-00008EF70000}"/>
    <cellStyle name="Total 46 2 3 3" xfId="63375" xr:uid="{00000000-0005-0000-0000-00008FF70000}"/>
    <cellStyle name="Total 46 2 4" xfId="63376" xr:uid="{00000000-0005-0000-0000-000090F70000}"/>
    <cellStyle name="Total 46 2 5" xfId="63377" xr:uid="{00000000-0005-0000-0000-000091F70000}"/>
    <cellStyle name="Total 46 3" xfId="63378" xr:uid="{00000000-0005-0000-0000-000092F70000}"/>
    <cellStyle name="Total 46 3 2" xfId="63379" xr:uid="{00000000-0005-0000-0000-000093F70000}"/>
    <cellStyle name="Total 46 3 3" xfId="63380" xr:uid="{00000000-0005-0000-0000-000094F70000}"/>
    <cellStyle name="Total 46 4" xfId="63381" xr:uid="{00000000-0005-0000-0000-000095F70000}"/>
    <cellStyle name="Total 46 5" xfId="63382" xr:uid="{00000000-0005-0000-0000-000096F70000}"/>
    <cellStyle name="Total 47" xfId="63383" xr:uid="{00000000-0005-0000-0000-000097F70000}"/>
    <cellStyle name="Total 47 2" xfId="63384" xr:uid="{00000000-0005-0000-0000-000098F70000}"/>
    <cellStyle name="Total 47 2 2" xfId="63385" xr:uid="{00000000-0005-0000-0000-000099F70000}"/>
    <cellStyle name="Total 47 2 2 2" xfId="63386" xr:uid="{00000000-0005-0000-0000-00009AF70000}"/>
    <cellStyle name="Total 47 2 3" xfId="63387" xr:uid="{00000000-0005-0000-0000-00009BF70000}"/>
    <cellStyle name="Total 47 2 3 2" xfId="63388" xr:uid="{00000000-0005-0000-0000-00009CF70000}"/>
    <cellStyle name="Total 47 2 3 3" xfId="63389" xr:uid="{00000000-0005-0000-0000-00009DF70000}"/>
    <cellStyle name="Total 47 2 4" xfId="63390" xr:uid="{00000000-0005-0000-0000-00009EF70000}"/>
    <cellStyle name="Total 47 2 5" xfId="63391" xr:uid="{00000000-0005-0000-0000-00009FF70000}"/>
    <cellStyle name="Total 47 3" xfId="63392" xr:uid="{00000000-0005-0000-0000-0000A0F70000}"/>
    <cellStyle name="Total 47 3 2" xfId="63393" xr:uid="{00000000-0005-0000-0000-0000A1F70000}"/>
    <cellStyle name="Total 47 3 3" xfId="63394" xr:uid="{00000000-0005-0000-0000-0000A2F70000}"/>
    <cellStyle name="Total 47 4" xfId="63395" xr:uid="{00000000-0005-0000-0000-0000A3F70000}"/>
    <cellStyle name="Total 47 5" xfId="63396" xr:uid="{00000000-0005-0000-0000-0000A4F70000}"/>
    <cellStyle name="Total 48" xfId="63397" xr:uid="{00000000-0005-0000-0000-0000A5F70000}"/>
    <cellStyle name="Total 48 2" xfId="63398" xr:uid="{00000000-0005-0000-0000-0000A6F70000}"/>
    <cellStyle name="Total 48 2 2" xfId="63399" xr:uid="{00000000-0005-0000-0000-0000A7F70000}"/>
    <cellStyle name="Total 48 2 2 2" xfId="63400" xr:uid="{00000000-0005-0000-0000-0000A8F70000}"/>
    <cellStyle name="Total 48 2 3" xfId="63401" xr:uid="{00000000-0005-0000-0000-0000A9F70000}"/>
    <cellStyle name="Total 48 2 3 2" xfId="63402" xr:uid="{00000000-0005-0000-0000-0000AAF70000}"/>
    <cellStyle name="Total 48 2 3 3" xfId="63403" xr:uid="{00000000-0005-0000-0000-0000ABF70000}"/>
    <cellStyle name="Total 48 2 4" xfId="63404" xr:uid="{00000000-0005-0000-0000-0000ACF70000}"/>
    <cellStyle name="Total 48 2 5" xfId="63405" xr:uid="{00000000-0005-0000-0000-0000ADF70000}"/>
    <cellStyle name="Total 48 3" xfId="63406" xr:uid="{00000000-0005-0000-0000-0000AEF70000}"/>
    <cellStyle name="Total 48 3 2" xfId="63407" xr:uid="{00000000-0005-0000-0000-0000AFF70000}"/>
    <cellStyle name="Total 48 3 3" xfId="63408" xr:uid="{00000000-0005-0000-0000-0000B0F70000}"/>
    <cellStyle name="Total 48 4" xfId="63409" xr:uid="{00000000-0005-0000-0000-0000B1F70000}"/>
    <cellStyle name="Total 48 5" xfId="63410" xr:uid="{00000000-0005-0000-0000-0000B2F70000}"/>
    <cellStyle name="Total 49" xfId="63411" xr:uid="{00000000-0005-0000-0000-0000B3F70000}"/>
    <cellStyle name="Total 49 2" xfId="63412" xr:uid="{00000000-0005-0000-0000-0000B4F70000}"/>
    <cellStyle name="Total 49 2 2" xfId="63413" xr:uid="{00000000-0005-0000-0000-0000B5F70000}"/>
    <cellStyle name="Total 49 2 2 2" xfId="63414" xr:uid="{00000000-0005-0000-0000-0000B6F70000}"/>
    <cellStyle name="Total 49 2 3" xfId="63415" xr:uid="{00000000-0005-0000-0000-0000B7F70000}"/>
    <cellStyle name="Total 49 2 3 2" xfId="63416" xr:uid="{00000000-0005-0000-0000-0000B8F70000}"/>
    <cellStyle name="Total 49 2 3 3" xfId="63417" xr:uid="{00000000-0005-0000-0000-0000B9F70000}"/>
    <cellStyle name="Total 49 2 4" xfId="63418" xr:uid="{00000000-0005-0000-0000-0000BAF70000}"/>
    <cellStyle name="Total 49 2 5" xfId="63419" xr:uid="{00000000-0005-0000-0000-0000BBF70000}"/>
    <cellStyle name="Total 49 3" xfId="63420" xr:uid="{00000000-0005-0000-0000-0000BCF70000}"/>
    <cellStyle name="Total 49 3 2" xfId="63421" xr:uid="{00000000-0005-0000-0000-0000BDF70000}"/>
    <cellStyle name="Total 49 3 3" xfId="63422" xr:uid="{00000000-0005-0000-0000-0000BEF70000}"/>
    <cellStyle name="Total 49 4" xfId="63423" xr:uid="{00000000-0005-0000-0000-0000BFF70000}"/>
    <cellStyle name="Total 49 5" xfId="63424" xr:uid="{00000000-0005-0000-0000-0000C0F70000}"/>
    <cellStyle name="Total 5" xfId="63425" xr:uid="{00000000-0005-0000-0000-0000C1F70000}"/>
    <cellStyle name="Total 5 2" xfId="63426" xr:uid="{00000000-0005-0000-0000-0000C2F70000}"/>
    <cellStyle name="Total 5 2 2" xfId="63427" xr:uid="{00000000-0005-0000-0000-0000C3F70000}"/>
    <cellStyle name="Total 5 2 2 2" xfId="63428" xr:uid="{00000000-0005-0000-0000-0000C4F70000}"/>
    <cellStyle name="Total 5 2 3" xfId="63429" xr:uid="{00000000-0005-0000-0000-0000C5F70000}"/>
    <cellStyle name="Total 5 2 3 2" xfId="63430" xr:uid="{00000000-0005-0000-0000-0000C6F70000}"/>
    <cellStyle name="Total 5 2 3 3" xfId="63431" xr:uid="{00000000-0005-0000-0000-0000C7F70000}"/>
    <cellStyle name="Total 5 2 4" xfId="63432" xr:uid="{00000000-0005-0000-0000-0000C8F70000}"/>
    <cellStyle name="Total 5 3" xfId="63433" xr:uid="{00000000-0005-0000-0000-0000C9F70000}"/>
    <cellStyle name="Total 5 3 2" xfId="63434" xr:uid="{00000000-0005-0000-0000-0000CAF70000}"/>
    <cellStyle name="Total 5 4" xfId="63435" xr:uid="{00000000-0005-0000-0000-0000CBF70000}"/>
    <cellStyle name="Total 5 4 2" xfId="63436" xr:uid="{00000000-0005-0000-0000-0000CCF70000}"/>
    <cellStyle name="Total 5 4 3" xfId="63437" xr:uid="{00000000-0005-0000-0000-0000CDF70000}"/>
    <cellStyle name="Total 5 5" xfId="63438" xr:uid="{00000000-0005-0000-0000-0000CEF70000}"/>
    <cellStyle name="Total 5 6" xfId="63439" xr:uid="{00000000-0005-0000-0000-0000CFF70000}"/>
    <cellStyle name="Total 50" xfId="63440" xr:uid="{00000000-0005-0000-0000-0000D0F70000}"/>
    <cellStyle name="Total 50 2" xfId="63441" xr:uid="{00000000-0005-0000-0000-0000D1F70000}"/>
    <cellStyle name="Total 50 2 2" xfId="63442" xr:uid="{00000000-0005-0000-0000-0000D2F70000}"/>
    <cellStyle name="Total 50 2 2 2" xfId="63443" xr:uid="{00000000-0005-0000-0000-0000D3F70000}"/>
    <cellStyle name="Total 50 2 3" xfId="63444" xr:uid="{00000000-0005-0000-0000-0000D4F70000}"/>
    <cellStyle name="Total 50 2 3 2" xfId="63445" xr:uid="{00000000-0005-0000-0000-0000D5F70000}"/>
    <cellStyle name="Total 50 2 3 3" xfId="63446" xr:uid="{00000000-0005-0000-0000-0000D6F70000}"/>
    <cellStyle name="Total 50 2 4" xfId="63447" xr:uid="{00000000-0005-0000-0000-0000D7F70000}"/>
    <cellStyle name="Total 50 2 5" xfId="63448" xr:uid="{00000000-0005-0000-0000-0000D8F70000}"/>
    <cellStyle name="Total 50 3" xfId="63449" xr:uid="{00000000-0005-0000-0000-0000D9F70000}"/>
    <cellStyle name="Total 50 3 2" xfId="63450" xr:uid="{00000000-0005-0000-0000-0000DAF70000}"/>
    <cellStyle name="Total 50 3 3" xfId="63451" xr:uid="{00000000-0005-0000-0000-0000DBF70000}"/>
    <cellStyle name="Total 50 4" xfId="63452" xr:uid="{00000000-0005-0000-0000-0000DCF70000}"/>
    <cellStyle name="Total 50 5" xfId="63453" xr:uid="{00000000-0005-0000-0000-0000DDF70000}"/>
    <cellStyle name="Total 51" xfId="63454" xr:uid="{00000000-0005-0000-0000-0000DEF70000}"/>
    <cellStyle name="Total 51 2" xfId="63455" xr:uid="{00000000-0005-0000-0000-0000DFF70000}"/>
    <cellStyle name="Total 51 2 2" xfId="63456" xr:uid="{00000000-0005-0000-0000-0000E0F70000}"/>
    <cellStyle name="Total 51 2 2 2" xfId="63457" xr:uid="{00000000-0005-0000-0000-0000E1F70000}"/>
    <cellStyle name="Total 51 2 3" xfId="63458" xr:uid="{00000000-0005-0000-0000-0000E2F70000}"/>
    <cellStyle name="Total 51 2 3 2" xfId="63459" xr:uid="{00000000-0005-0000-0000-0000E3F70000}"/>
    <cellStyle name="Total 51 2 3 3" xfId="63460" xr:uid="{00000000-0005-0000-0000-0000E4F70000}"/>
    <cellStyle name="Total 51 2 4" xfId="63461" xr:uid="{00000000-0005-0000-0000-0000E5F70000}"/>
    <cellStyle name="Total 51 2 5" xfId="63462" xr:uid="{00000000-0005-0000-0000-0000E6F70000}"/>
    <cellStyle name="Total 51 3" xfId="63463" xr:uid="{00000000-0005-0000-0000-0000E7F70000}"/>
    <cellStyle name="Total 51 3 2" xfId="63464" xr:uid="{00000000-0005-0000-0000-0000E8F70000}"/>
    <cellStyle name="Total 51 3 3" xfId="63465" xr:uid="{00000000-0005-0000-0000-0000E9F70000}"/>
    <cellStyle name="Total 51 4" xfId="63466" xr:uid="{00000000-0005-0000-0000-0000EAF70000}"/>
    <cellStyle name="Total 51 5" xfId="63467" xr:uid="{00000000-0005-0000-0000-0000EBF70000}"/>
    <cellStyle name="Total 52" xfId="63468" xr:uid="{00000000-0005-0000-0000-0000ECF70000}"/>
    <cellStyle name="Total 52 2" xfId="63469" xr:uid="{00000000-0005-0000-0000-0000EDF70000}"/>
    <cellStyle name="Total 52 2 2" xfId="63470" xr:uid="{00000000-0005-0000-0000-0000EEF70000}"/>
    <cellStyle name="Total 52 2 2 2" xfId="63471" xr:uid="{00000000-0005-0000-0000-0000EFF70000}"/>
    <cellStyle name="Total 52 2 3" xfId="63472" xr:uid="{00000000-0005-0000-0000-0000F0F70000}"/>
    <cellStyle name="Total 52 2 3 2" xfId="63473" xr:uid="{00000000-0005-0000-0000-0000F1F70000}"/>
    <cellStyle name="Total 52 2 3 3" xfId="63474" xr:uid="{00000000-0005-0000-0000-0000F2F70000}"/>
    <cellStyle name="Total 52 2 4" xfId="63475" xr:uid="{00000000-0005-0000-0000-0000F3F70000}"/>
    <cellStyle name="Total 52 2 5" xfId="63476" xr:uid="{00000000-0005-0000-0000-0000F4F70000}"/>
    <cellStyle name="Total 52 3" xfId="63477" xr:uid="{00000000-0005-0000-0000-0000F5F70000}"/>
    <cellStyle name="Total 52 3 2" xfId="63478" xr:uid="{00000000-0005-0000-0000-0000F6F70000}"/>
    <cellStyle name="Total 52 3 3" xfId="63479" xr:uid="{00000000-0005-0000-0000-0000F7F70000}"/>
    <cellStyle name="Total 52 4" xfId="63480" xr:uid="{00000000-0005-0000-0000-0000F8F70000}"/>
    <cellStyle name="Total 52 5" xfId="63481" xr:uid="{00000000-0005-0000-0000-0000F9F70000}"/>
    <cellStyle name="Total 53" xfId="63482" xr:uid="{00000000-0005-0000-0000-0000FAF70000}"/>
    <cellStyle name="Total 53 2" xfId="63483" xr:uid="{00000000-0005-0000-0000-0000FBF70000}"/>
    <cellStyle name="Total 53 2 2" xfId="63484" xr:uid="{00000000-0005-0000-0000-0000FCF70000}"/>
    <cellStyle name="Total 53 2 2 2" xfId="63485" xr:uid="{00000000-0005-0000-0000-0000FDF70000}"/>
    <cellStyle name="Total 53 2 3" xfId="63486" xr:uid="{00000000-0005-0000-0000-0000FEF70000}"/>
    <cellStyle name="Total 53 2 3 2" xfId="63487" xr:uid="{00000000-0005-0000-0000-0000FFF70000}"/>
    <cellStyle name="Total 53 2 3 3" xfId="63488" xr:uid="{00000000-0005-0000-0000-000000F80000}"/>
    <cellStyle name="Total 53 2 4" xfId="63489" xr:uid="{00000000-0005-0000-0000-000001F80000}"/>
    <cellStyle name="Total 53 2 5" xfId="63490" xr:uid="{00000000-0005-0000-0000-000002F80000}"/>
    <cellStyle name="Total 53 3" xfId="63491" xr:uid="{00000000-0005-0000-0000-000003F80000}"/>
    <cellStyle name="Total 53 3 2" xfId="63492" xr:uid="{00000000-0005-0000-0000-000004F80000}"/>
    <cellStyle name="Total 53 3 3" xfId="63493" xr:uid="{00000000-0005-0000-0000-000005F80000}"/>
    <cellStyle name="Total 53 4" xfId="63494" xr:uid="{00000000-0005-0000-0000-000006F80000}"/>
    <cellStyle name="Total 53 5" xfId="63495" xr:uid="{00000000-0005-0000-0000-000007F80000}"/>
    <cellStyle name="Total 54" xfId="63496" xr:uid="{00000000-0005-0000-0000-000008F80000}"/>
    <cellStyle name="Total 54 2" xfId="63497" xr:uid="{00000000-0005-0000-0000-000009F80000}"/>
    <cellStyle name="Total 54 2 2" xfId="63498" xr:uid="{00000000-0005-0000-0000-00000AF80000}"/>
    <cellStyle name="Total 54 2 2 2" xfId="63499" xr:uid="{00000000-0005-0000-0000-00000BF80000}"/>
    <cellStyle name="Total 54 2 3" xfId="63500" xr:uid="{00000000-0005-0000-0000-00000CF80000}"/>
    <cellStyle name="Total 54 2 3 2" xfId="63501" xr:uid="{00000000-0005-0000-0000-00000DF80000}"/>
    <cellStyle name="Total 54 2 3 3" xfId="63502" xr:uid="{00000000-0005-0000-0000-00000EF80000}"/>
    <cellStyle name="Total 54 2 4" xfId="63503" xr:uid="{00000000-0005-0000-0000-00000FF80000}"/>
    <cellStyle name="Total 54 2 5" xfId="63504" xr:uid="{00000000-0005-0000-0000-000010F80000}"/>
    <cellStyle name="Total 54 3" xfId="63505" xr:uid="{00000000-0005-0000-0000-000011F80000}"/>
    <cellStyle name="Total 54 3 2" xfId="63506" xr:uid="{00000000-0005-0000-0000-000012F80000}"/>
    <cellStyle name="Total 54 3 3" xfId="63507" xr:uid="{00000000-0005-0000-0000-000013F80000}"/>
    <cellStyle name="Total 54 4" xfId="63508" xr:uid="{00000000-0005-0000-0000-000014F80000}"/>
    <cellStyle name="Total 54 5" xfId="63509" xr:uid="{00000000-0005-0000-0000-000015F80000}"/>
    <cellStyle name="Total 55" xfId="63510" xr:uid="{00000000-0005-0000-0000-000016F80000}"/>
    <cellStyle name="Total 55 2" xfId="63511" xr:uid="{00000000-0005-0000-0000-000017F80000}"/>
    <cellStyle name="Total 55 2 2" xfId="63512" xr:uid="{00000000-0005-0000-0000-000018F80000}"/>
    <cellStyle name="Total 55 2 2 2" xfId="63513" xr:uid="{00000000-0005-0000-0000-000019F80000}"/>
    <cellStyle name="Total 55 2 3" xfId="63514" xr:uid="{00000000-0005-0000-0000-00001AF80000}"/>
    <cellStyle name="Total 55 2 3 2" xfId="63515" xr:uid="{00000000-0005-0000-0000-00001BF80000}"/>
    <cellStyle name="Total 55 2 3 3" xfId="63516" xr:uid="{00000000-0005-0000-0000-00001CF80000}"/>
    <cellStyle name="Total 55 2 4" xfId="63517" xr:uid="{00000000-0005-0000-0000-00001DF80000}"/>
    <cellStyle name="Total 55 2 5" xfId="63518" xr:uid="{00000000-0005-0000-0000-00001EF80000}"/>
    <cellStyle name="Total 55 3" xfId="63519" xr:uid="{00000000-0005-0000-0000-00001FF80000}"/>
    <cellStyle name="Total 55 3 2" xfId="63520" xr:uid="{00000000-0005-0000-0000-000020F80000}"/>
    <cellStyle name="Total 55 3 3" xfId="63521" xr:uid="{00000000-0005-0000-0000-000021F80000}"/>
    <cellStyle name="Total 55 4" xfId="63522" xr:uid="{00000000-0005-0000-0000-000022F80000}"/>
    <cellStyle name="Total 55 5" xfId="63523" xr:uid="{00000000-0005-0000-0000-000023F80000}"/>
    <cellStyle name="Total 56" xfId="63524" xr:uid="{00000000-0005-0000-0000-000024F80000}"/>
    <cellStyle name="Total 56 2" xfId="63525" xr:uid="{00000000-0005-0000-0000-000025F80000}"/>
    <cellStyle name="Total 56 2 2" xfId="63526" xr:uid="{00000000-0005-0000-0000-000026F80000}"/>
    <cellStyle name="Total 56 2 2 2" xfId="63527" xr:uid="{00000000-0005-0000-0000-000027F80000}"/>
    <cellStyle name="Total 56 2 3" xfId="63528" xr:uid="{00000000-0005-0000-0000-000028F80000}"/>
    <cellStyle name="Total 56 2 3 2" xfId="63529" xr:uid="{00000000-0005-0000-0000-000029F80000}"/>
    <cellStyle name="Total 56 2 3 3" xfId="63530" xr:uid="{00000000-0005-0000-0000-00002AF80000}"/>
    <cellStyle name="Total 56 2 4" xfId="63531" xr:uid="{00000000-0005-0000-0000-00002BF80000}"/>
    <cellStyle name="Total 56 2 5" xfId="63532" xr:uid="{00000000-0005-0000-0000-00002CF80000}"/>
    <cellStyle name="Total 56 3" xfId="63533" xr:uid="{00000000-0005-0000-0000-00002DF80000}"/>
    <cellStyle name="Total 56 3 2" xfId="63534" xr:uid="{00000000-0005-0000-0000-00002EF80000}"/>
    <cellStyle name="Total 56 3 3" xfId="63535" xr:uid="{00000000-0005-0000-0000-00002FF80000}"/>
    <cellStyle name="Total 56 4" xfId="63536" xr:uid="{00000000-0005-0000-0000-000030F80000}"/>
    <cellStyle name="Total 56 5" xfId="63537" xr:uid="{00000000-0005-0000-0000-000031F80000}"/>
    <cellStyle name="Total 57" xfId="63538" xr:uid="{00000000-0005-0000-0000-000032F80000}"/>
    <cellStyle name="Total 57 2" xfId="63539" xr:uid="{00000000-0005-0000-0000-000033F80000}"/>
    <cellStyle name="Total 57 2 2" xfId="63540" xr:uid="{00000000-0005-0000-0000-000034F80000}"/>
    <cellStyle name="Total 57 2 2 2" xfId="63541" xr:uid="{00000000-0005-0000-0000-000035F80000}"/>
    <cellStyle name="Total 57 2 3" xfId="63542" xr:uid="{00000000-0005-0000-0000-000036F80000}"/>
    <cellStyle name="Total 57 2 3 2" xfId="63543" xr:uid="{00000000-0005-0000-0000-000037F80000}"/>
    <cellStyle name="Total 57 2 3 3" xfId="63544" xr:uid="{00000000-0005-0000-0000-000038F80000}"/>
    <cellStyle name="Total 57 2 4" xfId="63545" xr:uid="{00000000-0005-0000-0000-000039F80000}"/>
    <cellStyle name="Total 57 2 5" xfId="63546" xr:uid="{00000000-0005-0000-0000-00003AF80000}"/>
    <cellStyle name="Total 57 3" xfId="63547" xr:uid="{00000000-0005-0000-0000-00003BF80000}"/>
    <cellStyle name="Total 57 3 2" xfId="63548" xr:uid="{00000000-0005-0000-0000-00003CF80000}"/>
    <cellStyle name="Total 57 3 3" xfId="63549" xr:uid="{00000000-0005-0000-0000-00003DF80000}"/>
    <cellStyle name="Total 57 4" xfId="63550" xr:uid="{00000000-0005-0000-0000-00003EF80000}"/>
    <cellStyle name="Total 57 5" xfId="63551" xr:uid="{00000000-0005-0000-0000-00003FF80000}"/>
    <cellStyle name="Total 58" xfId="63552" xr:uid="{00000000-0005-0000-0000-000040F80000}"/>
    <cellStyle name="Total 58 2" xfId="63553" xr:uid="{00000000-0005-0000-0000-000041F80000}"/>
    <cellStyle name="Total 58 2 2" xfId="63554" xr:uid="{00000000-0005-0000-0000-000042F80000}"/>
    <cellStyle name="Total 58 2 2 2" xfId="63555" xr:uid="{00000000-0005-0000-0000-000043F80000}"/>
    <cellStyle name="Total 58 2 3" xfId="63556" xr:uid="{00000000-0005-0000-0000-000044F80000}"/>
    <cellStyle name="Total 58 2 3 2" xfId="63557" xr:uid="{00000000-0005-0000-0000-000045F80000}"/>
    <cellStyle name="Total 58 2 3 3" xfId="63558" xr:uid="{00000000-0005-0000-0000-000046F80000}"/>
    <cellStyle name="Total 58 2 4" xfId="63559" xr:uid="{00000000-0005-0000-0000-000047F80000}"/>
    <cellStyle name="Total 58 2 5" xfId="63560" xr:uid="{00000000-0005-0000-0000-000048F80000}"/>
    <cellStyle name="Total 58 3" xfId="63561" xr:uid="{00000000-0005-0000-0000-000049F80000}"/>
    <cellStyle name="Total 58 3 2" xfId="63562" xr:uid="{00000000-0005-0000-0000-00004AF80000}"/>
    <cellStyle name="Total 58 3 3" xfId="63563" xr:uid="{00000000-0005-0000-0000-00004BF80000}"/>
    <cellStyle name="Total 58 4" xfId="63564" xr:uid="{00000000-0005-0000-0000-00004CF80000}"/>
    <cellStyle name="Total 58 5" xfId="63565" xr:uid="{00000000-0005-0000-0000-00004DF80000}"/>
    <cellStyle name="Total 59" xfId="63566" xr:uid="{00000000-0005-0000-0000-00004EF80000}"/>
    <cellStyle name="Total 59 2" xfId="63567" xr:uid="{00000000-0005-0000-0000-00004FF80000}"/>
    <cellStyle name="Total 59 2 2" xfId="63568" xr:uid="{00000000-0005-0000-0000-000050F80000}"/>
    <cellStyle name="Total 59 2 2 2" xfId="63569" xr:uid="{00000000-0005-0000-0000-000051F80000}"/>
    <cellStyle name="Total 59 2 3" xfId="63570" xr:uid="{00000000-0005-0000-0000-000052F80000}"/>
    <cellStyle name="Total 59 2 3 2" xfId="63571" xr:uid="{00000000-0005-0000-0000-000053F80000}"/>
    <cellStyle name="Total 59 2 3 3" xfId="63572" xr:uid="{00000000-0005-0000-0000-000054F80000}"/>
    <cellStyle name="Total 59 2 4" xfId="63573" xr:uid="{00000000-0005-0000-0000-000055F80000}"/>
    <cellStyle name="Total 59 3" xfId="63574" xr:uid="{00000000-0005-0000-0000-000056F80000}"/>
    <cellStyle name="Total 59 3 2" xfId="63575" xr:uid="{00000000-0005-0000-0000-000057F80000}"/>
    <cellStyle name="Total 59 3 3" xfId="63576" xr:uid="{00000000-0005-0000-0000-000058F80000}"/>
    <cellStyle name="Total 59 4" xfId="63577" xr:uid="{00000000-0005-0000-0000-000059F80000}"/>
    <cellStyle name="Total 59 5" xfId="63578" xr:uid="{00000000-0005-0000-0000-00005AF80000}"/>
    <cellStyle name="Total 6" xfId="63579" xr:uid="{00000000-0005-0000-0000-00005BF80000}"/>
    <cellStyle name="Total 6 2" xfId="63580" xr:uid="{00000000-0005-0000-0000-00005CF80000}"/>
    <cellStyle name="Total 6 2 2" xfId="63581" xr:uid="{00000000-0005-0000-0000-00005DF80000}"/>
    <cellStyle name="Total 6 2 2 2" xfId="63582" xr:uid="{00000000-0005-0000-0000-00005EF80000}"/>
    <cellStyle name="Total 6 2 3" xfId="63583" xr:uid="{00000000-0005-0000-0000-00005FF80000}"/>
    <cellStyle name="Total 6 2 3 2" xfId="63584" xr:uid="{00000000-0005-0000-0000-000060F80000}"/>
    <cellStyle name="Total 6 2 3 3" xfId="63585" xr:uid="{00000000-0005-0000-0000-000061F80000}"/>
    <cellStyle name="Total 6 2 4" xfId="63586" xr:uid="{00000000-0005-0000-0000-000062F80000}"/>
    <cellStyle name="Total 6 3" xfId="63587" xr:uid="{00000000-0005-0000-0000-000063F80000}"/>
    <cellStyle name="Total 6 3 2" xfId="63588" xr:uid="{00000000-0005-0000-0000-000064F80000}"/>
    <cellStyle name="Total 6 4" xfId="63589" xr:uid="{00000000-0005-0000-0000-000065F80000}"/>
    <cellStyle name="Total 6 4 2" xfId="63590" xr:uid="{00000000-0005-0000-0000-000066F80000}"/>
    <cellStyle name="Total 6 4 3" xfId="63591" xr:uid="{00000000-0005-0000-0000-000067F80000}"/>
    <cellStyle name="Total 6 5" xfId="63592" xr:uid="{00000000-0005-0000-0000-000068F80000}"/>
    <cellStyle name="Total 6 6" xfId="63593" xr:uid="{00000000-0005-0000-0000-000069F80000}"/>
    <cellStyle name="Total 60" xfId="63594" xr:uid="{00000000-0005-0000-0000-00006AF80000}"/>
    <cellStyle name="Total 60 2" xfId="63595" xr:uid="{00000000-0005-0000-0000-00006BF80000}"/>
    <cellStyle name="Total 60 2 2" xfId="63596" xr:uid="{00000000-0005-0000-0000-00006CF80000}"/>
    <cellStyle name="Total 60 2 2 2" xfId="63597" xr:uid="{00000000-0005-0000-0000-00006DF80000}"/>
    <cellStyle name="Total 60 2 3" xfId="63598" xr:uid="{00000000-0005-0000-0000-00006EF80000}"/>
    <cellStyle name="Total 60 2 3 2" xfId="63599" xr:uid="{00000000-0005-0000-0000-00006FF80000}"/>
    <cellStyle name="Total 60 2 3 3" xfId="63600" xr:uid="{00000000-0005-0000-0000-000070F80000}"/>
    <cellStyle name="Total 60 2 4" xfId="63601" xr:uid="{00000000-0005-0000-0000-000071F80000}"/>
    <cellStyle name="Total 60 2 5" xfId="63602" xr:uid="{00000000-0005-0000-0000-000072F80000}"/>
    <cellStyle name="Total 60 3" xfId="63603" xr:uid="{00000000-0005-0000-0000-000073F80000}"/>
    <cellStyle name="Total 60 3 2" xfId="63604" xr:uid="{00000000-0005-0000-0000-000074F80000}"/>
    <cellStyle name="Total 60 3 3" xfId="63605" xr:uid="{00000000-0005-0000-0000-000075F80000}"/>
    <cellStyle name="Total 60 4" xfId="63606" xr:uid="{00000000-0005-0000-0000-000076F80000}"/>
    <cellStyle name="Total 60 5" xfId="63607" xr:uid="{00000000-0005-0000-0000-000077F80000}"/>
    <cellStyle name="Total 61" xfId="63608" xr:uid="{00000000-0005-0000-0000-000078F80000}"/>
    <cellStyle name="Total 61 2" xfId="63609" xr:uid="{00000000-0005-0000-0000-000079F80000}"/>
    <cellStyle name="Total 61 2 2" xfId="63610" xr:uid="{00000000-0005-0000-0000-00007AF80000}"/>
    <cellStyle name="Total 61 2 2 2" xfId="63611" xr:uid="{00000000-0005-0000-0000-00007BF80000}"/>
    <cellStyle name="Total 61 2 3" xfId="63612" xr:uid="{00000000-0005-0000-0000-00007CF80000}"/>
    <cellStyle name="Total 61 2 3 2" xfId="63613" xr:uid="{00000000-0005-0000-0000-00007DF80000}"/>
    <cellStyle name="Total 61 2 3 3" xfId="63614" xr:uid="{00000000-0005-0000-0000-00007EF80000}"/>
    <cellStyle name="Total 61 2 4" xfId="63615" xr:uid="{00000000-0005-0000-0000-00007FF80000}"/>
    <cellStyle name="Total 61 2 5" xfId="63616" xr:uid="{00000000-0005-0000-0000-000080F80000}"/>
    <cellStyle name="Total 61 3" xfId="63617" xr:uid="{00000000-0005-0000-0000-000081F80000}"/>
    <cellStyle name="Total 61 3 2" xfId="63618" xr:uid="{00000000-0005-0000-0000-000082F80000}"/>
    <cellStyle name="Total 61 3 3" xfId="63619" xr:uid="{00000000-0005-0000-0000-000083F80000}"/>
    <cellStyle name="Total 61 4" xfId="63620" xr:uid="{00000000-0005-0000-0000-000084F80000}"/>
    <cellStyle name="Total 61 5" xfId="63621" xr:uid="{00000000-0005-0000-0000-000085F80000}"/>
    <cellStyle name="Total 62" xfId="63622" xr:uid="{00000000-0005-0000-0000-000086F80000}"/>
    <cellStyle name="Total 62 2" xfId="63623" xr:uid="{00000000-0005-0000-0000-000087F80000}"/>
    <cellStyle name="Total 62 2 2" xfId="63624" xr:uid="{00000000-0005-0000-0000-000088F80000}"/>
    <cellStyle name="Total 62 2 2 2" xfId="63625" xr:uid="{00000000-0005-0000-0000-000089F80000}"/>
    <cellStyle name="Total 62 2 3" xfId="63626" xr:uid="{00000000-0005-0000-0000-00008AF80000}"/>
    <cellStyle name="Total 62 2 3 2" xfId="63627" xr:uid="{00000000-0005-0000-0000-00008BF80000}"/>
    <cellStyle name="Total 62 2 3 3" xfId="63628" xr:uid="{00000000-0005-0000-0000-00008CF80000}"/>
    <cellStyle name="Total 62 2 4" xfId="63629" xr:uid="{00000000-0005-0000-0000-00008DF80000}"/>
    <cellStyle name="Total 62 2 5" xfId="63630" xr:uid="{00000000-0005-0000-0000-00008EF80000}"/>
    <cellStyle name="Total 62 3" xfId="63631" xr:uid="{00000000-0005-0000-0000-00008FF80000}"/>
    <cellStyle name="Total 62 3 2" xfId="63632" xr:uid="{00000000-0005-0000-0000-000090F80000}"/>
    <cellStyle name="Total 62 3 3" xfId="63633" xr:uid="{00000000-0005-0000-0000-000091F80000}"/>
    <cellStyle name="Total 62 4" xfId="63634" xr:uid="{00000000-0005-0000-0000-000092F80000}"/>
    <cellStyle name="Total 62 5" xfId="63635" xr:uid="{00000000-0005-0000-0000-000093F80000}"/>
    <cellStyle name="Total 63" xfId="63636" xr:uid="{00000000-0005-0000-0000-000094F80000}"/>
    <cellStyle name="Total 63 2" xfId="63637" xr:uid="{00000000-0005-0000-0000-000095F80000}"/>
    <cellStyle name="Total 63 2 2" xfId="63638" xr:uid="{00000000-0005-0000-0000-000096F80000}"/>
    <cellStyle name="Total 63 2 2 2" xfId="63639" xr:uid="{00000000-0005-0000-0000-000097F80000}"/>
    <cellStyle name="Total 63 2 3" xfId="63640" xr:uid="{00000000-0005-0000-0000-000098F80000}"/>
    <cellStyle name="Total 63 2 3 2" xfId="63641" xr:uid="{00000000-0005-0000-0000-000099F80000}"/>
    <cellStyle name="Total 63 2 3 3" xfId="63642" xr:uid="{00000000-0005-0000-0000-00009AF80000}"/>
    <cellStyle name="Total 63 2 4" xfId="63643" xr:uid="{00000000-0005-0000-0000-00009BF80000}"/>
    <cellStyle name="Total 63 2 5" xfId="63644" xr:uid="{00000000-0005-0000-0000-00009CF80000}"/>
    <cellStyle name="Total 63 3" xfId="63645" xr:uid="{00000000-0005-0000-0000-00009DF80000}"/>
    <cellStyle name="Total 63 3 2" xfId="63646" xr:uid="{00000000-0005-0000-0000-00009EF80000}"/>
    <cellStyle name="Total 63 3 3" xfId="63647" xr:uid="{00000000-0005-0000-0000-00009FF80000}"/>
    <cellStyle name="Total 63 4" xfId="63648" xr:uid="{00000000-0005-0000-0000-0000A0F80000}"/>
    <cellStyle name="Total 63 5" xfId="63649" xr:uid="{00000000-0005-0000-0000-0000A1F80000}"/>
    <cellStyle name="Total 64" xfId="63650" xr:uid="{00000000-0005-0000-0000-0000A2F80000}"/>
    <cellStyle name="Total 64 2" xfId="63651" xr:uid="{00000000-0005-0000-0000-0000A3F80000}"/>
    <cellStyle name="Total 64 2 2" xfId="63652" xr:uid="{00000000-0005-0000-0000-0000A4F80000}"/>
    <cellStyle name="Total 64 2 2 2" xfId="63653" xr:uid="{00000000-0005-0000-0000-0000A5F80000}"/>
    <cellStyle name="Total 64 2 3" xfId="63654" xr:uid="{00000000-0005-0000-0000-0000A6F80000}"/>
    <cellStyle name="Total 64 2 3 2" xfId="63655" xr:uid="{00000000-0005-0000-0000-0000A7F80000}"/>
    <cellStyle name="Total 64 2 3 3" xfId="63656" xr:uid="{00000000-0005-0000-0000-0000A8F80000}"/>
    <cellStyle name="Total 64 2 4" xfId="63657" xr:uid="{00000000-0005-0000-0000-0000A9F80000}"/>
    <cellStyle name="Total 64 2 5" xfId="63658" xr:uid="{00000000-0005-0000-0000-0000AAF80000}"/>
    <cellStyle name="Total 64 3" xfId="63659" xr:uid="{00000000-0005-0000-0000-0000ABF80000}"/>
    <cellStyle name="Total 64 3 2" xfId="63660" xr:uid="{00000000-0005-0000-0000-0000ACF80000}"/>
    <cellStyle name="Total 64 3 3" xfId="63661" xr:uid="{00000000-0005-0000-0000-0000ADF80000}"/>
    <cellStyle name="Total 64 4" xfId="63662" xr:uid="{00000000-0005-0000-0000-0000AEF80000}"/>
    <cellStyle name="Total 64 5" xfId="63663" xr:uid="{00000000-0005-0000-0000-0000AFF80000}"/>
    <cellStyle name="Total 65" xfId="63664" xr:uid="{00000000-0005-0000-0000-0000B0F80000}"/>
    <cellStyle name="Total 65 2" xfId="63665" xr:uid="{00000000-0005-0000-0000-0000B1F80000}"/>
    <cellStyle name="Total 65 2 2" xfId="63666" xr:uid="{00000000-0005-0000-0000-0000B2F80000}"/>
    <cellStyle name="Total 65 2 2 2" xfId="63667" xr:uid="{00000000-0005-0000-0000-0000B3F80000}"/>
    <cellStyle name="Total 65 2 3" xfId="63668" xr:uid="{00000000-0005-0000-0000-0000B4F80000}"/>
    <cellStyle name="Total 65 2 3 2" xfId="63669" xr:uid="{00000000-0005-0000-0000-0000B5F80000}"/>
    <cellStyle name="Total 65 2 3 3" xfId="63670" xr:uid="{00000000-0005-0000-0000-0000B6F80000}"/>
    <cellStyle name="Total 65 2 4" xfId="63671" xr:uid="{00000000-0005-0000-0000-0000B7F80000}"/>
    <cellStyle name="Total 65 2 5" xfId="63672" xr:uid="{00000000-0005-0000-0000-0000B8F80000}"/>
    <cellStyle name="Total 65 3" xfId="63673" xr:uid="{00000000-0005-0000-0000-0000B9F80000}"/>
    <cellStyle name="Total 65 3 2" xfId="63674" xr:uid="{00000000-0005-0000-0000-0000BAF80000}"/>
    <cellStyle name="Total 65 3 3" xfId="63675" xr:uid="{00000000-0005-0000-0000-0000BBF80000}"/>
    <cellStyle name="Total 65 4" xfId="63676" xr:uid="{00000000-0005-0000-0000-0000BCF80000}"/>
    <cellStyle name="Total 65 5" xfId="63677" xr:uid="{00000000-0005-0000-0000-0000BDF80000}"/>
    <cellStyle name="Total 66" xfId="63678" xr:uid="{00000000-0005-0000-0000-0000BEF80000}"/>
    <cellStyle name="Total 66 2" xfId="63679" xr:uid="{00000000-0005-0000-0000-0000BFF80000}"/>
    <cellStyle name="Total 66 2 2" xfId="63680" xr:uid="{00000000-0005-0000-0000-0000C0F80000}"/>
    <cellStyle name="Total 66 2 2 2" xfId="63681" xr:uid="{00000000-0005-0000-0000-0000C1F80000}"/>
    <cellStyle name="Total 66 2 3" xfId="63682" xr:uid="{00000000-0005-0000-0000-0000C2F80000}"/>
    <cellStyle name="Total 66 2 3 2" xfId="63683" xr:uid="{00000000-0005-0000-0000-0000C3F80000}"/>
    <cellStyle name="Total 66 2 3 3" xfId="63684" xr:uid="{00000000-0005-0000-0000-0000C4F80000}"/>
    <cellStyle name="Total 66 2 4" xfId="63685" xr:uid="{00000000-0005-0000-0000-0000C5F80000}"/>
    <cellStyle name="Total 66 2 5" xfId="63686" xr:uid="{00000000-0005-0000-0000-0000C6F80000}"/>
    <cellStyle name="Total 66 3" xfId="63687" xr:uid="{00000000-0005-0000-0000-0000C7F80000}"/>
    <cellStyle name="Total 66 3 2" xfId="63688" xr:uid="{00000000-0005-0000-0000-0000C8F80000}"/>
    <cellStyle name="Total 66 3 3" xfId="63689" xr:uid="{00000000-0005-0000-0000-0000C9F80000}"/>
    <cellStyle name="Total 66 4" xfId="63690" xr:uid="{00000000-0005-0000-0000-0000CAF80000}"/>
    <cellStyle name="Total 66 5" xfId="63691" xr:uid="{00000000-0005-0000-0000-0000CBF80000}"/>
    <cellStyle name="Total 67" xfId="63692" xr:uid="{00000000-0005-0000-0000-0000CCF80000}"/>
    <cellStyle name="Total 67 2" xfId="63693" xr:uid="{00000000-0005-0000-0000-0000CDF80000}"/>
    <cellStyle name="Total 67 2 2" xfId="63694" xr:uid="{00000000-0005-0000-0000-0000CEF80000}"/>
    <cellStyle name="Total 67 2 2 2" xfId="63695" xr:uid="{00000000-0005-0000-0000-0000CFF80000}"/>
    <cellStyle name="Total 67 2 3" xfId="63696" xr:uid="{00000000-0005-0000-0000-0000D0F80000}"/>
    <cellStyle name="Total 67 2 3 2" xfId="63697" xr:uid="{00000000-0005-0000-0000-0000D1F80000}"/>
    <cellStyle name="Total 67 2 3 3" xfId="63698" xr:uid="{00000000-0005-0000-0000-0000D2F80000}"/>
    <cellStyle name="Total 67 2 4" xfId="63699" xr:uid="{00000000-0005-0000-0000-0000D3F80000}"/>
    <cellStyle name="Total 67 2 5" xfId="63700" xr:uid="{00000000-0005-0000-0000-0000D4F80000}"/>
    <cellStyle name="Total 67 3" xfId="63701" xr:uid="{00000000-0005-0000-0000-0000D5F80000}"/>
    <cellStyle name="Total 67 3 2" xfId="63702" xr:uid="{00000000-0005-0000-0000-0000D6F80000}"/>
    <cellStyle name="Total 67 3 3" xfId="63703" xr:uid="{00000000-0005-0000-0000-0000D7F80000}"/>
    <cellStyle name="Total 67 4" xfId="63704" xr:uid="{00000000-0005-0000-0000-0000D8F80000}"/>
    <cellStyle name="Total 67 5" xfId="63705" xr:uid="{00000000-0005-0000-0000-0000D9F80000}"/>
    <cellStyle name="Total 68" xfId="63706" xr:uid="{00000000-0005-0000-0000-0000DAF80000}"/>
    <cellStyle name="Total 68 2" xfId="63707" xr:uid="{00000000-0005-0000-0000-0000DBF80000}"/>
    <cellStyle name="Total 68 2 2" xfId="63708" xr:uid="{00000000-0005-0000-0000-0000DCF80000}"/>
    <cellStyle name="Total 68 2 2 2" xfId="63709" xr:uid="{00000000-0005-0000-0000-0000DDF80000}"/>
    <cellStyle name="Total 68 2 3" xfId="63710" xr:uid="{00000000-0005-0000-0000-0000DEF80000}"/>
    <cellStyle name="Total 68 2 3 2" xfId="63711" xr:uid="{00000000-0005-0000-0000-0000DFF80000}"/>
    <cellStyle name="Total 68 2 3 3" xfId="63712" xr:uid="{00000000-0005-0000-0000-0000E0F80000}"/>
    <cellStyle name="Total 68 2 4" xfId="63713" xr:uid="{00000000-0005-0000-0000-0000E1F80000}"/>
    <cellStyle name="Total 68 2 5" xfId="63714" xr:uid="{00000000-0005-0000-0000-0000E2F80000}"/>
    <cellStyle name="Total 68 3" xfId="63715" xr:uid="{00000000-0005-0000-0000-0000E3F80000}"/>
    <cellStyle name="Total 68 3 2" xfId="63716" xr:uid="{00000000-0005-0000-0000-0000E4F80000}"/>
    <cellStyle name="Total 68 3 3" xfId="63717" xr:uid="{00000000-0005-0000-0000-0000E5F80000}"/>
    <cellStyle name="Total 68 4" xfId="63718" xr:uid="{00000000-0005-0000-0000-0000E6F80000}"/>
    <cellStyle name="Total 68 5" xfId="63719" xr:uid="{00000000-0005-0000-0000-0000E7F80000}"/>
    <cellStyle name="Total 69" xfId="63720" xr:uid="{00000000-0005-0000-0000-0000E8F80000}"/>
    <cellStyle name="Total 69 2" xfId="63721" xr:uid="{00000000-0005-0000-0000-0000E9F80000}"/>
    <cellStyle name="Total 69 2 2" xfId="63722" xr:uid="{00000000-0005-0000-0000-0000EAF80000}"/>
    <cellStyle name="Total 69 2 2 2" xfId="63723" xr:uid="{00000000-0005-0000-0000-0000EBF80000}"/>
    <cellStyle name="Total 69 2 3" xfId="63724" xr:uid="{00000000-0005-0000-0000-0000ECF80000}"/>
    <cellStyle name="Total 69 2 3 2" xfId="63725" xr:uid="{00000000-0005-0000-0000-0000EDF80000}"/>
    <cellStyle name="Total 69 2 3 3" xfId="63726" xr:uid="{00000000-0005-0000-0000-0000EEF80000}"/>
    <cellStyle name="Total 69 2 4" xfId="63727" xr:uid="{00000000-0005-0000-0000-0000EFF80000}"/>
    <cellStyle name="Total 69 2 5" xfId="63728" xr:uid="{00000000-0005-0000-0000-0000F0F80000}"/>
    <cellStyle name="Total 69 3" xfId="63729" xr:uid="{00000000-0005-0000-0000-0000F1F80000}"/>
    <cellStyle name="Total 69 3 2" xfId="63730" xr:uid="{00000000-0005-0000-0000-0000F2F80000}"/>
    <cellStyle name="Total 69 3 3" xfId="63731" xr:uid="{00000000-0005-0000-0000-0000F3F80000}"/>
    <cellStyle name="Total 69 4" xfId="63732" xr:uid="{00000000-0005-0000-0000-0000F4F80000}"/>
    <cellStyle name="Total 69 5" xfId="63733" xr:uid="{00000000-0005-0000-0000-0000F5F80000}"/>
    <cellStyle name="Total 7" xfId="63734" xr:uid="{00000000-0005-0000-0000-0000F6F80000}"/>
    <cellStyle name="Total 7 2" xfId="63735" xr:uid="{00000000-0005-0000-0000-0000F7F80000}"/>
    <cellStyle name="Total 7 2 2" xfId="63736" xr:uid="{00000000-0005-0000-0000-0000F8F80000}"/>
    <cellStyle name="Total 7 2 2 2" xfId="63737" xr:uid="{00000000-0005-0000-0000-0000F9F80000}"/>
    <cellStyle name="Total 7 2 3" xfId="63738" xr:uid="{00000000-0005-0000-0000-0000FAF80000}"/>
    <cellStyle name="Total 7 2 3 2" xfId="63739" xr:uid="{00000000-0005-0000-0000-0000FBF80000}"/>
    <cellStyle name="Total 7 2 3 3" xfId="63740" xr:uid="{00000000-0005-0000-0000-0000FCF80000}"/>
    <cellStyle name="Total 7 2 4" xfId="63741" xr:uid="{00000000-0005-0000-0000-0000FDF80000}"/>
    <cellStyle name="Total 7 3" xfId="63742" xr:uid="{00000000-0005-0000-0000-0000FEF80000}"/>
    <cellStyle name="Total 7 3 2" xfId="63743" xr:uid="{00000000-0005-0000-0000-0000FFF80000}"/>
    <cellStyle name="Total 7 4" xfId="63744" xr:uid="{00000000-0005-0000-0000-000000F90000}"/>
    <cellStyle name="Total 7 4 2" xfId="63745" xr:uid="{00000000-0005-0000-0000-000001F90000}"/>
    <cellStyle name="Total 7 4 3" xfId="63746" xr:uid="{00000000-0005-0000-0000-000002F90000}"/>
    <cellStyle name="Total 7 5" xfId="63747" xr:uid="{00000000-0005-0000-0000-000003F90000}"/>
    <cellStyle name="Total 7 6" xfId="63748" xr:uid="{00000000-0005-0000-0000-000004F90000}"/>
    <cellStyle name="Total 70" xfId="63749" xr:uid="{00000000-0005-0000-0000-000005F90000}"/>
    <cellStyle name="Total 70 2" xfId="63750" xr:uid="{00000000-0005-0000-0000-000006F90000}"/>
    <cellStyle name="Total 70 2 2" xfId="63751" xr:uid="{00000000-0005-0000-0000-000007F90000}"/>
    <cellStyle name="Total 70 2 2 2" xfId="63752" xr:uid="{00000000-0005-0000-0000-000008F90000}"/>
    <cellStyle name="Total 70 2 3" xfId="63753" xr:uid="{00000000-0005-0000-0000-000009F90000}"/>
    <cellStyle name="Total 70 2 3 2" xfId="63754" xr:uid="{00000000-0005-0000-0000-00000AF90000}"/>
    <cellStyle name="Total 70 2 3 3" xfId="63755" xr:uid="{00000000-0005-0000-0000-00000BF90000}"/>
    <cellStyle name="Total 70 2 4" xfId="63756" xr:uid="{00000000-0005-0000-0000-00000CF90000}"/>
    <cellStyle name="Total 70 2 5" xfId="63757" xr:uid="{00000000-0005-0000-0000-00000DF90000}"/>
    <cellStyle name="Total 70 3" xfId="63758" xr:uid="{00000000-0005-0000-0000-00000EF90000}"/>
    <cellStyle name="Total 70 3 2" xfId="63759" xr:uid="{00000000-0005-0000-0000-00000FF90000}"/>
    <cellStyle name="Total 70 3 3" xfId="63760" xr:uid="{00000000-0005-0000-0000-000010F90000}"/>
    <cellStyle name="Total 70 4" xfId="63761" xr:uid="{00000000-0005-0000-0000-000011F90000}"/>
    <cellStyle name="Total 70 5" xfId="63762" xr:uid="{00000000-0005-0000-0000-000012F90000}"/>
    <cellStyle name="Total 71" xfId="63763" xr:uid="{00000000-0005-0000-0000-000013F90000}"/>
    <cellStyle name="Total 71 2" xfId="63764" xr:uid="{00000000-0005-0000-0000-000014F90000}"/>
    <cellStyle name="Total 71 2 2" xfId="63765" xr:uid="{00000000-0005-0000-0000-000015F90000}"/>
    <cellStyle name="Total 71 2 2 2" xfId="63766" xr:uid="{00000000-0005-0000-0000-000016F90000}"/>
    <cellStyle name="Total 71 2 3" xfId="63767" xr:uid="{00000000-0005-0000-0000-000017F90000}"/>
    <cellStyle name="Total 71 2 3 2" xfId="63768" xr:uid="{00000000-0005-0000-0000-000018F90000}"/>
    <cellStyle name="Total 71 2 3 3" xfId="63769" xr:uid="{00000000-0005-0000-0000-000019F90000}"/>
    <cellStyle name="Total 71 2 4" xfId="63770" xr:uid="{00000000-0005-0000-0000-00001AF90000}"/>
    <cellStyle name="Total 71 2 5" xfId="63771" xr:uid="{00000000-0005-0000-0000-00001BF90000}"/>
    <cellStyle name="Total 71 3" xfId="63772" xr:uid="{00000000-0005-0000-0000-00001CF90000}"/>
    <cellStyle name="Total 71 3 2" xfId="63773" xr:uid="{00000000-0005-0000-0000-00001DF90000}"/>
    <cellStyle name="Total 71 3 3" xfId="63774" xr:uid="{00000000-0005-0000-0000-00001EF90000}"/>
    <cellStyle name="Total 71 4" xfId="63775" xr:uid="{00000000-0005-0000-0000-00001FF90000}"/>
    <cellStyle name="Total 71 5" xfId="63776" xr:uid="{00000000-0005-0000-0000-000020F90000}"/>
    <cellStyle name="Total 72" xfId="63777" xr:uid="{00000000-0005-0000-0000-000021F90000}"/>
    <cellStyle name="Total 72 2" xfId="63778" xr:uid="{00000000-0005-0000-0000-000022F90000}"/>
    <cellStyle name="Total 72 2 2" xfId="63779" xr:uid="{00000000-0005-0000-0000-000023F90000}"/>
    <cellStyle name="Total 72 2 2 2" xfId="63780" xr:uid="{00000000-0005-0000-0000-000024F90000}"/>
    <cellStyle name="Total 72 2 3" xfId="63781" xr:uid="{00000000-0005-0000-0000-000025F90000}"/>
    <cellStyle name="Total 72 2 3 2" xfId="63782" xr:uid="{00000000-0005-0000-0000-000026F90000}"/>
    <cellStyle name="Total 72 2 3 3" xfId="63783" xr:uid="{00000000-0005-0000-0000-000027F90000}"/>
    <cellStyle name="Total 72 2 4" xfId="63784" xr:uid="{00000000-0005-0000-0000-000028F90000}"/>
    <cellStyle name="Total 72 2 5" xfId="63785" xr:uid="{00000000-0005-0000-0000-000029F90000}"/>
    <cellStyle name="Total 72 3" xfId="63786" xr:uid="{00000000-0005-0000-0000-00002AF90000}"/>
    <cellStyle name="Total 72 3 2" xfId="63787" xr:uid="{00000000-0005-0000-0000-00002BF90000}"/>
    <cellStyle name="Total 72 3 3" xfId="63788" xr:uid="{00000000-0005-0000-0000-00002CF90000}"/>
    <cellStyle name="Total 72 4" xfId="63789" xr:uid="{00000000-0005-0000-0000-00002DF90000}"/>
    <cellStyle name="Total 72 5" xfId="63790" xr:uid="{00000000-0005-0000-0000-00002EF90000}"/>
    <cellStyle name="Total 73" xfId="63791" xr:uid="{00000000-0005-0000-0000-00002FF90000}"/>
    <cellStyle name="Total 73 2" xfId="63792" xr:uid="{00000000-0005-0000-0000-000030F90000}"/>
    <cellStyle name="Total 73 2 2" xfId="63793" xr:uid="{00000000-0005-0000-0000-000031F90000}"/>
    <cellStyle name="Total 73 2 2 2" xfId="63794" xr:uid="{00000000-0005-0000-0000-000032F90000}"/>
    <cellStyle name="Total 73 2 3" xfId="63795" xr:uid="{00000000-0005-0000-0000-000033F90000}"/>
    <cellStyle name="Total 73 2 3 2" xfId="63796" xr:uid="{00000000-0005-0000-0000-000034F90000}"/>
    <cellStyle name="Total 73 2 3 3" xfId="63797" xr:uid="{00000000-0005-0000-0000-000035F90000}"/>
    <cellStyle name="Total 73 2 4" xfId="63798" xr:uid="{00000000-0005-0000-0000-000036F90000}"/>
    <cellStyle name="Total 73 2 5" xfId="63799" xr:uid="{00000000-0005-0000-0000-000037F90000}"/>
    <cellStyle name="Total 73 3" xfId="63800" xr:uid="{00000000-0005-0000-0000-000038F90000}"/>
    <cellStyle name="Total 73 3 2" xfId="63801" xr:uid="{00000000-0005-0000-0000-000039F90000}"/>
    <cellStyle name="Total 73 3 3" xfId="63802" xr:uid="{00000000-0005-0000-0000-00003AF90000}"/>
    <cellStyle name="Total 73 4" xfId="63803" xr:uid="{00000000-0005-0000-0000-00003BF90000}"/>
    <cellStyle name="Total 73 5" xfId="63804" xr:uid="{00000000-0005-0000-0000-00003CF90000}"/>
    <cellStyle name="Total 74" xfId="63805" xr:uid="{00000000-0005-0000-0000-00003DF90000}"/>
    <cellStyle name="Total 74 2" xfId="63806" xr:uid="{00000000-0005-0000-0000-00003EF90000}"/>
    <cellStyle name="Total 74 2 2" xfId="63807" xr:uid="{00000000-0005-0000-0000-00003FF90000}"/>
    <cellStyle name="Total 74 2 2 2" xfId="63808" xr:uid="{00000000-0005-0000-0000-000040F90000}"/>
    <cellStyle name="Total 74 2 3" xfId="63809" xr:uid="{00000000-0005-0000-0000-000041F90000}"/>
    <cellStyle name="Total 74 2 3 2" xfId="63810" xr:uid="{00000000-0005-0000-0000-000042F90000}"/>
    <cellStyle name="Total 74 2 3 3" xfId="63811" xr:uid="{00000000-0005-0000-0000-000043F90000}"/>
    <cellStyle name="Total 74 2 4" xfId="63812" xr:uid="{00000000-0005-0000-0000-000044F90000}"/>
    <cellStyle name="Total 74 2 5" xfId="63813" xr:uid="{00000000-0005-0000-0000-000045F90000}"/>
    <cellStyle name="Total 74 3" xfId="63814" xr:uid="{00000000-0005-0000-0000-000046F90000}"/>
    <cellStyle name="Total 74 3 2" xfId="63815" xr:uid="{00000000-0005-0000-0000-000047F90000}"/>
    <cellStyle name="Total 74 3 3" xfId="63816" xr:uid="{00000000-0005-0000-0000-000048F90000}"/>
    <cellStyle name="Total 74 4" xfId="63817" xr:uid="{00000000-0005-0000-0000-000049F90000}"/>
    <cellStyle name="Total 74 5" xfId="63818" xr:uid="{00000000-0005-0000-0000-00004AF90000}"/>
    <cellStyle name="Total 75" xfId="63819" xr:uid="{00000000-0005-0000-0000-00004BF90000}"/>
    <cellStyle name="Total 75 2" xfId="63820" xr:uid="{00000000-0005-0000-0000-00004CF90000}"/>
    <cellStyle name="Total 75 2 2" xfId="63821" xr:uid="{00000000-0005-0000-0000-00004DF90000}"/>
    <cellStyle name="Total 75 2 2 2" xfId="63822" xr:uid="{00000000-0005-0000-0000-00004EF90000}"/>
    <cellStyle name="Total 75 2 3" xfId="63823" xr:uid="{00000000-0005-0000-0000-00004FF90000}"/>
    <cellStyle name="Total 75 2 3 2" xfId="63824" xr:uid="{00000000-0005-0000-0000-000050F90000}"/>
    <cellStyle name="Total 75 2 3 3" xfId="63825" xr:uid="{00000000-0005-0000-0000-000051F90000}"/>
    <cellStyle name="Total 75 2 4" xfId="63826" xr:uid="{00000000-0005-0000-0000-000052F90000}"/>
    <cellStyle name="Total 75 2 5" xfId="63827" xr:uid="{00000000-0005-0000-0000-000053F90000}"/>
    <cellStyle name="Total 75 3" xfId="63828" xr:uid="{00000000-0005-0000-0000-000054F90000}"/>
    <cellStyle name="Total 75 3 2" xfId="63829" xr:uid="{00000000-0005-0000-0000-000055F90000}"/>
    <cellStyle name="Total 75 3 3" xfId="63830" xr:uid="{00000000-0005-0000-0000-000056F90000}"/>
    <cellStyle name="Total 75 4" xfId="63831" xr:uid="{00000000-0005-0000-0000-000057F90000}"/>
    <cellStyle name="Total 75 5" xfId="63832" xr:uid="{00000000-0005-0000-0000-000058F90000}"/>
    <cellStyle name="Total 76" xfId="63833" xr:uid="{00000000-0005-0000-0000-000059F90000}"/>
    <cellStyle name="Total 76 2" xfId="63834" xr:uid="{00000000-0005-0000-0000-00005AF90000}"/>
    <cellStyle name="Total 76 2 2" xfId="63835" xr:uid="{00000000-0005-0000-0000-00005BF90000}"/>
    <cellStyle name="Total 76 2 2 2" xfId="63836" xr:uid="{00000000-0005-0000-0000-00005CF90000}"/>
    <cellStyle name="Total 76 2 3" xfId="63837" xr:uid="{00000000-0005-0000-0000-00005DF90000}"/>
    <cellStyle name="Total 76 2 3 2" xfId="63838" xr:uid="{00000000-0005-0000-0000-00005EF90000}"/>
    <cellStyle name="Total 76 2 3 3" xfId="63839" xr:uid="{00000000-0005-0000-0000-00005FF90000}"/>
    <cellStyle name="Total 76 2 4" xfId="63840" xr:uid="{00000000-0005-0000-0000-000060F90000}"/>
    <cellStyle name="Total 76 2 5" xfId="63841" xr:uid="{00000000-0005-0000-0000-000061F90000}"/>
    <cellStyle name="Total 76 3" xfId="63842" xr:uid="{00000000-0005-0000-0000-000062F90000}"/>
    <cellStyle name="Total 76 3 2" xfId="63843" xr:uid="{00000000-0005-0000-0000-000063F90000}"/>
    <cellStyle name="Total 76 3 3" xfId="63844" xr:uid="{00000000-0005-0000-0000-000064F90000}"/>
    <cellStyle name="Total 76 4" xfId="63845" xr:uid="{00000000-0005-0000-0000-000065F90000}"/>
    <cellStyle name="Total 76 5" xfId="63846" xr:uid="{00000000-0005-0000-0000-000066F90000}"/>
    <cellStyle name="Total 77" xfId="63847" xr:uid="{00000000-0005-0000-0000-000067F90000}"/>
    <cellStyle name="Total 77 2" xfId="63848" xr:uid="{00000000-0005-0000-0000-000068F90000}"/>
    <cellStyle name="Total 77 2 2" xfId="63849" xr:uid="{00000000-0005-0000-0000-000069F90000}"/>
    <cellStyle name="Total 77 2 2 2" xfId="63850" xr:uid="{00000000-0005-0000-0000-00006AF90000}"/>
    <cellStyle name="Total 77 2 3" xfId="63851" xr:uid="{00000000-0005-0000-0000-00006BF90000}"/>
    <cellStyle name="Total 77 2 3 2" xfId="63852" xr:uid="{00000000-0005-0000-0000-00006CF90000}"/>
    <cellStyle name="Total 77 2 3 3" xfId="63853" xr:uid="{00000000-0005-0000-0000-00006DF90000}"/>
    <cellStyle name="Total 77 2 4" xfId="63854" xr:uid="{00000000-0005-0000-0000-00006EF90000}"/>
    <cellStyle name="Total 77 2 5" xfId="63855" xr:uid="{00000000-0005-0000-0000-00006FF90000}"/>
    <cellStyle name="Total 77 3" xfId="63856" xr:uid="{00000000-0005-0000-0000-000070F90000}"/>
    <cellStyle name="Total 77 3 2" xfId="63857" xr:uid="{00000000-0005-0000-0000-000071F90000}"/>
    <cellStyle name="Total 77 3 3" xfId="63858" xr:uid="{00000000-0005-0000-0000-000072F90000}"/>
    <cellStyle name="Total 77 4" xfId="63859" xr:uid="{00000000-0005-0000-0000-000073F90000}"/>
    <cellStyle name="Total 77 5" xfId="63860" xr:uid="{00000000-0005-0000-0000-000074F90000}"/>
    <cellStyle name="Total 78" xfId="63861" xr:uid="{00000000-0005-0000-0000-000075F90000}"/>
    <cellStyle name="Total 78 2" xfId="63862" xr:uid="{00000000-0005-0000-0000-000076F90000}"/>
    <cellStyle name="Total 78 2 2" xfId="63863" xr:uid="{00000000-0005-0000-0000-000077F90000}"/>
    <cellStyle name="Total 78 2 2 2" xfId="63864" xr:uid="{00000000-0005-0000-0000-000078F90000}"/>
    <cellStyle name="Total 78 2 3" xfId="63865" xr:uid="{00000000-0005-0000-0000-000079F90000}"/>
    <cellStyle name="Total 78 2 3 2" xfId="63866" xr:uid="{00000000-0005-0000-0000-00007AF90000}"/>
    <cellStyle name="Total 78 2 3 3" xfId="63867" xr:uid="{00000000-0005-0000-0000-00007BF90000}"/>
    <cellStyle name="Total 78 2 4" xfId="63868" xr:uid="{00000000-0005-0000-0000-00007CF90000}"/>
    <cellStyle name="Total 78 2 5" xfId="63869" xr:uid="{00000000-0005-0000-0000-00007DF90000}"/>
    <cellStyle name="Total 78 3" xfId="63870" xr:uid="{00000000-0005-0000-0000-00007EF90000}"/>
    <cellStyle name="Total 78 3 2" xfId="63871" xr:uid="{00000000-0005-0000-0000-00007FF90000}"/>
    <cellStyle name="Total 78 3 3" xfId="63872" xr:uid="{00000000-0005-0000-0000-000080F90000}"/>
    <cellStyle name="Total 78 4" xfId="63873" xr:uid="{00000000-0005-0000-0000-000081F90000}"/>
    <cellStyle name="Total 78 5" xfId="63874" xr:uid="{00000000-0005-0000-0000-000082F90000}"/>
    <cellStyle name="Total 79" xfId="63875" xr:uid="{00000000-0005-0000-0000-000083F90000}"/>
    <cellStyle name="Total 79 2" xfId="63876" xr:uid="{00000000-0005-0000-0000-000084F90000}"/>
    <cellStyle name="Total 79 2 2" xfId="63877" xr:uid="{00000000-0005-0000-0000-000085F90000}"/>
    <cellStyle name="Total 79 2 2 2" xfId="63878" xr:uid="{00000000-0005-0000-0000-000086F90000}"/>
    <cellStyle name="Total 79 2 3" xfId="63879" xr:uid="{00000000-0005-0000-0000-000087F90000}"/>
    <cellStyle name="Total 79 2 3 2" xfId="63880" xr:uid="{00000000-0005-0000-0000-000088F90000}"/>
    <cellStyle name="Total 79 2 3 3" xfId="63881" xr:uid="{00000000-0005-0000-0000-000089F90000}"/>
    <cellStyle name="Total 79 2 4" xfId="63882" xr:uid="{00000000-0005-0000-0000-00008AF90000}"/>
    <cellStyle name="Total 79 2 5" xfId="63883" xr:uid="{00000000-0005-0000-0000-00008BF90000}"/>
    <cellStyle name="Total 79 3" xfId="63884" xr:uid="{00000000-0005-0000-0000-00008CF90000}"/>
    <cellStyle name="Total 79 3 2" xfId="63885" xr:uid="{00000000-0005-0000-0000-00008DF90000}"/>
    <cellStyle name="Total 79 3 3" xfId="63886" xr:uid="{00000000-0005-0000-0000-00008EF90000}"/>
    <cellStyle name="Total 79 4" xfId="63887" xr:uid="{00000000-0005-0000-0000-00008FF90000}"/>
    <cellStyle name="Total 79 5" xfId="63888" xr:uid="{00000000-0005-0000-0000-000090F90000}"/>
    <cellStyle name="Total 8" xfId="63889" xr:uid="{00000000-0005-0000-0000-000091F90000}"/>
    <cellStyle name="Total 8 2" xfId="63890" xr:uid="{00000000-0005-0000-0000-000092F90000}"/>
    <cellStyle name="Total 8 2 2" xfId="63891" xr:uid="{00000000-0005-0000-0000-000093F90000}"/>
    <cellStyle name="Total 8 2 2 2" xfId="63892" xr:uid="{00000000-0005-0000-0000-000094F90000}"/>
    <cellStyle name="Total 8 2 3" xfId="63893" xr:uid="{00000000-0005-0000-0000-000095F90000}"/>
    <cellStyle name="Total 8 2 3 2" xfId="63894" xr:uid="{00000000-0005-0000-0000-000096F90000}"/>
    <cellStyle name="Total 8 2 3 3" xfId="63895" xr:uid="{00000000-0005-0000-0000-000097F90000}"/>
    <cellStyle name="Total 8 2 4" xfId="63896" xr:uid="{00000000-0005-0000-0000-000098F90000}"/>
    <cellStyle name="Total 8 3" xfId="63897" xr:uid="{00000000-0005-0000-0000-000099F90000}"/>
    <cellStyle name="Total 8 3 2" xfId="63898" xr:uid="{00000000-0005-0000-0000-00009AF90000}"/>
    <cellStyle name="Total 8 4" xfId="63899" xr:uid="{00000000-0005-0000-0000-00009BF90000}"/>
    <cellStyle name="Total 8 4 2" xfId="63900" xr:uid="{00000000-0005-0000-0000-00009CF90000}"/>
    <cellStyle name="Total 8 4 3" xfId="63901" xr:uid="{00000000-0005-0000-0000-00009DF90000}"/>
    <cellStyle name="Total 8 5" xfId="63902" xr:uid="{00000000-0005-0000-0000-00009EF90000}"/>
    <cellStyle name="Total 8 6" xfId="63903" xr:uid="{00000000-0005-0000-0000-00009FF90000}"/>
    <cellStyle name="Total 80" xfId="63904" xr:uid="{00000000-0005-0000-0000-0000A0F90000}"/>
    <cellStyle name="Total 80 2" xfId="63905" xr:uid="{00000000-0005-0000-0000-0000A1F90000}"/>
    <cellStyle name="Total 80 2 2" xfId="63906" xr:uid="{00000000-0005-0000-0000-0000A2F90000}"/>
    <cellStyle name="Total 80 2 2 2" xfId="63907" xr:uid="{00000000-0005-0000-0000-0000A3F90000}"/>
    <cellStyle name="Total 80 2 3" xfId="63908" xr:uid="{00000000-0005-0000-0000-0000A4F90000}"/>
    <cellStyle name="Total 80 2 3 2" xfId="63909" xr:uid="{00000000-0005-0000-0000-0000A5F90000}"/>
    <cellStyle name="Total 80 2 3 3" xfId="63910" xr:uid="{00000000-0005-0000-0000-0000A6F90000}"/>
    <cellStyle name="Total 80 2 4" xfId="63911" xr:uid="{00000000-0005-0000-0000-0000A7F90000}"/>
    <cellStyle name="Total 80 2 5" xfId="63912" xr:uid="{00000000-0005-0000-0000-0000A8F90000}"/>
    <cellStyle name="Total 80 3" xfId="63913" xr:uid="{00000000-0005-0000-0000-0000A9F90000}"/>
    <cellStyle name="Total 80 3 2" xfId="63914" xr:uid="{00000000-0005-0000-0000-0000AAF90000}"/>
    <cellStyle name="Total 80 3 3" xfId="63915" xr:uid="{00000000-0005-0000-0000-0000ABF90000}"/>
    <cellStyle name="Total 80 4" xfId="63916" xr:uid="{00000000-0005-0000-0000-0000ACF90000}"/>
    <cellStyle name="Total 80 5" xfId="63917" xr:uid="{00000000-0005-0000-0000-0000ADF90000}"/>
    <cellStyle name="Total 81" xfId="63918" xr:uid="{00000000-0005-0000-0000-0000AEF90000}"/>
    <cellStyle name="Total 81 2" xfId="63919" xr:uid="{00000000-0005-0000-0000-0000AFF90000}"/>
    <cellStyle name="Total 81 2 2" xfId="63920" xr:uid="{00000000-0005-0000-0000-0000B0F90000}"/>
    <cellStyle name="Total 81 2 2 2" xfId="63921" xr:uid="{00000000-0005-0000-0000-0000B1F90000}"/>
    <cellStyle name="Total 81 2 3" xfId="63922" xr:uid="{00000000-0005-0000-0000-0000B2F90000}"/>
    <cellStyle name="Total 81 2 3 2" xfId="63923" xr:uid="{00000000-0005-0000-0000-0000B3F90000}"/>
    <cellStyle name="Total 81 2 3 3" xfId="63924" xr:uid="{00000000-0005-0000-0000-0000B4F90000}"/>
    <cellStyle name="Total 81 2 4" xfId="63925" xr:uid="{00000000-0005-0000-0000-0000B5F90000}"/>
    <cellStyle name="Total 81 2 5" xfId="63926" xr:uid="{00000000-0005-0000-0000-0000B6F90000}"/>
    <cellStyle name="Total 81 3" xfId="63927" xr:uid="{00000000-0005-0000-0000-0000B7F90000}"/>
    <cellStyle name="Total 81 3 2" xfId="63928" xr:uid="{00000000-0005-0000-0000-0000B8F90000}"/>
    <cellStyle name="Total 81 3 3" xfId="63929" xr:uid="{00000000-0005-0000-0000-0000B9F90000}"/>
    <cellStyle name="Total 81 4" xfId="63930" xr:uid="{00000000-0005-0000-0000-0000BAF90000}"/>
    <cellStyle name="Total 81 5" xfId="63931" xr:uid="{00000000-0005-0000-0000-0000BBF90000}"/>
    <cellStyle name="Total 82" xfId="63932" xr:uid="{00000000-0005-0000-0000-0000BCF90000}"/>
    <cellStyle name="Total 82 2" xfId="63933" xr:uid="{00000000-0005-0000-0000-0000BDF90000}"/>
    <cellStyle name="Total 82 2 2" xfId="63934" xr:uid="{00000000-0005-0000-0000-0000BEF90000}"/>
    <cellStyle name="Total 82 2 2 2" xfId="63935" xr:uid="{00000000-0005-0000-0000-0000BFF90000}"/>
    <cellStyle name="Total 82 2 3" xfId="63936" xr:uid="{00000000-0005-0000-0000-0000C0F90000}"/>
    <cellStyle name="Total 82 2 3 2" xfId="63937" xr:uid="{00000000-0005-0000-0000-0000C1F90000}"/>
    <cellStyle name="Total 82 2 3 3" xfId="63938" xr:uid="{00000000-0005-0000-0000-0000C2F90000}"/>
    <cellStyle name="Total 82 2 4" xfId="63939" xr:uid="{00000000-0005-0000-0000-0000C3F90000}"/>
    <cellStyle name="Total 82 2 5" xfId="63940" xr:uid="{00000000-0005-0000-0000-0000C4F90000}"/>
    <cellStyle name="Total 82 3" xfId="63941" xr:uid="{00000000-0005-0000-0000-0000C5F90000}"/>
    <cellStyle name="Total 82 3 2" xfId="63942" xr:uid="{00000000-0005-0000-0000-0000C6F90000}"/>
    <cellStyle name="Total 82 3 3" xfId="63943" xr:uid="{00000000-0005-0000-0000-0000C7F90000}"/>
    <cellStyle name="Total 82 4" xfId="63944" xr:uid="{00000000-0005-0000-0000-0000C8F90000}"/>
    <cellStyle name="Total 82 5" xfId="63945" xr:uid="{00000000-0005-0000-0000-0000C9F90000}"/>
    <cellStyle name="Total 83" xfId="63946" xr:uid="{00000000-0005-0000-0000-0000CAF90000}"/>
    <cellStyle name="Total 83 2" xfId="63947" xr:uid="{00000000-0005-0000-0000-0000CBF90000}"/>
    <cellStyle name="Total 83 2 2" xfId="63948" xr:uid="{00000000-0005-0000-0000-0000CCF90000}"/>
    <cellStyle name="Total 83 2 2 2" xfId="63949" xr:uid="{00000000-0005-0000-0000-0000CDF90000}"/>
    <cellStyle name="Total 83 2 3" xfId="63950" xr:uid="{00000000-0005-0000-0000-0000CEF90000}"/>
    <cellStyle name="Total 83 2 3 2" xfId="63951" xr:uid="{00000000-0005-0000-0000-0000CFF90000}"/>
    <cellStyle name="Total 83 2 3 3" xfId="63952" xr:uid="{00000000-0005-0000-0000-0000D0F90000}"/>
    <cellStyle name="Total 83 2 4" xfId="63953" xr:uid="{00000000-0005-0000-0000-0000D1F90000}"/>
    <cellStyle name="Total 83 2 5" xfId="63954" xr:uid="{00000000-0005-0000-0000-0000D2F90000}"/>
    <cellStyle name="Total 83 3" xfId="63955" xr:uid="{00000000-0005-0000-0000-0000D3F90000}"/>
    <cellStyle name="Total 83 3 2" xfId="63956" xr:uid="{00000000-0005-0000-0000-0000D4F90000}"/>
    <cellStyle name="Total 83 3 3" xfId="63957" xr:uid="{00000000-0005-0000-0000-0000D5F90000}"/>
    <cellStyle name="Total 83 4" xfId="63958" xr:uid="{00000000-0005-0000-0000-0000D6F90000}"/>
    <cellStyle name="Total 83 5" xfId="63959" xr:uid="{00000000-0005-0000-0000-0000D7F90000}"/>
    <cellStyle name="Total 84" xfId="63960" xr:uid="{00000000-0005-0000-0000-0000D8F90000}"/>
    <cellStyle name="Total 84 2" xfId="63961" xr:uid="{00000000-0005-0000-0000-0000D9F90000}"/>
    <cellStyle name="Total 84 2 2" xfId="63962" xr:uid="{00000000-0005-0000-0000-0000DAF90000}"/>
    <cellStyle name="Total 84 2 2 2" xfId="63963" xr:uid="{00000000-0005-0000-0000-0000DBF90000}"/>
    <cellStyle name="Total 84 2 3" xfId="63964" xr:uid="{00000000-0005-0000-0000-0000DCF90000}"/>
    <cellStyle name="Total 84 2 3 2" xfId="63965" xr:uid="{00000000-0005-0000-0000-0000DDF90000}"/>
    <cellStyle name="Total 84 2 3 3" xfId="63966" xr:uid="{00000000-0005-0000-0000-0000DEF90000}"/>
    <cellStyle name="Total 84 2 4" xfId="63967" xr:uid="{00000000-0005-0000-0000-0000DFF90000}"/>
    <cellStyle name="Total 84 2 5" xfId="63968" xr:uid="{00000000-0005-0000-0000-0000E0F90000}"/>
    <cellStyle name="Total 84 3" xfId="63969" xr:uid="{00000000-0005-0000-0000-0000E1F90000}"/>
    <cellStyle name="Total 84 3 2" xfId="63970" xr:uid="{00000000-0005-0000-0000-0000E2F90000}"/>
    <cellStyle name="Total 84 3 3" xfId="63971" xr:uid="{00000000-0005-0000-0000-0000E3F90000}"/>
    <cellStyle name="Total 84 4" xfId="63972" xr:uid="{00000000-0005-0000-0000-0000E4F90000}"/>
    <cellStyle name="Total 84 5" xfId="63973" xr:uid="{00000000-0005-0000-0000-0000E5F90000}"/>
    <cellStyle name="Total 85" xfId="63974" xr:uid="{00000000-0005-0000-0000-0000E6F90000}"/>
    <cellStyle name="Total 85 2" xfId="63975" xr:uid="{00000000-0005-0000-0000-0000E7F90000}"/>
    <cellStyle name="Total 85 2 2" xfId="63976" xr:uid="{00000000-0005-0000-0000-0000E8F90000}"/>
    <cellStyle name="Total 85 2 2 2" xfId="63977" xr:uid="{00000000-0005-0000-0000-0000E9F90000}"/>
    <cellStyle name="Total 85 2 3" xfId="63978" xr:uid="{00000000-0005-0000-0000-0000EAF90000}"/>
    <cellStyle name="Total 85 2 3 2" xfId="63979" xr:uid="{00000000-0005-0000-0000-0000EBF90000}"/>
    <cellStyle name="Total 85 2 3 3" xfId="63980" xr:uid="{00000000-0005-0000-0000-0000ECF90000}"/>
    <cellStyle name="Total 85 2 4" xfId="63981" xr:uid="{00000000-0005-0000-0000-0000EDF90000}"/>
    <cellStyle name="Total 85 2 5" xfId="63982" xr:uid="{00000000-0005-0000-0000-0000EEF90000}"/>
    <cellStyle name="Total 85 3" xfId="63983" xr:uid="{00000000-0005-0000-0000-0000EFF90000}"/>
    <cellStyle name="Total 85 3 2" xfId="63984" xr:uid="{00000000-0005-0000-0000-0000F0F90000}"/>
    <cellStyle name="Total 85 3 3" xfId="63985" xr:uid="{00000000-0005-0000-0000-0000F1F90000}"/>
    <cellStyle name="Total 85 4" xfId="63986" xr:uid="{00000000-0005-0000-0000-0000F2F90000}"/>
    <cellStyle name="Total 85 5" xfId="63987" xr:uid="{00000000-0005-0000-0000-0000F3F90000}"/>
    <cellStyle name="Total 86" xfId="63988" xr:uid="{00000000-0005-0000-0000-0000F4F90000}"/>
    <cellStyle name="Total 86 2" xfId="63989" xr:uid="{00000000-0005-0000-0000-0000F5F90000}"/>
    <cellStyle name="Total 86 2 2" xfId="63990" xr:uid="{00000000-0005-0000-0000-0000F6F90000}"/>
    <cellStyle name="Total 86 2 2 2" xfId="63991" xr:uid="{00000000-0005-0000-0000-0000F7F90000}"/>
    <cellStyle name="Total 86 2 3" xfId="63992" xr:uid="{00000000-0005-0000-0000-0000F8F90000}"/>
    <cellStyle name="Total 86 2 3 2" xfId="63993" xr:uid="{00000000-0005-0000-0000-0000F9F90000}"/>
    <cellStyle name="Total 86 2 3 3" xfId="63994" xr:uid="{00000000-0005-0000-0000-0000FAF90000}"/>
    <cellStyle name="Total 86 2 4" xfId="63995" xr:uid="{00000000-0005-0000-0000-0000FBF90000}"/>
    <cellStyle name="Total 86 2 5" xfId="63996" xr:uid="{00000000-0005-0000-0000-0000FCF90000}"/>
    <cellStyle name="Total 86 3" xfId="63997" xr:uid="{00000000-0005-0000-0000-0000FDF90000}"/>
    <cellStyle name="Total 86 3 2" xfId="63998" xr:uid="{00000000-0005-0000-0000-0000FEF90000}"/>
    <cellStyle name="Total 86 3 3" xfId="63999" xr:uid="{00000000-0005-0000-0000-0000FFF90000}"/>
    <cellStyle name="Total 86 4" xfId="64000" xr:uid="{00000000-0005-0000-0000-000000FA0000}"/>
    <cellStyle name="Total 86 5" xfId="64001" xr:uid="{00000000-0005-0000-0000-000001FA0000}"/>
    <cellStyle name="Total 87" xfId="64002" xr:uid="{00000000-0005-0000-0000-000002FA0000}"/>
    <cellStyle name="Total 87 2" xfId="64003" xr:uid="{00000000-0005-0000-0000-000003FA0000}"/>
    <cellStyle name="Total 87 2 2" xfId="64004" xr:uid="{00000000-0005-0000-0000-000004FA0000}"/>
    <cellStyle name="Total 87 2 2 2" xfId="64005" xr:uid="{00000000-0005-0000-0000-000005FA0000}"/>
    <cellStyle name="Total 87 2 3" xfId="64006" xr:uid="{00000000-0005-0000-0000-000006FA0000}"/>
    <cellStyle name="Total 87 2 3 2" xfId="64007" xr:uid="{00000000-0005-0000-0000-000007FA0000}"/>
    <cellStyle name="Total 87 2 3 3" xfId="64008" xr:uid="{00000000-0005-0000-0000-000008FA0000}"/>
    <cellStyle name="Total 87 2 4" xfId="64009" xr:uid="{00000000-0005-0000-0000-000009FA0000}"/>
    <cellStyle name="Total 87 2 5" xfId="64010" xr:uid="{00000000-0005-0000-0000-00000AFA0000}"/>
    <cellStyle name="Total 87 3" xfId="64011" xr:uid="{00000000-0005-0000-0000-00000BFA0000}"/>
    <cellStyle name="Total 87 3 2" xfId="64012" xr:uid="{00000000-0005-0000-0000-00000CFA0000}"/>
    <cellStyle name="Total 87 3 3" xfId="64013" xr:uid="{00000000-0005-0000-0000-00000DFA0000}"/>
    <cellStyle name="Total 87 4" xfId="64014" xr:uid="{00000000-0005-0000-0000-00000EFA0000}"/>
    <cellStyle name="Total 87 5" xfId="64015" xr:uid="{00000000-0005-0000-0000-00000FFA0000}"/>
    <cellStyle name="Total 88" xfId="64016" xr:uid="{00000000-0005-0000-0000-000010FA0000}"/>
    <cellStyle name="Total 88 2" xfId="64017" xr:uid="{00000000-0005-0000-0000-000011FA0000}"/>
    <cellStyle name="Total 88 2 2" xfId="64018" xr:uid="{00000000-0005-0000-0000-000012FA0000}"/>
    <cellStyle name="Total 88 2 2 2" xfId="64019" xr:uid="{00000000-0005-0000-0000-000013FA0000}"/>
    <cellStyle name="Total 88 2 3" xfId="64020" xr:uid="{00000000-0005-0000-0000-000014FA0000}"/>
    <cellStyle name="Total 88 2 3 2" xfId="64021" xr:uid="{00000000-0005-0000-0000-000015FA0000}"/>
    <cellStyle name="Total 88 2 3 3" xfId="64022" xr:uid="{00000000-0005-0000-0000-000016FA0000}"/>
    <cellStyle name="Total 88 2 4" xfId="64023" xr:uid="{00000000-0005-0000-0000-000017FA0000}"/>
    <cellStyle name="Total 88 2 5" xfId="64024" xr:uid="{00000000-0005-0000-0000-000018FA0000}"/>
    <cellStyle name="Total 88 3" xfId="64025" xr:uid="{00000000-0005-0000-0000-000019FA0000}"/>
    <cellStyle name="Total 88 3 2" xfId="64026" xr:uid="{00000000-0005-0000-0000-00001AFA0000}"/>
    <cellStyle name="Total 88 3 3" xfId="64027" xr:uid="{00000000-0005-0000-0000-00001BFA0000}"/>
    <cellStyle name="Total 88 4" xfId="64028" xr:uid="{00000000-0005-0000-0000-00001CFA0000}"/>
    <cellStyle name="Total 88 5" xfId="64029" xr:uid="{00000000-0005-0000-0000-00001DFA0000}"/>
    <cellStyle name="Total 89" xfId="64030" xr:uid="{00000000-0005-0000-0000-00001EFA0000}"/>
    <cellStyle name="Total 89 2" xfId="64031" xr:uid="{00000000-0005-0000-0000-00001FFA0000}"/>
    <cellStyle name="Total 89 2 2" xfId="64032" xr:uid="{00000000-0005-0000-0000-000020FA0000}"/>
    <cellStyle name="Total 89 2 2 2" xfId="64033" xr:uid="{00000000-0005-0000-0000-000021FA0000}"/>
    <cellStyle name="Total 89 2 3" xfId="64034" xr:uid="{00000000-0005-0000-0000-000022FA0000}"/>
    <cellStyle name="Total 89 2 3 2" xfId="64035" xr:uid="{00000000-0005-0000-0000-000023FA0000}"/>
    <cellStyle name="Total 89 2 3 3" xfId="64036" xr:uid="{00000000-0005-0000-0000-000024FA0000}"/>
    <cellStyle name="Total 89 2 4" xfId="64037" xr:uid="{00000000-0005-0000-0000-000025FA0000}"/>
    <cellStyle name="Total 89 2 5" xfId="64038" xr:uid="{00000000-0005-0000-0000-000026FA0000}"/>
    <cellStyle name="Total 89 3" xfId="64039" xr:uid="{00000000-0005-0000-0000-000027FA0000}"/>
    <cellStyle name="Total 89 3 2" xfId="64040" xr:uid="{00000000-0005-0000-0000-000028FA0000}"/>
    <cellStyle name="Total 89 3 3" xfId="64041" xr:uid="{00000000-0005-0000-0000-000029FA0000}"/>
    <cellStyle name="Total 89 4" xfId="64042" xr:uid="{00000000-0005-0000-0000-00002AFA0000}"/>
    <cellStyle name="Total 89 5" xfId="64043" xr:uid="{00000000-0005-0000-0000-00002BFA0000}"/>
    <cellStyle name="Total 9" xfId="64044" xr:uid="{00000000-0005-0000-0000-00002CFA0000}"/>
    <cellStyle name="Total 9 2" xfId="64045" xr:uid="{00000000-0005-0000-0000-00002DFA0000}"/>
    <cellStyle name="Total 9 2 2" xfId="64046" xr:uid="{00000000-0005-0000-0000-00002EFA0000}"/>
    <cellStyle name="Total 9 2 2 2" xfId="64047" xr:uid="{00000000-0005-0000-0000-00002FFA0000}"/>
    <cellStyle name="Total 9 2 3" xfId="64048" xr:uid="{00000000-0005-0000-0000-000030FA0000}"/>
    <cellStyle name="Total 9 2 3 2" xfId="64049" xr:uid="{00000000-0005-0000-0000-000031FA0000}"/>
    <cellStyle name="Total 9 2 3 3" xfId="64050" xr:uid="{00000000-0005-0000-0000-000032FA0000}"/>
    <cellStyle name="Total 9 2 4" xfId="64051" xr:uid="{00000000-0005-0000-0000-000033FA0000}"/>
    <cellStyle name="Total 9 3" xfId="64052" xr:uid="{00000000-0005-0000-0000-000034FA0000}"/>
    <cellStyle name="Total 9 3 2" xfId="64053" xr:uid="{00000000-0005-0000-0000-000035FA0000}"/>
    <cellStyle name="Total 9 4" xfId="64054" xr:uid="{00000000-0005-0000-0000-000036FA0000}"/>
    <cellStyle name="Total 9 4 2" xfId="64055" xr:uid="{00000000-0005-0000-0000-000037FA0000}"/>
    <cellStyle name="Total 9 4 3" xfId="64056" xr:uid="{00000000-0005-0000-0000-000038FA0000}"/>
    <cellStyle name="Total 9 5" xfId="64057" xr:uid="{00000000-0005-0000-0000-000039FA0000}"/>
    <cellStyle name="Total 9 6" xfId="64058" xr:uid="{00000000-0005-0000-0000-00003AFA0000}"/>
    <cellStyle name="Total 90" xfId="64059" xr:uid="{00000000-0005-0000-0000-00003BFA0000}"/>
    <cellStyle name="Total 90 2" xfId="64060" xr:uid="{00000000-0005-0000-0000-00003CFA0000}"/>
    <cellStyle name="Total 90 2 2" xfId="64061" xr:uid="{00000000-0005-0000-0000-00003DFA0000}"/>
    <cellStyle name="Total 90 2 2 2" xfId="64062" xr:uid="{00000000-0005-0000-0000-00003EFA0000}"/>
    <cellStyle name="Total 90 2 3" xfId="64063" xr:uid="{00000000-0005-0000-0000-00003FFA0000}"/>
    <cellStyle name="Total 90 2 3 2" xfId="64064" xr:uid="{00000000-0005-0000-0000-000040FA0000}"/>
    <cellStyle name="Total 90 2 3 3" xfId="64065" xr:uid="{00000000-0005-0000-0000-000041FA0000}"/>
    <cellStyle name="Total 90 2 4" xfId="64066" xr:uid="{00000000-0005-0000-0000-000042FA0000}"/>
    <cellStyle name="Total 90 2 5" xfId="64067" xr:uid="{00000000-0005-0000-0000-000043FA0000}"/>
    <cellStyle name="Total 90 3" xfId="64068" xr:uid="{00000000-0005-0000-0000-000044FA0000}"/>
    <cellStyle name="Total 90 3 2" xfId="64069" xr:uid="{00000000-0005-0000-0000-000045FA0000}"/>
    <cellStyle name="Total 90 3 3" xfId="64070" xr:uid="{00000000-0005-0000-0000-000046FA0000}"/>
    <cellStyle name="Total 90 4" xfId="64071" xr:uid="{00000000-0005-0000-0000-000047FA0000}"/>
    <cellStyle name="Total 90 5" xfId="64072" xr:uid="{00000000-0005-0000-0000-000048FA0000}"/>
    <cellStyle name="Total 91" xfId="64073" xr:uid="{00000000-0005-0000-0000-000049FA0000}"/>
    <cellStyle name="Total 91 2" xfId="64074" xr:uid="{00000000-0005-0000-0000-00004AFA0000}"/>
    <cellStyle name="Total 91 2 2" xfId="64075" xr:uid="{00000000-0005-0000-0000-00004BFA0000}"/>
    <cellStyle name="Total 91 2 2 2" xfId="64076" xr:uid="{00000000-0005-0000-0000-00004CFA0000}"/>
    <cellStyle name="Total 91 2 3" xfId="64077" xr:uid="{00000000-0005-0000-0000-00004DFA0000}"/>
    <cellStyle name="Total 91 2 3 2" xfId="64078" xr:uid="{00000000-0005-0000-0000-00004EFA0000}"/>
    <cellStyle name="Total 91 2 3 3" xfId="64079" xr:uid="{00000000-0005-0000-0000-00004FFA0000}"/>
    <cellStyle name="Total 91 2 4" xfId="64080" xr:uid="{00000000-0005-0000-0000-000050FA0000}"/>
    <cellStyle name="Total 91 2 5" xfId="64081" xr:uid="{00000000-0005-0000-0000-000051FA0000}"/>
    <cellStyle name="Total 91 3" xfId="64082" xr:uid="{00000000-0005-0000-0000-000052FA0000}"/>
    <cellStyle name="Total 91 3 2" xfId="64083" xr:uid="{00000000-0005-0000-0000-000053FA0000}"/>
    <cellStyle name="Total 91 3 3" xfId="64084" xr:uid="{00000000-0005-0000-0000-000054FA0000}"/>
    <cellStyle name="Total 91 4" xfId="64085" xr:uid="{00000000-0005-0000-0000-000055FA0000}"/>
    <cellStyle name="Total 91 5" xfId="64086" xr:uid="{00000000-0005-0000-0000-000056FA0000}"/>
    <cellStyle name="Total 92" xfId="64087" xr:uid="{00000000-0005-0000-0000-000057FA0000}"/>
    <cellStyle name="Total 92 2" xfId="64088" xr:uid="{00000000-0005-0000-0000-000058FA0000}"/>
    <cellStyle name="Total 92 2 2" xfId="64089" xr:uid="{00000000-0005-0000-0000-000059FA0000}"/>
    <cellStyle name="Total 92 2 2 2" xfId="64090" xr:uid="{00000000-0005-0000-0000-00005AFA0000}"/>
    <cellStyle name="Total 92 2 3" xfId="64091" xr:uid="{00000000-0005-0000-0000-00005BFA0000}"/>
    <cellStyle name="Total 92 2 3 2" xfId="64092" xr:uid="{00000000-0005-0000-0000-00005CFA0000}"/>
    <cellStyle name="Total 92 2 3 3" xfId="64093" xr:uid="{00000000-0005-0000-0000-00005DFA0000}"/>
    <cellStyle name="Total 92 2 4" xfId="64094" xr:uid="{00000000-0005-0000-0000-00005EFA0000}"/>
    <cellStyle name="Total 92 2 5" xfId="64095" xr:uid="{00000000-0005-0000-0000-00005FFA0000}"/>
    <cellStyle name="Total 92 3" xfId="64096" xr:uid="{00000000-0005-0000-0000-000060FA0000}"/>
    <cellStyle name="Total 92 3 2" xfId="64097" xr:uid="{00000000-0005-0000-0000-000061FA0000}"/>
    <cellStyle name="Total 92 3 3" xfId="64098" xr:uid="{00000000-0005-0000-0000-000062FA0000}"/>
    <cellStyle name="Total 92 4" xfId="64099" xr:uid="{00000000-0005-0000-0000-000063FA0000}"/>
    <cellStyle name="Total 92 5" xfId="64100" xr:uid="{00000000-0005-0000-0000-000064FA0000}"/>
    <cellStyle name="Total 93" xfId="64101" xr:uid="{00000000-0005-0000-0000-000065FA0000}"/>
    <cellStyle name="Total 93 2" xfId="64102" xr:uid="{00000000-0005-0000-0000-000066FA0000}"/>
    <cellStyle name="Total 93 2 2" xfId="64103" xr:uid="{00000000-0005-0000-0000-000067FA0000}"/>
    <cellStyle name="Total 93 2 2 2" xfId="64104" xr:uid="{00000000-0005-0000-0000-000068FA0000}"/>
    <cellStyle name="Total 93 2 3" xfId="64105" xr:uid="{00000000-0005-0000-0000-000069FA0000}"/>
    <cellStyle name="Total 93 2 3 2" xfId="64106" xr:uid="{00000000-0005-0000-0000-00006AFA0000}"/>
    <cellStyle name="Total 93 2 3 3" xfId="64107" xr:uid="{00000000-0005-0000-0000-00006BFA0000}"/>
    <cellStyle name="Total 93 2 4" xfId="64108" xr:uid="{00000000-0005-0000-0000-00006CFA0000}"/>
    <cellStyle name="Total 93 2 5" xfId="64109" xr:uid="{00000000-0005-0000-0000-00006DFA0000}"/>
    <cellStyle name="Total 93 3" xfId="64110" xr:uid="{00000000-0005-0000-0000-00006EFA0000}"/>
    <cellStyle name="Total 93 3 2" xfId="64111" xr:uid="{00000000-0005-0000-0000-00006FFA0000}"/>
    <cellStyle name="Total 93 3 3" xfId="64112" xr:uid="{00000000-0005-0000-0000-000070FA0000}"/>
    <cellStyle name="Total 93 4" xfId="64113" xr:uid="{00000000-0005-0000-0000-000071FA0000}"/>
    <cellStyle name="Total 93 5" xfId="64114" xr:uid="{00000000-0005-0000-0000-000072FA0000}"/>
    <cellStyle name="Total 94" xfId="64115" xr:uid="{00000000-0005-0000-0000-000073FA0000}"/>
    <cellStyle name="Total 94 2" xfId="64116" xr:uid="{00000000-0005-0000-0000-000074FA0000}"/>
    <cellStyle name="Total 94 2 2" xfId="64117" xr:uid="{00000000-0005-0000-0000-000075FA0000}"/>
    <cellStyle name="Total 94 2 2 2" xfId="64118" xr:uid="{00000000-0005-0000-0000-000076FA0000}"/>
    <cellStyle name="Total 94 2 3" xfId="64119" xr:uid="{00000000-0005-0000-0000-000077FA0000}"/>
    <cellStyle name="Total 94 2 3 2" xfId="64120" xr:uid="{00000000-0005-0000-0000-000078FA0000}"/>
    <cellStyle name="Total 94 2 3 3" xfId="64121" xr:uid="{00000000-0005-0000-0000-000079FA0000}"/>
    <cellStyle name="Total 94 2 4" xfId="64122" xr:uid="{00000000-0005-0000-0000-00007AFA0000}"/>
    <cellStyle name="Total 94 2 5" xfId="64123" xr:uid="{00000000-0005-0000-0000-00007BFA0000}"/>
    <cellStyle name="Total 94 3" xfId="64124" xr:uid="{00000000-0005-0000-0000-00007CFA0000}"/>
    <cellStyle name="Total 94 3 2" xfId="64125" xr:uid="{00000000-0005-0000-0000-00007DFA0000}"/>
    <cellStyle name="Total 94 3 3" xfId="64126" xr:uid="{00000000-0005-0000-0000-00007EFA0000}"/>
    <cellStyle name="Total 94 4" xfId="64127" xr:uid="{00000000-0005-0000-0000-00007FFA0000}"/>
    <cellStyle name="Total 94 5" xfId="64128" xr:uid="{00000000-0005-0000-0000-000080FA0000}"/>
    <cellStyle name="Total 95" xfId="64129" xr:uid="{00000000-0005-0000-0000-000081FA0000}"/>
    <cellStyle name="Total 95 2" xfId="64130" xr:uid="{00000000-0005-0000-0000-000082FA0000}"/>
    <cellStyle name="Total 95 2 2" xfId="64131" xr:uid="{00000000-0005-0000-0000-000083FA0000}"/>
    <cellStyle name="Total 95 2 2 2" xfId="64132" xr:uid="{00000000-0005-0000-0000-000084FA0000}"/>
    <cellStyle name="Total 95 2 3" xfId="64133" xr:uid="{00000000-0005-0000-0000-000085FA0000}"/>
    <cellStyle name="Total 95 2 3 2" xfId="64134" xr:uid="{00000000-0005-0000-0000-000086FA0000}"/>
    <cellStyle name="Total 95 2 3 3" xfId="64135" xr:uid="{00000000-0005-0000-0000-000087FA0000}"/>
    <cellStyle name="Total 95 2 4" xfId="64136" xr:uid="{00000000-0005-0000-0000-000088FA0000}"/>
    <cellStyle name="Total 95 2 5" xfId="64137" xr:uid="{00000000-0005-0000-0000-000089FA0000}"/>
    <cellStyle name="Total 95 3" xfId="64138" xr:uid="{00000000-0005-0000-0000-00008AFA0000}"/>
    <cellStyle name="Total 95 3 2" xfId="64139" xr:uid="{00000000-0005-0000-0000-00008BFA0000}"/>
    <cellStyle name="Total 95 3 3" xfId="64140" xr:uid="{00000000-0005-0000-0000-00008CFA0000}"/>
    <cellStyle name="Total 95 4" xfId="64141" xr:uid="{00000000-0005-0000-0000-00008DFA0000}"/>
    <cellStyle name="Total 95 5" xfId="64142" xr:uid="{00000000-0005-0000-0000-00008EFA0000}"/>
    <cellStyle name="Total 96" xfId="64143" xr:uid="{00000000-0005-0000-0000-00008FFA0000}"/>
    <cellStyle name="Total 96 2" xfId="64144" xr:uid="{00000000-0005-0000-0000-000090FA0000}"/>
    <cellStyle name="Total 96 2 2" xfId="64145" xr:uid="{00000000-0005-0000-0000-000091FA0000}"/>
    <cellStyle name="Total 96 2 2 2" xfId="64146" xr:uid="{00000000-0005-0000-0000-000092FA0000}"/>
    <cellStyle name="Total 96 2 3" xfId="64147" xr:uid="{00000000-0005-0000-0000-000093FA0000}"/>
    <cellStyle name="Total 96 2 3 2" xfId="64148" xr:uid="{00000000-0005-0000-0000-000094FA0000}"/>
    <cellStyle name="Total 96 2 3 3" xfId="64149" xr:uid="{00000000-0005-0000-0000-000095FA0000}"/>
    <cellStyle name="Total 96 2 4" xfId="64150" xr:uid="{00000000-0005-0000-0000-000096FA0000}"/>
    <cellStyle name="Total 96 2 5" xfId="64151" xr:uid="{00000000-0005-0000-0000-000097FA0000}"/>
    <cellStyle name="Total 96 3" xfId="64152" xr:uid="{00000000-0005-0000-0000-000098FA0000}"/>
    <cellStyle name="Total 96 3 2" xfId="64153" xr:uid="{00000000-0005-0000-0000-000099FA0000}"/>
    <cellStyle name="Total 96 3 3" xfId="64154" xr:uid="{00000000-0005-0000-0000-00009AFA0000}"/>
    <cellStyle name="Total 96 4" xfId="64155" xr:uid="{00000000-0005-0000-0000-00009BFA0000}"/>
    <cellStyle name="Total 96 5" xfId="64156" xr:uid="{00000000-0005-0000-0000-00009CFA0000}"/>
    <cellStyle name="Total 97" xfId="64157" xr:uid="{00000000-0005-0000-0000-00009DFA0000}"/>
    <cellStyle name="Total 97 2" xfId="64158" xr:uid="{00000000-0005-0000-0000-00009EFA0000}"/>
    <cellStyle name="Total 97 2 2" xfId="64159" xr:uid="{00000000-0005-0000-0000-00009FFA0000}"/>
    <cellStyle name="Total 97 2 2 2" xfId="64160" xr:uid="{00000000-0005-0000-0000-0000A0FA0000}"/>
    <cellStyle name="Total 97 2 3" xfId="64161" xr:uid="{00000000-0005-0000-0000-0000A1FA0000}"/>
    <cellStyle name="Total 97 2 3 2" xfId="64162" xr:uid="{00000000-0005-0000-0000-0000A2FA0000}"/>
    <cellStyle name="Total 97 2 3 3" xfId="64163" xr:uid="{00000000-0005-0000-0000-0000A3FA0000}"/>
    <cellStyle name="Total 97 2 4" xfId="64164" xr:uid="{00000000-0005-0000-0000-0000A4FA0000}"/>
    <cellStyle name="Total 97 2 5" xfId="64165" xr:uid="{00000000-0005-0000-0000-0000A5FA0000}"/>
    <cellStyle name="Total 97 3" xfId="64166" xr:uid="{00000000-0005-0000-0000-0000A6FA0000}"/>
    <cellStyle name="Total 97 3 2" xfId="64167" xr:uid="{00000000-0005-0000-0000-0000A7FA0000}"/>
    <cellStyle name="Total 97 3 3" xfId="64168" xr:uid="{00000000-0005-0000-0000-0000A8FA0000}"/>
    <cellStyle name="Total 97 4" xfId="64169" xr:uid="{00000000-0005-0000-0000-0000A9FA0000}"/>
    <cellStyle name="Total 97 5" xfId="64170" xr:uid="{00000000-0005-0000-0000-0000AAFA0000}"/>
    <cellStyle name="Total 98" xfId="64171" xr:uid="{00000000-0005-0000-0000-0000ABFA0000}"/>
    <cellStyle name="Total 98 2" xfId="64172" xr:uid="{00000000-0005-0000-0000-0000ACFA0000}"/>
    <cellStyle name="Total 98 2 2" xfId="64173" xr:uid="{00000000-0005-0000-0000-0000ADFA0000}"/>
    <cellStyle name="Total 98 2 2 2" xfId="64174" xr:uid="{00000000-0005-0000-0000-0000AEFA0000}"/>
    <cellStyle name="Total 98 2 3" xfId="64175" xr:uid="{00000000-0005-0000-0000-0000AFFA0000}"/>
    <cellStyle name="Total 98 2 3 2" xfId="64176" xr:uid="{00000000-0005-0000-0000-0000B0FA0000}"/>
    <cellStyle name="Total 98 2 3 3" xfId="64177" xr:uid="{00000000-0005-0000-0000-0000B1FA0000}"/>
    <cellStyle name="Total 98 2 4" xfId="64178" xr:uid="{00000000-0005-0000-0000-0000B2FA0000}"/>
    <cellStyle name="Total 98 2 5" xfId="64179" xr:uid="{00000000-0005-0000-0000-0000B3FA0000}"/>
    <cellStyle name="Total 98 3" xfId="64180" xr:uid="{00000000-0005-0000-0000-0000B4FA0000}"/>
    <cellStyle name="Total 98 3 2" xfId="64181" xr:uid="{00000000-0005-0000-0000-0000B5FA0000}"/>
    <cellStyle name="Total 98 3 3" xfId="64182" xr:uid="{00000000-0005-0000-0000-0000B6FA0000}"/>
    <cellStyle name="Total 98 4" xfId="64183" xr:uid="{00000000-0005-0000-0000-0000B7FA0000}"/>
    <cellStyle name="Total 98 5" xfId="64184" xr:uid="{00000000-0005-0000-0000-0000B8FA0000}"/>
    <cellStyle name="Total 99" xfId="64185" xr:uid="{00000000-0005-0000-0000-0000B9FA0000}"/>
    <cellStyle name="Total 99 2" xfId="64186" xr:uid="{00000000-0005-0000-0000-0000BAFA0000}"/>
    <cellStyle name="Total 99 2 2" xfId="64187" xr:uid="{00000000-0005-0000-0000-0000BBFA0000}"/>
    <cellStyle name="Total 99 2 2 2" xfId="64188" xr:uid="{00000000-0005-0000-0000-0000BCFA0000}"/>
    <cellStyle name="Total 99 2 3" xfId="64189" xr:uid="{00000000-0005-0000-0000-0000BDFA0000}"/>
    <cellStyle name="Total 99 2 3 2" xfId="64190" xr:uid="{00000000-0005-0000-0000-0000BEFA0000}"/>
    <cellStyle name="Total 99 2 3 3" xfId="64191" xr:uid="{00000000-0005-0000-0000-0000BFFA0000}"/>
    <cellStyle name="Total 99 2 4" xfId="64192" xr:uid="{00000000-0005-0000-0000-0000C0FA0000}"/>
    <cellStyle name="Total 99 2 5" xfId="64193" xr:uid="{00000000-0005-0000-0000-0000C1FA0000}"/>
    <cellStyle name="Total 99 3" xfId="64194" xr:uid="{00000000-0005-0000-0000-0000C2FA0000}"/>
    <cellStyle name="Total 99 3 2" xfId="64195" xr:uid="{00000000-0005-0000-0000-0000C3FA0000}"/>
    <cellStyle name="Total 99 3 3" xfId="64196" xr:uid="{00000000-0005-0000-0000-0000C4FA0000}"/>
    <cellStyle name="Total 99 4" xfId="64197" xr:uid="{00000000-0005-0000-0000-0000C5FA0000}"/>
    <cellStyle name="Total 99 5" xfId="64198" xr:uid="{00000000-0005-0000-0000-0000C6FA0000}"/>
    <cellStyle name="TotalCurrency" xfId="64199" xr:uid="{00000000-0005-0000-0000-0000C7FA0000}"/>
    <cellStyle name="Undefined" xfId="64200" xr:uid="{00000000-0005-0000-0000-0000C8FA0000}"/>
    <cellStyle name="Undefined 2" xfId="64201" xr:uid="{00000000-0005-0000-0000-0000C9FA0000}"/>
    <cellStyle name="Undefined 2 2" xfId="64202" xr:uid="{00000000-0005-0000-0000-0000CAFA0000}"/>
    <cellStyle name="Undefined 3" xfId="64203" xr:uid="{00000000-0005-0000-0000-0000CBFA0000}"/>
    <cellStyle name="Undefiniert" xfId="64204" xr:uid="{00000000-0005-0000-0000-0000CCFA0000}"/>
    <cellStyle name="Undefiniert 2" xfId="64205" xr:uid="{00000000-0005-0000-0000-0000CDFA0000}"/>
    <cellStyle name="Undefiniert 2 2" xfId="64206" xr:uid="{00000000-0005-0000-0000-0000CEFA0000}"/>
    <cellStyle name="Undefiniert 2 2 2" xfId="64207" xr:uid="{00000000-0005-0000-0000-0000CFFA0000}"/>
    <cellStyle name="Undefiniert 2 3" xfId="64208" xr:uid="{00000000-0005-0000-0000-0000D0FA0000}"/>
    <cellStyle name="Undefiniert 3" xfId="64209" xr:uid="{00000000-0005-0000-0000-0000D1FA0000}"/>
    <cellStyle name="Undefiniert 3 2" xfId="64210" xr:uid="{00000000-0005-0000-0000-0000D2FA0000}"/>
    <cellStyle name="Undefiniert 4" xfId="64211" xr:uid="{00000000-0005-0000-0000-0000D3FA0000}"/>
    <cellStyle name="Underline_Single" xfId="64212" xr:uid="{00000000-0005-0000-0000-0000D4FA0000}"/>
    <cellStyle name="UnderMultiple" xfId="64213" xr:uid="{00000000-0005-0000-0000-0000D5FA0000}"/>
    <cellStyle name="UnderMultiple 2" xfId="64214" xr:uid="{00000000-0005-0000-0000-0000D6FA0000}"/>
    <cellStyle name="UnderMultiple 2 2" xfId="64215" xr:uid="{00000000-0005-0000-0000-0000D7FA0000}"/>
    <cellStyle name="UnderMultiple 3" xfId="64216" xr:uid="{00000000-0005-0000-0000-0000D8FA0000}"/>
    <cellStyle name="Undertittle" xfId="64217" xr:uid="{00000000-0005-0000-0000-0000D9FA0000}"/>
    <cellStyle name="Undertittle 2" xfId="64218" xr:uid="{00000000-0005-0000-0000-0000DAFA0000}"/>
    <cellStyle name="Undertittle 2 2" xfId="64219" xr:uid="{00000000-0005-0000-0000-0000DBFA0000}"/>
    <cellStyle name="Undertittle 3" xfId="64220" xr:uid="{00000000-0005-0000-0000-0000DCFA0000}"/>
    <cellStyle name="Upload Only" xfId="64221" xr:uid="{00000000-0005-0000-0000-0000DDFA0000}"/>
    <cellStyle name="Valuta (0)" xfId="64222" xr:uid="{00000000-0005-0000-0000-0000DEFA0000}"/>
    <cellStyle name="Valuta (0) 2" xfId="64223" xr:uid="{00000000-0005-0000-0000-0000DFFA0000}"/>
    <cellStyle name="Valuta [0]_ABBA version 1.4 dd 27-06-2000" xfId="64224" xr:uid="{00000000-0005-0000-0000-0000E0FA0000}"/>
    <cellStyle name="Valuta_ABBA version 1.4 dd 27-06-2000" xfId="64225" xr:uid="{00000000-0005-0000-0000-0000E1FA0000}"/>
    <cellStyle name="VBZ" xfId="64226" xr:uid="{00000000-0005-0000-0000-0000E2FA0000}"/>
    <cellStyle name="VBZ 2" xfId="64227" xr:uid="{00000000-0005-0000-0000-0000E3FA0000}"/>
    <cellStyle name="VBZ 2 2" xfId="64228" xr:uid="{00000000-0005-0000-0000-0000E4FA0000}"/>
    <cellStyle name="VBZ 3" xfId="64229" xr:uid="{00000000-0005-0000-0000-0000E5FA0000}"/>
    <cellStyle name="vera" xfId="64230" xr:uid="{00000000-0005-0000-0000-0000E6FA0000}"/>
    <cellStyle name="vera 2" xfId="64231" xr:uid="{00000000-0005-0000-0000-0000E7FA0000}"/>
    <cellStyle name="Vérification" xfId="64232" xr:uid="{00000000-0005-0000-0000-0000E8FA0000}"/>
    <cellStyle name="Vérification 2" xfId="64233" xr:uid="{00000000-0005-0000-0000-0000E9FA0000}"/>
    <cellStyle name="Vérification 2 2" xfId="64234" xr:uid="{00000000-0005-0000-0000-0000EAFA0000}"/>
    <cellStyle name="Vérification 3" xfId="64235" xr:uid="{00000000-0005-0000-0000-0000EBFA0000}"/>
    <cellStyle name="Vírgula" xfId="1" builtinId="3"/>
    <cellStyle name="Volumes" xfId="64236" xr:uid="{00000000-0005-0000-0000-0000ECFA0000}"/>
    <cellStyle name="Währung [0]_bgtfinformat" xfId="64237" xr:uid="{00000000-0005-0000-0000-0000EDFA0000}"/>
    <cellStyle name="Währung_AG" xfId="64238" xr:uid="{00000000-0005-0000-0000-0000EEFA0000}"/>
    <cellStyle name="Warning Text 10" xfId="64239" xr:uid="{00000000-0005-0000-0000-0000EFFA0000}"/>
    <cellStyle name="Warning Text 10 2" xfId="64240" xr:uid="{00000000-0005-0000-0000-0000F0FA0000}"/>
    <cellStyle name="Warning Text 10 2 2" xfId="64241" xr:uid="{00000000-0005-0000-0000-0000F1FA0000}"/>
    <cellStyle name="Warning Text 10 3" xfId="64242" xr:uid="{00000000-0005-0000-0000-0000F2FA0000}"/>
    <cellStyle name="Warning Text 100" xfId="64243" xr:uid="{00000000-0005-0000-0000-0000F3FA0000}"/>
    <cellStyle name="Warning Text 100 2" xfId="64244" xr:uid="{00000000-0005-0000-0000-0000F4FA0000}"/>
    <cellStyle name="Warning Text 100 2 2" xfId="64245" xr:uid="{00000000-0005-0000-0000-0000F5FA0000}"/>
    <cellStyle name="Warning Text 100 3" xfId="64246" xr:uid="{00000000-0005-0000-0000-0000F6FA0000}"/>
    <cellStyle name="Warning Text 101" xfId="64247" xr:uid="{00000000-0005-0000-0000-0000F7FA0000}"/>
    <cellStyle name="Warning Text 101 2" xfId="64248" xr:uid="{00000000-0005-0000-0000-0000F8FA0000}"/>
    <cellStyle name="Warning Text 101 2 2" xfId="64249" xr:uid="{00000000-0005-0000-0000-0000F9FA0000}"/>
    <cellStyle name="Warning Text 101 3" xfId="64250" xr:uid="{00000000-0005-0000-0000-0000FAFA0000}"/>
    <cellStyle name="Warning Text 102" xfId="64251" xr:uid="{00000000-0005-0000-0000-0000FBFA0000}"/>
    <cellStyle name="Warning Text 102 2" xfId="64252" xr:uid="{00000000-0005-0000-0000-0000FCFA0000}"/>
    <cellStyle name="Warning Text 102 2 2" xfId="64253" xr:uid="{00000000-0005-0000-0000-0000FDFA0000}"/>
    <cellStyle name="Warning Text 102 3" xfId="64254" xr:uid="{00000000-0005-0000-0000-0000FEFA0000}"/>
    <cellStyle name="Warning Text 103" xfId="64255" xr:uid="{00000000-0005-0000-0000-0000FFFA0000}"/>
    <cellStyle name="Warning Text 103 2" xfId="64256" xr:uid="{00000000-0005-0000-0000-000000FB0000}"/>
    <cellStyle name="Warning Text 103 2 2" xfId="64257" xr:uid="{00000000-0005-0000-0000-000001FB0000}"/>
    <cellStyle name="Warning Text 103 3" xfId="64258" xr:uid="{00000000-0005-0000-0000-000002FB0000}"/>
    <cellStyle name="Warning Text 104" xfId="64259" xr:uid="{00000000-0005-0000-0000-000003FB0000}"/>
    <cellStyle name="Warning Text 104 2" xfId="64260" xr:uid="{00000000-0005-0000-0000-000004FB0000}"/>
    <cellStyle name="Warning Text 104 2 2" xfId="64261" xr:uid="{00000000-0005-0000-0000-000005FB0000}"/>
    <cellStyle name="Warning Text 104 3" xfId="64262" xr:uid="{00000000-0005-0000-0000-000006FB0000}"/>
    <cellStyle name="Warning Text 105" xfId="64263" xr:uid="{00000000-0005-0000-0000-000007FB0000}"/>
    <cellStyle name="Warning Text 105 2" xfId="64264" xr:uid="{00000000-0005-0000-0000-000008FB0000}"/>
    <cellStyle name="Warning Text 105 2 2" xfId="64265" xr:uid="{00000000-0005-0000-0000-000009FB0000}"/>
    <cellStyle name="Warning Text 105 3" xfId="64266" xr:uid="{00000000-0005-0000-0000-00000AFB0000}"/>
    <cellStyle name="Warning Text 106" xfId="64267" xr:uid="{00000000-0005-0000-0000-00000BFB0000}"/>
    <cellStyle name="Warning Text 106 2" xfId="64268" xr:uid="{00000000-0005-0000-0000-00000CFB0000}"/>
    <cellStyle name="Warning Text 106 2 2" xfId="64269" xr:uid="{00000000-0005-0000-0000-00000DFB0000}"/>
    <cellStyle name="Warning Text 106 3" xfId="64270" xr:uid="{00000000-0005-0000-0000-00000EFB0000}"/>
    <cellStyle name="Warning Text 107" xfId="64271" xr:uid="{00000000-0005-0000-0000-00000FFB0000}"/>
    <cellStyle name="Warning Text 107 2" xfId="64272" xr:uid="{00000000-0005-0000-0000-000010FB0000}"/>
    <cellStyle name="Warning Text 107 2 2" xfId="64273" xr:uid="{00000000-0005-0000-0000-000011FB0000}"/>
    <cellStyle name="Warning Text 107 3" xfId="64274" xr:uid="{00000000-0005-0000-0000-000012FB0000}"/>
    <cellStyle name="Warning Text 108" xfId="64275" xr:uid="{00000000-0005-0000-0000-000013FB0000}"/>
    <cellStyle name="Warning Text 108 2" xfId="64276" xr:uid="{00000000-0005-0000-0000-000014FB0000}"/>
    <cellStyle name="Warning Text 108 2 2" xfId="64277" xr:uid="{00000000-0005-0000-0000-000015FB0000}"/>
    <cellStyle name="Warning Text 108 3" xfId="64278" xr:uid="{00000000-0005-0000-0000-000016FB0000}"/>
    <cellStyle name="Warning Text 109" xfId="64279" xr:uid="{00000000-0005-0000-0000-000017FB0000}"/>
    <cellStyle name="Warning Text 109 2" xfId="64280" xr:uid="{00000000-0005-0000-0000-000018FB0000}"/>
    <cellStyle name="Warning Text 109 2 2" xfId="64281" xr:uid="{00000000-0005-0000-0000-000019FB0000}"/>
    <cellStyle name="Warning Text 109 3" xfId="64282" xr:uid="{00000000-0005-0000-0000-00001AFB0000}"/>
    <cellStyle name="Warning Text 11" xfId="64283" xr:uid="{00000000-0005-0000-0000-00001BFB0000}"/>
    <cellStyle name="Warning Text 11 2" xfId="64284" xr:uid="{00000000-0005-0000-0000-00001CFB0000}"/>
    <cellStyle name="Warning Text 11 2 2" xfId="64285" xr:uid="{00000000-0005-0000-0000-00001DFB0000}"/>
    <cellStyle name="Warning Text 11 3" xfId="64286" xr:uid="{00000000-0005-0000-0000-00001EFB0000}"/>
    <cellStyle name="Warning Text 110" xfId="64287" xr:uid="{00000000-0005-0000-0000-00001FFB0000}"/>
    <cellStyle name="Warning Text 110 2" xfId="64288" xr:uid="{00000000-0005-0000-0000-000020FB0000}"/>
    <cellStyle name="Warning Text 110 2 2" xfId="64289" xr:uid="{00000000-0005-0000-0000-000021FB0000}"/>
    <cellStyle name="Warning Text 110 3" xfId="64290" xr:uid="{00000000-0005-0000-0000-000022FB0000}"/>
    <cellStyle name="Warning Text 111" xfId="64291" xr:uid="{00000000-0005-0000-0000-000023FB0000}"/>
    <cellStyle name="Warning Text 111 2" xfId="64292" xr:uid="{00000000-0005-0000-0000-000024FB0000}"/>
    <cellStyle name="Warning Text 111 2 2" xfId="64293" xr:uid="{00000000-0005-0000-0000-000025FB0000}"/>
    <cellStyle name="Warning Text 111 3" xfId="64294" xr:uid="{00000000-0005-0000-0000-000026FB0000}"/>
    <cellStyle name="Warning Text 112" xfId="64295" xr:uid="{00000000-0005-0000-0000-000027FB0000}"/>
    <cellStyle name="Warning Text 112 2" xfId="64296" xr:uid="{00000000-0005-0000-0000-000028FB0000}"/>
    <cellStyle name="Warning Text 112 2 2" xfId="64297" xr:uid="{00000000-0005-0000-0000-000029FB0000}"/>
    <cellStyle name="Warning Text 112 3" xfId="64298" xr:uid="{00000000-0005-0000-0000-00002AFB0000}"/>
    <cellStyle name="Warning Text 113" xfId="64299" xr:uid="{00000000-0005-0000-0000-00002BFB0000}"/>
    <cellStyle name="Warning Text 113 2" xfId="64300" xr:uid="{00000000-0005-0000-0000-00002CFB0000}"/>
    <cellStyle name="Warning Text 113 2 2" xfId="64301" xr:uid="{00000000-0005-0000-0000-00002DFB0000}"/>
    <cellStyle name="Warning Text 113 3" xfId="64302" xr:uid="{00000000-0005-0000-0000-00002EFB0000}"/>
    <cellStyle name="Warning Text 114" xfId="64303" xr:uid="{00000000-0005-0000-0000-00002FFB0000}"/>
    <cellStyle name="Warning Text 114 2" xfId="64304" xr:uid="{00000000-0005-0000-0000-000030FB0000}"/>
    <cellStyle name="Warning Text 114 2 2" xfId="64305" xr:uid="{00000000-0005-0000-0000-000031FB0000}"/>
    <cellStyle name="Warning Text 114 3" xfId="64306" xr:uid="{00000000-0005-0000-0000-000032FB0000}"/>
    <cellStyle name="Warning Text 115" xfId="64307" xr:uid="{00000000-0005-0000-0000-000033FB0000}"/>
    <cellStyle name="Warning Text 115 2" xfId="64308" xr:uid="{00000000-0005-0000-0000-000034FB0000}"/>
    <cellStyle name="Warning Text 115 2 2" xfId="64309" xr:uid="{00000000-0005-0000-0000-000035FB0000}"/>
    <cellStyle name="Warning Text 115 3" xfId="64310" xr:uid="{00000000-0005-0000-0000-000036FB0000}"/>
    <cellStyle name="Warning Text 116" xfId="64311" xr:uid="{00000000-0005-0000-0000-000037FB0000}"/>
    <cellStyle name="Warning Text 116 2" xfId="64312" xr:uid="{00000000-0005-0000-0000-000038FB0000}"/>
    <cellStyle name="Warning Text 116 2 2" xfId="64313" xr:uid="{00000000-0005-0000-0000-000039FB0000}"/>
    <cellStyle name="Warning Text 116 3" xfId="64314" xr:uid="{00000000-0005-0000-0000-00003AFB0000}"/>
    <cellStyle name="Warning Text 117" xfId="64315" xr:uid="{00000000-0005-0000-0000-00003BFB0000}"/>
    <cellStyle name="Warning Text 117 2" xfId="64316" xr:uid="{00000000-0005-0000-0000-00003CFB0000}"/>
    <cellStyle name="Warning Text 117 2 2" xfId="64317" xr:uid="{00000000-0005-0000-0000-00003DFB0000}"/>
    <cellStyle name="Warning Text 117 3" xfId="64318" xr:uid="{00000000-0005-0000-0000-00003EFB0000}"/>
    <cellStyle name="Warning Text 118" xfId="64319" xr:uid="{00000000-0005-0000-0000-00003FFB0000}"/>
    <cellStyle name="Warning Text 118 2" xfId="64320" xr:uid="{00000000-0005-0000-0000-000040FB0000}"/>
    <cellStyle name="Warning Text 118 2 2" xfId="64321" xr:uid="{00000000-0005-0000-0000-000041FB0000}"/>
    <cellStyle name="Warning Text 118 3" xfId="64322" xr:uid="{00000000-0005-0000-0000-000042FB0000}"/>
    <cellStyle name="Warning Text 119" xfId="64323" xr:uid="{00000000-0005-0000-0000-000043FB0000}"/>
    <cellStyle name="Warning Text 119 2" xfId="64324" xr:uid="{00000000-0005-0000-0000-000044FB0000}"/>
    <cellStyle name="Warning Text 119 2 2" xfId="64325" xr:uid="{00000000-0005-0000-0000-000045FB0000}"/>
    <cellStyle name="Warning Text 119 3" xfId="64326" xr:uid="{00000000-0005-0000-0000-000046FB0000}"/>
    <cellStyle name="Warning Text 12" xfId="64327" xr:uid="{00000000-0005-0000-0000-000047FB0000}"/>
    <cellStyle name="Warning Text 12 2" xfId="64328" xr:uid="{00000000-0005-0000-0000-000048FB0000}"/>
    <cellStyle name="Warning Text 12 2 2" xfId="64329" xr:uid="{00000000-0005-0000-0000-000049FB0000}"/>
    <cellStyle name="Warning Text 12 3" xfId="64330" xr:uid="{00000000-0005-0000-0000-00004AFB0000}"/>
    <cellStyle name="Warning Text 120" xfId="64331" xr:uid="{00000000-0005-0000-0000-00004BFB0000}"/>
    <cellStyle name="Warning Text 120 2" xfId="64332" xr:uid="{00000000-0005-0000-0000-00004CFB0000}"/>
    <cellStyle name="Warning Text 120 2 2" xfId="64333" xr:uid="{00000000-0005-0000-0000-00004DFB0000}"/>
    <cellStyle name="Warning Text 120 3" xfId="64334" xr:uid="{00000000-0005-0000-0000-00004EFB0000}"/>
    <cellStyle name="Warning Text 121" xfId="64335" xr:uid="{00000000-0005-0000-0000-00004FFB0000}"/>
    <cellStyle name="Warning Text 121 2" xfId="64336" xr:uid="{00000000-0005-0000-0000-000050FB0000}"/>
    <cellStyle name="Warning Text 121 2 2" xfId="64337" xr:uid="{00000000-0005-0000-0000-000051FB0000}"/>
    <cellStyle name="Warning Text 121 3" xfId="64338" xr:uid="{00000000-0005-0000-0000-000052FB0000}"/>
    <cellStyle name="Warning Text 122" xfId="64339" xr:uid="{00000000-0005-0000-0000-000053FB0000}"/>
    <cellStyle name="Warning Text 122 2" xfId="64340" xr:uid="{00000000-0005-0000-0000-000054FB0000}"/>
    <cellStyle name="Warning Text 122 2 2" xfId="64341" xr:uid="{00000000-0005-0000-0000-000055FB0000}"/>
    <cellStyle name="Warning Text 122 3" xfId="64342" xr:uid="{00000000-0005-0000-0000-000056FB0000}"/>
    <cellStyle name="Warning Text 123" xfId="64343" xr:uid="{00000000-0005-0000-0000-000057FB0000}"/>
    <cellStyle name="Warning Text 123 2" xfId="64344" xr:uid="{00000000-0005-0000-0000-000058FB0000}"/>
    <cellStyle name="Warning Text 123 2 2" xfId="64345" xr:uid="{00000000-0005-0000-0000-000059FB0000}"/>
    <cellStyle name="Warning Text 123 3" xfId="64346" xr:uid="{00000000-0005-0000-0000-00005AFB0000}"/>
    <cellStyle name="Warning Text 124" xfId="64347" xr:uid="{00000000-0005-0000-0000-00005BFB0000}"/>
    <cellStyle name="Warning Text 124 2" xfId="64348" xr:uid="{00000000-0005-0000-0000-00005CFB0000}"/>
    <cellStyle name="Warning Text 124 2 2" xfId="64349" xr:uid="{00000000-0005-0000-0000-00005DFB0000}"/>
    <cellStyle name="Warning Text 124 3" xfId="64350" xr:uid="{00000000-0005-0000-0000-00005EFB0000}"/>
    <cellStyle name="Warning Text 125" xfId="64351" xr:uid="{00000000-0005-0000-0000-00005FFB0000}"/>
    <cellStyle name="Warning Text 125 2" xfId="64352" xr:uid="{00000000-0005-0000-0000-000060FB0000}"/>
    <cellStyle name="Warning Text 125 2 2" xfId="64353" xr:uid="{00000000-0005-0000-0000-000061FB0000}"/>
    <cellStyle name="Warning Text 125 3" xfId="64354" xr:uid="{00000000-0005-0000-0000-000062FB0000}"/>
    <cellStyle name="Warning Text 126" xfId="64355" xr:uid="{00000000-0005-0000-0000-000063FB0000}"/>
    <cellStyle name="Warning Text 126 2" xfId="64356" xr:uid="{00000000-0005-0000-0000-000064FB0000}"/>
    <cellStyle name="Warning Text 126 2 2" xfId="64357" xr:uid="{00000000-0005-0000-0000-000065FB0000}"/>
    <cellStyle name="Warning Text 126 3" xfId="64358" xr:uid="{00000000-0005-0000-0000-000066FB0000}"/>
    <cellStyle name="Warning Text 127" xfId="64359" xr:uid="{00000000-0005-0000-0000-000067FB0000}"/>
    <cellStyle name="Warning Text 127 2" xfId="64360" xr:uid="{00000000-0005-0000-0000-000068FB0000}"/>
    <cellStyle name="Warning Text 127 2 2" xfId="64361" xr:uid="{00000000-0005-0000-0000-000069FB0000}"/>
    <cellStyle name="Warning Text 127 3" xfId="64362" xr:uid="{00000000-0005-0000-0000-00006AFB0000}"/>
    <cellStyle name="Warning Text 128" xfId="64363" xr:uid="{00000000-0005-0000-0000-00006BFB0000}"/>
    <cellStyle name="Warning Text 128 2" xfId="64364" xr:uid="{00000000-0005-0000-0000-00006CFB0000}"/>
    <cellStyle name="Warning Text 128 2 2" xfId="64365" xr:uid="{00000000-0005-0000-0000-00006DFB0000}"/>
    <cellStyle name="Warning Text 128 3" xfId="64366" xr:uid="{00000000-0005-0000-0000-00006EFB0000}"/>
    <cellStyle name="Warning Text 129" xfId="64367" xr:uid="{00000000-0005-0000-0000-00006FFB0000}"/>
    <cellStyle name="Warning Text 129 2" xfId="64368" xr:uid="{00000000-0005-0000-0000-000070FB0000}"/>
    <cellStyle name="Warning Text 129 2 2" xfId="64369" xr:uid="{00000000-0005-0000-0000-000071FB0000}"/>
    <cellStyle name="Warning Text 129 3" xfId="64370" xr:uid="{00000000-0005-0000-0000-000072FB0000}"/>
    <cellStyle name="Warning Text 13" xfId="64371" xr:uid="{00000000-0005-0000-0000-000073FB0000}"/>
    <cellStyle name="Warning Text 13 2" xfId="64372" xr:uid="{00000000-0005-0000-0000-000074FB0000}"/>
    <cellStyle name="Warning Text 13 2 2" xfId="64373" xr:uid="{00000000-0005-0000-0000-000075FB0000}"/>
    <cellStyle name="Warning Text 13 3" xfId="64374" xr:uid="{00000000-0005-0000-0000-000076FB0000}"/>
    <cellStyle name="Warning Text 130" xfId="64375" xr:uid="{00000000-0005-0000-0000-000077FB0000}"/>
    <cellStyle name="Warning Text 130 2" xfId="64376" xr:uid="{00000000-0005-0000-0000-000078FB0000}"/>
    <cellStyle name="Warning Text 130 2 2" xfId="64377" xr:uid="{00000000-0005-0000-0000-000079FB0000}"/>
    <cellStyle name="Warning Text 130 3" xfId="64378" xr:uid="{00000000-0005-0000-0000-00007AFB0000}"/>
    <cellStyle name="Warning Text 131" xfId="64379" xr:uid="{00000000-0005-0000-0000-00007BFB0000}"/>
    <cellStyle name="Warning Text 131 2" xfId="64380" xr:uid="{00000000-0005-0000-0000-00007CFB0000}"/>
    <cellStyle name="Warning Text 131 2 2" xfId="64381" xr:uid="{00000000-0005-0000-0000-00007DFB0000}"/>
    <cellStyle name="Warning Text 131 3" xfId="64382" xr:uid="{00000000-0005-0000-0000-00007EFB0000}"/>
    <cellStyle name="Warning Text 132" xfId="64383" xr:uid="{00000000-0005-0000-0000-00007FFB0000}"/>
    <cellStyle name="Warning Text 132 2" xfId="64384" xr:uid="{00000000-0005-0000-0000-000080FB0000}"/>
    <cellStyle name="Warning Text 132 2 2" xfId="64385" xr:uid="{00000000-0005-0000-0000-000081FB0000}"/>
    <cellStyle name="Warning Text 132 3" xfId="64386" xr:uid="{00000000-0005-0000-0000-000082FB0000}"/>
    <cellStyle name="Warning Text 133" xfId="64387" xr:uid="{00000000-0005-0000-0000-000083FB0000}"/>
    <cellStyle name="Warning Text 133 2" xfId="64388" xr:uid="{00000000-0005-0000-0000-000084FB0000}"/>
    <cellStyle name="Warning Text 133 2 2" xfId="64389" xr:uid="{00000000-0005-0000-0000-000085FB0000}"/>
    <cellStyle name="Warning Text 133 3" xfId="64390" xr:uid="{00000000-0005-0000-0000-000086FB0000}"/>
    <cellStyle name="Warning Text 134" xfId="64391" xr:uid="{00000000-0005-0000-0000-000087FB0000}"/>
    <cellStyle name="Warning Text 134 2" xfId="64392" xr:uid="{00000000-0005-0000-0000-000088FB0000}"/>
    <cellStyle name="Warning Text 134 2 2" xfId="64393" xr:uid="{00000000-0005-0000-0000-000089FB0000}"/>
    <cellStyle name="Warning Text 134 3" xfId="64394" xr:uid="{00000000-0005-0000-0000-00008AFB0000}"/>
    <cellStyle name="Warning Text 135" xfId="64395" xr:uid="{00000000-0005-0000-0000-00008BFB0000}"/>
    <cellStyle name="Warning Text 135 2" xfId="64396" xr:uid="{00000000-0005-0000-0000-00008CFB0000}"/>
    <cellStyle name="Warning Text 135 2 2" xfId="64397" xr:uid="{00000000-0005-0000-0000-00008DFB0000}"/>
    <cellStyle name="Warning Text 135 3" xfId="64398" xr:uid="{00000000-0005-0000-0000-00008EFB0000}"/>
    <cellStyle name="Warning Text 136" xfId="64399" xr:uid="{00000000-0005-0000-0000-00008FFB0000}"/>
    <cellStyle name="Warning Text 136 2" xfId="64400" xr:uid="{00000000-0005-0000-0000-000090FB0000}"/>
    <cellStyle name="Warning Text 136 2 2" xfId="64401" xr:uid="{00000000-0005-0000-0000-000091FB0000}"/>
    <cellStyle name="Warning Text 136 3" xfId="64402" xr:uid="{00000000-0005-0000-0000-000092FB0000}"/>
    <cellStyle name="Warning Text 137" xfId="64403" xr:uid="{00000000-0005-0000-0000-000093FB0000}"/>
    <cellStyle name="Warning Text 137 2" xfId="64404" xr:uid="{00000000-0005-0000-0000-000094FB0000}"/>
    <cellStyle name="Warning Text 137 2 2" xfId="64405" xr:uid="{00000000-0005-0000-0000-000095FB0000}"/>
    <cellStyle name="Warning Text 137 3" xfId="64406" xr:uid="{00000000-0005-0000-0000-000096FB0000}"/>
    <cellStyle name="Warning Text 138" xfId="64407" xr:uid="{00000000-0005-0000-0000-000097FB0000}"/>
    <cellStyle name="Warning Text 138 2" xfId="64408" xr:uid="{00000000-0005-0000-0000-000098FB0000}"/>
    <cellStyle name="Warning Text 138 2 2" xfId="64409" xr:uid="{00000000-0005-0000-0000-000099FB0000}"/>
    <cellStyle name="Warning Text 138 3" xfId="64410" xr:uid="{00000000-0005-0000-0000-00009AFB0000}"/>
    <cellStyle name="Warning Text 139" xfId="64411" xr:uid="{00000000-0005-0000-0000-00009BFB0000}"/>
    <cellStyle name="Warning Text 139 2" xfId="64412" xr:uid="{00000000-0005-0000-0000-00009CFB0000}"/>
    <cellStyle name="Warning Text 139 2 2" xfId="64413" xr:uid="{00000000-0005-0000-0000-00009DFB0000}"/>
    <cellStyle name="Warning Text 139 3" xfId="64414" xr:uid="{00000000-0005-0000-0000-00009EFB0000}"/>
    <cellStyle name="Warning Text 14" xfId="64415" xr:uid="{00000000-0005-0000-0000-00009FFB0000}"/>
    <cellStyle name="Warning Text 14 2" xfId="64416" xr:uid="{00000000-0005-0000-0000-0000A0FB0000}"/>
  </cellStyles>
  <dxfs count="1293"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color rgb="FF00B05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57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color rgb="FF00B05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57"/>
      </font>
    </dxf>
    <dxf>
      <font>
        <b/>
        <i val="0"/>
        <condense val="0"/>
        <extend val="0"/>
        <color indexed="10"/>
      </font>
    </dxf>
    <dxf>
      <font>
        <b/>
        <i val="0"/>
        <color rgb="FF00B050"/>
      </font>
      <fill>
        <patternFill patternType="none">
          <bgColor indexed="65"/>
        </patternFill>
      </fill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color rgb="FF00B05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57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color rgb="FF00B05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57"/>
      </font>
    </dxf>
    <dxf>
      <font>
        <b/>
        <i val="0"/>
        <condense val="0"/>
        <extend val="0"/>
        <color indexed="10"/>
      </font>
    </dxf>
    <dxf>
      <font>
        <b/>
        <i val="0"/>
        <color rgb="FF00B050"/>
      </font>
      <fill>
        <patternFill patternType="none">
          <bgColor indexed="65"/>
        </patternFill>
      </fill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color rgb="FF00B05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57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color rgb="FF00B05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57"/>
      </font>
    </dxf>
    <dxf>
      <font>
        <b/>
        <i val="0"/>
        <condense val="0"/>
        <extend val="0"/>
        <color indexed="10"/>
      </font>
    </dxf>
    <dxf>
      <font>
        <b/>
        <i val="0"/>
        <color rgb="FF00B050"/>
      </font>
      <fill>
        <patternFill patternType="none">
          <bgColor indexed="65"/>
        </patternFill>
      </fill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color rgb="FF00B05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57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color rgb="FF00B05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57"/>
      </font>
    </dxf>
    <dxf>
      <font>
        <b/>
        <i val="0"/>
        <condense val="0"/>
        <extend val="0"/>
        <color indexed="10"/>
      </font>
    </dxf>
    <dxf>
      <font>
        <b/>
        <i val="0"/>
        <color rgb="FF00B050"/>
      </font>
      <fill>
        <patternFill patternType="none">
          <bgColor indexed="65"/>
        </patternFill>
      </fill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color rgb="FF00B05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57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color rgb="FF00B05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57"/>
      </font>
    </dxf>
    <dxf>
      <font>
        <b/>
        <i val="0"/>
        <condense val="0"/>
        <extend val="0"/>
        <color indexed="10"/>
      </font>
    </dxf>
    <dxf>
      <font>
        <b/>
        <i val="0"/>
        <color rgb="FF00B050"/>
      </font>
      <fill>
        <patternFill patternType="none">
          <bgColor indexed="65"/>
        </patternFill>
      </fill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color rgb="FF00B05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57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color rgb="FF00B05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57"/>
      </font>
    </dxf>
    <dxf>
      <font>
        <b/>
        <i val="0"/>
        <condense val="0"/>
        <extend val="0"/>
        <color indexed="10"/>
      </font>
    </dxf>
    <dxf>
      <font>
        <b/>
        <i val="0"/>
        <color rgb="FF00B050"/>
      </font>
      <fill>
        <patternFill patternType="none">
          <bgColor indexed="65"/>
        </patternFill>
      </fill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color rgb="FF00B05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57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color rgb="FF00B05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57"/>
      </font>
    </dxf>
    <dxf>
      <font>
        <b/>
        <i val="0"/>
        <condense val="0"/>
        <extend val="0"/>
        <color indexed="10"/>
      </font>
    </dxf>
    <dxf>
      <font>
        <b/>
        <i val="0"/>
        <color rgb="FF00B050"/>
      </font>
      <fill>
        <patternFill patternType="none">
          <bgColor indexed="65"/>
        </patternFill>
      </fill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color rgb="FF00B05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57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color rgb="FF00B05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57"/>
      </font>
    </dxf>
    <dxf>
      <font>
        <b/>
        <i val="0"/>
        <condense val="0"/>
        <extend val="0"/>
        <color indexed="10"/>
      </font>
    </dxf>
    <dxf>
      <font>
        <b/>
        <i val="0"/>
        <color rgb="FF00B050"/>
      </font>
      <fill>
        <patternFill patternType="none">
          <bgColor indexed="65"/>
        </patternFill>
      </fill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color rgb="FF00B05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57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color rgb="FF00B05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57"/>
      </font>
    </dxf>
    <dxf>
      <font>
        <b/>
        <i val="0"/>
        <condense val="0"/>
        <extend val="0"/>
        <color indexed="10"/>
      </font>
    </dxf>
    <dxf>
      <font>
        <b/>
        <i val="0"/>
        <color rgb="FF00B050"/>
      </font>
      <fill>
        <patternFill patternType="none">
          <bgColor indexed="65"/>
        </patternFill>
      </fill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color rgb="FF00B05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57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color rgb="FF00B05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57"/>
      </font>
    </dxf>
    <dxf>
      <font>
        <b/>
        <i val="0"/>
        <condense val="0"/>
        <extend val="0"/>
        <color indexed="10"/>
      </font>
    </dxf>
    <dxf>
      <font>
        <b/>
        <i val="0"/>
        <color rgb="FF00B050"/>
      </font>
      <fill>
        <patternFill patternType="none">
          <bgColor indexed="65"/>
        </patternFill>
      </fill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color rgb="FF00B05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57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color rgb="FF00B05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57"/>
      </font>
    </dxf>
    <dxf>
      <font>
        <b/>
        <i val="0"/>
        <condense val="0"/>
        <extend val="0"/>
        <color indexed="10"/>
      </font>
    </dxf>
    <dxf>
      <font>
        <b/>
        <i val="0"/>
        <color rgb="FF00B050"/>
      </font>
      <fill>
        <patternFill patternType="none">
          <bgColor indexed="65"/>
        </patternFill>
      </fill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color rgb="FF00B05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57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color rgb="FF00B05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57"/>
      </font>
    </dxf>
    <dxf>
      <font>
        <b/>
        <i val="0"/>
        <condense val="0"/>
        <extend val="0"/>
        <color indexed="10"/>
      </font>
    </dxf>
    <dxf>
      <font>
        <b/>
        <i val="0"/>
        <color rgb="FF00B050"/>
      </font>
      <fill>
        <patternFill patternType="none">
          <bgColor indexed="65"/>
        </patternFill>
      </fill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5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color rgb="FF00B05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57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color rgb="FF00B05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57"/>
      </font>
    </dxf>
    <dxf>
      <font>
        <b/>
        <i val="0"/>
        <condense val="0"/>
        <extend val="0"/>
        <color indexed="10"/>
      </font>
    </dxf>
    <dxf>
      <font>
        <b/>
        <i val="0"/>
        <color rgb="FF00B050"/>
      </font>
      <fill>
        <patternFill patternType="none">
          <bgColor indexed="65"/>
        </patternFill>
      </fill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5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6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hartsheet" Target="chartsheets/sheet1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Índice</a:t>
            </a:r>
            <a:r>
              <a:rPr lang="en-US" baseline="0"/>
              <a:t> de água Fábrica</a:t>
            </a:r>
            <a:endParaRPr 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0530432698501521E-2"/>
          <c:y val="7.7743269973879481E-2"/>
          <c:w val="0.82250940853460963"/>
          <c:h val="0.85924519760290063"/>
        </c:manualLayout>
      </c:layout>
      <c:lineChart>
        <c:grouping val="standard"/>
        <c:varyColors val="0"/>
        <c:ser>
          <c:idx val="0"/>
          <c:order val="0"/>
          <c:spPr>
            <a:ln w="47625">
              <a:solidFill>
                <a:srgbClr val="FF0000"/>
              </a:solidFill>
            </a:ln>
          </c:spPr>
          <c:marker>
            <c:symbol val="circle"/>
            <c:size val="4"/>
            <c:spPr>
              <a:solidFill>
                <a:srgbClr val="FF0000"/>
              </a:solidFill>
              <a:ln w="28575">
                <a:solidFill>
                  <a:srgbClr val="FF0000"/>
                </a:solidFill>
              </a:ln>
            </c:spPr>
          </c:marker>
          <c:dLbls>
            <c:dLbl>
              <c:idx val="0"/>
              <c:layout>
                <c:manualLayout>
                  <c:x val="-1.3131313757956594E-2"/>
                  <c:y val="1.46774195412423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ED2-48F4-BED3-91663ABBDEC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/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[1]Acumulado!$B$15:$B$26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ED2-48F4-BED3-91663ABBDEC6}"/>
            </c:ext>
          </c:extLst>
        </c:ser>
        <c:ser>
          <c:idx val="1"/>
          <c:order val="1"/>
          <c:spPr>
            <a:ln w="4762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4"/>
            <c:spPr>
              <a:solidFill>
                <a:schemeClr val="tx2">
                  <a:lumMod val="60000"/>
                  <a:lumOff val="40000"/>
                </a:schemeClr>
              </a:solidFill>
              <a:ln w="28575">
                <a:solidFill>
                  <a:schemeClr val="tx2">
                    <a:lumMod val="60000"/>
                    <a:lumOff val="40000"/>
                  </a:schemeClr>
                </a:solidFill>
              </a:ln>
            </c:spPr>
          </c:marker>
          <c:cat>
            <c:strRef>
              <c:f>[1]Acumulado!$B$15:$B$26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8ED2-48F4-BED3-91663ABBD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0352128"/>
        <c:axId val="370354048"/>
      </c:lineChart>
      <c:catAx>
        <c:axId val="3703521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70354048"/>
        <c:crosses val="autoZero"/>
        <c:auto val="1"/>
        <c:lblAlgn val="ctr"/>
        <c:lblOffset val="100"/>
        <c:noMultiLvlLbl val="0"/>
      </c:catAx>
      <c:valAx>
        <c:axId val="370354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03521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847751810265016E-2"/>
          <c:y val="7.1837069214652119E-2"/>
          <c:w val="0.82748277988690389"/>
          <c:h val="0.61328329285942063"/>
        </c:manualLayout>
      </c:layout>
      <c:lineChart>
        <c:grouping val="standard"/>
        <c:varyColors val="0"/>
        <c:ser>
          <c:idx val="0"/>
          <c:order val="0"/>
          <c:tx>
            <c:strRef>
              <c:f>'Histórico ind.'!$C$9</c:f>
              <c:strCache>
                <c:ptCount val="1"/>
                <c:pt idx="0">
                  <c:v>2009</c:v>
                </c:pt>
              </c:strCache>
            </c:strRef>
          </c:tx>
          <c:spPr>
            <a:ln>
              <a:solidFill>
                <a:schemeClr val="accent3">
                  <a:lumMod val="50000"/>
                </a:schemeClr>
              </a:solidFill>
            </a:ln>
          </c:spPr>
          <c:marker>
            <c:symbol val="none"/>
          </c:marker>
          <c:dLbls>
            <c:dLbl>
              <c:idx val="12"/>
              <c:spPr/>
              <c:txPr>
                <a:bodyPr/>
                <a:lstStyle/>
                <a:p>
                  <a:pPr>
                    <a:defRPr b="1">
                      <a:solidFill>
                        <a:schemeClr val="accent3">
                          <a:lumMod val="50000"/>
                        </a:schemeClr>
                      </a:solidFill>
                    </a:defRPr>
                  </a:pPr>
                  <a:endParaRPr lang="pt-B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F57B-4F52-9772-65FC0E55E5FF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'Histórico ind.'!$B$10:$B$22</c:f>
              <c:strCache>
                <c:ptCount val="13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  <c:pt idx="12">
                  <c:v>Acum</c:v>
                </c:pt>
              </c:strCache>
            </c:strRef>
          </c:cat>
          <c:val>
            <c:numRef>
              <c:f>'Histórico ind.'!$C$10:$C$22</c:f>
              <c:numCache>
                <c:formatCode>0.00</c:formatCode>
                <c:ptCount val="13"/>
                <c:pt idx="6" formatCode="_(* #,##0.00_);_(* \(#,##0.00\);_(* &quot;-&quot;??_);_(@_)">
                  <c:v>11.49431250998761</c:v>
                </c:pt>
                <c:pt idx="7" formatCode="_(* #,##0.00_);_(* \(#,##0.00\);_(* &quot;-&quot;??_);_(@_)">
                  <c:v>7.6701049561882355</c:v>
                </c:pt>
                <c:pt idx="8">
                  <c:v>5.6124725213840856</c:v>
                </c:pt>
                <c:pt idx="9">
                  <c:v>5.133269669632563</c:v>
                </c:pt>
                <c:pt idx="10">
                  <c:v>4.9653514855408831</c:v>
                </c:pt>
                <c:pt idx="11">
                  <c:v>4.0512820265180602</c:v>
                </c:pt>
                <c:pt idx="12">
                  <c:v>5.34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7B-4F52-9772-65FC0E55E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408064"/>
        <c:axId val="370418048"/>
      </c:lineChart>
      <c:catAx>
        <c:axId val="370408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70418048"/>
        <c:crosses val="autoZero"/>
        <c:auto val="1"/>
        <c:lblAlgn val="ctr"/>
        <c:lblOffset val="100"/>
        <c:noMultiLvlLbl val="0"/>
      </c:catAx>
      <c:valAx>
        <c:axId val="370418048"/>
        <c:scaling>
          <c:orientation val="minMax"/>
        </c:scaling>
        <c:delete val="1"/>
        <c:axPos val="l"/>
        <c:numFmt formatCode="0.00" sourceLinked="1"/>
        <c:majorTickMark val="out"/>
        <c:minorTickMark val="none"/>
        <c:tickLblPos val="none"/>
        <c:crossAx val="37040806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3588" footer="0.31496062000003588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915343234667951E-2"/>
          <c:y val="0.34802736078139784"/>
          <c:w val="0.83425267532761249"/>
          <c:h val="0.52520175982490658"/>
        </c:manualLayout>
      </c:layout>
      <c:lineChart>
        <c:grouping val="standard"/>
        <c:varyColors val="0"/>
        <c:ser>
          <c:idx val="0"/>
          <c:order val="0"/>
          <c:tx>
            <c:strRef>
              <c:f>'Histórico ind.'!$D$9</c:f>
              <c:strCache>
                <c:ptCount val="1"/>
                <c:pt idx="0">
                  <c:v>2010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dLbls>
            <c:dLbl>
              <c:idx val="12"/>
              <c:spPr/>
              <c:txPr>
                <a:bodyPr/>
                <a:lstStyle/>
                <a:p>
                  <a:pPr>
                    <a:defRPr b="1">
                      <a:solidFill>
                        <a:schemeClr val="accent6">
                          <a:lumMod val="75000"/>
                        </a:schemeClr>
                      </a:solidFill>
                    </a:defRPr>
                  </a:pPr>
                  <a:endParaRPr lang="pt-B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8B69-4941-94D1-6C3780C85AA2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'Histórico ind.'!$B$10:$B$22</c:f>
              <c:strCache>
                <c:ptCount val="13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  <c:pt idx="12">
                  <c:v>Acum</c:v>
                </c:pt>
              </c:strCache>
            </c:strRef>
          </c:cat>
          <c:val>
            <c:numRef>
              <c:f>'Histórico ind.'!$D$10:$D$22</c:f>
              <c:numCache>
                <c:formatCode>0.00</c:formatCode>
                <c:ptCount val="13"/>
                <c:pt idx="0">
                  <c:v>4.5512899122002679</c:v>
                </c:pt>
                <c:pt idx="1">
                  <c:v>4.8875030782598428</c:v>
                </c:pt>
                <c:pt idx="2">
                  <c:v>4.5424407019910849</c:v>
                </c:pt>
                <c:pt idx="3">
                  <c:v>4.5159612935741222</c:v>
                </c:pt>
                <c:pt idx="4">
                  <c:v>4.7156470693664811</c:v>
                </c:pt>
                <c:pt idx="5">
                  <c:v>3.9342260164008298</c:v>
                </c:pt>
                <c:pt idx="6">
                  <c:v>4.3279062096524497</c:v>
                </c:pt>
                <c:pt idx="7">
                  <c:v>3.9762215405448083</c:v>
                </c:pt>
                <c:pt idx="8">
                  <c:v>3.9805859323203654</c:v>
                </c:pt>
                <c:pt idx="9">
                  <c:v>3.6002749967826078</c:v>
                </c:pt>
                <c:pt idx="10">
                  <c:v>3.8124376118097434</c:v>
                </c:pt>
                <c:pt idx="11">
                  <c:v>3.3675521518134497</c:v>
                </c:pt>
                <c:pt idx="12">
                  <c:v>4.17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69-4941-94D1-6C3780C85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459008"/>
        <c:axId val="370460544"/>
      </c:lineChart>
      <c:catAx>
        <c:axId val="370459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0460544"/>
        <c:crosses val="autoZero"/>
        <c:auto val="1"/>
        <c:lblAlgn val="ctr"/>
        <c:lblOffset val="100"/>
        <c:noMultiLvlLbl val="0"/>
      </c:catAx>
      <c:valAx>
        <c:axId val="370460544"/>
        <c:scaling>
          <c:orientation val="minMax"/>
          <c:max val="6"/>
          <c:min val="2"/>
        </c:scaling>
        <c:delete val="1"/>
        <c:axPos val="l"/>
        <c:numFmt formatCode="0.00" sourceLinked="1"/>
        <c:majorTickMark val="out"/>
        <c:minorTickMark val="none"/>
        <c:tickLblPos val="none"/>
        <c:crossAx val="370459008"/>
        <c:crosses val="autoZero"/>
        <c:crossBetween val="between"/>
      </c:valAx>
      <c:spPr>
        <a:ln>
          <a:noFill/>
        </a:ln>
      </c:spPr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3588" footer="0.31496062000003588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8223531411091598E-2"/>
          <c:y val="0.17756780402450001"/>
          <c:w val="0.81843161691120003"/>
          <c:h val="0.60507009794514865"/>
        </c:manualLayout>
      </c:layout>
      <c:lineChart>
        <c:grouping val="standard"/>
        <c:varyColors val="0"/>
        <c:ser>
          <c:idx val="0"/>
          <c:order val="0"/>
          <c:tx>
            <c:strRef>
              <c:f>'Histórico ind.'!$E$9</c:f>
              <c:strCache>
                <c:ptCount val="1"/>
                <c:pt idx="0">
                  <c:v>2011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dLbls>
            <c:dLbl>
              <c:idx val="12"/>
              <c:layout>
                <c:manualLayout>
                  <c:x val="-2.4633838094050012E-2"/>
                  <c:y val="-0.21806372712453306"/>
                </c:manualLayout>
              </c:layout>
              <c:spPr/>
              <c:txPr>
                <a:bodyPr/>
                <a:lstStyle/>
                <a:p>
                  <a:pPr>
                    <a:defRPr b="1">
                      <a:solidFill>
                        <a:srgbClr val="0070C0"/>
                      </a:solidFill>
                    </a:defRPr>
                  </a:pPr>
                  <a:endParaRPr lang="pt-B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9F8-45C2-8DEF-62222A65A8E8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'Histórico ind.'!$B$10:$B$22</c:f>
              <c:strCache>
                <c:ptCount val="13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  <c:pt idx="12">
                  <c:v>Acum</c:v>
                </c:pt>
              </c:strCache>
            </c:strRef>
          </c:cat>
          <c:val>
            <c:numRef>
              <c:f>'Histórico ind.'!$E$10:$E$22</c:f>
              <c:numCache>
                <c:formatCode>0.00</c:formatCode>
                <c:ptCount val="13"/>
                <c:pt idx="0">
                  <c:v>3.4547046416555891</c:v>
                </c:pt>
                <c:pt idx="1">
                  <c:v>3.762431118827978</c:v>
                </c:pt>
                <c:pt idx="2">
                  <c:v>3.9920669611444932</c:v>
                </c:pt>
                <c:pt idx="3">
                  <c:v>4.4124844374686614</c:v>
                </c:pt>
                <c:pt idx="4">
                  <c:v>4.016129098207454</c:v>
                </c:pt>
                <c:pt idx="5">
                  <c:v>5.5292316926691853</c:v>
                </c:pt>
                <c:pt idx="6">
                  <c:v>4.1802209809892812</c:v>
                </c:pt>
                <c:pt idx="7">
                  <c:v>4.2566620083786288</c:v>
                </c:pt>
                <c:pt idx="8">
                  <c:v>4.0071760723818706</c:v>
                </c:pt>
                <c:pt idx="9">
                  <c:v>4.2925306039639191</c:v>
                </c:pt>
                <c:pt idx="10">
                  <c:v>4.2778598652728714</c:v>
                </c:pt>
                <c:pt idx="11">
                  <c:v>3.5693224902963299</c:v>
                </c:pt>
                <c:pt idx="12">
                  <c:v>4.07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F8-45C2-8DEF-62222A65A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149248"/>
        <c:axId val="370150784"/>
      </c:lineChart>
      <c:catAx>
        <c:axId val="370149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0150784"/>
        <c:crosses val="autoZero"/>
        <c:auto val="1"/>
        <c:lblAlgn val="ctr"/>
        <c:lblOffset val="100"/>
        <c:noMultiLvlLbl val="0"/>
      </c:catAx>
      <c:valAx>
        <c:axId val="370150784"/>
        <c:scaling>
          <c:orientation val="minMax"/>
          <c:min val="2"/>
        </c:scaling>
        <c:delete val="1"/>
        <c:axPos val="l"/>
        <c:numFmt formatCode="0.00" sourceLinked="1"/>
        <c:majorTickMark val="out"/>
        <c:minorTickMark val="none"/>
        <c:tickLblPos val="none"/>
        <c:crossAx val="3701492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3588" footer="0.31496062000003588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976794367339883E-2"/>
          <c:y val="0.14670817310632231"/>
          <c:w val="0.8132856290996"/>
          <c:h val="0.82729658792650917"/>
        </c:manualLayout>
      </c:layout>
      <c:lineChart>
        <c:grouping val="standard"/>
        <c:varyColors val="0"/>
        <c:ser>
          <c:idx val="0"/>
          <c:order val="0"/>
          <c:tx>
            <c:strRef>
              <c:f>'Histórico ind.'!$F$9</c:f>
              <c:strCache>
                <c:ptCount val="1"/>
                <c:pt idx="0">
                  <c:v>2012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dLbls>
            <c:dLbl>
              <c:idx val="12"/>
              <c:layout>
                <c:manualLayout>
                  <c:x val="-1.9894300855747723E-2"/>
                  <c:y val="-0.23608496612342394"/>
                </c:manualLayout>
              </c:layout>
              <c:spPr/>
              <c:txPr>
                <a:bodyPr/>
                <a:lstStyle/>
                <a:p>
                  <a:pPr>
                    <a:defRPr b="1">
                      <a:solidFill>
                        <a:srgbClr val="FF0000"/>
                      </a:solidFill>
                    </a:defRPr>
                  </a:pPr>
                  <a:endParaRPr lang="pt-B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E03-4F60-B89F-3F250AB222F8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'Histórico ind.'!$B$10:$B$22</c:f>
              <c:strCache>
                <c:ptCount val="13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  <c:pt idx="12">
                  <c:v>Acum</c:v>
                </c:pt>
              </c:strCache>
            </c:strRef>
          </c:cat>
          <c:val>
            <c:numRef>
              <c:f>'Histórico ind.'!$F$10:$F$22</c:f>
              <c:numCache>
                <c:formatCode>0.00</c:formatCode>
                <c:ptCount val="13"/>
                <c:pt idx="0">
                  <c:v>3.6967354370574532</c:v>
                </c:pt>
                <c:pt idx="1">
                  <c:v>3.9260696932228294</c:v>
                </c:pt>
                <c:pt idx="2">
                  <c:v>4.6374501052633503</c:v>
                </c:pt>
                <c:pt idx="3">
                  <c:v>4.2982821525111143</c:v>
                </c:pt>
                <c:pt idx="4">
                  <c:v>4.2346200547660295</c:v>
                </c:pt>
                <c:pt idx="5">
                  <c:v>4.7366891567711047</c:v>
                </c:pt>
                <c:pt idx="6">
                  <c:v>4.404611766446445</c:v>
                </c:pt>
                <c:pt idx="7">
                  <c:v>4.2685744573916473</c:v>
                </c:pt>
                <c:pt idx="8">
                  <c:v>4.4020181715046691</c:v>
                </c:pt>
                <c:pt idx="9">
                  <c:v>4.0259740949305742</c:v>
                </c:pt>
                <c:pt idx="10">
                  <c:v>4.0823486628397267</c:v>
                </c:pt>
                <c:pt idx="11">
                  <c:v>4.3092752152846252</c:v>
                </c:pt>
                <c:pt idx="12">
                  <c:v>4.24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03-4F60-B89F-3F250AB22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171264"/>
        <c:axId val="370177152"/>
      </c:lineChart>
      <c:catAx>
        <c:axId val="370171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0177152"/>
        <c:crosses val="autoZero"/>
        <c:auto val="1"/>
        <c:lblAlgn val="ctr"/>
        <c:lblOffset val="100"/>
        <c:noMultiLvlLbl val="0"/>
      </c:catAx>
      <c:valAx>
        <c:axId val="370177152"/>
        <c:scaling>
          <c:orientation val="minMax"/>
          <c:min val="2"/>
        </c:scaling>
        <c:delete val="1"/>
        <c:axPos val="l"/>
        <c:numFmt formatCode="0.00" sourceLinked="1"/>
        <c:majorTickMark val="out"/>
        <c:minorTickMark val="none"/>
        <c:tickLblPos val="none"/>
        <c:crossAx val="3701712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3588" footer="0.31496062000003588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6378883458325012E-2"/>
          <c:y val="0.15662177741800962"/>
          <c:w val="0.81227817745803665"/>
          <c:h val="0.74207177373862065"/>
        </c:manualLayout>
      </c:layout>
      <c:lineChart>
        <c:grouping val="standard"/>
        <c:varyColors val="0"/>
        <c:ser>
          <c:idx val="0"/>
          <c:order val="0"/>
          <c:tx>
            <c:strRef>
              <c:f>'Histórico ind.'!$G$9</c:f>
              <c:strCache>
                <c:ptCount val="1"/>
                <c:pt idx="0">
                  <c:v>2013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dLbls>
            <c:dLbl>
              <c:idx val="9"/>
              <c:layout>
                <c:manualLayout>
                  <c:x val="-3.8843067278462012E-2"/>
                  <c:y val="-0.18208973878265244"/>
                </c:manualLayout>
              </c:layout>
              <c:spPr>
                <a:noFill/>
              </c:spPr>
              <c:txPr>
                <a:bodyPr/>
                <a:lstStyle/>
                <a:p>
                  <a:pPr>
                    <a:defRPr sz="1000"/>
                  </a:pPr>
                  <a:endParaRPr lang="pt-B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5C7-4F8E-8178-EC7DD10978D1}"/>
                </c:ext>
              </c:extLst>
            </c:dLbl>
            <c:dLbl>
              <c:idx val="11"/>
              <c:layout>
                <c:manualLayout>
                  <c:x val="-3.9480345195051642E-2"/>
                  <c:y val="-0.22137022591799987"/>
                </c:manualLayout>
              </c:layout>
              <c:spPr>
                <a:noFill/>
              </c:spPr>
              <c:txPr>
                <a:bodyPr/>
                <a:lstStyle/>
                <a:p>
                  <a:pPr>
                    <a:defRPr sz="1000"/>
                  </a:pPr>
                  <a:endParaRPr lang="pt-B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C7-4F8E-8178-EC7DD10978D1}"/>
                </c:ext>
              </c:extLst>
            </c:dLbl>
            <c:dLbl>
              <c:idx val="12"/>
              <c:layout>
                <c:manualLayout>
                  <c:x val="-3.3059205216930052E-3"/>
                  <c:y val="-1.1105060465572665E-2"/>
                </c:manualLayout>
              </c:layout>
              <c:spPr>
                <a:noFill/>
              </c:spPr>
              <c:txPr>
                <a:bodyPr/>
                <a:lstStyle/>
                <a:p>
                  <a:pPr>
                    <a:defRPr b="1">
                      <a:solidFill>
                        <a:srgbClr val="00B050"/>
                      </a:solidFill>
                    </a:defRPr>
                  </a:pPr>
                  <a:endParaRPr lang="pt-B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5C7-4F8E-8178-EC7DD10978D1}"/>
                </c:ext>
              </c:extLst>
            </c:dLbl>
            <c:spPr>
              <a:noFill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'Histórico ind.'!$B$10:$B$22</c:f>
              <c:strCache>
                <c:ptCount val="13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  <c:pt idx="12">
                  <c:v>Acum</c:v>
                </c:pt>
              </c:strCache>
            </c:strRef>
          </c:cat>
          <c:val>
            <c:numRef>
              <c:f>'Histórico ind.'!$G$10:$G$22</c:f>
              <c:numCache>
                <c:formatCode>0.00</c:formatCode>
                <c:ptCount val="13"/>
                <c:pt idx="0">
                  <c:v>3.9728620060855904</c:v>
                </c:pt>
                <c:pt idx="1">
                  <c:v>3.8082060305110885</c:v>
                </c:pt>
                <c:pt idx="2">
                  <c:v>3.6327242649464822</c:v>
                </c:pt>
                <c:pt idx="3">
                  <c:v>4.0750942094764904</c:v>
                </c:pt>
                <c:pt idx="4">
                  <c:v>4.6681078250807078</c:v>
                </c:pt>
                <c:pt idx="5">
                  <c:v>4.2271004918434034</c:v>
                </c:pt>
                <c:pt idx="6">
                  <c:v>3.9736635219029992</c:v>
                </c:pt>
                <c:pt idx="7">
                  <c:v>3.6553978536877287</c:v>
                </c:pt>
                <c:pt idx="8">
                  <c:v>3.5986215986141739</c:v>
                </c:pt>
                <c:pt idx="9">
                  <c:v>3.35</c:v>
                </c:pt>
                <c:pt idx="10">
                  <c:v>3.49</c:v>
                </c:pt>
                <c:pt idx="11">
                  <c:v>3.32</c:v>
                </c:pt>
                <c:pt idx="12">
                  <c:v>3.77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C7-4F8E-8178-EC7DD1097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546560"/>
        <c:axId val="370548096"/>
      </c:lineChart>
      <c:catAx>
        <c:axId val="370546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0548096"/>
        <c:crosses val="autoZero"/>
        <c:auto val="1"/>
        <c:lblAlgn val="ctr"/>
        <c:lblOffset val="100"/>
        <c:noMultiLvlLbl val="0"/>
      </c:catAx>
      <c:valAx>
        <c:axId val="370548096"/>
        <c:scaling>
          <c:orientation val="minMax"/>
          <c:min val="3"/>
        </c:scaling>
        <c:delete val="1"/>
        <c:axPos val="l"/>
        <c:numFmt formatCode="0.00" sourceLinked="1"/>
        <c:majorTickMark val="out"/>
        <c:minorTickMark val="none"/>
        <c:tickLblPos val="none"/>
        <c:crossAx val="370546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3588" footer="0.31496062000003588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6378883458325012E-2"/>
          <c:y val="0.15662177741800962"/>
          <c:w val="0.81227817745803665"/>
          <c:h val="0.74207177373862065"/>
        </c:manualLayout>
      </c:layout>
      <c:lineChart>
        <c:grouping val="standard"/>
        <c:varyColors val="0"/>
        <c:ser>
          <c:idx val="0"/>
          <c:order val="0"/>
          <c:tx>
            <c:strRef>
              <c:f>'Histórico ind.'!$H$9</c:f>
              <c:strCache>
                <c:ptCount val="1"/>
                <c:pt idx="0">
                  <c:v>2014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dLbls>
            <c:dLbl>
              <c:idx val="1"/>
              <c:layout>
                <c:manualLayout>
                  <c:x val="-4.1121456612801956E-2"/>
                  <c:y val="-0.2006544509039173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54A-49C6-A0AE-4591FC727E5A}"/>
                </c:ext>
              </c:extLst>
            </c:dLbl>
            <c:dLbl>
              <c:idx val="9"/>
              <c:layout>
                <c:manualLayout>
                  <c:x val="-3.8843067278462012E-2"/>
                  <c:y val="-0.18208973878265244"/>
                </c:manualLayout>
              </c:layout>
              <c:spPr>
                <a:noFill/>
              </c:spPr>
              <c:txPr>
                <a:bodyPr/>
                <a:lstStyle/>
                <a:p>
                  <a:pPr>
                    <a:defRPr sz="1000"/>
                  </a:pPr>
                  <a:endParaRPr lang="pt-B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54A-49C6-A0AE-4591FC727E5A}"/>
                </c:ext>
              </c:extLst>
            </c:dLbl>
            <c:dLbl>
              <c:idx val="11"/>
              <c:layout>
                <c:manualLayout>
                  <c:x val="-3.9480345195051642E-2"/>
                  <c:y val="-0.22137022591799987"/>
                </c:manualLayout>
              </c:layout>
              <c:spPr>
                <a:noFill/>
              </c:spPr>
              <c:txPr>
                <a:bodyPr/>
                <a:lstStyle/>
                <a:p>
                  <a:pPr>
                    <a:defRPr sz="1000"/>
                  </a:pPr>
                  <a:endParaRPr lang="pt-B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54A-49C6-A0AE-4591FC727E5A}"/>
                </c:ext>
              </c:extLst>
            </c:dLbl>
            <c:dLbl>
              <c:idx val="12"/>
              <c:layout>
                <c:manualLayout>
                  <c:x val="-3.3059205216930052E-3"/>
                  <c:y val="-1.1105060465572665E-2"/>
                </c:manualLayout>
              </c:layout>
              <c:spPr>
                <a:noFill/>
              </c:spPr>
              <c:txPr>
                <a:bodyPr/>
                <a:lstStyle/>
                <a:p>
                  <a:pPr>
                    <a:defRPr b="1">
                      <a:solidFill>
                        <a:schemeClr val="accent5">
                          <a:lumMod val="75000"/>
                        </a:schemeClr>
                      </a:solidFill>
                    </a:defRPr>
                  </a:pPr>
                  <a:endParaRPr lang="pt-B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54A-49C6-A0AE-4591FC727E5A}"/>
                </c:ext>
              </c:extLst>
            </c:dLbl>
            <c:spPr>
              <a:noFill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'Histórico ind.'!$B$10:$B$22</c:f>
              <c:strCache>
                <c:ptCount val="13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  <c:pt idx="12">
                  <c:v>Acum</c:v>
                </c:pt>
              </c:strCache>
            </c:strRef>
          </c:cat>
          <c:val>
            <c:numRef>
              <c:f>'Histórico ind.'!$H$10:$H$22</c:f>
              <c:numCache>
                <c:formatCode>0.00</c:formatCode>
                <c:ptCount val="13"/>
                <c:pt idx="0">
                  <c:v>3.8810265418720209</c:v>
                </c:pt>
                <c:pt idx="1">
                  <c:v>3.2088435940989202</c:v>
                </c:pt>
                <c:pt idx="2">
                  <c:v>3.582296774405973</c:v>
                </c:pt>
                <c:pt idx="3">
                  <c:v>3.5929838377999279</c:v>
                </c:pt>
                <c:pt idx="4">
                  <c:v>3.4012700096292834</c:v>
                </c:pt>
                <c:pt idx="5">
                  <c:v>3.5674736587290679</c:v>
                </c:pt>
                <c:pt idx="6">
                  <c:v>3.387857237711855</c:v>
                </c:pt>
                <c:pt idx="7">
                  <c:v>3.4446540772612484</c:v>
                </c:pt>
                <c:pt idx="8">
                  <c:v>3.2739442932974989</c:v>
                </c:pt>
                <c:pt idx="9">
                  <c:v>3.3392295506747116</c:v>
                </c:pt>
                <c:pt idx="10">
                  <c:v>3.3333130092242707</c:v>
                </c:pt>
                <c:pt idx="11">
                  <c:v>3.1357159700814341</c:v>
                </c:pt>
                <c:pt idx="12">
                  <c:v>3.4181632323634945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4A-49C6-A0AE-4591FC727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640000"/>
        <c:axId val="370641536"/>
      </c:lineChart>
      <c:catAx>
        <c:axId val="370640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70641536"/>
        <c:crosses val="autoZero"/>
        <c:auto val="1"/>
        <c:lblAlgn val="ctr"/>
        <c:lblOffset val="100"/>
        <c:noMultiLvlLbl val="0"/>
      </c:catAx>
      <c:valAx>
        <c:axId val="370641536"/>
        <c:scaling>
          <c:orientation val="minMax"/>
          <c:min val="3"/>
        </c:scaling>
        <c:delete val="1"/>
        <c:axPos val="l"/>
        <c:numFmt formatCode="0.00" sourceLinked="1"/>
        <c:majorTickMark val="out"/>
        <c:minorTickMark val="none"/>
        <c:tickLblPos val="none"/>
        <c:crossAx val="3706400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3588" footer="0.31496062000003588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0976794367339883E-2"/>
          <c:y val="0.14670817310632242"/>
          <c:w val="0.8132856290996"/>
          <c:h val="0.82729658792650917"/>
        </c:manualLayout>
      </c:layout>
      <c:lineChart>
        <c:grouping val="standard"/>
        <c:varyColors val="0"/>
        <c:ser>
          <c:idx val="0"/>
          <c:order val="0"/>
          <c:tx>
            <c:strRef>
              <c:f>'Histórico ind.'!$I$9</c:f>
              <c:strCache>
                <c:ptCount val="1"/>
                <c:pt idx="0">
                  <c:v>2015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dLbls>
            <c:dLbl>
              <c:idx val="12"/>
              <c:layout>
                <c:manualLayout>
                  <c:x val="-1.9894300855747723E-2"/>
                  <c:y val="-0.23608496612342394"/>
                </c:manualLayout>
              </c:layout>
              <c:spPr/>
              <c:txPr>
                <a:bodyPr/>
                <a:lstStyle/>
                <a:p>
                  <a:pPr>
                    <a:defRPr b="1" strike="noStrike" baseline="0">
                      <a:solidFill>
                        <a:srgbClr val="7030A0"/>
                      </a:solidFill>
                    </a:defRPr>
                  </a:pPr>
                  <a:endParaRPr lang="pt-BR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48A-4ED7-8A0A-D9F9E7161759}"/>
                </c:ext>
              </c:extLst>
            </c:dLbl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'Histórico ind.'!$B$10:$B$22</c:f>
              <c:strCache>
                <c:ptCount val="13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  <c:pt idx="12">
                  <c:v>Acum</c:v>
                </c:pt>
              </c:strCache>
            </c:strRef>
          </c:cat>
          <c:val>
            <c:numRef>
              <c:f>'Histórico ind.'!$I$10:$I$22</c:f>
              <c:numCache>
                <c:formatCode>0.00</c:formatCode>
                <c:ptCount val="13"/>
                <c:pt idx="0">
                  <c:v>3.44</c:v>
                </c:pt>
                <c:pt idx="1">
                  <c:v>3.24</c:v>
                </c:pt>
                <c:pt idx="2">
                  <c:v>3.3</c:v>
                </c:pt>
                <c:pt idx="3">
                  <c:v>3.44</c:v>
                </c:pt>
                <c:pt idx="4">
                  <c:v>3.53</c:v>
                </c:pt>
                <c:pt idx="5">
                  <c:v>3.43</c:v>
                </c:pt>
                <c:pt idx="6">
                  <c:v>3.43</c:v>
                </c:pt>
                <c:pt idx="7">
                  <c:v>3.56</c:v>
                </c:pt>
                <c:pt idx="8">
                  <c:v>3.03</c:v>
                </c:pt>
                <c:pt idx="9">
                  <c:v>3.28</c:v>
                </c:pt>
                <c:pt idx="10">
                  <c:v>3.2</c:v>
                </c:pt>
                <c:pt idx="11">
                  <c:v>3.13</c:v>
                </c:pt>
                <c:pt idx="12">
                  <c:v>3.32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8A-4ED7-8A0A-D9F9E7161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115584"/>
        <c:axId val="380129664"/>
      </c:lineChart>
      <c:catAx>
        <c:axId val="3801155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80129664"/>
        <c:crosses val="autoZero"/>
        <c:auto val="1"/>
        <c:lblAlgn val="ctr"/>
        <c:lblOffset val="100"/>
        <c:noMultiLvlLbl val="0"/>
      </c:catAx>
      <c:valAx>
        <c:axId val="380129664"/>
        <c:scaling>
          <c:orientation val="minMax"/>
          <c:min val="2"/>
        </c:scaling>
        <c:delete val="1"/>
        <c:axPos val="l"/>
        <c:numFmt formatCode="0.00" sourceLinked="1"/>
        <c:majorTickMark val="out"/>
        <c:minorTickMark val="none"/>
        <c:tickLblPos val="none"/>
        <c:crossAx val="3801155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3588" footer="0.31496062000003588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Water KPI - NM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4.4871794871794893E-2"/>
          <c:y val="0.19432888597258677"/>
          <c:w val="0.91762455975054391"/>
          <c:h val="0.5229672606713625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'Redução desde start up'!$B$14</c:f>
              <c:strCache>
                <c:ptCount val="1"/>
                <c:pt idx="0">
                  <c:v>Indice Ano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trendline>
            <c:trendlineType val="linear"/>
            <c:dispRSqr val="0"/>
            <c:dispEq val="0"/>
          </c:trendline>
          <c:trendline>
            <c:trendlineType val="linear"/>
            <c:dispRSqr val="0"/>
            <c:dispEq val="0"/>
          </c:trendline>
          <c:cat>
            <c:numRef>
              <c:f>'Redução desde start up'!$A$15:$A$21</c:f>
              <c:numCache>
                <c:formatCode>0</c:formatCode>
                <c:ptCount val="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 formatCode="General">
                  <c:v>2015</c:v>
                </c:pt>
              </c:numCache>
            </c:numRef>
          </c:cat>
          <c:val>
            <c:numRef>
              <c:f>'Redução desde start up'!$B$15:$B$21</c:f>
              <c:numCache>
                <c:formatCode>General</c:formatCode>
                <c:ptCount val="7"/>
                <c:pt idx="0">
                  <c:v>5.34</c:v>
                </c:pt>
                <c:pt idx="1">
                  <c:v>4.17</c:v>
                </c:pt>
                <c:pt idx="2">
                  <c:v>4.07</c:v>
                </c:pt>
                <c:pt idx="3">
                  <c:v>4.24</c:v>
                </c:pt>
                <c:pt idx="4">
                  <c:v>3.77</c:v>
                </c:pt>
                <c:pt idx="5">
                  <c:v>3.42</c:v>
                </c:pt>
                <c:pt idx="6">
                  <c:v>3.32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6F-4ECF-8DF5-DC1ADC0E0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9"/>
        <c:overlap val="49"/>
        <c:axId val="380150912"/>
        <c:axId val="380152448"/>
      </c:barChart>
      <c:catAx>
        <c:axId val="380150912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txPr>
          <a:bodyPr rot="-1200000"/>
          <a:lstStyle/>
          <a:p>
            <a:pPr>
              <a:defRPr/>
            </a:pPr>
            <a:endParaRPr lang="pt-BR"/>
          </a:p>
        </c:txPr>
        <c:crossAx val="380152448"/>
        <c:crosses val="autoZero"/>
        <c:auto val="1"/>
        <c:lblAlgn val="ctr"/>
        <c:lblOffset val="100"/>
        <c:noMultiLvlLbl val="0"/>
      </c:catAx>
      <c:valAx>
        <c:axId val="38015244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one"/>
        <c:crossAx val="38015091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2638311236736441"/>
          <c:y val="0.90359478749366851"/>
          <c:w val="0.5499558068062006"/>
          <c:h val="7.8792650918667134E-2"/>
        </c:manualLayout>
      </c:layout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3588" footer="0.31496062000003588"/>
    <c:pageSetup/>
  </c:printSettings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400-000000000000}">
  <sheetPr/>
  <sheetViews>
    <sheetView zoomScale="78" workbookViewId="0"/>
  </sheetViews>
  <customSheetViews>
    <customSheetView guid="{CAAAA4EE-AC24-494B-BD01-DBAF6444BECB}" scale="78">
      <pageMargins left="0.7" right="0.7" top="0.75" bottom="0.75" header="0.3" footer="0.3"/>
    </customSheetView>
    <customSheetView guid="{34EDC84D-4B3C-44BF-BB1A-7A0DFA8F65E7}" scale="78">
      <pageMargins left="0.7" right="0.7" top="0.75" bottom="0.75" header="0.3" footer="0.3"/>
    </customSheetView>
  </custom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162</xdr:col>
      <xdr:colOff>0</xdr:colOff>
      <xdr:row>71</xdr:row>
      <xdr:rowOff>0</xdr:rowOff>
    </xdr:from>
    <xdr:to>
      <xdr:col>163</xdr:col>
      <xdr:colOff>455650</xdr:colOff>
      <xdr:row>74</xdr:row>
      <xdr:rowOff>85725</xdr:rowOff>
    </xdr:to>
    <xdr:pic>
      <xdr:nvPicPr>
        <xdr:cNvPr id="2" name="Imagem 1" descr="IMG-20170131-WA0028.jpg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3765469" y="14192250"/>
          <a:ext cx="1170025" cy="6572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163</xdr:col>
      <xdr:colOff>18143</xdr:colOff>
      <xdr:row>70</xdr:row>
      <xdr:rowOff>63501</xdr:rowOff>
    </xdr:from>
    <xdr:to>
      <xdr:col>165</xdr:col>
      <xdr:colOff>72731</xdr:colOff>
      <xdr:row>75</xdr:row>
      <xdr:rowOff>27216</xdr:rowOff>
    </xdr:to>
    <xdr:pic>
      <xdr:nvPicPr>
        <xdr:cNvPr id="2" name="Picture 7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4690868" y="13989051"/>
          <a:ext cx="1483338" cy="916215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12212" y="-24423"/>
    <xdr:ext cx="9671538" cy="6056923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9524</xdr:colOff>
      <xdr:row>51</xdr:row>
      <xdr:rowOff>1076325</xdr:rowOff>
    </xdr:from>
    <xdr:to>
      <xdr:col>22</xdr:col>
      <xdr:colOff>88383</xdr:colOff>
      <xdr:row>51</xdr:row>
      <xdr:rowOff>1962149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20782</xdr:colOff>
      <xdr:row>51</xdr:row>
      <xdr:rowOff>333375</xdr:rowOff>
    </xdr:from>
    <xdr:to>
      <xdr:col>22</xdr:col>
      <xdr:colOff>99641</xdr:colOff>
      <xdr:row>51</xdr:row>
      <xdr:rowOff>1152524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17318</xdr:colOff>
      <xdr:row>49</xdr:row>
      <xdr:rowOff>171449</xdr:rowOff>
    </xdr:from>
    <xdr:to>
      <xdr:col>22</xdr:col>
      <xdr:colOff>99641</xdr:colOff>
      <xdr:row>51</xdr:row>
      <xdr:rowOff>428624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38100</xdr:colOff>
      <xdr:row>45</xdr:row>
      <xdr:rowOff>76201</xdr:rowOff>
    </xdr:from>
    <xdr:to>
      <xdr:col>22</xdr:col>
      <xdr:colOff>120423</xdr:colOff>
      <xdr:row>49</xdr:row>
      <xdr:rowOff>104775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2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26843</xdr:colOff>
      <xdr:row>40</xdr:row>
      <xdr:rowOff>38100</xdr:rowOff>
    </xdr:from>
    <xdr:to>
      <xdr:col>22</xdr:col>
      <xdr:colOff>109166</xdr:colOff>
      <xdr:row>45</xdr:row>
      <xdr:rowOff>104775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2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400050</xdr:colOff>
      <xdr:row>24</xdr:row>
      <xdr:rowOff>28575</xdr:rowOff>
    </xdr:from>
    <xdr:to>
      <xdr:col>21</xdr:col>
      <xdr:colOff>0</xdr:colOff>
      <xdr:row>25</xdr:row>
      <xdr:rowOff>209550</xdr:rowOff>
    </xdr:to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00000000-0008-0000-2500-000007000000}"/>
            </a:ext>
          </a:extLst>
        </xdr:cNvPr>
        <xdr:cNvSpPr txBox="1"/>
      </xdr:nvSpPr>
      <xdr:spPr>
        <a:xfrm>
          <a:off x="7134225" y="4857750"/>
          <a:ext cx="3867150" cy="371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2000"/>
            <a:t>Índice de Água - NM</a:t>
          </a:r>
        </a:p>
      </xdr:txBody>
    </xdr:sp>
    <xdr:clientData/>
  </xdr:twoCellAnchor>
  <xdr:twoCellAnchor>
    <xdr:from>
      <xdr:col>13</xdr:col>
      <xdr:colOff>38100</xdr:colOff>
      <xdr:row>34</xdr:row>
      <xdr:rowOff>142875</xdr:rowOff>
    </xdr:from>
    <xdr:to>
      <xdr:col>22</xdr:col>
      <xdr:colOff>101373</xdr:colOff>
      <xdr:row>40</xdr:row>
      <xdr:rowOff>19050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2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47625</xdr:colOff>
      <xdr:row>28</xdr:row>
      <xdr:rowOff>123825</xdr:rowOff>
    </xdr:from>
    <xdr:to>
      <xdr:col>22</xdr:col>
      <xdr:colOff>129948</xdr:colOff>
      <xdr:row>34</xdr:row>
      <xdr:rowOff>104774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2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10</xdr:row>
      <xdr:rowOff>114300</xdr:rowOff>
    </xdr:from>
    <xdr:to>
      <xdr:col>14</xdr:col>
      <xdr:colOff>180975</xdr:colOff>
      <xdr:row>24</xdr:row>
      <xdr:rowOff>161925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Documents%20and%20Settings\99767994\Application%20Data\Microsoft\Excel\&#193;gua%20&#237;ndice%202013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Avaliação jan"/>
      <sheetName val="Fev"/>
      <sheetName val="Avaliação fev"/>
      <sheetName val="Mar"/>
      <sheetName val="Avaliação Mar"/>
      <sheetName val="Abr"/>
      <sheetName val="Avaliação Abr"/>
      <sheetName val="Mai"/>
      <sheetName val="Avaliação Mai"/>
      <sheetName val="Jun"/>
      <sheetName val="Avaliação Jun"/>
      <sheetName val="Jul"/>
      <sheetName val="Avaliação Jul"/>
      <sheetName val="Ago"/>
      <sheetName val="Avaliação Ago"/>
      <sheetName val="Set"/>
      <sheetName val="Avaliação Set"/>
      <sheetName val="Out"/>
      <sheetName val="Avaliação Out"/>
      <sheetName val="Nov"/>
      <sheetName val="Dez"/>
      <sheetName val="Acumulado"/>
      <sheetName val="Gráfico"/>
      <sheetName val="Gráfico áreas"/>
      <sheetName val="Sheet1"/>
      <sheetName val="Plan1"/>
      <sheetName val="Plan2"/>
      <sheetName val="Plan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14">
          <cell r="BO14" t="str">
            <v>Índice fábrica</v>
          </cell>
        </row>
        <row r="15">
          <cell r="B15" t="str">
            <v>Janeiro</v>
          </cell>
        </row>
        <row r="16">
          <cell r="B16" t="str">
            <v>Fevereiro</v>
          </cell>
        </row>
        <row r="17">
          <cell r="B17" t="str">
            <v>Março</v>
          </cell>
        </row>
        <row r="18">
          <cell r="B18" t="str">
            <v>Abril</v>
          </cell>
        </row>
        <row r="19">
          <cell r="B19" t="str">
            <v>Maio</v>
          </cell>
        </row>
        <row r="20">
          <cell r="B20" t="str">
            <v>Junho</v>
          </cell>
        </row>
        <row r="21">
          <cell r="B21" t="str">
            <v>Julho</v>
          </cell>
        </row>
        <row r="22">
          <cell r="B22" t="str">
            <v>Agosto</v>
          </cell>
        </row>
        <row r="23">
          <cell r="B23" t="str">
            <v>Setembro</v>
          </cell>
        </row>
        <row r="24">
          <cell r="B24" t="str">
            <v>Outubro</v>
          </cell>
        </row>
        <row r="25">
          <cell r="B25" t="str">
            <v>Novembro</v>
          </cell>
        </row>
        <row r="26">
          <cell r="B26" t="str">
            <v>Dezembro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file:///\\acswhf10\..\..\..\Packaging\My%20Documents\Controle%20de%20n&#237;vel%20dos%20tanques%20Eta%20Reuso.xlsx%20-%20Shortcut.lnk" TargetMode="Externa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3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file:///\\acswhf10\..\..\..\@GMT-2017.04.02-01.07.20\MeioAmbiente\ETA\Compartilhado\2017\02.%20Reuso\7.Material%20Rotina\Controle%20de%20n&#237;vel%20dos%20tanques%20Eta%20Reuso.xlsx" TargetMode="External"/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6.bin"/><Relationship Id="rId4" Type="http://schemas.openxmlformats.org/officeDocument/2006/relationships/hyperlink" Target="file:///\\acswhf10\..\..\..\@GMT-2017.04.02-01.07.20\Qualidade\Assepsia\Compartilhado\01.%20Cerveja\12.%20&#205;ndice%20de%20&#193;gua\2017\01.%20DASHBOARD%20&#193;gua%20Processo%20JANEIRO%202017.xls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file:///\\acswhf10\..\..\..\@GMT-2017.04.02-01.07.20\MeioAmbiente\ETA\Compartilhado\2017\02.%20Reuso\7.Material%20Rotina\Controle%20de%20n&#237;vel%20dos%20tanques%20Eta%20Reuso.xlsx" TargetMode="External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Relationship Id="rId6" Type="http://schemas.openxmlformats.org/officeDocument/2006/relationships/comments" Target="../comments2.xml"/><Relationship Id="rId5" Type="http://schemas.openxmlformats.org/officeDocument/2006/relationships/vmlDrawing" Target="../drawings/vmlDrawing2.vml"/><Relationship Id="rId4" Type="http://schemas.openxmlformats.org/officeDocument/2006/relationships/printerSettings" Target="../printerSettings/printerSettings9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file:///\\acswhf10\..\..\..\@GMT-2017.04.02-01.07.20\MeioAmbiente\ETA\Compartilhado\2017\02.%20Reuso\7.Material%20Rotina\Controle%20de%20n&#237;vel%20dos%20tanques%20Eta%20Reuso.xlsx" TargetMode="External"/><Relationship Id="rId2" Type="http://schemas.openxmlformats.org/officeDocument/2006/relationships/printerSettings" Target="../printerSettings/printerSettings11.bin"/><Relationship Id="rId1" Type="http://schemas.openxmlformats.org/officeDocument/2006/relationships/printerSettings" Target="../printerSettings/printerSettings10.bin"/><Relationship Id="rId4" Type="http://schemas.openxmlformats.org/officeDocument/2006/relationships/printerSettings" Target="../printerSettings/printerSettings1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file:///\\acswhf10\..\..\..\Packaging\My%20Documents\Controle%20de%20n&#237;vel%20dos%20tanques%20Eta%20Reuso.xlsx%20-%20Shortcut.lnk" TargetMode="External"/><Relationship Id="rId7" Type="http://schemas.openxmlformats.org/officeDocument/2006/relationships/comments" Target="../comments3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Relationship Id="rId6" Type="http://schemas.openxmlformats.org/officeDocument/2006/relationships/vmlDrawing" Target="../drawings/vmlDrawing3.v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1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file:///\\acswhf10\..\..\..\Packaging\My%20Documents\Controle%20de%20n&#237;vel%20dos%20tanques%20Eta%20Reuso.xlsx%20-%20Shortcut.lnk" TargetMode="External"/><Relationship Id="rId2" Type="http://schemas.openxmlformats.org/officeDocument/2006/relationships/printerSettings" Target="../printerSettings/printerSettings17.bin"/><Relationship Id="rId1" Type="http://schemas.openxmlformats.org/officeDocument/2006/relationships/printerSettings" Target="../printerSettings/printerSettings16.bin"/><Relationship Id="rId6" Type="http://schemas.openxmlformats.org/officeDocument/2006/relationships/comments" Target="../comments4.xml"/><Relationship Id="rId5" Type="http://schemas.openxmlformats.org/officeDocument/2006/relationships/vmlDrawing" Target="../drawings/vmlDrawing4.vml"/><Relationship Id="rId4" Type="http://schemas.openxmlformats.org/officeDocument/2006/relationships/printerSettings" Target="../printerSettings/printerSettings18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file:///\\acswhf10\..\..\..\Packaging\My%20Documents\Controle%20de%20n&#237;vel%20dos%20tanques%20Eta%20Reuso.xlsx%20-%20Shortcut.lnk" TargetMode="External"/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Relationship Id="rId6" Type="http://schemas.openxmlformats.org/officeDocument/2006/relationships/comments" Target="../comments5.xml"/><Relationship Id="rId5" Type="http://schemas.openxmlformats.org/officeDocument/2006/relationships/vmlDrawing" Target="../drawings/vmlDrawing5.vml"/><Relationship Id="rId4" Type="http://schemas.openxmlformats.org/officeDocument/2006/relationships/printerSettings" Target="../printerSettings/printerSettings21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file:///\\acswhf10\..\..\..\Packaging\My%20Documents\Controle%20de%20n&#237;vel%20dos%20tanques%20Eta%20Reuso.xlsx%20-%20Shortcut.lnk" TargetMode="External"/><Relationship Id="rId2" Type="http://schemas.openxmlformats.org/officeDocument/2006/relationships/printerSettings" Target="../printerSettings/printerSettings23.bin"/><Relationship Id="rId1" Type="http://schemas.openxmlformats.org/officeDocument/2006/relationships/printerSettings" Target="../printerSettings/printerSettings22.bin"/><Relationship Id="rId6" Type="http://schemas.openxmlformats.org/officeDocument/2006/relationships/comments" Target="../comments6.xml"/><Relationship Id="rId5" Type="http://schemas.openxmlformats.org/officeDocument/2006/relationships/vmlDrawing" Target="../drawings/vmlDrawing6.vml"/><Relationship Id="rId4" Type="http://schemas.openxmlformats.org/officeDocument/2006/relationships/printerSettings" Target="../printerSettings/printerSettings2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file:///\\acswhf10\..\..\..\Packaging\My%20Documents\Controle%20de%20n&#237;vel%20dos%20tanques%20Eta%20Reuso.xlsx%20-%20Shortcut.lnk" TargetMode="External"/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Relationship Id="rId6" Type="http://schemas.openxmlformats.org/officeDocument/2006/relationships/comments" Target="../comments7.xml"/><Relationship Id="rId5" Type="http://schemas.openxmlformats.org/officeDocument/2006/relationships/vmlDrawing" Target="../drawings/vmlDrawing7.vml"/><Relationship Id="rId4" Type="http://schemas.openxmlformats.org/officeDocument/2006/relationships/printerSettings" Target="../printerSettings/printerSettings2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file:///\\acswhf10\..\..\..\Packaging\My%20Documents\Controle%20de%20n&#237;vel%20dos%20tanques%20Eta%20Reuso.xlsx%20-%20Shortcut.lnk" TargetMode="External"/><Relationship Id="rId2" Type="http://schemas.openxmlformats.org/officeDocument/2006/relationships/printerSettings" Target="../printerSettings/printerSettings29.bin"/><Relationship Id="rId1" Type="http://schemas.openxmlformats.org/officeDocument/2006/relationships/printerSettings" Target="../printerSettings/printerSettings28.bin"/><Relationship Id="rId6" Type="http://schemas.openxmlformats.org/officeDocument/2006/relationships/comments" Target="../comments8.xml"/><Relationship Id="rId5" Type="http://schemas.openxmlformats.org/officeDocument/2006/relationships/vmlDrawing" Target="../drawings/vmlDrawing8.vml"/><Relationship Id="rId4" Type="http://schemas.openxmlformats.org/officeDocument/2006/relationships/printerSettings" Target="../printerSettings/printerSettings3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31.bin"/><Relationship Id="rId1" Type="http://schemas.openxmlformats.org/officeDocument/2006/relationships/hyperlink" Target="file:///\\acswhf10\..\..\..\Packaging\My%20Documents\Controle%20de%20n&#237;vel%20dos%20tanques%20Eta%20Reuso.xlsx%20-%20Shortcut.lnk" TargetMode="External"/><Relationship Id="rId4" Type="http://schemas.openxmlformats.org/officeDocument/2006/relationships/comments" Target="../comments9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32.bin"/><Relationship Id="rId1" Type="http://schemas.openxmlformats.org/officeDocument/2006/relationships/hyperlink" Target="file:///\\acswhf10\..\..\..\Packaging\My%20Documents\Controle%20de%20n&#237;vel%20dos%20tanques%20Eta%20Reuso.xlsx%20-%20Shortcut.lnk" TargetMode="External"/><Relationship Id="rId4" Type="http://schemas.openxmlformats.org/officeDocument/2006/relationships/comments" Target="../comments10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33.bin"/><Relationship Id="rId1" Type="http://schemas.openxmlformats.org/officeDocument/2006/relationships/hyperlink" Target="file:///\\acswhf10\..\..\..\Packaging\My%20Documents\Controle%20de%20n&#237;vel%20dos%20tanques%20Eta%20Reuso.xlsx%20-%20Shortcut.lnk" TargetMode="External"/><Relationship Id="rId4" Type="http://schemas.openxmlformats.org/officeDocument/2006/relationships/comments" Target="../comments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.bin"/><Relationship Id="rId2" Type="http://schemas.openxmlformats.org/officeDocument/2006/relationships/printerSettings" Target="../printerSettings/printerSettings35.bin"/><Relationship Id="rId1" Type="http://schemas.openxmlformats.org/officeDocument/2006/relationships/printerSettings" Target="../printerSettings/printerSettings34.bin"/><Relationship Id="rId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L70"/>
  <sheetViews>
    <sheetView showGridLines="0" zoomScale="80" zoomScaleNormal="80" workbookViewId="0">
      <pane xSplit="3" ySplit="5" topLeftCell="AY6" activePane="bottomRight" state="frozen"/>
      <selection pane="topRight" activeCell="D1" sqref="D1"/>
      <selection pane="bottomLeft" activeCell="A6" sqref="A6"/>
      <selection pane="bottomRight" activeCell="BI23" sqref="BI23"/>
    </sheetView>
  </sheetViews>
  <sheetFormatPr defaultRowHeight="15" outlineLevelCol="2"/>
  <cols>
    <col min="1" max="1" width="0.7109375" style="64" customWidth="1"/>
    <col min="2" max="2" width="6.5703125" style="64" customWidth="1"/>
    <col min="3" max="3" width="6.85546875" style="64" bestFit="1" customWidth="1"/>
    <col min="4" max="4" width="13.85546875" style="64" customWidth="1" outlineLevel="1"/>
    <col min="5" max="5" width="12" style="64" customWidth="1" outlineLevel="1"/>
    <col min="6" max="6" width="10" style="64" customWidth="1" outlineLevel="1"/>
    <col min="7" max="7" width="9.85546875" style="64" customWidth="1" outlineLevel="1"/>
    <col min="8" max="8" width="10.42578125" style="64" customWidth="1" outlineLevel="1"/>
    <col min="9" max="9" width="10.7109375" style="64" customWidth="1" outlineLevel="1"/>
    <col min="10" max="11" width="9.28515625" style="64" customWidth="1" outlineLevel="1"/>
    <col min="12" max="12" width="10.5703125" style="64" customWidth="1" outlineLevel="1"/>
    <col min="13" max="13" width="10.85546875" style="64" customWidth="1" outlineLevel="1"/>
    <col min="14" max="14" width="14.28515625" style="64" customWidth="1" outlineLevel="1"/>
    <col min="15" max="15" width="11" style="64" customWidth="1"/>
    <col min="16" max="16" width="11.85546875" style="64" customWidth="1" outlineLevel="1"/>
    <col min="17" max="17" width="1.42578125" style="64" customWidth="1"/>
    <col min="18" max="18" width="12.28515625" style="64" customWidth="1" outlineLevel="2"/>
    <col min="19" max="19" width="12.85546875" style="64" customWidth="1" outlineLevel="2"/>
    <col min="20" max="20" width="12.5703125" style="64" customWidth="1" outlineLevel="2"/>
    <col min="21" max="21" width="14.140625" style="64" customWidth="1" outlineLevel="2"/>
    <col min="22" max="22" width="9.42578125" style="64" customWidth="1" outlineLevel="2"/>
    <col min="23" max="23" width="10.7109375" style="64" customWidth="1" outlineLevel="2"/>
    <col min="24" max="24" width="11.5703125" style="64" customWidth="1" outlineLevel="2"/>
    <col min="25" max="26" width="10.7109375" style="64" customWidth="1" outlineLevel="2"/>
    <col min="27" max="27" width="11" style="64" customWidth="1" outlineLevel="1"/>
    <col min="28" max="29" width="12" style="64" customWidth="1" outlineLevel="2"/>
    <col min="30" max="31" width="10.85546875" style="64" customWidth="1" outlineLevel="1"/>
    <col min="32" max="32" width="12" style="64" customWidth="1" outlineLevel="2"/>
    <col min="33" max="33" width="8.140625" style="64" customWidth="1" outlineLevel="2"/>
    <col min="34" max="34" width="9.5703125" style="64" customWidth="1" outlineLevel="1"/>
    <col min="35" max="35" width="10.85546875" style="64" customWidth="1" outlineLevel="1"/>
    <col min="36" max="36" width="12" style="64" customWidth="1" outlineLevel="2"/>
    <col min="37" max="37" width="8.140625" style="64" customWidth="1" outlineLevel="2"/>
    <col min="38" max="38" width="9.5703125" style="64" customWidth="1" outlineLevel="1"/>
    <col min="39" max="39" width="10.85546875" style="64" customWidth="1" outlineLevel="1"/>
    <col min="40" max="40" width="9.5703125" style="64" customWidth="1" outlineLevel="2"/>
    <col min="41" max="41" width="9.5703125" style="64" customWidth="1" outlineLevel="1"/>
    <col min="42" max="42" width="9.5703125" style="64" customWidth="1" outlineLevel="2"/>
    <col min="43" max="43" width="9.5703125" style="64" customWidth="1" outlineLevel="1"/>
    <col min="44" max="44" width="11.28515625" style="64" customWidth="1" outlineLevel="2"/>
    <col min="45" max="45" width="9.140625" style="64" customWidth="1" outlineLevel="1"/>
    <col min="46" max="46" width="13.5703125" style="64" customWidth="1" outlineLevel="1"/>
    <col min="47" max="47" width="11.28515625" style="64" customWidth="1" outlineLevel="2"/>
    <col min="48" max="48" width="9.5703125" style="64" customWidth="1" outlineLevel="1"/>
    <col min="49" max="49" width="11.28515625" style="64" customWidth="1" outlineLevel="2"/>
    <col min="50" max="51" width="9.5703125" style="64" customWidth="1" outlineLevel="1"/>
    <col min="52" max="52" width="13.85546875" style="64" customWidth="1" outlineLevel="2"/>
    <col min="53" max="53" width="10.28515625" style="64" customWidth="1" outlineLevel="2"/>
    <col min="54" max="54" width="13.85546875" style="64" customWidth="1" outlineLevel="2"/>
    <col min="55" max="55" width="14.85546875" style="64" customWidth="1" outlineLevel="2"/>
    <col min="56" max="56" width="15.28515625" style="64" customWidth="1" outlineLevel="2"/>
    <col min="57" max="58" width="13.7109375" style="64" customWidth="1" outlineLevel="2"/>
    <col min="59" max="60" width="9.5703125" style="64" customWidth="1" outlineLevel="1"/>
    <col min="61" max="61" width="17" style="64" customWidth="1" outlineLevel="1"/>
    <col min="62" max="62" width="19.140625" style="64" customWidth="1" outlineLevel="1"/>
    <col min="63" max="63" width="2.28515625" style="261" customWidth="1"/>
    <col min="64" max="64" width="19.28515625" style="64" customWidth="1"/>
    <col min="65" max="65" width="14.28515625" style="64" customWidth="1"/>
    <col min="66" max="66" width="0.85546875" style="64" customWidth="1"/>
    <col min="67" max="67" width="12.28515625" style="64" customWidth="1" outlineLevel="2"/>
    <col min="68" max="68" width="12.42578125" style="64" customWidth="1" outlineLevel="2"/>
    <col min="69" max="69" width="12.5703125" style="64" customWidth="1" outlineLevel="2"/>
    <col min="70" max="72" width="9.42578125" style="64" customWidth="1" outlineLevel="2"/>
    <col min="73" max="73" width="21.42578125" style="64" customWidth="1" outlineLevel="1"/>
    <col min="74" max="74" width="12.28515625" style="64" customWidth="1" outlineLevel="2"/>
    <col min="75" max="75" width="12.42578125" style="64" customWidth="1" outlineLevel="2"/>
    <col min="76" max="76" width="12.5703125" style="64" customWidth="1" outlineLevel="2"/>
    <col min="77" max="77" width="9.42578125" style="64" customWidth="1" outlineLevel="2"/>
    <col min="78" max="78" width="13.7109375" style="64" customWidth="1" outlineLevel="1"/>
    <col min="79" max="79" width="0.42578125" style="64" customWidth="1" outlineLevel="1"/>
    <col min="80" max="80" width="11.7109375" style="64" customWidth="1" outlineLevel="2"/>
    <col min="81" max="81" width="9.7109375" style="64" customWidth="1" outlineLevel="1"/>
    <col min="82" max="82" width="11.42578125" style="64" customWidth="1" outlineLevel="1"/>
    <col min="83" max="83" width="12.85546875" style="64" customWidth="1" outlineLevel="1"/>
    <col min="84" max="84" width="13.7109375" style="64" customWidth="1" outlineLevel="2"/>
    <col min="85" max="85" width="11" style="64" customWidth="1" outlineLevel="2"/>
    <col min="86" max="86" width="8.7109375" style="64" customWidth="1" outlineLevel="1"/>
    <col min="87" max="87" width="0.140625" style="64" customWidth="1" outlineLevel="1"/>
    <col min="88" max="89" width="11.7109375" style="64" customWidth="1" outlineLevel="2"/>
    <col min="90" max="90" width="10.28515625" style="64" customWidth="1" outlineLevel="1"/>
    <col min="91" max="91" width="0.5703125" style="64" customWidth="1" outlineLevel="1"/>
    <col min="92" max="93" width="11.7109375" style="64" customWidth="1" outlineLevel="2"/>
    <col min="94" max="94" width="8.7109375" style="64" customWidth="1" outlineLevel="1"/>
    <col min="95" max="95" width="0.28515625" style="64" customWidth="1" outlineLevel="1"/>
    <col min="96" max="96" width="14.42578125" style="64" customWidth="1" outlineLevel="2"/>
    <col min="97" max="97" width="6.7109375" style="64" customWidth="1" outlineLevel="1"/>
    <col min="98" max="98" width="0.28515625" style="64" customWidth="1" outlineLevel="1"/>
    <col min="99" max="99" width="11" style="64" customWidth="1" outlineLevel="2"/>
    <col min="100" max="100" width="7.28515625" style="64" customWidth="1" outlineLevel="1"/>
    <col min="101" max="101" width="0.42578125" style="64" customWidth="1" outlineLevel="1"/>
    <col min="102" max="104" width="8.140625" style="64" customWidth="1" outlineLevel="1"/>
    <col min="105" max="105" width="8.42578125" style="64" customWidth="1" outlineLevel="1"/>
    <col min="106" max="106" width="10.42578125" style="64" customWidth="1" outlineLevel="2"/>
    <col min="107" max="107" width="9.7109375" style="64" customWidth="1" outlineLevel="2"/>
    <col min="108" max="108" width="18.28515625" style="64" customWidth="1" outlineLevel="2"/>
    <col min="109" max="109" width="14.85546875" style="64" customWidth="1" outlineLevel="2"/>
    <col min="110" max="110" width="17" style="64" customWidth="1" outlineLevel="2"/>
    <col min="111" max="111" width="14.85546875" style="64" customWidth="1" outlineLevel="2"/>
    <col min="112" max="112" width="11" style="64" customWidth="1" outlineLevel="1"/>
    <col min="113" max="113" width="0.28515625" style="64" customWidth="1" outlineLevel="1"/>
    <col min="114" max="114" width="9.85546875" style="64" customWidth="1" outlineLevel="1"/>
    <col min="115" max="115" width="0.42578125" style="64" customWidth="1" outlineLevel="1"/>
    <col min="116" max="116" width="9.85546875" style="64" customWidth="1" outlineLevel="1"/>
    <col min="117" max="117" width="0.42578125" style="64" customWidth="1" outlineLevel="1"/>
    <col min="118" max="118" width="13.140625" style="64" customWidth="1" outlineLevel="2"/>
    <col min="119" max="119" width="1.7109375" style="261" customWidth="1"/>
    <col min="120" max="120" width="16.42578125" style="64" customWidth="1"/>
    <col min="121" max="121" width="15.140625" style="64" customWidth="1"/>
    <col min="122" max="122" width="3.42578125" style="64" customWidth="1"/>
    <col min="123" max="123" width="8.42578125" style="64" customWidth="1"/>
    <col min="124" max="124" width="9.140625" style="64" customWidth="1"/>
    <col min="125" max="131" width="15.7109375" style="219" customWidth="1" outlineLevel="1"/>
    <col min="132" max="132" width="15.7109375" style="220" customWidth="1" outlineLevel="1"/>
    <col min="133" max="139" width="15.7109375" style="219" customWidth="1" outlineLevel="1"/>
    <col min="140" max="141" width="15.7109375" style="220" customWidth="1" outlineLevel="1"/>
    <col min="142" max="143" width="15.7109375" style="219" customWidth="1" outlineLevel="1"/>
    <col min="144" max="144" width="15.7109375" style="220" customWidth="1" outlineLevel="1"/>
    <col min="145" max="145" width="15.7109375" style="219" customWidth="1" outlineLevel="1"/>
    <col min="146" max="153" width="15.7109375" style="220" customWidth="1" outlineLevel="1"/>
    <col min="154" max="159" width="15.7109375" style="219" customWidth="1" outlineLevel="1"/>
    <col min="160" max="160" width="20.5703125" style="220" customWidth="1"/>
    <col min="161" max="162" width="11.85546875" style="220" customWidth="1" outlineLevel="1"/>
    <col min="163" max="169" width="10.7109375" style="220" customWidth="1" outlineLevel="1"/>
    <col min="170" max="170" width="15.5703125" style="220" customWidth="1"/>
    <col min="171" max="171" width="20.5703125" style="220" customWidth="1"/>
    <col min="172" max="172" width="77.140625" style="64" customWidth="1"/>
    <col min="173" max="173" width="9.140625" style="9"/>
    <col min="174" max="179" width="9.140625" style="9" hidden="1" customWidth="1"/>
    <col min="180" max="181" width="9.140625" style="9"/>
    <col min="182" max="182" width="12.28515625" style="9" customWidth="1"/>
    <col min="183" max="183" width="12" style="64" customWidth="1"/>
    <col min="184" max="184" width="9.28515625" style="64" bestFit="1" customWidth="1"/>
    <col min="185" max="185" width="9.140625" style="64"/>
    <col min="186" max="187" width="13.5703125" style="64" customWidth="1"/>
    <col min="188" max="188" width="9.7109375" style="64" bestFit="1" customWidth="1"/>
    <col min="189" max="189" width="9.140625" style="64"/>
    <col min="190" max="190" width="10.85546875" style="64" customWidth="1"/>
    <col min="191" max="191" width="15" style="64" customWidth="1"/>
    <col min="192" max="192" width="13.7109375" style="64" customWidth="1"/>
    <col min="193" max="194" width="9.140625" style="10"/>
    <col min="195" max="16384" width="9.140625" style="64"/>
  </cols>
  <sheetData>
    <row r="1" spans="1:194" s="4" customFormat="1">
      <c r="A1" s="1"/>
      <c r="B1" s="2" t="s">
        <v>0</v>
      </c>
      <c r="C1" s="1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AA1" s="5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5"/>
      <c r="AS1" s="5"/>
      <c r="AT1" s="5"/>
      <c r="AU1" s="5"/>
      <c r="AV1" s="6"/>
      <c r="AW1" s="5"/>
      <c r="AX1" s="6"/>
      <c r="AY1" s="6"/>
      <c r="AZ1" s="6"/>
      <c r="BA1" s="6"/>
      <c r="BB1" s="6"/>
      <c r="BD1" s="5"/>
      <c r="BE1" s="5"/>
      <c r="BF1" s="5"/>
      <c r="BG1" s="6"/>
      <c r="BK1" s="7"/>
      <c r="DO1" s="7"/>
      <c r="DU1" s="8"/>
      <c r="DV1" s="8"/>
      <c r="DW1" s="8"/>
      <c r="DX1" s="8"/>
      <c r="DY1" s="8"/>
      <c r="DZ1" s="8"/>
      <c r="EA1" s="8"/>
      <c r="EB1" s="3"/>
      <c r="EC1" s="8"/>
      <c r="ED1" s="8"/>
      <c r="EE1" s="8"/>
      <c r="EF1" s="8"/>
      <c r="EG1" s="8"/>
      <c r="EH1" s="8"/>
      <c r="EI1" s="8"/>
      <c r="EJ1" s="3"/>
      <c r="EK1" s="3"/>
      <c r="EL1" s="8"/>
      <c r="EM1" s="8"/>
      <c r="EN1" s="3"/>
      <c r="EO1" s="8"/>
      <c r="EP1" s="3"/>
      <c r="EQ1" s="3"/>
      <c r="ER1" s="3"/>
      <c r="ES1" s="3"/>
      <c r="ET1" s="3"/>
      <c r="EU1" s="3"/>
      <c r="EV1" s="3"/>
      <c r="EW1" s="3"/>
      <c r="EX1" s="8"/>
      <c r="EY1" s="8"/>
      <c r="EZ1" s="8"/>
      <c r="FA1" s="8"/>
      <c r="FB1" s="8"/>
      <c r="FC1" s="8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Q1" s="9"/>
      <c r="FR1" s="9"/>
      <c r="FS1" s="9"/>
      <c r="FT1" s="9"/>
      <c r="FU1" s="9"/>
      <c r="FV1" s="9"/>
      <c r="FW1" s="9"/>
      <c r="FX1" s="9"/>
      <c r="FY1" s="9"/>
      <c r="FZ1" s="9"/>
      <c r="GK1" s="10"/>
      <c r="GL1" s="10"/>
    </row>
    <row r="2" spans="1:194" s="4" customFormat="1" ht="13.5" customHeight="1">
      <c r="B2" s="11" t="s">
        <v>1</v>
      </c>
      <c r="C2" s="12"/>
      <c r="D2" s="13" t="s">
        <v>2</v>
      </c>
      <c r="E2" s="14"/>
      <c r="F2" s="14"/>
      <c r="G2" s="3"/>
      <c r="H2" s="12"/>
      <c r="I2" s="12"/>
      <c r="J2" s="12"/>
      <c r="K2" s="12"/>
      <c r="L2" s="12"/>
      <c r="M2" s="12"/>
      <c r="N2" s="12"/>
      <c r="R2" s="15"/>
      <c r="S2" s="15"/>
      <c r="T2" s="15"/>
      <c r="U2" s="15"/>
      <c r="V2" s="16"/>
      <c r="W2" s="16"/>
      <c r="X2" s="16"/>
      <c r="Y2" s="16"/>
      <c r="Z2" s="16"/>
      <c r="AA2" s="17"/>
      <c r="AB2" s="17"/>
      <c r="AC2" s="17"/>
      <c r="AD2" s="17"/>
      <c r="AE2" s="17"/>
      <c r="AF2" s="5"/>
      <c r="AG2" s="5"/>
      <c r="AH2" s="5"/>
      <c r="AI2" s="17"/>
      <c r="AJ2" s="5"/>
      <c r="AK2" s="5"/>
      <c r="AL2" s="5"/>
      <c r="AM2" s="17"/>
      <c r="AN2" s="5"/>
      <c r="AO2" s="5"/>
      <c r="AP2" s="5"/>
      <c r="AQ2" s="5"/>
      <c r="AR2" s="17"/>
      <c r="AS2" s="17"/>
      <c r="AT2" s="17"/>
      <c r="AU2" s="17"/>
      <c r="AV2" s="5"/>
      <c r="AW2" s="17"/>
      <c r="AX2" s="5"/>
      <c r="AY2" s="5"/>
      <c r="AZ2" s="5"/>
      <c r="BA2" s="5"/>
      <c r="BB2" s="5"/>
      <c r="BC2" s="6"/>
      <c r="BD2" s="18"/>
      <c r="BE2" s="18"/>
      <c r="BF2" s="18"/>
      <c r="BG2" s="5"/>
      <c r="BH2" s="5"/>
      <c r="BI2" s="19"/>
      <c r="BJ2" s="19"/>
      <c r="BK2" s="20"/>
      <c r="BL2" s="19"/>
      <c r="BM2" s="19"/>
      <c r="BN2" s="19"/>
      <c r="CG2" s="21"/>
      <c r="CK2" s="22"/>
      <c r="CO2" s="22"/>
      <c r="CU2" s="22"/>
      <c r="DO2" s="7"/>
      <c r="DU2" s="8" t="s">
        <v>3</v>
      </c>
      <c r="DV2" s="8"/>
      <c r="DW2" s="8"/>
      <c r="DX2" s="8"/>
      <c r="DY2" s="8"/>
      <c r="DZ2" s="8"/>
      <c r="EA2" s="8"/>
      <c r="EB2" s="3"/>
      <c r="EC2" s="8"/>
      <c r="ED2" s="8"/>
      <c r="EE2" s="8"/>
      <c r="EF2" s="8"/>
      <c r="EG2" s="8"/>
      <c r="EH2" s="8"/>
      <c r="EI2" s="8"/>
      <c r="EJ2" s="9"/>
      <c r="EK2" s="9"/>
      <c r="EL2" s="8"/>
      <c r="EM2" s="8"/>
      <c r="EN2" s="9"/>
      <c r="EO2" s="8"/>
      <c r="EP2" s="9"/>
      <c r="EQ2" s="9"/>
      <c r="ER2" s="9"/>
      <c r="ES2" s="9"/>
      <c r="ET2" s="9"/>
      <c r="EU2" s="9"/>
      <c r="EV2" s="9"/>
      <c r="EW2" s="3"/>
      <c r="EX2" s="8"/>
      <c r="EY2" s="8"/>
      <c r="EZ2" s="8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23"/>
      <c r="FQ2" s="9"/>
      <c r="FR2" s="9"/>
      <c r="GK2" s="10"/>
      <c r="GL2" s="10"/>
    </row>
    <row r="3" spans="1:194" s="4" customFormat="1" ht="30" customHeight="1">
      <c r="D3" s="21"/>
      <c r="E3" s="24"/>
      <c r="F3" s="24"/>
      <c r="G3" s="3"/>
      <c r="H3" s="3"/>
      <c r="I3" s="3"/>
      <c r="J3" s="3"/>
      <c r="K3" s="3"/>
      <c r="L3" s="3"/>
      <c r="M3" s="3"/>
      <c r="N3" s="3"/>
      <c r="P3" s="25"/>
      <c r="R3" s="26"/>
      <c r="S3" s="26"/>
      <c r="T3" s="26"/>
      <c r="U3" s="26"/>
      <c r="V3" s="27"/>
      <c r="W3" s="27"/>
      <c r="X3" s="27"/>
      <c r="Y3" s="27"/>
      <c r="Z3" s="27"/>
      <c r="AA3" s="27"/>
      <c r="AB3" s="27"/>
      <c r="AC3" s="27"/>
      <c r="AD3" s="28"/>
      <c r="AE3" s="28"/>
      <c r="AF3" s="26"/>
      <c r="AG3" s="26"/>
      <c r="AH3" s="28"/>
      <c r="AI3" s="28"/>
      <c r="AJ3" s="26"/>
      <c r="AK3" s="26"/>
      <c r="AL3" s="26"/>
      <c r="AM3" s="28"/>
      <c r="AN3" s="26"/>
      <c r="AO3" s="26"/>
      <c r="AP3" s="26"/>
      <c r="AQ3" s="26"/>
      <c r="AR3" s="27"/>
      <c r="AS3" s="27"/>
      <c r="AT3" s="27"/>
      <c r="AU3" s="27"/>
      <c r="AV3" s="26"/>
      <c r="AW3" s="27"/>
      <c r="AX3" s="26"/>
      <c r="AY3" s="26"/>
      <c r="AZ3" s="26"/>
      <c r="BA3" s="26"/>
      <c r="BB3" s="26"/>
      <c r="BC3" s="29"/>
      <c r="BD3" s="27"/>
      <c r="BE3" s="27"/>
      <c r="BF3" s="27"/>
      <c r="BG3" s="26"/>
      <c r="BH3" s="26"/>
      <c r="BI3" s="30"/>
      <c r="BJ3" s="30"/>
      <c r="BK3" s="31"/>
      <c r="BL3" s="30"/>
      <c r="BM3" s="30"/>
      <c r="BN3" s="30"/>
      <c r="BO3" s="32" t="s">
        <v>4</v>
      </c>
      <c r="DO3" s="7"/>
      <c r="DU3" s="33" t="s">
        <v>5</v>
      </c>
      <c r="DV3" s="34" t="s">
        <v>6</v>
      </c>
      <c r="DW3" s="34" t="s">
        <v>7</v>
      </c>
      <c r="DX3" s="34" t="s">
        <v>8</v>
      </c>
      <c r="DY3" s="34" t="s">
        <v>9</v>
      </c>
      <c r="DZ3" s="34" t="s">
        <v>10</v>
      </c>
      <c r="EA3" s="34" t="s">
        <v>11</v>
      </c>
      <c r="EB3" s="34" t="s">
        <v>12</v>
      </c>
      <c r="EC3" s="34" t="s">
        <v>13</v>
      </c>
      <c r="ED3" s="34" t="s">
        <v>14</v>
      </c>
      <c r="EE3" s="34" t="s">
        <v>15</v>
      </c>
      <c r="EF3" s="34" t="s">
        <v>16</v>
      </c>
      <c r="EG3" s="34" t="s">
        <v>17</v>
      </c>
      <c r="EH3" s="34" t="s">
        <v>18</v>
      </c>
      <c r="EI3" s="34" t="s">
        <v>19</v>
      </c>
      <c r="EJ3" s="34" t="s">
        <v>20</v>
      </c>
      <c r="EK3" s="34" t="s">
        <v>21</v>
      </c>
      <c r="EL3" s="34" t="s">
        <v>22</v>
      </c>
      <c r="EM3" s="34" t="s">
        <v>23</v>
      </c>
      <c r="EN3" s="34" t="s">
        <v>24</v>
      </c>
      <c r="EO3" s="35" t="s">
        <v>25</v>
      </c>
      <c r="EP3" s="35" t="s">
        <v>26</v>
      </c>
      <c r="EQ3" s="34" t="s">
        <v>27</v>
      </c>
      <c r="ER3" s="34" t="s">
        <v>28</v>
      </c>
      <c r="ES3" s="34" t="s">
        <v>29</v>
      </c>
      <c r="ET3" s="34" t="s">
        <v>30</v>
      </c>
      <c r="EU3" s="34" t="s">
        <v>31</v>
      </c>
      <c r="EV3" s="34" t="s">
        <v>32</v>
      </c>
      <c r="EW3" s="34" t="s">
        <v>33</v>
      </c>
      <c r="EX3" s="34" t="s">
        <v>34</v>
      </c>
      <c r="EY3" s="35" t="s">
        <v>35</v>
      </c>
      <c r="EZ3" s="34" t="s">
        <v>36</v>
      </c>
      <c r="FA3" s="35" t="s">
        <v>37</v>
      </c>
      <c r="FB3" s="36" t="s">
        <v>38</v>
      </c>
      <c r="FC3" s="577" t="s">
        <v>39</v>
      </c>
      <c r="FD3" s="37" t="s">
        <v>40</v>
      </c>
      <c r="FE3" s="38" t="s">
        <v>41</v>
      </c>
      <c r="FF3" s="38" t="s">
        <v>42</v>
      </c>
      <c r="FG3" s="38" t="s">
        <v>43</v>
      </c>
      <c r="FH3" s="38" t="s">
        <v>44</v>
      </c>
      <c r="FI3" s="38" t="s">
        <v>45</v>
      </c>
      <c r="FJ3" s="38" t="s">
        <v>46</v>
      </c>
      <c r="FK3" s="38" t="s">
        <v>47</v>
      </c>
      <c r="FL3" s="38" t="s">
        <v>48</v>
      </c>
      <c r="FM3" s="39" t="s">
        <v>49</v>
      </c>
      <c r="FN3" s="38" t="s">
        <v>50</v>
      </c>
      <c r="FO3" s="40" t="s">
        <v>51</v>
      </c>
      <c r="FP3" s="41" t="s">
        <v>52</v>
      </c>
      <c r="FQ3" s="9"/>
      <c r="GK3" s="10"/>
      <c r="GL3" s="10"/>
    </row>
    <row r="4" spans="1:194" s="4" customFormat="1" ht="26.25" customHeight="1">
      <c r="B4" s="579" t="s">
        <v>53</v>
      </c>
      <c r="C4" s="42"/>
      <c r="D4" s="43" t="s">
        <v>54</v>
      </c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2"/>
      <c r="R4" s="45" t="s">
        <v>55</v>
      </c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7"/>
      <c r="BL4" s="48" t="s">
        <v>55</v>
      </c>
      <c r="BM4" s="48"/>
      <c r="BN4" s="47"/>
      <c r="BO4" s="32" t="s">
        <v>56</v>
      </c>
      <c r="BP4" s="32"/>
      <c r="BQ4" s="32"/>
      <c r="BR4" s="32"/>
      <c r="BS4" s="32"/>
      <c r="BT4" s="32"/>
      <c r="BU4" s="32"/>
      <c r="BV4" s="32" t="s">
        <v>57</v>
      </c>
      <c r="BW4" s="32"/>
      <c r="BX4" s="32"/>
      <c r="BY4" s="32"/>
      <c r="BZ4" s="32"/>
      <c r="CA4" s="32"/>
      <c r="CB4" s="32"/>
      <c r="CC4" s="32"/>
      <c r="CD4" s="32"/>
      <c r="CE4" s="32"/>
      <c r="CF4" s="581" t="s">
        <v>56</v>
      </c>
      <c r="CG4" s="581"/>
      <c r="CH4" s="581"/>
      <c r="CI4" s="49"/>
      <c r="CJ4" s="581" t="s">
        <v>56</v>
      </c>
      <c r="CK4" s="581"/>
      <c r="CL4" s="581"/>
      <c r="CM4" s="49"/>
      <c r="CN4" s="581" t="s">
        <v>56</v>
      </c>
      <c r="CO4" s="581"/>
      <c r="CP4" s="581"/>
      <c r="CQ4" s="49"/>
      <c r="CR4" s="581" t="s">
        <v>56</v>
      </c>
      <c r="CS4" s="581"/>
      <c r="CT4" s="581"/>
      <c r="CU4" s="581" t="s">
        <v>56</v>
      </c>
      <c r="CV4" s="581"/>
      <c r="CW4" s="581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50"/>
      <c r="DP4" s="32" t="s">
        <v>58</v>
      </c>
      <c r="DQ4" s="51"/>
      <c r="DR4" s="52"/>
      <c r="DS4" s="53"/>
      <c r="DT4" s="33" t="s">
        <v>53</v>
      </c>
      <c r="DU4" s="34"/>
      <c r="DV4" s="34"/>
      <c r="DW4" s="34"/>
      <c r="DX4" s="34"/>
      <c r="DY4" s="34"/>
      <c r="DZ4" s="34"/>
      <c r="EA4" s="34"/>
      <c r="EB4" s="34"/>
      <c r="EC4" s="34"/>
      <c r="ED4" s="34"/>
      <c r="EE4" s="34"/>
      <c r="EF4" s="34"/>
      <c r="EG4" s="34"/>
      <c r="EH4" s="34"/>
      <c r="EI4" s="34"/>
      <c r="EJ4" s="34"/>
      <c r="EK4" s="34"/>
      <c r="EL4" s="34"/>
      <c r="EM4" s="34"/>
      <c r="EN4" s="34"/>
      <c r="EO4" s="34"/>
      <c r="EP4" s="34"/>
      <c r="EQ4" s="34"/>
      <c r="ER4" s="34"/>
      <c r="ES4" s="34"/>
      <c r="ET4" s="34"/>
      <c r="EU4" s="34"/>
      <c r="EV4" s="34"/>
      <c r="EW4" s="34"/>
      <c r="EX4" s="34"/>
      <c r="EY4" s="34"/>
      <c r="EZ4" s="34"/>
      <c r="FA4" s="34"/>
      <c r="FB4" s="54"/>
      <c r="FC4" s="578"/>
      <c r="FD4" s="55"/>
      <c r="FE4" s="54"/>
      <c r="FF4" s="54"/>
      <c r="FG4" s="54"/>
      <c r="FH4" s="54"/>
      <c r="FI4" s="54"/>
      <c r="FJ4" s="54"/>
      <c r="FK4" s="54"/>
      <c r="FL4" s="54"/>
      <c r="FM4" s="56"/>
      <c r="FN4" s="57"/>
      <c r="FO4" s="58"/>
      <c r="FP4" s="59"/>
      <c r="FZ4" s="60"/>
      <c r="GA4" s="60"/>
      <c r="GB4" s="60"/>
      <c r="GC4" s="60"/>
      <c r="GD4" s="61" t="s">
        <v>59</v>
      </c>
      <c r="GE4" s="61"/>
      <c r="GF4" s="61"/>
      <c r="GG4" s="62"/>
      <c r="GH4" s="34" t="s">
        <v>60</v>
      </c>
      <c r="GI4" s="63" t="s">
        <v>61</v>
      </c>
      <c r="GJ4" s="63"/>
    </row>
    <row r="5" spans="1:194" ht="36" customHeight="1">
      <c r="B5" s="580"/>
      <c r="C5" s="65"/>
      <c r="D5" s="66" t="s">
        <v>62</v>
      </c>
      <c r="E5" s="66" t="s">
        <v>63</v>
      </c>
      <c r="F5" s="66" t="s">
        <v>64</v>
      </c>
      <c r="G5" s="66" t="s">
        <v>65</v>
      </c>
      <c r="H5" s="66" t="s">
        <v>66</v>
      </c>
      <c r="I5" s="66" t="s">
        <v>19</v>
      </c>
      <c r="J5" s="66" t="s">
        <v>20</v>
      </c>
      <c r="K5" s="66" t="s">
        <v>21</v>
      </c>
      <c r="L5" s="67" t="s">
        <v>67</v>
      </c>
      <c r="M5" s="67" t="s">
        <v>68</v>
      </c>
      <c r="N5" s="66" t="s">
        <v>69</v>
      </c>
      <c r="O5" s="66" t="s">
        <v>70</v>
      </c>
      <c r="P5" s="66" t="s">
        <v>71</v>
      </c>
      <c r="Q5" s="65"/>
      <c r="R5" s="66" t="s">
        <v>22</v>
      </c>
      <c r="S5" s="66" t="s">
        <v>72</v>
      </c>
      <c r="T5" s="66" t="s">
        <v>23</v>
      </c>
      <c r="U5" s="68" t="s">
        <v>73</v>
      </c>
      <c r="V5" s="66" t="s">
        <v>74</v>
      </c>
      <c r="W5" s="68" t="s">
        <v>75</v>
      </c>
      <c r="X5" s="66" t="s">
        <v>76</v>
      </c>
      <c r="Y5" s="66" t="s">
        <v>27</v>
      </c>
      <c r="Z5" s="66" t="s">
        <v>28</v>
      </c>
      <c r="AA5" s="67" t="s">
        <v>77</v>
      </c>
      <c r="AB5" s="67" t="s">
        <v>78</v>
      </c>
      <c r="AC5" s="66" t="s">
        <v>6</v>
      </c>
      <c r="AD5" s="67" t="s">
        <v>79</v>
      </c>
      <c r="AE5" s="67" t="s">
        <v>80</v>
      </c>
      <c r="AF5" s="67" t="s">
        <v>8</v>
      </c>
      <c r="AG5" s="66" t="s">
        <v>9</v>
      </c>
      <c r="AH5" s="67" t="s">
        <v>81</v>
      </c>
      <c r="AI5" s="67" t="s">
        <v>82</v>
      </c>
      <c r="AJ5" s="67" t="s">
        <v>11</v>
      </c>
      <c r="AK5" s="66" t="s">
        <v>12</v>
      </c>
      <c r="AL5" s="67" t="s">
        <v>83</v>
      </c>
      <c r="AM5" s="67" t="s">
        <v>84</v>
      </c>
      <c r="AN5" s="66" t="s">
        <v>14</v>
      </c>
      <c r="AO5" s="66" t="s">
        <v>65</v>
      </c>
      <c r="AP5" s="66" t="s">
        <v>17</v>
      </c>
      <c r="AQ5" s="66" t="s">
        <v>66</v>
      </c>
      <c r="AR5" s="67" t="s">
        <v>85</v>
      </c>
      <c r="AS5" s="66" t="s">
        <v>86</v>
      </c>
      <c r="AT5" s="67" t="s">
        <v>87</v>
      </c>
      <c r="AU5" s="67" t="s">
        <v>88</v>
      </c>
      <c r="AV5" s="66">
        <v>561</v>
      </c>
      <c r="AW5" s="67" t="s">
        <v>89</v>
      </c>
      <c r="AX5" s="66">
        <v>562</v>
      </c>
      <c r="AY5" s="66" t="s">
        <v>21</v>
      </c>
      <c r="AZ5" s="66" t="s">
        <v>33</v>
      </c>
      <c r="BA5" s="66" t="s">
        <v>90</v>
      </c>
      <c r="BB5" s="66" t="s">
        <v>34</v>
      </c>
      <c r="BC5" s="67" t="s">
        <v>91</v>
      </c>
      <c r="BD5" s="68" t="s">
        <v>92</v>
      </c>
      <c r="BE5" s="67" t="s">
        <v>93</v>
      </c>
      <c r="BF5" s="67" t="s">
        <v>94</v>
      </c>
      <c r="BG5" s="66" t="s">
        <v>95</v>
      </c>
      <c r="BH5" s="66" t="s">
        <v>96</v>
      </c>
      <c r="BI5" s="66" t="s">
        <v>97</v>
      </c>
      <c r="BJ5" s="66" t="s">
        <v>98</v>
      </c>
      <c r="BK5" s="69"/>
      <c r="BL5" s="66" t="s">
        <v>99</v>
      </c>
      <c r="BM5" s="70" t="s">
        <v>71</v>
      </c>
      <c r="BN5" s="69"/>
      <c r="BO5" s="67" t="s">
        <v>22</v>
      </c>
      <c r="BP5" s="67" t="s">
        <v>100</v>
      </c>
      <c r="BQ5" s="67" t="s">
        <v>23</v>
      </c>
      <c r="BR5" s="67" t="s">
        <v>74</v>
      </c>
      <c r="BS5" s="67" t="s">
        <v>27</v>
      </c>
      <c r="BT5" s="67" t="s">
        <v>28</v>
      </c>
      <c r="BU5" s="67" t="s">
        <v>101</v>
      </c>
      <c r="BV5" s="67" t="s">
        <v>22</v>
      </c>
      <c r="BW5" s="67" t="s">
        <v>100</v>
      </c>
      <c r="BX5" s="67" t="s">
        <v>23</v>
      </c>
      <c r="BY5" s="67" t="s">
        <v>74</v>
      </c>
      <c r="BZ5" s="67" t="s">
        <v>102</v>
      </c>
      <c r="CA5" s="71" t="s">
        <v>1</v>
      </c>
      <c r="CB5" s="66" t="s">
        <v>103</v>
      </c>
      <c r="CC5" s="66" t="s">
        <v>86</v>
      </c>
      <c r="CD5" s="67" t="s">
        <v>104</v>
      </c>
      <c r="CE5" s="67" t="s">
        <v>105</v>
      </c>
      <c r="CF5" s="66" t="s">
        <v>78</v>
      </c>
      <c r="CG5" s="66" t="s">
        <v>6</v>
      </c>
      <c r="CH5" s="67" t="s">
        <v>106</v>
      </c>
      <c r="CI5" s="71" t="s">
        <v>1</v>
      </c>
      <c r="CJ5" s="66" t="s">
        <v>8</v>
      </c>
      <c r="CK5" s="66" t="s">
        <v>9</v>
      </c>
      <c r="CL5" s="67" t="s">
        <v>107</v>
      </c>
      <c r="CM5" s="71" t="s">
        <v>1</v>
      </c>
      <c r="CN5" s="66" t="s">
        <v>11</v>
      </c>
      <c r="CO5" s="66" t="s">
        <v>12</v>
      </c>
      <c r="CP5" s="66" t="s">
        <v>108</v>
      </c>
      <c r="CQ5" s="71" t="s">
        <v>1</v>
      </c>
      <c r="CR5" s="66" t="s">
        <v>109</v>
      </c>
      <c r="CS5" s="66" t="s">
        <v>65</v>
      </c>
      <c r="CT5" s="71" t="s">
        <v>1</v>
      </c>
      <c r="CU5" s="66" t="s">
        <v>17</v>
      </c>
      <c r="CV5" s="66" t="s">
        <v>66</v>
      </c>
      <c r="CW5" s="71" t="s">
        <v>1</v>
      </c>
      <c r="CX5" s="67" t="s">
        <v>110</v>
      </c>
      <c r="CY5" s="66" t="s">
        <v>19</v>
      </c>
      <c r="CZ5" s="67" t="s">
        <v>111</v>
      </c>
      <c r="DA5" s="66" t="s">
        <v>112</v>
      </c>
      <c r="DB5" s="66" t="s">
        <v>33</v>
      </c>
      <c r="DC5" s="66" t="s">
        <v>34</v>
      </c>
      <c r="DD5" s="66" t="s">
        <v>91</v>
      </c>
      <c r="DE5" s="66" t="s">
        <v>92</v>
      </c>
      <c r="DF5" s="66" t="s">
        <v>113</v>
      </c>
      <c r="DG5" s="66" t="s">
        <v>114</v>
      </c>
      <c r="DH5" s="67" t="s">
        <v>115</v>
      </c>
      <c r="DI5" s="71" t="s">
        <v>1</v>
      </c>
      <c r="DJ5" s="66" t="s">
        <v>96</v>
      </c>
      <c r="DK5" s="71" t="s">
        <v>1</v>
      </c>
      <c r="DL5" s="66" t="s">
        <v>97</v>
      </c>
      <c r="DM5" s="71" t="s">
        <v>1</v>
      </c>
      <c r="DN5" s="67" t="s">
        <v>98</v>
      </c>
      <c r="DO5" s="69"/>
      <c r="DP5" s="66" t="s">
        <v>116</v>
      </c>
      <c r="DQ5" s="72" t="s">
        <v>71</v>
      </c>
      <c r="DR5" s="73" t="s">
        <v>1</v>
      </c>
      <c r="DS5" s="74"/>
      <c r="DT5" s="75"/>
      <c r="DU5" s="76">
        <v>617698</v>
      </c>
      <c r="DV5" s="76">
        <v>24518</v>
      </c>
      <c r="DW5" s="76">
        <v>5113489</v>
      </c>
      <c r="DX5" s="76">
        <v>109478</v>
      </c>
      <c r="DY5" s="76">
        <v>82508</v>
      </c>
      <c r="DZ5" s="76">
        <v>378052</v>
      </c>
      <c r="EA5" s="77">
        <v>221273</v>
      </c>
      <c r="EB5" s="77">
        <v>51736</v>
      </c>
      <c r="EC5" s="77">
        <v>388147</v>
      </c>
      <c r="ED5" s="76">
        <v>45663</v>
      </c>
      <c r="EE5" s="77">
        <v>37461</v>
      </c>
      <c r="EF5" s="77">
        <v>39679</v>
      </c>
      <c r="EG5" s="76">
        <v>90104</v>
      </c>
      <c r="EH5" s="76">
        <v>177807</v>
      </c>
      <c r="EI5" s="76">
        <v>30644</v>
      </c>
      <c r="EJ5" s="77">
        <v>38839</v>
      </c>
      <c r="EK5" s="77"/>
      <c r="EL5" s="76">
        <v>687696</v>
      </c>
      <c r="EM5" s="76">
        <v>4059</v>
      </c>
      <c r="EN5" s="77">
        <v>41665</v>
      </c>
      <c r="EO5" s="76">
        <v>2925825</v>
      </c>
      <c r="EP5" s="77">
        <v>2917698</v>
      </c>
      <c r="EQ5" s="77">
        <v>0</v>
      </c>
      <c r="ER5" s="77">
        <v>1610</v>
      </c>
      <c r="ES5" s="77">
        <v>316500</v>
      </c>
      <c r="ET5" s="77">
        <v>5645936</v>
      </c>
      <c r="EU5" s="77">
        <v>398376</v>
      </c>
      <c r="EV5" s="77">
        <v>123140</v>
      </c>
      <c r="EW5" s="77">
        <v>89351</v>
      </c>
      <c r="EX5" s="76">
        <v>202319</v>
      </c>
      <c r="EY5" s="76">
        <v>1599021</v>
      </c>
      <c r="EZ5" s="76">
        <v>736167</v>
      </c>
      <c r="FA5" s="76">
        <v>732958</v>
      </c>
      <c r="FB5" s="77">
        <v>29846</v>
      </c>
      <c r="FC5" s="76">
        <v>6267</v>
      </c>
      <c r="FD5" s="78">
        <v>2337</v>
      </c>
      <c r="FE5" s="77"/>
      <c r="FF5" s="79"/>
      <c r="FG5" s="79"/>
      <c r="FH5" s="77"/>
      <c r="FI5" s="79"/>
      <c r="FJ5" s="77"/>
      <c r="FK5" s="79"/>
      <c r="FL5" s="79"/>
      <c r="FM5" s="79"/>
      <c r="FN5" s="80">
        <v>0</v>
      </c>
      <c r="FO5" s="77">
        <v>992693</v>
      </c>
      <c r="FP5" s="81"/>
      <c r="FQ5" s="64"/>
      <c r="FR5" s="64"/>
      <c r="FS5" s="64"/>
      <c r="FT5" s="64"/>
      <c r="FU5" s="64"/>
      <c r="FV5" s="64"/>
      <c r="FW5" s="64"/>
      <c r="FX5" s="64"/>
      <c r="FY5" s="64"/>
      <c r="FZ5" s="82" t="s">
        <v>117</v>
      </c>
      <c r="GA5" s="82" t="s">
        <v>118</v>
      </c>
      <c r="GB5" s="82" t="s">
        <v>119</v>
      </c>
      <c r="GC5" s="70" t="s">
        <v>120</v>
      </c>
      <c r="GD5" s="70" t="s">
        <v>121</v>
      </c>
      <c r="GE5" s="70" t="s">
        <v>122</v>
      </c>
      <c r="GF5" s="70" t="s">
        <v>74</v>
      </c>
      <c r="GG5" s="70" t="s">
        <v>120</v>
      </c>
      <c r="GH5" s="70" t="s">
        <v>120</v>
      </c>
      <c r="GI5" s="83" t="s">
        <v>123</v>
      </c>
      <c r="GJ5" s="70" t="s">
        <v>124</v>
      </c>
      <c r="GK5" s="64"/>
      <c r="GL5" s="64"/>
    </row>
    <row r="6" spans="1:194" ht="15" customHeight="1">
      <c r="A6" s="4"/>
      <c r="B6" s="84">
        <v>1</v>
      </c>
      <c r="C6" s="53"/>
      <c r="D6" s="85"/>
      <c r="E6" s="85"/>
      <c r="F6" s="86">
        <v>485.28</v>
      </c>
      <c r="G6" s="86"/>
      <c r="H6" s="86">
        <v>5704.8339999999998</v>
      </c>
      <c r="I6" s="86">
        <v>1441.2819999999999</v>
      </c>
      <c r="J6" s="86">
        <v>2810.6759999999999</v>
      </c>
      <c r="K6" s="86"/>
      <c r="L6" s="86"/>
      <c r="M6" s="87">
        <f>I6+J6</f>
        <v>4251.9579999999996</v>
      </c>
      <c r="N6" s="88">
        <f t="shared" ref="N6:N36" si="0">SUM(D6:H6)</f>
        <v>6190.1139999999996</v>
      </c>
      <c r="O6" s="88">
        <f>N6+L6+((J6+I6)*0.5)</f>
        <v>8316.0929999999989</v>
      </c>
      <c r="P6" s="89">
        <f>O6</f>
        <v>8316.0929999999989</v>
      </c>
      <c r="Q6" s="74"/>
      <c r="R6" s="90">
        <f>IF(EL6=0,"",(EL6-EL5))</f>
        <v>215</v>
      </c>
      <c r="S6" s="90">
        <f>IF(EZ6=0,"",((EZ6-EZ5)/10))</f>
        <v>105.1</v>
      </c>
      <c r="T6" s="90">
        <f t="shared" ref="T6:T36" si="1">IF(EM6=0,"",((EM6/10)))</f>
        <v>543.5</v>
      </c>
      <c r="U6" s="91">
        <f>IF(FB6=0,"",((EN6-EN5)/10))</f>
        <v>4.9000000000000004</v>
      </c>
      <c r="V6" s="90">
        <f>IF(EO6=0,"",(EO6-EO5))</f>
        <v>1567</v>
      </c>
      <c r="W6" s="91">
        <f t="shared" ref="W6:W36" si="2">IF(EP6=0,"",(EP6-EP5)/10)</f>
        <v>166.8</v>
      </c>
      <c r="X6" s="90">
        <f>IF(V6="","",V6)</f>
        <v>1567</v>
      </c>
      <c r="Y6" s="90" t="str">
        <f>IF(EQ6=0,"0",(EQ6/10))</f>
        <v>0</v>
      </c>
      <c r="Z6" s="90">
        <f t="shared" ref="Z6:Z36" si="3">IF(ER6=0,"",(ER6/10))</f>
        <v>130.30000000000001</v>
      </c>
      <c r="AA6" s="90">
        <f>IF(SUM(R6:V6)=0,"",SUM(R6:V6))</f>
        <v>2435.5</v>
      </c>
      <c r="AB6" s="90">
        <f>IF(DU6=0,"",(DU6-DU5))</f>
        <v>0</v>
      </c>
      <c r="AC6" s="90">
        <f>IF(DV6=0,"",(DV6-DV5))</f>
        <v>0</v>
      </c>
      <c r="AD6" s="90">
        <f>(IF(SUM(AB6:AC6)&gt;=(DW6-DW5),(SUM(AB6:AC6)),(DW6-DW5)))</f>
        <v>14</v>
      </c>
      <c r="AE6" s="90">
        <f>IF(AB6="","",(AD6-AC6-AB6))</f>
        <v>14</v>
      </c>
      <c r="AF6" s="90">
        <f>IF(DX6=0,"",(DX6-DX5))</f>
        <v>23</v>
      </c>
      <c r="AG6" s="90">
        <f>IF(DY6=0,"",(DY6-DY5))</f>
        <v>28</v>
      </c>
      <c r="AH6" s="90">
        <f>(IF(SUM(AF6:AG6)&gt;=(DZ6-DZ5),(SUM(AF6:AG6)),(DZ6-DZ5)))</f>
        <v>145</v>
      </c>
      <c r="AI6" s="90">
        <f>IF(AF6="","",(AH6-AG6-AF6))</f>
        <v>94</v>
      </c>
      <c r="AJ6" s="90">
        <f>IF(EA6=0,"",(EA6-EA5))</f>
        <v>110</v>
      </c>
      <c r="AK6" s="90">
        <f>IF(EB6=0,"",(EB6-EB5))</f>
        <v>148</v>
      </c>
      <c r="AL6" s="90">
        <f>(IF(SUM(AJ6:AK6)&gt;=(EC6-EC5),(SUM(AJ6:AK6)),(EC6-EC5)))</f>
        <v>361</v>
      </c>
      <c r="AM6" s="90">
        <f>IF(AJ6="","",(AL6-AK6-AJ6))</f>
        <v>103</v>
      </c>
      <c r="AN6" s="90">
        <f>IF(ED6=0,"",(ED6-ED5))</f>
        <v>0</v>
      </c>
      <c r="AO6" s="90">
        <f t="shared" ref="AO6:AO36" si="4">IF(AN6="","",(EE6-EE5)+(EF6-EF5))</f>
        <v>200</v>
      </c>
      <c r="AP6" s="90">
        <f>IF(EG6=0,"",(EG6-EG5))</f>
        <v>17</v>
      </c>
      <c r="AQ6" s="90">
        <f t="shared" ref="AQ6:AQ36" si="5">IF(AP6=0.1,0,(IF(AP6&gt;=(EH6-EH5),(AP6),(EH6-EH5))))</f>
        <v>29</v>
      </c>
      <c r="AR6" s="90">
        <f>IF(ET6=0,"",(ET6-ET5)/1000)</f>
        <v>30.780999999999999</v>
      </c>
      <c r="AS6" s="90">
        <f>IF(AR6="","",(ES6-ES5)+((ET6-ET5)/1000)-AW6-AU6)</f>
        <v>-119.21899999999999</v>
      </c>
      <c r="AT6" s="90">
        <f>IF(AR6="","",ES6-ES5+((ET6-ET5)/1000))</f>
        <v>469.78100000000001</v>
      </c>
      <c r="AU6" s="90">
        <f>IF(EV6="","",(EV6-EV5))</f>
        <v>242</v>
      </c>
      <c r="AV6" s="90">
        <f>IF(EI6=0,"",(EI6-EI5)+AU6)</f>
        <v>274</v>
      </c>
      <c r="AW6" s="90">
        <f>IF(EU6="","",(EU6-EU5))</f>
        <v>347</v>
      </c>
      <c r="AX6" s="90">
        <f>IF(EJ6=0,"",(EJ6-EJ5)+AW6)</f>
        <v>403</v>
      </c>
      <c r="AY6" s="90">
        <v>0</v>
      </c>
      <c r="AZ6" s="90">
        <f>IF(EW6=0,"",EW6-EW5)</f>
        <v>256</v>
      </c>
      <c r="BA6" s="90">
        <v>102</v>
      </c>
      <c r="BB6" s="90">
        <f>IF(EX6=0,"",(EX6-EX5))</f>
        <v>105</v>
      </c>
      <c r="BC6" s="90">
        <f>IF(EY6=0,"",(EY6-EY5))</f>
        <v>928</v>
      </c>
      <c r="BD6" s="91">
        <f>IF(FA6=0,"",(FA6-FA5))</f>
        <v>0</v>
      </c>
      <c r="BE6" s="90"/>
      <c r="BF6" s="90"/>
      <c r="BG6" s="90">
        <f t="shared" ref="BG6:BG30" si="6">IFERROR(SUM(BB6:BC6)+AZ6,"")</f>
        <v>1289</v>
      </c>
      <c r="BH6" s="90">
        <f>BL6-FC6</f>
        <v>223</v>
      </c>
      <c r="BI6" s="90">
        <f>IF(FC6=0,"",(FC6-BJ6))</f>
        <v>1303.7190000000001</v>
      </c>
      <c r="BJ6" s="90">
        <f t="shared" ref="BJ6:BJ36" si="7">IF(BH6=0,"",(AA6+AD6+AO6+BG6+AH6+AL6+AQ6+AS6+AX6+AV6))</f>
        <v>5031.2809999999999</v>
      </c>
      <c r="BK6" s="92"/>
      <c r="BL6" s="93">
        <f>FD6+FN6</f>
        <v>6558</v>
      </c>
      <c r="BM6" s="93">
        <f>BL6</f>
        <v>6558</v>
      </c>
      <c r="BN6" s="92"/>
      <c r="BO6" s="94">
        <f>IF($N6&lt;&gt;0,IF($N6&lt;&gt;0,R6/$N6*10,0)," ")</f>
        <v>0.34732801366824584</v>
      </c>
      <c r="BP6" s="94">
        <f>IF($N6&lt;&gt;0,IF($N6&lt;&gt;0,S6/$N6*10,0)," ")</f>
        <v>0.16978685691410531</v>
      </c>
      <c r="BQ6" s="94">
        <f>IF($N6&lt;&gt;0,IF($N6&lt;&gt;0,T6/$N6*10,0)," ")</f>
        <v>0.87801290897065876</v>
      </c>
      <c r="BR6" s="94">
        <f>IF($N6&lt;&gt;0,IF($N6&lt;&gt;0,(V6)/$N6*10,0)," ")</f>
        <v>2.5314558019448432</v>
      </c>
      <c r="BS6" s="94">
        <f t="shared" ref="BS6:BU21" si="8">IF($N6&lt;&gt;0,IF($N6&lt;&gt;0,Y6/$N6*10,0)," ")</f>
        <v>0</v>
      </c>
      <c r="BT6" s="94">
        <f t="shared" si="8"/>
        <v>0.21049693107429043</v>
      </c>
      <c r="BU6" s="95">
        <f>IF($N6&lt;&gt;0,IF($N6&lt;&gt;0,AA6/$N6*10,0)," ")</f>
        <v>3.9344994292512228</v>
      </c>
      <c r="BV6" s="94">
        <f t="shared" ref="BV6:BX35" si="9">IF($O6&lt;&gt;0,IF($O6&lt;&gt;0,R6/$O6*10,0)," ")</f>
        <v>0.25853486727481284</v>
      </c>
      <c r="BW6" s="94">
        <f t="shared" si="9"/>
        <v>0.12638146302596664</v>
      </c>
      <c r="BX6" s="94">
        <f t="shared" si="9"/>
        <v>0.65355209471563158</v>
      </c>
      <c r="BY6" s="94">
        <f>IF($O6&lt;&gt;0,IF($O6&lt;&gt;0,(V6)/$O6*10,0)," ")</f>
        <v>1.8842983117192174</v>
      </c>
      <c r="BZ6" s="95">
        <f t="shared" ref="BZ6:BZ36" si="10">IF($O6&lt;&gt;0,IF($O6&lt;&gt;0,AA6/$O6*10,0)," ")</f>
        <v>2.9286589267339846</v>
      </c>
      <c r="CA6" s="96" t="e">
        <f>#REF!</f>
        <v>#REF!</v>
      </c>
      <c r="CB6" s="94">
        <f t="shared" ref="CB6:CC36" si="11">IF($O6&lt;&gt;0,IF($O6&lt;&gt;0,AR6/$O6*10,0)," ")</f>
        <v>3.7013775579469832E-2</v>
      </c>
      <c r="CC6" s="95">
        <f>IF($O6&lt;&gt;0,IF($O6&lt;&gt;0,AS6/$O6*10,0)," ")</f>
        <v>-0.14335938763551587</v>
      </c>
      <c r="CD6" s="97">
        <f t="shared" ref="CD6:CE35" si="12">IFERROR(AR6*10/($I6+$J6),"")</f>
        <v>7.2392530688214704E-2</v>
      </c>
      <c r="CE6" s="98">
        <f>IFERROR(AS6*10/($I6+$J6),"")</f>
        <v>-0.28038611858348556</v>
      </c>
      <c r="CF6" s="94" t="str">
        <f>IF($D6&lt;&gt;0,IF($D6&lt;&gt;0,AB6/$D6*10,0),"0,00")</f>
        <v>0,00</v>
      </c>
      <c r="CG6" s="94" t="str">
        <f>IF($D6&lt;&gt;0,IF($D6&lt;&gt;0,AC6/$D6*10,0),"0,00")</f>
        <v>0,00</v>
      </c>
      <c r="CH6" s="95" t="str">
        <f>IF($D6&lt;&gt;0,IF($O6&lt;&gt;0,AD6/$D6*10,0),"0,00 ")</f>
        <v xml:space="preserve">0,00 </v>
      </c>
      <c r="CI6" s="96" t="e">
        <f>#REF!</f>
        <v>#REF!</v>
      </c>
      <c r="CJ6" s="94" t="str">
        <f>IF($E6&lt;&gt;0,IF($E6&lt;&gt;0,AF6/$E6*10,0),"0,00")</f>
        <v>0,00</v>
      </c>
      <c r="CK6" s="94" t="str">
        <f>IF($E6&lt;&gt;0,IF($E6&lt;&gt;0,AG6/$E6*10,0),"0,00")</f>
        <v>0,00</v>
      </c>
      <c r="CL6" s="95" t="str">
        <f>IF($E6&lt;&gt;0,IF($E6&lt;&gt;0,AH6/$E6*10,0),"0,00 ")</f>
        <v xml:space="preserve">0,00 </v>
      </c>
      <c r="CM6" s="95" t="e">
        <f>#REF!</f>
        <v>#REF!</v>
      </c>
      <c r="CN6" s="94">
        <f>IF($F6&lt;&gt;0,IF($F6&lt;&gt;0,AJ6/$F6*10,0),"0,00")</f>
        <v>2.266732607978899</v>
      </c>
      <c r="CO6" s="94">
        <f>IF($F6&lt;&gt;0,IF($F6&lt;&gt;0,AK6/$F6*10,0),"0,00")</f>
        <v>3.0497856907352459</v>
      </c>
      <c r="CP6" s="95">
        <f>IF($F6&lt;&gt;0,IF($F6&lt;&gt;0,AL6/$F6*10,0),"0,00 ")</f>
        <v>7.4390042861852956</v>
      </c>
      <c r="CQ6" s="95" t="e">
        <f>#REF!</f>
        <v>#REF!</v>
      </c>
      <c r="CR6" s="97" t="str">
        <f>IF($G6&lt;&gt;0,IF($G6&lt;&gt;0,AN6/$G6*10,0),"0,00 ")</f>
        <v xml:space="preserve">0,00 </v>
      </c>
      <c r="CS6" s="95" t="str">
        <f>IF($G6&lt;&gt;0,IF($G6&lt;&gt;0,AO6/$G6*10,0),"0,00 ")</f>
        <v xml:space="preserve">0,00 </v>
      </c>
      <c r="CT6" s="96" t="e">
        <f>#REF!</f>
        <v>#REF!</v>
      </c>
      <c r="CU6" s="97">
        <f>IF($H6&lt;&gt;0,IF($H6&lt;&gt;0,AP6/$H6*10,0),"0,00 ")</f>
        <v>2.979928951482199E-2</v>
      </c>
      <c r="CV6" s="95">
        <f>IF($H6&lt;&gt;0,IF($H6&lt;&gt;0,AQ6/$H6*10,0),"0,00 ")</f>
        <v>5.0834082113519877E-2</v>
      </c>
      <c r="CW6" s="96" t="e">
        <f>#REF!</f>
        <v>#REF!</v>
      </c>
      <c r="CX6" s="99">
        <f>IF($O6&lt;&gt;0,IF($O6&lt;&gt;0,AU6/$O6*10,0)," ")</f>
        <v>0.29100203665351032</v>
      </c>
      <c r="CY6" s="95">
        <f>IF($O6&lt;&gt;0,IF($O6&lt;&gt;0,AV6/$O6*10,0)," ")</f>
        <v>0.32948164480604059</v>
      </c>
      <c r="CZ6" s="99">
        <f>IF($O6&lt;&gt;0,IF($O6&lt;&gt;0,AW6/$O6*10,0)," ")</f>
        <v>0.41726325090400029</v>
      </c>
      <c r="DA6" s="95">
        <f>IF($O6&lt;&gt;0,IF($O6&lt;&gt;0,AX6/$O6*10,0)," ")</f>
        <v>0.48460256517092826</v>
      </c>
      <c r="DB6" s="94">
        <f t="shared" ref="DB6:DB36" si="13">IF($O6&lt;&gt;0,IF($O6&lt;&gt;0,AZ6/$O6*10,0)," ")</f>
        <v>0.30783686522024228</v>
      </c>
      <c r="DC6" s="94">
        <f t="shared" ref="DC6:DH35" si="14">IF($O6&lt;&gt;0,IF($O6&lt;&gt;0,BB6/$O6*10,0)," ")</f>
        <v>0.12626121425049</v>
      </c>
      <c r="DD6" s="94">
        <f t="shared" si="14"/>
        <v>1.1159086364233783</v>
      </c>
      <c r="DE6" s="94">
        <f t="shared" si="14"/>
        <v>0</v>
      </c>
      <c r="DF6" s="94">
        <f t="shared" si="14"/>
        <v>0</v>
      </c>
      <c r="DG6" s="94">
        <f t="shared" si="14"/>
        <v>0</v>
      </c>
      <c r="DH6" s="95">
        <f>IF($O6&lt;&gt;0,IF($O6&lt;&gt;0,BG6/$O6*10,0)," ")</f>
        <v>1.5500067158941104</v>
      </c>
      <c r="DI6" s="96" t="e">
        <f>#REF!</f>
        <v>#REF!</v>
      </c>
      <c r="DJ6" s="95">
        <f>IF($O6&lt;&gt;0,IF($O6&lt;&gt;0,BH6/$O6*10,0)," ")</f>
        <v>0.26815476931294541</v>
      </c>
      <c r="DK6" s="96" t="e">
        <f>#REF!</f>
        <v>#REF!</v>
      </c>
      <c r="DL6" s="95">
        <f t="shared" ref="DL6:DL36" si="15">IF($O6&lt;&gt;0,BI6/$O6*10," ")</f>
        <v>1.5677061331565199</v>
      </c>
      <c r="DM6" s="96">
        <f t="shared" ref="DM6:DM37" si="16">$D$3</f>
        <v>0</v>
      </c>
      <c r="DN6" s="94">
        <f t="shared" ref="DN6:DN36" si="17">IF($O6&lt;&gt;0,BJ6/$O6*10,"")</f>
        <v>6.0500537932897105</v>
      </c>
      <c r="DO6" s="100">
        <v>3.4</v>
      </c>
      <c r="DP6" s="94">
        <f>IF($O6&lt;&gt;0,IF($O6&lt;&gt;0,BL6/$O6*10,0)," ")</f>
        <v>7.8859146957591753</v>
      </c>
      <c r="DQ6" s="94">
        <f>IF($P6&lt;&gt;0,IF($P6&lt;&gt;0,BM6/$P6*10,0)," ")</f>
        <v>7.8859146957591753</v>
      </c>
      <c r="DR6" s="101" t="str">
        <f t="shared" ref="DR6:DR35" si="18">$D$2</f>
        <v>3,315, hL/NhL</v>
      </c>
      <c r="DS6" s="102"/>
      <c r="DT6" s="103">
        <v>1</v>
      </c>
      <c r="DU6" s="76">
        <v>617698</v>
      </c>
      <c r="DV6" s="76">
        <v>24518</v>
      </c>
      <c r="DW6" s="76">
        <v>5113503</v>
      </c>
      <c r="DX6" s="76">
        <v>109501</v>
      </c>
      <c r="DY6" s="76">
        <v>82536</v>
      </c>
      <c r="DZ6" s="76">
        <v>378197</v>
      </c>
      <c r="EA6" s="77">
        <v>221383</v>
      </c>
      <c r="EB6" s="77">
        <v>51884</v>
      </c>
      <c r="EC6" s="77">
        <v>388508</v>
      </c>
      <c r="ED6" s="76">
        <v>45663</v>
      </c>
      <c r="EE6" s="77">
        <v>37461</v>
      </c>
      <c r="EF6" s="77">
        <v>39879</v>
      </c>
      <c r="EG6" s="76">
        <v>90121</v>
      </c>
      <c r="EH6" s="76">
        <v>177836</v>
      </c>
      <c r="EI6" s="76">
        <v>30676</v>
      </c>
      <c r="EJ6" s="77">
        <v>38895</v>
      </c>
      <c r="EK6" s="77"/>
      <c r="EL6" s="76">
        <v>687911</v>
      </c>
      <c r="EM6" s="76">
        <v>5435</v>
      </c>
      <c r="EN6" s="77">
        <v>41714</v>
      </c>
      <c r="EO6" s="76">
        <v>2927392</v>
      </c>
      <c r="EP6" s="77">
        <v>2919366</v>
      </c>
      <c r="EQ6" s="77">
        <v>0</v>
      </c>
      <c r="ER6" s="77">
        <v>1303</v>
      </c>
      <c r="ES6" s="77">
        <v>316939</v>
      </c>
      <c r="ET6" s="77">
        <v>5676717</v>
      </c>
      <c r="EU6" s="77">
        <v>398723</v>
      </c>
      <c r="EV6" s="77">
        <v>123382</v>
      </c>
      <c r="EW6" s="77">
        <v>89607</v>
      </c>
      <c r="EX6" s="76">
        <v>202424</v>
      </c>
      <c r="EY6" s="76">
        <v>1599949</v>
      </c>
      <c r="EZ6" s="76">
        <v>737218</v>
      </c>
      <c r="FA6" s="76">
        <v>732958</v>
      </c>
      <c r="FB6" s="77">
        <v>29954</v>
      </c>
      <c r="FC6" s="76">
        <v>6335</v>
      </c>
      <c r="FD6" s="104">
        <f t="shared" ref="FD6:FD13" si="19">SUM(FE6:FM6)</f>
        <v>6558</v>
      </c>
      <c r="FE6" s="105">
        <f t="shared" ref="FE6:FM8" si="20">FE39-FE38</f>
        <v>0</v>
      </c>
      <c r="FF6" s="105">
        <f t="shared" si="20"/>
        <v>697</v>
      </c>
      <c r="FG6" s="105">
        <f t="shared" si="20"/>
        <v>1996</v>
      </c>
      <c r="FH6" s="105">
        <f t="shared" si="20"/>
        <v>1442</v>
      </c>
      <c r="FI6" s="105">
        <f t="shared" si="20"/>
        <v>566</v>
      </c>
      <c r="FJ6" s="105">
        <f t="shared" si="20"/>
        <v>720</v>
      </c>
      <c r="FK6" s="105">
        <f t="shared" si="20"/>
        <v>0</v>
      </c>
      <c r="FL6" s="105">
        <f t="shared" si="20"/>
        <v>1137</v>
      </c>
      <c r="FM6" s="105">
        <f t="shared" si="20"/>
        <v>0</v>
      </c>
      <c r="FN6" s="80">
        <f>IF(FO6="",0,(FO6-FO5))</f>
        <v>0</v>
      </c>
      <c r="FO6" s="77">
        <v>992693</v>
      </c>
      <c r="FP6" s="106"/>
      <c r="FR6" s="64"/>
      <c r="FS6" s="64"/>
      <c r="FT6" s="64"/>
      <c r="FU6" s="64"/>
      <c r="FV6" s="64"/>
      <c r="FW6" s="64"/>
      <c r="FX6" s="64"/>
      <c r="FY6" s="64">
        <v>1</v>
      </c>
      <c r="FZ6" s="107">
        <v>8054</v>
      </c>
      <c r="GA6" s="107">
        <v>1246</v>
      </c>
      <c r="GB6" s="108">
        <f>GA6/FZ6/0.1</f>
        <v>1.5470573628010924</v>
      </c>
      <c r="GC6" s="109"/>
      <c r="GD6" s="110"/>
      <c r="GE6" s="110"/>
      <c r="GF6" s="111"/>
      <c r="GG6" s="111"/>
      <c r="GH6" s="111"/>
      <c r="GI6" s="112"/>
      <c r="GJ6" s="111">
        <f>(SUM(ER5+ES5)/(GB6+GI6))</f>
        <v>205622.62760834675</v>
      </c>
      <c r="GK6" s="113"/>
    </row>
    <row r="7" spans="1:194" ht="15" customHeight="1">
      <c r="B7" s="114">
        <v>2</v>
      </c>
      <c r="D7" s="86"/>
      <c r="E7" s="86">
        <v>3912</v>
      </c>
      <c r="F7" s="86">
        <v>1655.9280000000001</v>
      </c>
      <c r="G7" s="86"/>
      <c r="H7" s="86">
        <v>6289.4619999999995</v>
      </c>
      <c r="I7" s="86">
        <v>1998.0229999999999</v>
      </c>
      <c r="J7" s="86">
        <v>4053.6</v>
      </c>
      <c r="K7" s="86"/>
      <c r="L7" s="86">
        <v>613.08000000000004</v>
      </c>
      <c r="M7" s="115">
        <f t="shared" ref="M7:M36" si="21">I7+J7</f>
        <v>6051.6229999999996</v>
      </c>
      <c r="N7" s="88">
        <f t="shared" si="0"/>
        <v>11857.39</v>
      </c>
      <c r="O7" s="88">
        <f t="shared" ref="O7:O36" si="22">N7+L7+((J7+I7)*0.5)</f>
        <v>15496.281499999999</v>
      </c>
      <c r="P7" s="89">
        <f t="shared" ref="P7:P36" si="23">P6+O7</f>
        <v>23812.374499999998</v>
      </c>
      <c r="R7" s="90">
        <f t="shared" ref="R7:R36" si="24">IF(EL7=0,"",(EL7-EL6))</f>
        <v>18</v>
      </c>
      <c r="S7" s="90">
        <f t="shared" ref="S7:S36" si="25">IF(EZ7=0,"",((EZ7-EZ6)/10))</f>
        <v>57.2</v>
      </c>
      <c r="T7" s="90">
        <f t="shared" si="1"/>
        <v>484.7</v>
      </c>
      <c r="U7" s="91">
        <f>IF(FB7=0,"",((EN7-EN6)/10))</f>
        <v>0</v>
      </c>
      <c r="V7" s="90">
        <f t="shared" ref="V7:V36" si="26">IF(EO7=0,"",(EO7-EO6))</f>
        <v>1326</v>
      </c>
      <c r="W7" s="91">
        <f t="shared" si="2"/>
        <v>-23336.400000000001</v>
      </c>
      <c r="X7" s="90">
        <f t="shared" ref="X7:X36" si="27">IF(V7="","",V7)</f>
        <v>1326</v>
      </c>
      <c r="Y7" s="90" t="str">
        <f t="shared" ref="Y7:Y36" si="28">IF(EQ7=0,"0",(EQ7/10))</f>
        <v>0</v>
      </c>
      <c r="Z7" s="90">
        <f t="shared" si="3"/>
        <v>149.69999999999999</v>
      </c>
      <c r="AA7" s="90">
        <f t="shared" ref="AA7:AA36" si="29">IF(SUM(R7:V7)=0,"",SUM(R7:V7))</f>
        <v>1885.9</v>
      </c>
      <c r="AB7" s="90">
        <f t="shared" ref="AB7:AC36" si="30">IF(DU7=0,"",(DU7-DU6))</f>
        <v>404</v>
      </c>
      <c r="AC7" s="90">
        <f t="shared" si="30"/>
        <v>41</v>
      </c>
      <c r="AD7" s="90">
        <f t="shared" ref="AD7:AD35" si="31">(IF(SUM(AB7:AC7)&gt;=(DW7-DW6),(SUM(AB7:AC7)),(DW7-DW6)))</f>
        <v>445</v>
      </c>
      <c r="AE7" s="90">
        <f t="shared" ref="AE7:AE36" si="32">IF(AB7="","",(AD7-AC7-AB7))</f>
        <v>0</v>
      </c>
      <c r="AF7" s="90">
        <f t="shared" ref="AF7:AG36" si="33">IF(DX7=0,"",(DX7-DX6))</f>
        <v>173</v>
      </c>
      <c r="AG7" s="90">
        <f t="shared" si="33"/>
        <v>14</v>
      </c>
      <c r="AH7" s="90">
        <f t="shared" ref="AH7:AH36" si="34">(IF(SUM(AF7:AG7)&gt;=(DZ7-DZ6),(SUM(AF7:AG7)),(DZ7-DZ6)))</f>
        <v>198</v>
      </c>
      <c r="AI7" s="90">
        <f t="shared" ref="AI7:AI36" si="35">IF(AF7="","",(AH7-AG7-AF7))</f>
        <v>11</v>
      </c>
      <c r="AJ7" s="90">
        <f t="shared" ref="AJ7:AK35" si="36">IF(EA7=0,"",(EA7-EA6))</f>
        <v>189</v>
      </c>
      <c r="AK7" s="90">
        <f t="shared" si="36"/>
        <v>87</v>
      </c>
      <c r="AL7" s="90">
        <f t="shared" ref="AL7:AL36" si="37">(IF(SUM(AJ7:AK7)&gt;=(EC7-EC6),(SUM(AJ7:AK7)),(EC7-EC6)))</f>
        <v>341</v>
      </c>
      <c r="AM7" s="90">
        <f t="shared" ref="AM7:AM36" si="38">IF(AJ7="","",(AL7-AK7-AJ7))</f>
        <v>65</v>
      </c>
      <c r="AN7" s="90">
        <f t="shared" ref="AN7:AN36" si="39">IF(ED7=0,"",(ED7-ED6))</f>
        <v>29</v>
      </c>
      <c r="AO7" s="90">
        <f t="shared" si="4"/>
        <v>0</v>
      </c>
      <c r="AP7" s="90">
        <f t="shared" ref="AP7:AP36" si="40">IF(EG7=0,"",(EG7-EG6))</f>
        <v>20</v>
      </c>
      <c r="AQ7" s="90">
        <f t="shared" si="5"/>
        <v>79</v>
      </c>
      <c r="AR7" s="90">
        <f t="shared" ref="AR7:AR36" si="41">IF(ET7=0,"",(ET7-ET6)/1000)</f>
        <v>76.906999999999996</v>
      </c>
      <c r="AS7" s="90">
        <f t="shared" ref="AS7:AS36" si="42">IF(AR7="","",(ES7-ES6)+((ET7-ET6)/1000)-AW7-AU7)</f>
        <v>264.90700000000004</v>
      </c>
      <c r="AT7" s="90">
        <f t="shared" ref="AT7:AT36" si="43">IF(AR7="","",ES7-ES6+((ET7-ET6)/1000))</f>
        <v>1017.907</v>
      </c>
      <c r="AU7" s="90">
        <f t="shared" ref="AU7:AU36" si="44">IF(EV7="","",(EV7-EV6))</f>
        <v>291</v>
      </c>
      <c r="AV7" s="90">
        <f>IF(EI7=0,"",(EI7-EI6)+AU7)</f>
        <v>303</v>
      </c>
      <c r="AW7" s="90">
        <f t="shared" ref="AW7:AW36" si="45">IF(EU7="","",(EU7-EU6))</f>
        <v>462</v>
      </c>
      <c r="AX7" s="90">
        <f>IF(EJ7=0,"",(EJ7-EJ6)+AW7)</f>
        <v>509</v>
      </c>
      <c r="AY7" s="90">
        <v>15.1</v>
      </c>
      <c r="AZ7" s="90">
        <f t="shared" ref="AZ7:AZ36" si="46">IF(EW7=0,"",EW7-EW6)</f>
        <v>287</v>
      </c>
      <c r="BA7" s="90">
        <v>80</v>
      </c>
      <c r="BB7" s="90">
        <f t="shared" ref="BB7:BC36" si="47">IF(EX7=0,"",(EX7-EX6))</f>
        <v>64</v>
      </c>
      <c r="BC7" s="90">
        <f t="shared" si="47"/>
        <v>59</v>
      </c>
      <c r="BD7" s="91">
        <f t="shared" ref="BD7:BD36" si="48">IF(FA7=0,"",(FA7-FA6))</f>
        <v>0</v>
      </c>
      <c r="BE7" s="90"/>
      <c r="BF7" s="90"/>
      <c r="BG7" s="90">
        <f t="shared" si="6"/>
        <v>410</v>
      </c>
      <c r="BH7" s="90">
        <f t="shared" ref="BH7:BH36" si="49">BL7-FC7</f>
        <v>-313</v>
      </c>
      <c r="BI7" s="90">
        <f t="shared" ref="BI7:BI36" si="50">IF(FC7=0,"",(FC7-BJ7))</f>
        <v>2103.1929999999993</v>
      </c>
      <c r="BJ7" s="90">
        <f>IF(BH7=0,"",(AA7+AD7+AO7+BG7+AH7+AL7+AQ7+AS7+AX7+AV7))</f>
        <v>4435.8070000000007</v>
      </c>
      <c r="BK7" s="92"/>
      <c r="BL7" s="93">
        <f t="shared" ref="BL7:BL36" si="51">FD7+FN7</f>
        <v>6226</v>
      </c>
      <c r="BM7" s="93">
        <f t="shared" ref="BM7:BM36" si="52">BL7+BM6</f>
        <v>12784</v>
      </c>
      <c r="BN7" s="92"/>
      <c r="BO7" s="94">
        <f t="shared" ref="BO7:BP35" si="53">IF($N7&lt;&gt;0,IF($N7&lt;&gt;0,R7/$N7*10,0)," ")</f>
        <v>1.5180406480684199E-2</v>
      </c>
      <c r="BP7" s="94">
        <f>IF($N7&lt;&gt;0,IF($N7&lt;&gt;0,S7/$N7*10,0)," ")</f>
        <v>4.823995837195201E-2</v>
      </c>
      <c r="BQ7" s="94">
        <f t="shared" ref="BQ7:BQ36" si="54">IF($N7&lt;&gt;0,IF($N7&lt;&gt;0,T7/$N7*10,0)," ")</f>
        <v>0.40877461228820167</v>
      </c>
      <c r="BR7" s="94">
        <f>IF($N7&lt;&gt;0,IF($N7&lt;&gt;0,(V7)/$N7*10,0)," ")</f>
        <v>1.1182899440770693</v>
      </c>
      <c r="BS7" s="94">
        <f t="shared" si="8"/>
        <v>0</v>
      </c>
      <c r="BT7" s="94">
        <f t="shared" si="8"/>
        <v>0.12625038056435692</v>
      </c>
      <c r="BU7" s="95">
        <f t="shared" si="8"/>
        <v>1.5904849212179073</v>
      </c>
      <c r="BV7" s="94">
        <f t="shared" si="9"/>
        <v>1.161568986727558E-2</v>
      </c>
      <c r="BW7" s="94">
        <f t="shared" si="9"/>
        <v>3.6912081133786842E-2</v>
      </c>
      <c r="BX7" s="94">
        <f t="shared" si="9"/>
        <v>0.31278471548158182</v>
      </c>
      <c r="BY7" s="94">
        <f t="shared" ref="BY7:BY36" si="55">IF($O7&lt;&gt;0,IF($O7&lt;&gt;0,(V7)/$O7*10,0)," ")</f>
        <v>0.85568915355596764</v>
      </c>
      <c r="BZ7" s="95">
        <f t="shared" si="10"/>
        <v>1.2170016400386121</v>
      </c>
      <c r="CA7" s="96" t="e">
        <f>#REF!</f>
        <v>#REF!</v>
      </c>
      <c r="CB7" s="94">
        <f t="shared" si="11"/>
        <v>4.9629325590142381E-2</v>
      </c>
      <c r="CC7" s="95">
        <f t="shared" si="11"/>
        <v>0.17094875309279847</v>
      </c>
      <c r="CD7" s="97">
        <f t="shared" si="12"/>
        <v>0.12708491589776824</v>
      </c>
      <c r="CE7" s="98">
        <f>IFERROR(AS7*10/($I7+$J7),"")</f>
        <v>0.43774537838857458</v>
      </c>
      <c r="CF7" s="94" t="str">
        <f t="shared" ref="CF7:CG36" si="56">IF($D7&lt;&gt;0,IF($D7&lt;&gt;0,AB7/$D7*10,0),"0,00")</f>
        <v>0,00</v>
      </c>
      <c r="CG7" s="94" t="str">
        <f t="shared" si="56"/>
        <v>0,00</v>
      </c>
      <c r="CH7" s="95" t="str">
        <f t="shared" ref="CH7:CH36" si="57">IF($D7&lt;&gt;0,IF($O7&lt;&gt;0,AD7/$D7*10,0),"0,00 ")</f>
        <v xml:space="preserve">0,00 </v>
      </c>
      <c r="CI7" s="96" t="e">
        <f>#REF!</f>
        <v>#REF!</v>
      </c>
      <c r="CJ7" s="94">
        <f t="shared" ref="CJ7:CK36" si="58">IF($E7&lt;&gt;0,IF($E7&lt;&gt;0,AF7/$E7*10,0),"0,00")</f>
        <v>0.44222903885480569</v>
      </c>
      <c r="CK7" s="94">
        <f t="shared" si="58"/>
        <v>3.5787321063394682E-2</v>
      </c>
      <c r="CL7" s="95">
        <f>IF($E7&lt;&gt;0,IF($E7&lt;&gt;0,AH7/$E7*10,0),"0,00 ")</f>
        <v>0.50613496932515334</v>
      </c>
      <c r="CM7" s="95" t="e">
        <f>#REF!</f>
        <v>#REF!</v>
      </c>
      <c r="CN7" s="94">
        <f t="shared" ref="CN7:CO36" si="59">IF($F7&lt;&gt;0,IF($F7&lt;&gt;0,AJ7/$F7*10,0),"0,00")</f>
        <v>1.1413539719118222</v>
      </c>
      <c r="CO7" s="94">
        <f t="shared" si="59"/>
        <v>0.52538516167369587</v>
      </c>
      <c r="CP7" s="95">
        <f t="shared" ref="CP7:CP36" si="60">IF($F7&lt;&gt;0,IF($F7&lt;&gt;0,AL7/$F7*10,0),"0,00 ")</f>
        <v>2.059268277364716</v>
      </c>
      <c r="CQ7" s="95" t="e">
        <f>#REF!</f>
        <v>#REF!</v>
      </c>
      <c r="CR7" s="97" t="str">
        <f>IF($G7&lt;&gt;0,IF($G7&lt;&gt;0,AN7/$G7*10,0),"0,00 ")</f>
        <v xml:space="preserve">0,00 </v>
      </c>
      <c r="CS7" s="95" t="str">
        <f>IF($G7&lt;&gt;0,IF($G7&lt;&gt;0,AO7/$G7*10,0),"0,00 ")</f>
        <v xml:space="preserve">0,00 </v>
      </c>
      <c r="CT7" s="96" t="e">
        <f>#REF!</f>
        <v>#REF!</v>
      </c>
      <c r="CU7" s="97">
        <f>IF($H7&lt;&gt;0,IF($H7&lt;&gt;0,AP7/$H7*10,0),"0,00 ")</f>
        <v>3.1799222254622103E-2</v>
      </c>
      <c r="CV7" s="95">
        <f t="shared" ref="CV7:CV36" si="61">IF($H7&lt;&gt;0,IF($H7&lt;&gt;0,AQ7/$H7*10,0),"0,00 ")</f>
        <v>0.12560692790575728</v>
      </c>
      <c r="CW7" s="96" t="e">
        <f>#REF!</f>
        <v>#REF!</v>
      </c>
      <c r="CX7" s="99">
        <f t="shared" ref="CX7:DA37" si="62">IF($O7&lt;&gt;0,IF($O7&lt;&gt;0,AU7/$O7*10,0)," ")</f>
        <v>0.18778698618762188</v>
      </c>
      <c r="CY7" s="95">
        <f t="shared" si="62"/>
        <v>0.19553077943247227</v>
      </c>
      <c r="CZ7" s="99">
        <f t="shared" si="62"/>
        <v>0.29813603992673987</v>
      </c>
      <c r="DA7" s="95">
        <f t="shared" si="62"/>
        <v>0.3284658968024039</v>
      </c>
      <c r="DB7" s="94">
        <f t="shared" si="13"/>
        <v>0.18520572177267172</v>
      </c>
      <c r="DC7" s="94">
        <f t="shared" si="14"/>
        <v>4.130023063920206E-2</v>
      </c>
      <c r="DD7" s="94">
        <f t="shared" si="14"/>
        <v>3.8073650120514398E-2</v>
      </c>
      <c r="DE7" s="94">
        <f t="shared" si="14"/>
        <v>0</v>
      </c>
      <c r="DF7" s="94">
        <f t="shared" si="14"/>
        <v>0</v>
      </c>
      <c r="DG7" s="94">
        <f t="shared" si="14"/>
        <v>0</v>
      </c>
      <c r="DH7" s="95">
        <f t="shared" si="14"/>
        <v>0.26457960253238816</v>
      </c>
      <c r="DI7" s="96" t="e">
        <f>#REF!</f>
        <v>#REF!</v>
      </c>
      <c r="DJ7" s="95">
        <f t="shared" ref="DJ7:DJ36" si="63">IF($O7&lt;&gt;0,IF($O7&lt;&gt;0,BH7/$O7*10,0)," ")</f>
        <v>-0.20198394046984758</v>
      </c>
      <c r="DK7" s="96" t="e">
        <f>#REF!</f>
        <v>#REF!</v>
      </c>
      <c r="DL7" s="95">
        <f t="shared" si="15"/>
        <v>1.357224312168051</v>
      </c>
      <c r="DM7" s="96">
        <f t="shared" si="16"/>
        <v>0</v>
      </c>
      <c r="DN7" s="94">
        <f t="shared" si="17"/>
        <v>2.8624976901716721</v>
      </c>
      <c r="DO7" s="100">
        <v>3.4</v>
      </c>
      <c r="DP7" s="94">
        <f>IF($O7&lt;&gt;0,IF($O7&lt;&gt;0,BL7/$O7*10,0)," ")</f>
        <v>4.0177380618698759</v>
      </c>
      <c r="DQ7" s="94">
        <f>IF($P7&lt;&gt;0,IF($P7&lt;&gt;0,BM7/$P7*10,0)," ")</f>
        <v>5.3686372184344746</v>
      </c>
      <c r="DR7" s="101" t="str">
        <f t="shared" si="18"/>
        <v>3,315, hL/NhL</v>
      </c>
      <c r="DS7" s="116"/>
      <c r="DT7" s="103">
        <v>2</v>
      </c>
      <c r="DU7" s="76">
        <v>618102</v>
      </c>
      <c r="DV7" s="76">
        <v>24559</v>
      </c>
      <c r="DW7" s="77">
        <v>5113764</v>
      </c>
      <c r="DX7" s="76">
        <v>109674</v>
      </c>
      <c r="DY7" s="76">
        <v>82550</v>
      </c>
      <c r="DZ7" s="76">
        <v>378395</v>
      </c>
      <c r="EA7" s="76">
        <v>221572</v>
      </c>
      <c r="EB7" s="77">
        <v>51971</v>
      </c>
      <c r="EC7" s="77">
        <v>388849</v>
      </c>
      <c r="ED7" s="77">
        <v>45692</v>
      </c>
      <c r="EE7" s="77">
        <v>37461</v>
      </c>
      <c r="EF7" s="77">
        <v>39879</v>
      </c>
      <c r="EG7" s="76">
        <v>90141</v>
      </c>
      <c r="EH7" s="76">
        <v>177915</v>
      </c>
      <c r="EI7" s="76">
        <v>30688</v>
      </c>
      <c r="EJ7" s="77">
        <v>38942</v>
      </c>
      <c r="EK7" s="77"/>
      <c r="EL7" s="76">
        <v>687929</v>
      </c>
      <c r="EM7" s="76">
        <v>4847</v>
      </c>
      <c r="EN7" s="77">
        <v>41714</v>
      </c>
      <c r="EO7" s="76">
        <v>2928718</v>
      </c>
      <c r="EP7" s="77">
        <v>2686002</v>
      </c>
      <c r="EQ7" s="77">
        <v>0</v>
      </c>
      <c r="ER7" s="77">
        <v>1497</v>
      </c>
      <c r="ES7" s="77">
        <v>317880</v>
      </c>
      <c r="ET7" s="77">
        <v>5753624</v>
      </c>
      <c r="EU7" s="77">
        <v>399185</v>
      </c>
      <c r="EV7" s="77">
        <v>123673</v>
      </c>
      <c r="EW7" s="77">
        <v>89894</v>
      </c>
      <c r="EX7" s="76">
        <v>202488</v>
      </c>
      <c r="EY7" s="117">
        <v>1600008</v>
      </c>
      <c r="EZ7" s="76">
        <v>737790</v>
      </c>
      <c r="FA7" s="76">
        <v>732958</v>
      </c>
      <c r="FB7" s="77">
        <v>30050</v>
      </c>
      <c r="FC7" s="76">
        <v>6539</v>
      </c>
      <c r="FD7" s="104">
        <f t="shared" si="19"/>
        <v>6226</v>
      </c>
      <c r="FE7" s="105">
        <f t="shared" si="20"/>
        <v>0</v>
      </c>
      <c r="FF7" s="105">
        <f t="shared" si="20"/>
        <v>721</v>
      </c>
      <c r="FG7" s="105">
        <f t="shared" si="20"/>
        <v>1997</v>
      </c>
      <c r="FH7" s="105">
        <f t="shared" si="20"/>
        <v>920</v>
      </c>
      <c r="FI7" s="105">
        <f t="shared" si="20"/>
        <v>525</v>
      </c>
      <c r="FJ7" s="105">
        <f t="shared" si="20"/>
        <v>365</v>
      </c>
      <c r="FK7" s="105">
        <f t="shared" si="20"/>
        <v>0</v>
      </c>
      <c r="FL7" s="105">
        <f t="shared" si="20"/>
        <v>1698</v>
      </c>
      <c r="FM7" s="105">
        <f t="shared" si="20"/>
        <v>0</v>
      </c>
      <c r="FN7" s="80">
        <f>IF(FO7="",0,(FO7-FO6))</f>
        <v>0</v>
      </c>
      <c r="FO7" s="77">
        <v>992693</v>
      </c>
      <c r="FP7" s="106"/>
      <c r="FR7" s="64"/>
      <c r="FS7" s="64"/>
      <c r="FT7" s="64"/>
      <c r="FU7" s="64"/>
      <c r="FV7" s="64"/>
      <c r="FW7" s="64"/>
      <c r="FX7" s="64"/>
      <c r="FY7" s="64">
        <v>2</v>
      </c>
      <c r="FZ7" s="107"/>
      <c r="GA7" s="107">
        <v>83</v>
      </c>
      <c r="GB7" s="108"/>
      <c r="GC7" s="109"/>
      <c r="GD7" s="110"/>
      <c r="GE7" s="110"/>
      <c r="GF7" s="111"/>
      <c r="GG7" s="111"/>
      <c r="GH7" s="111"/>
      <c r="GI7" s="112"/>
      <c r="GJ7" s="111" t="e">
        <f t="shared" ref="GJ7:GJ37" si="64">(SUM(EQ6+ER6)/(GB7+GI7))</f>
        <v>#DIV/0!</v>
      </c>
      <c r="GK7" s="118"/>
    </row>
    <row r="8" spans="1:194" s="119" customFormat="1" ht="15" customHeight="1">
      <c r="B8" s="114">
        <v>3</v>
      </c>
      <c r="D8" s="86">
        <v>4608</v>
      </c>
      <c r="E8" s="86">
        <v>5463.84</v>
      </c>
      <c r="F8" s="86">
        <v>1560.8879999999999</v>
      </c>
      <c r="G8" s="86"/>
      <c r="H8" s="86">
        <v>6206.0810000000001</v>
      </c>
      <c r="I8" s="86">
        <v>2371.0709999999999</v>
      </c>
      <c r="J8" s="86">
        <v>5703.7199999999993</v>
      </c>
      <c r="K8" s="86"/>
      <c r="L8" s="86">
        <v>613.08000000000004</v>
      </c>
      <c r="M8" s="115">
        <f t="shared" si="21"/>
        <v>8074.7909999999993</v>
      </c>
      <c r="N8" s="88">
        <f t="shared" si="0"/>
        <v>17838.809000000001</v>
      </c>
      <c r="O8" s="88">
        <f t="shared" si="22"/>
        <v>22489.284500000002</v>
      </c>
      <c r="P8" s="89">
        <f t="shared" si="23"/>
        <v>46301.659</v>
      </c>
      <c r="R8" s="90">
        <f t="shared" si="24"/>
        <v>168</v>
      </c>
      <c r="S8" s="90">
        <f t="shared" si="25"/>
        <v>141.5</v>
      </c>
      <c r="T8" s="90">
        <f t="shared" si="1"/>
        <v>298.3</v>
      </c>
      <c r="U8" s="91">
        <f>IF(FB8=0,"",((EN8-EN7)/10))</f>
        <v>2.2999999999999998</v>
      </c>
      <c r="V8" s="90">
        <f t="shared" si="26"/>
        <v>1380</v>
      </c>
      <c r="W8" s="91">
        <f t="shared" si="2"/>
        <v>319.39999999999998</v>
      </c>
      <c r="X8" s="90">
        <f t="shared" si="27"/>
        <v>1380</v>
      </c>
      <c r="Y8" s="90" t="str">
        <f t="shared" si="28"/>
        <v>0</v>
      </c>
      <c r="Z8" s="90">
        <f t="shared" si="3"/>
        <v>148.9</v>
      </c>
      <c r="AA8" s="90">
        <f t="shared" si="29"/>
        <v>1990.1</v>
      </c>
      <c r="AB8" s="90">
        <f t="shared" si="30"/>
        <v>236</v>
      </c>
      <c r="AC8" s="90">
        <f t="shared" si="30"/>
        <v>29</v>
      </c>
      <c r="AD8" s="90">
        <f t="shared" si="31"/>
        <v>451</v>
      </c>
      <c r="AE8" s="90">
        <f t="shared" si="32"/>
        <v>186</v>
      </c>
      <c r="AF8" s="90">
        <f t="shared" si="33"/>
        <v>194</v>
      </c>
      <c r="AG8" s="90">
        <f t="shared" si="33"/>
        <v>18</v>
      </c>
      <c r="AH8" s="90">
        <f t="shared" si="34"/>
        <v>440</v>
      </c>
      <c r="AI8" s="90">
        <f t="shared" si="35"/>
        <v>228</v>
      </c>
      <c r="AJ8" s="90">
        <f t="shared" si="36"/>
        <v>244</v>
      </c>
      <c r="AK8" s="90">
        <f t="shared" si="36"/>
        <v>11</v>
      </c>
      <c r="AL8" s="90">
        <f t="shared" si="37"/>
        <v>329</v>
      </c>
      <c r="AM8" s="90">
        <f t="shared" si="38"/>
        <v>74</v>
      </c>
      <c r="AN8" s="90">
        <f t="shared" si="39"/>
        <v>44</v>
      </c>
      <c r="AO8" s="90">
        <f t="shared" si="4"/>
        <v>-177</v>
      </c>
      <c r="AP8" s="90">
        <f t="shared" si="40"/>
        <v>14</v>
      </c>
      <c r="AQ8" s="90">
        <f t="shared" si="5"/>
        <v>36</v>
      </c>
      <c r="AR8" s="90">
        <f t="shared" si="41"/>
        <v>92.444999999999993</v>
      </c>
      <c r="AS8" s="90">
        <f t="shared" si="42"/>
        <v>119.44499999999994</v>
      </c>
      <c r="AT8" s="90">
        <f t="shared" si="43"/>
        <v>805.44499999999994</v>
      </c>
      <c r="AU8" s="90">
        <f t="shared" si="44"/>
        <v>250</v>
      </c>
      <c r="AV8" s="90">
        <f t="shared" ref="AV8:AV36" si="65">IF(EI8=0,"",(EI8-EI7))</f>
        <v>39</v>
      </c>
      <c r="AW8" s="90">
        <f t="shared" si="45"/>
        <v>436</v>
      </c>
      <c r="AX8" s="90">
        <f t="shared" ref="AX8:AY36" si="66">IF(EJ8=0,"",(EJ8-EJ7))</f>
        <v>56</v>
      </c>
      <c r="AY8" s="90">
        <v>8.6</v>
      </c>
      <c r="AZ8" s="90">
        <f t="shared" si="46"/>
        <v>344</v>
      </c>
      <c r="BA8" s="90">
        <v>45</v>
      </c>
      <c r="BB8" s="90">
        <f t="shared" si="47"/>
        <v>123</v>
      </c>
      <c r="BC8" s="90">
        <f t="shared" si="47"/>
        <v>439</v>
      </c>
      <c r="BD8" s="91">
        <f t="shared" si="48"/>
        <v>1141</v>
      </c>
      <c r="BE8" s="90"/>
      <c r="BF8" s="90"/>
      <c r="BG8" s="90">
        <f t="shared" si="6"/>
        <v>906</v>
      </c>
      <c r="BH8" s="90">
        <f t="shared" si="49"/>
        <v>256</v>
      </c>
      <c r="BI8" s="90">
        <f t="shared" si="50"/>
        <v>2512.4549999999999</v>
      </c>
      <c r="BJ8" s="90">
        <f t="shared" si="7"/>
        <v>4189.5450000000001</v>
      </c>
      <c r="BK8" s="92"/>
      <c r="BL8" s="93">
        <f t="shared" si="51"/>
        <v>6958</v>
      </c>
      <c r="BM8" s="93">
        <f t="shared" si="52"/>
        <v>19742</v>
      </c>
      <c r="BN8" s="92" t="s">
        <v>125</v>
      </c>
      <c r="BO8" s="94">
        <f t="shared" si="53"/>
        <v>9.4176690831770216E-2</v>
      </c>
      <c r="BP8" s="94">
        <f t="shared" si="53"/>
        <v>7.9321439004139793E-2</v>
      </c>
      <c r="BQ8" s="94">
        <f t="shared" si="54"/>
        <v>0.16721968378045865</v>
      </c>
      <c r="BR8" s="94">
        <f t="shared" ref="BR8:BR36" si="67">IF($N8&lt;&gt;0,IF($N8&lt;&gt;0,(V8)/$N8*10,0)," ")</f>
        <v>0.77359424611811234</v>
      </c>
      <c r="BS8" s="94">
        <f t="shared" si="8"/>
        <v>0</v>
      </c>
      <c r="BT8" s="94">
        <f t="shared" si="8"/>
        <v>8.3469698005063014E-2</v>
      </c>
      <c r="BU8" s="95">
        <f t="shared" si="8"/>
        <v>1.1156013834780112</v>
      </c>
      <c r="BV8" s="94">
        <f t="shared" si="9"/>
        <v>7.4702243194975801E-2</v>
      </c>
      <c r="BW8" s="94">
        <f t="shared" si="9"/>
        <v>6.2918853643387354E-2</v>
      </c>
      <c r="BX8" s="94">
        <f t="shared" si="9"/>
        <v>0.13264094729203144</v>
      </c>
      <c r="BY8" s="94">
        <f t="shared" si="55"/>
        <v>0.61362556910158694</v>
      </c>
      <c r="BZ8" s="95">
        <f t="shared" si="10"/>
        <v>0.88491032251381763</v>
      </c>
      <c r="CA8" s="96" t="e">
        <f>#REF!</f>
        <v>#REF!</v>
      </c>
      <c r="CB8" s="94">
        <f t="shared" si="11"/>
        <v>4.1106243286663915E-2</v>
      </c>
      <c r="CC8" s="95">
        <f t="shared" si="11"/>
        <v>5.3111960942999289E-2</v>
      </c>
      <c r="CD8" s="97">
        <f t="shared" si="12"/>
        <v>0.11448593530160719</v>
      </c>
      <c r="CE8" s="98">
        <f t="shared" si="12"/>
        <v>0.14792333324788215</v>
      </c>
      <c r="CF8" s="94">
        <f t="shared" si="56"/>
        <v>0.51215277777777779</v>
      </c>
      <c r="CG8" s="94">
        <f t="shared" si="56"/>
        <v>6.2934027777777776E-2</v>
      </c>
      <c r="CH8" s="95">
        <f t="shared" si="57"/>
        <v>0.97873263888888895</v>
      </c>
      <c r="CI8" s="96" t="e">
        <f>#REF!</f>
        <v>#REF!</v>
      </c>
      <c r="CJ8" s="94">
        <f t="shared" si="58"/>
        <v>0.35506164162933029</v>
      </c>
      <c r="CK8" s="94">
        <f t="shared" si="58"/>
        <v>3.2943863656329612E-2</v>
      </c>
      <c r="CL8" s="95">
        <f t="shared" ref="CL8:CL36" si="68">IF($E8&lt;&gt;0,IF($E8&lt;&gt;0,AH8/$E8*10,0),"0,00 ")</f>
        <v>0.80529444493250169</v>
      </c>
      <c r="CM8" s="95" t="e">
        <f>#REF!</f>
        <v>#REF!</v>
      </c>
      <c r="CN8" s="94">
        <f t="shared" si="59"/>
        <v>1.5632127353147696</v>
      </c>
      <c r="CO8" s="94">
        <f t="shared" si="59"/>
        <v>7.0472705280583872E-2</v>
      </c>
      <c r="CP8" s="95">
        <f t="shared" si="60"/>
        <v>2.107774548846554</v>
      </c>
      <c r="CQ8" s="95" t="e">
        <f>#REF!</f>
        <v>#REF!</v>
      </c>
      <c r="CR8" s="97" t="str">
        <f t="shared" ref="CR8:CS36" si="69">IF($G8&lt;&gt;0,IF($G8&lt;&gt;0,AN8/$G8*10,0),"0,00 ")</f>
        <v xml:space="preserve">0,00 </v>
      </c>
      <c r="CS8" s="95" t="str">
        <f t="shared" si="69"/>
        <v xml:space="preserve">0,00 </v>
      </c>
      <c r="CT8" s="96" t="e">
        <f>#REF!</f>
        <v>#REF!</v>
      </c>
      <c r="CU8" s="97">
        <f t="shared" ref="CU8:CU36" si="70">IF($H8&lt;&gt;0,IF($H8&lt;&gt;0,AP8/$H8*10,0),"0,00 ")</f>
        <v>2.2558519619708478E-2</v>
      </c>
      <c r="CV8" s="95">
        <f t="shared" si="61"/>
        <v>5.8007621879250369E-2</v>
      </c>
      <c r="CW8" s="96" t="e">
        <f>#REF!</f>
        <v>#REF!</v>
      </c>
      <c r="CX8" s="99">
        <f t="shared" si="62"/>
        <v>0.1111640523734759</v>
      </c>
      <c r="CY8" s="95">
        <f t="shared" si="62"/>
        <v>1.7341592170262241E-2</v>
      </c>
      <c r="CZ8" s="99">
        <f t="shared" si="62"/>
        <v>0.19387010733934198</v>
      </c>
      <c r="DA8" s="95">
        <f t="shared" si="62"/>
        <v>2.4900747731658599E-2</v>
      </c>
      <c r="DB8" s="94">
        <f t="shared" si="13"/>
        <v>0.15296173606590285</v>
      </c>
      <c r="DC8" s="94">
        <f t="shared" si="14"/>
        <v>5.4692713767750145E-2</v>
      </c>
      <c r="DD8" s="94">
        <f t="shared" si="14"/>
        <v>0.19520407596782369</v>
      </c>
      <c r="DE8" s="94">
        <f t="shared" si="14"/>
        <v>0.50735273503254397</v>
      </c>
      <c r="DF8" s="94">
        <f t="shared" si="14"/>
        <v>0</v>
      </c>
      <c r="DG8" s="94">
        <f t="shared" si="14"/>
        <v>0</v>
      </c>
      <c r="DH8" s="95">
        <f t="shared" si="14"/>
        <v>0.40285852580147669</v>
      </c>
      <c r="DI8" s="96" t="e">
        <f>#REF!</f>
        <v>#REF!</v>
      </c>
      <c r="DJ8" s="95">
        <f t="shared" si="63"/>
        <v>0.11383198963043932</v>
      </c>
      <c r="DK8" s="96" t="e">
        <f>#REF!</f>
        <v>#REF!</v>
      </c>
      <c r="DL8" s="95">
        <f t="shared" si="15"/>
        <v>1.1171787168240057</v>
      </c>
      <c r="DM8" s="96">
        <f t="shared" si="16"/>
        <v>0</v>
      </c>
      <c r="DN8" s="94">
        <f t="shared" si="17"/>
        <v>1.8629071992041366</v>
      </c>
      <c r="DO8" s="100">
        <v>3.4</v>
      </c>
      <c r="DP8" s="94">
        <f>IF($O8&lt;&gt;0,IF($O8&lt;&gt;0,BL8/$O8*10,0)," ")</f>
        <v>3.0939179056585813</v>
      </c>
      <c r="DQ8" s="94">
        <f>IF($P8&lt;&gt;0,IF($P8&lt;&gt;0,BM8/$P8*10,0)," ")</f>
        <v>4.263778107821147</v>
      </c>
      <c r="DR8" s="101" t="str">
        <f t="shared" si="18"/>
        <v>3,315, hL/NhL</v>
      </c>
      <c r="DS8" s="116"/>
      <c r="DT8" s="103">
        <v>3</v>
      </c>
      <c r="DU8" s="120">
        <v>618338</v>
      </c>
      <c r="DV8" s="120">
        <v>24588</v>
      </c>
      <c r="DW8" s="120">
        <v>5114215</v>
      </c>
      <c r="DX8" s="76">
        <v>109868</v>
      </c>
      <c r="DY8" s="120">
        <v>82568</v>
      </c>
      <c r="DZ8" s="120">
        <v>378835</v>
      </c>
      <c r="EA8" s="120">
        <v>221816</v>
      </c>
      <c r="EB8" s="121">
        <v>51982</v>
      </c>
      <c r="EC8" s="120">
        <v>389178</v>
      </c>
      <c r="ED8" s="120">
        <v>45736</v>
      </c>
      <c r="EE8" s="122">
        <v>37476</v>
      </c>
      <c r="EF8" s="123">
        <v>39687</v>
      </c>
      <c r="EG8" s="120">
        <v>90155</v>
      </c>
      <c r="EH8" s="120">
        <v>177951</v>
      </c>
      <c r="EI8" s="120">
        <v>30727</v>
      </c>
      <c r="EJ8" s="121">
        <v>38998</v>
      </c>
      <c r="EK8" s="121"/>
      <c r="EL8" s="120">
        <v>688097</v>
      </c>
      <c r="EM8" s="121">
        <v>2983</v>
      </c>
      <c r="EN8" s="121">
        <v>41737</v>
      </c>
      <c r="EO8" s="120">
        <v>2930098</v>
      </c>
      <c r="EP8" s="121">
        <v>2689196</v>
      </c>
      <c r="EQ8" s="121">
        <v>0</v>
      </c>
      <c r="ER8" s="121">
        <v>1489</v>
      </c>
      <c r="ES8" s="121">
        <v>318593</v>
      </c>
      <c r="ET8" s="121">
        <v>5846069</v>
      </c>
      <c r="EU8" s="121">
        <v>399621</v>
      </c>
      <c r="EV8" s="121">
        <v>123923</v>
      </c>
      <c r="EW8" s="121">
        <v>90238</v>
      </c>
      <c r="EX8" s="120">
        <v>202611</v>
      </c>
      <c r="EY8" s="120">
        <v>1600447</v>
      </c>
      <c r="EZ8" s="120">
        <v>739205</v>
      </c>
      <c r="FA8" s="120">
        <v>734099</v>
      </c>
      <c r="FB8" s="77">
        <v>30099</v>
      </c>
      <c r="FC8" s="77">
        <v>6702</v>
      </c>
      <c r="FD8" s="104">
        <f t="shared" si="19"/>
        <v>6958</v>
      </c>
      <c r="FE8" s="105">
        <f t="shared" si="20"/>
        <v>0</v>
      </c>
      <c r="FF8" s="105">
        <f t="shared" si="20"/>
        <v>435</v>
      </c>
      <c r="FG8" s="105">
        <f t="shared" si="20"/>
        <v>1990</v>
      </c>
      <c r="FH8" s="105">
        <f t="shared" si="20"/>
        <v>2201</v>
      </c>
      <c r="FI8" s="105">
        <f t="shared" si="20"/>
        <v>584</v>
      </c>
      <c r="FJ8" s="105">
        <f t="shared" si="20"/>
        <v>768</v>
      </c>
      <c r="FK8" s="105">
        <f t="shared" si="20"/>
        <v>0</v>
      </c>
      <c r="FL8" s="105">
        <f t="shared" si="20"/>
        <v>980</v>
      </c>
      <c r="FM8" s="105">
        <f t="shared" si="20"/>
        <v>0</v>
      </c>
      <c r="FN8" s="124">
        <f>IF(FO8="",0,(FO8-FO7))</f>
        <v>0</v>
      </c>
      <c r="FO8" s="77">
        <v>992693</v>
      </c>
      <c r="FP8" s="106"/>
      <c r="FY8" s="119">
        <v>3</v>
      </c>
      <c r="FZ8" s="107"/>
      <c r="GA8" s="107">
        <v>0</v>
      </c>
      <c r="GB8" s="108"/>
      <c r="GC8" s="109"/>
      <c r="GD8" s="110"/>
      <c r="GE8" s="110"/>
      <c r="GF8" s="111"/>
      <c r="GG8" s="111"/>
      <c r="GH8" s="111"/>
      <c r="GI8" s="112"/>
      <c r="GJ8" s="111" t="e">
        <f t="shared" si="64"/>
        <v>#DIV/0!</v>
      </c>
      <c r="GK8" s="113"/>
    </row>
    <row r="9" spans="1:194" s="119" customFormat="1" ht="15" customHeight="1">
      <c r="B9" s="114">
        <v>4</v>
      </c>
      <c r="D9" s="86">
        <v>5426.76</v>
      </c>
      <c r="E9" s="86">
        <v>1771.92</v>
      </c>
      <c r="F9" s="86">
        <v>2614.4640000000004</v>
      </c>
      <c r="G9" s="86">
        <v>4847.1350000000002</v>
      </c>
      <c r="H9" s="86">
        <v>7186.3829999999998</v>
      </c>
      <c r="I9" s="86">
        <v>1994.0709999999999</v>
      </c>
      <c r="J9" s="86">
        <v>5832</v>
      </c>
      <c r="K9" s="86"/>
      <c r="L9" s="86">
        <v>413.44</v>
      </c>
      <c r="M9" s="115">
        <f t="shared" si="21"/>
        <v>7826.0709999999999</v>
      </c>
      <c r="N9" s="88">
        <f t="shared" si="0"/>
        <v>21846.662</v>
      </c>
      <c r="O9" s="88">
        <f t="shared" si="22"/>
        <v>26173.137499999997</v>
      </c>
      <c r="P9" s="89">
        <f t="shared" si="23"/>
        <v>72474.796499999997</v>
      </c>
      <c r="R9" s="90">
        <f t="shared" si="24"/>
        <v>282</v>
      </c>
      <c r="S9" s="90">
        <f t="shared" si="25"/>
        <v>79.7</v>
      </c>
      <c r="T9" s="90">
        <f t="shared" si="1"/>
        <v>424</v>
      </c>
      <c r="U9" s="91">
        <f>IF(FB9=0,"",((EN9-EN8)/10))</f>
        <v>5.4</v>
      </c>
      <c r="V9" s="90">
        <f t="shared" si="26"/>
        <v>1502</v>
      </c>
      <c r="W9" s="91">
        <f t="shared" si="2"/>
        <v>250.2</v>
      </c>
      <c r="X9" s="90">
        <f t="shared" si="27"/>
        <v>1502</v>
      </c>
      <c r="Y9" s="90" t="str">
        <f t="shared" si="28"/>
        <v>0</v>
      </c>
      <c r="Z9" s="90">
        <f t="shared" si="3"/>
        <v>156.9</v>
      </c>
      <c r="AA9" s="90">
        <f t="shared" si="29"/>
        <v>2293.1</v>
      </c>
      <c r="AB9" s="90">
        <f t="shared" si="30"/>
        <v>262</v>
      </c>
      <c r="AC9" s="90">
        <f t="shared" si="30"/>
        <v>23</v>
      </c>
      <c r="AD9" s="90">
        <f t="shared" si="31"/>
        <v>471</v>
      </c>
      <c r="AE9" s="90">
        <f t="shared" si="32"/>
        <v>186</v>
      </c>
      <c r="AF9" s="90">
        <f t="shared" si="33"/>
        <v>142</v>
      </c>
      <c r="AG9" s="90">
        <f t="shared" si="33"/>
        <v>115</v>
      </c>
      <c r="AH9" s="90">
        <f t="shared" si="34"/>
        <v>399</v>
      </c>
      <c r="AI9" s="90">
        <f t="shared" si="35"/>
        <v>142</v>
      </c>
      <c r="AJ9" s="90">
        <f t="shared" si="36"/>
        <v>257</v>
      </c>
      <c r="AK9" s="90">
        <f t="shared" si="36"/>
        <v>11</v>
      </c>
      <c r="AL9" s="90">
        <f t="shared" si="37"/>
        <v>350</v>
      </c>
      <c r="AM9" s="90">
        <f t="shared" si="38"/>
        <v>82</v>
      </c>
      <c r="AN9" s="90">
        <f t="shared" si="39"/>
        <v>33</v>
      </c>
      <c r="AO9" s="90">
        <f t="shared" si="4"/>
        <v>51</v>
      </c>
      <c r="AP9" s="90">
        <f t="shared" si="40"/>
        <v>5</v>
      </c>
      <c r="AQ9" s="90">
        <f t="shared" si="5"/>
        <v>22</v>
      </c>
      <c r="AR9" s="90">
        <f t="shared" si="41"/>
        <v>96.745000000000005</v>
      </c>
      <c r="AS9" s="90">
        <f t="shared" si="42"/>
        <v>181.745</v>
      </c>
      <c r="AT9" s="90">
        <f t="shared" si="43"/>
        <v>983.745</v>
      </c>
      <c r="AU9" s="90">
        <f t="shared" si="44"/>
        <v>277</v>
      </c>
      <c r="AV9" s="90">
        <f t="shared" si="65"/>
        <v>8</v>
      </c>
      <c r="AW9" s="90">
        <f t="shared" si="45"/>
        <v>525</v>
      </c>
      <c r="AX9" s="90">
        <f t="shared" si="66"/>
        <v>43</v>
      </c>
      <c r="AY9" s="90">
        <v>9.1</v>
      </c>
      <c r="AZ9" s="90">
        <f t="shared" si="46"/>
        <v>297</v>
      </c>
      <c r="BA9" s="90">
        <v>87</v>
      </c>
      <c r="BB9" s="90">
        <f t="shared" si="47"/>
        <v>134</v>
      </c>
      <c r="BC9" s="90">
        <f t="shared" si="47"/>
        <v>1015</v>
      </c>
      <c r="BD9" s="91">
        <f t="shared" si="48"/>
        <v>250</v>
      </c>
      <c r="BE9" s="90"/>
      <c r="BF9" s="90"/>
      <c r="BG9" s="90">
        <f t="shared" si="6"/>
        <v>1446</v>
      </c>
      <c r="BH9" s="90">
        <f t="shared" si="49"/>
        <v>1160</v>
      </c>
      <c r="BI9" s="90">
        <f t="shared" si="50"/>
        <v>2147.1549999999997</v>
      </c>
      <c r="BJ9" s="90">
        <f t="shared" si="7"/>
        <v>5264.8450000000003</v>
      </c>
      <c r="BK9" s="92"/>
      <c r="BL9" s="93">
        <f t="shared" si="51"/>
        <v>8572</v>
      </c>
      <c r="BM9" s="93">
        <f t="shared" si="52"/>
        <v>28314</v>
      </c>
      <c r="BN9" s="92"/>
      <c r="BO9" s="94">
        <f t="shared" si="53"/>
        <v>0.1290815045337361</v>
      </c>
      <c r="BP9" s="94">
        <f t="shared" si="53"/>
        <v>3.6481545784889248E-2</v>
      </c>
      <c r="BQ9" s="94">
        <f t="shared" si="54"/>
        <v>0.19407999263228407</v>
      </c>
      <c r="BR9" s="94">
        <f t="shared" si="67"/>
        <v>0.68751921918323267</v>
      </c>
      <c r="BS9" s="94">
        <f t="shared" si="8"/>
        <v>0</v>
      </c>
      <c r="BT9" s="94">
        <f t="shared" si="8"/>
        <v>7.1818751990578703E-2</v>
      </c>
      <c r="BU9" s="95">
        <f t="shared" si="8"/>
        <v>1.0496340356252136</v>
      </c>
      <c r="BV9" s="94">
        <f t="shared" si="9"/>
        <v>0.10774405628671765</v>
      </c>
      <c r="BW9" s="94">
        <f t="shared" si="9"/>
        <v>3.0451068390253182E-2</v>
      </c>
      <c r="BX9" s="94">
        <f t="shared" si="9"/>
        <v>0.16199815555166058</v>
      </c>
      <c r="BY9" s="94">
        <f t="shared" si="55"/>
        <v>0.57387082461932593</v>
      </c>
      <c r="BZ9" s="95">
        <f t="shared" si="10"/>
        <v>0.87612728890451141</v>
      </c>
      <c r="CA9" s="96" t="e">
        <f>#REF!</f>
        <v>#REF!</v>
      </c>
      <c r="CB9" s="94">
        <f t="shared" si="11"/>
        <v>3.6963470657654249E-2</v>
      </c>
      <c r="CC9" s="95">
        <f t="shared" si="11"/>
        <v>6.9439515992303191E-2</v>
      </c>
      <c r="CD9" s="97">
        <f t="shared" si="12"/>
        <v>0.12361886315623767</v>
      </c>
      <c r="CE9" s="98">
        <f t="shared" si="12"/>
        <v>0.23223019571378795</v>
      </c>
      <c r="CF9" s="94">
        <f t="shared" si="56"/>
        <v>0.48279267924138897</v>
      </c>
      <c r="CG9" s="94">
        <f t="shared" si="56"/>
        <v>4.2382563444854762E-2</v>
      </c>
      <c r="CH9" s="95">
        <f t="shared" si="57"/>
        <v>0.86792119054463435</v>
      </c>
      <c r="CI9" s="96" t="e">
        <f>#REF!</f>
        <v>#REF!</v>
      </c>
      <c r="CJ9" s="94">
        <f t="shared" si="58"/>
        <v>0.80139058196758317</v>
      </c>
      <c r="CK9" s="94">
        <f t="shared" si="58"/>
        <v>0.64901349948078924</v>
      </c>
      <c r="CL9" s="95">
        <f t="shared" si="68"/>
        <v>2.2517946634159554</v>
      </c>
      <c r="CM9" s="95" t="e">
        <f>#REF!</f>
        <v>#REF!</v>
      </c>
      <c r="CN9" s="94">
        <f t="shared" si="59"/>
        <v>0.98299307238500877</v>
      </c>
      <c r="CO9" s="94">
        <f t="shared" si="59"/>
        <v>4.2073633448385592E-2</v>
      </c>
      <c r="CP9" s="95">
        <f t="shared" si="60"/>
        <v>1.3387065188122689</v>
      </c>
      <c r="CQ9" s="95" t="e">
        <f>#REF!</f>
        <v>#REF!</v>
      </c>
      <c r="CR9" s="97">
        <f t="shared" si="69"/>
        <v>6.8081454302386879E-2</v>
      </c>
      <c r="CS9" s="95">
        <f t="shared" si="69"/>
        <v>0.1052167930127797</v>
      </c>
      <c r="CT9" s="96" t="e">
        <f>#REF!</f>
        <v>#REF!</v>
      </c>
      <c r="CU9" s="97">
        <f t="shared" si="70"/>
        <v>6.9576030111392611E-3</v>
      </c>
      <c r="CV9" s="95">
        <f t="shared" si="61"/>
        <v>3.0613453249012754E-2</v>
      </c>
      <c r="CW9" s="96" t="e">
        <f>#REF!</f>
        <v>#REF!</v>
      </c>
      <c r="CX9" s="99">
        <f t="shared" si="62"/>
        <v>0.10583370067879712</v>
      </c>
      <c r="CY9" s="95">
        <f t="shared" si="62"/>
        <v>3.0565689726728407E-3</v>
      </c>
      <c r="CZ9" s="99">
        <f t="shared" si="62"/>
        <v>0.20058733883165519</v>
      </c>
      <c r="DA9" s="95">
        <f t="shared" si="62"/>
        <v>1.6429058228116519E-2</v>
      </c>
      <c r="DB9" s="94">
        <f t="shared" si="13"/>
        <v>0.11347512311047922</v>
      </c>
      <c r="DC9" s="94">
        <f t="shared" si="14"/>
        <v>5.1197530292270081E-2</v>
      </c>
      <c r="DD9" s="94">
        <f t="shared" si="14"/>
        <v>0.38780218840786668</v>
      </c>
      <c r="DE9" s="94">
        <f t="shared" si="14"/>
        <v>9.5517780396026292E-2</v>
      </c>
      <c r="DF9" s="94">
        <f t="shared" si="14"/>
        <v>0</v>
      </c>
      <c r="DG9" s="94">
        <f t="shared" si="14"/>
        <v>0</v>
      </c>
      <c r="DH9" s="95">
        <f t="shared" si="14"/>
        <v>0.55247484181061601</v>
      </c>
      <c r="DI9" s="96" t="e">
        <f>#REF!</f>
        <v>#REF!</v>
      </c>
      <c r="DJ9" s="95">
        <f t="shared" si="63"/>
        <v>0.44320250103756198</v>
      </c>
      <c r="DK9" s="96" t="e">
        <f>#REF!</f>
        <v>#REF!</v>
      </c>
      <c r="DL9" s="95">
        <f t="shared" si="15"/>
        <v>0.82036591906491918</v>
      </c>
      <c r="DM9" s="96">
        <f t="shared" si="16"/>
        <v>0</v>
      </c>
      <c r="DN9" s="94">
        <f t="shared" si="17"/>
        <v>2.0115452341164679</v>
      </c>
      <c r="DO9" s="100">
        <v>3.4</v>
      </c>
      <c r="DP9" s="94">
        <f t="shared" ref="DP9:DP33" si="71">IF($O9&lt;&gt;0,IF($O9&lt;&gt;0,BL9/$O9*10,0)," ")</f>
        <v>3.275113654218949</v>
      </c>
      <c r="DQ9" s="94">
        <f t="shared" ref="DQ9:DQ34" si="72">IF($P9&lt;&gt;0,IF($P9&lt;&gt;0,BM9/$P9*10,0)," ")</f>
        <v>3.9067374269895327</v>
      </c>
      <c r="DR9" s="101" t="str">
        <f t="shared" si="18"/>
        <v>3,315, hL/NhL</v>
      </c>
      <c r="DS9" s="116"/>
      <c r="DT9" s="103">
        <v>4</v>
      </c>
      <c r="DU9" s="76">
        <v>618600</v>
      </c>
      <c r="DV9" s="76">
        <v>24611</v>
      </c>
      <c r="DW9" s="77">
        <v>5114686</v>
      </c>
      <c r="DX9" s="124">
        <v>110010</v>
      </c>
      <c r="DY9" s="77">
        <v>82683</v>
      </c>
      <c r="DZ9" s="77">
        <v>379234</v>
      </c>
      <c r="EA9" s="76">
        <v>222073</v>
      </c>
      <c r="EB9" s="77">
        <v>51993</v>
      </c>
      <c r="EC9" s="77">
        <v>389528</v>
      </c>
      <c r="ED9" s="76">
        <v>45769</v>
      </c>
      <c r="EE9" s="125">
        <v>37498</v>
      </c>
      <c r="EF9" s="77">
        <v>39716</v>
      </c>
      <c r="EG9" s="76">
        <v>90160</v>
      </c>
      <c r="EH9" s="76">
        <v>177973</v>
      </c>
      <c r="EI9" s="76">
        <v>30735</v>
      </c>
      <c r="EJ9" s="77">
        <v>39041</v>
      </c>
      <c r="EK9" s="77"/>
      <c r="EL9" s="76">
        <v>688379</v>
      </c>
      <c r="EM9" s="77">
        <v>4240</v>
      </c>
      <c r="EN9" s="77">
        <v>41791</v>
      </c>
      <c r="EO9" s="76">
        <v>2931600</v>
      </c>
      <c r="EP9" s="77">
        <v>2691698</v>
      </c>
      <c r="EQ9" s="77">
        <v>0</v>
      </c>
      <c r="ER9" s="77">
        <v>1569</v>
      </c>
      <c r="ES9" s="124">
        <v>319480</v>
      </c>
      <c r="ET9" s="77">
        <v>5942814</v>
      </c>
      <c r="EU9" s="77">
        <v>400146</v>
      </c>
      <c r="EV9" s="77">
        <v>124200</v>
      </c>
      <c r="EW9" s="77">
        <v>90535</v>
      </c>
      <c r="EX9" s="76">
        <v>202745</v>
      </c>
      <c r="EY9" s="76">
        <v>1601462</v>
      </c>
      <c r="EZ9" s="126">
        <v>740002</v>
      </c>
      <c r="FA9" s="127">
        <v>734349</v>
      </c>
      <c r="FB9" s="125">
        <v>30192</v>
      </c>
      <c r="FC9" s="77">
        <v>7412</v>
      </c>
      <c r="FD9" s="77">
        <f>SUM(FE9:FM9)</f>
        <v>7572</v>
      </c>
      <c r="FE9" s="105">
        <v>0</v>
      </c>
      <c r="FF9" s="105">
        <v>834</v>
      </c>
      <c r="FG9" s="105">
        <v>1901</v>
      </c>
      <c r="FH9" s="105">
        <v>2360</v>
      </c>
      <c r="FI9" s="105">
        <v>677</v>
      </c>
      <c r="FJ9" s="105">
        <v>576</v>
      </c>
      <c r="FK9" s="105">
        <v>0</v>
      </c>
      <c r="FL9" s="105">
        <v>1224</v>
      </c>
      <c r="FM9" s="105">
        <v>0</v>
      </c>
      <c r="FN9" s="124">
        <f t="shared" ref="FN9:FN36" si="73">IF(FO9="",0,(FO9-FO8))</f>
        <v>1000</v>
      </c>
      <c r="FO9" s="77">
        <v>993693</v>
      </c>
      <c r="FP9" s="106"/>
      <c r="FY9" s="119">
        <v>4</v>
      </c>
      <c r="FZ9" s="107"/>
      <c r="GA9" s="107">
        <v>0</v>
      </c>
      <c r="GB9" s="108"/>
      <c r="GC9" s="109"/>
      <c r="GD9" s="110"/>
      <c r="GE9" s="110"/>
      <c r="GF9" s="111"/>
      <c r="GG9" s="111"/>
      <c r="GH9" s="111"/>
      <c r="GI9" s="112"/>
      <c r="GJ9" s="111" t="e">
        <f t="shared" si="64"/>
        <v>#DIV/0!</v>
      </c>
      <c r="GK9" s="113"/>
    </row>
    <row r="10" spans="1:194" s="119" customFormat="1" ht="15" customHeight="1">
      <c r="B10" s="114">
        <v>5</v>
      </c>
      <c r="D10" s="128">
        <v>5487.84</v>
      </c>
      <c r="E10" s="128">
        <v>2219.2800000000002</v>
      </c>
      <c r="F10" s="128">
        <v>2721.384</v>
      </c>
      <c r="G10" s="86">
        <v>5520.0020000000004</v>
      </c>
      <c r="H10" s="86">
        <v>7235.8789999999999</v>
      </c>
      <c r="I10" s="86">
        <v>322.08300000000003</v>
      </c>
      <c r="J10" s="86">
        <v>5320.8</v>
      </c>
      <c r="K10" s="86"/>
      <c r="L10" s="85">
        <v>613.08000000000004</v>
      </c>
      <c r="M10" s="115">
        <f t="shared" si="21"/>
        <v>5642.8829999999998</v>
      </c>
      <c r="N10" s="88">
        <f t="shared" si="0"/>
        <v>23184.385000000002</v>
      </c>
      <c r="O10" s="88">
        <f t="shared" si="22"/>
        <v>26618.906500000005</v>
      </c>
      <c r="P10" s="89">
        <f t="shared" si="23"/>
        <v>99093.703000000009</v>
      </c>
      <c r="R10" s="90">
        <f t="shared" si="24"/>
        <v>251</v>
      </c>
      <c r="S10" s="90">
        <f t="shared" si="25"/>
        <v>16.3</v>
      </c>
      <c r="T10" s="90">
        <f t="shared" si="1"/>
        <v>460.1</v>
      </c>
      <c r="U10" s="91">
        <f>IF(FB10=0,"",((EN10-EN9)/10))</f>
        <v>4.8</v>
      </c>
      <c r="V10" s="90">
        <f t="shared" si="26"/>
        <v>1388</v>
      </c>
      <c r="W10" s="91">
        <f t="shared" si="2"/>
        <v>-370.5</v>
      </c>
      <c r="X10" s="90">
        <f t="shared" si="27"/>
        <v>1388</v>
      </c>
      <c r="Y10" s="90" t="str">
        <f t="shared" si="28"/>
        <v>0</v>
      </c>
      <c r="Z10" s="90">
        <f t="shared" si="3"/>
        <v>130.30000000000001</v>
      </c>
      <c r="AA10" s="90">
        <f t="shared" si="29"/>
        <v>2120.1999999999998</v>
      </c>
      <c r="AB10" s="90">
        <f t="shared" si="30"/>
        <v>253</v>
      </c>
      <c r="AC10" s="90">
        <f t="shared" si="30"/>
        <v>82</v>
      </c>
      <c r="AD10" s="90">
        <f t="shared" si="31"/>
        <v>559</v>
      </c>
      <c r="AE10" s="90">
        <f t="shared" si="32"/>
        <v>224</v>
      </c>
      <c r="AF10" s="90">
        <f t="shared" si="33"/>
        <v>147</v>
      </c>
      <c r="AG10" s="90">
        <f t="shared" si="33"/>
        <v>20</v>
      </c>
      <c r="AH10" s="90">
        <f t="shared" si="34"/>
        <v>218</v>
      </c>
      <c r="AI10" s="90">
        <f t="shared" si="35"/>
        <v>51</v>
      </c>
      <c r="AJ10" s="90">
        <f t="shared" si="36"/>
        <v>257</v>
      </c>
      <c r="AK10" s="90">
        <f t="shared" si="36"/>
        <v>31</v>
      </c>
      <c r="AL10" s="90">
        <f t="shared" si="37"/>
        <v>359</v>
      </c>
      <c r="AM10" s="90">
        <f t="shared" si="38"/>
        <v>71</v>
      </c>
      <c r="AN10" s="90">
        <f t="shared" si="39"/>
        <v>23</v>
      </c>
      <c r="AO10" s="90">
        <f t="shared" si="4"/>
        <v>40</v>
      </c>
      <c r="AP10" s="90">
        <f t="shared" si="40"/>
        <v>14</v>
      </c>
      <c r="AQ10" s="90">
        <f t="shared" si="5"/>
        <v>28</v>
      </c>
      <c r="AR10" s="90">
        <f t="shared" si="41"/>
        <v>71.637</v>
      </c>
      <c r="AS10" s="90">
        <f t="shared" si="42"/>
        <v>175.63699999999994</v>
      </c>
      <c r="AT10" s="90">
        <f t="shared" si="43"/>
        <v>759.63699999999994</v>
      </c>
      <c r="AU10" s="90">
        <f t="shared" si="44"/>
        <v>92</v>
      </c>
      <c r="AV10" s="90">
        <f t="shared" si="65"/>
        <v>0</v>
      </c>
      <c r="AW10" s="90">
        <f t="shared" si="45"/>
        <v>492</v>
      </c>
      <c r="AX10" s="90">
        <f t="shared" si="66"/>
        <v>34</v>
      </c>
      <c r="AY10" s="90">
        <v>0</v>
      </c>
      <c r="AZ10" s="90">
        <f t="shared" si="46"/>
        <v>326</v>
      </c>
      <c r="BA10" s="90">
        <v>94</v>
      </c>
      <c r="BB10" s="90">
        <f t="shared" si="47"/>
        <v>121</v>
      </c>
      <c r="BC10" s="90">
        <f t="shared" si="47"/>
        <v>860</v>
      </c>
      <c r="BD10" s="91">
        <f t="shared" si="48"/>
        <v>305</v>
      </c>
      <c r="BE10" s="90"/>
      <c r="BF10" s="90"/>
      <c r="BG10" s="90">
        <f t="shared" si="6"/>
        <v>1307</v>
      </c>
      <c r="BH10" s="90">
        <f t="shared" si="49"/>
        <v>816</v>
      </c>
      <c r="BI10" s="90">
        <f t="shared" si="50"/>
        <v>2101.1630000000005</v>
      </c>
      <c r="BJ10" s="90">
        <f t="shared" si="7"/>
        <v>4840.8369999999995</v>
      </c>
      <c r="BK10" s="92"/>
      <c r="BL10" s="93">
        <f t="shared" si="51"/>
        <v>7758</v>
      </c>
      <c r="BM10" s="93">
        <f t="shared" si="52"/>
        <v>36072</v>
      </c>
      <c r="BN10" s="92"/>
      <c r="BO10" s="94">
        <f t="shared" si="53"/>
        <v>0.10826252238306083</v>
      </c>
      <c r="BP10" s="94">
        <f t="shared" si="53"/>
        <v>7.0305940830433927E-3</v>
      </c>
      <c r="BQ10" s="94">
        <f t="shared" si="54"/>
        <v>0.19845253604958679</v>
      </c>
      <c r="BR10" s="94">
        <f t="shared" si="67"/>
        <v>0.59867880903461523</v>
      </c>
      <c r="BS10" s="94">
        <f t="shared" si="8"/>
        <v>0</v>
      </c>
      <c r="BT10" s="94">
        <f t="shared" si="8"/>
        <v>5.6201620185310074E-2</v>
      </c>
      <c r="BU10" s="95">
        <f t="shared" si="8"/>
        <v>0.91449482054408593</v>
      </c>
      <c r="BV10" s="94">
        <f t="shared" si="9"/>
        <v>9.4293880930082521E-2</v>
      </c>
      <c r="BW10" s="94">
        <f t="shared" si="9"/>
        <v>6.1234671679695016E-3</v>
      </c>
      <c r="BX10" s="94">
        <f t="shared" si="9"/>
        <v>0.17284707018299192</v>
      </c>
      <c r="BY10" s="94">
        <f t="shared" si="55"/>
        <v>0.52143389135838458</v>
      </c>
      <c r="BZ10" s="95">
        <f t="shared" si="10"/>
        <v>0.79650153923490408</v>
      </c>
      <c r="CA10" s="96" t="e">
        <f>#REF!</f>
        <v>#REF!</v>
      </c>
      <c r="CB10" s="94">
        <f t="shared" si="11"/>
        <v>2.6912074693977373E-2</v>
      </c>
      <c r="CC10" s="95">
        <f t="shared" si="11"/>
        <v>6.5982049262617123E-2</v>
      </c>
      <c r="CD10" s="97">
        <f t="shared" si="12"/>
        <v>0.12695106384449226</v>
      </c>
      <c r="CE10" s="98">
        <f t="shared" si="12"/>
        <v>0.31125401678539133</v>
      </c>
      <c r="CF10" s="94">
        <f t="shared" si="56"/>
        <v>0.46101927169888335</v>
      </c>
      <c r="CG10" s="94">
        <f t="shared" si="56"/>
        <v>0.14942126592612029</v>
      </c>
      <c r="CH10" s="95">
        <f t="shared" si="57"/>
        <v>1.0186157030817224</v>
      </c>
      <c r="CI10" s="96" t="e">
        <f>#REF!</f>
        <v>#REF!</v>
      </c>
      <c r="CJ10" s="94">
        <f t="shared" si="58"/>
        <v>0.66237698713096138</v>
      </c>
      <c r="CK10" s="94">
        <f t="shared" si="58"/>
        <v>9.0119317977001553E-2</v>
      </c>
      <c r="CL10" s="95">
        <f t="shared" si="68"/>
        <v>0.98230056594931681</v>
      </c>
      <c r="CM10" s="95" t="e">
        <f>#REF!</f>
        <v>#REF!</v>
      </c>
      <c r="CN10" s="94">
        <f t="shared" si="59"/>
        <v>0.94437242226749329</v>
      </c>
      <c r="CO10" s="94">
        <f t="shared" si="59"/>
        <v>0.11391262681047584</v>
      </c>
      <c r="CP10" s="95">
        <f t="shared" si="60"/>
        <v>1.3191817104826074</v>
      </c>
      <c r="CQ10" s="95" t="e">
        <f>#REF!</f>
        <v>#REF!</v>
      </c>
      <c r="CR10" s="97">
        <f t="shared" si="69"/>
        <v>4.1666651570053774E-2</v>
      </c>
      <c r="CS10" s="95">
        <f t="shared" si="69"/>
        <v>7.2463741860963091E-2</v>
      </c>
      <c r="CT10" s="96" t="e">
        <f>#REF!</f>
        <v>#REF!</v>
      </c>
      <c r="CU10" s="97">
        <f t="shared" si="70"/>
        <v>1.934802945157043E-2</v>
      </c>
      <c r="CV10" s="95">
        <f t="shared" si="61"/>
        <v>3.8696058903140859E-2</v>
      </c>
      <c r="CW10" s="96" t="e">
        <f>#REF!</f>
        <v>#REF!</v>
      </c>
      <c r="CX10" s="99">
        <f t="shared" si="62"/>
        <v>3.4561900579950566E-2</v>
      </c>
      <c r="CY10" s="95">
        <f t="shared" si="62"/>
        <v>0</v>
      </c>
      <c r="CZ10" s="99">
        <f t="shared" si="62"/>
        <v>0.18483103353625738</v>
      </c>
      <c r="DA10" s="95">
        <f t="shared" si="62"/>
        <v>1.2772876301286077E-2</v>
      </c>
      <c r="DB10" s="94">
        <f t="shared" si="13"/>
        <v>0.12246934335939005</v>
      </c>
      <c r="DC10" s="94">
        <f t="shared" si="14"/>
        <v>4.5456412719282809E-2</v>
      </c>
      <c r="DD10" s="94">
        <f t="shared" si="14"/>
        <v>0.32307863585605956</v>
      </c>
      <c r="DE10" s="94">
        <f t="shared" si="14"/>
        <v>0.11458021387918393</v>
      </c>
      <c r="DF10" s="94">
        <f t="shared" si="14"/>
        <v>0</v>
      </c>
      <c r="DG10" s="94">
        <f t="shared" si="14"/>
        <v>0</v>
      </c>
      <c r="DH10" s="95">
        <f t="shared" si="14"/>
        <v>0.49100439193473244</v>
      </c>
      <c r="DI10" s="96" t="e">
        <f>#REF!</f>
        <v>#REF!</v>
      </c>
      <c r="DJ10" s="95">
        <f t="shared" si="63"/>
        <v>0.30654903123086585</v>
      </c>
      <c r="DK10" s="96" t="e">
        <f>#REF!</f>
        <v>#REF!</v>
      </c>
      <c r="DL10" s="95">
        <f t="shared" si="15"/>
        <v>0.7893498555246814</v>
      </c>
      <c r="DM10" s="96">
        <f t="shared" si="16"/>
        <v>0</v>
      </c>
      <c r="DN10" s="94">
        <f t="shared" si="17"/>
        <v>1.8185709469320233</v>
      </c>
      <c r="DO10" s="100">
        <v>3.4</v>
      </c>
      <c r="DP10" s="94">
        <f>IF($O10&lt;&gt;0,IF($O10&lt;&gt;0,BL10/$O10*10,0)," ")</f>
        <v>2.9144698336875701</v>
      </c>
      <c r="DQ10" s="94">
        <f>IF($P10&lt;&gt;0,IF($P10&lt;&gt;0,BM10/$P10*10,0)," ")</f>
        <v>3.6401909412952298</v>
      </c>
      <c r="DR10" s="101" t="str">
        <f t="shared" si="18"/>
        <v>3,315, hL/NhL</v>
      </c>
      <c r="DS10" s="116"/>
      <c r="DT10" s="103">
        <v>5</v>
      </c>
      <c r="DU10" s="76">
        <v>618853</v>
      </c>
      <c r="DV10" s="76">
        <v>24693</v>
      </c>
      <c r="DW10" s="76">
        <v>5115245</v>
      </c>
      <c r="DX10" s="129">
        <v>110157</v>
      </c>
      <c r="DY10" s="76">
        <v>82703</v>
      </c>
      <c r="DZ10" s="76">
        <v>379452</v>
      </c>
      <c r="EA10" s="76">
        <v>222330</v>
      </c>
      <c r="EB10" s="77">
        <v>52024</v>
      </c>
      <c r="EC10" s="76">
        <v>389887</v>
      </c>
      <c r="ED10" s="76">
        <v>45792</v>
      </c>
      <c r="EE10" s="77">
        <v>37513</v>
      </c>
      <c r="EF10" s="77">
        <v>39741</v>
      </c>
      <c r="EG10" s="76">
        <v>90174</v>
      </c>
      <c r="EH10" s="76">
        <v>178001</v>
      </c>
      <c r="EI10" s="76">
        <v>30735</v>
      </c>
      <c r="EJ10" s="77">
        <v>39075</v>
      </c>
      <c r="EK10" s="77"/>
      <c r="EL10" s="76">
        <v>688630</v>
      </c>
      <c r="EM10" s="77">
        <v>4601</v>
      </c>
      <c r="EN10" s="77">
        <v>41839</v>
      </c>
      <c r="EO10" s="76">
        <v>2932988</v>
      </c>
      <c r="EP10" s="77">
        <v>2687993</v>
      </c>
      <c r="EQ10" s="77">
        <v>0</v>
      </c>
      <c r="ER10" s="77">
        <v>1303</v>
      </c>
      <c r="ES10" s="124">
        <v>320168</v>
      </c>
      <c r="ET10" s="77">
        <v>6014451</v>
      </c>
      <c r="EU10" s="77">
        <v>400638</v>
      </c>
      <c r="EV10" s="77">
        <v>124292</v>
      </c>
      <c r="EW10" s="77">
        <v>90861</v>
      </c>
      <c r="EX10" s="76">
        <v>202866</v>
      </c>
      <c r="EY10" s="76">
        <v>1602322</v>
      </c>
      <c r="EZ10" s="76">
        <v>740165</v>
      </c>
      <c r="FA10" s="130">
        <v>734654</v>
      </c>
      <c r="FB10" s="77">
        <v>30276</v>
      </c>
      <c r="FC10" s="77">
        <v>6942</v>
      </c>
      <c r="FD10" s="77">
        <f>SUM(FE10:FM10)</f>
        <v>7229</v>
      </c>
      <c r="FE10" s="105">
        <f t="shared" ref="FE10:FM23" si="74">FE43-FE42</f>
        <v>0</v>
      </c>
      <c r="FF10" s="105">
        <f t="shared" si="74"/>
        <v>139</v>
      </c>
      <c r="FG10" s="105">
        <f t="shared" si="74"/>
        <v>1960</v>
      </c>
      <c r="FH10" s="105">
        <f t="shared" si="74"/>
        <v>2042</v>
      </c>
      <c r="FI10" s="105">
        <v>599</v>
      </c>
      <c r="FJ10" s="105">
        <f t="shared" si="74"/>
        <v>745</v>
      </c>
      <c r="FK10" s="105">
        <f t="shared" si="74"/>
        <v>0</v>
      </c>
      <c r="FL10" s="105">
        <f t="shared" si="74"/>
        <v>1744</v>
      </c>
      <c r="FM10" s="105">
        <f t="shared" si="74"/>
        <v>0</v>
      </c>
      <c r="FN10" s="124">
        <f t="shared" si="73"/>
        <v>529</v>
      </c>
      <c r="FO10" s="77">
        <v>994222</v>
      </c>
      <c r="FP10" s="106"/>
      <c r="FY10" s="119">
        <v>5</v>
      </c>
      <c r="FZ10" s="107">
        <v>3949</v>
      </c>
      <c r="GA10" s="107">
        <v>188</v>
      </c>
      <c r="GB10" s="108">
        <f>GA10/FZ10/0.1</f>
        <v>0.4760698911116738</v>
      </c>
      <c r="GC10" s="109"/>
      <c r="GD10" s="110"/>
      <c r="GE10" s="110"/>
      <c r="GF10" s="111"/>
      <c r="GG10" s="111"/>
      <c r="GH10" s="111"/>
      <c r="GI10" s="112"/>
      <c r="GJ10" s="111">
        <f t="shared" si="64"/>
        <v>3295.7345744680852</v>
      </c>
      <c r="GK10" s="113"/>
    </row>
    <row r="11" spans="1:194" s="119" customFormat="1" ht="15.75" customHeight="1">
      <c r="B11" s="114">
        <v>6</v>
      </c>
      <c r="D11" s="131">
        <v>3901.32</v>
      </c>
      <c r="E11" s="131">
        <v>5541.6</v>
      </c>
      <c r="F11" s="131">
        <v>3000.24</v>
      </c>
      <c r="G11" s="86">
        <v>6300.348</v>
      </c>
      <c r="H11" s="86">
        <v>9613.0450000000001</v>
      </c>
      <c r="I11" s="86">
        <v>2014.2059999999999</v>
      </c>
      <c r="J11" s="86">
        <v>7274.4</v>
      </c>
      <c r="K11" s="86">
        <v>24.068000000000001</v>
      </c>
      <c r="L11" s="85">
        <v>1021.896</v>
      </c>
      <c r="M11" s="115">
        <f t="shared" si="21"/>
        <v>9288.6059999999998</v>
      </c>
      <c r="N11" s="88">
        <f t="shared" si="0"/>
        <v>28356.553</v>
      </c>
      <c r="O11" s="88">
        <f>N11+L11+K11+((J11+I11)*0.5)</f>
        <v>34046.82</v>
      </c>
      <c r="P11" s="89">
        <f t="shared" si="23"/>
        <v>133140.52300000002</v>
      </c>
      <c r="R11" s="90">
        <f t="shared" si="24"/>
        <v>278</v>
      </c>
      <c r="S11" s="90">
        <f t="shared" si="25"/>
        <v>45.1</v>
      </c>
      <c r="T11" s="90">
        <f t="shared" si="1"/>
        <v>778</v>
      </c>
      <c r="U11" s="91">
        <f t="shared" ref="U11:U35" si="75">IF(FB11=0,"",((EN11-EN10)/10))</f>
        <v>5.2</v>
      </c>
      <c r="V11" s="90">
        <f t="shared" si="26"/>
        <v>1536</v>
      </c>
      <c r="W11" s="91">
        <f t="shared" si="2"/>
        <v>188.2</v>
      </c>
      <c r="X11" s="90">
        <f t="shared" si="27"/>
        <v>1536</v>
      </c>
      <c r="Y11" s="90">
        <f t="shared" si="28"/>
        <v>152.5</v>
      </c>
      <c r="Z11" s="90">
        <f t="shared" si="3"/>
        <v>147.9</v>
      </c>
      <c r="AA11" s="90">
        <f t="shared" si="29"/>
        <v>2642.3</v>
      </c>
      <c r="AB11" s="90">
        <f t="shared" si="30"/>
        <v>107</v>
      </c>
      <c r="AC11" s="90">
        <f t="shared" si="30"/>
        <v>32</v>
      </c>
      <c r="AD11" s="90">
        <f t="shared" si="31"/>
        <v>369</v>
      </c>
      <c r="AE11" s="90">
        <f t="shared" si="32"/>
        <v>230</v>
      </c>
      <c r="AF11" s="90">
        <f t="shared" si="33"/>
        <v>189</v>
      </c>
      <c r="AG11" s="90">
        <f t="shared" si="33"/>
        <v>37</v>
      </c>
      <c r="AH11" s="90">
        <f t="shared" si="34"/>
        <v>333</v>
      </c>
      <c r="AI11" s="90">
        <f t="shared" si="35"/>
        <v>107</v>
      </c>
      <c r="AJ11" s="90">
        <f t="shared" si="36"/>
        <v>269</v>
      </c>
      <c r="AK11" s="90">
        <f t="shared" si="36"/>
        <v>34</v>
      </c>
      <c r="AL11" s="90">
        <f t="shared" si="37"/>
        <v>379</v>
      </c>
      <c r="AM11" s="90">
        <f t="shared" si="38"/>
        <v>76</v>
      </c>
      <c r="AN11" s="90">
        <f t="shared" si="39"/>
        <v>20</v>
      </c>
      <c r="AO11" s="90">
        <f t="shared" si="4"/>
        <v>35</v>
      </c>
      <c r="AP11" s="90">
        <f t="shared" si="40"/>
        <v>10</v>
      </c>
      <c r="AQ11" s="90">
        <f t="shared" si="5"/>
        <v>26</v>
      </c>
      <c r="AR11" s="90">
        <f t="shared" si="41"/>
        <v>108.43899999999999</v>
      </c>
      <c r="AS11" s="90">
        <f t="shared" si="42"/>
        <v>122.43899999999996</v>
      </c>
      <c r="AT11" s="90">
        <f t="shared" si="43"/>
        <v>1001.439</v>
      </c>
      <c r="AU11" s="90">
        <f t="shared" si="44"/>
        <v>306</v>
      </c>
      <c r="AV11" s="90">
        <f t="shared" si="65"/>
        <v>68</v>
      </c>
      <c r="AW11" s="90">
        <f t="shared" si="45"/>
        <v>573</v>
      </c>
      <c r="AX11" s="90">
        <f t="shared" si="66"/>
        <v>27</v>
      </c>
      <c r="AY11" s="90">
        <v>0</v>
      </c>
      <c r="AZ11" s="90">
        <f t="shared" si="46"/>
        <v>342</v>
      </c>
      <c r="BA11" s="90">
        <v>73</v>
      </c>
      <c r="BB11" s="90">
        <f t="shared" si="47"/>
        <v>102</v>
      </c>
      <c r="BC11" s="90">
        <f t="shared" si="47"/>
        <v>1006</v>
      </c>
      <c r="BD11" s="91">
        <f t="shared" si="48"/>
        <v>72</v>
      </c>
      <c r="BE11" s="90"/>
      <c r="BF11" s="90"/>
      <c r="BG11" s="90">
        <f t="shared" si="6"/>
        <v>1450</v>
      </c>
      <c r="BH11" s="90">
        <f t="shared" si="49"/>
        <v>777</v>
      </c>
      <c r="BI11" s="90">
        <f t="shared" si="50"/>
        <v>1978.2609999999995</v>
      </c>
      <c r="BJ11" s="90">
        <f t="shared" si="7"/>
        <v>5451.7390000000005</v>
      </c>
      <c r="BK11" s="92"/>
      <c r="BL11" s="93">
        <f t="shared" si="51"/>
        <v>8207</v>
      </c>
      <c r="BM11" s="93">
        <f t="shared" si="52"/>
        <v>44279</v>
      </c>
      <c r="BN11" s="92"/>
      <c r="BO11" s="94">
        <f t="shared" si="53"/>
        <v>9.8037303758323507E-2</v>
      </c>
      <c r="BP11" s="94">
        <f t="shared" si="53"/>
        <v>1.5904612947843132E-2</v>
      </c>
      <c r="BQ11" s="94">
        <f t="shared" si="54"/>
        <v>0.27436338965458884</v>
      </c>
      <c r="BR11" s="94">
        <f t="shared" si="67"/>
        <v>0.54167373587332712</v>
      </c>
      <c r="BS11" s="94">
        <f t="shared" si="8"/>
        <v>5.3779456198360928E-2</v>
      </c>
      <c r="BT11" s="94">
        <f t="shared" si="8"/>
        <v>5.2157256208115281E-2</v>
      </c>
      <c r="BU11" s="95">
        <f t="shared" si="8"/>
        <v>0.93181283352740385</v>
      </c>
      <c r="BV11" s="94">
        <f t="shared" si="9"/>
        <v>8.1652265909121627E-2</v>
      </c>
      <c r="BW11" s="94">
        <f t="shared" si="9"/>
        <v>1.3246464721228004E-2</v>
      </c>
      <c r="BX11" s="94">
        <f t="shared" si="9"/>
        <v>0.22850885927085116</v>
      </c>
      <c r="BY11" s="94">
        <f t="shared" si="55"/>
        <v>0.45114345480723306</v>
      </c>
      <c r="BZ11" s="95">
        <f t="shared" si="10"/>
        <v>0.77607835327939589</v>
      </c>
      <c r="CA11" s="96" t="e">
        <f>#REF!</f>
        <v>#REF!</v>
      </c>
      <c r="CB11" s="94">
        <f t="shared" si="11"/>
        <v>3.1849964255105175E-2</v>
      </c>
      <c r="CC11" s="95">
        <f t="shared" si="11"/>
        <v>3.5961948869233595E-2</v>
      </c>
      <c r="CD11" s="97">
        <f t="shared" si="12"/>
        <v>0.11674410562790584</v>
      </c>
      <c r="CE11" s="98">
        <f t="shared" si="12"/>
        <v>0.13181633498072798</v>
      </c>
      <c r="CF11" s="94">
        <f t="shared" si="56"/>
        <v>0.27426614581731312</v>
      </c>
      <c r="CG11" s="94">
        <f t="shared" si="56"/>
        <v>8.2023520244430076E-2</v>
      </c>
      <c r="CH11" s="95">
        <f t="shared" si="57"/>
        <v>0.94583371781858439</v>
      </c>
      <c r="CI11" s="96" t="e">
        <f>#REF!</f>
        <v>#REF!</v>
      </c>
      <c r="CJ11" s="94">
        <f t="shared" si="58"/>
        <v>0.34105673451710694</v>
      </c>
      <c r="CK11" s="94">
        <f t="shared" si="58"/>
        <v>6.6767720513930984E-2</v>
      </c>
      <c r="CL11" s="95">
        <f t="shared" si="68"/>
        <v>0.60090948462537885</v>
      </c>
      <c r="CM11" s="95" t="e">
        <f>#REF!</f>
        <v>#REF!</v>
      </c>
      <c r="CN11" s="94">
        <f t="shared" si="59"/>
        <v>0.89659493907154098</v>
      </c>
      <c r="CO11" s="94">
        <f t="shared" si="59"/>
        <v>0.11332426739194199</v>
      </c>
      <c r="CP11" s="95">
        <f t="shared" si="60"/>
        <v>1.2632322747513534</v>
      </c>
      <c r="CQ11" s="95" t="e">
        <f>#REF!</f>
        <v>#REF!</v>
      </c>
      <c r="CR11" s="97">
        <f t="shared" si="69"/>
        <v>3.1744278252566364E-2</v>
      </c>
      <c r="CS11" s="95">
        <f t="shared" si="69"/>
        <v>5.5552486941991143E-2</v>
      </c>
      <c r="CT11" s="96" t="e">
        <f>#REF!</f>
        <v>#REF!</v>
      </c>
      <c r="CU11" s="97">
        <f t="shared" si="70"/>
        <v>1.0402531143877927E-2</v>
      </c>
      <c r="CV11" s="95">
        <f t="shared" si="61"/>
        <v>2.7046580974082614E-2</v>
      </c>
      <c r="CW11" s="96" t="e">
        <f>#REF!</f>
        <v>#REF!</v>
      </c>
      <c r="CX11" s="99">
        <f t="shared" si="62"/>
        <v>8.9876235137378468E-2</v>
      </c>
      <c r="CY11" s="95">
        <f t="shared" si="62"/>
        <v>1.9972496697195218E-2</v>
      </c>
      <c r="CZ11" s="99">
        <f t="shared" si="62"/>
        <v>0.16829765599254204</v>
      </c>
      <c r="DA11" s="95">
        <f t="shared" si="62"/>
        <v>7.9302560415333949E-3</v>
      </c>
      <c r="DB11" s="94">
        <f t="shared" si="13"/>
        <v>0.10044990985942301</v>
      </c>
      <c r="DC11" s="94">
        <f t="shared" si="14"/>
        <v>2.9958745045792823E-2</v>
      </c>
      <c r="DD11" s="94">
        <f t="shared" si="14"/>
        <v>0.2954754658437998</v>
      </c>
      <c r="DE11" s="94">
        <f t="shared" si="14"/>
        <v>2.1147349444089053E-2</v>
      </c>
      <c r="DF11" s="94">
        <f t="shared" si="14"/>
        <v>0</v>
      </c>
      <c r="DG11" s="94">
        <f t="shared" si="14"/>
        <v>0</v>
      </c>
      <c r="DH11" s="95">
        <f t="shared" si="14"/>
        <v>0.4258841207490156</v>
      </c>
      <c r="DI11" s="96" t="e">
        <f>#REF!</f>
        <v>#REF!</v>
      </c>
      <c r="DJ11" s="95">
        <f t="shared" si="63"/>
        <v>0.22821514608412768</v>
      </c>
      <c r="DK11" s="96" t="e">
        <f>#REF!</f>
        <v>#REF!</v>
      </c>
      <c r="DL11" s="95">
        <f t="shared" si="15"/>
        <v>0.58104134248073669</v>
      </c>
      <c r="DM11" s="96">
        <f t="shared" si="16"/>
        <v>0</v>
      </c>
      <c r="DN11" s="94">
        <f t="shared" si="17"/>
        <v>1.6012476348745641</v>
      </c>
      <c r="DO11" s="100">
        <v>3.4</v>
      </c>
      <c r="DP11" s="94">
        <f>IF($O11&lt;&gt;0,IF($O11&lt;&gt;0,BL11/$O11*10,0)," ")</f>
        <v>2.4105041234394284</v>
      </c>
      <c r="DQ11" s="94">
        <f t="shared" si="72"/>
        <v>3.3257342694980996</v>
      </c>
      <c r="DR11" s="101" t="str">
        <f t="shared" si="18"/>
        <v>3,315, hL/NhL</v>
      </c>
      <c r="DS11" s="116"/>
      <c r="DT11" s="103">
        <v>6</v>
      </c>
      <c r="DU11" s="76">
        <v>618960</v>
      </c>
      <c r="DV11" s="76">
        <v>24725</v>
      </c>
      <c r="DW11" s="77">
        <v>5115614</v>
      </c>
      <c r="DX11" s="129">
        <v>110346</v>
      </c>
      <c r="DY11" s="76">
        <v>82740</v>
      </c>
      <c r="DZ11" s="76">
        <v>379785</v>
      </c>
      <c r="EA11" s="76">
        <v>222599</v>
      </c>
      <c r="EB11" s="77">
        <v>52058</v>
      </c>
      <c r="EC11" s="76">
        <v>390266</v>
      </c>
      <c r="ED11" s="76">
        <v>45812</v>
      </c>
      <c r="EE11" s="77">
        <v>37525</v>
      </c>
      <c r="EF11" s="77">
        <v>39764</v>
      </c>
      <c r="EG11" s="76">
        <v>90184</v>
      </c>
      <c r="EH11" s="76">
        <v>178027</v>
      </c>
      <c r="EI11" s="76">
        <v>30803</v>
      </c>
      <c r="EJ11" s="77">
        <v>39102</v>
      </c>
      <c r="EK11" s="77"/>
      <c r="EL11" s="76">
        <v>688908</v>
      </c>
      <c r="EM11" s="77">
        <v>7780</v>
      </c>
      <c r="EN11" s="77">
        <v>41891</v>
      </c>
      <c r="EO11" s="76">
        <v>2934524</v>
      </c>
      <c r="EP11" s="77">
        <v>2689875</v>
      </c>
      <c r="EQ11" s="77">
        <v>1525</v>
      </c>
      <c r="ER11" s="77">
        <v>1479</v>
      </c>
      <c r="ES11" s="124">
        <v>321061</v>
      </c>
      <c r="ET11" s="77">
        <v>6122890</v>
      </c>
      <c r="EU11" s="77">
        <v>401211</v>
      </c>
      <c r="EV11" s="77">
        <v>124598</v>
      </c>
      <c r="EW11" s="77">
        <v>91203</v>
      </c>
      <c r="EX11" s="76">
        <v>202968</v>
      </c>
      <c r="EY11" s="76">
        <v>1603328</v>
      </c>
      <c r="EZ11" s="76">
        <v>740616</v>
      </c>
      <c r="FA11" s="76">
        <v>734726</v>
      </c>
      <c r="FB11" s="77">
        <v>30352</v>
      </c>
      <c r="FC11" s="77">
        <v>7430</v>
      </c>
      <c r="FD11" s="77">
        <f>SUM(FE11:FM11)</f>
        <v>7697</v>
      </c>
      <c r="FE11" s="105">
        <f t="shared" si="74"/>
        <v>0</v>
      </c>
      <c r="FF11" s="105">
        <f t="shared" si="74"/>
        <v>720</v>
      </c>
      <c r="FG11" s="105">
        <f t="shared" si="74"/>
        <v>1966</v>
      </c>
      <c r="FH11" s="105">
        <f t="shared" si="74"/>
        <v>2719</v>
      </c>
      <c r="FI11" s="105">
        <v>758</v>
      </c>
      <c r="FJ11" s="105">
        <f t="shared" si="74"/>
        <v>988</v>
      </c>
      <c r="FK11" s="105">
        <f t="shared" si="74"/>
        <v>0</v>
      </c>
      <c r="FL11" s="105">
        <f t="shared" si="74"/>
        <v>546</v>
      </c>
      <c r="FM11" s="105">
        <f t="shared" si="74"/>
        <v>0</v>
      </c>
      <c r="FN11" s="124">
        <f t="shared" si="73"/>
        <v>510</v>
      </c>
      <c r="FO11" s="104">
        <v>994732</v>
      </c>
      <c r="FP11" s="132"/>
      <c r="FY11" s="119">
        <v>6</v>
      </c>
      <c r="FZ11" s="107">
        <v>9080</v>
      </c>
      <c r="GA11" s="107">
        <v>1148</v>
      </c>
      <c r="GB11" s="108">
        <f>GA11/FZ11/0.1</f>
        <v>1.2643171806167399</v>
      </c>
      <c r="GC11" s="109"/>
      <c r="GD11" s="110"/>
      <c r="GE11" s="110"/>
      <c r="GF11" s="111"/>
      <c r="GG11" s="111"/>
      <c r="GH11" s="111"/>
      <c r="GI11" s="112"/>
      <c r="GJ11" s="111">
        <f t="shared" si="64"/>
        <v>1030.5958188153311</v>
      </c>
      <c r="GK11" s="113"/>
    </row>
    <row r="12" spans="1:194" s="119" customFormat="1" ht="15" customHeight="1">
      <c r="B12" s="133">
        <v>7</v>
      </c>
      <c r="D12" s="131"/>
      <c r="E12" s="131"/>
      <c r="F12" s="131">
        <v>2685.3119999999999</v>
      </c>
      <c r="G12" s="86"/>
      <c r="H12" s="86">
        <v>6618.3289999999997</v>
      </c>
      <c r="I12" s="86">
        <v>1816.3780000000002</v>
      </c>
      <c r="J12" s="86"/>
      <c r="K12" s="86"/>
      <c r="L12" s="85"/>
      <c r="M12" s="115">
        <f t="shared" si="21"/>
        <v>1816.3780000000002</v>
      </c>
      <c r="N12" s="88">
        <f t="shared" si="0"/>
        <v>9303.6409999999996</v>
      </c>
      <c r="O12" s="88">
        <f>N12+L12+K12+((J12+I12)*0.5)</f>
        <v>10211.83</v>
      </c>
      <c r="P12" s="89">
        <f t="shared" si="23"/>
        <v>143352.353</v>
      </c>
      <c r="R12" s="90">
        <f t="shared" si="24"/>
        <v>316</v>
      </c>
      <c r="S12" s="90">
        <f t="shared" si="25"/>
        <v>46.8</v>
      </c>
      <c r="T12" s="90">
        <f t="shared" si="1"/>
        <v>648.9</v>
      </c>
      <c r="U12" s="91">
        <f t="shared" si="75"/>
        <v>5.9</v>
      </c>
      <c r="V12" s="90">
        <f t="shared" si="26"/>
        <v>1155</v>
      </c>
      <c r="W12" s="91">
        <f t="shared" si="2"/>
        <v>139.5</v>
      </c>
      <c r="X12" s="90">
        <f t="shared" si="27"/>
        <v>1155</v>
      </c>
      <c r="Y12" s="90">
        <f t="shared" si="28"/>
        <v>241.8</v>
      </c>
      <c r="Z12" s="90">
        <f t="shared" si="3"/>
        <v>44.3</v>
      </c>
      <c r="AA12" s="90">
        <f t="shared" si="29"/>
        <v>2172.6</v>
      </c>
      <c r="AB12" s="90">
        <f t="shared" si="30"/>
        <v>0</v>
      </c>
      <c r="AC12" s="90">
        <f t="shared" si="30"/>
        <v>0</v>
      </c>
      <c r="AD12" s="90">
        <f t="shared" si="31"/>
        <v>25</v>
      </c>
      <c r="AE12" s="90">
        <f t="shared" si="32"/>
        <v>25</v>
      </c>
      <c r="AF12" s="90">
        <f t="shared" si="33"/>
        <v>0</v>
      </c>
      <c r="AG12" s="90">
        <f t="shared" si="33"/>
        <v>31</v>
      </c>
      <c r="AH12" s="90">
        <f t="shared" si="34"/>
        <v>94</v>
      </c>
      <c r="AI12" s="90">
        <f t="shared" si="35"/>
        <v>63</v>
      </c>
      <c r="AJ12" s="90">
        <f t="shared" si="36"/>
        <v>203</v>
      </c>
      <c r="AK12" s="90">
        <f t="shared" si="36"/>
        <v>23</v>
      </c>
      <c r="AL12" s="90">
        <f t="shared" si="37"/>
        <v>298</v>
      </c>
      <c r="AM12" s="90">
        <f t="shared" si="38"/>
        <v>72</v>
      </c>
      <c r="AN12" s="90">
        <f t="shared" si="39"/>
        <v>1</v>
      </c>
      <c r="AO12" s="90">
        <f t="shared" si="4"/>
        <v>8</v>
      </c>
      <c r="AP12" s="90">
        <f t="shared" si="40"/>
        <v>10</v>
      </c>
      <c r="AQ12" s="90">
        <f t="shared" si="5"/>
        <v>24</v>
      </c>
      <c r="AR12" s="90">
        <f t="shared" si="41"/>
        <v>101.69</v>
      </c>
      <c r="AS12" s="90">
        <f t="shared" si="42"/>
        <v>78.69</v>
      </c>
      <c r="AT12" s="90">
        <f t="shared" si="43"/>
        <v>365.69</v>
      </c>
      <c r="AU12" s="90">
        <f t="shared" si="44"/>
        <v>261</v>
      </c>
      <c r="AV12" s="90">
        <f t="shared" si="65"/>
        <v>25</v>
      </c>
      <c r="AW12" s="90">
        <f t="shared" si="45"/>
        <v>26</v>
      </c>
      <c r="AX12" s="90">
        <f t="shared" si="66"/>
        <v>40</v>
      </c>
      <c r="AY12" s="90">
        <v>0</v>
      </c>
      <c r="AZ12" s="90">
        <f t="shared" si="46"/>
        <v>444</v>
      </c>
      <c r="BA12" s="90">
        <v>0</v>
      </c>
      <c r="BB12" s="90">
        <f t="shared" si="47"/>
        <v>95</v>
      </c>
      <c r="BC12" s="90">
        <f t="shared" si="47"/>
        <v>1110</v>
      </c>
      <c r="BD12" s="91">
        <f t="shared" si="48"/>
        <v>180</v>
      </c>
      <c r="BE12" s="90"/>
      <c r="BF12" s="90"/>
      <c r="BG12" s="90">
        <f t="shared" si="6"/>
        <v>1649</v>
      </c>
      <c r="BH12" s="90">
        <f t="shared" si="49"/>
        <v>835</v>
      </c>
      <c r="BI12" s="90">
        <f t="shared" si="50"/>
        <v>1394.71</v>
      </c>
      <c r="BJ12" s="90">
        <f t="shared" si="7"/>
        <v>4414.29</v>
      </c>
      <c r="BK12" s="92"/>
      <c r="BL12" s="93">
        <f t="shared" si="51"/>
        <v>6644</v>
      </c>
      <c r="BM12" s="93">
        <f t="shared" si="52"/>
        <v>50923</v>
      </c>
      <c r="BN12" s="92"/>
      <c r="BO12" s="94">
        <f t="shared" si="53"/>
        <v>0.33965197066395836</v>
      </c>
      <c r="BP12" s="94">
        <f t="shared" si="53"/>
        <v>5.0302886794535602E-2</v>
      </c>
      <c r="BQ12" s="94">
        <f t="shared" si="54"/>
        <v>0.69746887267038793</v>
      </c>
      <c r="BR12" s="94">
        <f t="shared" si="67"/>
        <v>1.2414494497369364</v>
      </c>
      <c r="BS12" s="94">
        <f t="shared" si="8"/>
        <v>0.25989824843843395</v>
      </c>
      <c r="BT12" s="94">
        <f t="shared" si="8"/>
        <v>4.761576677345998E-2</v>
      </c>
      <c r="BU12" s="95">
        <f t="shared" si="8"/>
        <v>2.3352147831155565</v>
      </c>
      <c r="BV12" s="94">
        <f t="shared" si="9"/>
        <v>0.30944502601394658</v>
      </c>
      <c r="BW12" s="94">
        <f t="shared" si="9"/>
        <v>4.5829200055230057E-2</v>
      </c>
      <c r="BX12" s="94">
        <f t="shared" si="9"/>
        <v>0.63543948538117068</v>
      </c>
      <c r="BY12" s="94">
        <f t="shared" si="55"/>
        <v>1.1310411552092035</v>
      </c>
      <c r="BZ12" s="95">
        <f t="shared" si="10"/>
        <v>2.1275324794870261</v>
      </c>
      <c r="CA12" s="96" t="e">
        <f>#REF!</f>
        <v>#REF!</v>
      </c>
      <c r="CB12" s="94">
        <f t="shared" si="11"/>
        <v>9.9580584478981715E-2</v>
      </c>
      <c r="CC12" s="95">
        <f t="shared" si="11"/>
        <v>7.7057687015941317E-2</v>
      </c>
      <c r="CD12" s="97">
        <f t="shared" si="12"/>
        <v>0.55985042760923109</v>
      </c>
      <c r="CE12" s="98">
        <f t="shared" si="12"/>
        <v>0.43322480232638794</v>
      </c>
      <c r="CF12" s="94" t="str">
        <f t="shared" si="56"/>
        <v>0,00</v>
      </c>
      <c r="CG12" s="94" t="str">
        <f t="shared" si="56"/>
        <v>0,00</v>
      </c>
      <c r="CH12" s="95" t="str">
        <f t="shared" si="57"/>
        <v xml:space="preserve">0,00 </v>
      </c>
      <c r="CI12" s="96" t="e">
        <f>#REF!</f>
        <v>#REF!</v>
      </c>
      <c r="CJ12" s="94" t="str">
        <f t="shared" si="58"/>
        <v>0,00</v>
      </c>
      <c r="CK12" s="94" t="str">
        <f t="shared" si="58"/>
        <v>0,00</v>
      </c>
      <c r="CL12" s="95" t="str">
        <f t="shared" si="68"/>
        <v xml:space="preserve">0,00 </v>
      </c>
      <c r="CM12" s="95" t="e">
        <f>#REF!</f>
        <v>#REF!</v>
      </c>
      <c r="CN12" s="94">
        <f t="shared" si="59"/>
        <v>0.75596429763096429</v>
      </c>
      <c r="CO12" s="94">
        <f t="shared" si="59"/>
        <v>8.5651127317793993E-2</v>
      </c>
      <c r="CP12" s="95">
        <f t="shared" si="60"/>
        <v>1.1097406930740263</v>
      </c>
      <c r="CQ12" s="95" t="e">
        <f>#REF!</f>
        <v>#REF!</v>
      </c>
      <c r="CR12" s="97" t="str">
        <f t="shared" si="69"/>
        <v xml:space="preserve">0,00 </v>
      </c>
      <c r="CS12" s="95" t="str">
        <f t="shared" si="69"/>
        <v xml:space="preserve">0,00 </v>
      </c>
      <c r="CT12" s="96" t="e">
        <f>#REF!</f>
        <v>#REF!</v>
      </c>
      <c r="CU12" s="97">
        <f t="shared" si="70"/>
        <v>1.5109554088350699E-2</v>
      </c>
      <c r="CV12" s="95">
        <f t="shared" si="61"/>
        <v>3.6262929812041683E-2</v>
      </c>
      <c r="CW12" s="96" t="e">
        <f>#REF!</f>
        <v>#REF!</v>
      </c>
      <c r="CX12" s="99">
        <f t="shared" si="62"/>
        <v>0.25558592338493691</v>
      </c>
      <c r="CY12" s="95">
        <f t="shared" si="62"/>
        <v>2.4481410285913493E-2</v>
      </c>
      <c r="CZ12" s="99">
        <f t="shared" si="62"/>
        <v>2.5460666697350035E-2</v>
      </c>
      <c r="DA12" s="95">
        <f t="shared" si="62"/>
        <v>3.917025645746159E-2</v>
      </c>
      <c r="DB12" s="94">
        <f t="shared" si="13"/>
        <v>0.43478984667782372</v>
      </c>
      <c r="DC12" s="94">
        <f t="shared" si="14"/>
        <v>9.302935908647128E-2</v>
      </c>
      <c r="DD12" s="94">
        <f t="shared" si="14"/>
        <v>1.0869746166945591</v>
      </c>
      <c r="DE12" s="94">
        <f t="shared" si="14"/>
        <v>0.17626615405857718</v>
      </c>
      <c r="DF12" s="94">
        <f t="shared" si="14"/>
        <v>0</v>
      </c>
      <c r="DG12" s="94">
        <f t="shared" si="14"/>
        <v>0</v>
      </c>
      <c r="DH12" s="95">
        <f t="shared" si="14"/>
        <v>1.6147938224588541</v>
      </c>
      <c r="DI12" s="96" t="e">
        <f>#REF!</f>
        <v>#REF!</v>
      </c>
      <c r="DJ12" s="95">
        <f t="shared" si="63"/>
        <v>0.81767910354951068</v>
      </c>
      <c r="DK12" s="96" t="e">
        <f>#REF!</f>
        <v>#REF!</v>
      </c>
      <c r="DL12" s="95">
        <f t="shared" si="15"/>
        <v>1.3657787095946563</v>
      </c>
      <c r="DM12" s="96">
        <f t="shared" si="16"/>
        <v>0</v>
      </c>
      <c r="DN12" s="94">
        <f t="shared" si="17"/>
        <v>4.3227217844402031</v>
      </c>
      <c r="DO12" s="100">
        <v>3.4</v>
      </c>
      <c r="DP12" s="94">
        <f>IF($O12&lt;&gt;0,IF($O12&lt;&gt;0,BL12/$O12*10,0)," ")</f>
        <v>6.5061795975843708</v>
      </c>
      <c r="DQ12" s="94">
        <f t="shared" si="72"/>
        <v>3.5522960686944565</v>
      </c>
      <c r="DR12" s="101" t="str">
        <f t="shared" si="18"/>
        <v>3,315, hL/NhL</v>
      </c>
      <c r="DS12" s="116"/>
      <c r="DT12" s="134">
        <v>7</v>
      </c>
      <c r="DU12" s="76">
        <v>618960</v>
      </c>
      <c r="DV12" s="76">
        <v>24725</v>
      </c>
      <c r="DW12" s="135">
        <v>5115639</v>
      </c>
      <c r="DX12" s="136">
        <v>110346</v>
      </c>
      <c r="DY12" s="136">
        <v>82771</v>
      </c>
      <c r="DZ12" s="136">
        <v>379879</v>
      </c>
      <c r="EA12" s="136">
        <v>222802</v>
      </c>
      <c r="EB12" s="136">
        <v>52081</v>
      </c>
      <c r="EC12" s="136">
        <v>390564</v>
      </c>
      <c r="ED12" s="137">
        <v>45813</v>
      </c>
      <c r="EE12" s="136">
        <v>37526</v>
      </c>
      <c r="EF12" s="136">
        <v>39771</v>
      </c>
      <c r="EG12" s="135">
        <v>90194</v>
      </c>
      <c r="EH12" s="135">
        <v>178051</v>
      </c>
      <c r="EI12" s="135">
        <v>30828</v>
      </c>
      <c r="EJ12" s="136">
        <v>39142</v>
      </c>
      <c r="EK12" s="136"/>
      <c r="EL12" s="135">
        <v>689224</v>
      </c>
      <c r="EM12" s="136">
        <v>6489</v>
      </c>
      <c r="EN12" s="136">
        <v>41950</v>
      </c>
      <c r="EO12" s="135">
        <v>2935679</v>
      </c>
      <c r="EP12" s="136">
        <v>2691270</v>
      </c>
      <c r="EQ12" s="136">
        <v>2418</v>
      </c>
      <c r="ER12" s="136">
        <v>443</v>
      </c>
      <c r="ES12" s="136">
        <v>321325</v>
      </c>
      <c r="ET12" s="136">
        <v>6224580</v>
      </c>
      <c r="EU12" s="136">
        <v>401237</v>
      </c>
      <c r="EV12" s="136">
        <v>124859</v>
      </c>
      <c r="EW12" s="136">
        <v>91647</v>
      </c>
      <c r="EX12" s="135">
        <v>203063</v>
      </c>
      <c r="EY12" s="135">
        <v>1604438</v>
      </c>
      <c r="EZ12" s="135">
        <v>741084</v>
      </c>
      <c r="FA12" s="135">
        <v>734906</v>
      </c>
      <c r="FB12" s="136">
        <v>30352</v>
      </c>
      <c r="FC12" s="136">
        <v>5809</v>
      </c>
      <c r="FD12" s="104">
        <f t="shared" si="19"/>
        <v>6312</v>
      </c>
      <c r="FE12" s="105">
        <f t="shared" si="74"/>
        <v>0</v>
      </c>
      <c r="FF12" s="105">
        <f t="shared" si="74"/>
        <v>173</v>
      </c>
      <c r="FG12" s="105">
        <f t="shared" si="74"/>
        <v>1965</v>
      </c>
      <c r="FH12" s="105">
        <f t="shared" si="74"/>
        <v>1876</v>
      </c>
      <c r="FI12" s="105">
        <v>712</v>
      </c>
      <c r="FJ12" s="105">
        <f t="shared" si="74"/>
        <v>724</v>
      </c>
      <c r="FK12" s="105">
        <f t="shared" si="74"/>
        <v>0</v>
      </c>
      <c r="FL12" s="105">
        <f t="shared" si="74"/>
        <v>862</v>
      </c>
      <c r="FM12" s="105">
        <f t="shared" si="74"/>
        <v>0</v>
      </c>
      <c r="FN12" s="124">
        <f t="shared" si="73"/>
        <v>332</v>
      </c>
      <c r="FO12" s="104">
        <v>995064</v>
      </c>
      <c r="FP12" s="132"/>
      <c r="FY12" s="119">
        <v>7</v>
      </c>
      <c r="FZ12" s="107">
        <v>9087</v>
      </c>
      <c r="GA12" s="107">
        <v>1193</v>
      </c>
      <c r="GB12" s="108">
        <f>GA12/FZ12/0.1</f>
        <v>1.312864531748652</v>
      </c>
      <c r="GC12" s="109"/>
      <c r="GD12" s="110"/>
      <c r="GE12" s="110"/>
      <c r="GF12" s="111"/>
      <c r="GG12" s="111"/>
      <c r="GH12" s="111"/>
      <c r="GI12" s="112"/>
      <c r="GJ12" s="111">
        <f t="shared" si="64"/>
        <v>2288.1264040234701</v>
      </c>
      <c r="GK12" s="113"/>
    </row>
    <row r="13" spans="1:194" s="119" customFormat="1" ht="15" customHeight="1">
      <c r="B13" s="138">
        <v>8</v>
      </c>
      <c r="D13" s="131"/>
      <c r="E13" s="131">
        <v>3716.52</v>
      </c>
      <c r="F13" s="131">
        <v>2255.6880000000001</v>
      </c>
      <c r="G13" s="86">
        <v>3320.0529999999999</v>
      </c>
      <c r="H13" s="86">
        <v>7102.2649999999994</v>
      </c>
      <c r="I13" s="86">
        <v>1385.085</v>
      </c>
      <c r="J13" s="86">
        <v>4461.7440000000006</v>
      </c>
      <c r="K13" s="85"/>
      <c r="L13" s="85"/>
      <c r="M13" s="115">
        <f t="shared" si="21"/>
        <v>5846.8290000000006</v>
      </c>
      <c r="N13" s="88">
        <f t="shared" si="0"/>
        <v>16394.525999999998</v>
      </c>
      <c r="O13" s="88">
        <f>N13+L13+K13+((J13+I13)*0.5)</f>
        <v>19317.940499999997</v>
      </c>
      <c r="P13" s="89">
        <f t="shared" si="23"/>
        <v>162670.2935</v>
      </c>
      <c r="R13" s="90">
        <f t="shared" si="24"/>
        <v>313</v>
      </c>
      <c r="S13" s="90">
        <f t="shared" si="25"/>
        <v>30.1</v>
      </c>
      <c r="T13" s="90">
        <f t="shared" si="1"/>
        <v>566.5</v>
      </c>
      <c r="U13" s="91">
        <f t="shared" si="75"/>
        <v>5.9</v>
      </c>
      <c r="V13" s="90">
        <f t="shared" si="26"/>
        <v>1682</v>
      </c>
      <c r="W13" s="91">
        <f t="shared" si="2"/>
        <v>278.2</v>
      </c>
      <c r="X13" s="90">
        <f t="shared" si="27"/>
        <v>1682</v>
      </c>
      <c r="Y13" s="90">
        <f t="shared" si="28"/>
        <v>164.7</v>
      </c>
      <c r="Z13" s="90">
        <f t="shared" si="3"/>
        <v>174.8</v>
      </c>
      <c r="AA13" s="90">
        <f t="shared" si="29"/>
        <v>2597.5</v>
      </c>
      <c r="AB13" s="90">
        <f t="shared" si="30"/>
        <v>0</v>
      </c>
      <c r="AC13" s="90">
        <f t="shared" si="30"/>
        <v>17</v>
      </c>
      <c r="AD13" s="90">
        <f t="shared" si="31"/>
        <v>17</v>
      </c>
      <c r="AE13" s="90">
        <f t="shared" si="32"/>
        <v>0</v>
      </c>
      <c r="AF13" s="90">
        <f t="shared" si="33"/>
        <v>230</v>
      </c>
      <c r="AG13" s="90">
        <f t="shared" si="33"/>
        <v>18</v>
      </c>
      <c r="AH13" s="90">
        <f t="shared" si="34"/>
        <v>292</v>
      </c>
      <c r="AI13" s="90">
        <f t="shared" si="35"/>
        <v>44</v>
      </c>
      <c r="AJ13" s="90">
        <f t="shared" si="36"/>
        <v>183</v>
      </c>
      <c r="AK13" s="90">
        <f t="shared" si="36"/>
        <v>15</v>
      </c>
      <c r="AL13" s="90">
        <f t="shared" si="37"/>
        <v>288</v>
      </c>
      <c r="AM13" s="90">
        <f t="shared" si="38"/>
        <v>90</v>
      </c>
      <c r="AN13" s="90">
        <f t="shared" si="39"/>
        <v>31</v>
      </c>
      <c r="AO13" s="90">
        <f t="shared" si="4"/>
        <v>58</v>
      </c>
      <c r="AP13" s="90">
        <f t="shared" si="40"/>
        <v>25</v>
      </c>
      <c r="AQ13" s="90">
        <f t="shared" si="5"/>
        <v>54</v>
      </c>
      <c r="AR13" s="90">
        <f t="shared" si="41"/>
        <v>26.881</v>
      </c>
      <c r="AS13" s="90">
        <f t="shared" si="42"/>
        <v>231.88099999999997</v>
      </c>
      <c r="AT13" s="90">
        <f t="shared" si="43"/>
        <v>858.88099999999997</v>
      </c>
      <c r="AU13" s="90">
        <f t="shared" si="44"/>
        <v>183</v>
      </c>
      <c r="AV13" s="90">
        <f t="shared" si="65"/>
        <v>27</v>
      </c>
      <c r="AW13" s="90">
        <f t="shared" si="45"/>
        <v>444</v>
      </c>
      <c r="AX13" s="90">
        <f t="shared" si="66"/>
        <v>4</v>
      </c>
      <c r="AY13" s="90">
        <v>12.3</v>
      </c>
      <c r="AZ13" s="90">
        <f t="shared" si="46"/>
        <v>346</v>
      </c>
      <c r="BA13" s="90">
        <v>102</v>
      </c>
      <c r="BB13" s="90">
        <f t="shared" si="47"/>
        <v>121</v>
      </c>
      <c r="BC13" s="90">
        <f t="shared" si="47"/>
        <v>1111</v>
      </c>
      <c r="BD13" s="91">
        <f t="shared" si="48"/>
        <v>317</v>
      </c>
      <c r="BE13" s="90"/>
      <c r="BF13" s="90"/>
      <c r="BG13" s="90">
        <f t="shared" si="6"/>
        <v>1578</v>
      </c>
      <c r="BH13" s="90">
        <f>BL13-FC13</f>
        <v>257</v>
      </c>
      <c r="BI13" s="90">
        <f t="shared" si="50"/>
        <v>2208.6189999999997</v>
      </c>
      <c r="BJ13" s="90">
        <f t="shared" si="7"/>
        <v>5147.3810000000003</v>
      </c>
      <c r="BK13" s="92"/>
      <c r="BL13" s="93">
        <f t="shared" si="51"/>
        <v>7613</v>
      </c>
      <c r="BM13" s="93">
        <f t="shared" si="52"/>
        <v>58536</v>
      </c>
      <c r="BN13" s="92"/>
      <c r="BO13" s="94">
        <f t="shared" si="53"/>
        <v>0.19091738303382486</v>
      </c>
      <c r="BP13" s="94">
        <f t="shared" si="53"/>
        <v>1.8359786675137789E-2</v>
      </c>
      <c r="BQ13" s="94">
        <f t="shared" si="54"/>
        <v>0.34554216450051689</v>
      </c>
      <c r="BR13" s="94">
        <f t="shared" si="67"/>
        <v>1.0259521989229821</v>
      </c>
      <c r="BS13" s="94">
        <f t="shared" si="8"/>
        <v>0.10046036097658451</v>
      </c>
      <c r="BT13" s="94">
        <f t="shared" si="8"/>
        <v>0.10662095384764404</v>
      </c>
      <c r="BU13" s="95">
        <f t="shared" si="8"/>
        <v>1.5843702953046646</v>
      </c>
      <c r="BV13" s="94">
        <f t="shared" si="9"/>
        <v>0.16202555339685412</v>
      </c>
      <c r="BW13" s="94">
        <f t="shared" si="9"/>
        <v>1.5581371109409933E-2</v>
      </c>
      <c r="BX13" s="94">
        <f t="shared" si="9"/>
        <v>0.29325072204254904</v>
      </c>
      <c r="BY13" s="94">
        <f t="shared" si="55"/>
        <v>0.8706932294361297</v>
      </c>
      <c r="BZ13" s="95">
        <f t="shared" si="10"/>
        <v>1.3446050317837974</v>
      </c>
      <c r="CA13" s="96" t="e">
        <f>#REF!</f>
        <v>#REF!</v>
      </c>
      <c r="CB13" s="94">
        <f t="shared" si="11"/>
        <v>1.3915044411695958E-2</v>
      </c>
      <c r="CC13" s="95">
        <f t="shared" si="11"/>
        <v>0.12003401708375694</v>
      </c>
      <c r="CD13" s="97">
        <f t="shared" si="12"/>
        <v>4.5975348346941558E-2</v>
      </c>
      <c r="CE13" s="98">
        <f t="shared" si="12"/>
        <v>0.3965927513871193</v>
      </c>
      <c r="CF13" s="94" t="str">
        <f t="shared" si="56"/>
        <v>0,00</v>
      </c>
      <c r="CG13" s="94" t="str">
        <f t="shared" si="56"/>
        <v>0,00</v>
      </c>
      <c r="CH13" s="95" t="str">
        <f t="shared" si="57"/>
        <v xml:space="preserve">0,00 </v>
      </c>
      <c r="CI13" s="96" t="e">
        <f>#REF!</f>
        <v>#REF!</v>
      </c>
      <c r="CJ13" s="94">
        <f t="shared" si="58"/>
        <v>0.61885850203954229</v>
      </c>
      <c r="CK13" s="94">
        <f t="shared" si="58"/>
        <v>4.8432404507442448E-2</v>
      </c>
      <c r="CL13" s="95">
        <f t="shared" si="68"/>
        <v>0.78568122867628865</v>
      </c>
      <c r="CM13" s="95" t="e">
        <f>#REF!</f>
        <v>#REF!</v>
      </c>
      <c r="CN13" s="94">
        <f t="shared" si="59"/>
        <v>0.81128241139732094</v>
      </c>
      <c r="CO13" s="94">
        <f t="shared" si="59"/>
        <v>6.6498558311255812E-2</v>
      </c>
      <c r="CP13" s="95">
        <f t="shared" si="60"/>
        <v>1.2767723195761116</v>
      </c>
      <c r="CQ13" s="95" t="e">
        <f>#REF!</f>
        <v>#REF!</v>
      </c>
      <c r="CR13" s="97">
        <f t="shared" si="69"/>
        <v>9.3372003398740924E-2</v>
      </c>
      <c r="CS13" s="95">
        <f t="shared" si="69"/>
        <v>0.17469600635893465</v>
      </c>
      <c r="CT13" s="96" t="e">
        <f>#REF!</f>
        <v>#REF!</v>
      </c>
      <c r="CU13" s="97">
        <f t="shared" si="70"/>
        <v>3.5200038297641671E-2</v>
      </c>
      <c r="CV13" s="95">
        <f t="shared" si="61"/>
        <v>7.6032082722906014E-2</v>
      </c>
      <c r="CW13" s="96" t="e">
        <f>#REF!</f>
        <v>#REF!</v>
      </c>
      <c r="CX13" s="99">
        <f t="shared" si="62"/>
        <v>9.4730595117010555E-2</v>
      </c>
      <c r="CY13" s="95">
        <f t="shared" si="62"/>
        <v>1.3976645181198278E-2</v>
      </c>
      <c r="CZ13" s="99">
        <f t="shared" si="62"/>
        <v>0.22983816520192724</v>
      </c>
      <c r="DA13" s="95">
        <f t="shared" si="62"/>
        <v>2.0706141009182635E-3</v>
      </c>
      <c r="DB13" s="94">
        <f t="shared" si="13"/>
        <v>0.17910811972942978</v>
      </c>
      <c r="DC13" s="94">
        <f t="shared" si="14"/>
        <v>6.2636076552777462E-2</v>
      </c>
      <c r="DD13" s="94">
        <f t="shared" si="14"/>
        <v>0.57511306653004768</v>
      </c>
      <c r="DE13" s="94">
        <f t="shared" si="14"/>
        <v>0.16409616749777234</v>
      </c>
      <c r="DF13" s="94">
        <f t="shared" si="14"/>
        <v>0</v>
      </c>
      <c r="DG13" s="94">
        <f t="shared" si="14"/>
        <v>0</v>
      </c>
      <c r="DH13" s="95">
        <f t="shared" si="14"/>
        <v>0.8168572628122549</v>
      </c>
      <c r="DI13" s="96" t="e">
        <f>#REF!</f>
        <v>#REF!</v>
      </c>
      <c r="DJ13" s="95">
        <f t="shared" si="63"/>
        <v>0.13303695598399842</v>
      </c>
      <c r="DK13" s="96" t="e">
        <f>#REF!</f>
        <v>#REF!</v>
      </c>
      <c r="DL13" s="95">
        <f t="shared" si="15"/>
        <v>1.1432994112389983</v>
      </c>
      <c r="DM13" s="96">
        <f t="shared" si="16"/>
        <v>0</v>
      </c>
      <c r="DN13" s="94">
        <f t="shared" si="17"/>
        <v>2.6645599203496877</v>
      </c>
      <c r="DO13" s="100">
        <v>3.4</v>
      </c>
      <c r="DP13" s="94">
        <f t="shared" si="71"/>
        <v>3.9408962875726843</v>
      </c>
      <c r="DQ13" s="94">
        <f t="shared" si="72"/>
        <v>3.5984443588650681</v>
      </c>
      <c r="DR13" s="101" t="str">
        <f t="shared" si="18"/>
        <v>3,315, hL/NhL</v>
      </c>
      <c r="DS13" s="116"/>
      <c r="DT13" s="134">
        <v>8</v>
      </c>
      <c r="DU13" s="76">
        <v>618960</v>
      </c>
      <c r="DV13" s="135">
        <v>24742</v>
      </c>
      <c r="DW13" s="135">
        <v>5115639</v>
      </c>
      <c r="DX13" s="136">
        <v>110576</v>
      </c>
      <c r="DY13" s="136">
        <v>82789</v>
      </c>
      <c r="DZ13" s="136">
        <v>380171</v>
      </c>
      <c r="EA13" s="136">
        <v>222985</v>
      </c>
      <c r="EB13" s="136">
        <v>52096</v>
      </c>
      <c r="EC13" s="136">
        <v>390852</v>
      </c>
      <c r="ED13" s="135">
        <v>45844</v>
      </c>
      <c r="EE13" s="136">
        <v>37540</v>
      </c>
      <c r="EF13" s="136">
        <v>39815</v>
      </c>
      <c r="EG13" s="135">
        <v>90219</v>
      </c>
      <c r="EH13" s="135">
        <v>178105</v>
      </c>
      <c r="EI13" s="135">
        <v>30855</v>
      </c>
      <c r="EJ13" s="136">
        <v>39146</v>
      </c>
      <c r="EK13" s="136"/>
      <c r="EL13" s="135">
        <v>689537</v>
      </c>
      <c r="EM13" s="135">
        <v>5665</v>
      </c>
      <c r="EN13" s="136">
        <v>42009</v>
      </c>
      <c r="EO13" s="135">
        <v>2937361</v>
      </c>
      <c r="EP13" s="136">
        <v>2694052</v>
      </c>
      <c r="EQ13" s="136">
        <v>1647</v>
      </c>
      <c r="ER13" s="136">
        <v>1748</v>
      </c>
      <c r="ES13" s="139">
        <v>322157</v>
      </c>
      <c r="ET13" s="136">
        <v>6251461</v>
      </c>
      <c r="EU13" s="136">
        <v>401681</v>
      </c>
      <c r="EV13" s="136">
        <v>125042</v>
      </c>
      <c r="EW13" s="136">
        <v>91993</v>
      </c>
      <c r="EX13" s="135">
        <v>203184</v>
      </c>
      <c r="EY13" s="135">
        <v>1605549</v>
      </c>
      <c r="EZ13" s="140">
        <v>741385</v>
      </c>
      <c r="FA13" s="140">
        <v>735223</v>
      </c>
      <c r="FB13" s="136">
        <v>30458</v>
      </c>
      <c r="FC13" s="135">
        <v>7356</v>
      </c>
      <c r="FD13" s="104">
        <f t="shared" si="19"/>
        <v>7046</v>
      </c>
      <c r="FE13" s="105">
        <f t="shared" si="74"/>
        <v>0</v>
      </c>
      <c r="FF13" s="105">
        <f t="shared" si="74"/>
        <v>672</v>
      </c>
      <c r="FG13" s="105">
        <f t="shared" si="74"/>
        <v>1955</v>
      </c>
      <c r="FH13" s="105">
        <f t="shared" si="74"/>
        <v>2417</v>
      </c>
      <c r="FI13" s="105">
        <v>701</v>
      </c>
      <c r="FJ13" s="105">
        <f t="shared" si="74"/>
        <v>843</v>
      </c>
      <c r="FK13" s="105">
        <f t="shared" si="74"/>
        <v>0</v>
      </c>
      <c r="FL13" s="105">
        <f t="shared" si="74"/>
        <v>458</v>
      </c>
      <c r="FM13" s="105">
        <f t="shared" si="74"/>
        <v>0</v>
      </c>
      <c r="FN13" s="124">
        <f t="shared" si="73"/>
        <v>567</v>
      </c>
      <c r="FO13" s="104">
        <v>995631</v>
      </c>
      <c r="FP13" s="132"/>
      <c r="FY13" s="119">
        <v>8</v>
      </c>
      <c r="FZ13" s="107">
        <v>8106</v>
      </c>
      <c r="GA13" s="107">
        <v>1522</v>
      </c>
      <c r="GB13" s="108">
        <f>GA13/FZ13/0.1</f>
        <v>1.8776215149272142</v>
      </c>
      <c r="GC13" s="109"/>
      <c r="GD13" s="110"/>
      <c r="GE13" s="110"/>
      <c r="GF13" s="111"/>
      <c r="GG13" s="111"/>
      <c r="GH13" s="111"/>
      <c r="GI13" s="112"/>
      <c r="GJ13" s="111">
        <f t="shared" si="64"/>
        <v>1523.7362680683314</v>
      </c>
      <c r="GK13" s="113"/>
    </row>
    <row r="14" spans="1:194" s="141" customFormat="1" ht="15" customHeight="1">
      <c r="B14" s="138">
        <v>9</v>
      </c>
      <c r="D14" s="86"/>
      <c r="E14" s="131">
        <v>5403</v>
      </c>
      <c r="F14" s="131">
        <v>1175.472</v>
      </c>
      <c r="G14" s="86">
        <v>6939.9660000000003</v>
      </c>
      <c r="H14" s="86">
        <v>5890.5920000000006</v>
      </c>
      <c r="I14" s="86">
        <v>2046.258</v>
      </c>
      <c r="J14" s="86">
        <v>2751.0120000000002</v>
      </c>
      <c r="K14" s="86"/>
      <c r="L14" s="85"/>
      <c r="M14" s="115">
        <f>I14+J14</f>
        <v>4797.2700000000004</v>
      </c>
      <c r="N14" s="88">
        <f>SUM(D14:H14)</f>
        <v>19409.03</v>
      </c>
      <c r="O14" s="88">
        <f>N14+L14+K14+((J14+I14)*0.5)</f>
        <v>21807.665000000001</v>
      </c>
      <c r="P14" s="89">
        <f t="shared" si="23"/>
        <v>184477.95850000001</v>
      </c>
      <c r="R14" s="90">
        <f t="shared" si="24"/>
        <v>321</v>
      </c>
      <c r="S14" s="90">
        <f t="shared" si="25"/>
        <v>71.2</v>
      </c>
      <c r="T14" s="90">
        <f t="shared" si="1"/>
        <v>355.9</v>
      </c>
      <c r="U14" s="91">
        <f t="shared" si="75"/>
        <v>5.0999999999999996</v>
      </c>
      <c r="V14" s="90">
        <f t="shared" si="26"/>
        <v>1583</v>
      </c>
      <c r="W14" s="91">
        <f t="shared" si="2"/>
        <v>1434.2</v>
      </c>
      <c r="X14" s="90">
        <f t="shared" si="27"/>
        <v>1583</v>
      </c>
      <c r="Y14" s="90" t="str">
        <f t="shared" si="28"/>
        <v>0</v>
      </c>
      <c r="Z14" s="90">
        <f t="shared" si="3"/>
        <v>177.8</v>
      </c>
      <c r="AA14" s="90">
        <f t="shared" si="29"/>
        <v>2336.1999999999998</v>
      </c>
      <c r="AB14" s="90">
        <f t="shared" si="30"/>
        <v>0</v>
      </c>
      <c r="AC14" s="90">
        <f t="shared" si="30"/>
        <v>0</v>
      </c>
      <c r="AD14" s="90">
        <f t="shared" si="31"/>
        <v>0</v>
      </c>
      <c r="AE14" s="90">
        <f t="shared" si="32"/>
        <v>0</v>
      </c>
      <c r="AF14" s="90">
        <f t="shared" si="33"/>
        <v>213</v>
      </c>
      <c r="AG14" s="90">
        <f t="shared" si="33"/>
        <v>113</v>
      </c>
      <c r="AH14" s="90">
        <f t="shared" si="34"/>
        <v>427</v>
      </c>
      <c r="AI14" s="90">
        <f t="shared" si="35"/>
        <v>101</v>
      </c>
      <c r="AJ14" s="90">
        <f t="shared" si="36"/>
        <v>134</v>
      </c>
      <c r="AK14" s="90">
        <f t="shared" si="36"/>
        <v>16</v>
      </c>
      <c r="AL14" s="90">
        <f t="shared" si="37"/>
        <v>178</v>
      </c>
      <c r="AM14" s="90">
        <f t="shared" si="38"/>
        <v>28</v>
      </c>
      <c r="AN14" s="90">
        <f t="shared" si="39"/>
        <v>30</v>
      </c>
      <c r="AO14" s="90">
        <f t="shared" si="4"/>
        <v>71</v>
      </c>
      <c r="AP14" s="90">
        <f t="shared" si="40"/>
        <v>100</v>
      </c>
      <c r="AQ14" s="90">
        <f t="shared" si="5"/>
        <v>161</v>
      </c>
      <c r="AR14" s="90">
        <f t="shared" si="41"/>
        <v>42.71</v>
      </c>
      <c r="AS14" s="90">
        <f t="shared" si="42"/>
        <v>-12.289999999999964</v>
      </c>
      <c r="AT14" s="90">
        <f t="shared" si="43"/>
        <v>689.71</v>
      </c>
      <c r="AU14" s="90">
        <f t="shared" si="44"/>
        <v>291</v>
      </c>
      <c r="AV14" s="90">
        <f t="shared" si="65"/>
        <v>21</v>
      </c>
      <c r="AW14" s="90">
        <f t="shared" si="45"/>
        <v>411</v>
      </c>
      <c r="AX14" s="90">
        <f t="shared" si="66"/>
        <v>86</v>
      </c>
      <c r="AY14" s="90" t="str">
        <f t="shared" si="66"/>
        <v/>
      </c>
      <c r="AZ14" s="90">
        <f t="shared" si="46"/>
        <v>345</v>
      </c>
      <c r="BA14" s="90">
        <v>80</v>
      </c>
      <c r="BB14" s="90">
        <f t="shared" si="47"/>
        <v>83</v>
      </c>
      <c r="BC14" s="90">
        <f t="shared" si="47"/>
        <v>941</v>
      </c>
      <c r="BD14" s="91">
        <f t="shared" si="48"/>
        <v>251</v>
      </c>
      <c r="BE14" s="90"/>
      <c r="BF14" s="90"/>
      <c r="BG14" s="90">
        <f t="shared" si="6"/>
        <v>1369</v>
      </c>
      <c r="BH14" s="90">
        <f t="shared" si="49"/>
        <v>1679</v>
      </c>
      <c r="BI14" s="90">
        <f t="shared" si="50"/>
        <v>2025.0900000000001</v>
      </c>
      <c r="BJ14" s="90">
        <f t="shared" si="7"/>
        <v>4636.91</v>
      </c>
      <c r="BK14" s="92"/>
      <c r="BL14" s="93">
        <f>FD14+FN14</f>
        <v>8341</v>
      </c>
      <c r="BM14" s="93">
        <f t="shared" si="52"/>
        <v>66877</v>
      </c>
      <c r="BN14" s="92"/>
      <c r="BO14" s="94">
        <f t="shared" si="53"/>
        <v>0.16538693587469339</v>
      </c>
      <c r="BP14" s="94">
        <f t="shared" si="53"/>
        <v>3.6683955870025452E-2</v>
      </c>
      <c r="BQ14" s="94">
        <f t="shared" si="54"/>
        <v>0.18336825694019743</v>
      </c>
      <c r="BR14" s="94">
        <f t="shared" si="67"/>
        <v>0.81559974918890843</v>
      </c>
      <c r="BS14" s="94">
        <f t="shared" si="8"/>
        <v>0</v>
      </c>
      <c r="BT14" s="94">
        <f t="shared" si="8"/>
        <v>9.1606844855204012E-2</v>
      </c>
      <c r="BU14" s="95">
        <f t="shared" si="8"/>
        <v>1.2036665407802452</v>
      </c>
      <c r="BV14" s="94">
        <f t="shared" si="9"/>
        <v>0.14719595151521264</v>
      </c>
      <c r="BW14" s="94">
        <f t="shared" si="9"/>
        <v>3.2649070865679572E-2</v>
      </c>
      <c r="BX14" s="94">
        <f t="shared" si="9"/>
        <v>0.16319949889178872</v>
      </c>
      <c r="BY14" s="94">
        <f t="shared" si="55"/>
        <v>0.72589156152206114</v>
      </c>
      <c r="BZ14" s="95">
        <f t="shared" si="10"/>
        <v>1.0712747100618061</v>
      </c>
      <c r="CA14" s="96" t="e">
        <f>#REF!</f>
        <v>#REF!</v>
      </c>
      <c r="CB14" s="94">
        <f t="shared" si="11"/>
        <v>1.9584856975746832E-2</v>
      </c>
      <c r="CC14" s="95">
        <f t="shared" si="11"/>
        <v>-5.6356331592584364E-3</v>
      </c>
      <c r="CD14" s="97">
        <f t="shared" si="12"/>
        <v>8.9029802366762764E-2</v>
      </c>
      <c r="CE14" s="98">
        <f t="shared" si="12"/>
        <v>-2.5618737323519339E-2</v>
      </c>
      <c r="CF14" s="94" t="str">
        <f t="shared" si="56"/>
        <v>0,00</v>
      </c>
      <c r="CG14" s="94" t="str">
        <f t="shared" si="56"/>
        <v>0,00</v>
      </c>
      <c r="CH14" s="95" t="str">
        <f t="shared" si="57"/>
        <v xml:space="preserve">0,00 </v>
      </c>
      <c r="CI14" s="96" t="e">
        <f>#REF!</f>
        <v>#REF!</v>
      </c>
      <c r="CJ14" s="94">
        <f t="shared" si="58"/>
        <v>0.39422543031649082</v>
      </c>
      <c r="CK14" s="94">
        <f t="shared" si="58"/>
        <v>0.20914306866555615</v>
      </c>
      <c r="CL14" s="95">
        <f t="shared" si="68"/>
        <v>0.79030168424949099</v>
      </c>
      <c r="CM14" s="95" t="e">
        <f>#REF!</f>
        <v>#REF!</v>
      </c>
      <c r="CN14" s="94">
        <f t="shared" si="59"/>
        <v>1.1399676045027018</v>
      </c>
      <c r="CO14" s="94">
        <f t="shared" si="59"/>
        <v>0.13611553486599426</v>
      </c>
      <c r="CP14" s="95">
        <f t="shared" si="60"/>
        <v>1.5142853253841861</v>
      </c>
      <c r="CQ14" s="95" t="e">
        <f>#REF!</f>
        <v>#REF!</v>
      </c>
      <c r="CR14" s="97">
        <f t="shared" si="69"/>
        <v>4.3227877485278739E-2</v>
      </c>
      <c r="CS14" s="95">
        <f t="shared" si="69"/>
        <v>0.10230597671515969</v>
      </c>
      <c r="CT14" s="96" t="e">
        <f>#REF!</f>
        <v>#REF!</v>
      </c>
      <c r="CU14" s="97">
        <f t="shared" si="70"/>
        <v>0.16976222423824294</v>
      </c>
      <c r="CV14" s="95">
        <f t="shared" si="61"/>
        <v>0.27331718102357111</v>
      </c>
      <c r="CW14" s="96" t="e">
        <f>#REF!</f>
        <v>#REF!</v>
      </c>
      <c r="CX14" s="99">
        <f t="shared" si="62"/>
        <v>0.13343932053248247</v>
      </c>
      <c r="CY14" s="95">
        <f t="shared" si="62"/>
        <v>9.6296416879111078E-3</v>
      </c>
      <c r="CZ14" s="99">
        <f t="shared" si="62"/>
        <v>0.18846584446340311</v>
      </c>
      <c r="DA14" s="95">
        <f t="shared" si="62"/>
        <v>3.9435675483826441E-2</v>
      </c>
      <c r="DB14" s="94">
        <f t="shared" si="13"/>
        <v>0.15820125630139678</v>
      </c>
      <c r="DC14" s="94">
        <f t="shared" si="14"/>
        <v>3.8060012385553427E-2</v>
      </c>
      <c r="DD14" s="94">
        <f t="shared" si="14"/>
        <v>0.43149965849163585</v>
      </c>
      <c r="DE14" s="94">
        <f t="shared" si="14"/>
        <v>0.11509714588884229</v>
      </c>
      <c r="DF14" s="94">
        <f t="shared" si="14"/>
        <v>0</v>
      </c>
      <c r="DG14" s="94">
        <f t="shared" si="14"/>
        <v>0</v>
      </c>
      <c r="DH14" s="95">
        <f t="shared" si="14"/>
        <v>0.627760927178586</v>
      </c>
      <c r="DI14" s="96" t="e">
        <f>#REF!</f>
        <v>#REF!</v>
      </c>
      <c r="DJ14" s="95">
        <f t="shared" si="63"/>
        <v>0.76991278066679769</v>
      </c>
      <c r="DK14" s="96" t="e">
        <f>#REF!</f>
        <v>#REF!</v>
      </c>
      <c r="DL14" s="95">
        <f t="shared" si="15"/>
        <v>0.92861386122723366</v>
      </c>
      <c r="DM14" s="96">
        <f t="shared" si="16"/>
        <v>0</v>
      </c>
      <c r="DN14" s="94">
        <f t="shared" si="17"/>
        <v>2.1262753256710427</v>
      </c>
      <c r="DO14" s="100">
        <v>3.4</v>
      </c>
      <c r="DP14" s="94">
        <f t="shared" si="71"/>
        <v>3.8248019675650742</v>
      </c>
      <c r="DQ14" s="94">
        <f t="shared" si="72"/>
        <v>3.6252027366185318</v>
      </c>
      <c r="DR14" s="101" t="str">
        <f t="shared" si="18"/>
        <v>3,315, hL/NhL</v>
      </c>
      <c r="DT14" s="142">
        <v>9</v>
      </c>
      <c r="DU14" s="76">
        <v>618960</v>
      </c>
      <c r="DV14" s="143">
        <v>24742</v>
      </c>
      <c r="DW14" s="135">
        <v>5115639</v>
      </c>
      <c r="DX14" s="136">
        <v>110789</v>
      </c>
      <c r="DY14" s="136">
        <v>82902</v>
      </c>
      <c r="DZ14" s="136">
        <v>380598</v>
      </c>
      <c r="EA14" s="136">
        <v>223119</v>
      </c>
      <c r="EB14" s="136">
        <v>52112</v>
      </c>
      <c r="EC14" s="136">
        <v>391030</v>
      </c>
      <c r="ED14" s="135">
        <v>45874</v>
      </c>
      <c r="EE14" s="136">
        <v>37556</v>
      </c>
      <c r="EF14" s="136">
        <v>39870</v>
      </c>
      <c r="EG14" s="135">
        <v>90319</v>
      </c>
      <c r="EH14" s="135">
        <v>178266</v>
      </c>
      <c r="EI14" s="135">
        <v>30876</v>
      </c>
      <c r="EJ14" s="136">
        <v>39232</v>
      </c>
      <c r="EK14" s="136"/>
      <c r="EL14" s="135">
        <v>689858</v>
      </c>
      <c r="EM14" s="136">
        <v>3559</v>
      </c>
      <c r="EN14" s="136">
        <v>42060</v>
      </c>
      <c r="EO14" s="135">
        <v>2938944</v>
      </c>
      <c r="EP14" s="136">
        <v>2708394</v>
      </c>
      <c r="EQ14" s="136">
        <v>0</v>
      </c>
      <c r="ER14" s="136">
        <v>1778</v>
      </c>
      <c r="ES14" s="144">
        <v>322804</v>
      </c>
      <c r="ET14" s="136">
        <v>6294171</v>
      </c>
      <c r="EU14" s="136">
        <v>402092</v>
      </c>
      <c r="EV14" s="136">
        <v>125333</v>
      </c>
      <c r="EW14" s="136">
        <v>92338</v>
      </c>
      <c r="EX14" s="135">
        <v>203267</v>
      </c>
      <c r="EY14" s="135">
        <v>1606490</v>
      </c>
      <c r="EZ14" s="140">
        <v>742097</v>
      </c>
      <c r="FA14" s="140">
        <v>735474</v>
      </c>
      <c r="FB14" s="145">
        <v>30555</v>
      </c>
      <c r="FC14" s="146">
        <v>6662</v>
      </c>
      <c r="FD14" s="104">
        <f t="shared" ref="FD14:FD32" si="76">SUM(FE14:FM14)</f>
        <v>7654</v>
      </c>
      <c r="FE14" s="105">
        <f t="shared" si="74"/>
        <v>0</v>
      </c>
      <c r="FF14" s="105">
        <f t="shared" si="74"/>
        <v>581</v>
      </c>
      <c r="FG14" s="105">
        <f t="shared" si="74"/>
        <v>1956</v>
      </c>
      <c r="FH14" s="105">
        <f t="shared" si="74"/>
        <v>1970</v>
      </c>
      <c r="FI14" s="105">
        <v>625</v>
      </c>
      <c r="FJ14" s="105">
        <f t="shared" si="74"/>
        <v>735</v>
      </c>
      <c r="FK14" s="105">
        <f t="shared" si="74"/>
        <v>0</v>
      </c>
      <c r="FL14" s="105">
        <f t="shared" si="74"/>
        <v>1787</v>
      </c>
      <c r="FM14" s="105">
        <f t="shared" si="74"/>
        <v>0</v>
      </c>
      <c r="FN14" s="124">
        <f t="shared" si="73"/>
        <v>687</v>
      </c>
      <c r="FO14" s="136">
        <v>996318</v>
      </c>
      <c r="FP14" s="132"/>
      <c r="FY14" s="141">
        <v>9</v>
      </c>
      <c r="FZ14" s="107"/>
      <c r="GA14" s="107">
        <v>660</v>
      </c>
      <c r="GB14" s="108"/>
      <c r="GC14" s="109"/>
      <c r="GD14" s="110"/>
      <c r="GE14" s="110"/>
      <c r="GF14" s="111"/>
      <c r="GG14" s="111"/>
      <c r="GH14" s="111"/>
      <c r="GI14" s="112"/>
      <c r="GJ14" s="111" t="e">
        <f t="shared" si="64"/>
        <v>#DIV/0!</v>
      </c>
      <c r="GK14" s="113"/>
    </row>
    <row r="15" spans="1:194" s="119" customFormat="1" ht="15" customHeight="1">
      <c r="A15" s="119" t="s">
        <v>125</v>
      </c>
      <c r="B15" s="133">
        <v>10</v>
      </c>
      <c r="D15" s="131"/>
      <c r="E15" s="131">
        <v>4053.12</v>
      </c>
      <c r="F15" s="131">
        <v>1373.5439999999999</v>
      </c>
      <c r="G15" s="86">
        <v>5397.1639999999998</v>
      </c>
      <c r="H15" s="86">
        <v>5268.6480000000001</v>
      </c>
      <c r="I15" s="86">
        <v>1908.694</v>
      </c>
      <c r="J15" s="86">
        <v>6771.2039999999997</v>
      </c>
      <c r="K15" s="86"/>
      <c r="L15" s="85"/>
      <c r="M15" s="115">
        <f t="shared" si="21"/>
        <v>8679.8979999999992</v>
      </c>
      <c r="N15" s="88">
        <f t="shared" si="0"/>
        <v>16092.475999999999</v>
      </c>
      <c r="O15" s="88">
        <f t="shared" si="22"/>
        <v>20432.424999999999</v>
      </c>
      <c r="P15" s="89">
        <f t="shared" si="23"/>
        <v>204910.3835</v>
      </c>
      <c r="R15" s="90">
        <f t="shared" si="24"/>
        <v>196</v>
      </c>
      <c r="S15" s="90">
        <f t="shared" si="25"/>
        <v>50.9</v>
      </c>
      <c r="T15" s="90">
        <f t="shared" si="1"/>
        <v>521.1</v>
      </c>
      <c r="U15" s="91">
        <f t="shared" si="75"/>
        <v>3.6</v>
      </c>
      <c r="V15" s="90">
        <f t="shared" si="26"/>
        <v>1546</v>
      </c>
      <c r="W15" s="91">
        <f t="shared" si="2"/>
        <v>450</v>
      </c>
      <c r="X15" s="90">
        <f t="shared" si="27"/>
        <v>1546</v>
      </c>
      <c r="Y15" s="90">
        <f t="shared" si="28"/>
        <v>16.2</v>
      </c>
      <c r="Z15" s="90">
        <f t="shared" si="3"/>
        <v>140.6</v>
      </c>
      <c r="AA15" s="90">
        <f t="shared" si="29"/>
        <v>2317.6</v>
      </c>
      <c r="AB15" s="90">
        <f t="shared" si="30"/>
        <v>192</v>
      </c>
      <c r="AC15" s="90">
        <f t="shared" si="30"/>
        <v>30</v>
      </c>
      <c r="AD15" s="90">
        <f t="shared" si="31"/>
        <v>222</v>
      </c>
      <c r="AE15" s="90">
        <f t="shared" si="32"/>
        <v>0</v>
      </c>
      <c r="AF15" s="90">
        <f t="shared" si="33"/>
        <v>208</v>
      </c>
      <c r="AG15" s="90">
        <f t="shared" si="33"/>
        <v>133</v>
      </c>
      <c r="AH15" s="90">
        <f t="shared" si="34"/>
        <v>415</v>
      </c>
      <c r="AI15" s="90">
        <f t="shared" si="35"/>
        <v>74</v>
      </c>
      <c r="AJ15" s="90">
        <f t="shared" si="36"/>
        <v>237</v>
      </c>
      <c r="AK15" s="90">
        <f t="shared" si="36"/>
        <v>16</v>
      </c>
      <c r="AL15" s="90">
        <f t="shared" si="37"/>
        <v>312</v>
      </c>
      <c r="AM15" s="90">
        <f t="shared" si="38"/>
        <v>59</v>
      </c>
      <c r="AN15" s="90">
        <f t="shared" si="39"/>
        <v>24</v>
      </c>
      <c r="AO15" s="90">
        <f t="shared" si="4"/>
        <v>61</v>
      </c>
      <c r="AP15" s="90">
        <f t="shared" si="40"/>
        <v>86</v>
      </c>
      <c r="AQ15" s="90">
        <f t="shared" si="5"/>
        <v>102</v>
      </c>
      <c r="AR15" s="90">
        <f t="shared" si="41"/>
        <v>83.028000000000006</v>
      </c>
      <c r="AS15" s="90">
        <f t="shared" si="42"/>
        <v>166.02800000000002</v>
      </c>
      <c r="AT15" s="90">
        <f t="shared" si="43"/>
        <v>1089.028</v>
      </c>
      <c r="AU15" s="90">
        <f t="shared" si="44"/>
        <v>264</v>
      </c>
      <c r="AV15" s="90">
        <f t="shared" si="65"/>
        <v>12</v>
      </c>
      <c r="AW15" s="90">
        <f t="shared" si="45"/>
        <v>659</v>
      </c>
      <c r="AX15" s="90">
        <f t="shared" si="66"/>
        <v>5</v>
      </c>
      <c r="AY15" s="90" t="str">
        <f t="shared" si="66"/>
        <v/>
      </c>
      <c r="AZ15" s="90">
        <f t="shared" si="46"/>
        <v>423</v>
      </c>
      <c r="BA15" s="90">
        <v>66</v>
      </c>
      <c r="BB15" s="90">
        <f t="shared" si="47"/>
        <v>142</v>
      </c>
      <c r="BC15" s="90">
        <f t="shared" si="47"/>
        <v>741</v>
      </c>
      <c r="BD15" s="91">
        <f t="shared" si="48"/>
        <v>347</v>
      </c>
      <c r="BE15" s="90"/>
      <c r="BF15" s="90"/>
      <c r="BG15" s="90">
        <f t="shared" si="6"/>
        <v>1306</v>
      </c>
      <c r="BH15" s="90">
        <f t="shared" si="49"/>
        <v>393</v>
      </c>
      <c r="BI15" s="90">
        <f>IF(FC15=0,"",(FC15-BJ15))</f>
        <v>2483.3719999999994</v>
      </c>
      <c r="BJ15" s="90">
        <f t="shared" si="7"/>
        <v>4918.6280000000006</v>
      </c>
      <c r="BK15" s="92"/>
      <c r="BL15" s="93">
        <f>FD15+FN15</f>
        <v>7795</v>
      </c>
      <c r="BM15" s="93">
        <f t="shared" si="52"/>
        <v>74672</v>
      </c>
      <c r="BN15" s="92"/>
      <c r="BO15" s="94">
        <f t="shared" si="53"/>
        <v>0.12179604928414994</v>
      </c>
      <c r="BP15" s="94">
        <f t="shared" si="53"/>
        <v>3.1629688308996082E-2</v>
      </c>
      <c r="BQ15" s="94">
        <f t="shared" si="54"/>
        <v>0.32381592490801298</v>
      </c>
      <c r="BR15" s="94">
        <f t="shared" si="67"/>
        <v>0.96069740914946844</v>
      </c>
      <c r="BS15" s="94">
        <f t="shared" si="8"/>
        <v>1.0066816318383822E-2</v>
      </c>
      <c r="BT15" s="94">
        <f t="shared" si="8"/>
        <v>8.7370023108936129E-2</v>
      </c>
      <c r="BU15" s="95">
        <f t="shared" si="8"/>
        <v>1.4401761419436014</v>
      </c>
      <c r="BV15" s="94">
        <f t="shared" si="9"/>
        <v>9.5925960819628606E-2</v>
      </c>
      <c r="BW15" s="94">
        <f t="shared" si="9"/>
        <v>2.4911384723056609E-2</v>
      </c>
      <c r="BX15" s="94">
        <f t="shared" si="9"/>
        <v>0.25503580705667589</v>
      </c>
      <c r="BY15" s="94">
        <f t="shared" si="55"/>
        <v>0.75664048687319296</v>
      </c>
      <c r="BZ15" s="95">
        <f t="shared" si="10"/>
        <v>1.1342755448753636</v>
      </c>
      <c r="CA15" s="96" t="e">
        <f>#REF!</f>
        <v>#REF!</v>
      </c>
      <c r="CB15" s="94">
        <f t="shared" si="11"/>
        <v>4.0635411606796554E-2</v>
      </c>
      <c r="CC15" s="95">
        <f t="shared" si="11"/>
        <v>8.1257119504904593E-2</v>
      </c>
      <c r="CD15" s="97">
        <f t="shared" si="12"/>
        <v>9.565550194253436E-2</v>
      </c>
      <c r="CE15" s="98">
        <f t="shared" si="12"/>
        <v>0.19127874544147874</v>
      </c>
      <c r="CF15" s="94" t="str">
        <f t="shared" si="56"/>
        <v>0,00</v>
      </c>
      <c r="CG15" s="94" t="str">
        <f t="shared" si="56"/>
        <v>0,00</v>
      </c>
      <c r="CH15" s="95" t="str">
        <f t="shared" si="57"/>
        <v xml:space="preserve">0,00 </v>
      </c>
      <c r="CI15" s="96" t="e">
        <f>#REF!</f>
        <v>#REF!</v>
      </c>
      <c r="CJ15" s="94">
        <f t="shared" si="58"/>
        <v>0.51318490446865628</v>
      </c>
      <c r="CK15" s="94">
        <f t="shared" si="58"/>
        <v>0.32814227064582346</v>
      </c>
      <c r="CL15" s="95">
        <f t="shared" si="68"/>
        <v>1.0239025738196748</v>
      </c>
      <c r="CM15" s="95" t="e">
        <f>#REF!</f>
        <v>#REF!</v>
      </c>
      <c r="CN15" s="94">
        <f t="shared" si="59"/>
        <v>1.7254634725935247</v>
      </c>
      <c r="CO15" s="94">
        <f t="shared" si="59"/>
        <v>0.11648698549154597</v>
      </c>
      <c r="CP15" s="95">
        <f t="shared" si="60"/>
        <v>2.2714962170851463</v>
      </c>
      <c r="CQ15" s="95" t="e">
        <f>#REF!</f>
        <v>#REF!</v>
      </c>
      <c r="CR15" s="97">
        <f t="shared" si="69"/>
        <v>4.4467798273315401E-2</v>
      </c>
      <c r="CS15" s="95">
        <f t="shared" si="69"/>
        <v>0.11302232061134329</v>
      </c>
      <c r="CT15" s="96" t="e">
        <f>#REF!</f>
        <v>#REF!</v>
      </c>
      <c r="CU15" s="97">
        <f t="shared" si="70"/>
        <v>0.16322973180216252</v>
      </c>
      <c r="CV15" s="95">
        <f t="shared" si="61"/>
        <v>0.19359805399791369</v>
      </c>
      <c r="CW15" s="96" t="e">
        <f>#REF!</f>
        <v>#REF!</v>
      </c>
      <c r="CX15" s="99">
        <f t="shared" si="62"/>
        <v>0.12920639620603036</v>
      </c>
      <c r="CY15" s="95">
        <f t="shared" si="62"/>
        <v>5.8730180093650173E-3</v>
      </c>
      <c r="CZ15" s="99">
        <f t="shared" si="62"/>
        <v>0.32252657234762888</v>
      </c>
      <c r="DA15" s="95">
        <f t="shared" si="62"/>
        <v>2.4470908372354241E-3</v>
      </c>
      <c r="DB15" s="94">
        <f t="shared" si="13"/>
        <v>0.20702388483011686</v>
      </c>
      <c r="DC15" s="94">
        <f t="shared" si="14"/>
        <v>6.9497379777486032E-2</v>
      </c>
      <c r="DD15" s="94">
        <f t="shared" si="14"/>
        <v>0.36265886207828979</v>
      </c>
      <c r="DE15" s="94">
        <f t="shared" si="14"/>
        <v>0.1698281041041384</v>
      </c>
      <c r="DF15" s="94">
        <f t="shared" si="14"/>
        <v>0</v>
      </c>
      <c r="DG15" s="94">
        <f t="shared" si="14"/>
        <v>0</v>
      </c>
      <c r="DH15" s="95">
        <f t="shared" si="14"/>
        <v>0.63918012668589264</v>
      </c>
      <c r="DI15" s="96" t="e">
        <f>#REF!</f>
        <v>#REF!</v>
      </c>
      <c r="DJ15" s="95">
        <f t="shared" si="63"/>
        <v>0.19234133980670431</v>
      </c>
      <c r="DK15" s="96" t="e">
        <f>#REF!</f>
        <v>#REF!</v>
      </c>
      <c r="DL15" s="95">
        <f t="shared" si="15"/>
        <v>1.2154073733294015</v>
      </c>
      <c r="DM15" s="96">
        <f t="shared" si="16"/>
        <v>0</v>
      </c>
      <c r="DN15" s="94">
        <f t="shared" si="17"/>
        <v>2.4072659021139198</v>
      </c>
      <c r="DO15" s="100">
        <v>3.4</v>
      </c>
      <c r="DP15" s="94">
        <f t="shared" si="71"/>
        <v>3.8150146152500253</v>
      </c>
      <c r="DQ15" s="94">
        <f t="shared" si="72"/>
        <v>3.6441296299657751</v>
      </c>
      <c r="DR15" s="101" t="str">
        <f t="shared" si="18"/>
        <v>3,315, hL/NhL</v>
      </c>
      <c r="DS15" s="147"/>
      <c r="DT15" s="134">
        <v>10</v>
      </c>
      <c r="DU15" s="76">
        <v>619152</v>
      </c>
      <c r="DV15" s="76">
        <v>24772</v>
      </c>
      <c r="DW15" s="76">
        <v>5115779</v>
      </c>
      <c r="DX15" s="77">
        <v>110997</v>
      </c>
      <c r="DY15" s="77">
        <v>83035</v>
      </c>
      <c r="DZ15" s="77">
        <v>381013</v>
      </c>
      <c r="EA15" s="77">
        <v>223356</v>
      </c>
      <c r="EB15" s="77">
        <v>52128</v>
      </c>
      <c r="EC15" s="77">
        <v>391342</v>
      </c>
      <c r="ED15" s="76">
        <v>45898</v>
      </c>
      <c r="EE15" s="77">
        <v>37571</v>
      </c>
      <c r="EF15" s="77">
        <v>39916</v>
      </c>
      <c r="EG15" s="76">
        <v>90405</v>
      </c>
      <c r="EH15" s="76">
        <v>178368</v>
      </c>
      <c r="EI15" s="76">
        <v>30888</v>
      </c>
      <c r="EJ15" s="77">
        <v>39237</v>
      </c>
      <c r="EK15" s="77"/>
      <c r="EL15" s="76">
        <v>690054</v>
      </c>
      <c r="EM15" s="77">
        <v>5211</v>
      </c>
      <c r="EN15" s="77">
        <v>42096</v>
      </c>
      <c r="EO15" s="76">
        <v>2940490</v>
      </c>
      <c r="EP15" s="77">
        <v>2712894</v>
      </c>
      <c r="EQ15" s="77">
        <v>162</v>
      </c>
      <c r="ER15" s="77">
        <v>1406</v>
      </c>
      <c r="ES15" s="148">
        <v>323810</v>
      </c>
      <c r="ET15" s="77">
        <v>6377199</v>
      </c>
      <c r="EU15" s="77">
        <v>402751</v>
      </c>
      <c r="EV15" s="77">
        <v>125597</v>
      </c>
      <c r="EW15" s="77">
        <v>92761</v>
      </c>
      <c r="EX15" s="76">
        <v>203409</v>
      </c>
      <c r="EY15" s="76">
        <v>1607231</v>
      </c>
      <c r="EZ15" s="149">
        <v>742606</v>
      </c>
      <c r="FA15" s="150">
        <v>735821</v>
      </c>
      <c r="FB15" s="151">
        <v>30612</v>
      </c>
      <c r="FC15" s="127">
        <v>7402</v>
      </c>
      <c r="FD15" s="104">
        <f t="shared" si="76"/>
        <v>7074</v>
      </c>
      <c r="FE15" s="105">
        <f t="shared" si="74"/>
        <v>0</v>
      </c>
      <c r="FF15" s="105">
        <f t="shared" si="74"/>
        <v>258</v>
      </c>
      <c r="FG15" s="105">
        <f t="shared" si="74"/>
        <v>1953</v>
      </c>
      <c r="FH15" s="105">
        <v>1827</v>
      </c>
      <c r="FI15" s="105">
        <v>755</v>
      </c>
      <c r="FJ15" s="105">
        <f t="shared" si="74"/>
        <v>922</v>
      </c>
      <c r="FK15" s="105">
        <f t="shared" si="74"/>
        <v>0</v>
      </c>
      <c r="FL15" s="105">
        <f t="shared" si="74"/>
        <v>1359</v>
      </c>
      <c r="FM15" s="105">
        <f t="shared" si="74"/>
        <v>0</v>
      </c>
      <c r="FN15" s="124">
        <f t="shared" si="73"/>
        <v>721</v>
      </c>
      <c r="FO15" s="136">
        <v>997039</v>
      </c>
      <c r="FP15" s="106"/>
      <c r="FY15" s="119">
        <v>10</v>
      </c>
      <c r="FZ15" s="107"/>
      <c r="GA15" s="107"/>
      <c r="GB15" s="108"/>
      <c r="GC15" s="109"/>
      <c r="GD15" s="110"/>
      <c r="GE15" s="110"/>
      <c r="GF15" s="111"/>
      <c r="GG15" s="111"/>
      <c r="GH15" s="111"/>
      <c r="GI15" s="112"/>
      <c r="GJ15" s="111" t="e">
        <f t="shared" si="64"/>
        <v>#DIV/0!</v>
      </c>
      <c r="GK15" s="113"/>
    </row>
    <row r="16" spans="1:194" s="141" customFormat="1" ht="15" customHeight="1">
      <c r="A16" s="141">
        <v>0</v>
      </c>
      <c r="B16" s="138">
        <v>11</v>
      </c>
      <c r="D16" s="128"/>
      <c r="E16" s="128">
        <v>4768.8</v>
      </c>
      <c r="F16" s="128">
        <v>878.04</v>
      </c>
      <c r="G16" s="86">
        <v>5337.5029999999997</v>
      </c>
      <c r="H16" s="86">
        <v>6230.7960000000003</v>
      </c>
      <c r="I16" s="85">
        <v>1571.9070000000002</v>
      </c>
      <c r="J16" s="85">
        <v>7137.24</v>
      </c>
      <c r="K16" s="85"/>
      <c r="L16" s="85">
        <v>50</v>
      </c>
      <c r="M16" s="115">
        <f t="shared" si="21"/>
        <v>8709.1470000000008</v>
      </c>
      <c r="N16" s="88">
        <f t="shared" si="0"/>
        <v>17215.139000000003</v>
      </c>
      <c r="O16" s="88">
        <f t="shared" si="22"/>
        <v>21619.712500000001</v>
      </c>
      <c r="P16" s="89">
        <f t="shared" si="23"/>
        <v>226530.09599999999</v>
      </c>
      <c r="Q16" s="152"/>
      <c r="R16" s="90">
        <f t="shared" si="24"/>
        <v>37</v>
      </c>
      <c r="S16" s="90">
        <f t="shared" si="25"/>
        <v>20.8</v>
      </c>
      <c r="T16" s="90">
        <f t="shared" si="1"/>
        <v>427</v>
      </c>
      <c r="U16" s="91">
        <f t="shared" si="75"/>
        <v>1.3</v>
      </c>
      <c r="V16" s="90">
        <f t="shared" si="26"/>
        <v>1250</v>
      </c>
      <c r="W16" s="91">
        <f t="shared" si="2"/>
        <v>1138</v>
      </c>
      <c r="X16" s="90">
        <f t="shared" si="27"/>
        <v>1250</v>
      </c>
      <c r="Y16" s="90" t="str">
        <f t="shared" si="28"/>
        <v>0</v>
      </c>
      <c r="Z16" s="90">
        <f t="shared" si="3"/>
        <v>164.6</v>
      </c>
      <c r="AA16" s="90">
        <f t="shared" si="29"/>
        <v>1736.1</v>
      </c>
      <c r="AB16" s="90">
        <f t="shared" si="30"/>
        <v>75</v>
      </c>
      <c r="AC16" s="90">
        <f t="shared" si="30"/>
        <v>33</v>
      </c>
      <c r="AD16" s="90">
        <f t="shared" si="31"/>
        <v>262</v>
      </c>
      <c r="AE16" s="90">
        <f t="shared" si="32"/>
        <v>154</v>
      </c>
      <c r="AF16" s="90">
        <f t="shared" si="33"/>
        <v>215</v>
      </c>
      <c r="AG16" s="90">
        <f t="shared" si="33"/>
        <v>58</v>
      </c>
      <c r="AH16" s="90">
        <f t="shared" si="34"/>
        <v>377</v>
      </c>
      <c r="AI16" s="90">
        <f t="shared" si="35"/>
        <v>104</v>
      </c>
      <c r="AJ16" s="90">
        <f t="shared" si="36"/>
        <v>91</v>
      </c>
      <c r="AK16" s="90">
        <f t="shared" si="36"/>
        <v>131</v>
      </c>
      <c r="AL16" s="90">
        <f t="shared" si="37"/>
        <v>337</v>
      </c>
      <c r="AM16" s="90">
        <f t="shared" si="38"/>
        <v>115</v>
      </c>
      <c r="AN16" s="90">
        <f t="shared" si="39"/>
        <v>24</v>
      </c>
      <c r="AO16" s="90">
        <f t="shared" si="4"/>
        <v>64</v>
      </c>
      <c r="AP16" s="90">
        <f t="shared" si="40"/>
        <v>51</v>
      </c>
      <c r="AQ16" s="90">
        <f t="shared" si="5"/>
        <v>75</v>
      </c>
      <c r="AR16" s="90">
        <f t="shared" si="41"/>
        <v>88.566000000000003</v>
      </c>
      <c r="AS16" s="90">
        <f t="shared" si="42"/>
        <v>89.566000000000031</v>
      </c>
      <c r="AT16" s="90">
        <f t="shared" si="43"/>
        <v>918.56600000000003</v>
      </c>
      <c r="AU16" s="90">
        <f t="shared" si="44"/>
        <v>206</v>
      </c>
      <c r="AV16" s="90">
        <f t="shared" si="65"/>
        <v>49</v>
      </c>
      <c r="AW16" s="90">
        <f t="shared" si="45"/>
        <v>623</v>
      </c>
      <c r="AX16" s="90">
        <f t="shared" si="66"/>
        <v>32</v>
      </c>
      <c r="AY16" s="90" t="str">
        <f t="shared" si="66"/>
        <v/>
      </c>
      <c r="AZ16" s="90">
        <f t="shared" si="46"/>
        <v>338</v>
      </c>
      <c r="BA16" s="90">
        <v>65</v>
      </c>
      <c r="BB16" s="90">
        <f t="shared" si="47"/>
        <v>100</v>
      </c>
      <c r="BC16" s="90">
        <f t="shared" si="47"/>
        <v>233</v>
      </c>
      <c r="BD16" s="91">
        <f t="shared" si="48"/>
        <v>343</v>
      </c>
      <c r="BE16" s="90"/>
      <c r="BF16" s="90"/>
      <c r="BG16" s="90">
        <f t="shared" si="6"/>
        <v>671</v>
      </c>
      <c r="BH16" s="90">
        <f t="shared" si="49"/>
        <v>1741</v>
      </c>
      <c r="BI16" s="90">
        <f t="shared" si="50"/>
        <v>2642.3339999999998</v>
      </c>
      <c r="BJ16" s="90">
        <f t="shared" si="7"/>
        <v>3692.6660000000002</v>
      </c>
      <c r="BK16" s="92"/>
      <c r="BL16" s="93">
        <f>FD16+FN16</f>
        <v>8076</v>
      </c>
      <c r="BM16" s="93">
        <f t="shared" si="52"/>
        <v>82748</v>
      </c>
      <c r="BN16" s="92"/>
      <c r="BO16" s="94">
        <f t="shared" si="53"/>
        <v>2.1492710572943961E-2</v>
      </c>
      <c r="BP16" s="94">
        <f t="shared" si="53"/>
        <v>1.2082388646411741E-2</v>
      </c>
      <c r="BQ16" s="94">
        <f t="shared" si="54"/>
        <v>0.24803749769316408</v>
      </c>
      <c r="BR16" s="94">
        <f t="shared" si="67"/>
        <v>0.72610508692378239</v>
      </c>
      <c r="BS16" s="94">
        <f t="shared" si="8"/>
        <v>0</v>
      </c>
      <c r="BT16" s="94">
        <f t="shared" si="8"/>
        <v>9.561351784612368E-2</v>
      </c>
      <c r="BU16" s="95">
        <f t="shared" si="8"/>
        <v>1.008472833126703</v>
      </c>
      <c r="BV16" s="94">
        <f t="shared" si="9"/>
        <v>1.7114011113700055E-2</v>
      </c>
      <c r="BW16" s="94">
        <f t="shared" si="9"/>
        <v>9.6208494909448949E-3</v>
      </c>
      <c r="BX16" s="94">
        <f t="shared" si="9"/>
        <v>0.19750493906891683</v>
      </c>
      <c r="BY16" s="94">
        <f t="shared" si="55"/>
        <v>0.57817605113851533</v>
      </c>
      <c r="BZ16" s="95">
        <f t="shared" si="10"/>
        <v>0.80301715390526107</v>
      </c>
      <c r="CA16" s="96" t="e">
        <f>#REF!</f>
        <v>#REF!</v>
      </c>
      <c r="CB16" s="94">
        <f t="shared" si="11"/>
        <v>4.0965392116107002E-2</v>
      </c>
      <c r="CC16" s="95">
        <f t="shared" si="11"/>
        <v>4.142793295701782E-2</v>
      </c>
      <c r="CD16" s="97">
        <f t="shared" si="12"/>
        <v>0.10169308199758254</v>
      </c>
      <c r="CE16" s="98">
        <f t="shared" si="12"/>
        <v>0.10284130007221146</v>
      </c>
      <c r="CF16" s="94" t="str">
        <f t="shared" si="56"/>
        <v>0,00</v>
      </c>
      <c r="CG16" s="94" t="str">
        <f t="shared" si="56"/>
        <v>0,00</v>
      </c>
      <c r="CH16" s="95" t="str">
        <f t="shared" si="57"/>
        <v xml:space="preserve">0,00 </v>
      </c>
      <c r="CI16" s="96" t="e">
        <f>#REF!</f>
        <v>#REF!</v>
      </c>
      <c r="CJ16" s="94">
        <f t="shared" si="58"/>
        <v>0.45084717329307161</v>
      </c>
      <c r="CK16" s="94">
        <f t="shared" si="58"/>
        <v>0.12162388860929374</v>
      </c>
      <c r="CL16" s="95">
        <f t="shared" si="68"/>
        <v>0.79055527596040931</v>
      </c>
      <c r="CM16" s="95" t="e">
        <f>#REF!</f>
        <v>#REF!</v>
      </c>
      <c r="CN16" s="94">
        <f t="shared" si="59"/>
        <v>1.0363992528814177</v>
      </c>
      <c r="CO16" s="94">
        <f t="shared" si="59"/>
        <v>1.4919593640380848</v>
      </c>
      <c r="CP16" s="95">
        <f t="shared" si="60"/>
        <v>3.8380939364949205</v>
      </c>
      <c r="CQ16" s="95" t="e">
        <f>#REF!</f>
        <v>#REF!</v>
      </c>
      <c r="CR16" s="97">
        <f t="shared" si="69"/>
        <v>4.4964845921398079E-2</v>
      </c>
      <c r="CS16" s="95">
        <f t="shared" si="69"/>
        <v>0.11990625579039488</v>
      </c>
      <c r="CT16" s="96" t="e">
        <f>#REF!</f>
        <v>#REF!</v>
      </c>
      <c r="CU16" s="97">
        <f t="shared" si="70"/>
        <v>8.1851500193554722E-2</v>
      </c>
      <c r="CV16" s="95">
        <f t="shared" si="61"/>
        <v>0.12036985322581575</v>
      </c>
      <c r="CW16" s="96" t="e">
        <f>#REF!</f>
        <v>#REF!</v>
      </c>
      <c r="CX16" s="99">
        <f t="shared" si="62"/>
        <v>9.5283413227627317E-2</v>
      </c>
      <c r="CY16" s="95">
        <f t="shared" si="62"/>
        <v>2.2664501204629799E-2</v>
      </c>
      <c r="CZ16" s="99">
        <f t="shared" si="62"/>
        <v>0.28816294388743602</v>
      </c>
      <c r="DA16" s="95">
        <f t="shared" si="62"/>
        <v>1.4801306909145993E-2</v>
      </c>
      <c r="DB16" s="94">
        <f t="shared" si="13"/>
        <v>0.15633880422785457</v>
      </c>
      <c r="DC16" s="94">
        <f t="shared" si="14"/>
        <v>4.6254084091081227E-2</v>
      </c>
      <c r="DD16" s="94">
        <f t="shared" si="14"/>
        <v>0.10777201593221927</v>
      </c>
      <c r="DE16" s="94">
        <f t="shared" si="14"/>
        <v>0.15865150843240861</v>
      </c>
      <c r="DF16" s="94">
        <f t="shared" si="14"/>
        <v>0</v>
      </c>
      <c r="DG16" s="94">
        <f t="shared" si="14"/>
        <v>0</v>
      </c>
      <c r="DH16" s="95">
        <f t="shared" si="14"/>
        <v>0.31036490425115504</v>
      </c>
      <c r="DI16" s="96" t="e">
        <f>#REF!</f>
        <v>#REF!</v>
      </c>
      <c r="DJ16" s="95">
        <f t="shared" si="63"/>
        <v>0.80528360402572408</v>
      </c>
      <c r="DK16" s="96" t="e">
        <f>#REF!</f>
        <v>#REF!</v>
      </c>
      <c r="DL16" s="95">
        <f t="shared" si="15"/>
        <v>1.22218739032723</v>
      </c>
      <c r="DM16" s="96">
        <f t="shared" si="16"/>
        <v>0</v>
      </c>
      <c r="DN16" s="94">
        <f t="shared" si="17"/>
        <v>1.7080088368427657</v>
      </c>
      <c r="DO16" s="100">
        <v>3.4</v>
      </c>
      <c r="DP16" s="94">
        <f>IF($O16&lt;&gt;0,IF($O16&lt;&gt;0,BL16/$O16*10,0)," ")</f>
        <v>3.73547983119572</v>
      </c>
      <c r="DQ16" s="94">
        <f>IF($P16&lt;&gt;0,IF($P16&lt;&gt;0,BM16/$P16*10,0)," ")</f>
        <v>3.6528479641839735</v>
      </c>
      <c r="DR16" s="101"/>
      <c r="DS16" s="153"/>
      <c r="DT16" s="142">
        <v>11</v>
      </c>
      <c r="DU16" s="120">
        <v>619227</v>
      </c>
      <c r="DV16" s="120">
        <v>24805</v>
      </c>
      <c r="DW16" s="120">
        <v>5116041</v>
      </c>
      <c r="DX16" s="120">
        <v>111212</v>
      </c>
      <c r="DY16" s="120">
        <v>83093</v>
      </c>
      <c r="DZ16" s="120">
        <v>381390</v>
      </c>
      <c r="EA16" s="120">
        <v>223447</v>
      </c>
      <c r="EB16" s="120">
        <v>52259</v>
      </c>
      <c r="EC16" s="120">
        <v>391679</v>
      </c>
      <c r="ED16" s="120">
        <v>45922</v>
      </c>
      <c r="EE16" s="120">
        <v>37591</v>
      </c>
      <c r="EF16" s="120">
        <v>39960</v>
      </c>
      <c r="EG16" s="120">
        <v>90456</v>
      </c>
      <c r="EH16" s="120">
        <v>178443</v>
      </c>
      <c r="EI16" s="120">
        <v>30937</v>
      </c>
      <c r="EJ16" s="120">
        <v>39269</v>
      </c>
      <c r="EK16" s="120"/>
      <c r="EL16" s="120">
        <v>690091</v>
      </c>
      <c r="EM16" s="120">
        <v>4270</v>
      </c>
      <c r="EN16" s="120">
        <v>42109</v>
      </c>
      <c r="EO16" s="120">
        <v>2941740</v>
      </c>
      <c r="EP16" s="120">
        <v>2724274</v>
      </c>
      <c r="EQ16" s="120">
        <v>0</v>
      </c>
      <c r="ER16" s="120">
        <v>1646</v>
      </c>
      <c r="ES16" s="120">
        <v>324640</v>
      </c>
      <c r="ET16" s="120">
        <v>6465765</v>
      </c>
      <c r="EU16" s="120">
        <v>403374</v>
      </c>
      <c r="EV16" s="120">
        <v>125803</v>
      </c>
      <c r="EW16" s="120">
        <v>93099</v>
      </c>
      <c r="EX16" s="120">
        <v>203509</v>
      </c>
      <c r="EY16" s="120">
        <v>1607464</v>
      </c>
      <c r="EZ16" s="120">
        <v>742814</v>
      </c>
      <c r="FA16" s="149">
        <v>736164</v>
      </c>
      <c r="FB16" s="151">
        <v>30696</v>
      </c>
      <c r="FC16" s="127">
        <v>6335</v>
      </c>
      <c r="FD16" s="104">
        <f t="shared" si="76"/>
        <v>7111</v>
      </c>
      <c r="FE16" s="105">
        <f t="shared" si="74"/>
        <v>0</v>
      </c>
      <c r="FF16" s="105">
        <f t="shared" si="74"/>
        <v>209</v>
      </c>
      <c r="FG16" s="105">
        <f t="shared" si="74"/>
        <v>1951</v>
      </c>
      <c r="FH16" s="105">
        <f t="shared" si="74"/>
        <v>2330</v>
      </c>
      <c r="FI16" s="105">
        <v>680</v>
      </c>
      <c r="FJ16" s="105">
        <f t="shared" si="74"/>
        <v>828</v>
      </c>
      <c r="FK16" s="105">
        <f t="shared" si="74"/>
        <v>0</v>
      </c>
      <c r="FL16" s="105">
        <f t="shared" si="74"/>
        <v>1113</v>
      </c>
      <c r="FM16" s="105">
        <f t="shared" si="74"/>
        <v>0</v>
      </c>
      <c r="FN16" s="124">
        <f t="shared" si="73"/>
        <v>965</v>
      </c>
      <c r="FO16" s="136">
        <v>998004</v>
      </c>
      <c r="FP16" s="106"/>
      <c r="FY16" s="141">
        <v>11</v>
      </c>
      <c r="FZ16" s="107"/>
      <c r="GA16" s="107"/>
      <c r="GB16" s="107"/>
      <c r="GC16" s="109"/>
      <c r="GD16" s="110"/>
      <c r="GE16" s="110"/>
      <c r="GF16" s="111"/>
      <c r="GG16" s="111"/>
      <c r="GH16" s="111"/>
      <c r="GI16" s="112"/>
      <c r="GJ16" s="111" t="e">
        <f t="shared" si="64"/>
        <v>#DIV/0!</v>
      </c>
      <c r="GK16" s="113"/>
    </row>
    <row r="17" spans="1:193" s="119" customFormat="1" ht="15" customHeight="1">
      <c r="A17" s="119" t="s">
        <v>126</v>
      </c>
      <c r="B17" s="133">
        <v>12</v>
      </c>
      <c r="D17" s="154">
        <v>1863.96</v>
      </c>
      <c r="E17" s="128">
        <v>5170.92</v>
      </c>
      <c r="F17" s="86">
        <v>2467.5839999999998</v>
      </c>
      <c r="G17" s="86">
        <v>4788.4110000000001</v>
      </c>
      <c r="H17" s="86">
        <v>2065.3380000000002</v>
      </c>
      <c r="I17" s="85">
        <v>1776.021</v>
      </c>
      <c r="J17" s="85">
        <v>9254.652</v>
      </c>
      <c r="K17" s="85">
        <v>12.25</v>
      </c>
      <c r="L17" s="85"/>
      <c r="M17" s="115">
        <f t="shared" si="21"/>
        <v>11030.673000000001</v>
      </c>
      <c r="N17" s="88">
        <f t="shared" si="0"/>
        <v>16356.213</v>
      </c>
      <c r="O17" s="88">
        <f t="shared" si="22"/>
        <v>21871.549500000001</v>
      </c>
      <c r="P17" s="89">
        <f t="shared" si="23"/>
        <v>248401.64549999998</v>
      </c>
      <c r="Q17" s="155"/>
      <c r="R17" s="90">
        <f t="shared" si="24"/>
        <v>80</v>
      </c>
      <c r="S17" s="90">
        <f t="shared" si="25"/>
        <v>185.5</v>
      </c>
      <c r="T17" s="90">
        <f t="shared" si="1"/>
        <v>513.70000000000005</v>
      </c>
      <c r="U17" s="91">
        <f t="shared" si="75"/>
        <v>0.1</v>
      </c>
      <c r="V17" s="90">
        <f t="shared" si="26"/>
        <v>1287</v>
      </c>
      <c r="W17" s="91">
        <f t="shared" si="2"/>
        <v>114.4</v>
      </c>
      <c r="X17" s="90">
        <f t="shared" si="27"/>
        <v>1287</v>
      </c>
      <c r="Y17" s="90" t="str">
        <f t="shared" si="28"/>
        <v>0</v>
      </c>
      <c r="Z17" s="90">
        <f t="shared" si="3"/>
        <v>111.3</v>
      </c>
      <c r="AA17" s="90">
        <f t="shared" si="29"/>
        <v>2066.3000000000002</v>
      </c>
      <c r="AB17" s="90">
        <f t="shared" si="30"/>
        <v>105</v>
      </c>
      <c r="AC17" s="90">
        <f t="shared" si="30"/>
        <v>100</v>
      </c>
      <c r="AD17" s="90">
        <f t="shared" si="31"/>
        <v>422</v>
      </c>
      <c r="AE17" s="90">
        <f t="shared" si="32"/>
        <v>217</v>
      </c>
      <c r="AF17" s="90">
        <f t="shared" si="33"/>
        <v>229</v>
      </c>
      <c r="AG17" s="90">
        <f t="shared" si="33"/>
        <v>58</v>
      </c>
      <c r="AH17" s="90">
        <f t="shared" si="34"/>
        <v>369</v>
      </c>
      <c r="AI17" s="90">
        <f t="shared" si="35"/>
        <v>82</v>
      </c>
      <c r="AJ17" s="90">
        <f t="shared" si="36"/>
        <v>169</v>
      </c>
      <c r="AK17" s="90">
        <f t="shared" si="36"/>
        <v>166</v>
      </c>
      <c r="AL17" s="90">
        <f t="shared" si="37"/>
        <v>380</v>
      </c>
      <c r="AM17" s="90">
        <f t="shared" si="38"/>
        <v>45</v>
      </c>
      <c r="AN17" s="90">
        <f t="shared" si="39"/>
        <v>17</v>
      </c>
      <c r="AO17" s="90">
        <f t="shared" si="4"/>
        <v>60</v>
      </c>
      <c r="AP17" s="90">
        <f t="shared" si="40"/>
        <v>66</v>
      </c>
      <c r="AQ17" s="90">
        <f t="shared" si="5"/>
        <v>116</v>
      </c>
      <c r="AR17" s="90">
        <f t="shared" si="41"/>
        <v>120.423</v>
      </c>
      <c r="AS17" s="90">
        <f t="shared" si="42"/>
        <v>232.423</v>
      </c>
      <c r="AT17" s="90">
        <f t="shared" si="43"/>
        <v>1218.423</v>
      </c>
      <c r="AU17" s="90">
        <f t="shared" si="44"/>
        <v>222</v>
      </c>
      <c r="AV17" s="90">
        <f t="shared" si="65"/>
        <v>0</v>
      </c>
      <c r="AW17" s="90">
        <f t="shared" si="45"/>
        <v>764</v>
      </c>
      <c r="AX17" s="90">
        <f t="shared" si="66"/>
        <v>3</v>
      </c>
      <c r="AY17" s="90" t="str">
        <f t="shared" si="66"/>
        <v/>
      </c>
      <c r="AZ17" s="90">
        <f t="shared" si="46"/>
        <v>300</v>
      </c>
      <c r="BA17" s="90">
        <v>108</v>
      </c>
      <c r="BB17" s="90">
        <f t="shared" si="47"/>
        <v>136</v>
      </c>
      <c r="BC17" s="90">
        <f t="shared" si="47"/>
        <v>0</v>
      </c>
      <c r="BD17" s="91">
        <f t="shared" si="48"/>
        <v>301</v>
      </c>
      <c r="BE17" s="90"/>
      <c r="BF17" s="90"/>
      <c r="BG17" s="90">
        <f t="shared" si="6"/>
        <v>436</v>
      </c>
      <c r="BH17" s="90">
        <f t="shared" si="49"/>
        <v>76</v>
      </c>
      <c r="BI17" s="90">
        <f t="shared" si="50"/>
        <v>2786.277</v>
      </c>
      <c r="BJ17" s="90">
        <f t="shared" si="7"/>
        <v>4084.723</v>
      </c>
      <c r="BK17" s="92"/>
      <c r="BL17" s="93">
        <f>FD17+FN17</f>
        <v>6947</v>
      </c>
      <c r="BM17" s="93">
        <f t="shared" si="52"/>
        <v>89695</v>
      </c>
      <c r="BN17" s="92"/>
      <c r="BO17" s="94">
        <f t="shared" si="53"/>
        <v>4.8911077399151015E-2</v>
      </c>
      <c r="BP17" s="94">
        <f t="shared" si="53"/>
        <v>0.11341256071928141</v>
      </c>
      <c r="BQ17" s="94">
        <f t="shared" si="54"/>
        <v>0.31407025574929848</v>
      </c>
      <c r="BR17" s="94">
        <f t="shared" si="67"/>
        <v>0.78685695765884189</v>
      </c>
      <c r="BS17" s="94">
        <f t="shared" si="8"/>
        <v>0</v>
      </c>
      <c r="BT17" s="94">
        <f t="shared" si="8"/>
        <v>6.8047536431568842E-2</v>
      </c>
      <c r="BU17" s="95">
        <f t="shared" si="8"/>
        <v>1.2633119903733219</v>
      </c>
      <c r="BV17" s="94">
        <f t="shared" si="9"/>
        <v>3.6577198154159128E-2</v>
      </c>
      <c r="BW17" s="94">
        <f t="shared" si="9"/>
        <v>8.4813378219956465E-2</v>
      </c>
      <c r="BX17" s="94">
        <f t="shared" si="9"/>
        <v>0.23487133364739429</v>
      </c>
      <c r="BY17" s="94">
        <f t="shared" si="55"/>
        <v>0.58843567530503493</v>
      </c>
      <c r="BZ17" s="95">
        <f t="shared" si="10"/>
        <v>0.94474330682423768</v>
      </c>
      <c r="CA17" s="96" t="e">
        <f>#REF!</f>
        <v>#REF!</v>
      </c>
      <c r="CB17" s="94">
        <f t="shared" si="11"/>
        <v>5.5059199166478806E-2</v>
      </c>
      <c r="CC17" s="95">
        <f t="shared" si="11"/>
        <v>0.10626727658230159</v>
      </c>
      <c r="CD17" s="97">
        <f t="shared" si="12"/>
        <v>0.10917103607368289</v>
      </c>
      <c r="CE17" s="98">
        <f t="shared" si="12"/>
        <v>0.21070609200363385</v>
      </c>
      <c r="CF17" s="94">
        <f t="shared" si="56"/>
        <v>0.56331680937359174</v>
      </c>
      <c r="CG17" s="94">
        <f t="shared" si="56"/>
        <v>0.53649219940342063</v>
      </c>
      <c r="CH17" s="95">
        <f t="shared" si="57"/>
        <v>2.2639970814824353</v>
      </c>
      <c r="CI17" s="96" t="e">
        <f>#REF!</f>
        <v>#REF!</v>
      </c>
      <c r="CJ17" s="94">
        <f t="shared" si="58"/>
        <v>0.44286123165703584</v>
      </c>
      <c r="CK17" s="94">
        <f t="shared" si="58"/>
        <v>0.1121657267952318</v>
      </c>
      <c r="CL17" s="95">
        <f t="shared" si="68"/>
        <v>0.7136060894386298</v>
      </c>
      <c r="CM17" s="95" t="e">
        <f>#REF!</f>
        <v>#REF!</v>
      </c>
      <c r="CN17" s="94">
        <f t="shared" si="59"/>
        <v>0.68488043365494355</v>
      </c>
      <c r="CO17" s="94">
        <f t="shared" si="59"/>
        <v>0.67272279282083214</v>
      </c>
      <c r="CP17" s="95">
        <f t="shared" si="60"/>
        <v>1.5399678389874469</v>
      </c>
      <c r="CQ17" s="95" t="e">
        <f>#REF!</f>
        <v>#REF!</v>
      </c>
      <c r="CR17" s="97">
        <f t="shared" si="69"/>
        <v>3.5502382731975181E-2</v>
      </c>
      <c r="CS17" s="95">
        <f t="shared" si="69"/>
        <v>0.12530252728932417</v>
      </c>
      <c r="CT17" s="96" t="e">
        <f>#REF!</f>
        <v>#REF!</v>
      </c>
      <c r="CU17" s="97">
        <f t="shared" si="70"/>
        <v>0.31956028504777423</v>
      </c>
      <c r="CV17" s="95">
        <f t="shared" si="61"/>
        <v>0.5616514100839668</v>
      </c>
      <c r="CW17" s="96" t="e">
        <f>#REF!</f>
        <v>#REF!</v>
      </c>
      <c r="CX17" s="99">
        <f t="shared" si="62"/>
        <v>0.10150172487779158</v>
      </c>
      <c r="CY17" s="95">
        <f t="shared" si="62"/>
        <v>0</v>
      </c>
      <c r="CZ17" s="99">
        <f t="shared" si="62"/>
        <v>0.34931224237221969</v>
      </c>
      <c r="DA17" s="95">
        <f t="shared" si="62"/>
        <v>1.3716449307809673E-3</v>
      </c>
      <c r="DB17" s="94">
        <f t="shared" si="13"/>
        <v>0.13716449307809672</v>
      </c>
      <c r="DC17" s="94">
        <f t="shared" si="14"/>
        <v>6.2181236862070513E-2</v>
      </c>
      <c r="DD17" s="94">
        <f t="shared" si="14"/>
        <v>0</v>
      </c>
      <c r="DE17" s="94">
        <f t="shared" si="14"/>
        <v>0.13762170805502372</v>
      </c>
      <c r="DF17" s="94">
        <f t="shared" si="14"/>
        <v>0</v>
      </c>
      <c r="DG17" s="94">
        <f t="shared" si="14"/>
        <v>0</v>
      </c>
      <c r="DH17" s="95">
        <f t="shared" si="14"/>
        <v>0.19934572994016725</v>
      </c>
      <c r="DI17" s="96" t="e">
        <f>#REF!</f>
        <v>#REF!</v>
      </c>
      <c r="DJ17" s="95">
        <f t="shared" si="63"/>
        <v>3.4748338246451169E-2</v>
      </c>
      <c r="DK17" s="96" t="e">
        <f>#REF!</f>
        <v>#REF!</v>
      </c>
      <c r="DL17" s="95">
        <f t="shared" si="15"/>
        <v>1.2739275742672005</v>
      </c>
      <c r="DM17" s="96">
        <f t="shared" si="16"/>
        <v>0</v>
      </c>
      <c r="DN17" s="94">
        <f t="shared" si="17"/>
        <v>1.8675965321981416</v>
      </c>
      <c r="DO17" s="100">
        <v>3.4</v>
      </c>
      <c r="DP17" s="94">
        <f>IF($O17&lt;&gt;0,IF($O17&lt;&gt;0,BL17/$O17*10,0)," ")</f>
        <v>3.1762724447117927</v>
      </c>
      <c r="DQ17" s="94">
        <f>IF($P17&lt;&gt;0,IF($P17&lt;&gt;0,BM17/$P17*10,0)," ")</f>
        <v>3.6108859029277247</v>
      </c>
      <c r="DR17" s="101" t="str">
        <f t="shared" si="18"/>
        <v>3,315, hL/NhL</v>
      </c>
      <c r="DS17" s="147"/>
      <c r="DT17" s="134">
        <v>12</v>
      </c>
      <c r="DU17" s="120">
        <v>619332</v>
      </c>
      <c r="DV17" s="120">
        <v>24905</v>
      </c>
      <c r="DW17" s="120">
        <v>5116463</v>
      </c>
      <c r="DX17" s="120">
        <v>111441</v>
      </c>
      <c r="DY17" s="120">
        <v>83151</v>
      </c>
      <c r="DZ17" s="120">
        <v>381759</v>
      </c>
      <c r="EA17" s="120">
        <v>223616</v>
      </c>
      <c r="EB17" s="120">
        <v>52425</v>
      </c>
      <c r="EC17" s="120">
        <v>392059</v>
      </c>
      <c r="ED17" s="120">
        <v>45939</v>
      </c>
      <c r="EE17" s="120">
        <v>37617</v>
      </c>
      <c r="EF17" s="120">
        <v>39994</v>
      </c>
      <c r="EG17" s="120">
        <v>90522</v>
      </c>
      <c r="EH17" s="120">
        <v>178559</v>
      </c>
      <c r="EI17" s="120">
        <v>30937</v>
      </c>
      <c r="EJ17" s="120">
        <v>39272</v>
      </c>
      <c r="EK17" s="120"/>
      <c r="EL17" s="120">
        <v>690171</v>
      </c>
      <c r="EM17" s="120">
        <v>5137</v>
      </c>
      <c r="EN17" s="120">
        <v>42110</v>
      </c>
      <c r="EO17" s="120">
        <v>2943027</v>
      </c>
      <c r="EP17" s="120">
        <v>2725418</v>
      </c>
      <c r="EQ17" s="120">
        <v>0</v>
      </c>
      <c r="ER17" s="120">
        <v>1113</v>
      </c>
      <c r="ES17" s="120">
        <v>325738</v>
      </c>
      <c r="ET17" s="120">
        <v>6586188</v>
      </c>
      <c r="EU17" s="120">
        <v>404138</v>
      </c>
      <c r="EV17" s="120">
        <v>126025</v>
      </c>
      <c r="EW17" s="120">
        <v>93399</v>
      </c>
      <c r="EX17" s="120">
        <v>203645</v>
      </c>
      <c r="EY17" s="120">
        <v>1607464</v>
      </c>
      <c r="EZ17" s="120">
        <v>744669</v>
      </c>
      <c r="FA17" s="77">
        <v>736465</v>
      </c>
      <c r="FB17" s="77">
        <v>30804</v>
      </c>
      <c r="FC17" s="77">
        <v>6871</v>
      </c>
      <c r="FD17" s="104">
        <f t="shared" si="76"/>
        <v>6947</v>
      </c>
      <c r="FE17" s="105">
        <f t="shared" si="74"/>
        <v>0</v>
      </c>
      <c r="FF17" s="105">
        <f t="shared" si="74"/>
        <v>20</v>
      </c>
      <c r="FG17" s="105">
        <f t="shared" si="74"/>
        <v>1946</v>
      </c>
      <c r="FH17" s="105">
        <f t="shared" si="74"/>
        <v>2279</v>
      </c>
      <c r="FI17" s="105">
        <v>735</v>
      </c>
      <c r="FJ17" s="105">
        <f t="shared" si="74"/>
        <v>927</v>
      </c>
      <c r="FK17" s="105">
        <f t="shared" si="74"/>
        <v>0</v>
      </c>
      <c r="FL17" s="105">
        <f t="shared" si="74"/>
        <v>1040</v>
      </c>
      <c r="FM17" s="105">
        <f t="shared" si="74"/>
        <v>0</v>
      </c>
      <c r="FN17" s="80">
        <f>IF(FO17="",0,(FO17-FO16))</f>
        <v>0</v>
      </c>
      <c r="FO17" s="136">
        <v>998004</v>
      </c>
      <c r="FP17" s="106"/>
      <c r="FY17" s="119">
        <v>12</v>
      </c>
      <c r="FZ17" s="107"/>
      <c r="GA17" s="107"/>
      <c r="GB17" s="107"/>
      <c r="GC17" s="109"/>
      <c r="GD17" s="110"/>
      <c r="GE17" s="110"/>
      <c r="GF17" s="111"/>
      <c r="GG17" s="111"/>
      <c r="GH17" s="111"/>
      <c r="GI17" s="112"/>
      <c r="GJ17" s="111" t="e">
        <f t="shared" si="64"/>
        <v>#DIV/0!</v>
      </c>
      <c r="GK17" s="113"/>
    </row>
    <row r="18" spans="1:193" s="119" customFormat="1" ht="15" customHeight="1">
      <c r="B18" s="133">
        <v>13</v>
      </c>
      <c r="D18" s="154">
        <v>1344</v>
      </c>
      <c r="E18" s="128">
        <v>5268</v>
      </c>
      <c r="F18" s="128">
        <v>2984.328</v>
      </c>
      <c r="G18" s="86">
        <v>5826.0190000000002</v>
      </c>
      <c r="H18" s="86">
        <v>5475.07</v>
      </c>
      <c r="I18" s="85">
        <v>1469.8919999999998</v>
      </c>
      <c r="J18" s="85">
        <v>7624.848</v>
      </c>
      <c r="K18" s="85"/>
      <c r="L18" s="85"/>
      <c r="M18" s="115">
        <f t="shared" si="21"/>
        <v>9094.74</v>
      </c>
      <c r="N18" s="88">
        <f t="shared" si="0"/>
        <v>20897.417000000001</v>
      </c>
      <c r="O18" s="88">
        <f t="shared" si="22"/>
        <v>25444.787</v>
      </c>
      <c r="P18" s="89">
        <f t="shared" si="23"/>
        <v>273846.4325</v>
      </c>
      <c r="R18" s="90">
        <f t="shared" si="24"/>
        <v>207</v>
      </c>
      <c r="S18" s="90">
        <f t="shared" si="25"/>
        <v>127.1</v>
      </c>
      <c r="T18" s="90">
        <f t="shared" si="1"/>
        <v>466.5</v>
      </c>
      <c r="U18" s="91">
        <f t="shared" si="75"/>
        <v>4.4000000000000004</v>
      </c>
      <c r="V18" s="90">
        <f t="shared" si="26"/>
        <v>1277</v>
      </c>
      <c r="W18" s="91">
        <f t="shared" si="2"/>
        <v>113.5</v>
      </c>
      <c r="X18" s="90">
        <f t="shared" si="27"/>
        <v>1277</v>
      </c>
      <c r="Y18" s="90" t="str">
        <f t="shared" si="28"/>
        <v>0</v>
      </c>
      <c r="Z18" s="90">
        <f t="shared" si="3"/>
        <v>151.19999999999999</v>
      </c>
      <c r="AA18" s="90">
        <f t="shared" si="29"/>
        <v>2082</v>
      </c>
      <c r="AB18" s="90">
        <f t="shared" si="30"/>
        <v>82</v>
      </c>
      <c r="AC18" s="90">
        <f t="shared" si="30"/>
        <v>92</v>
      </c>
      <c r="AD18" s="90">
        <f t="shared" si="31"/>
        <v>361</v>
      </c>
      <c r="AE18" s="90">
        <f t="shared" si="32"/>
        <v>187</v>
      </c>
      <c r="AF18" s="90">
        <f t="shared" si="33"/>
        <v>182</v>
      </c>
      <c r="AG18" s="90">
        <f t="shared" si="33"/>
        <v>28</v>
      </c>
      <c r="AH18" s="90">
        <f t="shared" si="34"/>
        <v>329</v>
      </c>
      <c r="AI18" s="90">
        <f t="shared" si="35"/>
        <v>119</v>
      </c>
      <c r="AJ18" s="90">
        <f t="shared" si="36"/>
        <v>184</v>
      </c>
      <c r="AK18" s="90">
        <f t="shared" si="36"/>
        <v>13</v>
      </c>
      <c r="AL18" s="90">
        <f t="shared" si="37"/>
        <v>273</v>
      </c>
      <c r="AM18" s="90">
        <f t="shared" si="38"/>
        <v>76</v>
      </c>
      <c r="AN18" s="90">
        <f t="shared" si="39"/>
        <v>29</v>
      </c>
      <c r="AO18" s="90">
        <f t="shared" si="4"/>
        <v>83</v>
      </c>
      <c r="AP18" s="90">
        <f t="shared" si="40"/>
        <v>13</v>
      </c>
      <c r="AQ18" s="90">
        <f>IF(AP18=0.1,0,(IF(AP18&gt;=(EH18-EH17),(AP18),(EH18-EH17))))</f>
        <v>36</v>
      </c>
      <c r="AR18" s="90">
        <f t="shared" si="41"/>
        <v>86.009</v>
      </c>
      <c r="AS18" s="90">
        <f t="shared" si="42"/>
        <v>75.009000000000015</v>
      </c>
      <c r="AT18" s="90">
        <f t="shared" si="43"/>
        <v>887.00900000000001</v>
      </c>
      <c r="AU18" s="90">
        <f t="shared" si="44"/>
        <v>263</v>
      </c>
      <c r="AV18" s="90">
        <f t="shared" si="65"/>
        <v>0</v>
      </c>
      <c r="AW18" s="90">
        <f t="shared" si="45"/>
        <v>549</v>
      </c>
      <c r="AX18" s="90">
        <f t="shared" si="66"/>
        <v>25</v>
      </c>
      <c r="AY18" s="90" t="str">
        <f t="shared" si="66"/>
        <v/>
      </c>
      <c r="AZ18" s="90">
        <f t="shared" si="46"/>
        <v>324</v>
      </c>
      <c r="BA18" s="90">
        <v>105</v>
      </c>
      <c r="BB18" s="90">
        <f t="shared" si="47"/>
        <v>111</v>
      </c>
      <c r="BC18" s="90">
        <f t="shared" si="47"/>
        <v>679</v>
      </c>
      <c r="BD18" s="91">
        <f t="shared" si="48"/>
        <v>304</v>
      </c>
      <c r="BE18" s="90"/>
      <c r="BF18" s="90"/>
      <c r="BG18" s="90">
        <f t="shared" si="6"/>
        <v>1114</v>
      </c>
      <c r="BH18" s="90">
        <f t="shared" si="49"/>
        <v>-385</v>
      </c>
      <c r="BI18" s="90">
        <f t="shared" si="50"/>
        <v>2639.991</v>
      </c>
      <c r="BJ18" s="90">
        <f t="shared" si="7"/>
        <v>4378.009</v>
      </c>
      <c r="BK18" s="92"/>
      <c r="BL18" s="93">
        <f>FD18+FN18</f>
        <v>6633</v>
      </c>
      <c r="BM18" s="93">
        <f t="shared" si="52"/>
        <v>96328</v>
      </c>
      <c r="BN18" s="92"/>
      <c r="BO18" s="94">
        <f t="shared" si="53"/>
        <v>9.9055304299091124E-2</v>
      </c>
      <c r="BP18" s="94">
        <f t="shared" si="53"/>
        <v>6.0820913895722126E-2</v>
      </c>
      <c r="BQ18" s="94">
        <f t="shared" si="54"/>
        <v>0.2232333307030242</v>
      </c>
      <c r="BR18" s="94">
        <f t="shared" si="67"/>
        <v>0.61108030719777462</v>
      </c>
      <c r="BS18" s="94">
        <f t="shared" si="8"/>
        <v>0</v>
      </c>
      <c r="BT18" s="94">
        <f t="shared" si="8"/>
        <v>7.235343966194481E-2</v>
      </c>
      <c r="BU18" s="95">
        <f t="shared" si="8"/>
        <v>0.99629537947201796</v>
      </c>
      <c r="BV18" s="94">
        <f t="shared" si="9"/>
        <v>8.1352616549708198E-2</v>
      </c>
      <c r="BW18" s="94">
        <f t="shared" si="9"/>
        <v>4.9951292577139664E-2</v>
      </c>
      <c r="BX18" s="94">
        <f t="shared" si="9"/>
        <v>0.18333814309390761</v>
      </c>
      <c r="BY18" s="94">
        <f t="shared" si="55"/>
        <v>0.50187097262791003</v>
      </c>
      <c r="BZ18" s="95">
        <f t="shared" si="10"/>
        <v>0.81824225921010851</v>
      </c>
      <c r="CA18" s="96" t="e">
        <f>#REF!</f>
        <v>#REF!</v>
      </c>
      <c r="CB18" s="94">
        <f t="shared" si="11"/>
        <v>3.3802208680308463E-2</v>
      </c>
      <c r="CC18" s="95">
        <f t="shared" si="11"/>
        <v>2.9479122776700787E-2</v>
      </c>
      <c r="CD18" s="97">
        <f t="shared" si="12"/>
        <v>9.4570048181696245E-2</v>
      </c>
      <c r="CE18" s="98">
        <f t="shared" si="12"/>
        <v>8.247514497390801E-2</v>
      </c>
      <c r="CF18" s="94">
        <f t="shared" si="56"/>
        <v>0.61011904761904756</v>
      </c>
      <c r="CG18" s="94">
        <f t="shared" si="56"/>
        <v>0.68452380952380953</v>
      </c>
      <c r="CH18" s="95">
        <f t="shared" si="57"/>
        <v>2.6860119047619047</v>
      </c>
      <c r="CI18" s="96" t="e">
        <f>#REF!</f>
        <v>#REF!</v>
      </c>
      <c r="CJ18" s="94">
        <f t="shared" si="58"/>
        <v>0.34548215641609714</v>
      </c>
      <c r="CK18" s="94">
        <f t="shared" si="58"/>
        <v>5.3151100987091873E-2</v>
      </c>
      <c r="CL18" s="95">
        <f t="shared" si="68"/>
        <v>0.62452543659832949</v>
      </c>
      <c r="CM18" s="95" t="e">
        <f>#REF!</f>
        <v>#REF!</v>
      </c>
      <c r="CN18" s="94">
        <f t="shared" si="59"/>
        <v>0.61655421253964038</v>
      </c>
      <c r="CO18" s="94">
        <f t="shared" si="59"/>
        <v>4.3560895451170249E-2</v>
      </c>
      <c r="CP18" s="95">
        <f t="shared" si="60"/>
        <v>0.91477880447457516</v>
      </c>
      <c r="CQ18" s="95" t="e">
        <f>#REF!</f>
        <v>#REF!</v>
      </c>
      <c r="CR18" s="97">
        <f t="shared" si="69"/>
        <v>4.9776700007329186E-2</v>
      </c>
      <c r="CS18" s="95">
        <f t="shared" si="69"/>
        <v>0.14246434829683871</v>
      </c>
      <c r="CT18" s="96" t="e">
        <f>#REF!</f>
        <v>#REF!</v>
      </c>
      <c r="CU18" s="97">
        <f t="shared" si="70"/>
        <v>2.3743988661332184E-2</v>
      </c>
      <c r="CV18" s="95">
        <f t="shared" si="61"/>
        <v>6.5752583985227583E-2</v>
      </c>
      <c r="CW18" s="96" t="e">
        <f>#REF!</f>
        <v>#REF!</v>
      </c>
      <c r="CX18" s="99">
        <f t="shared" si="62"/>
        <v>0.10336105387716549</v>
      </c>
      <c r="CY18" s="95">
        <f t="shared" si="62"/>
        <v>0</v>
      </c>
      <c r="CZ18" s="99">
        <f t="shared" si="62"/>
        <v>0.21576128737096523</v>
      </c>
      <c r="DA18" s="95">
        <f t="shared" si="62"/>
        <v>9.8251952354720049E-3</v>
      </c>
      <c r="DB18" s="94">
        <f t="shared" si="13"/>
        <v>0.12733453025171718</v>
      </c>
      <c r="DC18" s="94">
        <f t="shared" si="14"/>
        <v>4.3623866845495698E-2</v>
      </c>
      <c r="DD18" s="94">
        <f t="shared" si="14"/>
        <v>0.26685230259541964</v>
      </c>
      <c r="DE18" s="94">
        <f t="shared" si="14"/>
        <v>0.11947437406333958</v>
      </c>
      <c r="DF18" s="94">
        <f t="shared" si="14"/>
        <v>0</v>
      </c>
      <c r="DG18" s="94">
        <f t="shared" si="14"/>
        <v>0</v>
      </c>
      <c r="DH18" s="95">
        <f t="shared" si="14"/>
        <v>0.43781069969263253</v>
      </c>
      <c r="DI18" s="96" t="e">
        <f>#REF!</f>
        <v>#REF!</v>
      </c>
      <c r="DJ18" s="95">
        <f t="shared" si="63"/>
        <v>-0.15130800662626886</v>
      </c>
      <c r="DK18" s="96" t="e">
        <f>#REF!</f>
        <v>#REF!</v>
      </c>
      <c r="DL18" s="95">
        <f t="shared" si="15"/>
        <v>1.037537079795559</v>
      </c>
      <c r="DM18" s="96">
        <f t="shared" si="16"/>
        <v>0</v>
      </c>
      <c r="DN18" s="94">
        <f t="shared" si="17"/>
        <v>1.7205917267061421</v>
      </c>
      <c r="DO18" s="100">
        <v>3.4</v>
      </c>
      <c r="DP18" s="94">
        <f>IF($O18&lt;&gt;0,IF($O18&lt;&gt;0,BL18/$O18*10,0)," ")</f>
        <v>2.6068207998754325</v>
      </c>
      <c r="DQ18" s="94">
        <f t="shared" si="72"/>
        <v>3.5175919262705753</v>
      </c>
      <c r="DR18" s="101" t="str">
        <f t="shared" si="18"/>
        <v>3,315, hL/NhL</v>
      </c>
      <c r="DS18" s="147"/>
      <c r="DT18" s="134">
        <v>13</v>
      </c>
      <c r="DU18" s="135">
        <v>619414</v>
      </c>
      <c r="DV18" s="135">
        <v>24997</v>
      </c>
      <c r="DW18" s="135">
        <v>5116824</v>
      </c>
      <c r="DX18" s="156">
        <v>111623</v>
      </c>
      <c r="DY18" s="135">
        <v>83179</v>
      </c>
      <c r="DZ18" s="135">
        <v>382088</v>
      </c>
      <c r="EA18" s="136">
        <v>223800</v>
      </c>
      <c r="EB18" s="136">
        <v>52438</v>
      </c>
      <c r="EC18" s="136">
        <v>392332</v>
      </c>
      <c r="ED18" s="136">
        <v>45968</v>
      </c>
      <c r="EE18" s="136">
        <v>37647</v>
      </c>
      <c r="EF18" s="136">
        <v>40047</v>
      </c>
      <c r="EG18" s="135">
        <v>90535</v>
      </c>
      <c r="EH18" s="135">
        <v>178595</v>
      </c>
      <c r="EI18" s="135">
        <v>30937</v>
      </c>
      <c r="EJ18" s="136">
        <v>39297</v>
      </c>
      <c r="EK18" s="136"/>
      <c r="EL18" s="135">
        <v>690378</v>
      </c>
      <c r="EM18" s="136">
        <v>4665</v>
      </c>
      <c r="EN18" s="136">
        <v>42154</v>
      </c>
      <c r="EO18" s="135">
        <v>2944304</v>
      </c>
      <c r="EP18" s="136">
        <v>2726553</v>
      </c>
      <c r="EQ18" s="136">
        <v>0</v>
      </c>
      <c r="ER18" s="136">
        <v>1512</v>
      </c>
      <c r="ES18" s="136">
        <v>326539</v>
      </c>
      <c r="ET18" s="136">
        <v>6672197</v>
      </c>
      <c r="EU18" s="136">
        <v>404687</v>
      </c>
      <c r="EV18" s="136">
        <v>126288</v>
      </c>
      <c r="EW18" s="136">
        <v>93723</v>
      </c>
      <c r="EX18" s="136">
        <v>203756</v>
      </c>
      <c r="EY18" s="136">
        <v>1608143</v>
      </c>
      <c r="EZ18" s="136">
        <v>745940</v>
      </c>
      <c r="FA18" s="145">
        <v>736769</v>
      </c>
      <c r="FB18" s="136">
        <v>30903</v>
      </c>
      <c r="FC18" s="136">
        <v>7018</v>
      </c>
      <c r="FD18" s="104">
        <f t="shared" si="76"/>
        <v>6633</v>
      </c>
      <c r="FE18" s="105">
        <f t="shared" si="74"/>
        <v>0</v>
      </c>
      <c r="FF18" s="105">
        <f t="shared" si="74"/>
        <v>19</v>
      </c>
      <c r="FG18" s="105">
        <f t="shared" si="74"/>
        <v>1944</v>
      </c>
      <c r="FH18" s="105">
        <f t="shared" si="74"/>
        <v>1912</v>
      </c>
      <c r="FI18" s="105">
        <v>791</v>
      </c>
      <c r="FJ18" s="105">
        <f t="shared" si="74"/>
        <v>916</v>
      </c>
      <c r="FK18" s="105">
        <f t="shared" si="74"/>
        <v>0</v>
      </c>
      <c r="FL18" s="105">
        <f t="shared" si="74"/>
        <v>1051</v>
      </c>
      <c r="FM18" s="105">
        <f t="shared" si="74"/>
        <v>0</v>
      </c>
      <c r="FN18" s="124">
        <f t="shared" si="73"/>
        <v>0</v>
      </c>
      <c r="FO18" s="136">
        <v>998004</v>
      </c>
      <c r="FP18" s="132"/>
      <c r="FY18" s="119">
        <v>13</v>
      </c>
      <c r="FZ18" s="107"/>
      <c r="GA18" s="107"/>
      <c r="GB18" s="107"/>
      <c r="GC18" s="109"/>
      <c r="GD18" s="110"/>
      <c r="GE18" s="110"/>
      <c r="GF18" s="111"/>
      <c r="GG18" s="111"/>
      <c r="GH18" s="111"/>
      <c r="GI18" s="112"/>
      <c r="GJ18" s="111" t="e">
        <f t="shared" si="64"/>
        <v>#DIV/0!</v>
      </c>
      <c r="GK18" s="113"/>
    </row>
    <row r="19" spans="1:193" s="119" customFormat="1" ht="15" customHeight="1">
      <c r="A19" s="119">
        <v>0</v>
      </c>
      <c r="B19" s="114">
        <v>14</v>
      </c>
      <c r="D19" s="157">
        <v>1836</v>
      </c>
      <c r="E19" s="128">
        <v>1508.4</v>
      </c>
      <c r="F19" s="128">
        <v>2674.944</v>
      </c>
      <c r="G19" s="86">
        <v>6049.0940000000001</v>
      </c>
      <c r="H19" s="86">
        <v>8501.2289999999994</v>
      </c>
      <c r="I19" s="85">
        <v>1234.4100000000001</v>
      </c>
      <c r="J19" s="85"/>
      <c r="K19" s="85"/>
      <c r="L19" s="85">
        <v>100</v>
      </c>
      <c r="M19" s="115">
        <f t="shared" si="21"/>
        <v>1234.4100000000001</v>
      </c>
      <c r="N19" s="88">
        <f t="shared" si="0"/>
        <v>20569.667000000001</v>
      </c>
      <c r="O19" s="88">
        <f t="shared" si="22"/>
        <v>21286.872000000003</v>
      </c>
      <c r="P19" s="89">
        <f t="shared" si="23"/>
        <v>295133.30449999997</v>
      </c>
      <c r="R19" s="90">
        <f t="shared" si="24"/>
        <v>318</v>
      </c>
      <c r="S19" s="90">
        <f t="shared" si="25"/>
        <v>89.6</v>
      </c>
      <c r="T19" s="90">
        <f t="shared" si="1"/>
        <v>441</v>
      </c>
      <c r="U19" s="91">
        <f t="shared" si="75"/>
        <v>5.5</v>
      </c>
      <c r="V19" s="90">
        <f t="shared" si="26"/>
        <v>1571</v>
      </c>
      <c r="W19" s="91">
        <f t="shared" si="2"/>
        <v>139.19999999999999</v>
      </c>
      <c r="X19" s="90">
        <f t="shared" si="27"/>
        <v>1571</v>
      </c>
      <c r="Y19" s="90">
        <f t="shared" si="28"/>
        <v>22.6</v>
      </c>
      <c r="Z19" s="90">
        <f t="shared" si="3"/>
        <v>154.9</v>
      </c>
      <c r="AA19" s="90">
        <f t="shared" si="29"/>
        <v>2425.1</v>
      </c>
      <c r="AB19" s="90">
        <f t="shared" si="30"/>
        <v>64</v>
      </c>
      <c r="AC19" s="90">
        <f t="shared" si="30"/>
        <v>0</v>
      </c>
      <c r="AD19" s="90">
        <f t="shared" si="31"/>
        <v>380</v>
      </c>
      <c r="AE19" s="90">
        <f t="shared" si="32"/>
        <v>316</v>
      </c>
      <c r="AF19" s="90">
        <f t="shared" si="33"/>
        <v>0</v>
      </c>
      <c r="AG19" s="90">
        <f t="shared" si="33"/>
        <v>0</v>
      </c>
      <c r="AH19" s="90">
        <f t="shared" si="34"/>
        <v>40</v>
      </c>
      <c r="AI19" s="90">
        <f t="shared" si="35"/>
        <v>40</v>
      </c>
      <c r="AJ19" s="90">
        <f t="shared" si="36"/>
        <v>166</v>
      </c>
      <c r="AK19" s="90">
        <f t="shared" si="36"/>
        <v>12</v>
      </c>
      <c r="AL19" s="90">
        <f t="shared" si="37"/>
        <v>263</v>
      </c>
      <c r="AM19" s="90">
        <f t="shared" si="38"/>
        <v>85</v>
      </c>
      <c r="AN19" s="90">
        <f t="shared" si="39"/>
        <v>31</v>
      </c>
      <c r="AO19" s="90">
        <f t="shared" si="4"/>
        <v>79</v>
      </c>
      <c r="AP19" s="90">
        <f t="shared" si="40"/>
        <v>20</v>
      </c>
      <c r="AQ19" s="90">
        <f t="shared" si="5"/>
        <v>36</v>
      </c>
      <c r="AR19" s="90">
        <f t="shared" si="41"/>
        <v>42.423000000000002</v>
      </c>
      <c r="AS19" s="90">
        <f t="shared" si="42"/>
        <v>155.423</v>
      </c>
      <c r="AT19" s="90">
        <f t="shared" si="43"/>
        <v>335.423</v>
      </c>
      <c r="AU19" s="90">
        <f t="shared" si="44"/>
        <v>180</v>
      </c>
      <c r="AV19" s="90">
        <f t="shared" si="65"/>
        <v>0</v>
      </c>
      <c r="AW19" s="90">
        <f t="shared" si="45"/>
        <v>0</v>
      </c>
      <c r="AX19" s="90">
        <f t="shared" si="66"/>
        <v>12</v>
      </c>
      <c r="AY19" s="90" t="str">
        <f t="shared" si="66"/>
        <v/>
      </c>
      <c r="AZ19" s="90">
        <f t="shared" si="46"/>
        <v>401</v>
      </c>
      <c r="BA19" s="90">
        <v>0</v>
      </c>
      <c r="BB19" s="90">
        <f t="shared" si="47"/>
        <v>127</v>
      </c>
      <c r="BC19" s="90">
        <f t="shared" si="47"/>
        <v>1005</v>
      </c>
      <c r="BD19" s="91">
        <f t="shared" si="48"/>
        <v>335</v>
      </c>
      <c r="BE19" s="90"/>
      <c r="BF19" s="90"/>
      <c r="BG19" s="90">
        <f t="shared" si="6"/>
        <v>1533</v>
      </c>
      <c r="BH19" s="90">
        <f t="shared" si="49"/>
        <v>1016</v>
      </c>
      <c r="BI19" s="90">
        <f t="shared" si="50"/>
        <v>1200.4769999999999</v>
      </c>
      <c r="BJ19" s="90">
        <f t="shared" si="7"/>
        <v>4923.5230000000001</v>
      </c>
      <c r="BK19" s="92"/>
      <c r="BL19" s="93">
        <f t="shared" si="51"/>
        <v>7140</v>
      </c>
      <c r="BM19" s="93">
        <f t="shared" si="52"/>
        <v>103468</v>
      </c>
      <c r="BN19" s="92"/>
      <c r="BO19" s="94">
        <f t="shared" si="53"/>
        <v>0.15459657173837574</v>
      </c>
      <c r="BP19" s="94">
        <f t="shared" si="53"/>
        <v>4.3559285621881966E-2</v>
      </c>
      <c r="BQ19" s="94">
        <f t="shared" si="54"/>
        <v>0.21439335892020031</v>
      </c>
      <c r="BR19" s="94">
        <f t="shared" si="67"/>
        <v>0.76374595660688138</v>
      </c>
      <c r="BS19" s="94">
        <f t="shared" si="8"/>
        <v>1.0987051953733621E-2</v>
      </c>
      <c r="BT19" s="94">
        <f t="shared" si="8"/>
        <v>7.5305059629793711E-2</v>
      </c>
      <c r="BU19" s="95">
        <f t="shared" si="8"/>
        <v>1.1789690129645753</v>
      </c>
      <c r="BV19" s="94">
        <f t="shared" si="9"/>
        <v>0.14938784805959276</v>
      </c>
      <c r="BW19" s="94">
        <f t="shared" si="9"/>
        <v>4.2091670396665129E-2</v>
      </c>
      <c r="BX19" s="94">
        <f t="shared" si="9"/>
        <v>0.2071699402335862</v>
      </c>
      <c r="BY19" s="94">
        <f t="shared" si="55"/>
        <v>0.73801355126295665</v>
      </c>
      <c r="BZ19" s="95">
        <f t="shared" si="10"/>
        <v>1.1392467620418818</v>
      </c>
      <c r="CA19" s="96" t="e">
        <f>#REF!</f>
        <v>#REF!</v>
      </c>
      <c r="CB19" s="94">
        <f t="shared" si="11"/>
        <v>1.9929184522742463E-2</v>
      </c>
      <c r="CC19" s="95">
        <f t="shared" si="11"/>
        <v>7.3013545625679521E-2</v>
      </c>
      <c r="CD19" s="97">
        <f t="shared" si="12"/>
        <v>0.34367025542566892</v>
      </c>
      <c r="CE19" s="98">
        <f t="shared" si="12"/>
        <v>1.2590873372704368</v>
      </c>
      <c r="CF19" s="94">
        <f t="shared" si="56"/>
        <v>0.34858387799564272</v>
      </c>
      <c r="CG19" s="94">
        <f t="shared" si="56"/>
        <v>0</v>
      </c>
      <c r="CH19" s="95">
        <f t="shared" si="57"/>
        <v>2.0697167755991286</v>
      </c>
      <c r="CI19" s="96" t="e">
        <f>#REF!</f>
        <v>#REF!</v>
      </c>
      <c r="CJ19" s="94">
        <f t="shared" si="58"/>
        <v>0</v>
      </c>
      <c r="CK19" s="94">
        <f t="shared" si="58"/>
        <v>0</v>
      </c>
      <c r="CL19" s="95">
        <f t="shared" si="68"/>
        <v>0.26518164942985945</v>
      </c>
      <c r="CM19" s="95" t="e">
        <f>#REF!</f>
        <v>#REF!</v>
      </c>
      <c r="CN19" s="94">
        <f t="shared" si="59"/>
        <v>0.62057373911379088</v>
      </c>
      <c r="CO19" s="94">
        <f t="shared" si="59"/>
        <v>4.4860752225093309E-2</v>
      </c>
      <c r="CP19" s="95">
        <f t="shared" si="60"/>
        <v>0.98319815293329504</v>
      </c>
      <c r="CQ19" s="95" t="e">
        <f>#REF!</f>
        <v>#REF!</v>
      </c>
      <c r="CR19" s="97">
        <f t="shared" si="69"/>
        <v>5.124734381710716E-2</v>
      </c>
      <c r="CS19" s="95">
        <f t="shared" si="69"/>
        <v>0.13059806972746663</v>
      </c>
      <c r="CT19" s="96" t="e">
        <f>#REF!</f>
        <v>#REF!</v>
      </c>
      <c r="CU19" s="97">
        <f t="shared" si="70"/>
        <v>2.3526010180410388E-2</v>
      </c>
      <c r="CV19" s="95">
        <f t="shared" si="61"/>
        <v>4.2346818324738703E-2</v>
      </c>
      <c r="CW19" s="96" t="e">
        <f>#REF!</f>
        <v>#REF!</v>
      </c>
      <c r="CX19" s="99">
        <f t="shared" si="62"/>
        <v>8.4559159279014778E-2</v>
      </c>
      <c r="CY19" s="95">
        <f t="shared" si="62"/>
        <v>0</v>
      </c>
      <c r="CZ19" s="99">
        <f t="shared" si="62"/>
        <v>0</v>
      </c>
      <c r="DA19" s="95">
        <f t="shared" si="62"/>
        <v>5.6372772852676511E-3</v>
      </c>
      <c r="DB19" s="94">
        <f t="shared" si="13"/>
        <v>0.18837901594936068</v>
      </c>
      <c r="DC19" s="94">
        <f t="shared" si="14"/>
        <v>5.9661184602415977E-2</v>
      </c>
      <c r="DD19" s="94">
        <f t="shared" si="14"/>
        <v>0.47212197264116579</v>
      </c>
      <c r="DE19" s="94">
        <f t="shared" si="14"/>
        <v>0.15737399088038861</v>
      </c>
      <c r="DF19" s="94">
        <f t="shared" si="14"/>
        <v>0</v>
      </c>
      <c r="DG19" s="94">
        <f t="shared" si="14"/>
        <v>0</v>
      </c>
      <c r="DH19" s="95">
        <f t="shared" si="14"/>
        <v>0.72016217319294251</v>
      </c>
      <c r="DI19" s="96" t="e">
        <f>#REF!</f>
        <v>#REF!</v>
      </c>
      <c r="DJ19" s="95">
        <f t="shared" si="63"/>
        <v>0.47728947681932782</v>
      </c>
      <c r="DK19" s="96" t="e">
        <f>#REF!</f>
        <v>#REF!</v>
      </c>
      <c r="DL19" s="95">
        <f t="shared" si="15"/>
        <v>0.56395181029885444</v>
      </c>
      <c r="DM19" s="96">
        <f t="shared" si="16"/>
        <v>0</v>
      </c>
      <c r="DN19" s="94">
        <f t="shared" si="17"/>
        <v>2.3129386976160706</v>
      </c>
      <c r="DO19" s="100">
        <v>3.4</v>
      </c>
      <c r="DP19" s="94">
        <f>IF($O19&lt;&gt;0,IF($O19&lt;&gt;0,BL19/$O19*10,0)," ")</f>
        <v>3.3541799847342526</v>
      </c>
      <c r="DQ19" s="94">
        <f t="shared" si="72"/>
        <v>3.5058056282495902</v>
      </c>
      <c r="DR19" s="101" t="str">
        <f t="shared" si="18"/>
        <v>3,315, hL/NhL</v>
      </c>
      <c r="DS19" s="147"/>
      <c r="DT19" s="103">
        <v>14</v>
      </c>
      <c r="DU19" s="135">
        <v>619478</v>
      </c>
      <c r="DV19" s="135">
        <v>24997</v>
      </c>
      <c r="DW19" s="135">
        <v>5117204</v>
      </c>
      <c r="DX19" s="156">
        <v>111623</v>
      </c>
      <c r="DY19" s="135">
        <v>83179</v>
      </c>
      <c r="DZ19" s="135">
        <v>382128</v>
      </c>
      <c r="EA19" s="135">
        <v>223966</v>
      </c>
      <c r="EB19" s="136">
        <v>52450</v>
      </c>
      <c r="EC19" s="135">
        <v>392595</v>
      </c>
      <c r="ED19" s="135">
        <v>45999</v>
      </c>
      <c r="EE19" s="136">
        <v>37673</v>
      </c>
      <c r="EF19" s="136">
        <v>40100</v>
      </c>
      <c r="EG19" s="135">
        <v>90555</v>
      </c>
      <c r="EH19" s="135">
        <v>178631</v>
      </c>
      <c r="EI19" s="135">
        <v>30937</v>
      </c>
      <c r="EJ19" s="136">
        <v>39309</v>
      </c>
      <c r="EK19" s="136"/>
      <c r="EL19" s="135">
        <v>690696</v>
      </c>
      <c r="EM19" s="136">
        <v>4410</v>
      </c>
      <c r="EN19" s="136">
        <v>42209</v>
      </c>
      <c r="EO19" s="135">
        <v>2945875</v>
      </c>
      <c r="EP19" s="136">
        <v>2727945</v>
      </c>
      <c r="EQ19" s="136">
        <v>226</v>
      </c>
      <c r="ER19" s="136">
        <v>1549</v>
      </c>
      <c r="ES19" s="136">
        <v>326832</v>
      </c>
      <c r="ET19" s="136">
        <v>6714620</v>
      </c>
      <c r="EU19" s="136">
        <v>404687</v>
      </c>
      <c r="EV19" s="136">
        <v>126468</v>
      </c>
      <c r="EW19" s="136">
        <v>94124</v>
      </c>
      <c r="EX19" s="136">
        <v>203883</v>
      </c>
      <c r="EY19" s="136">
        <v>1609148</v>
      </c>
      <c r="EZ19" s="136">
        <v>746836</v>
      </c>
      <c r="FA19" s="145">
        <v>737104</v>
      </c>
      <c r="FB19" s="136">
        <v>30903</v>
      </c>
      <c r="FC19" s="136">
        <v>6124</v>
      </c>
      <c r="FD19" s="104">
        <f t="shared" si="76"/>
        <v>6402</v>
      </c>
      <c r="FE19" s="105">
        <f t="shared" si="74"/>
        <v>0</v>
      </c>
      <c r="FF19" s="105">
        <f t="shared" si="74"/>
        <v>0</v>
      </c>
      <c r="FG19" s="105">
        <f t="shared" si="74"/>
        <v>1949</v>
      </c>
      <c r="FH19" s="105">
        <f t="shared" si="74"/>
        <v>1571</v>
      </c>
      <c r="FI19" s="105">
        <v>743</v>
      </c>
      <c r="FJ19" s="105">
        <f t="shared" si="74"/>
        <v>1014</v>
      </c>
      <c r="FK19" s="105">
        <f t="shared" si="74"/>
        <v>0</v>
      </c>
      <c r="FL19" s="105">
        <f t="shared" si="74"/>
        <v>1125</v>
      </c>
      <c r="FM19" s="105">
        <f t="shared" si="74"/>
        <v>0</v>
      </c>
      <c r="FN19" s="124">
        <f>IF(FO19="",0,(FO19-FO18))</f>
        <v>738</v>
      </c>
      <c r="FO19" s="136">
        <v>998742</v>
      </c>
      <c r="FP19" s="158"/>
      <c r="FY19" s="119">
        <v>14</v>
      </c>
      <c r="FZ19" s="107"/>
      <c r="GA19" s="107"/>
      <c r="GB19" s="107"/>
      <c r="GC19" s="109"/>
      <c r="GD19" s="110"/>
      <c r="GE19" s="110"/>
      <c r="GF19" s="111"/>
      <c r="GG19" s="111"/>
      <c r="GH19" s="111"/>
      <c r="GI19" s="112"/>
      <c r="GJ19" s="111" t="e">
        <f t="shared" si="64"/>
        <v>#DIV/0!</v>
      </c>
      <c r="GK19" s="113"/>
    </row>
    <row r="20" spans="1:193" s="119" customFormat="1" ht="15" customHeight="1">
      <c r="B20" s="114">
        <v>15</v>
      </c>
      <c r="D20" s="159">
        <v>2247.2399999999998</v>
      </c>
      <c r="E20" s="128"/>
      <c r="F20" s="86">
        <v>2411.0639999999999</v>
      </c>
      <c r="G20" s="86">
        <v>5223.25</v>
      </c>
      <c r="H20" s="86">
        <v>6736.3339999999998</v>
      </c>
      <c r="I20" s="85">
        <v>2466.1460000000002</v>
      </c>
      <c r="J20" s="85">
        <v>2674.2</v>
      </c>
      <c r="K20" s="85"/>
      <c r="L20" s="85"/>
      <c r="M20" s="115">
        <f t="shared" si="21"/>
        <v>5140.3459999999995</v>
      </c>
      <c r="N20" s="88">
        <f t="shared" si="0"/>
        <v>16617.887999999999</v>
      </c>
      <c r="O20" s="88">
        <f t="shared" si="22"/>
        <v>19188.060999999998</v>
      </c>
      <c r="P20" s="89">
        <f t="shared" si="23"/>
        <v>314321.36549999996</v>
      </c>
      <c r="R20" s="90">
        <f t="shared" si="24"/>
        <v>321</v>
      </c>
      <c r="S20" s="90">
        <f t="shared" si="25"/>
        <v>131.19999999999999</v>
      </c>
      <c r="T20" s="90">
        <f t="shared" si="1"/>
        <v>578.6</v>
      </c>
      <c r="U20" s="91">
        <f t="shared" si="75"/>
        <v>6.5</v>
      </c>
      <c r="V20" s="90">
        <f t="shared" si="26"/>
        <v>1479</v>
      </c>
      <c r="W20" s="91">
        <f t="shared" si="2"/>
        <v>129.69999999999999</v>
      </c>
      <c r="X20" s="90">
        <f t="shared" si="27"/>
        <v>1479</v>
      </c>
      <c r="Y20" s="90" t="str">
        <f t="shared" si="28"/>
        <v>0</v>
      </c>
      <c r="Z20" s="90">
        <f t="shared" si="3"/>
        <v>163.19999999999999</v>
      </c>
      <c r="AA20" s="90">
        <f t="shared" si="29"/>
        <v>2516.3000000000002</v>
      </c>
      <c r="AB20" s="90">
        <f t="shared" si="30"/>
        <v>124</v>
      </c>
      <c r="AC20" s="90">
        <f t="shared" si="30"/>
        <v>140</v>
      </c>
      <c r="AD20" s="90">
        <f t="shared" si="31"/>
        <v>388</v>
      </c>
      <c r="AE20" s="90">
        <f t="shared" si="32"/>
        <v>124</v>
      </c>
      <c r="AF20" s="90">
        <f t="shared" si="33"/>
        <v>160</v>
      </c>
      <c r="AG20" s="90">
        <f t="shared" si="33"/>
        <v>168</v>
      </c>
      <c r="AH20" s="90">
        <f t="shared" si="34"/>
        <v>415</v>
      </c>
      <c r="AI20" s="90">
        <f t="shared" si="35"/>
        <v>87</v>
      </c>
      <c r="AJ20" s="90">
        <f t="shared" si="36"/>
        <v>234</v>
      </c>
      <c r="AK20" s="90">
        <f t="shared" si="36"/>
        <v>21</v>
      </c>
      <c r="AL20" s="90">
        <f t="shared" si="37"/>
        <v>322</v>
      </c>
      <c r="AM20" s="90">
        <f t="shared" si="38"/>
        <v>67</v>
      </c>
      <c r="AN20" s="90">
        <f t="shared" si="39"/>
        <v>13</v>
      </c>
      <c r="AO20" s="90">
        <f t="shared" si="4"/>
        <v>57</v>
      </c>
      <c r="AP20" s="90">
        <f t="shared" si="40"/>
        <v>19</v>
      </c>
      <c r="AQ20" s="90">
        <f t="shared" si="5"/>
        <v>49</v>
      </c>
      <c r="AR20" s="90">
        <f t="shared" si="41"/>
        <v>69.676000000000002</v>
      </c>
      <c r="AS20" s="90">
        <f t="shared" si="42"/>
        <v>72.676000000000045</v>
      </c>
      <c r="AT20" s="90">
        <f t="shared" si="43"/>
        <v>725.67600000000004</v>
      </c>
      <c r="AU20" s="90">
        <f t="shared" si="44"/>
        <v>292</v>
      </c>
      <c r="AV20" s="90">
        <f t="shared" si="65"/>
        <v>0</v>
      </c>
      <c r="AW20" s="90">
        <f t="shared" si="45"/>
        <v>361</v>
      </c>
      <c r="AX20" s="90">
        <f t="shared" si="66"/>
        <v>69</v>
      </c>
      <c r="AY20" s="90" t="str">
        <f t="shared" si="66"/>
        <v/>
      </c>
      <c r="AZ20" s="90">
        <f t="shared" si="46"/>
        <v>303</v>
      </c>
      <c r="BA20" s="90">
        <v>100</v>
      </c>
      <c r="BB20" s="90">
        <f t="shared" si="47"/>
        <v>108</v>
      </c>
      <c r="BC20" s="90">
        <f t="shared" si="47"/>
        <v>1159</v>
      </c>
      <c r="BD20" s="91">
        <f t="shared" si="48"/>
        <v>281</v>
      </c>
      <c r="BE20" s="90"/>
      <c r="BF20" s="90"/>
      <c r="BG20" s="90">
        <f t="shared" si="6"/>
        <v>1570</v>
      </c>
      <c r="BH20" s="90">
        <f t="shared" si="49"/>
        <v>-969</v>
      </c>
      <c r="BI20" s="90">
        <f t="shared" si="50"/>
        <v>1810.0239999999994</v>
      </c>
      <c r="BJ20" s="90">
        <f t="shared" si="7"/>
        <v>5458.9760000000006</v>
      </c>
      <c r="BK20" s="92"/>
      <c r="BL20" s="93">
        <f t="shared" si="51"/>
        <v>6300</v>
      </c>
      <c r="BM20" s="93">
        <f t="shared" si="52"/>
        <v>109768</v>
      </c>
      <c r="BN20" s="92"/>
      <c r="BO20" s="94">
        <f t="shared" si="53"/>
        <v>0.19316534086642057</v>
      </c>
      <c r="BP20" s="94">
        <f t="shared" si="53"/>
        <v>7.8951067668767541E-2</v>
      </c>
      <c r="BQ20" s="94">
        <f t="shared" si="54"/>
        <v>0.34817902250875687</v>
      </c>
      <c r="BR20" s="94">
        <f t="shared" si="67"/>
        <v>0.89000479483313411</v>
      </c>
      <c r="BS20" s="94">
        <f t="shared" si="8"/>
        <v>0</v>
      </c>
      <c r="BT20" s="94">
        <f t="shared" si="8"/>
        <v>9.8207425636759618E-2</v>
      </c>
      <c r="BU20" s="95">
        <f t="shared" si="8"/>
        <v>1.5142116735893276</v>
      </c>
      <c r="BV20" s="94">
        <f t="shared" si="9"/>
        <v>0.16729152570444716</v>
      </c>
      <c r="BW20" s="94">
        <f t="shared" si="9"/>
        <v>6.8375851004434482E-2</v>
      </c>
      <c r="BX20" s="94">
        <f t="shared" si="9"/>
        <v>0.30154167218876365</v>
      </c>
      <c r="BY20" s="94">
        <f t="shared" si="55"/>
        <v>0.77079179600273329</v>
      </c>
      <c r="BZ20" s="95">
        <f t="shared" si="10"/>
        <v>1.3113883680065435</v>
      </c>
      <c r="CA20" s="96" t="e">
        <f>#REF!</f>
        <v>#REF!</v>
      </c>
      <c r="CB20" s="94">
        <f t="shared" si="11"/>
        <v>3.6312163068483061E-2</v>
      </c>
      <c r="CC20" s="95">
        <f t="shared" si="11"/>
        <v>3.7875635271328381E-2</v>
      </c>
      <c r="CD20" s="97">
        <f t="shared" si="12"/>
        <v>0.13554729584350939</v>
      </c>
      <c r="CE20" s="98">
        <f t="shared" si="12"/>
        <v>0.14138347885531452</v>
      </c>
      <c r="CF20" s="94">
        <f t="shared" si="56"/>
        <v>0.55178797102223176</v>
      </c>
      <c r="CG20" s="94">
        <f t="shared" si="56"/>
        <v>0.62298641889606809</v>
      </c>
      <c r="CH20" s="95">
        <f t="shared" si="57"/>
        <v>1.7265623609405316</v>
      </c>
      <c r="CI20" s="96" t="e">
        <f>#REF!</f>
        <v>#REF!</v>
      </c>
      <c r="CJ20" s="94" t="str">
        <f t="shared" si="58"/>
        <v>0,00</v>
      </c>
      <c r="CK20" s="94" t="str">
        <f t="shared" si="58"/>
        <v>0,00</v>
      </c>
      <c r="CL20" s="95" t="str">
        <f t="shared" si="68"/>
        <v xml:space="preserve">0,00 </v>
      </c>
      <c r="CM20" s="95" t="e">
        <f>#REF!</f>
        <v>#REF!</v>
      </c>
      <c r="CN20" s="94">
        <f t="shared" si="59"/>
        <v>0.97052587571296323</v>
      </c>
      <c r="CO20" s="94">
        <f t="shared" si="59"/>
        <v>8.7098476025522356E-2</v>
      </c>
      <c r="CP20" s="95">
        <f t="shared" si="60"/>
        <v>1.3355099657246761</v>
      </c>
      <c r="CQ20" s="95" t="e">
        <f>#REF!</f>
        <v>#REF!</v>
      </c>
      <c r="CR20" s="97">
        <f t="shared" si="69"/>
        <v>2.4888718709615662E-2</v>
      </c>
      <c r="CS20" s="95">
        <f t="shared" si="69"/>
        <v>0.10912745895754558</v>
      </c>
      <c r="CT20" s="96" t="e">
        <f>#REF!</f>
        <v>#REF!</v>
      </c>
      <c r="CU20" s="97">
        <f t="shared" si="70"/>
        <v>2.8205252293012788E-2</v>
      </c>
      <c r="CV20" s="95">
        <f t="shared" si="61"/>
        <v>7.2739861176717185E-2</v>
      </c>
      <c r="CW20" s="96" t="e">
        <f>#REF!</f>
        <v>#REF!</v>
      </c>
      <c r="CX20" s="99">
        <f t="shared" si="62"/>
        <v>0.15217796107694259</v>
      </c>
      <c r="CY20" s="95">
        <f t="shared" si="62"/>
        <v>0</v>
      </c>
      <c r="CZ20" s="99">
        <f t="shared" si="62"/>
        <v>0.18813782174238453</v>
      </c>
      <c r="DA20" s="95">
        <f t="shared" si="62"/>
        <v>3.5959860665441913E-2</v>
      </c>
      <c r="DB20" s="94">
        <f t="shared" si="13"/>
        <v>0.15791069248737535</v>
      </c>
      <c r="DC20" s="94">
        <f t="shared" si="14"/>
        <v>5.6284999302430826E-2</v>
      </c>
      <c r="DD20" s="94">
        <f t="shared" si="14"/>
        <v>0.6040214276992345</v>
      </c>
      <c r="DE20" s="94">
        <f t="shared" si="14"/>
        <v>0.14644522966650983</v>
      </c>
      <c r="DF20" s="94">
        <f t="shared" si="14"/>
        <v>0</v>
      </c>
      <c r="DG20" s="94">
        <f t="shared" si="14"/>
        <v>0</v>
      </c>
      <c r="DH20" s="95">
        <f t="shared" si="14"/>
        <v>0.81821711948904075</v>
      </c>
      <c r="DI20" s="96" t="e">
        <f>#REF!</f>
        <v>#REF!</v>
      </c>
      <c r="DJ20" s="95">
        <f t="shared" si="63"/>
        <v>-0.5050015215190321</v>
      </c>
      <c r="DK20" s="96" t="e">
        <f>#REF!</f>
        <v>#REF!</v>
      </c>
      <c r="DL20" s="95">
        <f t="shared" si="15"/>
        <v>0.94330740349428721</v>
      </c>
      <c r="DM20" s="96">
        <f t="shared" si="16"/>
        <v>0</v>
      </c>
      <c r="DN20" s="94">
        <f t="shared" si="17"/>
        <v>2.8449857439998767</v>
      </c>
      <c r="DO20" s="100">
        <v>3.4</v>
      </c>
      <c r="DP20" s="94">
        <f>IF($O20&lt;&gt;0,IF($O20&lt;&gt;0,BL20/$O20*10,0)," ")</f>
        <v>3.2832916259751315</v>
      </c>
      <c r="DQ20" s="94">
        <f>IF($P20&lt;&gt;0,IF($P20&lt;&gt;0,BM20/$P20*10,0)," ")</f>
        <v>3.4922220392301018</v>
      </c>
      <c r="DR20" s="101" t="str">
        <f t="shared" si="18"/>
        <v>3,315, hL/NhL</v>
      </c>
      <c r="DS20" s="147"/>
      <c r="DT20" s="103">
        <v>15</v>
      </c>
      <c r="DU20" s="120">
        <v>619602</v>
      </c>
      <c r="DV20" s="120">
        <v>25137</v>
      </c>
      <c r="DW20" s="120">
        <v>5117592</v>
      </c>
      <c r="DX20" s="120">
        <v>111783</v>
      </c>
      <c r="DY20" s="120">
        <v>83347</v>
      </c>
      <c r="DZ20" s="120">
        <v>382543</v>
      </c>
      <c r="EA20" s="120">
        <v>224200</v>
      </c>
      <c r="EB20" s="120">
        <v>52471</v>
      </c>
      <c r="EC20" s="120">
        <v>392917</v>
      </c>
      <c r="ED20" s="120">
        <v>46012</v>
      </c>
      <c r="EE20" s="120">
        <v>37704</v>
      </c>
      <c r="EF20" s="120">
        <v>40126</v>
      </c>
      <c r="EG20" s="120">
        <v>90574</v>
      </c>
      <c r="EH20" s="120">
        <v>178680</v>
      </c>
      <c r="EI20" s="120">
        <v>30937</v>
      </c>
      <c r="EJ20" s="120">
        <v>39378</v>
      </c>
      <c r="EK20" s="120"/>
      <c r="EL20" s="120">
        <v>691017</v>
      </c>
      <c r="EM20" s="120">
        <v>5786</v>
      </c>
      <c r="EN20" s="120">
        <v>42274</v>
      </c>
      <c r="EO20" s="120">
        <v>2947354</v>
      </c>
      <c r="EP20" s="120">
        <v>2729242</v>
      </c>
      <c r="EQ20" s="120">
        <v>0</v>
      </c>
      <c r="ER20" s="120">
        <v>1632</v>
      </c>
      <c r="ES20" s="120">
        <v>327488</v>
      </c>
      <c r="ET20" s="120">
        <v>6784296</v>
      </c>
      <c r="EU20" s="120">
        <v>405048</v>
      </c>
      <c r="EV20" s="120">
        <v>126760</v>
      </c>
      <c r="EW20" s="120">
        <v>94427</v>
      </c>
      <c r="EX20" s="120">
        <v>203991</v>
      </c>
      <c r="EY20" s="120">
        <v>1610307</v>
      </c>
      <c r="EZ20" s="120">
        <v>748148</v>
      </c>
      <c r="FA20" s="151">
        <v>737385</v>
      </c>
      <c r="FB20" s="77">
        <v>31020</v>
      </c>
      <c r="FC20" s="77">
        <v>7269</v>
      </c>
      <c r="FD20" s="104">
        <f t="shared" si="76"/>
        <v>5912</v>
      </c>
      <c r="FE20" s="105">
        <f t="shared" si="74"/>
        <v>0</v>
      </c>
      <c r="FF20" s="105">
        <f t="shared" si="74"/>
        <v>64</v>
      </c>
      <c r="FG20" s="105">
        <f t="shared" si="74"/>
        <v>1953</v>
      </c>
      <c r="FH20" s="105">
        <f t="shared" si="74"/>
        <v>1703</v>
      </c>
      <c r="FI20" s="105">
        <v>852</v>
      </c>
      <c r="FJ20" s="105">
        <f t="shared" si="74"/>
        <v>1035</v>
      </c>
      <c r="FK20" s="105">
        <f t="shared" si="74"/>
        <v>0</v>
      </c>
      <c r="FL20" s="105">
        <f t="shared" si="74"/>
        <v>305</v>
      </c>
      <c r="FM20" s="105">
        <f t="shared" si="74"/>
        <v>0</v>
      </c>
      <c r="FN20" s="124">
        <f>IF(FO20="",0,(FO20-FO19))</f>
        <v>388</v>
      </c>
      <c r="FO20" s="77">
        <v>999130</v>
      </c>
      <c r="FP20" s="158"/>
      <c r="FY20" s="119">
        <v>15</v>
      </c>
      <c r="FZ20" s="107"/>
      <c r="GA20" s="107"/>
      <c r="GB20" s="107"/>
      <c r="GC20" s="109"/>
      <c r="GD20" s="110"/>
      <c r="GE20" s="110"/>
      <c r="GF20" s="111"/>
      <c r="GG20" s="111"/>
      <c r="GH20" s="111"/>
      <c r="GI20" s="112"/>
      <c r="GJ20" s="111" t="e">
        <f t="shared" si="64"/>
        <v>#DIV/0!</v>
      </c>
      <c r="GK20" s="113"/>
    </row>
    <row r="21" spans="1:193" s="119" customFormat="1" ht="15" customHeight="1">
      <c r="B21" s="114">
        <v>16</v>
      </c>
      <c r="D21" s="159">
        <v>4583.5200000000004</v>
      </c>
      <c r="E21" s="128">
        <v>3603.48</v>
      </c>
      <c r="F21" s="86">
        <v>2654.2080000000001</v>
      </c>
      <c r="G21" s="86">
        <v>1929.3969999999999</v>
      </c>
      <c r="H21" s="86">
        <v>6020.59</v>
      </c>
      <c r="I21" s="85">
        <v>1281.5349999999999</v>
      </c>
      <c r="J21" s="85">
        <v>5080.5599999999995</v>
      </c>
      <c r="K21" s="85">
        <v>0</v>
      </c>
      <c r="L21" s="85"/>
      <c r="M21" s="115">
        <f t="shared" si="21"/>
        <v>6362.0949999999993</v>
      </c>
      <c r="N21" s="88">
        <f t="shared" si="0"/>
        <v>18791.195</v>
      </c>
      <c r="O21" s="88">
        <f>N21+L21+((J21+I21)*0.5)</f>
        <v>21972.2425</v>
      </c>
      <c r="P21" s="89">
        <f t="shared" si="23"/>
        <v>336293.60799999995</v>
      </c>
      <c r="R21" s="90">
        <f t="shared" si="24"/>
        <v>278</v>
      </c>
      <c r="S21" s="90">
        <f t="shared" si="25"/>
        <v>57.3</v>
      </c>
      <c r="T21" s="90">
        <f t="shared" si="1"/>
        <v>374.9</v>
      </c>
      <c r="U21" s="91">
        <f t="shared" si="75"/>
        <v>5.0999999999999996</v>
      </c>
      <c r="V21" s="90">
        <f t="shared" si="26"/>
        <v>1441</v>
      </c>
      <c r="W21" s="91">
        <f t="shared" si="2"/>
        <v>128</v>
      </c>
      <c r="X21" s="90">
        <f t="shared" si="27"/>
        <v>1441</v>
      </c>
      <c r="Y21" s="90">
        <f t="shared" si="28"/>
        <v>99.2</v>
      </c>
      <c r="Z21" s="90">
        <f t="shared" si="3"/>
        <v>152.6</v>
      </c>
      <c r="AA21" s="90">
        <f t="shared" si="29"/>
        <v>2156.3000000000002</v>
      </c>
      <c r="AB21" s="90">
        <f t="shared" si="30"/>
        <v>143</v>
      </c>
      <c r="AC21" s="90">
        <f t="shared" si="30"/>
        <v>23</v>
      </c>
      <c r="AD21" s="90">
        <f t="shared" si="31"/>
        <v>355</v>
      </c>
      <c r="AE21" s="90">
        <f t="shared" si="32"/>
        <v>189</v>
      </c>
      <c r="AF21" s="90">
        <f t="shared" si="33"/>
        <v>204</v>
      </c>
      <c r="AG21" s="90">
        <f t="shared" si="33"/>
        <v>12</v>
      </c>
      <c r="AH21" s="90">
        <f t="shared" si="34"/>
        <v>277</v>
      </c>
      <c r="AI21" s="90">
        <f t="shared" si="35"/>
        <v>61</v>
      </c>
      <c r="AJ21" s="90">
        <f t="shared" si="36"/>
        <v>175</v>
      </c>
      <c r="AK21" s="90">
        <f t="shared" si="36"/>
        <v>7</v>
      </c>
      <c r="AL21" s="90">
        <f t="shared" si="37"/>
        <v>266</v>
      </c>
      <c r="AM21" s="90">
        <f t="shared" si="38"/>
        <v>84</v>
      </c>
      <c r="AN21" s="90">
        <f t="shared" si="39"/>
        <v>1</v>
      </c>
      <c r="AO21" s="90">
        <f t="shared" si="4"/>
        <v>2</v>
      </c>
      <c r="AP21" s="90">
        <f t="shared" si="40"/>
        <v>10</v>
      </c>
      <c r="AQ21" s="90">
        <f t="shared" si="5"/>
        <v>25</v>
      </c>
      <c r="AR21" s="90">
        <f t="shared" si="41"/>
        <v>38.722999999999999</v>
      </c>
      <c r="AS21" s="90">
        <f t="shared" si="42"/>
        <v>128.72299999999996</v>
      </c>
      <c r="AT21" s="90">
        <f t="shared" si="43"/>
        <v>667.72299999999996</v>
      </c>
      <c r="AU21" s="90">
        <f t="shared" si="44"/>
        <v>157</v>
      </c>
      <c r="AV21" s="90">
        <f t="shared" si="65"/>
        <v>0</v>
      </c>
      <c r="AW21" s="90">
        <f t="shared" si="45"/>
        <v>382</v>
      </c>
      <c r="AX21" s="90">
        <f t="shared" si="66"/>
        <v>58</v>
      </c>
      <c r="AY21" s="90" t="str">
        <f t="shared" si="66"/>
        <v/>
      </c>
      <c r="AZ21" s="90">
        <f t="shared" si="46"/>
        <v>250</v>
      </c>
      <c r="BA21" s="90">
        <v>104</v>
      </c>
      <c r="BB21" s="90">
        <f t="shared" si="47"/>
        <v>126</v>
      </c>
      <c r="BC21" s="90">
        <f t="shared" si="47"/>
        <v>998</v>
      </c>
      <c r="BD21" s="91">
        <f t="shared" si="48"/>
        <v>0</v>
      </c>
      <c r="BE21" s="90"/>
      <c r="BF21" s="90"/>
      <c r="BG21" s="90">
        <f t="shared" si="6"/>
        <v>1374</v>
      </c>
      <c r="BH21" s="90">
        <f t="shared" si="49"/>
        <v>2212</v>
      </c>
      <c r="BI21" s="90">
        <f t="shared" si="50"/>
        <v>794.97699999999986</v>
      </c>
      <c r="BJ21" s="90">
        <f t="shared" si="7"/>
        <v>4642.0230000000001</v>
      </c>
      <c r="BK21" s="92"/>
      <c r="BL21" s="93">
        <f>FD21+FN21</f>
        <v>7649</v>
      </c>
      <c r="BM21" s="93">
        <f t="shared" si="52"/>
        <v>117417</v>
      </c>
      <c r="BN21" s="92"/>
      <c r="BO21" s="94">
        <f t="shared" si="53"/>
        <v>0.14794162904487981</v>
      </c>
      <c r="BP21" s="94">
        <f t="shared" si="53"/>
        <v>3.0493004835509398E-2</v>
      </c>
      <c r="BQ21" s="94">
        <f t="shared" si="54"/>
        <v>0.19950833355728573</v>
      </c>
      <c r="BR21" s="94">
        <f t="shared" si="67"/>
        <v>0.76684851602040205</v>
      </c>
      <c r="BS21" s="94">
        <f t="shared" si="8"/>
        <v>5.2790682018892358E-2</v>
      </c>
      <c r="BT21" s="94">
        <f t="shared" si="8"/>
        <v>8.120824673470739E-2</v>
      </c>
      <c r="BU21" s="95">
        <f t="shared" si="8"/>
        <v>1.1475055205376774</v>
      </c>
      <c r="BV21" s="94">
        <f t="shared" si="9"/>
        <v>0.12652327135020469</v>
      </c>
      <c r="BW21" s="94">
        <f t="shared" si="9"/>
        <v>2.6078357727937873E-2</v>
      </c>
      <c r="BX21" s="94">
        <f t="shared" si="9"/>
        <v>0.17062436845032999</v>
      </c>
      <c r="BY21" s="94">
        <f t="shared" si="55"/>
        <v>0.6558274604879315</v>
      </c>
      <c r="BZ21" s="95">
        <f t="shared" si="10"/>
        <v>0.98137456839009496</v>
      </c>
      <c r="CA21" s="96" t="e">
        <f>#REF!</f>
        <v>#REF!</v>
      </c>
      <c r="CB21" s="94">
        <f t="shared" si="11"/>
        <v>1.7623599411848836E-2</v>
      </c>
      <c r="CC21" s="95">
        <f t="shared" si="11"/>
        <v>5.8584370712274798E-2</v>
      </c>
      <c r="CD21" s="97">
        <f t="shared" si="12"/>
        <v>6.0865170985343671E-2</v>
      </c>
      <c r="CE21" s="98">
        <f t="shared" si="12"/>
        <v>0.20232800673363094</v>
      </c>
      <c r="CF21" s="94">
        <f t="shared" si="56"/>
        <v>0.31198729360840571</v>
      </c>
      <c r="CG21" s="94">
        <f t="shared" si="56"/>
        <v>5.0179774496456872E-2</v>
      </c>
      <c r="CH21" s="95">
        <f t="shared" si="57"/>
        <v>0.77451391070618214</v>
      </c>
      <c r="CI21" s="96" t="e">
        <f>#REF!</f>
        <v>#REF!</v>
      </c>
      <c r="CJ21" s="94">
        <f t="shared" si="58"/>
        <v>0.56611941789603382</v>
      </c>
      <c r="CK21" s="94">
        <f t="shared" si="58"/>
        <v>3.330114222917846E-2</v>
      </c>
      <c r="CL21" s="95">
        <f t="shared" si="68"/>
        <v>0.76870136645686937</v>
      </c>
      <c r="CM21" s="95" t="e">
        <f>#REF!</f>
        <v>#REF!</v>
      </c>
      <c r="CN21" s="94">
        <f t="shared" si="59"/>
        <v>0.65933039158950613</v>
      </c>
      <c r="CO21" s="94">
        <f t="shared" si="59"/>
        <v>2.6373215663580245E-2</v>
      </c>
      <c r="CP21" s="95">
        <f t="shared" si="60"/>
        <v>1.0021821952160495</v>
      </c>
      <c r="CQ21" s="95" t="e">
        <f>#REF!</f>
        <v>#REF!</v>
      </c>
      <c r="CR21" s="97">
        <f t="shared" si="69"/>
        <v>5.182966491603336E-3</v>
      </c>
      <c r="CS21" s="95">
        <f t="shared" si="69"/>
        <v>1.0365932983206672E-2</v>
      </c>
      <c r="CT21" s="96" t="e">
        <f>#REF!</f>
        <v>#REF!</v>
      </c>
      <c r="CU21" s="97">
        <f t="shared" si="70"/>
        <v>1.6609667823253203E-2</v>
      </c>
      <c r="CV21" s="95">
        <f t="shared" si="61"/>
        <v>4.1524169558133012E-2</v>
      </c>
      <c r="CW21" s="96" t="e">
        <f>#REF!</f>
        <v>#REF!</v>
      </c>
      <c r="CX21" s="99">
        <f t="shared" si="62"/>
        <v>7.1453789935187542E-2</v>
      </c>
      <c r="CY21" s="95">
        <f t="shared" si="62"/>
        <v>0</v>
      </c>
      <c r="CZ21" s="99">
        <f t="shared" si="62"/>
        <v>0.17385571818625251</v>
      </c>
      <c r="DA21" s="95">
        <f t="shared" si="62"/>
        <v>2.6396941504718965E-2</v>
      </c>
      <c r="DB21" s="94">
        <f t="shared" si="13"/>
        <v>0.11377992027896106</v>
      </c>
      <c r="DC21" s="94">
        <f t="shared" si="14"/>
        <v>5.7345079820596376E-2</v>
      </c>
      <c r="DD21" s="94">
        <f t="shared" si="14"/>
        <v>0.4542094417536125</v>
      </c>
      <c r="DE21" s="94">
        <f t="shared" si="14"/>
        <v>0</v>
      </c>
      <c r="DF21" s="94">
        <f t="shared" si="14"/>
        <v>0</v>
      </c>
      <c r="DG21" s="94">
        <f t="shared" si="14"/>
        <v>0</v>
      </c>
      <c r="DH21" s="95">
        <f t="shared" si="14"/>
        <v>0.62533444185316989</v>
      </c>
      <c r="DI21" s="96" t="e">
        <f>#REF!</f>
        <v>#REF!</v>
      </c>
      <c r="DJ21" s="95">
        <f t="shared" si="63"/>
        <v>1.0067247346282473</v>
      </c>
      <c r="DK21" s="96" t="e">
        <f>#REF!</f>
        <v>#REF!</v>
      </c>
      <c r="DL21" s="95">
        <f t="shared" si="15"/>
        <v>0.36180967873443043</v>
      </c>
      <c r="DM21" s="96">
        <f t="shared" si="16"/>
        <v>0</v>
      </c>
      <c r="DN21" s="94">
        <f t="shared" si="17"/>
        <v>2.1126760274924146</v>
      </c>
      <c r="DO21" s="100">
        <v>3.4</v>
      </c>
      <c r="DP21" s="94">
        <f t="shared" si="71"/>
        <v>3.4812104408550928</v>
      </c>
      <c r="DQ21" s="94">
        <f t="shared" si="72"/>
        <v>3.4915025800906694</v>
      </c>
      <c r="DR21" s="101" t="str">
        <f t="shared" si="18"/>
        <v>3,315, hL/NhL</v>
      </c>
      <c r="DS21" s="147"/>
      <c r="DT21" s="103">
        <v>16</v>
      </c>
      <c r="DU21" s="135">
        <v>619745</v>
      </c>
      <c r="DV21" s="135">
        <v>25160</v>
      </c>
      <c r="DW21" s="160">
        <v>5117947</v>
      </c>
      <c r="DX21" s="156">
        <v>111987</v>
      </c>
      <c r="DY21" s="135">
        <v>83359</v>
      </c>
      <c r="DZ21" s="160">
        <v>382820</v>
      </c>
      <c r="EA21" s="135">
        <v>224375</v>
      </c>
      <c r="EB21" s="136">
        <v>52478</v>
      </c>
      <c r="EC21" s="160">
        <v>393183</v>
      </c>
      <c r="ED21" s="160">
        <v>46013</v>
      </c>
      <c r="EE21" s="136">
        <v>37706</v>
      </c>
      <c r="EF21" s="136">
        <v>40126</v>
      </c>
      <c r="EG21" s="160">
        <v>90584</v>
      </c>
      <c r="EH21" s="160">
        <v>178705</v>
      </c>
      <c r="EI21" s="160">
        <v>30937</v>
      </c>
      <c r="EJ21" s="136">
        <v>39436</v>
      </c>
      <c r="EK21" s="136"/>
      <c r="EL21" s="160">
        <v>691295</v>
      </c>
      <c r="EM21" s="161">
        <v>3749</v>
      </c>
      <c r="EN21" s="161">
        <v>42325</v>
      </c>
      <c r="EO21" s="160">
        <v>2948795</v>
      </c>
      <c r="EP21" s="136">
        <v>2730522</v>
      </c>
      <c r="EQ21" s="136">
        <v>992</v>
      </c>
      <c r="ER21" s="136">
        <v>1526</v>
      </c>
      <c r="ES21" s="136">
        <v>328117</v>
      </c>
      <c r="ET21" s="136">
        <v>6823019</v>
      </c>
      <c r="EU21" s="136">
        <v>405430</v>
      </c>
      <c r="EV21" s="136">
        <v>126917</v>
      </c>
      <c r="EW21" s="136">
        <v>94677</v>
      </c>
      <c r="EX21" s="136">
        <v>204117</v>
      </c>
      <c r="EY21" s="136">
        <v>1611305</v>
      </c>
      <c r="EZ21" s="136">
        <v>748721</v>
      </c>
      <c r="FA21" s="145">
        <v>737385</v>
      </c>
      <c r="FB21" s="136">
        <v>31130</v>
      </c>
      <c r="FC21" s="136">
        <v>5437</v>
      </c>
      <c r="FD21" s="104">
        <f t="shared" si="76"/>
        <v>5156</v>
      </c>
      <c r="FE21" s="105">
        <f t="shared" si="74"/>
        <v>0</v>
      </c>
      <c r="FF21" s="105">
        <f t="shared" si="74"/>
        <v>0</v>
      </c>
      <c r="FG21" s="105">
        <f t="shared" si="74"/>
        <v>1955</v>
      </c>
      <c r="FH21" s="105">
        <f t="shared" si="74"/>
        <v>1761</v>
      </c>
      <c r="FI21" s="105">
        <v>752</v>
      </c>
      <c r="FJ21" s="105">
        <f t="shared" si="74"/>
        <v>688</v>
      </c>
      <c r="FK21" s="105">
        <f t="shared" si="74"/>
        <v>0</v>
      </c>
      <c r="FL21" s="105">
        <f t="shared" si="74"/>
        <v>0</v>
      </c>
      <c r="FM21" s="105">
        <f t="shared" si="74"/>
        <v>0</v>
      </c>
      <c r="FN21" s="80">
        <f t="shared" si="73"/>
        <v>2493</v>
      </c>
      <c r="FO21" s="77">
        <v>1001623</v>
      </c>
      <c r="FP21" s="162"/>
      <c r="FY21" s="119">
        <v>16</v>
      </c>
      <c r="FZ21" s="107"/>
      <c r="GA21" s="163"/>
      <c r="GB21" s="107"/>
      <c r="GC21" s="109"/>
      <c r="GD21" s="110"/>
      <c r="GE21" s="110"/>
      <c r="GF21" s="111"/>
      <c r="GG21" s="111"/>
      <c r="GH21" s="111"/>
      <c r="GI21" s="164"/>
      <c r="GJ21" s="111" t="e">
        <f t="shared" si="64"/>
        <v>#DIV/0!</v>
      </c>
      <c r="GK21" s="113"/>
    </row>
    <row r="22" spans="1:193" ht="15" customHeight="1">
      <c r="B22" s="114">
        <v>17</v>
      </c>
      <c r="D22" s="165">
        <v>1647.36</v>
      </c>
      <c r="E22" s="165">
        <v>4512</v>
      </c>
      <c r="F22" s="165">
        <v>2909.52</v>
      </c>
      <c r="G22" s="165">
        <v>1570.0229999999999</v>
      </c>
      <c r="H22" s="165">
        <v>6290.37</v>
      </c>
      <c r="I22" s="165">
        <v>1722.27</v>
      </c>
      <c r="J22" s="165">
        <v>6181.56</v>
      </c>
      <c r="K22" s="166"/>
      <c r="L22" s="167"/>
      <c r="M22" s="115">
        <f t="shared" si="21"/>
        <v>7903.83</v>
      </c>
      <c r="N22" s="88">
        <f t="shared" si="0"/>
        <v>16929.272999999997</v>
      </c>
      <c r="O22" s="88">
        <f t="shared" si="22"/>
        <v>20881.187999999998</v>
      </c>
      <c r="P22" s="89">
        <f t="shared" si="23"/>
        <v>357174.79599999997</v>
      </c>
      <c r="Q22" s="168"/>
      <c r="R22" s="90">
        <f t="shared" si="24"/>
        <v>195</v>
      </c>
      <c r="S22" s="90">
        <f t="shared" si="25"/>
        <v>54.7</v>
      </c>
      <c r="T22" s="169">
        <f t="shared" si="1"/>
        <v>845.6</v>
      </c>
      <c r="U22" s="91">
        <f t="shared" si="75"/>
        <v>6.5</v>
      </c>
      <c r="V22" s="90">
        <f>IF(EO22=0,"",(EO22-EO21))</f>
        <v>1492</v>
      </c>
      <c r="W22" s="91">
        <f t="shared" si="2"/>
        <v>132.6</v>
      </c>
      <c r="X22" s="90">
        <f t="shared" si="27"/>
        <v>1492</v>
      </c>
      <c r="Y22" s="90" t="str">
        <f t="shared" si="28"/>
        <v>0</v>
      </c>
      <c r="Z22" s="90">
        <f t="shared" si="3"/>
        <v>152.80000000000001</v>
      </c>
      <c r="AA22" s="90">
        <f t="shared" si="29"/>
        <v>2593.8000000000002</v>
      </c>
      <c r="AB22" s="90">
        <f t="shared" si="30"/>
        <v>198</v>
      </c>
      <c r="AC22" s="90">
        <f t="shared" si="30"/>
        <v>61</v>
      </c>
      <c r="AD22" s="90">
        <f t="shared" si="31"/>
        <v>421</v>
      </c>
      <c r="AE22" s="90">
        <f t="shared" si="32"/>
        <v>162</v>
      </c>
      <c r="AF22" s="90">
        <f t="shared" si="33"/>
        <v>218</v>
      </c>
      <c r="AG22" s="169">
        <f t="shared" si="33"/>
        <v>129</v>
      </c>
      <c r="AH22" s="90">
        <f t="shared" si="34"/>
        <v>420</v>
      </c>
      <c r="AI22" s="90">
        <f t="shared" si="35"/>
        <v>73</v>
      </c>
      <c r="AJ22" s="90">
        <f t="shared" si="36"/>
        <v>204</v>
      </c>
      <c r="AK22" s="90">
        <f t="shared" si="36"/>
        <v>11</v>
      </c>
      <c r="AL22" s="90">
        <f t="shared" si="37"/>
        <v>302</v>
      </c>
      <c r="AM22" s="90">
        <f t="shared" si="38"/>
        <v>87</v>
      </c>
      <c r="AN22" s="90">
        <f t="shared" si="39"/>
        <v>45</v>
      </c>
      <c r="AO22" s="90">
        <f t="shared" si="4"/>
        <v>113</v>
      </c>
      <c r="AP22" s="90">
        <f t="shared" si="40"/>
        <v>25</v>
      </c>
      <c r="AQ22" s="90">
        <f t="shared" si="5"/>
        <v>45</v>
      </c>
      <c r="AR22" s="90">
        <f t="shared" si="41"/>
        <v>85.95</v>
      </c>
      <c r="AS22" s="90">
        <f t="shared" si="42"/>
        <v>68.950000000000045</v>
      </c>
      <c r="AT22" s="90">
        <f t="shared" si="43"/>
        <v>968.95</v>
      </c>
      <c r="AU22" s="90">
        <f t="shared" si="44"/>
        <v>234</v>
      </c>
      <c r="AV22" s="90">
        <f t="shared" si="65"/>
        <v>0</v>
      </c>
      <c r="AW22" s="90">
        <f t="shared" si="45"/>
        <v>666</v>
      </c>
      <c r="AX22" s="90">
        <f t="shared" si="66"/>
        <v>8</v>
      </c>
      <c r="AY22" s="90" t="str">
        <f t="shared" si="66"/>
        <v/>
      </c>
      <c r="AZ22" s="90">
        <f t="shared" si="46"/>
        <v>297</v>
      </c>
      <c r="BA22" s="90">
        <v>94</v>
      </c>
      <c r="BB22" s="169">
        <f t="shared" si="47"/>
        <v>200</v>
      </c>
      <c r="BC22" s="90">
        <f t="shared" si="47"/>
        <v>740</v>
      </c>
      <c r="BD22" s="91">
        <f t="shared" si="48"/>
        <v>99</v>
      </c>
      <c r="BE22" s="90"/>
      <c r="BF22" s="90"/>
      <c r="BG22" s="90">
        <f t="shared" si="6"/>
        <v>1237</v>
      </c>
      <c r="BH22" s="90">
        <f t="shared" si="49"/>
        <v>261</v>
      </c>
      <c r="BI22" s="90">
        <f t="shared" si="50"/>
        <v>1641.25</v>
      </c>
      <c r="BJ22" s="90">
        <f t="shared" si="7"/>
        <v>5208.75</v>
      </c>
      <c r="BK22" s="92"/>
      <c r="BL22" s="93">
        <f t="shared" si="51"/>
        <v>7111</v>
      </c>
      <c r="BM22" s="93">
        <f t="shared" si="52"/>
        <v>124528</v>
      </c>
      <c r="BN22" s="92"/>
      <c r="BO22" s="94">
        <f t="shared" si="53"/>
        <v>0.11518509979725652</v>
      </c>
      <c r="BP22" s="94">
        <f t="shared" si="53"/>
        <v>3.2310897225179137E-2</v>
      </c>
      <c r="BQ22" s="94">
        <f t="shared" si="54"/>
        <v>0.49948984814646213</v>
      </c>
      <c r="BR22" s="94">
        <f t="shared" si="67"/>
        <v>0.88131368665388066</v>
      </c>
      <c r="BS22" s="94">
        <f t="shared" ref="BS22:BU36" si="77">IF($N22&lt;&gt;0,IF($N22&lt;&gt;0,Y22/$N22*10,0)," ")</f>
        <v>0</v>
      </c>
      <c r="BT22" s="94">
        <f t="shared" si="77"/>
        <v>9.0257862815491266E-2</v>
      </c>
      <c r="BU22" s="95">
        <f t="shared" si="77"/>
        <v>1.5321390351493538</v>
      </c>
      <c r="BV22" s="94">
        <f t="shared" si="9"/>
        <v>9.3385491285265951E-2</v>
      </c>
      <c r="BW22" s="94">
        <f t="shared" si="9"/>
        <v>2.6195827555405379E-2</v>
      </c>
      <c r="BX22" s="94">
        <f t="shared" si="9"/>
        <v>0.40495780220933797</v>
      </c>
      <c r="BY22" s="94">
        <f t="shared" si="55"/>
        <v>0.71451873332111182</v>
      </c>
      <c r="BZ22" s="95">
        <f t="shared" si="10"/>
        <v>1.24217070408063</v>
      </c>
      <c r="CA22" s="96" t="e">
        <f>#REF!</f>
        <v>#REF!</v>
      </c>
      <c r="CB22" s="94">
        <f t="shared" si="11"/>
        <v>4.1161451158813381E-2</v>
      </c>
      <c r="CC22" s="95">
        <f t="shared" si="11"/>
        <v>3.3020151918559448E-2</v>
      </c>
      <c r="CD22" s="97">
        <f t="shared" si="12"/>
        <v>0.10874474779948455</v>
      </c>
      <c r="CE22" s="98">
        <f t="shared" si="12"/>
        <v>8.7236188025299186E-2</v>
      </c>
      <c r="CF22" s="94">
        <f t="shared" si="56"/>
        <v>1.2019230769230769</v>
      </c>
      <c r="CG22" s="94">
        <f t="shared" si="56"/>
        <v>0.37028943278943283</v>
      </c>
      <c r="CH22" s="95">
        <f t="shared" si="57"/>
        <v>2.5556041181041182</v>
      </c>
      <c r="CI22" s="96" t="e">
        <f>#REF!</f>
        <v>#REF!</v>
      </c>
      <c r="CJ22" s="94">
        <f t="shared" si="58"/>
        <v>0.48315602836879434</v>
      </c>
      <c r="CK22" s="94">
        <f t="shared" si="58"/>
        <v>0.28590425531914893</v>
      </c>
      <c r="CL22" s="95">
        <f t="shared" si="68"/>
        <v>0.93085106382978722</v>
      </c>
      <c r="CM22" s="95" t="e">
        <f>#REF!</f>
        <v>#REF!</v>
      </c>
      <c r="CN22" s="94">
        <f t="shared" si="59"/>
        <v>0.70114658087932036</v>
      </c>
      <c r="CO22" s="94">
        <f t="shared" si="59"/>
        <v>3.7806923478786877E-2</v>
      </c>
      <c r="CP22" s="95">
        <f t="shared" si="60"/>
        <v>1.0379718991448761</v>
      </c>
      <c r="CQ22" s="95" t="e">
        <f>#REF!</f>
        <v>#REF!</v>
      </c>
      <c r="CR22" s="97">
        <f t="shared" si="69"/>
        <v>0.28662000492986406</v>
      </c>
      <c r="CS22" s="95">
        <f t="shared" si="69"/>
        <v>0.71973467904610322</v>
      </c>
      <c r="CT22" s="96" t="e">
        <f>#REF!</f>
        <v>#REF!</v>
      </c>
      <c r="CU22" s="97">
        <f t="shared" si="70"/>
        <v>3.9743290140325613E-2</v>
      </c>
      <c r="CV22" s="95">
        <f t="shared" si="61"/>
        <v>7.1537922252586095E-2</v>
      </c>
      <c r="CW22" s="96" t="e">
        <f>#REF!</f>
        <v>#REF!</v>
      </c>
      <c r="CX22" s="99">
        <f t="shared" si="62"/>
        <v>0.11206258954231915</v>
      </c>
      <c r="CY22" s="95">
        <f t="shared" si="62"/>
        <v>0</v>
      </c>
      <c r="CZ22" s="99">
        <f t="shared" si="62"/>
        <v>0.31894737023583142</v>
      </c>
      <c r="DA22" s="95">
        <f t="shared" si="62"/>
        <v>3.8311996424724493E-3</v>
      </c>
      <c r="DB22" s="94">
        <f t="shared" si="13"/>
        <v>0.1422332867267897</v>
      </c>
      <c r="DC22" s="94">
        <f t="shared" si="14"/>
        <v>9.5779991061811245E-2</v>
      </c>
      <c r="DD22" s="94">
        <f t="shared" si="14"/>
        <v>0.35438596692870161</v>
      </c>
      <c r="DE22" s="94">
        <f t="shared" si="14"/>
        <v>4.7411095575596571E-2</v>
      </c>
      <c r="DF22" s="94">
        <f t="shared" si="14"/>
        <v>0</v>
      </c>
      <c r="DG22" s="94">
        <f t="shared" si="14"/>
        <v>0</v>
      </c>
      <c r="DH22" s="95">
        <f t="shared" si="14"/>
        <v>0.59239924471730254</v>
      </c>
      <c r="DI22" s="96" t="e">
        <f>#REF!</f>
        <v>#REF!</v>
      </c>
      <c r="DJ22" s="95">
        <f t="shared" si="63"/>
        <v>0.12499288833566367</v>
      </c>
      <c r="DK22" s="96" t="e">
        <f>#REF!</f>
        <v>#REF!</v>
      </c>
      <c r="DL22" s="95">
        <f t="shared" si="15"/>
        <v>0.78599455165098853</v>
      </c>
      <c r="DM22" s="96">
        <f t="shared" si="16"/>
        <v>0</v>
      </c>
      <c r="DN22" s="94">
        <f t="shared" si="17"/>
        <v>2.4944701422160467</v>
      </c>
      <c r="DO22" s="100">
        <v>3.4</v>
      </c>
      <c r="DP22" s="94">
        <f t="shared" si="71"/>
        <v>3.4054575822026987</v>
      </c>
      <c r="DQ22" s="94">
        <f t="shared" si="72"/>
        <v>3.4864722089741185</v>
      </c>
      <c r="DR22" s="101" t="str">
        <f t="shared" si="18"/>
        <v>3,315, hL/NhL</v>
      </c>
      <c r="DS22" s="116"/>
      <c r="DT22" s="103">
        <v>17</v>
      </c>
      <c r="DU22" s="120">
        <v>619943</v>
      </c>
      <c r="DV22" s="120">
        <v>25221</v>
      </c>
      <c r="DW22" s="120">
        <v>5118368</v>
      </c>
      <c r="DX22" s="120">
        <v>112205</v>
      </c>
      <c r="DY22" s="120">
        <v>83488</v>
      </c>
      <c r="DZ22" s="120">
        <v>383240</v>
      </c>
      <c r="EA22" s="120">
        <v>224579</v>
      </c>
      <c r="EB22" s="120">
        <v>52489</v>
      </c>
      <c r="EC22" s="120">
        <v>393485</v>
      </c>
      <c r="ED22" s="120">
        <v>46058</v>
      </c>
      <c r="EE22" s="120">
        <v>37745</v>
      </c>
      <c r="EF22" s="120">
        <v>40200</v>
      </c>
      <c r="EG22" s="120">
        <v>90609</v>
      </c>
      <c r="EH22" s="120">
        <v>178750</v>
      </c>
      <c r="EI22" s="120">
        <v>30937</v>
      </c>
      <c r="EJ22" s="120">
        <v>39444</v>
      </c>
      <c r="EK22" s="120"/>
      <c r="EL22" s="120">
        <v>691490</v>
      </c>
      <c r="EM22" s="120">
        <v>8456</v>
      </c>
      <c r="EN22" s="120">
        <v>42390</v>
      </c>
      <c r="EO22" s="120">
        <v>2950287</v>
      </c>
      <c r="EP22" s="120">
        <v>2731848</v>
      </c>
      <c r="EQ22" s="120">
        <v>0</v>
      </c>
      <c r="ER22" s="120">
        <v>1528</v>
      </c>
      <c r="ES22" s="120">
        <v>329000</v>
      </c>
      <c r="ET22" s="120">
        <v>6908969</v>
      </c>
      <c r="EU22" s="120">
        <v>406096</v>
      </c>
      <c r="EV22" s="120">
        <v>127151</v>
      </c>
      <c r="EW22" s="120">
        <v>94974</v>
      </c>
      <c r="EX22" s="120">
        <v>204317</v>
      </c>
      <c r="EY22" s="120">
        <v>1612045</v>
      </c>
      <c r="EZ22" s="120">
        <v>749268</v>
      </c>
      <c r="FA22" s="151">
        <v>737484</v>
      </c>
      <c r="FB22" s="77">
        <v>31233</v>
      </c>
      <c r="FC22" s="77">
        <v>6850</v>
      </c>
      <c r="FD22" s="104">
        <f t="shared" si="76"/>
        <v>6528</v>
      </c>
      <c r="FE22" s="105">
        <f t="shared" si="74"/>
        <v>0</v>
      </c>
      <c r="FF22" s="105">
        <f t="shared" si="74"/>
        <v>0</v>
      </c>
      <c r="FG22" s="105">
        <f t="shared" si="74"/>
        <v>1950</v>
      </c>
      <c r="FH22" s="105">
        <f t="shared" si="74"/>
        <v>1650</v>
      </c>
      <c r="FI22" s="105">
        <v>596</v>
      </c>
      <c r="FJ22" s="105">
        <f t="shared" si="74"/>
        <v>1060</v>
      </c>
      <c r="FK22" s="105">
        <f t="shared" si="74"/>
        <v>0</v>
      </c>
      <c r="FL22" s="105">
        <f t="shared" si="74"/>
        <v>1272</v>
      </c>
      <c r="FM22" s="105">
        <f t="shared" si="74"/>
        <v>0</v>
      </c>
      <c r="FN22" s="80">
        <f t="shared" si="73"/>
        <v>583</v>
      </c>
      <c r="FO22" s="77">
        <v>1002206</v>
      </c>
      <c r="FP22" s="162"/>
      <c r="FR22" s="64"/>
      <c r="FS22" s="64"/>
      <c r="FT22" s="64"/>
      <c r="FU22" s="64"/>
      <c r="FV22" s="64"/>
      <c r="FW22" s="64"/>
      <c r="FX22" s="64"/>
      <c r="FY22" s="64">
        <v>17</v>
      </c>
      <c r="FZ22" s="107"/>
      <c r="GA22" s="107"/>
      <c r="GB22" s="107"/>
      <c r="GC22" s="109"/>
      <c r="GD22" s="110"/>
      <c r="GE22" s="110"/>
      <c r="GF22" s="111"/>
      <c r="GG22" s="111"/>
      <c r="GH22" s="111"/>
      <c r="GI22" s="164"/>
      <c r="GJ22" s="111" t="e">
        <f t="shared" si="64"/>
        <v>#DIV/0!</v>
      </c>
      <c r="GK22" s="118"/>
    </row>
    <row r="23" spans="1:193" s="119" customFormat="1" ht="15" customHeight="1">
      <c r="B23" s="114">
        <v>18</v>
      </c>
      <c r="D23" s="128">
        <v>4800</v>
      </c>
      <c r="E23" s="128">
        <v>4404.6000000000004</v>
      </c>
      <c r="F23" s="86">
        <v>2691.4319999999998</v>
      </c>
      <c r="G23" s="86">
        <v>3904.1620000000003</v>
      </c>
      <c r="H23" s="86">
        <v>6875.9060000000009</v>
      </c>
      <c r="I23" s="85">
        <v>802.69100000000003</v>
      </c>
      <c r="J23" s="85">
        <v>6984</v>
      </c>
      <c r="K23" s="167"/>
      <c r="L23" s="167"/>
      <c r="M23" s="115">
        <f t="shared" si="21"/>
        <v>7786.6909999999998</v>
      </c>
      <c r="N23" s="88">
        <f t="shared" si="0"/>
        <v>22676.1</v>
      </c>
      <c r="O23" s="88">
        <f t="shared" si="22"/>
        <v>26569.445499999998</v>
      </c>
      <c r="P23" s="89">
        <f t="shared" si="23"/>
        <v>383744.24149999995</v>
      </c>
      <c r="R23" s="90">
        <f t="shared" si="24"/>
        <v>321</v>
      </c>
      <c r="S23" s="90">
        <f t="shared" si="25"/>
        <v>89.1</v>
      </c>
      <c r="T23" s="90">
        <f t="shared" si="1"/>
        <v>411.4</v>
      </c>
      <c r="U23" s="91">
        <f t="shared" si="75"/>
        <v>5.0999999999999996</v>
      </c>
      <c r="V23" s="90">
        <f>IF(EO23=0,"",(EO23-EO22))</f>
        <v>1300</v>
      </c>
      <c r="W23" s="91">
        <f t="shared" si="2"/>
        <v>140.6</v>
      </c>
      <c r="X23" s="90">
        <f>IF(V23="","",V23)</f>
        <v>1300</v>
      </c>
      <c r="Y23" s="90" t="str">
        <f t="shared" si="28"/>
        <v>0</v>
      </c>
      <c r="Z23" s="90">
        <f t="shared" si="3"/>
        <v>166.8</v>
      </c>
      <c r="AA23" s="90">
        <f t="shared" si="29"/>
        <v>2126.6</v>
      </c>
      <c r="AB23" s="90">
        <f t="shared" si="30"/>
        <v>115</v>
      </c>
      <c r="AC23" s="90">
        <f t="shared" si="30"/>
        <v>35</v>
      </c>
      <c r="AD23" s="90">
        <f t="shared" si="31"/>
        <v>372</v>
      </c>
      <c r="AE23" s="90">
        <f t="shared" si="32"/>
        <v>222</v>
      </c>
      <c r="AF23" s="90">
        <f t="shared" si="33"/>
        <v>180</v>
      </c>
      <c r="AG23" s="90">
        <f t="shared" si="33"/>
        <v>28</v>
      </c>
      <c r="AH23" s="90">
        <f t="shared" si="34"/>
        <v>302</v>
      </c>
      <c r="AI23" s="90">
        <f t="shared" si="35"/>
        <v>94</v>
      </c>
      <c r="AJ23" s="90">
        <f t="shared" si="36"/>
        <v>199</v>
      </c>
      <c r="AK23" s="90">
        <f t="shared" si="36"/>
        <v>23</v>
      </c>
      <c r="AL23" s="90">
        <f t="shared" si="37"/>
        <v>312</v>
      </c>
      <c r="AM23" s="90">
        <f t="shared" si="38"/>
        <v>90</v>
      </c>
      <c r="AN23" s="90">
        <f t="shared" si="39"/>
        <v>23</v>
      </c>
      <c r="AO23" s="170">
        <f>IF(AN23="","",(EE23-EE22)+(EF23-EF22))</f>
        <v>68</v>
      </c>
      <c r="AP23" s="90">
        <f t="shared" si="40"/>
        <v>58</v>
      </c>
      <c r="AQ23" s="91">
        <f>IF(AP23=0.1,0,(IF(AP23&gt;=(EH23-EH22),(AP23),(EH23-EH22))))</f>
        <v>186</v>
      </c>
      <c r="AR23" s="90">
        <f t="shared" si="41"/>
        <v>72.316999999999993</v>
      </c>
      <c r="AS23" s="90">
        <f t="shared" si="42"/>
        <v>107.31700000000001</v>
      </c>
      <c r="AT23" s="90">
        <f t="shared" si="43"/>
        <v>695.31700000000001</v>
      </c>
      <c r="AU23" s="90">
        <f t="shared" si="44"/>
        <v>152</v>
      </c>
      <c r="AV23" s="90">
        <f t="shared" si="65"/>
        <v>0</v>
      </c>
      <c r="AW23" s="90">
        <f t="shared" si="45"/>
        <v>436</v>
      </c>
      <c r="AX23" s="90">
        <f>IF(EJ23=0,"",(EJ23-EJ22))</f>
        <v>45</v>
      </c>
      <c r="AY23" s="90" t="str">
        <f t="shared" si="66"/>
        <v/>
      </c>
      <c r="AZ23" s="90">
        <f t="shared" si="46"/>
        <v>287</v>
      </c>
      <c r="BA23" s="90">
        <v>105</v>
      </c>
      <c r="BB23" s="169">
        <f t="shared" si="47"/>
        <v>153</v>
      </c>
      <c r="BC23" s="90">
        <f t="shared" si="47"/>
        <v>1009</v>
      </c>
      <c r="BD23" s="91">
        <f t="shared" si="48"/>
        <v>285</v>
      </c>
      <c r="BE23" s="90"/>
      <c r="BF23" s="90"/>
      <c r="BG23" s="90">
        <f t="shared" si="6"/>
        <v>1449</v>
      </c>
      <c r="BH23" s="90">
        <f>BL23-FC23</f>
        <v>-291</v>
      </c>
      <c r="BI23" s="90">
        <f>IF(FC23=0,"",(FC23-BJ23))</f>
        <v>2467.0829999999996</v>
      </c>
      <c r="BJ23" s="90">
        <f>IF(BH23=0,"",(AA23+AD23+AO23+BG23+AH23+AL23+AQ23+AS23+AX23+AV23))</f>
        <v>4967.9170000000004</v>
      </c>
      <c r="BK23" s="92"/>
      <c r="BL23" s="93">
        <f t="shared" si="51"/>
        <v>7144</v>
      </c>
      <c r="BM23" s="93">
        <f t="shared" si="52"/>
        <v>131672</v>
      </c>
      <c r="BN23" s="92"/>
      <c r="BO23" s="94">
        <f t="shared" si="53"/>
        <v>0.14155873364467436</v>
      </c>
      <c r="BP23" s="94">
        <f t="shared" si="53"/>
        <v>3.929247092754045E-2</v>
      </c>
      <c r="BQ23" s="94">
        <f t="shared" si="54"/>
        <v>0.18142449539382874</v>
      </c>
      <c r="BR23" s="94">
        <f t="shared" si="67"/>
        <v>0.57329082161394607</v>
      </c>
      <c r="BS23" s="94">
        <f t="shared" si="77"/>
        <v>0</v>
      </c>
      <c r="BT23" s="94">
        <f>IF($N23&lt;&gt;0,IF($N23&lt;&gt;0,Z23/$N23*10,0)," ")</f>
        <v>7.3557622342466308E-2</v>
      </c>
      <c r="BU23" s="95">
        <f t="shared" si="77"/>
        <v>0.93781558557247502</v>
      </c>
      <c r="BV23" s="94">
        <f t="shared" si="9"/>
        <v>0.12081546827915547</v>
      </c>
      <c r="BW23" s="94">
        <f t="shared" si="9"/>
        <v>3.3534760821410443E-2</v>
      </c>
      <c r="BX23" s="94">
        <f t="shared" si="9"/>
        <v>0.15483951292848772</v>
      </c>
      <c r="BY23" s="94">
        <f t="shared" si="55"/>
        <v>0.48928382792181346</v>
      </c>
      <c r="BZ23" s="95">
        <f t="shared" si="10"/>
        <v>0.80039306804502197</v>
      </c>
      <c r="CA23" s="96" t="e">
        <f>#REF!</f>
        <v>#REF!</v>
      </c>
      <c r="CB23" s="94">
        <f t="shared" si="11"/>
        <v>2.7218106602939829E-2</v>
      </c>
      <c r="CC23" s="95">
        <f t="shared" si="11"/>
        <v>4.0391132739296357E-2</v>
      </c>
      <c r="CD23" s="97">
        <f t="shared" si="12"/>
        <v>9.2872569362261834E-2</v>
      </c>
      <c r="CE23" s="98">
        <f t="shared" si="12"/>
        <v>0.13782105903521794</v>
      </c>
      <c r="CF23" s="94">
        <f t="shared" si="56"/>
        <v>0.23958333333333334</v>
      </c>
      <c r="CG23" s="94">
        <f t="shared" si="56"/>
        <v>7.2916666666666671E-2</v>
      </c>
      <c r="CH23" s="95">
        <f t="shared" si="57"/>
        <v>0.77500000000000002</v>
      </c>
      <c r="CI23" s="96" t="e">
        <f>#REF!</f>
        <v>#REF!</v>
      </c>
      <c r="CJ23" s="94">
        <f t="shared" si="58"/>
        <v>0.40866366979975477</v>
      </c>
      <c r="CK23" s="94">
        <f t="shared" si="58"/>
        <v>6.356990419107296E-2</v>
      </c>
      <c r="CL23" s="95">
        <f t="shared" si="68"/>
        <v>0.68564682377514408</v>
      </c>
      <c r="CM23" s="95" t="e">
        <f>#REF!</f>
        <v>#REF!</v>
      </c>
      <c r="CN23" s="94">
        <f t="shared" si="59"/>
        <v>0.73938334685773222</v>
      </c>
      <c r="CO23" s="94">
        <f t="shared" si="59"/>
        <v>8.5456366722250474E-2</v>
      </c>
      <c r="CP23" s="95">
        <f t="shared" si="60"/>
        <v>1.1592341920583542</v>
      </c>
      <c r="CQ23" s="95" t="e">
        <f>#REF!</f>
        <v>#REF!</v>
      </c>
      <c r="CR23" s="97">
        <f t="shared" si="69"/>
        <v>5.8911489840841644E-2</v>
      </c>
      <c r="CS23" s="95">
        <f t="shared" si="69"/>
        <v>0.17417310039901007</v>
      </c>
      <c r="CT23" s="96" t="e">
        <f>#REF!</f>
        <v>#REF!</v>
      </c>
      <c r="CU23" s="97">
        <f t="shared" si="70"/>
        <v>8.4352520235151537E-2</v>
      </c>
      <c r="CV23" s="95">
        <f t="shared" si="61"/>
        <v>0.27050980627134802</v>
      </c>
      <c r="CW23" s="96" t="e">
        <f>#REF!</f>
        <v>#REF!</v>
      </c>
      <c r="CX23" s="99">
        <f t="shared" si="62"/>
        <v>5.720857064931973E-2</v>
      </c>
      <c r="CY23" s="95">
        <f t="shared" si="62"/>
        <v>0</v>
      </c>
      <c r="CZ23" s="99">
        <f t="shared" si="62"/>
        <v>0.16409826844146974</v>
      </c>
      <c r="DA23" s="95">
        <f t="shared" si="62"/>
        <v>1.6936747889601235E-2</v>
      </c>
      <c r="DB23" s="94">
        <f t="shared" si="13"/>
        <v>0.10801881431812344</v>
      </c>
      <c r="DC23" s="94">
        <f t="shared" si="14"/>
        <v>5.75849428246442E-2</v>
      </c>
      <c r="DD23" s="94">
        <f t="shared" si="14"/>
        <v>0.37975952490239212</v>
      </c>
      <c r="DE23" s="94">
        <f t="shared" si="14"/>
        <v>0.10726606996747448</v>
      </c>
      <c r="DF23" s="94">
        <f t="shared" si="14"/>
        <v>0</v>
      </c>
      <c r="DG23" s="94">
        <f t="shared" si="14"/>
        <v>0</v>
      </c>
      <c r="DH23" s="95">
        <f t="shared" si="14"/>
        <v>0.54536328204515971</v>
      </c>
      <c r="DI23" s="96" t="e">
        <f>#REF!</f>
        <v>#REF!</v>
      </c>
      <c r="DJ23" s="95">
        <f t="shared" si="63"/>
        <v>-0.10952430301942132</v>
      </c>
      <c r="DK23" s="96" t="e">
        <f>#REF!</f>
        <v>#REF!</v>
      </c>
      <c r="DL23" s="95">
        <f t="shared" si="15"/>
        <v>0.92854139541602387</v>
      </c>
      <c r="DM23" s="96">
        <f t="shared" si="16"/>
        <v>0</v>
      </c>
      <c r="DN23" s="94">
        <f t="shared" si="17"/>
        <v>1.8697857281214245</v>
      </c>
      <c r="DO23" s="100">
        <v>3.4</v>
      </c>
      <c r="DP23" s="94">
        <f>IF($O23&lt;&gt;0,IF($O23&lt;&gt;0,BL23/$O23*10,0)," ")</f>
        <v>2.6888028205180268</v>
      </c>
      <c r="DQ23" s="94">
        <f>IF($P23&lt;&gt;0,IF($P23&lt;&gt;0,BM23/$P23*10,0)," ")</f>
        <v>3.4312436711835326</v>
      </c>
      <c r="DR23" s="101" t="str">
        <f t="shared" si="18"/>
        <v>3,315, hL/NhL</v>
      </c>
      <c r="DS23" s="171"/>
      <c r="DT23" s="103">
        <v>18</v>
      </c>
      <c r="DU23" s="120">
        <v>620058</v>
      </c>
      <c r="DV23" s="120">
        <v>25256</v>
      </c>
      <c r="DW23" s="120">
        <v>5118740</v>
      </c>
      <c r="DX23" s="120">
        <v>112385</v>
      </c>
      <c r="DY23" s="120">
        <v>83516</v>
      </c>
      <c r="DZ23" s="120">
        <v>383542</v>
      </c>
      <c r="EA23" s="120">
        <v>224778</v>
      </c>
      <c r="EB23" s="120">
        <v>52512</v>
      </c>
      <c r="EC23" s="120">
        <v>393797</v>
      </c>
      <c r="ED23" s="120">
        <v>46081</v>
      </c>
      <c r="EE23" s="120">
        <v>37761</v>
      </c>
      <c r="EF23" s="120">
        <v>40252</v>
      </c>
      <c r="EG23" s="120">
        <v>90667</v>
      </c>
      <c r="EH23" s="120">
        <v>178936</v>
      </c>
      <c r="EI23" s="120">
        <v>30937</v>
      </c>
      <c r="EJ23" s="120">
        <v>39489</v>
      </c>
      <c r="EK23" s="120"/>
      <c r="EL23" s="120">
        <v>691811</v>
      </c>
      <c r="EM23" s="120">
        <v>4114</v>
      </c>
      <c r="EN23" s="120">
        <v>42441</v>
      </c>
      <c r="EO23" s="172">
        <v>2951587</v>
      </c>
      <c r="EP23" s="120">
        <v>2733254</v>
      </c>
      <c r="EQ23" s="120">
        <v>0</v>
      </c>
      <c r="ER23" s="120">
        <v>1668</v>
      </c>
      <c r="ES23" s="120">
        <v>329623</v>
      </c>
      <c r="ET23" s="120">
        <v>6981286</v>
      </c>
      <c r="EU23" s="120">
        <v>406532</v>
      </c>
      <c r="EV23" s="120">
        <v>127303</v>
      </c>
      <c r="EW23" s="120">
        <v>95261</v>
      </c>
      <c r="EX23" s="120">
        <v>204470</v>
      </c>
      <c r="EY23" s="120">
        <v>1613054</v>
      </c>
      <c r="EZ23" s="120">
        <v>750159</v>
      </c>
      <c r="FA23" s="151">
        <v>737769</v>
      </c>
      <c r="FB23" s="77">
        <v>31348</v>
      </c>
      <c r="FC23" s="77">
        <v>7435</v>
      </c>
      <c r="FD23" s="104">
        <f t="shared" si="76"/>
        <v>6797</v>
      </c>
      <c r="FE23" s="105">
        <f t="shared" si="74"/>
        <v>0</v>
      </c>
      <c r="FF23" s="105">
        <f t="shared" si="74"/>
        <v>0</v>
      </c>
      <c r="FG23" s="105">
        <f t="shared" si="74"/>
        <v>2074</v>
      </c>
      <c r="FH23" s="105">
        <f t="shared" si="74"/>
        <v>2244</v>
      </c>
      <c r="FI23" s="105">
        <f t="shared" si="74"/>
        <v>772</v>
      </c>
      <c r="FJ23" s="123">
        <f t="shared" si="74"/>
        <v>688</v>
      </c>
      <c r="FK23" s="105">
        <f t="shared" si="74"/>
        <v>0</v>
      </c>
      <c r="FL23" s="105">
        <f t="shared" si="74"/>
        <v>1019</v>
      </c>
      <c r="FM23" s="105">
        <f t="shared" si="74"/>
        <v>0</v>
      </c>
      <c r="FN23" s="80">
        <f>IF(FO23="",0,(FO23-FO22))</f>
        <v>347</v>
      </c>
      <c r="FO23" s="77">
        <v>1002553</v>
      </c>
      <c r="FP23" s="162"/>
      <c r="FY23" s="119">
        <v>18</v>
      </c>
      <c r="FZ23" s="107"/>
      <c r="GA23" s="107"/>
      <c r="GB23" s="107"/>
      <c r="GC23" s="109"/>
      <c r="GD23" s="110"/>
      <c r="GE23" s="110"/>
      <c r="GF23" s="111"/>
      <c r="GG23" s="111"/>
      <c r="GH23" s="111"/>
      <c r="GI23" s="164"/>
      <c r="GJ23" s="111" t="e">
        <f t="shared" si="64"/>
        <v>#DIV/0!</v>
      </c>
    </row>
    <row r="24" spans="1:193" s="119" customFormat="1" ht="15" customHeight="1">
      <c r="B24" s="114">
        <v>19</v>
      </c>
      <c r="D24" s="128"/>
      <c r="E24" s="128"/>
      <c r="F24" s="86"/>
      <c r="G24" s="86"/>
      <c r="H24" s="86"/>
      <c r="I24" s="85"/>
      <c r="J24" s="85"/>
      <c r="K24" s="167"/>
      <c r="L24" s="167"/>
      <c r="M24" s="115">
        <f t="shared" si="21"/>
        <v>0</v>
      </c>
      <c r="N24" s="88">
        <f t="shared" si="0"/>
        <v>0</v>
      </c>
      <c r="O24" s="88">
        <f t="shared" si="22"/>
        <v>0</v>
      </c>
      <c r="P24" s="89">
        <f t="shared" si="23"/>
        <v>383744.24149999995</v>
      </c>
      <c r="R24" s="90" t="str">
        <f t="shared" si="24"/>
        <v/>
      </c>
      <c r="S24" s="90" t="str">
        <f t="shared" si="25"/>
        <v/>
      </c>
      <c r="T24" s="90" t="str">
        <f t="shared" si="1"/>
        <v/>
      </c>
      <c r="U24" s="91" t="str">
        <f t="shared" si="75"/>
        <v/>
      </c>
      <c r="V24" s="90" t="str">
        <f t="shared" si="26"/>
        <v/>
      </c>
      <c r="W24" s="91" t="str">
        <f t="shared" si="2"/>
        <v/>
      </c>
      <c r="X24" s="90" t="str">
        <f t="shared" si="27"/>
        <v/>
      </c>
      <c r="Y24" s="90" t="str">
        <f t="shared" si="28"/>
        <v>0</v>
      </c>
      <c r="Z24" s="90" t="str">
        <f t="shared" si="3"/>
        <v/>
      </c>
      <c r="AA24" s="90" t="str">
        <f t="shared" si="29"/>
        <v/>
      </c>
      <c r="AB24" s="90" t="str">
        <f t="shared" si="30"/>
        <v/>
      </c>
      <c r="AC24" s="90" t="str">
        <f t="shared" si="30"/>
        <v/>
      </c>
      <c r="AD24" s="90">
        <f>(IF(SUM(AB24:AC24)&gt;=(DW24-DW23),(SUM(AB24:AC24)),(DW24-DW23)))</f>
        <v>0</v>
      </c>
      <c r="AE24" s="90" t="str">
        <f t="shared" si="32"/>
        <v/>
      </c>
      <c r="AF24" s="90" t="str">
        <f t="shared" si="33"/>
        <v/>
      </c>
      <c r="AG24" s="90" t="str">
        <f t="shared" si="33"/>
        <v/>
      </c>
      <c r="AH24" s="90">
        <f t="shared" si="34"/>
        <v>0</v>
      </c>
      <c r="AI24" s="90" t="str">
        <f>IF(AF24="","",(AH24-AG24-AF24))</f>
        <v/>
      </c>
      <c r="AJ24" s="90" t="str">
        <f t="shared" si="36"/>
        <v/>
      </c>
      <c r="AK24" s="90" t="str">
        <f t="shared" si="36"/>
        <v/>
      </c>
      <c r="AL24" s="90">
        <f t="shared" si="37"/>
        <v>0</v>
      </c>
      <c r="AM24" s="90" t="str">
        <f t="shared" si="38"/>
        <v/>
      </c>
      <c r="AN24" s="90" t="str">
        <f t="shared" si="39"/>
        <v/>
      </c>
      <c r="AO24" s="90" t="str">
        <f t="shared" si="4"/>
        <v/>
      </c>
      <c r="AP24" s="90" t="str">
        <f t="shared" si="40"/>
        <v/>
      </c>
      <c r="AQ24" s="90" t="str">
        <f t="shared" si="5"/>
        <v/>
      </c>
      <c r="AR24" s="90" t="str">
        <f t="shared" si="41"/>
        <v/>
      </c>
      <c r="AS24" s="90" t="str">
        <f t="shared" si="42"/>
        <v/>
      </c>
      <c r="AT24" s="90" t="str">
        <f t="shared" si="43"/>
        <v/>
      </c>
      <c r="AU24" s="90" t="str">
        <f t="shared" si="44"/>
        <v/>
      </c>
      <c r="AV24" s="90" t="str">
        <f t="shared" si="65"/>
        <v/>
      </c>
      <c r="AW24" s="90" t="str">
        <f t="shared" si="45"/>
        <v/>
      </c>
      <c r="AX24" s="90" t="str">
        <f t="shared" si="66"/>
        <v/>
      </c>
      <c r="AY24" s="90" t="str">
        <f t="shared" si="66"/>
        <v/>
      </c>
      <c r="AZ24" s="90" t="str">
        <f t="shared" si="46"/>
        <v/>
      </c>
      <c r="BA24" s="90"/>
      <c r="BB24" s="90" t="str">
        <f t="shared" si="47"/>
        <v/>
      </c>
      <c r="BC24" s="90" t="str">
        <f t="shared" si="47"/>
        <v/>
      </c>
      <c r="BD24" s="91" t="str">
        <f t="shared" si="48"/>
        <v/>
      </c>
      <c r="BE24" s="90"/>
      <c r="BF24" s="90"/>
      <c r="BG24" s="90" t="str">
        <f t="shared" si="6"/>
        <v/>
      </c>
      <c r="BH24" s="90">
        <f t="shared" si="49"/>
        <v>0</v>
      </c>
      <c r="BI24" s="90" t="str">
        <f t="shared" si="50"/>
        <v/>
      </c>
      <c r="BJ24" s="90" t="str">
        <f t="shared" si="7"/>
        <v/>
      </c>
      <c r="BK24" s="92"/>
      <c r="BL24" s="93">
        <f t="shared" si="51"/>
        <v>0</v>
      </c>
      <c r="BM24" s="93">
        <f t="shared" si="52"/>
        <v>131672</v>
      </c>
      <c r="BN24" s="92"/>
      <c r="BO24" s="94" t="str">
        <f t="shared" si="53"/>
        <v xml:space="preserve"> </v>
      </c>
      <c r="BP24" s="94" t="str">
        <f t="shared" si="53"/>
        <v xml:space="preserve"> </v>
      </c>
      <c r="BQ24" s="94" t="str">
        <f t="shared" si="54"/>
        <v xml:space="preserve"> </v>
      </c>
      <c r="BR24" s="94" t="str">
        <f t="shared" si="67"/>
        <v xml:space="preserve"> </v>
      </c>
      <c r="BS24" s="94" t="str">
        <f t="shared" si="77"/>
        <v xml:space="preserve"> </v>
      </c>
      <c r="BT24" s="94" t="str">
        <f t="shared" si="77"/>
        <v xml:space="preserve"> </v>
      </c>
      <c r="BU24" s="95" t="str">
        <f t="shared" si="77"/>
        <v xml:space="preserve"> </v>
      </c>
      <c r="BV24" s="94" t="str">
        <f t="shared" si="9"/>
        <v xml:space="preserve"> </v>
      </c>
      <c r="BW24" s="94" t="str">
        <f t="shared" si="9"/>
        <v xml:space="preserve"> </v>
      </c>
      <c r="BX24" s="94" t="str">
        <f t="shared" si="9"/>
        <v xml:space="preserve"> </v>
      </c>
      <c r="BY24" s="94" t="str">
        <f t="shared" si="55"/>
        <v xml:space="preserve"> </v>
      </c>
      <c r="BZ24" s="95" t="str">
        <f t="shared" si="10"/>
        <v xml:space="preserve"> </v>
      </c>
      <c r="CA24" s="96" t="e">
        <f>#REF!</f>
        <v>#REF!</v>
      </c>
      <c r="CB24" s="94" t="str">
        <f t="shared" si="11"/>
        <v xml:space="preserve"> </v>
      </c>
      <c r="CC24" s="95" t="str">
        <f t="shared" si="11"/>
        <v xml:space="preserve"> </v>
      </c>
      <c r="CD24" s="97" t="str">
        <f t="shared" si="12"/>
        <v/>
      </c>
      <c r="CE24" s="98" t="str">
        <f t="shared" si="12"/>
        <v/>
      </c>
      <c r="CF24" s="94" t="str">
        <f t="shared" si="56"/>
        <v>0,00</v>
      </c>
      <c r="CG24" s="94" t="str">
        <f t="shared" si="56"/>
        <v>0,00</v>
      </c>
      <c r="CH24" s="95" t="str">
        <f t="shared" si="57"/>
        <v xml:space="preserve">0,00 </v>
      </c>
      <c r="CI24" s="96" t="e">
        <f>#REF!</f>
        <v>#REF!</v>
      </c>
      <c r="CJ24" s="94" t="str">
        <f t="shared" si="58"/>
        <v>0,00</v>
      </c>
      <c r="CK24" s="94" t="str">
        <f t="shared" si="58"/>
        <v>0,00</v>
      </c>
      <c r="CL24" s="95" t="str">
        <f t="shared" si="68"/>
        <v xml:space="preserve">0,00 </v>
      </c>
      <c r="CM24" s="95" t="e">
        <f>#REF!</f>
        <v>#REF!</v>
      </c>
      <c r="CN24" s="94" t="str">
        <f t="shared" si="59"/>
        <v>0,00</v>
      </c>
      <c r="CO24" s="94" t="str">
        <f t="shared" si="59"/>
        <v>0,00</v>
      </c>
      <c r="CP24" s="95" t="str">
        <f t="shared" si="60"/>
        <v xml:space="preserve">0,00 </v>
      </c>
      <c r="CQ24" s="95" t="e">
        <f>#REF!</f>
        <v>#REF!</v>
      </c>
      <c r="CR24" s="97" t="str">
        <f t="shared" si="69"/>
        <v xml:space="preserve">0,00 </v>
      </c>
      <c r="CS24" s="95" t="str">
        <f t="shared" si="69"/>
        <v xml:space="preserve">0,00 </v>
      </c>
      <c r="CT24" s="96" t="e">
        <f>#REF!</f>
        <v>#REF!</v>
      </c>
      <c r="CU24" s="97" t="str">
        <f t="shared" si="70"/>
        <v xml:space="preserve">0,00 </v>
      </c>
      <c r="CV24" s="95" t="str">
        <f t="shared" si="61"/>
        <v xml:space="preserve">0,00 </v>
      </c>
      <c r="CW24" s="96" t="e">
        <f>#REF!</f>
        <v>#REF!</v>
      </c>
      <c r="CX24" s="99" t="str">
        <f t="shared" si="62"/>
        <v xml:space="preserve"> </v>
      </c>
      <c r="CY24" s="95" t="str">
        <f t="shared" si="62"/>
        <v xml:space="preserve"> </v>
      </c>
      <c r="CZ24" s="99" t="str">
        <f t="shared" si="62"/>
        <v xml:space="preserve"> </v>
      </c>
      <c r="DA24" s="95" t="str">
        <f t="shared" si="62"/>
        <v xml:space="preserve"> </v>
      </c>
      <c r="DB24" s="94" t="str">
        <f t="shared" si="13"/>
        <v xml:space="preserve"> </v>
      </c>
      <c r="DC24" s="94" t="str">
        <f t="shared" si="14"/>
        <v xml:space="preserve"> </v>
      </c>
      <c r="DD24" s="94" t="str">
        <f t="shared" si="14"/>
        <v xml:space="preserve"> </v>
      </c>
      <c r="DE24" s="94" t="str">
        <f t="shared" si="14"/>
        <v xml:space="preserve"> </v>
      </c>
      <c r="DF24" s="94" t="str">
        <f t="shared" si="14"/>
        <v xml:space="preserve"> </v>
      </c>
      <c r="DG24" s="94" t="str">
        <f t="shared" si="14"/>
        <v xml:space="preserve"> </v>
      </c>
      <c r="DH24" s="95" t="str">
        <f t="shared" si="14"/>
        <v xml:space="preserve"> </v>
      </c>
      <c r="DI24" s="96" t="e">
        <f>#REF!</f>
        <v>#REF!</v>
      </c>
      <c r="DJ24" s="95" t="str">
        <f t="shared" si="63"/>
        <v xml:space="preserve"> </v>
      </c>
      <c r="DK24" s="96" t="e">
        <f>#REF!</f>
        <v>#REF!</v>
      </c>
      <c r="DL24" s="95" t="str">
        <f t="shared" si="15"/>
        <v xml:space="preserve"> </v>
      </c>
      <c r="DM24" s="96">
        <f t="shared" si="16"/>
        <v>0</v>
      </c>
      <c r="DN24" s="94" t="str">
        <f t="shared" si="17"/>
        <v/>
      </c>
      <c r="DO24" s="100">
        <v>3.4</v>
      </c>
      <c r="DP24" s="94" t="str">
        <f t="shared" si="71"/>
        <v xml:space="preserve"> </v>
      </c>
      <c r="DQ24" s="94">
        <f t="shared" si="72"/>
        <v>3.4312436711835326</v>
      </c>
      <c r="DR24" s="101" t="str">
        <f t="shared" si="18"/>
        <v>3,315, hL/NhL</v>
      </c>
      <c r="DT24" s="103">
        <v>19</v>
      </c>
      <c r="DU24" s="120"/>
      <c r="DV24" s="120"/>
      <c r="DW24" s="120"/>
      <c r="DX24" s="120"/>
      <c r="DY24" s="120"/>
      <c r="DZ24" s="120"/>
      <c r="EA24" s="120"/>
      <c r="EB24" s="120"/>
      <c r="EC24" s="120"/>
      <c r="ED24" s="120"/>
      <c r="EE24" s="120"/>
      <c r="EF24" s="120"/>
      <c r="EG24" s="120"/>
      <c r="EH24" s="120"/>
      <c r="EI24" s="120"/>
      <c r="EJ24" s="120"/>
      <c r="EK24" s="120"/>
      <c r="EL24" s="120"/>
      <c r="EM24" s="120"/>
      <c r="EN24" s="120"/>
      <c r="EO24" s="120"/>
      <c r="EP24" s="120"/>
      <c r="EQ24" s="120"/>
      <c r="ER24" s="120"/>
      <c r="ES24" s="120"/>
      <c r="ET24" s="120"/>
      <c r="EU24" s="120"/>
      <c r="EV24" s="120"/>
      <c r="EW24" s="120"/>
      <c r="EX24" s="120"/>
      <c r="EY24" s="120"/>
      <c r="EZ24" s="120"/>
      <c r="FA24" s="151"/>
      <c r="FB24" s="77"/>
      <c r="FC24" s="77"/>
      <c r="FD24" s="104">
        <f t="shared" si="76"/>
        <v>0</v>
      </c>
      <c r="FE24" s="105"/>
      <c r="FF24" s="105"/>
      <c r="FG24" s="105"/>
      <c r="FH24" s="105"/>
      <c r="FI24" s="105"/>
      <c r="FJ24" s="105"/>
      <c r="FK24" s="105"/>
      <c r="FL24" s="105"/>
      <c r="FM24" s="105"/>
      <c r="FN24" s="80">
        <f t="shared" si="73"/>
        <v>0</v>
      </c>
      <c r="FO24" s="77"/>
      <c r="FP24" s="162"/>
      <c r="FY24" s="119">
        <v>19</v>
      </c>
      <c r="FZ24" s="107"/>
      <c r="GA24" s="107"/>
      <c r="GB24" s="107"/>
      <c r="GC24" s="109"/>
      <c r="GD24" s="110"/>
      <c r="GE24" s="110"/>
      <c r="GF24" s="111"/>
      <c r="GG24" s="111"/>
      <c r="GH24" s="111"/>
      <c r="GI24" s="164"/>
      <c r="GJ24" s="111" t="e">
        <f t="shared" si="64"/>
        <v>#DIV/0!</v>
      </c>
    </row>
    <row r="25" spans="1:193" ht="15" customHeight="1">
      <c r="B25" s="114">
        <v>20</v>
      </c>
      <c r="D25" s="86"/>
      <c r="E25" s="86"/>
      <c r="F25" s="86"/>
      <c r="G25" s="86"/>
      <c r="H25" s="86"/>
      <c r="I25" s="85"/>
      <c r="J25" s="85"/>
      <c r="K25" s="167"/>
      <c r="L25" s="167"/>
      <c r="M25" s="115">
        <f t="shared" si="21"/>
        <v>0</v>
      </c>
      <c r="N25" s="88">
        <f t="shared" si="0"/>
        <v>0</v>
      </c>
      <c r="O25" s="88">
        <f t="shared" si="22"/>
        <v>0</v>
      </c>
      <c r="P25" s="89">
        <f t="shared" si="23"/>
        <v>383744.24149999995</v>
      </c>
      <c r="R25" s="90" t="str">
        <f t="shared" si="24"/>
        <v/>
      </c>
      <c r="S25" s="90" t="str">
        <f t="shared" si="25"/>
        <v/>
      </c>
      <c r="T25" s="90" t="str">
        <f t="shared" si="1"/>
        <v/>
      </c>
      <c r="U25" s="91" t="str">
        <f t="shared" si="75"/>
        <v/>
      </c>
      <c r="V25" s="90" t="str">
        <f t="shared" si="26"/>
        <v/>
      </c>
      <c r="W25" s="91" t="str">
        <f t="shared" si="2"/>
        <v/>
      </c>
      <c r="X25" s="90" t="str">
        <f t="shared" si="27"/>
        <v/>
      </c>
      <c r="Y25" s="90" t="str">
        <f t="shared" si="28"/>
        <v>0</v>
      </c>
      <c r="Z25" s="90" t="str">
        <f t="shared" si="3"/>
        <v/>
      </c>
      <c r="AA25" s="90" t="str">
        <f t="shared" si="29"/>
        <v/>
      </c>
      <c r="AB25" s="90" t="str">
        <f t="shared" si="30"/>
        <v/>
      </c>
      <c r="AC25" s="90" t="str">
        <f t="shared" si="30"/>
        <v/>
      </c>
      <c r="AD25" s="90">
        <f t="shared" si="31"/>
        <v>0</v>
      </c>
      <c r="AE25" s="90" t="str">
        <f t="shared" si="32"/>
        <v/>
      </c>
      <c r="AF25" s="90" t="str">
        <f t="shared" si="33"/>
        <v/>
      </c>
      <c r="AG25" s="90" t="str">
        <f t="shared" si="33"/>
        <v/>
      </c>
      <c r="AH25" s="90">
        <f t="shared" si="34"/>
        <v>0</v>
      </c>
      <c r="AI25" s="90" t="str">
        <f t="shared" si="35"/>
        <v/>
      </c>
      <c r="AJ25" s="90" t="str">
        <f t="shared" si="36"/>
        <v/>
      </c>
      <c r="AK25" s="90" t="str">
        <f t="shared" si="36"/>
        <v/>
      </c>
      <c r="AL25" s="90">
        <f t="shared" si="37"/>
        <v>0</v>
      </c>
      <c r="AM25" s="90" t="str">
        <f t="shared" si="38"/>
        <v/>
      </c>
      <c r="AN25" s="90" t="str">
        <f t="shared" si="39"/>
        <v/>
      </c>
      <c r="AO25" s="90" t="str">
        <f t="shared" si="4"/>
        <v/>
      </c>
      <c r="AP25" s="90" t="str">
        <f t="shared" si="40"/>
        <v/>
      </c>
      <c r="AQ25" s="90" t="str">
        <f t="shared" si="5"/>
        <v/>
      </c>
      <c r="AR25" s="90" t="str">
        <f t="shared" si="41"/>
        <v/>
      </c>
      <c r="AS25" s="90" t="str">
        <f t="shared" si="42"/>
        <v/>
      </c>
      <c r="AT25" s="90" t="str">
        <f t="shared" si="43"/>
        <v/>
      </c>
      <c r="AU25" s="90" t="str">
        <f t="shared" si="44"/>
        <v/>
      </c>
      <c r="AV25" s="90" t="str">
        <f t="shared" si="65"/>
        <v/>
      </c>
      <c r="AW25" s="90" t="str">
        <f t="shared" si="45"/>
        <v/>
      </c>
      <c r="AX25" s="90" t="str">
        <f t="shared" si="66"/>
        <v/>
      </c>
      <c r="AY25" s="90" t="str">
        <f t="shared" si="66"/>
        <v/>
      </c>
      <c r="AZ25" s="90" t="str">
        <f t="shared" si="46"/>
        <v/>
      </c>
      <c r="BA25" s="90"/>
      <c r="BB25" s="90" t="str">
        <f t="shared" si="47"/>
        <v/>
      </c>
      <c r="BC25" s="90" t="str">
        <f t="shared" si="47"/>
        <v/>
      </c>
      <c r="BD25" s="91" t="str">
        <f t="shared" si="48"/>
        <v/>
      </c>
      <c r="BE25" s="90"/>
      <c r="BF25" s="90"/>
      <c r="BG25" s="90" t="str">
        <f t="shared" si="6"/>
        <v/>
      </c>
      <c r="BH25" s="90">
        <f t="shared" si="49"/>
        <v>0</v>
      </c>
      <c r="BI25" s="90" t="str">
        <f t="shared" si="50"/>
        <v/>
      </c>
      <c r="BJ25" s="90" t="str">
        <f t="shared" si="7"/>
        <v/>
      </c>
      <c r="BK25" s="92"/>
      <c r="BL25" s="93">
        <f t="shared" si="51"/>
        <v>0</v>
      </c>
      <c r="BM25" s="93">
        <f t="shared" si="52"/>
        <v>131672</v>
      </c>
      <c r="BN25" s="92"/>
      <c r="BO25" s="94" t="str">
        <f t="shared" si="53"/>
        <v xml:space="preserve"> </v>
      </c>
      <c r="BP25" s="94" t="str">
        <f t="shared" si="53"/>
        <v xml:space="preserve"> </v>
      </c>
      <c r="BQ25" s="94" t="str">
        <f t="shared" si="54"/>
        <v xml:space="preserve"> </v>
      </c>
      <c r="BR25" s="94" t="str">
        <f t="shared" si="67"/>
        <v xml:space="preserve"> </v>
      </c>
      <c r="BS25" s="94" t="str">
        <f t="shared" si="77"/>
        <v xml:space="preserve"> </v>
      </c>
      <c r="BT25" s="94" t="str">
        <f t="shared" si="77"/>
        <v xml:space="preserve"> </v>
      </c>
      <c r="BU25" s="95" t="str">
        <f t="shared" si="77"/>
        <v xml:space="preserve"> </v>
      </c>
      <c r="BV25" s="94" t="str">
        <f t="shared" si="9"/>
        <v xml:space="preserve"> </v>
      </c>
      <c r="BW25" s="94" t="str">
        <f t="shared" si="9"/>
        <v xml:space="preserve"> </v>
      </c>
      <c r="BX25" s="94" t="str">
        <f t="shared" si="9"/>
        <v xml:space="preserve"> </v>
      </c>
      <c r="BY25" s="94" t="str">
        <f t="shared" si="55"/>
        <v xml:space="preserve"> </v>
      </c>
      <c r="BZ25" s="95" t="str">
        <f t="shared" si="10"/>
        <v xml:space="preserve"> </v>
      </c>
      <c r="CA25" s="96" t="e">
        <f>#REF!</f>
        <v>#REF!</v>
      </c>
      <c r="CB25" s="94" t="str">
        <f t="shared" si="11"/>
        <v xml:space="preserve"> </v>
      </c>
      <c r="CC25" s="95" t="str">
        <f t="shared" si="11"/>
        <v xml:space="preserve"> </v>
      </c>
      <c r="CD25" s="97" t="str">
        <f t="shared" si="12"/>
        <v/>
      </c>
      <c r="CE25" s="98" t="str">
        <f t="shared" si="12"/>
        <v/>
      </c>
      <c r="CF25" s="94" t="str">
        <f t="shared" si="56"/>
        <v>0,00</v>
      </c>
      <c r="CG25" s="94" t="str">
        <f t="shared" si="56"/>
        <v>0,00</v>
      </c>
      <c r="CH25" s="95" t="str">
        <f t="shared" si="57"/>
        <v xml:space="preserve">0,00 </v>
      </c>
      <c r="CI25" s="96" t="e">
        <f>#REF!</f>
        <v>#REF!</v>
      </c>
      <c r="CJ25" s="94" t="str">
        <f t="shared" si="58"/>
        <v>0,00</v>
      </c>
      <c r="CK25" s="94" t="str">
        <f t="shared" si="58"/>
        <v>0,00</v>
      </c>
      <c r="CL25" s="95" t="str">
        <f t="shared" si="68"/>
        <v xml:space="preserve">0,00 </v>
      </c>
      <c r="CM25" s="95" t="e">
        <f>#REF!</f>
        <v>#REF!</v>
      </c>
      <c r="CN25" s="94" t="str">
        <f t="shared" si="59"/>
        <v>0,00</v>
      </c>
      <c r="CO25" s="94" t="str">
        <f t="shared" si="59"/>
        <v>0,00</v>
      </c>
      <c r="CP25" s="95" t="str">
        <f t="shared" si="60"/>
        <v xml:space="preserve">0,00 </v>
      </c>
      <c r="CQ25" s="95" t="e">
        <f>#REF!</f>
        <v>#REF!</v>
      </c>
      <c r="CR25" s="97" t="str">
        <f t="shared" si="69"/>
        <v xml:space="preserve">0,00 </v>
      </c>
      <c r="CS25" s="95" t="str">
        <f t="shared" si="69"/>
        <v xml:space="preserve">0,00 </v>
      </c>
      <c r="CT25" s="96" t="e">
        <f>#REF!</f>
        <v>#REF!</v>
      </c>
      <c r="CU25" s="97" t="str">
        <f t="shared" si="70"/>
        <v xml:space="preserve">0,00 </v>
      </c>
      <c r="CV25" s="95" t="str">
        <f t="shared" si="61"/>
        <v xml:space="preserve">0,00 </v>
      </c>
      <c r="CW25" s="96" t="e">
        <f>#REF!</f>
        <v>#REF!</v>
      </c>
      <c r="CX25" s="99" t="str">
        <f t="shared" si="62"/>
        <v xml:space="preserve"> </v>
      </c>
      <c r="CY25" s="95" t="str">
        <f t="shared" si="62"/>
        <v xml:space="preserve"> </v>
      </c>
      <c r="CZ25" s="99" t="str">
        <f t="shared" si="62"/>
        <v xml:space="preserve"> </v>
      </c>
      <c r="DA25" s="95" t="str">
        <f t="shared" si="62"/>
        <v xml:space="preserve"> </v>
      </c>
      <c r="DB25" s="94" t="str">
        <f t="shared" si="13"/>
        <v xml:space="preserve"> </v>
      </c>
      <c r="DC25" s="94" t="str">
        <f t="shared" si="14"/>
        <v xml:space="preserve"> </v>
      </c>
      <c r="DD25" s="94" t="str">
        <f t="shared" si="14"/>
        <v xml:space="preserve"> </v>
      </c>
      <c r="DE25" s="94" t="str">
        <f t="shared" si="14"/>
        <v xml:space="preserve"> </v>
      </c>
      <c r="DF25" s="94" t="str">
        <f t="shared" si="14"/>
        <v xml:space="preserve"> </v>
      </c>
      <c r="DG25" s="94" t="str">
        <f t="shared" si="14"/>
        <v xml:space="preserve"> </v>
      </c>
      <c r="DH25" s="95" t="str">
        <f t="shared" si="14"/>
        <v xml:space="preserve"> </v>
      </c>
      <c r="DI25" s="96" t="e">
        <f>#REF!</f>
        <v>#REF!</v>
      </c>
      <c r="DJ25" s="95" t="str">
        <f t="shared" si="63"/>
        <v xml:space="preserve"> </v>
      </c>
      <c r="DK25" s="96" t="e">
        <f>#REF!</f>
        <v>#REF!</v>
      </c>
      <c r="DL25" s="95" t="str">
        <f t="shared" si="15"/>
        <v xml:space="preserve"> </v>
      </c>
      <c r="DM25" s="96">
        <f t="shared" si="16"/>
        <v>0</v>
      </c>
      <c r="DN25" s="94" t="str">
        <f t="shared" si="17"/>
        <v/>
      </c>
      <c r="DO25" s="100">
        <v>3.4</v>
      </c>
      <c r="DP25" s="94" t="str">
        <f t="shared" si="71"/>
        <v xml:space="preserve"> </v>
      </c>
      <c r="DQ25" s="94">
        <f t="shared" si="72"/>
        <v>3.4312436711835326</v>
      </c>
      <c r="DR25" s="101" t="str">
        <f t="shared" si="18"/>
        <v>3,315, hL/NhL</v>
      </c>
      <c r="DS25" s="173"/>
      <c r="DT25" s="103">
        <v>20</v>
      </c>
      <c r="DU25" s="120"/>
      <c r="DV25" s="120"/>
      <c r="DW25" s="120"/>
      <c r="DX25" s="120"/>
      <c r="DY25" s="120"/>
      <c r="DZ25" s="120"/>
      <c r="EA25" s="120"/>
      <c r="EB25" s="120"/>
      <c r="EC25" s="120"/>
      <c r="ED25" s="120"/>
      <c r="EE25" s="120"/>
      <c r="EF25" s="120"/>
      <c r="EG25" s="120"/>
      <c r="EH25" s="120"/>
      <c r="EI25" s="120"/>
      <c r="EJ25" s="120"/>
      <c r="EK25" s="120"/>
      <c r="EL25" s="120"/>
      <c r="EM25" s="120"/>
      <c r="EN25" s="120"/>
      <c r="EO25" s="120"/>
      <c r="EP25" s="120"/>
      <c r="EQ25" s="120"/>
      <c r="ER25" s="120"/>
      <c r="ES25" s="120"/>
      <c r="ET25" s="120"/>
      <c r="EU25" s="120"/>
      <c r="EV25" s="120"/>
      <c r="EW25" s="120"/>
      <c r="EX25" s="120"/>
      <c r="EY25" s="120"/>
      <c r="EZ25" s="120"/>
      <c r="FA25" s="151"/>
      <c r="FB25" s="77"/>
      <c r="FC25" s="77"/>
      <c r="FD25" s="104">
        <f t="shared" si="76"/>
        <v>0</v>
      </c>
      <c r="FE25" s="105"/>
      <c r="FF25" s="105"/>
      <c r="FG25" s="105"/>
      <c r="FH25" s="105"/>
      <c r="FI25" s="105"/>
      <c r="FJ25" s="105"/>
      <c r="FK25" s="105"/>
      <c r="FL25" s="105"/>
      <c r="FM25" s="105"/>
      <c r="FN25" s="124">
        <f t="shared" si="73"/>
        <v>0</v>
      </c>
      <c r="FO25" s="174"/>
      <c r="FP25" s="162"/>
      <c r="FQ25" s="175"/>
      <c r="FR25" s="64"/>
      <c r="FS25" s="64"/>
      <c r="FT25" s="64"/>
      <c r="FU25" s="64"/>
      <c r="FV25" s="64"/>
      <c r="FW25" s="64"/>
      <c r="FX25" s="64"/>
      <c r="FY25" s="64">
        <v>20</v>
      </c>
      <c r="FZ25" s="107"/>
      <c r="GA25" s="107"/>
      <c r="GB25" s="107"/>
      <c r="GC25" s="109"/>
      <c r="GD25" s="110"/>
      <c r="GE25" s="110"/>
      <c r="GF25" s="111"/>
      <c r="GG25" s="111"/>
      <c r="GH25" s="111"/>
      <c r="GI25" s="164"/>
      <c r="GJ25" s="111" t="e">
        <f t="shared" si="64"/>
        <v>#DIV/0!</v>
      </c>
      <c r="GK25" s="118"/>
    </row>
    <row r="26" spans="1:193" s="119" customFormat="1" ht="15" customHeight="1">
      <c r="B26" s="114">
        <v>21</v>
      </c>
      <c r="D26" s="86"/>
      <c r="E26" s="86"/>
      <c r="F26" s="86"/>
      <c r="G26" s="86"/>
      <c r="H26" s="86"/>
      <c r="I26" s="85"/>
      <c r="J26" s="167"/>
      <c r="K26" s="167"/>
      <c r="L26" s="167"/>
      <c r="M26" s="115">
        <f t="shared" si="21"/>
        <v>0</v>
      </c>
      <c r="N26" s="88">
        <f t="shared" si="0"/>
        <v>0</v>
      </c>
      <c r="O26" s="88">
        <f t="shared" si="22"/>
        <v>0</v>
      </c>
      <c r="P26" s="89">
        <f t="shared" si="23"/>
        <v>383744.24149999995</v>
      </c>
      <c r="R26" s="90" t="str">
        <f t="shared" si="24"/>
        <v/>
      </c>
      <c r="S26" s="90" t="str">
        <f t="shared" si="25"/>
        <v/>
      </c>
      <c r="T26" s="90" t="str">
        <f t="shared" si="1"/>
        <v/>
      </c>
      <c r="U26" s="91" t="str">
        <f t="shared" si="75"/>
        <v/>
      </c>
      <c r="V26" s="90" t="str">
        <f t="shared" si="26"/>
        <v/>
      </c>
      <c r="W26" s="91" t="str">
        <f t="shared" si="2"/>
        <v/>
      </c>
      <c r="X26" s="90" t="str">
        <f t="shared" si="27"/>
        <v/>
      </c>
      <c r="Y26" s="90" t="str">
        <f t="shared" si="28"/>
        <v>0</v>
      </c>
      <c r="Z26" s="90" t="str">
        <f t="shared" si="3"/>
        <v/>
      </c>
      <c r="AA26" s="90" t="str">
        <f t="shared" si="29"/>
        <v/>
      </c>
      <c r="AB26" s="90" t="str">
        <f t="shared" si="30"/>
        <v/>
      </c>
      <c r="AC26" s="90" t="str">
        <f t="shared" si="30"/>
        <v/>
      </c>
      <c r="AD26" s="90">
        <f t="shared" si="31"/>
        <v>0</v>
      </c>
      <c r="AE26" s="90" t="str">
        <f t="shared" si="32"/>
        <v/>
      </c>
      <c r="AF26" s="90" t="str">
        <f t="shared" si="33"/>
        <v/>
      </c>
      <c r="AG26" s="90" t="str">
        <f t="shared" si="33"/>
        <v/>
      </c>
      <c r="AH26" s="90">
        <f t="shared" si="34"/>
        <v>0</v>
      </c>
      <c r="AI26" s="90" t="str">
        <f t="shared" si="35"/>
        <v/>
      </c>
      <c r="AJ26" s="90" t="str">
        <f t="shared" si="36"/>
        <v/>
      </c>
      <c r="AK26" s="90" t="str">
        <f t="shared" si="36"/>
        <v/>
      </c>
      <c r="AL26" s="90">
        <f t="shared" si="37"/>
        <v>0</v>
      </c>
      <c r="AM26" s="90" t="str">
        <f t="shared" si="38"/>
        <v/>
      </c>
      <c r="AN26" s="90" t="str">
        <f t="shared" si="39"/>
        <v/>
      </c>
      <c r="AO26" s="90" t="str">
        <f t="shared" si="4"/>
        <v/>
      </c>
      <c r="AP26" s="90" t="str">
        <f t="shared" si="40"/>
        <v/>
      </c>
      <c r="AQ26" s="90" t="str">
        <f t="shared" si="5"/>
        <v/>
      </c>
      <c r="AR26" s="90" t="str">
        <f t="shared" si="41"/>
        <v/>
      </c>
      <c r="AS26" s="90" t="str">
        <f t="shared" si="42"/>
        <v/>
      </c>
      <c r="AT26" s="90" t="str">
        <f t="shared" si="43"/>
        <v/>
      </c>
      <c r="AU26" s="90" t="str">
        <f t="shared" si="44"/>
        <v/>
      </c>
      <c r="AV26" s="90" t="str">
        <f t="shared" si="65"/>
        <v/>
      </c>
      <c r="AW26" s="90" t="str">
        <f t="shared" si="45"/>
        <v/>
      </c>
      <c r="AX26" s="90" t="str">
        <f t="shared" si="66"/>
        <v/>
      </c>
      <c r="AY26" s="90" t="str">
        <f t="shared" si="66"/>
        <v/>
      </c>
      <c r="AZ26" s="90" t="str">
        <f t="shared" si="46"/>
        <v/>
      </c>
      <c r="BA26" s="90"/>
      <c r="BB26" s="90" t="str">
        <f t="shared" si="47"/>
        <v/>
      </c>
      <c r="BC26" s="90" t="str">
        <f t="shared" si="47"/>
        <v/>
      </c>
      <c r="BD26" s="91" t="str">
        <f t="shared" si="48"/>
        <v/>
      </c>
      <c r="BE26" s="90"/>
      <c r="BF26" s="90"/>
      <c r="BG26" s="90" t="str">
        <f t="shared" si="6"/>
        <v/>
      </c>
      <c r="BH26" s="90">
        <f t="shared" si="49"/>
        <v>0</v>
      </c>
      <c r="BI26" s="90" t="str">
        <f t="shared" si="50"/>
        <v/>
      </c>
      <c r="BJ26" s="90" t="str">
        <f t="shared" si="7"/>
        <v/>
      </c>
      <c r="BK26" s="92"/>
      <c r="BL26" s="93">
        <f t="shared" si="51"/>
        <v>0</v>
      </c>
      <c r="BM26" s="93">
        <f t="shared" si="52"/>
        <v>131672</v>
      </c>
      <c r="BN26" s="92"/>
      <c r="BO26" s="94" t="str">
        <f t="shared" si="53"/>
        <v xml:space="preserve"> </v>
      </c>
      <c r="BP26" s="94" t="str">
        <f t="shared" si="53"/>
        <v xml:space="preserve"> </v>
      </c>
      <c r="BQ26" s="94" t="str">
        <f t="shared" si="54"/>
        <v xml:space="preserve"> </v>
      </c>
      <c r="BR26" s="94" t="str">
        <f t="shared" si="67"/>
        <v xml:space="preserve"> </v>
      </c>
      <c r="BS26" s="94" t="str">
        <f t="shared" si="77"/>
        <v xml:space="preserve"> </v>
      </c>
      <c r="BT26" s="94" t="str">
        <f t="shared" si="77"/>
        <v xml:space="preserve"> </v>
      </c>
      <c r="BU26" s="95" t="str">
        <f t="shared" si="77"/>
        <v xml:space="preserve"> </v>
      </c>
      <c r="BV26" s="94" t="str">
        <f t="shared" si="9"/>
        <v xml:space="preserve"> </v>
      </c>
      <c r="BW26" s="94" t="str">
        <f t="shared" si="9"/>
        <v xml:space="preserve"> </v>
      </c>
      <c r="BX26" s="94" t="str">
        <f t="shared" si="9"/>
        <v xml:space="preserve"> </v>
      </c>
      <c r="BY26" s="94" t="str">
        <f t="shared" si="55"/>
        <v xml:space="preserve"> </v>
      </c>
      <c r="BZ26" s="95" t="str">
        <f t="shared" si="10"/>
        <v xml:space="preserve"> </v>
      </c>
      <c r="CA26" s="96" t="e">
        <f>#REF!</f>
        <v>#REF!</v>
      </c>
      <c r="CB26" s="94" t="str">
        <f t="shared" si="11"/>
        <v xml:space="preserve"> </v>
      </c>
      <c r="CC26" s="95" t="str">
        <f t="shared" si="11"/>
        <v xml:space="preserve"> </v>
      </c>
      <c r="CD26" s="97" t="str">
        <f t="shared" si="12"/>
        <v/>
      </c>
      <c r="CE26" s="98" t="str">
        <f t="shared" si="12"/>
        <v/>
      </c>
      <c r="CF26" s="94" t="str">
        <f t="shared" si="56"/>
        <v>0,00</v>
      </c>
      <c r="CG26" s="94" t="str">
        <f t="shared" si="56"/>
        <v>0,00</v>
      </c>
      <c r="CH26" s="95" t="str">
        <f t="shared" si="57"/>
        <v xml:space="preserve">0,00 </v>
      </c>
      <c r="CI26" s="96" t="e">
        <f>#REF!</f>
        <v>#REF!</v>
      </c>
      <c r="CJ26" s="94" t="str">
        <f t="shared" si="58"/>
        <v>0,00</v>
      </c>
      <c r="CK26" s="94" t="str">
        <f t="shared" si="58"/>
        <v>0,00</v>
      </c>
      <c r="CL26" s="95" t="str">
        <f t="shared" si="68"/>
        <v xml:space="preserve">0,00 </v>
      </c>
      <c r="CM26" s="95" t="e">
        <f>#REF!</f>
        <v>#REF!</v>
      </c>
      <c r="CN26" s="94" t="str">
        <f t="shared" si="59"/>
        <v>0,00</v>
      </c>
      <c r="CO26" s="94" t="str">
        <f t="shared" si="59"/>
        <v>0,00</v>
      </c>
      <c r="CP26" s="95" t="str">
        <f t="shared" si="60"/>
        <v xml:space="preserve">0,00 </v>
      </c>
      <c r="CQ26" s="95" t="e">
        <f>#REF!</f>
        <v>#REF!</v>
      </c>
      <c r="CR26" s="97" t="str">
        <f t="shared" si="69"/>
        <v xml:space="preserve">0,00 </v>
      </c>
      <c r="CS26" s="95" t="str">
        <f t="shared" si="69"/>
        <v xml:space="preserve">0,00 </v>
      </c>
      <c r="CT26" s="96" t="e">
        <f>#REF!</f>
        <v>#REF!</v>
      </c>
      <c r="CU26" s="97" t="str">
        <f t="shared" si="70"/>
        <v xml:space="preserve">0,00 </v>
      </c>
      <c r="CV26" s="95" t="str">
        <f t="shared" si="61"/>
        <v xml:space="preserve">0,00 </v>
      </c>
      <c r="CW26" s="96" t="e">
        <f>#REF!</f>
        <v>#REF!</v>
      </c>
      <c r="CX26" s="99" t="str">
        <f t="shared" si="62"/>
        <v xml:space="preserve"> </v>
      </c>
      <c r="CY26" s="95" t="str">
        <f t="shared" si="62"/>
        <v xml:space="preserve"> </v>
      </c>
      <c r="CZ26" s="99" t="str">
        <f t="shared" si="62"/>
        <v xml:space="preserve"> </v>
      </c>
      <c r="DA26" s="95" t="str">
        <f t="shared" si="62"/>
        <v xml:space="preserve"> </v>
      </c>
      <c r="DB26" s="94" t="str">
        <f t="shared" si="13"/>
        <v xml:space="preserve"> </v>
      </c>
      <c r="DC26" s="94" t="str">
        <f t="shared" si="14"/>
        <v xml:space="preserve"> </v>
      </c>
      <c r="DD26" s="94" t="str">
        <f t="shared" si="14"/>
        <v xml:space="preserve"> </v>
      </c>
      <c r="DE26" s="94" t="str">
        <f t="shared" si="14"/>
        <v xml:space="preserve"> </v>
      </c>
      <c r="DF26" s="94" t="str">
        <f t="shared" si="14"/>
        <v xml:space="preserve"> </v>
      </c>
      <c r="DG26" s="94" t="str">
        <f t="shared" si="14"/>
        <v xml:space="preserve"> </v>
      </c>
      <c r="DH26" s="95" t="str">
        <f t="shared" si="14"/>
        <v xml:space="preserve"> </v>
      </c>
      <c r="DI26" s="96" t="e">
        <f>#REF!</f>
        <v>#REF!</v>
      </c>
      <c r="DJ26" s="95" t="str">
        <f t="shared" si="63"/>
        <v xml:space="preserve"> </v>
      </c>
      <c r="DK26" s="96" t="e">
        <f>#REF!</f>
        <v>#REF!</v>
      </c>
      <c r="DL26" s="95" t="str">
        <f t="shared" si="15"/>
        <v xml:space="preserve"> </v>
      </c>
      <c r="DM26" s="96">
        <f t="shared" si="16"/>
        <v>0</v>
      </c>
      <c r="DN26" s="94" t="str">
        <f t="shared" si="17"/>
        <v/>
      </c>
      <c r="DO26" s="100">
        <v>3.4</v>
      </c>
      <c r="DP26" s="94" t="str">
        <f>IF($O26&lt;&gt;0,IF($O26&lt;&gt;0,BL26/$O26*10,0)," ")</f>
        <v xml:space="preserve"> </v>
      </c>
      <c r="DQ26" s="94">
        <f>IF($P26&lt;&gt;0,IF($P26&lt;&gt;0,BM26/$P26*10,0)," ")</f>
        <v>3.4312436711835326</v>
      </c>
      <c r="DR26" s="101" t="str">
        <f t="shared" si="18"/>
        <v>3,315, hL/NhL</v>
      </c>
      <c r="DS26" s="173"/>
      <c r="DT26" s="103">
        <v>21</v>
      </c>
      <c r="DU26" s="120"/>
      <c r="DV26" s="120"/>
      <c r="DW26" s="120"/>
      <c r="DX26" s="120"/>
      <c r="DY26" s="120"/>
      <c r="DZ26" s="120"/>
      <c r="EA26" s="120"/>
      <c r="EB26" s="120"/>
      <c r="EC26" s="120"/>
      <c r="ED26" s="120"/>
      <c r="EE26" s="120"/>
      <c r="EF26" s="120"/>
      <c r="EG26" s="120"/>
      <c r="EH26" s="120"/>
      <c r="EI26" s="120"/>
      <c r="EJ26" s="120"/>
      <c r="EK26" s="120"/>
      <c r="EL26" s="120"/>
      <c r="EM26" s="120"/>
      <c r="EN26" s="120"/>
      <c r="EO26" s="120"/>
      <c r="EP26" s="120"/>
      <c r="EQ26" s="120"/>
      <c r="ER26" s="120"/>
      <c r="ES26" s="120"/>
      <c r="ET26" s="120"/>
      <c r="EU26" s="120"/>
      <c r="EV26" s="120"/>
      <c r="EW26" s="120"/>
      <c r="EX26" s="120"/>
      <c r="EY26" s="120"/>
      <c r="EZ26" s="120"/>
      <c r="FA26" s="145"/>
      <c r="FB26" s="136"/>
      <c r="FC26" s="136"/>
      <c r="FD26" s="104">
        <f t="shared" si="76"/>
        <v>0</v>
      </c>
      <c r="FE26" s="105"/>
      <c r="FF26" s="105"/>
      <c r="FG26" s="105"/>
      <c r="FH26" s="105"/>
      <c r="FI26" s="105"/>
      <c r="FJ26" s="105"/>
      <c r="FK26" s="105"/>
      <c r="FL26" s="105"/>
      <c r="FM26" s="105"/>
      <c r="FN26" s="80">
        <f t="shared" si="73"/>
        <v>0</v>
      </c>
      <c r="FO26" s="174"/>
      <c r="FP26" s="162"/>
      <c r="FY26" s="119">
        <v>21</v>
      </c>
      <c r="FZ26" s="107"/>
      <c r="GA26" s="107"/>
      <c r="GB26" s="107"/>
      <c r="GC26" s="109"/>
      <c r="GD26" s="110"/>
      <c r="GE26" s="110"/>
      <c r="GF26" s="111"/>
      <c r="GG26" s="111"/>
      <c r="GH26" s="111"/>
      <c r="GI26" s="164"/>
      <c r="GJ26" s="111" t="e">
        <f t="shared" si="64"/>
        <v>#DIV/0!</v>
      </c>
      <c r="GK26" s="113"/>
    </row>
    <row r="27" spans="1:193" s="119" customFormat="1" ht="15" customHeight="1">
      <c r="B27" s="114">
        <v>22</v>
      </c>
      <c r="D27" s="86"/>
      <c r="E27" s="86"/>
      <c r="F27" s="86"/>
      <c r="G27" s="86"/>
      <c r="H27" s="86"/>
      <c r="I27" s="85"/>
      <c r="J27" s="85"/>
      <c r="K27" s="167"/>
      <c r="L27" s="167"/>
      <c r="M27" s="115">
        <f t="shared" si="21"/>
        <v>0</v>
      </c>
      <c r="N27" s="88">
        <f t="shared" si="0"/>
        <v>0</v>
      </c>
      <c r="O27" s="88">
        <f t="shared" si="22"/>
        <v>0</v>
      </c>
      <c r="P27" s="89">
        <f t="shared" si="23"/>
        <v>383744.24149999995</v>
      </c>
      <c r="R27" s="90" t="str">
        <f t="shared" si="24"/>
        <v/>
      </c>
      <c r="S27" s="90" t="str">
        <f t="shared" si="25"/>
        <v/>
      </c>
      <c r="T27" s="90" t="str">
        <f t="shared" si="1"/>
        <v/>
      </c>
      <c r="U27" s="91" t="str">
        <f t="shared" si="75"/>
        <v/>
      </c>
      <c r="V27" s="90" t="str">
        <f t="shared" si="26"/>
        <v/>
      </c>
      <c r="W27" s="91" t="str">
        <f t="shared" si="2"/>
        <v/>
      </c>
      <c r="X27" s="90" t="str">
        <f t="shared" si="27"/>
        <v/>
      </c>
      <c r="Y27" s="90" t="str">
        <f t="shared" si="28"/>
        <v>0</v>
      </c>
      <c r="Z27" s="90" t="str">
        <f t="shared" si="3"/>
        <v/>
      </c>
      <c r="AA27" s="90" t="str">
        <f t="shared" si="29"/>
        <v/>
      </c>
      <c r="AB27" s="90" t="str">
        <f t="shared" si="30"/>
        <v/>
      </c>
      <c r="AC27" s="90" t="str">
        <f t="shared" si="30"/>
        <v/>
      </c>
      <c r="AD27" s="90">
        <f t="shared" si="31"/>
        <v>0</v>
      </c>
      <c r="AE27" s="90" t="str">
        <f t="shared" si="32"/>
        <v/>
      </c>
      <c r="AF27" s="90" t="str">
        <f t="shared" si="33"/>
        <v/>
      </c>
      <c r="AG27" s="90" t="str">
        <f t="shared" si="33"/>
        <v/>
      </c>
      <c r="AH27" s="90">
        <f t="shared" si="34"/>
        <v>0</v>
      </c>
      <c r="AI27" s="90" t="str">
        <f t="shared" si="35"/>
        <v/>
      </c>
      <c r="AJ27" s="90" t="str">
        <f t="shared" si="36"/>
        <v/>
      </c>
      <c r="AK27" s="90" t="str">
        <f t="shared" si="36"/>
        <v/>
      </c>
      <c r="AL27" s="90">
        <f t="shared" si="37"/>
        <v>0</v>
      </c>
      <c r="AM27" s="90" t="str">
        <f t="shared" si="38"/>
        <v/>
      </c>
      <c r="AN27" s="90" t="str">
        <f t="shared" si="39"/>
        <v/>
      </c>
      <c r="AO27" s="90" t="str">
        <f t="shared" si="4"/>
        <v/>
      </c>
      <c r="AP27" s="90" t="str">
        <f t="shared" si="40"/>
        <v/>
      </c>
      <c r="AQ27" s="90" t="str">
        <f t="shared" si="5"/>
        <v/>
      </c>
      <c r="AR27" s="90" t="str">
        <f t="shared" si="41"/>
        <v/>
      </c>
      <c r="AS27" s="90" t="str">
        <f t="shared" si="42"/>
        <v/>
      </c>
      <c r="AT27" s="90" t="str">
        <f t="shared" si="43"/>
        <v/>
      </c>
      <c r="AU27" s="90" t="str">
        <f t="shared" si="44"/>
        <v/>
      </c>
      <c r="AV27" s="90" t="str">
        <f t="shared" si="65"/>
        <v/>
      </c>
      <c r="AW27" s="90" t="str">
        <f t="shared" si="45"/>
        <v/>
      </c>
      <c r="AX27" s="90" t="str">
        <f t="shared" si="66"/>
        <v/>
      </c>
      <c r="AY27" s="90" t="str">
        <f t="shared" si="66"/>
        <v/>
      </c>
      <c r="AZ27" s="90" t="str">
        <f t="shared" si="46"/>
        <v/>
      </c>
      <c r="BA27" s="90"/>
      <c r="BB27" s="90" t="str">
        <f t="shared" si="47"/>
        <v/>
      </c>
      <c r="BC27" s="90" t="str">
        <f t="shared" si="47"/>
        <v/>
      </c>
      <c r="BD27" s="91" t="str">
        <f t="shared" si="48"/>
        <v/>
      </c>
      <c r="BE27" s="90"/>
      <c r="BF27" s="90"/>
      <c r="BG27" s="90" t="str">
        <f t="shared" si="6"/>
        <v/>
      </c>
      <c r="BH27" s="90">
        <f t="shared" si="49"/>
        <v>0</v>
      </c>
      <c r="BI27" s="90" t="str">
        <f t="shared" si="50"/>
        <v/>
      </c>
      <c r="BJ27" s="90" t="str">
        <f t="shared" si="7"/>
        <v/>
      </c>
      <c r="BK27" s="92"/>
      <c r="BL27" s="93">
        <f t="shared" si="51"/>
        <v>0</v>
      </c>
      <c r="BM27" s="93">
        <f t="shared" si="52"/>
        <v>131672</v>
      </c>
      <c r="BN27" s="92"/>
      <c r="BO27" s="94" t="str">
        <f t="shared" si="53"/>
        <v xml:space="preserve"> </v>
      </c>
      <c r="BP27" s="94" t="str">
        <f t="shared" si="53"/>
        <v xml:space="preserve"> </v>
      </c>
      <c r="BQ27" s="94" t="str">
        <f t="shared" si="54"/>
        <v xml:space="preserve"> </v>
      </c>
      <c r="BR27" s="94" t="str">
        <f t="shared" si="67"/>
        <v xml:space="preserve"> </v>
      </c>
      <c r="BS27" s="94" t="str">
        <f t="shared" si="77"/>
        <v xml:space="preserve"> </v>
      </c>
      <c r="BT27" s="94" t="str">
        <f t="shared" si="77"/>
        <v xml:space="preserve"> </v>
      </c>
      <c r="BU27" s="95" t="str">
        <f t="shared" si="77"/>
        <v xml:space="preserve"> </v>
      </c>
      <c r="BV27" s="94" t="str">
        <f t="shared" si="9"/>
        <v xml:space="preserve"> </v>
      </c>
      <c r="BW27" s="94" t="str">
        <f t="shared" si="9"/>
        <v xml:space="preserve"> </v>
      </c>
      <c r="BX27" s="94" t="str">
        <f t="shared" si="9"/>
        <v xml:space="preserve"> </v>
      </c>
      <c r="BY27" s="94" t="str">
        <f t="shared" si="55"/>
        <v xml:space="preserve"> </v>
      </c>
      <c r="BZ27" s="95" t="str">
        <f t="shared" si="10"/>
        <v xml:space="preserve"> </v>
      </c>
      <c r="CA27" s="96" t="e">
        <f>#REF!</f>
        <v>#REF!</v>
      </c>
      <c r="CB27" s="94" t="str">
        <f t="shared" si="11"/>
        <v xml:space="preserve"> </v>
      </c>
      <c r="CC27" s="95" t="str">
        <f t="shared" si="11"/>
        <v xml:space="preserve"> </v>
      </c>
      <c r="CD27" s="97" t="str">
        <f t="shared" si="12"/>
        <v/>
      </c>
      <c r="CE27" s="98" t="str">
        <f t="shared" si="12"/>
        <v/>
      </c>
      <c r="CF27" s="94" t="str">
        <f t="shared" si="56"/>
        <v>0,00</v>
      </c>
      <c r="CG27" s="94" t="str">
        <f t="shared" si="56"/>
        <v>0,00</v>
      </c>
      <c r="CH27" s="95" t="str">
        <f t="shared" si="57"/>
        <v xml:space="preserve">0,00 </v>
      </c>
      <c r="CI27" s="96" t="e">
        <f>#REF!</f>
        <v>#REF!</v>
      </c>
      <c r="CJ27" s="94" t="str">
        <f t="shared" si="58"/>
        <v>0,00</v>
      </c>
      <c r="CK27" s="94" t="str">
        <f t="shared" si="58"/>
        <v>0,00</v>
      </c>
      <c r="CL27" s="95" t="str">
        <f t="shared" si="68"/>
        <v xml:space="preserve">0,00 </v>
      </c>
      <c r="CM27" s="95" t="e">
        <f>#REF!</f>
        <v>#REF!</v>
      </c>
      <c r="CN27" s="94" t="str">
        <f t="shared" si="59"/>
        <v>0,00</v>
      </c>
      <c r="CO27" s="94" t="str">
        <f t="shared" si="59"/>
        <v>0,00</v>
      </c>
      <c r="CP27" s="95" t="str">
        <f t="shared" si="60"/>
        <v xml:space="preserve">0,00 </v>
      </c>
      <c r="CQ27" s="95" t="e">
        <f>#REF!</f>
        <v>#REF!</v>
      </c>
      <c r="CR27" s="97" t="str">
        <f t="shared" si="69"/>
        <v xml:space="preserve">0,00 </v>
      </c>
      <c r="CS27" s="95" t="str">
        <f t="shared" si="69"/>
        <v xml:space="preserve">0,00 </v>
      </c>
      <c r="CT27" s="96" t="e">
        <f>#REF!</f>
        <v>#REF!</v>
      </c>
      <c r="CU27" s="97" t="str">
        <f t="shared" si="70"/>
        <v xml:space="preserve">0,00 </v>
      </c>
      <c r="CV27" s="95" t="str">
        <f t="shared" si="61"/>
        <v xml:space="preserve">0,00 </v>
      </c>
      <c r="CW27" s="96" t="e">
        <f>#REF!</f>
        <v>#REF!</v>
      </c>
      <c r="CX27" s="99" t="str">
        <f t="shared" si="62"/>
        <v xml:space="preserve"> </v>
      </c>
      <c r="CY27" s="95" t="str">
        <f t="shared" si="62"/>
        <v xml:space="preserve"> </v>
      </c>
      <c r="CZ27" s="99" t="str">
        <f t="shared" si="62"/>
        <v xml:space="preserve"> </v>
      </c>
      <c r="DA27" s="95" t="str">
        <f t="shared" si="62"/>
        <v xml:space="preserve"> </v>
      </c>
      <c r="DB27" s="94" t="str">
        <f t="shared" si="13"/>
        <v xml:space="preserve"> </v>
      </c>
      <c r="DC27" s="94" t="str">
        <f t="shared" si="14"/>
        <v xml:space="preserve"> </v>
      </c>
      <c r="DD27" s="94" t="str">
        <f t="shared" si="14"/>
        <v xml:space="preserve"> </v>
      </c>
      <c r="DE27" s="94" t="str">
        <f t="shared" si="14"/>
        <v xml:space="preserve"> </v>
      </c>
      <c r="DF27" s="94" t="str">
        <f t="shared" si="14"/>
        <v xml:space="preserve"> </v>
      </c>
      <c r="DG27" s="94" t="str">
        <f t="shared" si="14"/>
        <v xml:space="preserve"> </v>
      </c>
      <c r="DH27" s="95" t="str">
        <f t="shared" si="14"/>
        <v xml:space="preserve"> </v>
      </c>
      <c r="DI27" s="96" t="e">
        <f>#REF!</f>
        <v>#REF!</v>
      </c>
      <c r="DJ27" s="95" t="str">
        <f t="shared" si="63"/>
        <v xml:space="preserve"> </v>
      </c>
      <c r="DK27" s="96" t="e">
        <f>#REF!</f>
        <v>#REF!</v>
      </c>
      <c r="DL27" s="95" t="str">
        <f t="shared" si="15"/>
        <v xml:space="preserve"> </v>
      </c>
      <c r="DM27" s="96">
        <f t="shared" si="16"/>
        <v>0</v>
      </c>
      <c r="DN27" s="94" t="str">
        <f t="shared" si="17"/>
        <v/>
      </c>
      <c r="DO27" s="100">
        <v>3.4</v>
      </c>
      <c r="DP27" s="94" t="str">
        <f t="shared" si="71"/>
        <v xml:space="preserve"> </v>
      </c>
      <c r="DQ27" s="94">
        <f t="shared" si="72"/>
        <v>3.4312436711835326</v>
      </c>
      <c r="DR27" s="101" t="str">
        <f t="shared" si="18"/>
        <v>3,315, hL/NhL</v>
      </c>
      <c r="DS27" s="173"/>
      <c r="DT27" s="103">
        <v>22</v>
      </c>
      <c r="DU27" s="120"/>
      <c r="DV27" s="120"/>
      <c r="DW27" s="120"/>
      <c r="DX27" s="120"/>
      <c r="DY27" s="120"/>
      <c r="DZ27" s="120"/>
      <c r="EA27" s="120"/>
      <c r="EB27" s="120"/>
      <c r="EC27" s="120"/>
      <c r="ED27" s="120"/>
      <c r="EE27" s="120"/>
      <c r="EF27" s="120"/>
      <c r="EG27" s="120"/>
      <c r="EH27" s="120"/>
      <c r="EI27" s="120"/>
      <c r="EJ27" s="120"/>
      <c r="EK27" s="120"/>
      <c r="EL27" s="120"/>
      <c r="EM27" s="120"/>
      <c r="EN27" s="120"/>
      <c r="EO27" s="120"/>
      <c r="EP27" s="120"/>
      <c r="EQ27" s="120"/>
      <c r="ER27" s="120"/>
      <c r="ES27" s="120"/>
      <c r="ET27" s="120"/>
      <c r="EU27" s="120"/>
      <c r="EV27" s="120"/>
      <c r="EW27" s="120"/>
      <c r="EX27" s="120"/>
      <c r="EY27" s="120"/>
      <c r="EZ27" s="120"/>
      <c r="FA27" s="151"/>
      <c r="FB27" s="77"/>
      <c r="FC27" s="176"/>
      <c r="FD27" s="104">
        <f t="shared" si="76"/>
        <v>0</v>
      </c>
      <c r="FE27" s="105"/>
      <c r="FF27" s="105"/>
      <c r="FG27" s="105"/>
      <c r="FH27" s="105"/>
      <c r="FI27" s="105"/>
      <c r="FJ27" s="105"/>
      <c r="FK27" s="105"/>
      <c r="FL27" s="105"/>
      <c r="FM27" s="105"/>
      <c r="FN27" s="80">
        <f t="shared" si="73"/>
        <v>0</v>
      </c>
      <c r="FO27" s="174"/>
      <c r="FP27" s="162"/>
      <c r="FY27" s="119">
        <v>22</v>
      </c>
      <c r="FZ27" s="107"/>
      <c r="GA27" s="107"/>
      <c r="GB27" s="107"/>
      <c r="GC27" s="109"/>
      <c r="GD27" s="110"/>
      <c r="GE27" s="110"/>
      <c r="GF27" s="111"/>
      <c r="GG27" s="111"/>
      <c r="GH27" s="111"/>
      <c r="GI27" s="112"/>
      <c r="GJ27" s="111" t="e">
        <f t="shared" si="64"/>
        <v>#DIV/0!</v>
      </c>
      <c r="GK27" s="113"/>
    </row>
    <row r="28" spans="1:193" ht="15" customHeight="1">
      <c r="B28" s="114">
        <v>23</v>
      </c>
      <c r="D28" s="85"/>
      <c r="E28" s="85"/>
      <c r="F28" s="85"/>
      <c r="G28" s="85"/>
      <c r="H28" s="85"/>
      <c r="I28" s="85"/>
      <c r="J28" s="85"/>
      <c r="K28" s="167"/>
      <c r="L28" s="167"/>
      <c r="M28" s="115">
        <f t="shared" si="21"/>
        <v>0</v>
      </c>
      <c r="N28" s="88">
        <f t="shared" si="0"/>
        <v>0</v>
      </c>
      <c r="O28" s="88">
        <f t="shared" si="22"/>
        <v>0</v>
      </c>
      <c r="P28" s="89">
        <f t="shared" si="23"/>
        <v>383744.24149999995</v>
      </c>
      <c r="R28" s="90" t="str">
        <f t="shared" si="24"/>
        <v/>
      </c>
      <c r="S28" s="90" t="str">
        <f t="shared" si="25"/>
        <v/>
      </c>
      <c r="T28" s="90" t="str">
        <f t="shared" si="1"/>
        <v/>
      </c>
      <c r="U28" s="91" t="str">
        <f t="shared" si="75"/>
        <v/>
      </c>
      <c r="V28" s="90" t="str">
        <f t="shared" si="26"/>
        <v/>
      </c>
      <c r="W28" s="91" t="str">
        <f t="shared" si="2"/>
        <v/>
      </c>
      <c r="X28" s="90" t="str">
        <f t="shared" si="27"/>
        <v/>
      </c>
      <c r="Y28" s="90" t="str">
        <f t="shared" si="28"/>
        <v>0</v>
      </c>
      <c r="Z28" s="90" t="str">
        <f t="shared" si="3"/>
        <v/>
      </c>
      <c r="AA28" s="90" t="str">
        <f t="shared" si="29"/>
        <v/>
      </c>
      <c r="AB28" s="90" t="str">
        <f t="shared" si="30"/>
        <v/>
      </c>
      <c r="AC28" s="90" t="str">
        <f t="shared" si="30"/>
        <v/>
      </c>
      <c r="AD28" s="90">
        <f t="shared" si="31"/>
        <v>0</v>
      </c>
      <c r="AE28" s="90" t="str">
        <f t="shared" si="32"/>
        <v/>
      </c>
      <c r="AF28" s="90" t="str">
        <f t="shared" si="33"/>
        <v/>
      </c>
      <c r="AG28" s="90" t="str">
        <f t="shared" si="33"/>
        <v/>
      </c>
      <c r="AH28" s="90">
        <f t="shared" si="34"/>
        <v>0</v>
      </c>
      <c r="AI28" s="90" t="str">
        <f t="shared" si="35"/>
        <v/>
      </c>
      <c r="AJ28" s="90" t="str">
        <f t="shared" si="36"/>
        <v/>
      </c>
      <c r="AK28" s="90" t="str">
        <f t="shared" si="36"/>
        <v/>
      </c>
      <c r="AL28" s="90">
        <f t="shared" si="37"/>
        <v>0</v>
      </c>
      <c r="AM28" s="90" t="str">
        <f t="shared" si="38"/>
        <v/>
      </c>
      <c r="AN28" s="90" t="str">
        <f t="shared" si="39"/>
        <v/>
      </c>
      <c r="AO28" s="90" t="str">
        <f t="shared" si="4"/>
        <v/>
      </c>
      <c r="AP28" s="90" t="str">
        <f t="shared" si="40"/>
        <v/>
      </c>
      <c r="AQ28" s="90" t="str">
        <f t="shared" si="5"/>
        <v/>
      </c>
      <c r="AR28" s="90" t="str">
        <f t="shared" si="41"/>
        <v/>
      </c>
      <c r="AS28" s="90" t="str">
        <f t="shared" si="42"/>
        <v/>
      </c>
      <c r="AT28" s="90" t="str">
        <f t="shared" si="43"/>
        <v/>
      </c>
      <c r="AU28" s="90" t="str">
        <f t="shared" si="44"/>
        <v/>
      </c>
      <c r="AV28" s="90" t="str">
        <f t="shared" si="65"/>
        <v/>
      </c>
      <c r="AW28" s="90" t="str">
        <f t="shared" si="45"/>
        <v/>
      </c>
      <c r="AX28" s="90" t="str">
        <f t="shared" si="66"/>
        <v/>
      </c>
      <c r="AY28" s="90" t="str">
        <f t="shared" si="66"/>
        <v/>
      </c>
      <c r="AZ28" s="90" t="str">
        <f t="shared" si="46"/>
        <v/>
      </c>
      <c r="BA28" s="90"/>
      <c r="BB28" s="90" t="str">
        <f t="shared" si="47"/>
        <v/>
      </c>
      <c r="BC28" s="90" t="str">
        <f t="shared" si="47"/>
        <v/>
      </c>
      <c r="BD28" s="91" t="str">
        <f t="shared" si="48"/>
        <v/>
      </c>
      <c r="BE28" s="90"/>
      <c r="BF28" s="90"/>
      <c r="BG28" s="90" t="str">
        <f t="shared" si="6"/>
        <v/>
      </c>
      <c r="BH28" s="90">
        <f t="shared" si="49"/>
        <v>0</v>
      </c>
      <c r="BI28" s="90" t="str">
        <f t="shared" si="50"/>
        <v/>
      </c>
      <c r="BJ28" s="90" t="str">
        <f t="shared" si="7"/>
        <v/>
      </c>
      <c r="BK28" s="92"/>
      <c r="BL28" s="93">
        <f t="shared" si="51"/>
        <v>0</v>
      </c>
      <c r="BM28" s="93">
        <f t="shared" si="52"/>
        <v>131672</v>
      </c>
      <c r="BN28" s="92"/>
      <c r="BO28" s="94" t="str">
        <f t="shared" si="53"/>
        <v xml:space="preserve"> </v>
      </c>
      <c r="BP28" s="94" t="str">
        <f t="shared" si="53"/>
        <v xml:space="preserve"> </v>
      </c>
      <c r="BQ28" s="94" t="str">
        <f t="shared" si="54"/>
        <v xml:space="preserve"> </v>
      </c>
      <c r="BR28" s="94" t="str">
        <f t="shared" si="67"/>
        <v xml:space="preserve"> </v>
      </c>
      <c r="BS28" s="94" t="str">
        <f t="shared" si="77"/>
        <v xml:space="preserve"> </v>
      </c>
      <c r="BT28" s="94" t="str">
        <f t="shared" si="77"/>
        <v xml:space="preserve"> </v>
      </c>
      <c r="BU28" s="95" t="str">
        <f t="shared" si="77"/>
        <v xml:space="preserve"> </v>
      </c>
      <c r="BV28" s="94" t="str">
        <f t="shared" si="9"/>
        <v xml:space="preserve"> </v>
      </c>
      <c r="BW28" s="94" t="str">
        <f t="shared" si="9"/>
        <v xml:space="preserve"> </v>
      </c>
      <c r="BX28" s="94" t="str">
        <f t="shared" si="9"/>
        <v xml:space="preserve"> </v>
      </c>
      <c r="BY28" s="94" t="str">
        <f t="shared" si="55"/>
        <v xml:space="preserve"> </v>
      </c>
      <c r="BZ28" s="95" t="str">
        <f t="shared" si="10"/>
        <v xml:space="preserve"> </v>
      </c>
      <c r="CA28" s="96" t="e">
        <f>#REF!</f>
        <v>#REF!</v>
      </c>
      <c r="CB28" s="94" t="str">
        <f t="shared" si="11"/>
        <v xml:space="preserve"> </v>
      </c>
      <c r="CC28" s="95" t="str">
        <f t="shared" si="11"/>
        <v xml:space="preserve"> </v>
      </c>
      <c r="CD28" s="97" t="str">
        <f t="shared" si="12"/>
        <v/>
      </c>
      <c r="CE28" s="98" t="str">
        <f t="shared" si="12"/>
        <v/>
      </c>
      <c r="CF28" s="94" t="str">
        <f t="shared" si="56"/>
        <v>0,00</v>
      </c>
      <c r="CG28" s="94" t="str">
        <f t="shared" si="56"/>
        <v>0,00</v>
      </c>
      <c r="CH28" s="95" t="str">
        <f t="shared" si="57"/>
        <v xml:space="preserve">0,00 </v>
      </c>
      <c r="CI28" s="96" t="e">
        <f>#REF!</f>
        <v>#REF!</v>
      </c>
      <c r="CJ28" s="94" t="str">
        <f t="shared" si="58"/>
        <v>0,00</v>
      </c>
      <c r="CK28" s="94" t="str">
        <f t="shared" si="58"/>
        <v>0,00</v>
      </c>
      <c r="CL28" s="95" t="str">
        <f t="shared" si="68"/>
        <v xml:space="preserve">0,00 </v>
      </c>
      <c r="CM28" s="95" t="e">
        <f>#REF!</f>
        <v>#REF!</v>
      </c>
      <c r="CN28" s="94" t="str">
        <f t="shared" si="59"/>
        <v>0,00</v>
      </c>
      <c r="CO28" s="94" t="str">
        <f t="shared" si="59"/>
        <v>0,00</v>
      </c>
      <c r="CP28" s="95" t="str">
        <f t="shared" si="60"/>
        <v xml:space="preserve">0,00 </v>
      </c>
      <c r="CQ28" s="95" t="e">
        <f>#REF!</f>
        <v>#REF!</v>
      </c>
      <c r="CR28" s="97" t="str">
        <f t="shared" si="69"/>
        <v xml:space="preserve">0,00 </v>
      </c>
      <c r="CS28" s="95" t="str">
        <f t="shared" si="69"/>
        <v xml:space="preserve">0,00 </v>
      </c>
      <c r="CT28" s="96" t="e">
        <f>#REF!</f>
        <v>#REF!</v>
      </c>
      <c r="CU28" s="97" t="str">
        <f t="shared" si="70"/>
        <v xml:space="preserve">0,00 </v>
      </c>
      <c r="CV28" s="95" t="str">
        <f t="shared" si="61"/>
        <v xml:space="preserve">0,00 </v>
      </c>
      <c r="CW28" s="96" t="e">
        <f>#REF!</f>
        <v>#REF!</v>
      </c>
      <c r="CX28" s="99" t="str">
        <f t="shared" si="62"/>
        <v xml:space="preserve"> </v>
      </c>
      <c r="CY28" s="95" t="str">
        <f t="shared" si="62"/>
        <v xml:space="preserve"> </v>
      </c>
      <c r="CZ28" s="99" t="str">
        <f t="shared" si="62"/>
        <v xml:space="preserve"> </v>
      </c>
      <c r="DA28" s="95" t="str">
        <f t="shared" si="62"/>
        <v xml:space="preserve"> </v>
      </c>
      <c r="DB28" s="94" t="str">
        <f t="shared" si="13"/>
        <v xml:space="preserve"> </v>
      </c>
      <c r="DC28" s="94" t="str">
        <f t="shared" si="14"/>
        <v xml:space="preserve"> </v>
      </c>
      <c r="DD28" s="94" t="str">
        <f t="shared" si="14"/>
        <v xml:space="preserve"> </v>
      </c>
      <c r="DE28" s="94" t="str">
        <f t="shared" si="14"/>
        <v xml:space="preserve"> </v>
      </c>
      <c r="DF28" s="94" t="str">
        <f t="shared" si="14"/>
        <v xml:space="preserve"> </v>
      </c>
      <c r="DG28" s="94" t="str">
        <f t="shared" si="14"/>
        <v xml:space="preserve"> </v>
      </c>
      <c r="DH28" s="95" t="str">
        <f t="shared" si="14"/>
        <v xml:space="preserve"> </v>
      </c>
      <c r="DI28" s="96" t="e">
        <f>#REF!</f>
        <v>#REF!</v>
      </c>
      <c r="DJ28" s="95" t="str">
        <f t="shared" si="63"/>
        <v xml:space="preserve"> </v>
      </c>
      <c r="DK28" s="96" t="e">
        <f>#REF!</f>
        <v>#REF!</v>
      </c>
      <c r="DL28" s="95" t="str">
        <f t="shared" si="15"/>
        <v xml:space="preserve"> </v>
      </c>
      <c r="DM28" s="96">
        <f t="shared" si="16"/>
        <v>0</v>
      </c>
      <c r="DN28" s="94" t="str">
        <f t="shared" si="17"/>
        <v/>
      </c>
      <c r="DO28" s="100">
        <v>3.4</v>
      </c>
      <c r="DP28" s="94" t="str">
        <f>IF($O28&lt;&gt;0,IF($O28&lt;&gt;0,BL28/$O28*10,0)," ")</f>
        <v xml:space="preserve"> </v>
      </c>
      <c r="DQ28" s="94">
        <f t="shared" si="72"/>
        <v>3.4312436711835326</v>
      </c>
      <c r="DR28" s="101" t="str">
        <f t="shared" si="18"/>
        <v>3,315, hL/NhL</v>
      </c>
      <c r="DS28" s="173"/>
      <c r="DT28" s="103">
        <v>23</v>
      </c>
      <c r="DU28" s="120"/>
      <c r="DV28" s="120"/>
      <c r="DW28" s="120"/>
      <c r="DX28" s="120"/>
      <c r="DY28" s="120"/>
      <c r="DZ28" s="120"/>
      <c r="EA28" s="120"/>
      <c r="EB28" s="120"/>
      <c r="EC28" s="120"/>
      <c r="ED28" s="120"/>
      <c r="EE28" s="120"/>
      <c r="EF28" s="120"/>
      <c r="EG28" s="120"/>
      <c r="EH28" s="120"/>
      <c r="EI28" s="120"/>
      <c r="EJ28" s="120"/>
      <c r="EK28" s="120"/>
      <c r="EL28" s="120"/>
      <c r="EM28" s="120"/>
      <c r="EN28" s="120"/>
      <c r="EO28" s="120"/>
      <c r="EP28" s="120"/>
      <c r="EQ28" s="120"/>
      <c r="ER28" s="120"/>
      <c r="ES28" s="120"/>
      <c r="ET28" s="120"/>
      <c r="EU28" s="120"/>
      <c r="EV28" s="120"/>
      <c r="EW28" s="120"/>
      <c r="EX28" s="120"/>
      <c r="EY28" s="120"/>
      <c r="EZ28" s="120"/>
      <c r="FA28" s="151"/>
      <c r="FB28" s="150"/>
      <c r="FC28" s="177"/>
      <c r="FD28" s="104">
        <f t="shared" si="76"/>
        <v>0</v>
      </c>
      <c r="FE28" s="105"/>
      <c r="FF28" s="105"/>
      <c r="FG28" s="105"/>
      <c r="FH28" s="105"/>
      <c r="FI28" s="105"/>
      <c r="FJ28" s="105"/>
      <c r="FK28" s="105"/>
      <c r="FL28" s="105"/>
      <c r="FM28" s="105"/>
      <c r="FN28" s="80">
        <f t="shared" si="73"/>
        <v>0</v>
      </c>
      <c r="FO28" s="174"/>
      <c r="FP28" s="162"/>
      <c r="FR28" s="64"/>
      <c r="FS28" s="64"/>
      <c r="FT28" s="64"/>
      <c r="FU28" s="64"/>
      <c r="FV28" s="64"/>
      <c r="FW28" s="64"/>
      <c r="FX28" s="64"/>
      <c r="FY28" s="64">
        <v>23</v>
      </c>
      <c r="FZ28" s="107"/>
      <c r="GA28" s="107"/>
      <c r="GB28" s="107"/>
      <c r="GC28" s="109"/>
      <c r="GD28" s="110"/>
      <c r="GE28" s="110"/>
      <c r="GF28" s="111"/>
      <c r="GG28" s="111"/>
      <c r="GH28" s="111"/>
      <c r="GI28" s="112"/>
      <c r="GJ28" s="111" t="e">
        <f t="shared" si="64"/>
        <v>#DIV/0!</v>
      </c>
      <c r="GK28" s="118"/>
    </row>
    <row r="29" spans="1:193" ht="15" customHeight="1">
      <c r="B29" s="114">
        <v>24</v>
      </c>
      <c r="D29" s="85"/>
      <c r="E29" s="85"/>
      <c r="F29" s="85"/>
      <c r="G29" s="85"/>
      <c r="H29" s="85"/>
      <c r="I29" s="85"/>
      <c r="J29" s="85"/>
      <c r="K29" s="167"/>
      <c r="L29" s="167"/>
      <c r="M29" s="115">
        <f t="shared" si="21"/>
        <v>0</v>
      </c>
      <c r="N29" s="88">
        <f t="shared" si="0"/>
        <v>0</v>
      </c>
      <c r="O29" s="88">
        <f t="shared" si="22"/>
        <v>0</v>
      </c>
      <c r="P29" s="89">
        <f t="shared" si="23"/>
        <v>383744.24149999995</v>
      </c>
      <c r="R29" s="90" t="str">
        <f t="shared" si="24"/>
        <v/>
      </c>
      <c r="S29" s="90" t="str">
        <f t="shared" si="25"/>
        <v/>
      </c>
      <c r="T29" s="90" t="str">
        <f t="shared" si="1"/>
        <v/>
      </c>
      <c r="U29" s="91" t="str">
        <f t="shared" si="75"/>
        <v/>
      </c>
      <c r="V29" s="90" t="str">
        <f t="shared" si="26"/>
        <v/>
      </c>
      <c r="W29" s="91" t="str">
        <f t="shared" si="2"/>
        <v/>
      </c>
      <c r="X29" s="90" t="str">
        <f t="shared" si="27"/>
        <v/>
      </c>
      <c r="Y29" s="90" t="str">
        <f t="shared" si="28"/>
        <v>0</v>
      </c>
      <c r="Z29" s="90" t="str">
        <f t="shared" si="3"/>
        <v/>
      </c>
      <c r="AA29" s="90" t="str">
        <f t="shared" si="29"/>
        <v/>
      </c>
      <c r="AB29" s="90" t="str">
        <f t="shared" si="30"/>
        <v/>
      </c>
      <c r="AC29" s="90" t="str">
        <f t="shared" si="30"/>
        <v/>
      </c>
      <c r="AD29" s="90">
        <f t="shared" si="31"/>
        <v>0</v>
      </c>
      <c r="AE29" s="90" t="str">
        <f t="shared" si="32"/>
        <v/>
      </c>
      <c r="AF29" s="90" t="str">
        <f t="shared" si="33"/>
        <v/>
      </c>
      <c r="AG29" s="90" t="str">
        <f t="shared" si="33"/>
        <v/>
      </c>
      <c r="AH29" s="90">
        <f t="shared" si="34"/>
        <v>0</v>
      </c>
      <c r="AI29" s="90" t="str">
        <f t="shared" si="35"/>
        <v/>
      </c>
      <c r="AJ29" s="90" t="str">
        <f t="shared" si="36"/>
        <v/>
      </c>
      <c r="AK29" s="90" t="str">
        <f t="shared" si="36"/>
        <v/>
      </c>
      <c r="AL29" s="90">
        <f t="shared" si="37"/>
        <v>0</v>
      </c>
      <c r="AM29" s="90" t="str">
        <f t="shared" si="38"/>
        <v/>
      </c>
      <c r="AN29" s="90" t="str">
        <f t="shared" si="39"/>
        <v/>
      </c>
      <c r="AO29" s="90" t="str">
        <f t="shared" si="4"/>
        <v/>
      </c>
      <c r="AP29" s="90" t="str">
        <f t="shared" si="40"/>
        <v/>
      </c>
      <c r="AQ29" s="90" t="str">
        <f t="shared" si="5"/>
        <v/>
      </c>
      <c r="AR29" s="90" t="str">
        <f t="shared" si="41"/>
        <v/>
      </c>
      <c r="AS29" s="90" t="str">
        <f t="shared" si="42"/>
        <v/>
      </c>
      <c r="AT29" s="90" t="str">
        <f t="shared" si="43"/>
        <v/>
      </c>
      <c r="AU29" s="90" t="str">
        <f t="shared" si="44"/>
        <v/>
      </c>
      <c r="AV29" s="90" t="str">
        <f t="shared" si="65"/>
        <v/>
      </c>
      <c r="AW29" s="90" t="str">
        <f t="shared" si="45"/>
        <v/>
      </c>
      <c r="AX29" s="90" t="str">
        <f t="shared" si="66"/>
        <v/>
      </c>
      <c r="AY29" s="90" t="str">
        <f t="shared" si="66"/>
        <v/>
      </c>
      <c r="AZ29" s="90" t="str">
        <f t="shared" si="46"/>
        <v/>
      </c>
      <c r="BA29" s="90"/>
      <c r="BB29" s="90" t="str">
        <f t="shared" si="47"/>
        <v/>
      </c>
      <c r="BC29" s="90" t="str">
        <f t="shared" si="47"/>
        <v/>
      </c>
      <c r="BD29" s="91" t="str">
        <f t="shared" si="48"/>
        <v/>
      </c>
      <c r="BE29" s="90"/>
      <c r="BF29" s="90"/>
      <c r="BG29" s="90" t="str">
        <f t="shared" si="6"/>
        <v/>
      </c>
      <c r="BH29" s="90">
        <f t="shared" si="49"/>
        <v>0</v>
      </c>
      <c r="BI29" s="90" t="str">
        <f t="shared" si="50"/>
        <v/>
      </c>
      <c r="BJ29" s="90" t="str">
        <f>IF(BH29=0,"",(AA29+AD29+AO29+BG29+AH29+AL29+AQ29+AS29+AX29+AV29))</f>
        <v/>
      </c>
      <c r="BK29" s="92"/>
      <c r="BL29" s="93">
        <f t="shared" si="51"/>
        <v>0</v>
      </c>
      <c r="BM29" s="93">
        <f t="shared" si="52"/>
        <v>131672</v>
      </c>
      <c r="BN29" s="92"/>
      <c r="BO29" s="94" t="str">
        <f t="shared" si="53"/>
        <v xml:space="preserve"> </v>
      </c>
      <c r="BP29" s="94" t="str">
        <f t="shared" si="53"/>
        <v xml:space="preserve"> </v>
      </c>
      <c r="BQ29" s="94" t="str">
        <f t="shared" si="54"/>
        <v xml:space="preserve"> </v>
      </c>
      <c r="BR29" s="94" t="str">
        <f t="shared" si="67"/>
        <v xml:space="preserve"> </v>
      </c>
      <c r="BS29" s="94" t="str">
        <f t="shared" si="77"/>
        <v xml:space="preserve"> </v>
      </c>
      <c r="BT29" s="94" t="str">
        <f t="shared" si="77"/>
        <v xml:space="preserve"> </v>
      </c>
      <c r="BU29" s="95" t="str">
        <f t="shared" si="77"/>
        <v xml:space="preserve"> </v>
      </c>
      <c r="BV29" s="94" t="str">
        <f t="shared" si="9"/>
        <v xml:space="preserve"> </v>
      </c>
      <c r="BW29" s="94" t="str">
        <f t="shared" si="9"/>
        <v xml:space="preserve"> </v>
      </c>
      <c r="BX29" s="94" t="str">
        <f t="shared" si="9"/>
        <v xml:space="preserve"> </v>
      </c>
      <c r="BY29" s="94" t="str">
        <f t="shared" si="55"/>
        <v xml:space="preserve"> </v>
      </c>
      <c r="BZ29" s="95" t="str">
        <f t="shared" si="10"/>
        <v xml:space="preserve"> </v>
      </c>
      <c r="CA29" s="96" t="e">
        <f>#REF!</f>
        <v>#REF!</v>
      </c>
      <c r="CB29" s="94" t="str">
        <f t="shared" si="11"/>
        <v xml:space="preserve"> </v>
      </c>
      <c r="CC29" s="95" t="str">
        <f t="shared" si="11"/>
        <v xml:space="preserve"> </v>
      </c>
      <c r="CD29" s="97" t="str">
        <f t="shared" si="12"/>
        <v/>
      </c>
      <c r="CE29" s="98" t="str">
        <f t="shared" si="12"/>
        <v/>
      </c>
      <c r="CF29" s="94" t="str">
        <f t="shared" si="56"/>
        <v>0,00</v>
      </c>
      <c r="CG29" s="94" t="str">
        <f t="shared" si="56"/>
        <v>0,00</v>
      </c>
      <c r="CH29" s="95" t="str">
        <f t="shared" si="57"/>
        <v xml:space="preserve">0,00 </v>
      </c>
      <c r="CI29" s="96" t="e">
        <f>#REF!</f>
        <v>#REF!</v>
      </c>
      <c r="CJ29" s="94" t="str">
        <f t="shared" si="58"/>
        <v>0,00</v>
      </c>
      <c r="CK29" s="94" t="str">
        <f t="shared" si="58"/>
        <v>0,00</v>
      </c>
      <c r="CL29" s="95" t="str">
        <f t="shared" si="68"/>
        <v xml:space="preserve">0,00 </v>
      </c>
      <c r="CM29" s="95" t="e">
        <f>#REF!</f>
        <v>#REF!</v>
      </c>
      <c r="CN29" s="94" t="str">
        <f t="shared" si="59"/>
        <v>0,00</v>
      </c>
      <c r="CO29" s="94" t="str">
        <f t="shared" si="59"/>
        <v>0,00</v>
      </c>
      <c r="CP29" s="95" t="str">
        <f t="shared" si="60"/>
        <v xml:space="preserve">0,00 </v>
      </c>
      <c r="CQ29" s="95" t="e">
        <f>#REF!</f>
        <v>#REF!</v>
      </c>
      <c r="CR29" s="97" t="str">
        <f t="shared" si="69"/>
        <v xml:space="preserve">0,00 </v>
      </c>
      <c r="CS29" s="95" t="str">
        <f t="shared" si="69"/>
        <v xml:space="preserve">0,00 </v>
      </c>
      <c r="CT29" s="96" t="e">
        <f>#REF!</f>
        <v>#REF!</v>
      </c>
      <c r="CU29" s="97" t="str">
        <f t="shared" si="70"/>
        <v xml:space="preserve">0,00 </v>
      </c>
      <c r="CV29" s="95" t="str">
        <f t="shared" si="61"/>
        <v xml:space="preserve">0,00 </v>
      </c>
      <c r="CW29" s="96" t="e">
        <f>#REF!</f>
        <v>#REF!</v>
      </c>
      <c r="CX29" s="99" t="str">
        <f t="shared" si="62"/>
        <v xml:space="preserve"> </v>
      </c>
      <c r="CY29" s="95" t="str">
        <f t="shared" si="62"/>
        <v xml:space="preserve"> </v>
      </c>
      <c r="CZ29" s="99" t="str">
        <f t="shared" si="62"/>
        <v xml:space="preserve"> </v>
      </c>
      <c r="DA29" s="95" t="str">
        <f t="shared" si="62"/>
        <v xml:space="preserve"> </v>
      </c>
      <c r="DB29" s="94" t="str">
        <f t="shared" si="13"/>
        <v xml:space="preserve"> </v>
      </c>
      <c r="DC29" s="94" t="str">
        <f t="shared" si="14"/>
        <v xml:space="preserve"> </v>
      </c>
      <c r="DD29" s="94" t="str">
        <f t="shared" si="14"/>
        <v xml:space="preserve"> </v>
      </c>
      <c r="DE29" s="94" t="str">
        <f t="shared" si="14"/>
        <v xml:space="preserve"> </v>
      </c>
      <c r="DF29" s="94" t="str">
        <f t="shared" si="14"/>
        <v xml:space="preserve"> </v>
      </c>
      <c r="DG29" s="94" t="str">
        <f t="shared" si="14"/>
        <v xml:space="preserve"> </v>
      </c>
      <c r="DH29" s="95" t="str">
        <f t="shared" si="14"/>
        <v xml:space="preserve"> </v>
      </c>
      <c r="DI29" s="96" t="e">
        <f>#REF!</f>
        <v>#REF!</v>
      </c>
      <c r="DJ29" s="95" t="str">
        <f t="shared" si="63"/>
        <v xml:space="preserve"> </v>
      </c>
      <c r="DK29" s="96" t="e">
        <f>#REF!</f>
        <v>#REF!</v>
      </c>
      <c r="DL29" s="95" t="str">
        <f t="shared" si="15"/>
        <v xml:space="preserve"> </v>
      </c>
      <c r="DM29" s="96">
        <f t="shared" si="16"/>
        <v>0</v>
      </c>
      <c r="DN29" s="94" t="str">
        <f t="shared" si="17"/>
        <v/>
      </c>
      <c r="DO29" s="100">
        <v>3.4</v>
      </c>
      <c r="DP29" s="94" t="str">
        <f t="shared" si="71"/>
        <v xml:space="preserve"> </v>
      </c>
      <c r="DQ29" s="94">
        <f t="shared" si="72"/>
        <v>3.4312436711835326</v>
      </c>
      <c r="DR29" s="101" t="str">
        <f t="shared" si="18"/>
        <v>3,315, hL/NhL</v>
      </c>
      <c r="DS29" s="178"/>
      <c r="DT29" s="103">
        <v>24</v>
      </c>
      <c r="DU29" s="120"/>
      <c r="DV29" s="120"/>
      <c r="DW29" s="120"/>
      <c r="DX29" s="120"/>
      <c r="DY29" s="120"/>
      <c r="DZ29" s="120"/>
      <c r="EA29" s="120"/>
      <c r="EB29" s="120"/>
      <c r="EC29" s="120"/>
      <c r="ED29" s="120"/>
      <c r="EE29" s="120"/>
      <c r="EF29" s="120"/>
      <c r="EG29" s="120"/>
      <c r="EH29" s="120"/>
      <c r="EI29" s="120"/>
      <c r="EJ29" s="120"/>
      <c r="EK29" s="120"/>
      <c r="EL29" s="120"/>
      <c r="EM29" s="120"/>
      <c r="EN29" s="120"/>
      <c r="EO29" s="120"/>
      <c r="EP29" s="120"/>
      <c r="EQ29" s="120"/>
      <c r="ER29" s="120"/>
      <c r="ES29" s="120"/>
      <c r="ET29" s="120"/>
      <c r="EU29" s="120"/>
      <c r="EV29" s="120"/>
      <c r="EW29" s="120"/>
      <c r="EX29" s="120"/>
      <c r="EY29" s="120"/>
      <c r="EZ29" s="120"/>
      <c r="FA29" s="151"/>
      <c r="FB29" s="151"/>
      <c r="FC29" s="149"/>
      <c r="FD29" s="104">
        <f t="shared" si="76"/>
        <v>0</v>
      </c>
      <c r="FE29" s="105"/>
      <c r="FF29" s="105"/>
      <c r="FG29" s="105"/>
      <c r="FH29" s="105"/>
      <c r="FI29" s="105"/>
      <c r="FJ29" s="105"/>
      <c r="FK29" s="105"/>
      <c r="FL29" s="105"/>
      <c r="FM29" s="105"/>
      <c r="FN29" s="80">
        <f t="shared" si="73"/>
        <v>0</v>
      </c>
      <c r="FO29" s="77"/>
      <c r="FP29" s="81"/>
      <c r="FR29" s="64"/>
      <c r="FS29" s="64"/>
      <c r="FT29" s="64"/>
      <c r="FU29" s="64"/>
      <c r="FV29" s="64"/>
      <c r="FW29" s="64"/>
      <c r="FX29" s="64"/>
      <c r="FY29" s="64">
        <v>24</v>
      </c>
      <c r="FZ29" s="107"/>
      <c r="GA29" s="107"/>
      <c r="GB29" s="107"/>
      <c r="GC29" s="109"/>
      <c r="GD29" s="110"/>
      <c r="GE29" s="110"/>
      <c r="GF29" s="111"/>
      <c r="GG29" s="111"/>
      <c r="GH29" s="111"/>
      <c r="GI29" s="179"/>
      <c r="GJ29" s="111" t="e">
        <f t="shared" si="64"/>
        <v>#DIV/0!</v>
      </c>
      <c r="GK29" s="113"/>
    </row>
    <row r="30" spans="1:193" ht="15" customHeight="1">
      <c r="B30" s="114">
        <v>25</v>
      </c>
      <c r="D30" s="85"/>
      <c r="E30" s="85"/>
      <c r="F30" s="85"/>
      <c r="G30" s="85"/>
      <c r="H30" s="85"/>
      <c r="I30" s="85"/>
      <c r="J30" s="85"/>
      <c r="K30" s="167"/>
      <c r="L30" s="167"/>
      <c r="M30" s="115">
        <f t="shared" si="21"/>
        <v>0</v>
      </c>
      <c r="N30" s="88">
        <f t="shared" si="0"/>
        <v>0</v>
      </c>
      <c r="O30" s="88">
        <f t="shared" si="22"/>
        <v>0</v>
      </c>
      <c r="P30" s="89">
        <f t="shared" si="23"/>
        <v>383744.24149999995</v>
      </c>
      <c r="R30" s="90" t="str">
        <f t="shared" si="24"/>
        <v/>
      </c>
      <c r="S30" s="90" t="str">
        <f t="shared" si="25"/>
        <v/>
      </c>
      <c r="T30" s="90" t="str">
        <f t="shared" si="1"/>
        <v/>
      </c>
      <c r="U30" s="91" t="str">
        <f t="shared" si="75"/>
        <v/>
      </c>
      <c r="V30" s="90" t="str">
        <f t="shared" si="26"/>
        <v/>
      </c>
      <c r="W30" s="91" t="str">
        <f>IF(EP30=0,"",(EP30-EP29)/10)</f>
        <v/>
      </c>
      <c r="X30" s="90" t="str">
        <f t="shared" si="27"/>
        <v/>
      </c>
      <c r="Y30" s="90" t="str">
        <f t="shared" si="28"/>
        <v>0</v>
      </c>
      <c r="Z30" s="90" t="str">
        <f t="shared" si="3"/>
        <v/>
      </c>
      <c r="AA30" s="90" t="str">
        <f t="shared" si="29"/>
        <v/>
      </c>
      <c r="AB30" s="90" t="str">
        <f t="shared" si="30"/>
        <v/>
      </c>
      <c r="AC30" s="90" t="str">
        <f t="shared" si="30"/>
        <v/>
      </c>
      <c r="AD30" s="90">
        <f t="shared" si="31"/>
        <v>0</v>
      </c>
      <c r="AE30" s="90" t="str">
        <f t="shared" si="32"/>
        <v/>
      </c>
      <c r="AF30" s="90" t="str">
        <f t="shared" si="33"/>
        <v/>
      </c>
      <c r="AG30" s="90" t="str">
        <f t="shared" si="33"/>
        <v/>
      </c>
      <c r="AH30" s="90">
        <f t="shared" si="34"/>
        <v>0</v>
      </c>
      <c r="AI30" s="90" t="str">
        <f t="shared" si="35"/>
        <v/>
      </c>
      <c r="AJ30" s="90" t="str">
        <f>IF(EA30=0,"",(EA30-EA29))</f>
        <v/>
      </c>
      <c r="AK30" s="90" t="str">
        <f t="shared" si="36"/>
        <v/>
      </c>
      <c r="AL30" s="90">
        <f t="shared" si="37"/>
        <v>0</v>
      </c>
      <c r="AM30" s="90" t="str">
        <f t="shared" si="38"/>
        <v/>
      </c>
      <c r="AN30" s="90" t="str">
        <f t="shared" si="39"/>
        <v/>
      </c>
      <c r="AO30" s="90" t="str">
        <f t="shared" si="4"/>
        <v/>
      </c>
      <c r="AP30" s="90" t="str">
        <f t="shared" si="40"/>
        <v/>
      </c>
      <c r="AQ30" s="90" t="str">
        <f>IF(AP30=0.1,0,(IF(AP30&gt;=(EH30-EH29),(AP30),(EH30-EH29))))</f>
        <v/>
      </c>
      <c r="AR30" s="90" t="str">
        <f t="shared" si="41"/>
        <v/>
      </c>
      <c r="AS30" s="90" t="str">
        <f t="shared" si="42"/>
        <v/>
      </c>
      <c r="AT30" s="90" t="str">
        <f t="shared" si="43"/>
        <v/>
      </c>
      <c r="AU30" s="90" t="str">
        <f t="shared" si="44"/>
        <v/>
      </c>
      <c r="AV30" s="90" t="str">
        <f t="shared" si="65"/>
        <v/>
      </c>
      <c r="AW30" s="90" t="str">
        <f t="shared" si="45"/>
        <v/>
      </c>
      <c r="AX30" s="90" t="str">
        <f t="shared" si="66"/>
        <v/>
      </c>
      <c r="AY30" s="90" t="str">
        <f t="shared" si="66"/>
        <v/>
      </c>
      <c r="AZ30" s="90" t="str">
        <f t="shared" si="46"/>
        <v/>
      </c>
      <c r="BA30" s="90"/>
      <c r="BB30" s="90" t="str">
        <f t="shared" si="47"/>
        <v/>
      </c>
      <c r="BC30" s="90" t="str">
        <f t="shared" si="47"/>
        <v/>
      </c>
      <c r="BD30" s="91" t="str">
        <f t="shared" si="48"/>
        <v/>
      </c>
      <c r="BE30" s="90"/>
      <c r="BF30" s="90"/>
      <c r="BG30" s="90" t="str">
        <f t="shared" si="6"/>
        <v/>
      </c>
      <c r="BH30" s="90">
        <f t="shared" si="49"/>
        <v>0</v>
      </c>
      <c r="BI30" s="90" t="str">
        <f t="shared" si="50"/>
        <v/>
      </c>
      <c r="BJ30" s="90" t="str">
        <f t="shared" si="7"/>
        <v/>
      </c>
      <c r="BK30" s="92"/>
      <c r="BL30" s="93">
        <f t="shared" si="51"/>
        <v>0</v>
      </c>
      <c r="BM30" s="93">
        <f t="shared" si="52"/>
        <v>131672</v>
      </c>
      <c r="BN30" s="92"/>
      <c r="BO30" s="94" t="str">
        <f t="shared" si="53"/>
        <v xml:space="preserve"> </v>
      </c>
      <c r="BP30" s="94" t="str">
        <f t="shared" si="53"/>
        <v xml:space="preserve"> </v>
      </c>
      <c r="BQ30" s="94" t="str">
        <f t="shared" si="54"/>
        <v xml:space="preserve"> </v>
      </c>
      <c r="BR30" s="94" t="str">
        <f t="shared" si="67"/>
        <v xml:space="preserve"> </v>
      </c>
      <c r="BS30" s="94" t="str">
        <f t="shared" si="77"/>
        <v xml:space="preserve"> </v>
      </c>
      <c r="BT30" s="94" t="str">
        <f t="shared" si="77"/>
        <v xml:space="preserve"> </v>
      </c>
      <c r="BU30" s="95" t="str">
        <f t="shared" si="77"/>
        <v xml:space="preserve"> </v>
      </c>
      <c r="BV30" s="94" t="str">
        <f t="shared" si="9"/>
        <v xml:space="preserve"> </v>
      </c>
      <c r="BW30" s="94" t="str">
        <f t="shared" si="9"/>
        <v xml:space="preserve"> </v>
      </c>
      <c r="BX30" s="94" t="str">
        <f t="shared" si="9"/>
        <v xml:space="preserve"> </v>
      </c>
      <c r="BY30" s="94" t="str">
        <f t="shared" si="55"/>
        <v xml:space="preserve"> </v>
      </c>
      <c r="BZ30" s="95" t="str">
        <f t="shared" si="10"/>
        <v xml:space="preserve"> </v>
      </c>
      <c r="CA30" s="96" t="e">
        <f>#REF!</f>
        <v>#REF!</v>
      </c>
      <c r="CB30" s="94" t="str">
        <f t="shared" si="11"/>
        <v xml:space="preserve"> </v>
      </c>
      <c r="CC30" s="95" t="str">
        <f t="shared" si="11"/>
        <v xml:space="preserve"> </v>
      </c>
      <c r="CD30" s="97" t="str">
        <f t="shared" si="12"/>
        <v/>
      </c>
      <c r="CE30" s="98" t="str">
        <f t="shared" si="12"/>
        <v/>
      </c>
      <c r="CF30" s="94" t="str">
        <f t="shared" si="56"/>
        <v>0,00</v>
      </c>
      <c r="CG30" s="94" t="str">
        <f t="shared" si="56"/>
        <v>0,00</v>
      </c>
      <c r="CH30" s="95" t="str">
        <f t="shared" si="57"/>
        <v xml:space="preserve">0,00 </v>
      </c>
      <c r="CI30" s="96" t="e">
        <f>#REF!</f>
        <v>#REF!</v>
      </c>
      <c r="CJ30" s="94" t="str">
        <f t="shared" si="58"/>
        <v>0,00</v>
      </c>
      <c r="CK30" s="94" t="str">
        <f t="shared" si="58"/>
        <v>0,00</v>
      </c>
      <c r="CL30" s="95" t="str">
        <f t="shared" si="68"/>
        <v xml:space="preserve">0,00 </v>
      </c>
      <c r="CM30" s="95" t="e">
        <f>#REF!</f>
        <v>#REF!</v>
      </c>
      <c r="CN30" s="94" t="str">
        <f t="shared" si="59"/>
        <v>0,00</v>
      </c>
      <c r="CO30" s="94" t="str">
        <f t="shared" si="59"/>
        <v>0,00</v>
      </c>
      <c r="CP30" s="95" t="str">
        <f t="shared" si="60"/>
        <v xml:space="preserve">0,00 </v>
      </c>
      <c r="CQ30" s="95" t="e">
        <f>#REF!</f>
        <v>#REF!</v>
      </c>
      <c r="CR30" s="97" t="str">
        <f t="shared" si="69"/>
        <v xml:space="preserve">0,00 </v>
      </c>
      <c r="CS30" s="95" t="str">
        <f t="shared" si="69"/>
        <v xml:space="preserve">0,00 </v>
      </c>
      <c r="CT30" s="96" t="e">
        <f>#REF!</f>
        <v>#REF!</v>
      </c>
      <c r="CU30" s="97" t="str">
        <f t="shared" si="70"/>
        <v xml:space="preserve">0,00 </v>
      </c>
      <c r="CV30" s="95" t="str">
        <f t="shared" si="61"/>
        <v xml:space="preserve">0,00 </v>
      </c>
      <c r="CW30" s="96" t="e">
        <f>#REF!</f>
        <v>#REF!</v>
      </c>
      <c r="CX30" s="99" t="str">
        <f t="shared" si="62"/>
        <v xml:space="preserve"> </v>
      </c>
      <c r="CY30" s="95" t="str">
        <f t="shared" si="62"/>
        <v xml:space="preserve"> </v>
      </c>
      <c r="CZ30" s="99" t="str">
        <f t="shared" si="62"/>
        <v xml:space="preserve"> </v>
      </c>
      <c r="DA30" s="95" t="str">
        <f t="shared" si="62"/>
        <v xml:space="preserve"> </v>
      </c>
      <c r="DB30" s="94" t="str">
        <f t="shared" si="13"/>
        <v xml:space="preserve"> </v>
      </c>
      <c r="DC30" s="94" t="str">
        <f t="shared" si="14"/>
        <v xml:space="preserve"> </v>
      </c>
      <c r="DD30" s="94" t="str">
        <f t="shared" si="14"/>
        <v xml:space="preserve"> </v>
      </c>
      <c r="DE30" s="94" t="str">
        <f t="shared" si="14"/>
        <v xml:space="preserve"> </v>
      </c>
      <c r="DF30" s="94" t="str">
        <f t="shared" si="14"/>
        <v xml:space="preserve"> </v>
      </c>
      <c r="DG30" s="94" t="str">
        <f t="shared" si="14"/>
        <v xml:space="preserve"> </v>
      </c>
      <c r="DH30" s="95" t="str">
        <f t="shared" si="14"/>
        <v xml:space="preserve"> </v>
      </c>
      <c r="DI30" s="96" t="e">
        <f>#REF!</f>
        <v>#REF!</v>
      </c>
      <c r="DJ30" s="95" t="str">
        <f t="shared" si="63"/>
        <v xml:space="preserve"> </v>
      </c>
      <c r="DK30" s="96" t="e">
        <f>#REF!</f>
        <v>#REF!</v>
      </c>
      <c r="DL30" s="95" t="str">
        <f t="shared" si="15"/>
        <v xml:space="preserve"> </v>
      </c>
      <c r="DM30" s="96">
        <f t="shared" si="16"/>
        <v>0</v>
      </c>
      <c r="DN30" s="94" t="str">
        <f t="shared" si="17"/>
        <v/>
      </c>
      <c r="DO30" s="100">
        <v>3.4</v>
      </c>
      <c r="DP30" s="94" t="str">
        <f>IF($O30&lt;&gt;0,IF($O30&lt;&gt;0,BL30/$O30*10,0)," ")</f>
        <v xml:space="preserve"> </v>
      </c>
      <c r="DQ30" s="94">
        <f>IF($P30&lt;&gt;0,IF($P30&lt;&gt;0,BM30/$P30*10,0)," ")</f>
        <v>3.4312436711835326</v>
      </c>
      <c r="DR30" s="101" t="str">
        <f t="shared" si="18"/>
        <v>3,315, hL/NhL</v>
      </c>
      <c r="DT30" s="103">
        <v>25</v>
      </c>
      <c r="DU30" s="120"/>
      <c r="DV30" s="120"/>
      <c r="DW30" s="120"/>
      <c r="DX30" s="120"/>
      <c r="DY30" s="120"/>
      <c r="DZ30" s="120"/>
      <c r="EA30" s="120"/>
      <c r="EB30" s="120"/>
      <c r="EC30" s="120"/>
      <c r="ED30" s="120"/>
      <c r="EE30" s="120"/>
      <c r="EF30" s="120"/>
      <c r="EG30" s="120"/>
      <c r="EH30" s="120"/>
      <c r="EI30" s="120"/>
      <c r="EJ30" s="120"/>
      <c r="EK30" s="120"/>
      <c r="EL30" s="120"/>
      <c r="EM30" s="120"/>
      <c r="EN30" s="120"/>
      <c r="EO30" s="120"/>
      <c r="EP30" s="120"/>
      <c r="EQ30" s="120"/>
      <c r="ER30" s="120"/>
      <c r="ES30" s="120"/>
      <c r="ET30" s="120"/>
      <c r="EU30" s="120"/>
      <c r="EV30" s="120"/>
      <c r="EW30" s="120"/>
      <c r="EX30" s="120"/>
      <c r="EY30" s="120"/>
      <c r="EZ30" s="120"/>
      <c r="FA30" s="149"/>
      <c r="FB30" s="151"/>
      <c r="FC30" s="127"/>
      <c r="FD30" s="104">
        <f t="shared" si="76"/>
        <v>0</v>
      </c>
      <c r="FE30" s="105"/>
      <c r="FF30" s="105"/>
      <c r="FG30" s="105"/>
      <c r="FH30" s="105"/>
      <c r="FI30" s="105"/>
      <c r="FJ30" s="105"/>
      <c r="FK30" s="105"/>
      <c r="FL30" s="105"/>
      <c r="FM30" s="105"/>
      <c r="FN30" s="80">
        <f t="shared" si="73"/>
        <v>0</v>
      </c>
      <c r="FO30" s="77"/>
      <c r="FP30" s="162"/>
      <c r="FR30" s="64"/>
      <c r="FS30" s="64"/>
      <c r="FT30" s="64"/>
      <c r="FU30" s="64"/>
      <c r="FV30" s="64"/>
      <c r="FW30" s="64"/>
      <c r="FX30" s="64"/>
      <c r="FY30" s="64">
        <v>25</v>
      </c>
      <c r="FZ30" s="107"/>
      <c r="GA30" s="107"/>
      <c r="GB30" s="180"/>
      <c r="GC30" s="109"/>
      <c r="GD30" s="110"/>
      <c r="GE30" s="110"/>
      <c r="GF30" s="111"/>
      <c r="GG30" s="111"/>
      <c r="GH30" s="111"/>
      <c r="GI30" s="164"/>
      <c r="GJ30" s="111" t="e">
        <f t="shared" si="64"/>
        <v>#DIV/0!</v>
      </c>
    </row>
    <row r="31" spans="1:193" ht="15" customHeight="1">
      <c r="B31" s="181">
        <v>26</v>
      </c>
      <c r="D31" s="85"/>
      <c r="E31" s="85"/>
      <c r="F31" s="85"/>
      <c r="G31" s="85"/>
      <c r="H31" s="85"/>
      <c r="I31" s="85"/>
      <c r="J31" s="85"/>
      <c r="K31" s="167"/>
      <c r="L31" s="167"/>
      <c r="M31" s="115">
        <f t="shared" si="21"/>
        <v>0</v>
      </c>
      <c r="N31" s="88">
        <f t="shared" si="0"/>
        <v>0</v>
      </c>
      <c r="O31" s="88">
        <f t="shared" si="22"/>
        <v>0</v>
      </c>
      <c r="P31" s="89">
        <f t="shared" si="23"/>
        <v>383744.24149999995</v>
      </c>
      <c r="R31" s="90" t="str">
        <f t="shared" si="24"/>
        <v/>
      </c>
      <c r="S31" s="90" t="str">
        <f t="shared" si="25"/>
        <v/>
      </c>
      <c r="T31" s="90" t="str">
        <f t="shared" si="1"/>
        <v/>
      </c>
      <c r="U31" s="91" t="str">
        <f t="shared" si="75"/>
        <v/>
      </c>
      <c r="V31" s="90" t="str">
        <f t="shared" si="26"/>
        <v/>
      </c>
      <c r="W31" s="91" t="str">
        <f t="shared" si="2"/>
        <v/>
      </c>
      <c r="X31" s="90" t="str">
        <f t="shared" si="27"/>
        <v/>
      </c>
      <c r="Y31" s="90" t="str">
        <f t="shared" si="28"/>
        <v>0</v>
      </c>
      <c r="Z31" s="90" t="str">
        <f t="shared" si="3"/>
        <v/>
      </c>
      <c r="AA31" s="90" t="str">
        <f t="shared" si="29"/>
        <v/>
      </c>
      <c r="AB31" s="90" t="str">
        <f t="shared" si="30"/>
        <v/>
      </c>
      <c r="AC31" s="90" t="str">
        <f t="shared" si="30"/>
        <v/>
      </c>
      <c r="AD31" s="90">
        <f t="shared" si="31"/>
        <v>0</v>
      </c>
      <c r="AE31" s="90" t="str">
        <f t="shared" si="32"/>
        <v/>
      </c>
      <c r="AF31" s="90" t="str">
        <f t="shared" si="33"/>
        <v/>
      </c>
      <c r="AG31" s="90" t="str">
        <f t="shared" si="33"/>
        <v/>
      </c>
      <c r="AH31" s="90">
        <f t="shared" si="34"/>
        <v>0</v>
      </c>
      <c r="AI31" s="90" t="str">
        <f t="shared" si="35"/>
        <v/>
      </c>
      <c r="AJ31" s="90" t="str">
        <f t="shared" si="36"/>
        <v/>
      </c>
      <c r="AK31" s="90" t="str">
        <f t="shared" si="36"/>
        <v/>
      </c>
      <c r="AL31" s="90">
        <f t="shared" si="37"/>
        <v>0</v>
      </c>
      <c r="AM31" s="90" t="str">
        <f t="shared" si="38"/>
        <v/>
      </c>
      <c r="AN31" s="90" t="str">
        <f t="shared" si="39"/>
        <v/>
      </c>
      <c r="AO31" s="90" t="str">
        <f t="shared" si="4"/>
        <v/>
      </c>
      <c r="AP31" s="90" t="str">
        <f t="shared" si="40"/>
        <v/>
      </c>
      <c r="AQ31" s="90" t="str">
        <f t="shared" si="5"/>
        <v/>
      </c>
      <c r="AR31" s="90" t="str">
        <f t="shared" si="41"/>
        <v/>
      </c>
      <c r="AS31" s="90" t="str">
        <f t="shared" si="42"/>
        <v/>
      </c>
      <c r="AT31" s="90" t="str">
        <f t="shared" si="43"/>
        <v/>
      </c>
      <c r="AU31" s="90" t="str">
        <f t="shared" si="44"/>
        <v/>
      </c>
      <c r="AV31" s="90" t="str">
        <f t="shared" si="65"/>
        <v/>
      </c>
      <c r="AW31" s="90" t="str">
        <f t="shared" si="45"/>
        <v/>
      </c>
      <c r="AX31" s="90" t="str">
        <f t="shared" si="66"/>
        <v/>
      </c>
      <c r="AY31" s="90" t="str">
        <f t="shared" si="66"/>
        <v/>
      </c>
      <c r="AZ31" s="90" t="str">
        <f t="shared" si="46"/>
        <v/>
      </c>
      <c r="BA31" s="90"/>
      <c r="BB31" s="90" t="str">
        <f t="shared" si="47"/>
        <v/>
      </c>
      <c r="BC31" s="90" t="str">
        <f t="shared" si="47"/>
        <v/>
      </c>
      <c r="BD31" s="91" t="str">
        <f t="shared" si="48"/>
        <v/>
      </c>
      <c r="BE31" s="90"/>
      <c r="BF31" s="90"/>
      <c r="BG31" s="90" t="str">
        <f t="shared" ref="BG31:BG36" si="78">IFERROR(SUM(BB31:BC31)+AZ31,"")</f>
        <v/>
      </c>
      <c r="BH31" s="90">
        <f t="shared" si="49"/>
        <v>0</v>
      </c>
      <c r="BI31" s="90" t="str">
        <f t="shared" si="50"/>
        <v/>
      </c>
      <c r="BJ31" s="90" t="str">
        <f t="shared" si="7"/>
        <v/>
      </c>
      <c r="BK31" s="92"/>
      <c r="BL31" s="93">
        <f t="shared" si="51"/>
        <v>0</v>
      </c>
      <c r="BM31" s="93">
        <f t="shared" si="52"/>
        <v>131672</v>
      </c>
      <c r="BN31" s="92"/>
      <c r="BO31" s="94" t="str">
        <f t="shared" si="53"/>
        <v xml:space="preserve"> </v>
      </c>
      <c r="BP31" s="94" t="str">
        <f t="shared" si="53"/>
        <v xml:space="preserve"> </v>
      </c>
      <c r="BQ31" s="94" t="str">
        <f t="shared" si="54"/>
        <v xml:space="preserve"> </v>
      </c>
      <c r="BR31" s="94" t="str">
        <f t="shared" si="67"/>
        <v xml:space="preserve"> </v>
      </c>
      <c r="BS31" s="94" t="str">
        <f t="shared" si="77"/>
        <v xml:space="preserve"> </v>
      </c>
      <c r="BT31" s="94" t="str">
        <f t="shared" si="77"/>
        <v xml:space="preserve"> </v>
      </c>
      <c r="BU31" s="95" t="str">
        <f t="shared" si="77"/>
        <v xml:space="preserve"> </v>
      </c>
      <c r="BV31" s="94" t="str">
        <f t="shared" si="9"/>
        <v xml:space="preserve"> </v>
      </c>
      <c r="BW31" s="94" t="str">
        <f t="shared" si="9"/>
        <v xml:space="preserve"> </v>
      </c>
      <c r="BX31" s="94" t="str">
        <f t="shared" si="9"/>
        <v xml:space="preserve"> </v>
      </c>
      <c r="BY31" s="94" t="str">
        <f t="shared" si="55"/>
        <v xml:space="preserve"> </v>
      </c>
      <c r="BZ31" s="95" t="str">
        <f t="shared" si="10"/>
        <v xml:space="preserve"> </v>
      </c>
      <c r="CA31" s="96" t="e">
        <f>#REF!</f>
        <v>#REF!</v>
      </c>
      <c r="CB31" s="94" t="str">
        <f t="shared" si="11"/>
        <v xml:space="preserve"> </v>
      </c>
      <c r="CC31" s="95" t="str">
        <f t="shared" si="11"/>
        <v xml:space="preserve"> </v>
      </c>
      <c r="CD31" s="97" t="str">
        <f t="shared" si="12"/>
        <v/>
      </c>
      <c r="CE31" s="98" t="str">
        <f t="shared" si="12"/>
        <v/>
      </c>
      <c r="CF31" s="94" t="str">
        <f t="shared" si="56"/>
        <v>0,00</v>
      </c>
      <c r="CG31" s="94" t="str">
        <f t="shared" si="56"/>
        <v>0,00</v>
      </c>
      <c r="CH31" s="95" t="str">
        <f t="shared" si="57"/>
        <v xml:space="preserve">0,00 </v>
      </c>
      <c r="CI31" s="96" t="e">
        <f>#REF!</f>
        <v>#REF!</v>
      </c>
      <c r="CJ31" s="94" t="str">
        <f t="shared" si="58"/>
        <v>0,00</v>
      </c>
      <c r="CK31" s="94" t="str">
        <f t="shared" si="58"/>
        <v>0,00</v>
      </c>
      <c r="CL31" s="95" t="str">
        <f t="shared" si="68"/>
        <v xml:space="preserve">0,00 </v>
      </c>
      <c r="CM31" s="95" t="e">
        <f>#REF!</f>
        <v>#REF!</v>
      </c>
      <c r="CN31" s="94" t="str">
        <f t="shared" si="59"/>
        <v>0,00</v>
      </c>
      <c r="CO31" s="94" t="str">
        <f t="shared" si="59"/>
        <v>0,00</v>
      </c>
      <c r="CP31" s="95" t="str">
        <f t="shared" si="60"/>
        <v xml:space="preserve">0,00 </v>
      </c>
      <c r="CQ31" s="95" t="e">
        <f>#REF!</f>
        <v>#REF!</v>
      </c>
      <c r="CR31" s="97" t="str">
        <f t="shared" si="69"/>
        <v xml:space="preserve">0,00 </v>
      </c>
      <c r="CS31" s="95" t="str">
        <f t="shared" si="69"/>
        <v xml:space="preserve">0,00 </v>
      </c>
      <c r="CT31" s="96" t="e">
        <f>#REF!</f>
        <v>#REF!</v>
      </c>
      <c r="CU31" s="97" t="str">
        <f t="shared" si="70"/>
        <v xml:space="preserve">0,00 </v>
      </c>
      <c r="CV31" s="95" t="str">
        <f t="shared" si="61"/>
        <v xml:space="preserve">0,00 </v>
      </c>
      <c r="CW31" s="96" t="e">
        <f>#REF!</f>
        <v>#REF!</v>
      </c>
      <c r="CX31" s="99" t="str">
        <f t="shared" si="62"/>
        <v xml:space="preserve"> </v>
      </c>
      <c r="CY31" s="95" t="str">
        <f t="shared" si="62"/>
        <v xml:space="preserve"> </v>
      </c>
      <c r="CZ31" s="99" t="str">
        <f t="shared" si="62"/>
        <v xml:space="preserve"> </v>
      </c>
      <c r="DA31" s="95" t="str">
        <f t="shared" si="62"/>
        <v xml:space="preserve"> </v>
      </c>
      <c r="DB31" s="94" t="str">
        <f t="shared" si="13"/>
        <v xml:space="preserve"> </v>
      </c>
      <c r="DC31" s="94" t="str">
        <f t="shared" si="14"/>
        <v xml:space="preserve"> </v>
      </c>
      <c r="DD31" s="94" t="str">
        <f t="shared" si="14"/>
        <v xml:space="preserve"> </v>
      </c>
      <c r="DE31" s="94" t="str">
        <f t="shared" si="14"/>
        <v xml:space="preserve"> </v>
      </c>
      <c r="DF31" s="94" t="str">
        <f t="shared" si="14"/>
        <v xml:space="preserve"> </v>
      </c>
      <c r="DG31" s="94" t="str">
        <f t="shared" si="14"/>
        <v xml:space="preserve"> </v>
      </c>
      <c r="DH31" s="95" t="str">
        <f t="shared" si="14"/>
        <v xml:space="preserve"> </v>
      </c>
      <c r="DI31" s="96" t="e">
        <f>#REF!</f>
        <v>#REF!</v>
      </c>
      <c r="DJ31" s="95" t="str">
        <f t="shared" si="63"/>
        <v xml:space="preserve"> </v>
      </c>
      <c r="DK31" s="96" t="e">
        <f>#REF!</f>
        <v>#REF!</v>
      </c>
      <c r="DL31" s="95" t="str">
        <f t="shared" si="15"/>
        <v xml:space="preserve"> </v>
      </c>
      <c r="DM31" s="96">
        <f t="shared" si="16"/>
        <v>0</v>
      </c>
      <c r="DN31" s="94" t="str">
        <f t="shared" si="17"/>
        <v/>
      </c>
      <c r="DO31" s="100">
        <v>3.4</v>
      </c>
      <c r="DP31" s="94" t="str">
        <f t="shared" si="71"/>
        <v xml:space="preserve"> </v>
      </c>
      <c r="DQ31" s="94">
        <f t="shared" si="72"/>
        <v>3.4312436711835326</v>
      </c>
      <c r="DR31" s="101" t="str">
        <f t="shared" si="18"/>
        <v>3,315, hL/NhL</v>
      </c>
      <c r="DT31" s="182">
        <v>26</v>
      </c>
      <c r="DU31" s="183"/>
      <c r="DV31" s="135"/>
      <c r="DW31" s="135"/>
      <c r="DX31" s="135"/>
      <c r="DY31" s="135"/>
      <c r="DZ31" s="135"/>
      <c r="EA31" s="136"/>
      <c r="EB31" s="136"/>
      <c r="EC31" s="136"/>
      <c r="ED31" s="136"/>
      <c r="EE31" s="136"/>
      <c r="EF31" s="136"/>
      <c r="EG31" s="135"/>
      <c r="EH31" s="135"/>
      <c r="EI31" s="135"/>
      <c r="EJ31" s="136"/>
      <c r="EK31" s="136"/>
      <c r="EL31" s="135"/>
      <c r="EM31" s="135"/>
      <c r="EN31" s="136"/>
      <c r="EO31" s="135"/>
      <c r="EP31" s="139"/>
      <c r="EQ31" s="139"/>
      <c r="ER31" s="139"/>
      <c r="ES31" s="136"/>
      <c r="ET31" s="136"/>
      <c r="EU31" s="136"/>
      <c r="EV31" s="136"/>
      <c r="EW31" s="136"/>
      <c r="EX31" s="135"/>
      <c r="EY31" s="135"/>
      <c r="EZ31" s="136"/>
      <c r="FA31" s="145"/>
      <c r="FB31" s="145"/>
      <c r="FC31" s="140"/>
      <c r="FD31" s="104">
        <f>SUM(FE31:FM31)</f>
        <v>0</v>
      </c>
      <c r="FE31" s="105"/>
      <c r="FF31" s="105"/>
      <c r="FG31" s="105"/>
      <c r="FH31" s="105"/>
      <c r="FI31" s="105"/>
      <c r="FJ31" s="105"/>
      <c r="FK31" s="105"/>
      <c r="FL31" s="105"/>
      <c r="FM31" s="105"/>
      <c r="FN31" s="124">
        <f t="shared" si="73"/>
        <v>0</v>
      </c>
      <c r="FO31" s="136"/>
      <c r="FP31" s="184"/>
      <c r="FQ31" s="185"/>
      <c r="FR31" s="64"/>
      <c r="FS31" s="64"/>
      <c r="FT31" s="64"/>
      <c r="FU31" s="64"/>
      <c r="FV31" s="64"/>
      <c r="FW31" s="64"/>
      <c r="FX31" s="64"/>
      <c r="FY31" s="64">
        <v>26</v>
      </c>
      <c r="FZ31" s="107"/>
      <c r="GA31" s="107"/>
      <c r="GB31" s="180"/>
      <c r="GC31" s="109"/>
      <c r="GD31" s="110"/>
      <c r="GE31" s="110"/>
      <c r="GF31" s="111"/>
      <c r="GG31" s="111"/>
      <c r="GH31" s="111"/>
      <c r="GI31" s="112"/>
      <c r="GJ31" s="111" t="e">
        <f t="shared" si="64"/>
        <v>#DIV/0!</v>
      </c>
      <c r="GK31" s="118"/>
    </row>
    <row r="32" spans="1:193" s="119" customFormat="1" ht="15" customHeight="1">
      <c r="B32" s="133">
        <v>27</v>
      </c>
      <c r="D32" s="85"/>
      <c r="E32" s="85"/>
      <c r="F32" s="85"/>
      <c r="G32" s="85"/>
      <c r="H32" s="85"/>
      <c r="I32" s="85"/>
      <c r="J32" s="85"/>
      <c r="K32" s="167"/>
      <c r="L32" s="167"/>
      <c r="M32" s="115">
        <f t="shared" si="21"/>
        <v>0</v>
      </c>
      <c r="N32" s="88">
        <f t="shared" si="0"/>
        <v>0</v>
      </c>
      <c r="O32" s="88">
        <f t="shared" si="22"/>
        <v>0</v>
      </c>
      <c r="P32" s="89">
        <f t="shared" si="23"/>
        <v>383744.24149999995</v>
      </c>
      <c r="R32" s="90" t="str">
        <f t="shared" si="24"/>
        <v/>
      </c>
      <c r="S32" s="90" t="str">
        <f t="shared" si="25"/>
        <v/>
      </c>
      <c r="T32" s="90" t="str">
        <f t="shared" si="1"/>
        <v/>
      </c>
      <c r="U32" s="91" t="str">
        <f t="shared" si="75"/>
        <v/>
      </c>
      <c r="V32" s="90" t="str">
        <f t="shared" si="26"/>
        <v/>
      </c>
      <c r="W32" s="91" t="str">
        <f t="shared" si="2"/>
        <v/>
      </c>
      <c r="X32" s="90" t="str">
        <f t="shared" si="27"/>
        <v/>
      </c>
      <c r="Y32" s="90" t="str">
        <f t="shared" si="28"/>
        <v>0</v>
      </c>
      <c r="Z32" s="90" t="str">
        <f t="shared" si="3"/>
        <v/>
      </c>
      <c r="AA32" s="90" t="str">
        <f t="shared" si="29"/>
        <v/>
      </c>
      <c r="AB32" s="90" t="str">
        <f t="shared" si="30"/>
        <v/>
      </c>
      <c r="AC32" s="90" t="str">
        <f t="shared" si="30"/>
        <v/>
      </c>
      <c r="AD32" s="90">
        <f t="shared" si="31"/>
        <v>0</v>
      </c>
      <c r="AE32" s="90" t="str">
        <f t="shared" si="32"/>
        <v/>
      </c>
      <c r="AF32" s="90" t="str">
        <f t="shared" si="33"/>
        <v/>
      </c>
      <c r="AG32" s="90" t="str">
        <f t="shared" si="33"/>
        <v/>
      </c>
      <c r="AH32" s="90">
        <f t="shared" si="34"/>
        <v>0</v>
      </c>
      <c r="AI32" s="90" t="str">
        <f t="shared" si="35"/>
        <v/>
      </c>
      <c r="AJ32" s="90" t="str">
        <f>IF(EA32=0,"",(EA32-EA31))</f>
        <v/>
      </c>
      <c r="AK32" s="90" t="str">
        <f t="shared" si="36"/>
        <v/>
      </c>
      <c r="AL32" s="90">
        <f t="shared" si="37"/>
        <v>0</v>
      </c>
      <c r="AM32" s="90" t="str">
        <f t="shared" si="38"/>
        <v/>
      </c>
      <c r="AN32" s="90" t="str">
        <f t="shared" si="39"/>
        <v/>
      </c>
      <c r="AO32" s="90" t="str">
        <f t="shared" si="4"/>
        <v/>
      </c>
      <c r="AP32" s="90" t="str">
        <f t="shared" si="40"/>
        <v/>
      </c>
      <c r="AQ32" s="90" t="str">
        <f t="shared" si="5"/>
        <v/>
      </c>
      <c r="AR32" s="90" t="str">
        <f t="shared" si="41"/>
        <v/>
      </c>
      <c r="AS32" s="90" t="str">
        <f t="shared" si="42"/>
        <v/>
      </c>
      <c r="AT32" s="90" t="str">
        <f t="shared" si="43"/>
        <v/>
      </c>
      <c r="AU32" s="90" t="str">
        <f t="shared" si="44"/>
        <v/>
      </c>
      <c r="AV32" s="90" t="str">
        <f t="shared" si="65"/>
        <v/>
      </c>
      <c r="AW32" s="90" t="str">
        <f t="shared" si="45"/>
        <v/>
      </c>
      <c r="AX32" s="90" t="str">
        <f t="shared" si="66"/>
        <v/>
      </c>
      <c r="AY32" s="90" t="str">
        <f t="shared" si="66"/>
        <v/>
      </c>
      <c r="AZ32" s="90" t="str">
        <f t="shared" si="46"/>
        <v/>
      </c>
      <c r="BA32" s="90"/>
      <c r="BB32" s="90" t="str">
        <f t="shared" si="47"/>
        <v/>
      </c>
      <c r="BC32" s="90" t="str">
        <f t="shared" si="47"/>
        <v/>
      </c>
      <c r="BD32" s="91" t="str">
        <f t="shared" si="48"/>
        <v/>
      </c>
      <c r="BE32" s="90"/>
      <c r="BF32" s="90"/>
      <c r="BG32" s="90" t="str">
        <f t="shared" si="78"/>
        <v/>
      </c>
      <c r="BH32" s="90">
        <f t="shared" si="49"/>
        <v>0</v>
      </c>
      <c r="BI32" s="90" t="str">
        <f t="shared" si="50"/>
        <v/>
      </c>
      <c r="BJ32" s="90" t="str">
        <f t="shared" si="7"/>
        <v/>
      </c>
      <c r="BK32" s="92"/>
      <c r="BL32" s="93">
        <f t="shared" si="51"/>
        <v>0</v>
      </c>
      <c r="BM32" s="93">
        <f t="shared" si="52"/>
        <v>131672</v>
      </c>
      <c r="BN32" s="92"/>
      <c r="BO32" s="94" t="str">
        <f t="shared" si="53"/>
        <v xml:space="preserve"> </v>
      </c>
      <c r="BP32" s="94" t="str">
        <f t="shared" si="53"/>
        <v xml:space="preserve"> </v>
      </c>
      <c r="BQ32" s="94" t="str">
        <f t="shared" si="54"/>
        <v xml:space="preserve"> </v>
      </c>
      <c r="BR32" s="94" t="str">
        <f t="shared" si="67"/>
        <v xml:space="preserve"> </v>
      </c>
      <c r="BS32" s="94" t="str">
        <f t="shared" si="77"/>
        <v xml:space="preserve"> </v>
      </c>
      <c r="BT32" s="94" t="str">
        <f t="shared" si="77"/>
        <v xml:space="preserve"> </v>
      </c>
      <c r="BU32" s="95" t="str">
        <f t="shared" si="77"/>
        <v xml:space="preserve"> </v>
      </c>
      <c r="BV32" s="94" t="str">
        <f t="shared" si="9"/>
        <v xml:space="preserve"> </v>
      </c>
      <c r="BW32" s="94" t="str">
        <f t="shared" si="9"/>
        <v xml:space="preserve"> </v>
      </c>
      <c r="BX32" s="94" t="str">
        <f t="shared" si="9"/>
        <v xml:space="preserve"> </v>
      </c>
      <c r="BY32" s="94" t="str">
        <f t="shared" si="55"/>
        <v xml:space="preserve"> </v>
      </c>
      <c r="BZ32" s="95" t="str">
        <f t="shared" si="10"/>
        <v xml:space="preserve"> </v>
      </c>
      <c r="CA32" s="96" t="e">
        <f>#REF!</f>
        <v>#REF!</v>
      </c>
      <c r="CB32" s="94" t="str">
        <f t="shared" si="11"/>
        <v xml:space="preserve"> </v>
      </c>
      <c r="CC32" s="95" t="str">
        <f t="shared" si="11"/>
        <v xml:space="preserve"> </v>
      </c>
      <c r="CD32" s="97" t="str">
        <f t="shared" si="12"/>
        <v/>
      </c>
      <c r="CE32" s="98" t="str">
        <f t="shared" si="12"/>
        <v/>
      </c>
      <c r="CF32" s="94" t="str">
        <f t="shared" si="56"/>
        <v>0,00</v>
      </c>
      <c r="CG32" s="94" t="str">
        <f t="shared" si="56"/>
        <v>0,00</v>
      </c>
      <c r="CH32" s="95" t="str">
        <f t="shared" si="57"/>
        <v xml:space="preserve">0,00 </v>
      </c>
      <c r="CI32" s="96" t="e">
        <f>#REF!</f>
        <v>#REF!</v>
      </c>
      <c r="CJ32" s="94" t="str">
        <f t="shared" si="58"/>
        <v>0,00</v>
      </c>
      <c r="CK32" s="94" t="str">
        <f t="shared" si="58"/>
        <v>0,00</v>
      </c>
      <c r="CL32" s="95" t="str">
        <f t="shared" si="68"/>
        <v xml:space="preserve">0,00 </v>
      </c>
      <c r="CM32" s="95" t="e">
        <f>#REF!</f>
        <v>#REF!</v>
      </c>
      <c r="CN32" s="94" t="str">
        <f t="shared" si="59"/>
        <v>0,00</v>
      </c>
      <c r="CO32" s="94" t="str">
        <f t="shared" si="59"/>
        <v>0,00</v>
      </c>
      <c r="CP32" s="95" t="str">
        <f t="shared" si="60"/>
        <v xml:space="preserve">0,00 </v>
      </c>
      <c r="CQ32" s="95" t="e">
        <f>#REF!</f>
        <v>#REF!</v>
      </c>
      <c r="CR32" s="97" t="str">
        <f t="shared" si="69"/>
        <v xml:space="preserve">0,00 </v>
      </c>
      <c r="CS32" s="95" t="str">
        <f t="shared" si="69"/>
        <v xml:space="preserve">0,00 </v>
      </c>
      <c r="CT32" s="96" t="e">
        <f>#REF!</f>
        <v>#REF!</v>
      </c>
      <c r="CU32" s="97" t="str">
        <f t="shared" si="70"/>
        <v xml:space="preserve">0,00 </v>
      </c>
      <c r="CV32" s="95" t="str">
        <f t="shared" si="61"/>
        <v xml:space="preserve">0,00 </v>
      </c>
      <c r="CW32" s="96" t="e">
        <f>#REF!</f>
        <v>#REF!</v>
      </c>
      <c r="CX32" s="99" t="str">
        <f t="shared" si="62"/>
        <v xml:space="preserve"> </v>
      </c>
      <c r="CY32" s="95" t="str">
        <f t="shared" si="62"/>
        <v xml:space="preserve"> </v>
      </c>
      <c r="CZ32" s="99" t="str">
        <f t="shared" si="62"/>
        <v xml:space="preserve"> </v>
      </c>
      <c r="DA32" s="95" t="str">
        <f t="shared" si="62"/>
        <v xml:space="preserve"> </v>
      </c>
      <c r="DB32" s="94" t="str">
        <f t="shared" si="13"/>
        <v xml:space="preserve"> </v>
      </c>
      <c r="DC32" s="94" t="str">
        <f t="shared" si="14"/>
        <v xml:space="preserve"> </v>
      </c>
      <c r="DD32" s="94" t="str">
        <f t="shared" si="14"/>
        <v xml:space="preserve"> </v>
      </c>
      <c r="DE32" s="94" t="str">
        <f t="shared" si="14"/>
        <v xml:space="preserve"> </v>
      </c>
      <c r="DF32" s="94" t="str">
        <f t="shared" si="14"/>
        <v xml:space="preserve"> </v>
      </c>
      <c r="DG32" s="94" t="str">
        <f t="shared" si="14"/>
        <v xml:space="preserve"> </v>
      </c>
      <c r="DH32" s="95" t="str">
        <f t="shared" si="14"/>
        <v xml:space="preserve"> </v>
      </c>
      <c r="DI32" s="96" t="e">
        <f>#REF!</f>
        <v>#REF!</v>
      </c>
      <c r="DJ32" s="95" t="str">
        <f t="shared" si="63"/>
        <v xml:space="preserve"> </v>
      </c>
      <c r="DK32" s="96" t="e">
        <f>#REF!</f>
        <v>#REF!</v>
      </c>
      <c r="DL32" s="95" t="str">
        <f t="shared" si="15"/>
        <v xml:space="preserve"> </v>
      </c>
      <c r="DM32" s="96">
        <f t="shared" si="16"/>
        <v>0</v>
      </c>
      <c r="DN32" s="94" t="str">
        <f>IF($O32&lt;&gt;0,BJ32/$O32*10,"")</f>
        <v/>
      </c>
      <c r="DO32" s="100">
        <v>3.4</v>
      </c>
      <c r="DP32" s="94" t="str">
        <f t="shared" si="71"/>
        <v xml:space="preserve"> </v>
      </c>
      <c r="DQ32" s="94">
        <f t="shared" si="72"/>
        <v>3.4312436711835326</v>
      </c>
      <c r="DR32" s="101"/>
      <c r="DS32" s="173"/>
      <c r="DT32" s="134">
        <v>27</v>
      </c>
      <c r="DU32" s="120"/>
      <c r="DV32" s="120"/>
      <c r="DW32" s="120"/>
      <c r="DX32" s="120"/>
      <c r="DY32" s="120"/>
      <c r="DZ32" s="120"/>
      <c r="EA32" s="120"/>
      <c r="EB32" s="120"/>
      <c r="EC32" s="120"/>
      <c r="ED32" s="120"/>
      <c r="EE32" s="120"/>
      <c r="EF32" s="120"/>
      <c r="EG32" s="120"/>
      <c r="EH32" s="120"/>
      <c r="EI32" s="120"/>
      <c r="EJ32" s="120"/>
      <c r="EK32" s="120"/>
      <c r="EL32" s="120"/>
      <c r="EM32" s="120"/>
      <c r="EN32" s="120"/>
      <c r="EO32" s="120"/>
      <c r="EP32" s="120"/>
      <c r="EQ32" s="120"/>
      <c r="ER32" s="120"/>
      <c r="ES32" s="120"/>
      <c r="ET32" s="120"/>
      <c r="EU32" s="120"/>
      <c r="EV32" s="120"/>
      <c r="EW32" s="120"/>
      <c r="EX32" s="120"/>
      <c r="EY32" s="120"/>
      <c r="EZ32" s="120"/>
      <c r="FA32" s="151"/>
      <c r="FB32" s="151"/>
      <c r="FC32" s="149"/>
      <c r="FD32" s="104">
        <f t="shared" si="76"/>
        <v>0</v>
      </c>
      <c r="FE32" s="105"/>
      <c r="FF32" s="105"/>
      <c r="FG32" s="105"/>
      <c r="FH32" s="105"/>
      <c r="FI32" s="105"/>
      <c r="FJ32" s="105"/>
      <c r="FK32" s="105"/>
      <c r="FL32" s="105"/>
      <c r="FM32" s="105"/>
      <c r="FN32" s="124">
        <f t="shared" si="73"/>
        <v>0</v>
      </c>
      <c r="FO32" s="77"/>
      <c r="FP32" s="81"/>
      <c r="FQ32" s="186"/>
      <c r="FY32" s="119">
        <v>27</v>
      </c>
      <c r="FZ32" s="107"/>
      <c r="GA32" s="107"/>
      <c r="GB32" s="180"/>
      <c r="GC32" s="109"/>
      <c r="GD32" s="110"/>
      <c r="GE32" s="110"/>
      <c r="GF32" s="111"/>
      <c r="GG32" s="111"/>
      <c r="GH32" s="111"/>
      <c r="GI32" s="164"/>
      <c r="GJ32" s="111" t="e">
        <f t="shared" si="64"/>
        <v>#DIV/0!</v>
      </c>
    </row>
    <row r="33" spans="1:193" s="119" customFormat="1" ht="15" customHeight="1">
      <c r="A33" s="119">
        <v>0</v>
      </c>
      <c r="B33" s="133">
        <v>28</v>
      </c>
      <c r="D33" s="85"/>
      <c r="E33" s="85"/>
      <c r="F33" s="85"/>
      <c r="G33" s="85"/>
      <c r="H33" s="85"/>
      <c r="I33" s="85"/>
      <c r="J33" s="85"/>
      <c r="K33" s="167"/>
      <c r="L33" s="167"/>
      <c r="M33" s="115">
        <f t="shared" si="21"/>
        <v>0</v>
      </c>
      <c r="N33" s="88">
        <f t="shared" si="0"/>
        <v>0</v>
      </c>
      <c r="O33" s="88">
        <f t="shared" si="22"/>
        <v>0</v>
      </c>
      <c r="P33" s="89">
        <f t="shared" si="23"/>
        <v>383744.24149999995</v>
      </c>
      <c r="R33" s="90" t="str">
        <f t="shared" si="24"/>
        <v/>
      </c>
      <c r="S33" s="90" t="str">
        <f t="shared" si="25"/>
        <v/>
      </c>
      <c r="T33" s="90" t="str">
        <f t="shared" si="1"/>
        <v/>
      </c>
      <c r="U33" s="91" t="str">
        <f t="shared" si="75"/>
        <v/>
      </c>
      <c r="V33" s="90" t="str">
        <f t="shared" si="26"/>
        <v/>
      </c>
      <c r="W33" s="91" t="str">
        <f t="shared" si="2"/>
        <v/>
      </c>
      <c r="X33" s="90" t="str">
        <f t="shared" si="27"/>
        <v/>
      </c>
      <c r="Y33" s="90" t="str">
        <f t="shared" si="28"/>
        <v>0</v>
      </c>
      <c r="Z33" s="90" t="str">
        <f t="shared" si="3"/>
        <v/>
      </c>
      <c r="AA33" s="90" t="str">
        <f t="shared" si="29"/>
        <v/>
      </c>
      <c r="AB33" s="90" t="str">
        <f t="shared" si="30"/>
        <v/>
      </c>
      <c r="AC33" s="90" t="str">
        <f t="shared" si="30"/>
        <v/>
      </c>
      <c r="AD33" s="90">
        <f>(IF(SUM(AB33:AC33)&gt;=(DW33-DW32),(SUM(AB33:AC33)),(DW33-DW32)))</f>
        <v>0</v>
      </c>
      <c r="AE33" s="90" t="str">
        <f t="shared" si="32"/>
        <v/>
      </c>
      <c r="AF33" s="90" t="str">
        <f t="shared" si="33"/>
        <v/>
      </c>
      <c r="AG33" s="90" t="str">
        <f t="shared" si="33"/>
        <v/>
      </c>
      <c r="AH33" s="90">
        <f t="shared" si="34"/>
        <v>0</v>
      </c>
      <c r="AI33" s="90" t="str">
        <f t="shared" si="35"/>
        <v/>
      </c>
      <c r="AJ33" s="90" t="str">
        <f>IF(EA33=0,"",(EA33-EA32))</f>
        <v/>
      </c>
      <c r="AK33" s="90" t="str">
        <f t="shared" si="36"/>
        <v/>
      </c>
      <c r="AL33" s="90">
        <f t="shared" si="37"/>
        <v>0</v>
      </c>
      <c r="AM33" s="90" t="str">
        <f t="shared" si="38"/>
        <v/>
      </c>
      <c r="AN33" s="90" t="str">
        <f t="shared" si="39"/>
        <v/>
      </c>
      <c r="AO33" s="90" t="str">
        <f t="shared" si="4"/>
        <v/>
      </c>
      <c r="AP33" s="90" t="str">
        <f t="shared" si="40"/>
        <v/>
      </c>
      <c r="AQ33" s="90" t="str">
        <f t="shared" si="5"/>
        <v/>
      </c>
      <c r="AR33" s="90" t="str">
        <f t="shared" si="41"/>
        <v/>
      </c>
      <c r="AS33" s="90" t="str">
        <f t="shared" si="42"/>
        <v/>
      </c>
      <c r="AT33" s="90" t="str">
        <f t="shared" si="43"/>
        <v/>
      </c>
      <c r="AU33" s="90" t="str">
        <f t="shared" si="44"/>
        <v/>
      </c>
      <c r="AV33" s="90" t="str">
        <f t="shared" si="65"/>
        <v/>
      </c>
      <c r="AW33" s="90" t="str">
        <f t="shared" si="45"/>
        <v/>
      </c>
      <c r="AX33" s="90" t="str">
        <f t="shared" si="66"/>
        <v/>
      </c>
      <c r="AY33" s="90" t="str">
        <f t="shared" si="66"/>
        <v/>
      </c>
      <c r="AZ33" s="90" t="str">
        <f t="shared" si="46"/>
        <v/>
      </c>
      <c r="BA33" s="90"/>
      <c r="BB33" s="90" t="str">
        <f t="shared" si="47"/>
        <v/>
      </c>
      <c r="BC33" s="90" t="str">
        <f t="shared" si="47"/>
        <v/>
      </c>
      <c r="BD33" s="91" t="str">
        <f t="shared" si="48"/>
        <v/>
      </c>
      <c r="BE33" s="90"/>
      <c r="BF33" s="90"/>
      <c r="BG33" s="90" t="str">
        <f t="shared" si="78"/>
        <v/>
      </c>
      <c r="BH33" s="90">
        <f t="shared" si="49"/>
        <v>0</v>
      </c>
      <c r="BI33" s="90" t="str">
        <f t="shared" si="50"/>
        <v/>
      </c>
      <c r="BJ33" s="90" t="str">
        <f t="shared" si="7"/>
        <v/>
      </c>
      <c r="BK33" s="92"/>
      <c r="BL33" s="93">
        <f t="shared" si="51"/>
        <v>0</v>
      </c>
      <c r="BM33" s="93">
        <f t="shared" si="52"/>
        <v>131672</v>
      </c>
      <c r="BN33" s="92"/>
      <c r="BO33" s="94" t="str">
        <f t="shared" si="53"/>
        <v xml:space="preserve"> </v>
      </c>
      <c r="BP33" s="94" t="str">
        <f t="shared" si="53"/>
        <v xml:space="preserve"> </v>
      </c>
      <c r="BQ33" s="94" t="str">
        <f t="shared" si="54"/>
        <v xml:space="preserve"> </v>
      </c>
      <c r="BR33" s="94" t="str">
        <f t="shared" si="67"/>
        <v xml:space="preserve"> </v>
      </c>
      <c r="BS33" s="94" t="str">
        <f t="shared" si="77"/>
        <v xml:space="preserve"> </v>
      </c>
      <c r="BT33" s="94" t="str">
        <f t="shared" si="77"/>
        <v xml:space="preserve"> </v>
      </c>
      <c r="BU33" s="95" t="str">
        <f t="shared" si="77"/>
        <v xml:space="preserve"> </v>
      </c>
      <c r="BV33" s="94" t="str">
        <f t="shared" si="9"/>
        <v xml:space="preserve"> </v>
      </c>
      <c r="BW33" s="94" t="str">
        <f t="shared" si="9"/>
        <v xml:space="preserve"> </v>
      </c>
      <c r="BX33" s="94" t="str">
        <f t="shared" si="9"/>
        <v xml:space="preserve"> </v>
      </c>
      <c r="BY33" s="94" t="str">
        <f t="shared" si="55"/>
        <v xml:space="preserve"> </v>
      </c>
      <c r="BZ33" s="95" t="str">
        <f t="shared" si="10"/>
        <v xml:space="preserve"> </v>
      </c>
      <c r="CA33" s="96" t="e">
        <f>#REF!</f>
        <v>#REF!</v>
      </c>
      <c r="CB33" s="94" t="str">
        <f t="shared" si="11"/>
        <v xml:space="preserve"> </v>
      </c>
      <c r="CC33" s="95" t="str">
        <f t="shared" si="11"/>
        <v xml:space="preserve"> </v>
      </c>
      <c r="CD33" s="97" t="str">
        <f t="shared" si="12"/>
        <v/>
      </c>
      <c r="CE33" s="98" t="str">
        <f t="shared" si="12"/>
        <v/>
      </c>
      <c r="CF33" s="94" t="str">
        <f t="shared" si="56"/>
        <v>0,00</v>
      </c>
      <c r="CG33" s="94" t="str">
        <f t="shared" si="56"/>
        <v>0,00</v>
      </c>
      <c r="CH33" s="95" t="str">
        <f t="shared" si="57"/>
        <v xml:space="preserve">0,00 </v>
      </c>
      <c r="CI33" s="96" t="e">
        <f>#REF!</f>
        <v>#REF!</v>
      </c>
      <c r="CJ33" s="94" t="str">
        <f t="shared" si="58"/>
        <v>0,00</v>
      </c>
      <c r="CK33" s="94" t="str">
        <f t="shared" si="58"/>
        <v>0,00</v>
      </c>
      <c r="CL33" s="95" t="str">
        <f t="shared" si="68"/>
        <v xml:space="preserve">0,00 </v>
      </c>
      <c r="CM33" s="95" t="e">
        <f>#REF!</f>
        <v>#REF!</v>
      </c>
      <c r="CN33" s="94" t="str">
        <f t="shared" si="59"/>
        <v>0,00</v>
      </c>
      <c r="CO33" s="94" t="str">
        <f t="shared" si="59"/>
        <v>0,00</v>
      </c>
      <c r="CP33" s="95" t="str">
        <f t="shared" si="60"/>
        <v xml:space="preserve">0,00 </v>
      </c>
      <c r="CQ33" s="95" t="e">
        <f>#REF!</f>
        <v>#REF!</v>
      </c>
      <c r="CR33" s="97" t="str">
        <f t="shared" si="69"/>
        <v xml:space="preserve">0,00 </v>
      </c>
      <c r="CS33" s="95" t="str">
        <f t="shared" si="69"/>
        <v xml:space="preserve">0,00 </v>
      </c>
      <c r="CT33" s="96" t="e">
        <f>#REF!</f>
        <v>#REF!</v>
      </c>
      <c r="CU33" s="97" t="str">
        <f t="shared" si="70"/>
        <v xml:space="preserve">0,00 </v>
      </c>
      <c r="CV33" s="95" t="str">
        <f t="shared" si="61"/>
        <v xml:space="preserve">0,00 </v>
      </c>
      <c r="CW33" s="96" t="e">
        <f>#REF!</f>
        <v>#REF!</v>
      </c>
      <c r="CX33" s="99" t="str">
        <f t="shared" si="62"/>
        <v xml:space="preserve"> </v>
      </c>
      <c r="CY33" s="95" t="str">
        <f t="shared" si="62"/>
        <v xml:space="preserve"> </v>
      </c>
      <c r="CZ33" s="99" t="str">
        <f t="shared" si="62"/>
        <v xml:space="preserve"> </v>
      </c>
      <c r="DA33" s="95" t="str">
        <f t="shared" si="62"/>
        <v xml:space="preserve"> </v>
      </c>
      <c r="DB33" s="94" t="str">
        <f t="shared" si="13"/>
        <v xml:space="preserve"> </v>
      </c>
      <c r="DC33" s="94" t="str">
        <f t="shared" si="14"/>
        <v xml:space="preserve"> </v>
      </c>
      <c r="DD33" s="94" t="str">
        <f t="shared" si="14"/>
        <v xml:space="preserve"> </v>
      </c>
      <c r="DE33" s="94" t="str">
        <f t="shared" si="14"/>
        <v xml:space="preserve"> </v>
      </c>
      <c r="DF33" s="94" t="str">
        <f t="shared" si="14"/>
        <v xml:space="preserve"> </v>
      </c>
      <c r="DG33" s="94" t="str">
        <f t="shared" si="14"/>
        <v xml:space="preserve"> </v>
      </c>
      <c r="DH33" s="95" t="str">
        <f t="shared" si="14"/>
        <v xml:space="preserve"> </v>
      </c>
      <c r="DI33" s="96" t="e">
        <f>#REF!</f>
        <v>#REF!</v>
      </c>
      <c r="DJ33" s="95" t="str">
        <f t="shared" si="63"/>
        <v xml:space="preserve"> </v>
      </c>
      <c r="DK33" s="96" t="e">
        <f>#REF!</f>
        <v>#REF!</v>
      </c>
      <c r="DL33" s="95" t="str">
        <f t="shared" si="15"/>
        <v xml:space="preserve"> </v>
      </c>
      <c r="DM33" s="96">
        <f t="shared" si="16"/>
        <v>0</v>
      </c>
      <c r="DN33" s="94" t="str">
        <f t="shared" si="17"/>
        <v/>
      </c>
      <c r="DO33" s="100">
        <v>3.4</v>
      </c>
      <c r="DP33" s="94" t="str">
        <f t="shared" si="71"/>
        <v xml:space="preserve"> </v>
      </c>
      <c r="DQ33" s="94">
        <f t="shared" si="72"/>
        <v>3.4312436711835326</v>
      </c>
      <c r="DR33" s="101" t="str">
        <f t="shared" si="18"/>
        <v>3,315, hL/NhL</v>
      </c>
      <c r="DT33" s="134">
        <v>28</v>
      </c>
      <c r="DU33" s="135"/>
      <c r="DV33" s="135"/>
      <c r="DW33" s="135"/>
      <c r="DX33" s="135"/>
      <c r="DY33" s="135"/>
      <c r="DZ33" s="135"/>
      <c r="EA33" s="136"/>
      <c r="EB33" s="136"/>
      <c r="EC33" s="136"/>
      <c r="ED33" s="135"/>
      <c r="EE33" s="136"/>
      <c r="EF33" s="136"/>
      <c r="EG33" s="135"/>
      <c r="EH33" s="135"/>
      <c r="EI33" s="135"/>
      <c r="EJ33" s="136"/>
      <c r="EK33" s="136"/>
      <c r="EL33" s="135"/>
      <c r="EM33" s="135"/>
      <c r="EN33" s="136"/>
      <c r="EO33" s="135"/>
      <c r="EP33" s="136"/>
      <c r="EQ33" s="136"/>
      <c r="ER33" s="136"/>
      <c r="ES33" s="136"/>
      <c r="ET33" s="136"/>
      <c r="EU33" s="136"/>
      <c r="EV33" s="136"/>
      <c r="EW33" s="136"/>
      <c r="EX33" s="135"/>
      <c r="EY33" s="135"/>
      <c r="EZ33" s="140"/>
      <c r="FA33" s="145"/>
      <c r="FB33" s="145"/>
      <c r="FC33" s="145"/>
      <c r="FD33" s="104">
        <f>SUM(FE33:FM33)</f>
        <v>0</v>
      </c>
      <c r="FE33" s="105"/>
      <c r="FF33" s="105"/>
      <c r="FG33" s="105"/>
      <c r="FH33" s="105"/>
      <c r="FI33" s="105"/>
      <c r="FJ33" s="105"/>
      <c r="FK33" s="105"/>
      <c r="FL33" s="105"/>
      <c r="FM33" s="105"/>
      <c r="FN33" s="187">
        <f>IF(FO33="",0,(FO33-FO32))</f>
        <v>0</v>
      </c>
      <c r="FO33" s="77"/>
      <c r="FP33" s="188"/>
      <c r="FY33" s="119">
        <v>28</v>
      </c>
      <c r="FZ33" s="107"/>
      <c r="GA33" s="107"/>
      <c r="GB33" s="180"/>
      <c r="GC33" s="109"/>
      <c r="GD33" s="110"/>
      <c r="GE33" s="110"/>
      <c r="GF33" s="111"/>
      <c r="GG33" s="111"/>
      <c r="GH33" s="111"/>
      <c r="GI33" s="164"/>
      <c r="GJ33" s="111" t="e">
        <f t="shared" si="64"/>
        <v>#DIV/0!</v>
      </c>
      <c r="GK33" s="113"/>
    </row>
    <row r="34" spans="1:193" s="119" customFormat="1" ht="15" customHeight="1">
      <c r="B34" s="133">
        <v>29</v>
      </c>
      <c r="D34" s="85"/>
      <c r="E34" s="85"/>
      <c r="F34" s="85"/>
      <c r="G34" s="85"/>
      <c r="H34" s="85"/>
      <c r="I34" s="85"/>
      <c r="J34" s="85"/>
      <c r="K34" s="167"/>
      <c r="L34" s="167"/>
      <c r="M34" s="115">
        <f t="shared" si="21"/>
        <v>0</v>
      </c>
      <c r="N34" s="88">
        <f t="shared" si="0"/>
        <v>0</v>
      </c>
      <c r="O34" s="88">
        <f t="shared" si="22"/>
        <v>0</v>
      </c>
      <c r="P34" s="89">
        <f t="shared" si="23"/>
        <v>383744.24149999995</v>
      </c>
      <c r="R34" s="90" t="str">
        <f t="shared" si="24"/>
        <v/>
      </c>
      <c r="S34" s="90" t="str">
        <f t="shared" si="25"/>
        <v/>
      </c>
      <c r="T34" s="90" t="str">
        <f t="shared" si="1"/>
        <v/>
      </c>
      <c r="U34" s="91" t="str">
        <f t="shared" si="75"/>
        <v/>
      </c>
      <c r="V34" s="90" t="str">
        <f t="shared" si="26"/>
        <v/>
      </c>
      <c r="W34" s="91" t="str">
        <f t="shared" si="2"/>
        <v/>
      </c>
      <c r="X34" s="90" t="str">
        <f t="shared" si="27"/>
        <v/>
      </c>
      <c r="Y34" s="90" t="str">
        <f t="shared" si="28"/>
        <v>0</v>
      </c>
      <c r="Z34" s="90" t="str">
        <f t="shared" si="3"/>
        <v/>
      </c>
      <c r="AA34" s="90" t="str">
        <f t="shared" si="29"/>
        <v/>
      </c>
      <c r="AB34" s="90" t="str">
        <f t="shared" si="30"/>
        <v/>
      </c>
      <c r="AC34" s="90" t="str">
        <f t="shared" si="30"/>
        <v/>
      </c>
      <c r="AD34" s="90">
        <f t="shared" si="31"/>
        <v>0</v>
      </c>
      <c r="AE34" s="90" t="str">
        <f t="shared" si="32"/>
        <v/>
      </c>
      <c r="AF34" s="90" t="str">
        <f t="shared" si="33"/>
        <v/>
      </c>
      <c r="AG34" s="90" t="str">
        <f t="shared" si="33"/>
        <v/>
      </c>
      <c r="AH34" s="90">
        <f t="shared" si="34"/>
        <v>0</v>
      </c>
      <c r="AI34" s="90" t="str">
        <f t="shared" si="35"/>
        <v/>
      </c>
      <c r="AJ34" s="90" t="str">
        <f>IF(EA34=0,"",(EA34-EA33))</f>
        <v/>
      </c>
      <c r="AK34" s="90" t="str">
        <f t="shared" si="36"/>
        <v/>
      </c>
      <c r="AL34" s="90">
        <f t="shared" si="37"/>
        <v>0</v>
      </c>
      <c r="AM34" s="90" t="str">
        <f t="shared" si="38"/>
        <v/>
      </c>
      <c r="AN34" s="90" t="str">
        <f t="shared" si="39"/>
        <v/>
      </c>
      <c r="AO34" s="90" t="str">
        <f t="shared" si="4"/>
        <v/>
      </c>
      <c r="AP34" s="90" t="str">
        <f t="shared" si="40"/>
        <v/>
      </c>
      <c r="AQ34" s="90" t="str">
        <f t="shared" si="5"/>
        <v/>
      </c>
      <c r="AR34" s="90" t="str">
        <f t="shared" si="41"/>
        <v/>
      </c>
      <c r="AS34" s="90" t="str">
        <f t="shared" si="42"/>
        <v/>
      </c>
      <c r="AT34" s="90" t="str">
        <f t="shared" si="43"/>
        <v/>
      </c>
      <c r="AU34" s="90" t="str">
        <f t="shared" si="44"/>
        <v/>
      </c>
      <c r="AV34" s="90" t="str">
        <f t="shared" si="65"/>
        <v/>
      </c>
      <c r="AW34" s="90" t="str">
        <f t="shared" si="45"/>
        <v/>
      </c>
      <c r="AX34" s="90" t="str">
        <f t="shared" si="66"/>
        <v/>
      </c>
      <c r="AY34" s="90" t="str">
        <f t="shared" si="66"/>
        <v/>
      </c>
      <c r="AZ34" s="90" t="str">
        <f t="shared" si="46"/>
        <v/>
      </c>
      <c r="BA34" s="90"/>
      <c r="BB34" s="90" t="str">
        <f t="shared" si="47"/>
        <v/>
      </c>
      <c r="BC34" s="90" t="str">
        <f t="shared" si="47"/>
        <v/>
      </c>
      <c r="BD34" s="91" t="str">
        <f t="shared" si="48"/>
        <v/>
      </c>
      <c r="BE34" s="90"/>
      <c r="BF34" s="90"/>
      <c r="BG34" s="90" t="str">
        <f t="shared" si="78"/>
        <v/>
      </c>
      <c r="BH34" s="90">
        <f t="shared" si="49"/>
        <v>0</v>
      </c>
      <c r="BI34" s="90" t="str">
        <f t="shared" si="50"/>
        <v/>
      </c>
      <c r="BJ34" s="90" t="str">
        <f t="shared" si="7"/>
        <v/>
      </c>
      <c r="BK34" s="92"/>
      <c r="BL34" s="93">
        <f t="shared" si="51"/>
        <v>0</v>
      </c>
      <c r="BM34" s="93">
        <f t="shared" si="52"/>
        <v>131672</v>
      </c>
      <c r="BN34" s="92"/>
      <c r="BO34" s="94" t="str">
        <f t="shared" si="53"/>
        <v xml:space="preserve"> </v>
      </c>
      <c r="BP34" s="94" t="str">
        <f>IF($N34&lt;&gt;0,IF($N34&lt;&gt;0,S34/$N34*10,0)," ")</f>
        <v xml:space="preserve"> </v>
      </c>
      <c r="BQ34" s="94" t="str">
        <f t="shared" si="54"/>
        <v xml:space="preserve"> </v>
      </c>
      <c r="BR34" s="94" t="str">
        <f t="shared" si="67"/>
        <v xml:space="preserve"> </v>
      </c>
      <c r="BS34" s="94" t="str">
        <f>IF($N34&lt;&gt;0,IF($N34&lt;&gt;0,Y34/$N34*10,0)," ")</f>
        <v xml:space="preserve"> </v>
      </c>
      <c r="BT34" s="94" t="str">
        <f t="shared" si="77"/>
        <v xml:space="preserve"> </v>
      </c>
      <c r="BU34" s="95" t="str">
        <f t="shared" si="77"/>
        <v xml:space="preserve"> </v>
      </c>
      <c r="BV34" s="94" t="str">
        <f t="shared" si="9"/>
        <v xml:space="preserve"> </v>
      </c>
      <c r="BW34" s="94" t="str">
        <f t="shared" si="9"/>
        <v xml:space="preserve"> </v>
      </c>
      <c r="BX34" s="94" t="str">
        <f t="shared" si="9"/>
        <v xml:space="preserve"> </v>
      </c>
      <c r="BY34" s="94" t="str">
        <f t="shared" si="55"/>
        <v xml:space="preserve"> </v>
      </c>
      <c r="BZ34" s="95" t="str">
        <f t="shared" si="10"/>
        <v xml:space="preserve"> </v>
      </c>
      <c r="CA34" s="96" t="e">
        <f>#REF!</f>
        <v>#REF!</v>
      </c>
      <c r="CB34" s="94" t="str">
        <f t="shared" si="11"/>
        <v xml:space="preserve"> </v>
      </c>
      <c r="CC34" s="95" t="str">
        <f t="shared" si="11"/>
        <v xml:space="preserve"> </v>
      </c>
      <c r="CD34" s="97" t="str">
        <f t="shared" si="12"/>
        <v/>
      </c>
      <c r="CE34" s="98" t="str">
        <f t="shared" si="12"/>
        <v/>
      </c>
      <c r="CF34" s="94" t="str">
        <f t="shared" si="56"/>
        <v>0,00</v>
      </c>
      <c r="CG34" s="94" t="str">
        <f t="shared" si="56"/>
        <v>0,00</v>
      </c>
      <c r="CH34" s="95" t="str">
        <f t="shared" si="57"/>
        <v xml:space="preserve">0,00 </v>
      </c>
      <c r="CI34" s="96" t="e">
        <f>#REF!</f>
        <v>#REF!</v>
      </c>
      <c r="CJ34" s="94" t="str">
        <f t="shared" si="58"/>
        <v>0,00</v>
      </c>
      <c r="CK34" s="94" t="str">
        <f t="shared" si="58"/>
        <v>0,00</v>
      </c>
      <c r="CL34" s="95" t="str">
        <f t="shared" si="68"/>
        <v xml:space="preserve">0,00 </v>
      </c>
      <c r="CM34" s="95" t="e">
        <f>#REF!</f>
        <v>#REF!</v>
      </c>
      <c r="CN34" s="94" t="str">
        <f t="shared" si="59"/>
        <v>0,00</v>
      </c>
      <c r="CO34" s="94" t="str">
        <f t="shared" si="59"/>
        <v>0,00</v>
      </c>
      <c r="CP34" s="95" t="str">
        <f t="shared" si="60"/>
        <v xml:space="preserve">0,00 </v>
      </c>
      <c r="CQ34" s="95" t="e">
        <f>#REF!</f>
        <v>#REF!</v>
      </c>
      <c r="CR34" s="97" t="str">
        <f t="shared" si="69"/>
        <v xml:space="preserve">0,00 </v>
      </c>
      <c r="CS34" s="95" t="str">
        <f t="shared" si="69"/>
        <v xml:space="preserve">0,00 </v>
      </c>
      <c r="CT34" s="96" t="e">
        <f>#REF!</f>
        <v>#REF!</v>
      </c>
      <c r="CU34" s="97" t="str">
        <f t="shared" si="70"/>
        <v xml:space="preserve">0,00 </v>
      </c>
      <c r="CV34" s="95" t="str">
        <f t="shared" si="61"/>
        <v xml:space="preserve">0,00 </v>
      </c>
      <c r="CW34" s="96" t="e">
        <f>#REF!</f>
        <v>#REF!</v>
      </c>
      <c r="CX34" s="99" t="str">
        <f t="shared" si="62"/>
        <v xml:space="preserve"> </v>
      </c>
      <c r="CY34" s="95" t="str">
        <f t="shared" si="62"/>
        <v xml:space="preserve"> </v>
      </c>
      <c r="CZ34" s="99" t="str">
        <f t="shared" si="62"/>
        <v xml:space="preserve"> </v>
      </c>
      <c r="DA34" s="95" t="str">
        <f t="shared" si="62"/>
        <v xml:space="preserve"> </v>
      </c>
      <c r="DB34" s="94" t="str">
        <f t="shared" si="13"/>
        <v xml:space="preserve"> </v>
      </c>
      <c r="DC34" s="94" t="str">
        <f t="shared" si="14"/>
        <v xml:space="preserve"> </v>
      </c>
      <c r="DD34" s="94" t="str">
        <f t="shared" si="14"/>
        <v xml:space="preserve"> </v>
      </c>
      <c r="DE34" s="94" t="str">
        <f t="shared" si="14"/>
        <v xml:space="preserve"> </v>
      </c>
      <c r="DF34" s="94" t="str">
        <f t="shared" si="14"/>
        <v xml:space="preserve"> </v>
      </c>
      <c r="DG34" s="94" t="str">
        <f t="shared" si="14"/>
        <v xml:space="preserve"> </v>
      </c>
      <c r="DH34" s="95" t="str">
        <f t="shared" si="14"/>
        <v xml:space="preserve"> </v>
      </c>
      <c r="DI34" s="96" t="e">
        <f>#REF!</f>
        <v>#REF!</v>
      </c>
      <c r="DJ34" s="95" t="str">
        <f t="shared" si="63"/>
        <v xml:space="preserve"> </v>
      </c>
      <c r="DK34" s="96" t="e">
        <f>#REF!</f>
        <v>#REF!</v>
      </c>
      <c r="DL34" s="95" t="str">
        <f t="shared" si="15"/>
        <v xml:space="preserve"> </v>
      </c>
      <c r="DM34" s="96">
        <f t="shared" si="16"/>
        <v>0</v>
      </c>
      <c r="DN34" s="94" t="str">
        <f t="shared" si="17"/>
        <v/>
      </c>
      <c r="DO34" s="100">
        <v>3.4</v>
      </c>
      <c r="DP34" s="94" t="str">
        <f>IF($O34&lt;&gt;0,IF($O34&lt;&gt;0,BL34/$O34*10,0)," ")</f>
        <v xml:space="preserve"> </v>
      </c>
      <c r="DQ34" s="94">
        <f t="shared" si="72"/>
        <v>3.4312436711835326</v>
      </c>
      <c r="DR34" s="101" t="str">
        <f t="shared" si="18"/>
        <v>3,315, hL/NhL</v>
      </c>
      <c r="DT34" s="134">
        <v>29</v>
      </c>
      <c r="DU34" s="135"/>
      <c r="DV34" s="76"/>
      <c r="DW34" s="77"/>
      <c r="DX34" s="76"/>
      <c r="DY34" s="76"/>
      <c r="DZ34" s="76"/>
      <c r="EA34" s="77"/>
      <c r="EB34" s="77"/>
      <c r="EC34" s="77"/>
      <c r="ED34" s="77"/>
      <c r="EE34" s="77"/>
      <c r="EF34" s="77"/>
      <c r="EG34" s="76"/>
      <c r="EH34" s="76"/>
      <c r="EI34" s="76"/>
      <c r="EJ34" s="77"/>
      <c r="EK34" s="77"/>
      <c r="EL34" s="76"/>
      <c r="EM34" s="76"/>
      <c r="EN34" s="77"/>
      <c r="EO34" s="76"/>
      <c r="EP34" s="77"/>
      <c r="EQ34" s="77"/>
      <c r="ER34" s="77"/>
      <c r="ES34" s="77"/>
      <c r="ET34" s="136"/>
      <c r="EU34" s="77"/>
      <c r="EV34" s="77"/>
      <c r="EW34" s="77"/>
      <c r="EX34" s="76"/>
      <c r="EY34" s="76"/>
      <c r="EZ34" s="149"/>
      <c r="FA34" s="149"/>
      <c r="FB34" s="151"/>
      <c r="FC34" s="149"/>
      <c r="FD34" s="104">
        <f>SUM(FE34:FM34)</f>
        <v>0</v>
      </c>
      <c r="FE34" s="105"/>
      <c r="FF34" s="105"/>
      <c r="FG34" s="105"/>
      <c r="FH34" s="105"/>
      <c r="FI34" s="105"/>
      <c r="FJ34" s="105"/>
      <c r="FK34" s="105"/>
      <c r="FL34" s="105"/>
      <c r="FM34" s="105"/>
      <c r="FN34" s="80">
        <f t="shared" si="73"/>
        <v>0</v>
      </c>
      <c r="FO34" s="77"/>
      <c r="FP34" s="189"/>
      <c r="FY34" s="119">
        <v>29</v>
      </c>
      <c r="FZ34" s="190"/>
      <c r="GA34" s="191"/>
      <c r="GB34" s="107"/>
      <c r="GC34" s="109"/>
      <c r="GD34" s="110"/>
      <c r="GE34" s="110"/>
      <c r="GF34" s="111"/>
      <c r="GG34" s="111"/>
      <c r="GH34" s="111"/>
      <c r="GI34" s="112"/>
      <c r="GJ34" s="111" t="e">
        <f t="shared" si="64"/>
        <v>#DIV/0!</v>
      </c>
      <c r="GK34" s="113"/>
    </row>
    <row r="35" spans="1:193" s="119" customFormat="1" ht="15" customHeight="1">
      <c r="B35" s="133">
        <v>30</v>
      </c>
      <c r="D35" s="85"/>
      <c r="E35" s="85"/>
      <c r="F35" s="85"/>
      <c r="G35" s="85"/>
      <c r="H35" s="85"/>
      <c r="I35" s="85"/>
      <c r="J35" s="85"/>
      <c r="K35" s="167"/>
      <c r="L35" s="167"/>
      <c r="M35" s="115">
        <f t="shared" si="21"/>
        <v>0</v>
      </c>
      <c r="N35" s="88">
        <f t="shared" si="0"/>
        <v>0</v>
      </c>
      <c r="O35" s="88">
        <f t="shared" si="22"/>
        <v>0</v>
      </c>
      <c r="P35" s="89">
        <f t="shared" si="23"/>
        <v>383744.24149999995</v>
      </c>
      <c r="R35" s="90" t="str">
        <f t="shared" si="24"/>
        <v/>
      </c>
      <c r="S35" s="90" t="str">
        <f t="shared" si="25"/>
        <v/>
      </c>
      <c r="T35" s="90" t="str">
        <f t="shared" si="1"/>
        <v/>
      </c>
      <c r="U35" s="91" t="str">
        <f t="shared" si="75"/>
        <v/>
      </c>
      <c r="V35" s="90" t="str">
        <f t="shared" si="26"/>
        <v/>
      </c>
      <c r="W35" s="91" t="str">
        <f t="shared" si="2"/>
        <v/>
      </c>
      <c r="X35" s="90" t="str">
        <f t="shared" si="27"/>
        <v/>
      </c>
      <c r="Y35" s="90" t="str">
        <f t="shared" si="28"/>
        <v>0</v>
      </c>
      <c r="Z35" s="90" t="str">
        <f t="shared" si="3"/>
        <v/>
      </c>
      <c r="AA35" s="90" t="str">
        <f t="shared" si="29"/>
        <v/>
      </c>
      <c r="AB35" s="90" t="str">
        <f t="shared" si="30"/>
        <v/>
      </c>
      <c r="AC35" s="90" t="str">
        <f t="shared" si="30"/>
        <v/>
      </c>
      <c r="AD35" s="90">
        <f t="shared" si="31"/>
        <v>0</v>
      </c>
      <c r="AE35" s="90" t="str">
        <f t="shared" si="32"/>
        <v/>
      </c>
      <c r="AF35" s="90" t="str">
        <f t="shared" si="33"/>
        <v/>
      </c>
      <c r="AG35" s="90" t="str">
        <f t="shared" si="33"/>
        <v/>
      </c>
      <c r="AH35" s="90">
        <f t="shared" si="34"/>
        <v>0</v>
      </c>
      <c r="AI35" s="90" t="str">
        <f t="shared" si="35"/>
        <v/>
      </c>
      <c r="AJ35" s="90" t="str">
        <f t="shared" si="36"/>
        <v/>
      </c>
      <c r="AK35" s="90" t="str">
        <f t="shared" si="36"/>
        <v/>
      </c>
      <c r="AL35" s="90">
        <f t="shared" si="37"/>
        <v>0</v>
      </c>
      <c r="AM35" s="90" t="str">
        <f t="shared" si="38"/>
        <v/>
      </c>
      <c r="AN35" s="90" t="str">
        <f t="shared" si="39"/>
        <v/>
      </c>
      <c r="AO35" s="90" t="str">
        <f t="shared" si="4"/>
        <v/>
      </c>
      <c r="AP35" s="90" t="str">
        <f t="shared" si="40"/>
        <v/>
      </c>
      <c r="AQ35" s="90" t="str">
        <f t="shared" si="5"/>
        <v/>
      </c>
      <c r="AR35" s="90" t="str">
        <f t="shared" si="41"/>
        <v/>
      </c>
      <c r="AS35" s="90" t="str">
        <f t="shared" si="42"/>
        <v/>
      </c>
      <c r="AT35" s="90" t="str">
        <f t="shared" si="43"/>
        <v/>
      </c>
      <c r="AU35" s="90" t="str">
        <f t="shared" si="44"/>
        <v/>
      </c>
      <c r="AV35" s="90" t="str">
        <f t="shared" si="65"/>
        <v/>
      </c>
      <c r="AW35" s="90" t="str">
        <f t="shared" si="45"/>
        <v/>
      </c>
      <c r="AX35" s="90" t="str">
        <f t="shared" si="66"/>
        <v/>
      </c>
      <c r="AY35" s="90" t="str">
        <f t="shared" si="66"/>
        <v/>
      </c>
      <c r="AZ35" s="90" t="str">
        <f t="shared" si="46"/>
        <v/>
      </c>
      <c r="BA35" s="90"/>
      <c r="BB35" s="90" t="str">
        <f t="shared" si="47"/>
        <v/>
      </c>
      <c r="BC35" s="90" t="str">
        <f t="shared" si="47"/>
        <v/>
      </c>
      <c r="BD35" s="91" t="str">
        <f t="shared" si="48"/>
        <v/>
      </c>
      <c r="BE35" s="90"/>
      <c r="BF35" s="90"/>
      <c r="BG35" s="90" t="str">
        <f t="shared" si="78"/>
        <v/>
      </c>
      <c r="BH35" s="90">
        <f t="shared" si="49"/>
        <v>0</v>
      </c>
      <c r="BI35" s="90" t="str">
        <f t="shared" si="50"/>
        <v/>
      </c>
      <c r="BJ35" s="90" t="str">
        <f t="shared" si="7"/>
        <v/>
      </c>
      <c r="BK35" s="92"/>
      <c r="BL35" s="93">
        <f t="shared" si="51"/>
        <v>0</v>
      </c>
      <c r="BM35" s="93">
        <f t="shared" si="52"/>
        <v>131672</v>
      </c>
      <c r="BN35" s="92"/>
      <c r="BO35" s="94" t="str">
        <f t="shared" si="53"/>
        <v xml:space="preserve"> </v>
      </c>
      <c r="BP35" s="94" t="str">
        <f t="shared" si="53"/>
        <v xml:space="preserve"> </v>
      </c>
      <c r="BQ35" s="94" t="str">
        <f t="shared" si="54"/>
        <v xml:space="preserve"> </v>
      </c>
      <c r="BR35" s="94" t="str">
        <f t="shared" si="67"/>
        <v xml:space="preserve"> </v>
      </c>
      <c r="BS35" s="94" t="str">
        <f t="shared" si="77"/>
        <v xml:space="preserve"> </v>
      </c>
      <c r="BT35" s="94" t="str">
        <f t="shared" si="77"/>
        <v xml:space="preserve"> </v>
      </c>
      <c r="BU35" s="95" t="str">
        <f t="shared" si="77"/>
        <v xml:space="preserve"> </v>
      </c>
      <c r="BV35" s="94" t="str">
        <f t="shared" si="9"/>
        <v xml:space="preserve"> </v>
      </c>
      <c r="BW35" s="94" t="str">
        <f t="shared" si="9"/>
        <v xml:space="preserve"> </v>
      </c>
      <c r="BX35" s="94" t="str">
        <f t="shared" si="9"/>
        <v xml:space="preserve"> </v>
      </c>
      <c r="BY35" s="94" t="str">
        <f t="shared" si="55"/>
        <v xml:space="preserve"> </v>
      </c>
      <c r="BZ35" s="95" t="str">
        <f t="shared" si="10"/>
        <v xml:space="preserve"> </v>
      </c>
      <c r="CA35" s="96" t="e">
        <f>#REF!</f>
        <v>#REF!</v>
      </c>
      <c r="CB35" s="94" t="str">
        <f t="shared" si="11"/>
        <v xml:space="preserve"> </v>
      </c>
      <c r="CC35" s="95" t="str">
        <f t="shared" si="11"/>
        <v xml:space="preserve"> </v>
      </c>
      <c r="CD35" s="97" t="str">
        <f t="shared" si="12"/>
        <v/>
      </c>
      <c r="CE35" s="98" t="str">
        <f t="shared" si="12"/>
        <v/>
      </c>
      <c r="CF35" s="94" t="str">
        <f t="shared" si="56"/>
        <v>0,00</v>
      </c>
      <c r="CG35" s="94" t="str">
        <f t="shared" si="56"/>
        <v>0,00</v>
      </c>
      <c r="CH35" s="95" t="str">
        <f t="shared" si="57"/>
        <v xml:space="preserve">0,00 </v>
      </c>
      <c r="CI35" s="96" t="e">
        <f>#REF!</f>
        <v>#REF!</v>
      </c>
      <c r="CJ35" s="94" t="str">
        <f t="shared" si="58"/>
        <v>0,00</v>
      </c>
      <c r="CK35" s="94" t="str">
        <f t="shared" si="58"/>
        <v>0,00</v>
      </c>
      <c r="CL35" s="95" t="str">
        <f t="shared" si="68"/>
        <v xml:space="preserve">0,00 </v>
      </c>
      <c r="CM35" s="95" t="e">
        <f>#REF!</f>
        <v>#REF!</v>
      </c>
      <c r="CN35" s="94" t="str">
        <f t="shared" si="59"/>
        <v>0,00</v>
      </c>
      <c r="CO35" s="94" t="str">
        <f t="shared" si="59"/>
        <v>0,00</v>
      </c>
      <c r="CP35" s="95" t="str">
        <f t="shared" si="60"/>
        <v xml:space="preserve">0,00 </v>
      </c>
      <c r="CQ35" s="95" t="e">
        <f>#REF!</f>
        <v>#REF!</v>
      </c>
      <c r="CR35" s="97" t="str">
        <f t="shared" si="69"/>
        <v xml:space="preserve">0,00 </v>
      </c>
      <c r="CS35" s="95" t="str">
        <f t="shared" si="69"/>
        <v xml:space="preserve">0,00 </v>
      </c>
      <c r="CT35" s="96" t="e">
        <f>#REF!</f>
        <v>#REF!</v>
      </c>
      <c r="CU35" s="97" t="str">
        <f t="shared" si="70"/>
        <v xml:space="preserve">0,00 </v>
      </c>
      <c r="CV35" s="95" t="str">
        <f t="shared" si="61"/>
        <v xml:space="preserve">0,00 </v>
      </c>
      <c r="CW35" s="96" t="e">
        <f>#REF!</f>
        <v>#REF!</v>
      </c>
      <c r="CX35" s="99" t="str">
        <f t="shared" si="62"/>
        <v xml:space="preserve"> </v>
      </c>
      <c r="CY35" s="95" t="str">
        <f t="shared" si="62"/>
        <v xml:space="preserve"> </v>
      </c>
      <c r="CZ35" s="99" t="str">
        <f t="shared" si="62"/>
        <v xml:space="preserve"> </v>
      </c>
      <c r="DA35" s="95" t="str">
        <f t="shared" si="62"/>
        <v xml:space="preserve"> </v>
      </c>
      <c r="DB35" s="94" t="str">
        <f t="shared" si="13"/>
        <v xml:space="preserve"> </v>
      </c>
      <c r="DC35" s="94" t="str">
        <f t="shared" si="14"/>
        <v xml:space="preserve"> </v>
      </c>
      <c r="DD35" s="94" t="str">
        <f t="shared" si="14"/>
        <v xml:space="preserve"> </v>
      </c>
      <c r="DE35" s="94" t="str">
        <f t="shared" si="14"/>
        <v xml:space="preserve"> </v>
      </c>
      <c r="DF35" s="94" t="str">
        <f t="shared" si="14"/>
        <v xml:space="preserve"> </v>
      </c>
      <c r="DG35" s="94" t="str">
        <f t="shared" si="14"/>
        <v xml:space="preserve"> </v>
      </c>
      <c r="DH35" s="95" t="str">
        <f t="shared" si="14"/>
        <v xml:space="preserve"> </v>
      </c>
      <c r="DI35" s="96" t="e">
        <f>#REF!</f>
        <v>#REF!</v>
      </c>
      <c r="DJ35" s="95" t="str">
        <f t="shared" si="63"/>
        <v xml:space="preserve"> </v>
      </c>
      <c r="DK35" s="96" t="e">
        <f>#REF!</f>
        <v>#REF!</v>
      </c>
      <c r="DL35" s="95" t="str">
        <f t="shared" si="15"/>
        <v xml:space="preserve"> </v>
      </c>
      <c r="DM35" s="96">
        <f t="shared" si="16"/>
        <v>0</v>
      </c>
      <c r="DN35" s="94" t="str">
        <f t="shared" si="17"/>
        <v/>
      </c>
      <c r="DO35" s="100">
        <v>3.4</v>
      </c>
      <c r="DP35" s="94" t="str">
        <f>IF($O35&lt;&gt;0,IF($O35&lt;&gt;0,BL35/$O35*10,0)," ")</f>
        <v xml:space="preserve"> </v>
      </c>
      <c r="DQ35" s="94">
        <f>IF($P35&lt;&gt;0,IF($P35&lt;&gt;0,BM35/$P35*10,0)," ")</f>
        <v>3.4312436711835326</v>
      </c>
      <c r="DR35" s="101" t="str">
        <f t="shared" si="18"/>
        <v>3,315, hL/NhL</v>
      </c>
      <c r="DS35" s="173"/>
      <c r="DT35" s="134">
        <v>30</v>
      </c>
      <c r="DU35" s="76"/>
      <c r="DV35" s="76"/>
      <c r="DW35" s="76"/>
      <c r="DX35" s="76"/>
      <c r="DY35" s="76"/>
      <c r="DZ35" s="76"/>
      <c r="EA35" s="77"/>
      <c r="EB35" s="77"/>
      <c r="EC35" s="77"/>
      <c r="ED35" s="76"/>
      <c r="EE35" s="77"/>
      <c r="EF35" s="77"/>
      <c r="EG35" s="76"/>
      <c r="EH35" s="76"/>
      <c r="EI35" s="76"/>
      <c r="EJ35" s="77"/>
      <c r="EK35" s="77"/>
      <c r="EL35" s="76"/>
      <c r="EM35" s="76"/>
      <c r="EN35" s="77"/>
      <c r="EO35" s="76"/>
      <c r="EP35" s="77"/>
      <c r="EQ35" s="77"/>
      <c r="ER35" s="77"/>
      <c r="ES35" s="77"/>
      <c r="ET35" s="77"/>
      <c r="EU35" s="77"/>
      <c r="EV35" s="77"/>
      <c r="EW35" s="77"/>
      <c r="EX35" s="76"/>
      <c r="EY35" s="76"/>
      <c r="EZ35" s="149"/>
      <c r="FA35" s="149"/>
      <c r="FB35" s="151"/>
      <c r="FC35" s="149"/>
      <c r="FD35" s="104">
        <f>SUM(FE35:FM35)</f>
        <v>0</v>
      </c>
      <c r="FE35" s="105"/>
      <c r="FF35" s="105"/>
      <c r="FG35" s="105"/>
      <c r="FH35" s="105"/>
      <c r="FI35" s="105"/>
      <c r="FJ35" s="105"/>
      <c r="FK35" s="105"/>
      <c r="FL35" s="105"/>
      <c r="FM35" s="105"/>
      <c r="FN35" s="80">
        <f t="shared" si="73"/>
        <v>0</v>
      </c>
      <c r="FO35" s="77"/>
      <c r="FP35" s="189"/>
      <c r="FY35" s="119">
        <v>30</v>
      </c>
      <c r="FZ35" s="190"/>
      <c r="GA35" s="192"/>
      <c r="GB35" s="190"/>
      <c r="GC35" s="109"/>
      <c r="GD35" s="110"/>
      <c r="GE35" s="110"/>
      <c r="GF35" s="111"/>
      <c r="GG35" s="111"/>
      <c r="GH35" s="111"/>
      <c r="GI35" s="112"/>
      <c r="GJ35" s="111" t="e">
        <f t="shared" si="64"/>
        <v>#DIV/0!</v>
      </c>
      <c r="GK35" s="113"/>
    </row>
    <row r="36" spans="1:193" s="119" customFormat="1" ht="15" customHeight="1">
      <c r="B36" s="133">
        <v>31</v>
      </c>
      <c r="D36" s="85"/>
      <c r="E36" s="85"/>
      <c r="F36" s="85"/>
      <c r="G36" s="85"/>
      <c r="H36" s="85"/>
      <c r="I36" s="85"/>
      <c r="J36" s="85"/>
      <c r="K36" s="167"/>
      <c r="L36" s="167"/>
      <c r="M36" s="115">
        <f t="shared" si="21"/>
        <v>0</v>
      </c>
      <c r="N36" s="88">
        <f t="shared" si="0"/>
        <v>0</v>
      </c>
      <c r="O36" s="88">
        <f t="shared" si="22"/>
        <v>0</v>
      </c>
      <c r="P36" s="89">
        <f t="shared" si="23"/>
        <v>383744.24149999995</v>
      </c>
      <c r="R36" s="90" t="str">
        <f t="shared" si="24"/>
        <v/>
      </c>
      <c r="S36" s="90" t="str">
        <f t="shared" si="25"/>
        <v/>
      </c>
      <c r="T36" s="90" t="str">
        <f t="shared" si="1"/>
        <v/>
      </c>
      <c r="U36" s="91" t="str">
        <f>IF(FB36=0,"",((EN36-EN35)/10))</f>
        <v/>
      </c>
      <c r="V36" s="90" t="str">
        <f t="shared" si="26"/>
        <v/>
      </c>
      <c r="W36" s="91" t="str">
        <f t="shared" si="2"/>
        <v/>
      </c>
      <c r="X36" s="90" t="str">
        <f t="shared" si="27"/>
        <v/>
      </c>
      <c r="Y36" s="90" t="str">
        <f t="shared" si="28"/>
        <v>0</v>
      </c>
      <c r="Z36" s="90" t="str">
        <f t="shared" si="3"/>
        <v/>
      </c>
      <c r="AA36" s="90" t="str">
        <f t="shared" si="29"/>
        <v/>
      </c>
      <c r="AB36" s="90" t="str">
        <f t="shared" si="30"/>
        <v/>
      </c>
      <c r="AC36" s="90" t="str">
        <f t="shared" si="30"/>
        <v/>
      </c>
      <c r="AD36" s="90">
        <f>(IF(SUM(AB36:AC36)&gt;=(DW36-DW35),(SUM(AB36:AC36)),(DW36-DW35)))</f>
        <v>0</v>
      </c>
      <c r="AE36" s="90" t="str">
        <f t="shared" si="32"/>
        <v/>
      </c>
      <c r="AF36" s="90" t="str">
        <f t="shared" si="33"/>
        <v/>
      </c>
      <c r="AG36" s="90" t="str">
        <f t="shared" si="33"/>
        <v/>
      </c>
      <c r="AH36" s="90">
        <f t="shared" si="34"/>
        <v>0</v>
      </c>
      <c r="AI36" s="90" t="str">
        <f t="shared" si="35"/>
        <v/>
      </c>
      <c r="AJ36" s="90" t="str">
        <f>IF(EA36=0,"",(EA36-EA35))</f>
        <v/>
      </c>
      <c r="AK36" s="90" t="str">
        <f>IF(EB36=0,"",(EB36-EB35))</f>
        <v/>
      </c>
      <c r="AL36" s="90">
        <f t="shared" si="37"/>
        <v>0</v>
      </c>
      <c r="AM36" s="90" t="str">
        <f t="shared" si="38"/>
        <v/>
      </c>
      <c r="AN36" s="90" t="str">
        <f t="shared" si="39"/>
        <v/>
      </c>
      <c r="AO36" s="90" t="str">
        <f t="shared" si="4"/>
        <v/>
      </c>
      <c r="AP36" s="90" t="str">
        <f t="shared" si="40"/>
        <v/>
      </c>
      <c r="AQ36" s="90" t="str">
        <f t="shared" si="5"/>
        <v/>
      </c>
      <c r="AR36" s="90" t="str">
        <f t="shared" si="41"/>
        <v/>
      </c>
      <c r="AS36" s="90" t="str">
        <f t="shared" si="42"/>
        <v/>
      </c>
      <c r="AT36" s="90" t="str">
        <f t="shared" si="43"/>
        <v/>
      </c>
      <c r="AU36" s="90" t="str">
        <f t="shared" si="44"/>
        <v/>
      </c>
      <c r="AV36" s="90" t="str">
        <f t="shared" si="65"/>
        <v/>
      </c>
      <c r="AW36" s="90" t="str">
        <f t="shared" si="45"/>
        <v/>
      </c>
      <c r="AX36" s="90" t="str">
        <f t="shared" si="66"/>
        <v/>
      </c>
      <c r="AY36" s="90" t="str">
        <f t="shared" si="66"/>
        <v/>
      </c>
      <c r="AZ36" s="90" t="str">
        <f t="shared" si="46"/>
        <v/>
      </c>
      <c r="BA36" s="90"/>
      <c r="BB36" s="90" t="str">
        <f t="shared" si="47"/>
        <v/>
      </c>
      <c r="BC36" s="90" t="str">
        <f t="shared" si="47"/>
        <v/>
      </c>
      <c r="BD36" s="91" t="str">
        <f t="shared" si="48"/>
        <v/>
      </c>
      <c r="BE36" s="90"/>
      <c r="BF36" s="90"/>
      <c r="BG36" s="90" t="str">
        <f t="shared" si="78"/>
        <v/>
      </c>
      <c r="BH36" s="90">
        <f t="shared" si="49"/>
        <v>0</v>
      </c>
      <c r="BI36" s="90" t="str">
        <f t="shared" si="50"/>
        <v/>
      </c>
      <c r="BJ36" s="90" t="str">
        <f t="shared" si="7"/>
        <v/>
      </c>
      <c r="BK36" s="92"/>
      <c r="BL36" s="93">
        <f t="shared" si="51"/>
        <v>0</v>
      </c>
      <c r="BM36" s="93">
        <f t="shared" si="52"/>
        <v>131672</v>
      </c>
      <c r="BN36" s="92"/>
      <c r="BO36" s="94" t="str">
        <f>IF($N36&lt;&gt;0,IF($N36&lt;&gt;0,R36/$N36*10,0)," ")</f>
        <v xml:space="preserve"> </v>
      </c>
      <c r="BP36" s="94" t="str">
        <f>IF($N36&lt;&gt;0,IF($N36&lt;&gt;0,S36/$N36*10,0)," ")</f>
        <v xml:space="preserve"> </v>
      </c>
      <c r="BQ36" s="94" t="str">
        <f t="shared" si="54"/>
        <v xml:space="preserve"> </v>
      </c>
      <c r="BR36" s="94" t="str">
        <f t="shared" si="67"/>
        <v xml:space="preserve"> </v>
      </c>
      <c r="BS36" s="94" t="str">
        <f t="shared" si="77"/>
        <v xml:space="preserve"> </v>
      </c>
      <c r="BT36" s="94" t="str">
        <f t="shared" si="77"/>
        <v xml:space="preserve"> </v>
      </c>
      <c r="BU36" s="95" t="str">
        <f t="shared" si="77"/>
        <v xml:space="preserve"> </v>
      </c>
      <c r="BV36" s="94" t="str">
        <f>IF($O36&lt;&gt;0,IF($O36&lt;&gt;0,R36/$O36*10,0)," ")</f>
        <v xml:space="preserve"> </v>
      </c>
      <c r="BW36" s="94" t="str">
        <f>IF($O36&lt;&gt;0,IF($O36&lt;&gt;0,S36/$O36*10,0)," ")</f>
        <v xml:space="preserve"> </v>
      </c>
      <c r="BX36" s="94" t="str">
        <f>IF($O36&lt;&gt;0,IF($O36&lt;&gt;0,T36/$O36*10,0)," ")</f>
        <v xml:space="preserve"> </v>
      </c>
      <c r="BY36" s="94" t="str">
        <f t="shared" si="55"/>
        <v xml:space="preserve"> </v>
      </c>
      <c r="BZ36" s="95" t="str">
        <f t="shared" si="10"/>
        <v xml:space="preserve"> </v>
      </c>
      <c r="CA36" s="96" t="e">
        <f>#REF!</f>
        <v>#REF!</v>
      </c>
      <c r="CB36" s="94" t="str">
        <f t="shared" si="11"/>
        <v xml:space="preserve"> </v>
      </c>
      <c r="CC36" s="95" t="str">
        <f t="shared" si="11"/>
        <v xml:space="preserve"> </v>
      </c>
      <c r="CD36" s="97" t="str">
        <f>IFERROR(AR36*10/($I36+$J36),"")</f>
        <v/>
      </c>
      <c r="CE36" s="98" t="str">
        <f>IFERROR(AS36*10/($I36+$J36),"")</f>
        <v/>
      </c>
      <c r="CF36" s="94" t="str">
        <f t="shared" si="56"/>
        <v>0,00</v>
      </c>
      <c r="CG36" s="94" t="str">
        <f t="shared" si="56"/>
        <v>0,00</v>
      </c>
      <c r="CH36" s="95" t="str">
        <f t="shared" si="57"/>
        <v xml:space="preserve">0,00 </v>
      </c>
      <c r="CI36" s="96" t="e">
        <f>#REF!</f>
        <v>#REF!</v>
      </c>
      <c r="CJ36" s="94" t="str">
        <f t="shared" si="58"/>
        <v>0,00</v>
      </c>
      <c r="CK36" s="94" t="str">
        <f t="shared" si="58"/>
        <v>0,00</v>
      </c>
      <c r="CL36" s="95" t="str">
        <f t="shared" si="68"/>
        <v xml:space="preserve">0,00 </v>
      </c>
      <c r="CM36" s="95" t="e">
        <f>#REF!</f>
        <v>#REF!</v>
      </c>
      <c r="CN36" s="94" t="str">
        <f t="shared" si="59"/>
        <v>0,00</v>
      </c>
      <c r="CO36" s="94" t="str">
        <f t="shared" si="59"/>
        <v>0,00</v>
      </c>
      <c r="CP36" s="95" t="str">
        <f t="shared" si="60"/>
        <v xml:space="preserve">0,00 </v>
      </c>
      <c r="CQ36" s="95" t="e">
        <f>#REF!</f>
        <v>#REF!</v>
      </c>
      <c r="CR36" s="97" t="str">
        <f t="shared" si="69"/>
        <v xml:space="preserve">0,00 </v>
      </c>
      <c r="CS36" s="95" t="str">
        <f t="shared" si="69"/>
        <v xml:space="preserve">0,00 </v>
      </c>
      <c r="CT36" s="96" t="e">
        <f>#REF!</f>
        <v>#REF!</v>
      </c>
      <c r="CU36" s="97" t="str">
        <f t="shared" si="70"/>
        <v xml:space="preserve">0,00 </v>
      </c>
      <c r="CV36" s="95" t="str">
        <f t="shared" si="61"/>
        <v xml:space="preserve">0,00 </v>
      </c>
      <c r="CW36" s="96" t="e">
        <f>#REF!</f>
        <v>#REF!</v>
      </c>
      <c r="CX36" s="99" t="str">
        <f t="shared" si="62"/>
        <v xml:space="preserve"> </v>
      </c>
      <c r="CY36" s="95" t="str">
        <f t="shared" si="62"/>
        <v xml:space="preserve"> </v>
      </c>
      <c r="CZ36" s="99" t="str">
        <f t="shared" si="62"/>
        <v xml:space="preserve"> </v>
      </c>
      <c r="DA36" s="95" t="str">
        <f t="shared" si="62"/>
        <v xml:space="preserve"> </v>
      </c>
      <c r="DB36" s="94" t="str">
        <f t="shared" si="13"/>
        <v xml:space="preserve"> </v>
      </c>
      <c r="DC36" s="94" t="str">
        <f t="shared" ref="DC36:DH36" si="79">IF($O36&lt;&gt;0,IF($O36&lt;&gt;0,BB36/$O36*10,0)," ")</f>
        <v xml:space="preserve"> </v>
      </c>
      <c r="DD36" s="94" t="str">
        <f t="shared" si="79"/>
        <v xml:space="preserve"> </v>
      </c>
      <c r="DE36" s="94" t="str">
        <f t="shared" si="79"/>
        <v xml:space="preserve"> </v>
      </c>
      <c r="DF36" s="94" t="str">
        <f t="shared" si="79"/>
        <v xml:space="preserve"> </v>
      </c>
      <c r="DG36" s="94" t="str">
        <f t="shared" si="79"/>
        <v xml:space="preserve"> </v>
      </c>
      <c r="DH36" s="95" t="str">
        <f t="shared" si="79"/>
        <v xml:space="preserve"> </v>
      </c>
      <c r="DI36" s="96" t="e">
        <f>#REF!</f>
        <v>#REF!</v>
      </c>
      <c r="DJ36" s="95" t="str">
        <f t="shared" si="63"/>
        <v xml:space="preserve"> </v>
      </c>
      <c r="DK36" s="96" t="e">
        <f>#REF!</f>
        <v>#REF!</v>
      </c>
      <c r="DL36" s="95" t="str">
        <f t="shared" si="15"/>
        <v xml:space="preserve"> </v>
      </c>
      <c r="DM36" s="96">
        <f t="shared" si="16"/>
        <v>0</v>
      </c>
      <c r="DN36" s="94" t="str">
        <f t="shared" si="17"/>
        <v/>
      </c>
      <c r="DO36" s="100">
        <v>3.4</v>
      </c>
      <c r="DP36" s="94" t="str">
        <f>IF($O36&lt;&gt;0,IF($O36&lt;&gt;0,BL36/$O36*10,0)," ")</f>
        <v xml:space="preserve"> </v>
      </c>
      <c r="DQ36" s="94">
        <f>IF($P36&lt;&gt;0,IF($P36&lt;&gt;0,BM36/$P36*10,0)," ")</f>
        <v>3.4312436711835326</v>
      </c>
      <c r="DR36" s="101"/>
      <c r="DS36" s="173"/>
      <c r="DT36" s="134">
        <v>31</v>
      </c>
      <c r="DU36" s="76"/>
      <c r="DV36" s="76"/>
      <c r="DW36" s="76"/>
      <c r="DX36" s="76"/>
      <c r="DY36" s="76"/>
      <c r="DZ36" s="76"/>
      <c r="EA36" s="77"/>
      <c r="EB36" s="77"/>
      <c r="EC36" s="77"/>
      <c r="ED36" s="76"/>
      <c r="EE36" s="77"/>
      <c r="EF36" s="77"/>
      <c r="EG36" s="76"/>
      <c r="EH36" s="76"/>
      <c r="EI36" s="76"/>
      <c r="EJ36" s="77"/>
      <c r="EK36" s="77"/>
      <c r="EL36" s="76"/>
      <c r="EM36" s="76"/>
      <c r="EN36" s="77"/>
      <c r="EO36" s="76"/>
      <c r="EP36" s="77"/>
      <c r="EQ36" s="77"/>
      <c r="ER36" s="77"/>
      <c r="ES36" s="77"/>
      <c r="ET36" s="77"/>
      <c r="EU36" s="77"/>
      <c r="EV36" s="77"/>
      <c r="EW36" s="77"/>
      <c r="EX36" s="76"/>
      <c r="EY36" s="76"/>
      <c r="EZ36" s="76"/>
      <c r="FA36" s="76"/>
      <c r="FB36" s="77"/>
      <c r="FC36" s="76"/>
      <c r="FD36" s="104"/>
      <c r="FE36" s="105"/>
      <c r="FF36" s="79"/>
      <c r="FG36" s="79"/>
      <c r="FH36" s="77"/>
      <c r="FI36" s="79"/>
      <c r="FJ36" s="77"/>
      <c r="FK36" s="79"/>
      <c r="FL36" s="79"/>
      <c r="FM36" s="79"/>
      <c r="FN36" s="80">
        <f t="shared" si="73"/>
        <v>0</v>
      </c>
      <c r="FO36" s="77"/>
      <c r="FP36" s="189"/>
      <c r="FY36" s="119">
        <v>31</v>
      </c>
      <c r="FZ36" s="190"/>
      <c r="GA36" s="192"/>
      <c r="GB36" s="190"/>
      <c r="GC36" s="109"/>
      <c r="GD36" s="110"/>
      <c r="GE36" s="110"/>
      <c r="GF36" s="111"/>
      <c r="GG36" s="111"/>
      <c r="GH36" s="111"/>
      <c r="GI36" s="164"/>
      <c r="GJ36" s="111" t="e">
        <f t="shared" si="64"/>
        <v>#DIV/0!</v>
      </c>
    </row>
    <row r="37" spans="1:193" s="10" customFormat="1" ht="15" customHeight="1">
      <c r="A37" s="64" t="s">
        <v>127</v>
      </c>
      <c r="B37" s="193" t="s">
        <v>128</v>
      </c>
      <c r="C37" s="194"/>
      <c r="D37" s="195">
        <f>SUM(D6:D36)</f>
        <v>37746</v>
      </c>
      <c r="E37" s="196">
        <f t="shared" ref="E37:M37" si="80">SUM(E6:E36)</f>
        <v>61317.48</v>
      </c>
      <c r="F37" s="196">
        <f t="shared" si="80"/>
        <v>39199.32</v>
      </c>
      <c r="G37" s="196">
        <f t="shared" si="80"/>
        <v>66952.527000000002</v>
      </c>
      <c r="H37" s="196">
        <f t="shared" si="80"/>
        <v>115311.151</v>
      </c>
      <c r="I37" s="195">
        <f t="shared" si="80"/>
        <v>29622.023000000001</v>
      </c>
      <c r="J37" s="195">
        <f t="shared" si="80"/>
        <v>89916.215999999986</v>
      </c>
      <c r="K37" s="195">
        <f t="shared" si="80"/>
        <v>36.317999999999998</v>
      </c>
      <c r="L37" s="195">
        <f t="shared" si="80"/>
        <v>3424.576</v>
      </c>
      <c r="M37" s="197">
        <f t="shared" si="80"/>
        <v>119538.239</v>
      </c>
      <c r="N37" s="198">
        <f>SUM(N6:N36)</f>
        <v>320526.47799999994</v>
      </c>
      <c r="O37" s="199">
        <f>SUM(O6:O36)</f>
        <v>383744.24149999995</v>
      </c>
      <c r="P37" s="200">
        <f>P36</f>
        <v>383744.24149999995</v>
      </c>
      <c r="Q37" s="201">
        <f>SUM(Q6:Q33)</f>
        <v>0</v>
      </c>
      <c r="R37" s="196">
        <f>SUM(R6:R36)</f>
        <v>4115</v>
      </c>
      <c r="S37" s="196">
        <f t="shared" ref="S37:Z37" si="81">SUM(S6:S36)</f>
        <v>1399.2</v>
      </c>
      <c r="T37" s="196">
        <f t="shared" si="81"/>
        <v>9139.6999999999989</v>
      </c>
      <c r="U37" s="202">
        <f t="shared" si="81"/>
        <v>77.599999999999994</v>
      </c>
      <c r="V37" s="196">
        <f t="shared" si="81"/>
        <v>25762</v>
      </c>
      <c r="W37" s="202">
        <f t="shared" si="81"/>
        <v>-18444.399999999998</v>
      </c>
      <c r="X37" s="196">
        <f t="shared" si="81"/>
        <v>25762</v>
      </c>
      <c r="Y37" s="196">
        <f t="shared" si="81"/>
        <v>697.00000000000011</v>
      </c>
      <c r="Z37" s="196">
        <f t="shared" si="81"/>
        <v>2618.9</v>
      </c>
      <c r="AA37" s="203">
        <f>SUM(R37:V37)</f>
        <v>40493.5</v>
      </c>
      <c r="AB37" s="196">
        <f t="shared" ref="AB37:AZ37" si="82">SUM(AB6:AB36)</f>
        <v>2360</v>
      </c>
      <c r="AC37" s="196">
        <f t="shared" si="82"/>
        <v>738</v>
      </c>
      <c r="AD37" s="203">
        <f t="shared" si="82"/>
        <v>5534</v>
      </c>
      <c r="AE37" s="203">
        <f t="shared" si="82"/>
        <v>2436</v>
      </c>
      <c r="AF37" s="196">
        <f>SUM(AF6:AF36)</f>
        <v>2907</v>
      </c>
      <c r="AG37" s="196">
        <f>SUM(AG6:AG36)</f>
        <v>1008</v>
      </c>
      <c r="AH37" s="203">
        <f t="shared" si="82"/>
        <v>5490</v>
      </c>
      <c r="AI37" s="203">
        <f t="shared" si="82"/>
        <v>1575</v>
      </c>
      <c r="AJ37" s="196">
        <f t="shared" si="82"/>
        <v>3505</v>
      </c>
      <c r="AK37" s="196">
        <f t="shared" si="82"/>
        <v>776</v>
      </c>
      <c r="AL37" s="203">
        <f t="shared" si="82"/>
        <v>5650</v>
      </c>
      <c r="AM37" s="203">
        <f t="shared" si="82"/>
        <v>1369</v>
      </c>
      <c r="AN37" s="196">
        <f t="shared" si="82"/>
        <v>418</v>
      </c>
      <c r="AO37" s="203">
        <f t="shared" si="82"/>
        <v>873</v>
      </c>
      <c r="AP37" s="196">
        <f t="shared" si="82"/>
        <v>563</v>
      </c>
      <c r="AQ37" s="203">
        <f t="shared" si="82"/>
        <v>1129</v>
      </c>
      <c r="AR37" s="196">
        <f t="shared" si="82"/>
        <v>1335.35</v>
      </c>
      <c r="AS37" s="203">
        <f t="shared" si="82"/>
        <v>2139.3499999999995</v>
      </c>
      <c r="AT37" s="203">
        <f t="shared" si="82"/>
        <v>14458.350000000002</v>
      </c>
      <c r="AU37" s="204">
        <f t="shared" si="82"/>
        <v>4163</v>
      </c>
      <c r="AV37" s="203">
        <f t="shared" si="82"/>
        <v>826</v>
      </c>
      <c r="AW37" s="204">
        <f t="shared" si="82"/>
        <v>8156</v>
      </c>
      <c r="AX37" s="203">
        <f t="shared" si="82"/>
        <v>1459</v>
      </c>
      <c r="AY37" s="203">
        <f t="shared" si="82"/>
        <v>45.099999999999994</v>
      </c>
      <c r="AZ37" s="196">
        <f t="shared" si="82"/>
        <v>5910</v>
      </c>
      <c r="BA37" s="196">
        <f>SUM(BA6:BA36)</f>
        <v>1410</v>
      </c>
      <c r="BB37" s="196">
        <f>SUM(BB6:BB35)</f>
        <v>2151</v>
      </c>
      <c r="BC37" s="196">
        <f t="shared" ref="BC37:BJ37" si="83">SUM(BC6:BC36)</f>
        <v>14033</v>
      </c>
      <c r="BD37" s="202">
        <f t="shared" si="83"/>
        <v>4811</v>
      </c>
      <c r="BE37" s="196">
        <f t="shared" si="83"/>
        <v>0</v>
      </c>
      <c r="BF37" s="196">
        <f t="shared" si="83"/>
        <v>0</v>
      </c>
      <c r="BG37" s="203">
        <f t="shared" si="83"/>
        <v>22094</v>
      </c>
      <c r="BH37" s="203">
        <f t="shared" si="83"/>
        <v>9744</v>
      </c>
      <c r="BI37" s="196">
        <f t="shared" si="83"/>
        <v>36240.149999999994</v>
      </c>
      <c r="BJ37" s="196">
        <f t="shared" si="83"/>
        <v>85687.849999999991</v>
      </c>
      <c r="BK37" s="205"/>
      <c r="BL37" s="196">
        <f>SUM(BL6:BL36)</f>
        <v>131672</v>
      </c>
      <c r="BM37" s="196">
        <f>BM36</f>
        <v>131672</v>
      </c>
      <c r="BN37" s="205"/>
      <c r="BO37" s="94">
        <f>IF($N37&lt;&gt;0,IF($N37&lt;&gt;0,R37/$N37*10,0)," ")</f>
        <v>0.1283825294458201</v>
      </c>
      <c r="BP37" s="206">
        <f>S37/$N$37/0.1</f>
        <v>4.3653179878637052E-2</v>
      </c>
      <c r="BQ37" s="94">
        <f>IF($N37&lt;&gt;0,IF($N37&lt;&gt;0,T37/$N37*10,0)," ")</f>
        <v>0.28514648952028232</v>
      </c>
      <c r="BR37" s="94">
        <f>IF($N37&lt;&gt;0,IF($N37&lt;&gt;0,(V37)/$N37*10,0)," ")</f>
        <v>0.80374015153905642</v>
      </c>
      <c r="BS37" s="206">
        <f>IF($N37&lt;&gt;0,IF($N37&lt;&gt;0,Y37/$N37*10,0)," ")</f>
        <v>2.1745473395804769E-2</v>
      </c>
      <c r="BT37" s="206">
        <f>IF($N37&lt;&gt;0,IF($N37&lt;&gt;0,Z37/$N37*10,0)," ")</f>
        <v>8.1706198387766285E-2</v>
      </c>
      <c r="BU37" s="207">
        <f>IF($N37&lt;&gt;0,IF($N37&lt;&gt;0,AA37/$N37*10,0)," ")</f>
        <v>1.263343367220976</v>
      </c>
      <c r="BV37" s="206">
        <f>R37/$O$37/0.1</f>
        <v>0.10723287948022538</v>
      </c>
      <c r="BW37" s="206">
        <f>S37/$O$37/0.1</f>
        <v>3.6461784925572623E-2</v>
      </c>
      <c r="BX37" s="206">
        <f>(T37+U37)/$O$37/0.1</f>
        <v>0.24019383232881686</v>
      </c>
      <c r="BY37" s="206">
        <f>(V37)/$O$37/0.1</f>
        <v>0.67133254949442678</v>
      </c>
      <c r="BZ37" s="198">
        <f>AA37/$O$37/0.1</f>
        <v>1.0552210462290417</v>
      </c>
      <c r="CA37" s="208" t="e">
        <f>#REF!</f>
        <v>#REF!</v>
      </c>
      <c r="CB37" s="209">
        <f>IF($O37&lt;&gt;0,IF($O37&lt;&gt;0,AR37/$O37*10,0)," ")</f>
        <v>3.4797916309579333E-2</v>
      </c>
      <c r="CC37" s="210">
        <f>IF($O37&lt;&gt;0,IF($O37&lt;&gt;0,AS37/$O37*10,0)," ")</f>
        <v>5.5749370769385208E-2</v>
      </c>
      <c r="CD37" s="211">
        <f>IFERROR(AR37*10/($I37+$J37),"")</f>
        <v>0.11170902392162563</v>
      </c>
      <c r="CE37" s="212">
        <f>IFERROR(AS37*10/(($I37+$J37)),"")</f>
        <v>0.1789678363925036</v>
      </c>
      <c r="CF37" s="206">
        <f>AB37/$D$37/0.1</f>
        <v>0.62523181264239913</v>
      </c>
      <c r="CG37" s="206">
        <f>AC37/$D$37/0.1</f>
        <v>0.195517405817835</v>
      </c>
      <c r="CH37" s="198">
        <f>AD37/$D$37/0.1</f>
        <v>1.466115614899592</v>
      </c>
      <c r="CI37" s="208" t="e">
        <f>#REF!</f>
        <v>#REF!</v>
      </c>
      <c r="CJ37" s="206">
        <f>AF37/$E$37/0.1</f>
        <v>0.47408993324578891</v>
      </c>
      <c r="CK37" s="206">
        <f>AG37/$E$37/0.1</f>
        <v>0.16439031741030452</v>
      </c>
      <c r="CL37" s="198">
        <f>AH37/$E$37/0.1</f>
        <v>0.89534012160969423</v>
      </c>
      <c r="CM37" s="95" t="e">
        <f>#REF!</f>
        <v>#REF!</v>
      </c>
      <c r="CN37" s="206">
        <f>AJ37/$F$37/0.1</f>
        <v>0.8941481637946781</v>
      </c>
      <c r="CO37" s="206">
        <f>AK37/$F$37/0.1</f>
        <v>0.19796261771887877</v>
      </c>
      <c r="CP37" s="198">
        <f>AL37/$F$37/0.1</f>
        <v>1.441351533649053</v>
      </c>
      <c r="CQ37" s="213" t="e">
        <f>#REF!</f>
        <v>#REF!</v>
      </c>
      <c r="CR37" s="214">
        <f>AN37/$G$37/0.1</f>
        <v>6.2432296244770563E-2</v>
      </c>
      <c r="CS37" s="198">
        <f>AO37/$G$37/0.1</f>
        <v>0.13039089622412606</v>
      </c>
      <c r="CT37" s="208" t="e">
        <f>#REF!</f>
        <v>#REF!</v>
      </c>
      <c r="CU37" s="214">
        <f>AP37/$H$37/0.1</f>
        <v>4.8824419418031825E-2</v>
      </c>
      <c r="CV37" s="198">
        <f>AQ37/$H$37/0.1</f>
        <v>9.7909004481275194E-2</v>
      </c>
      <c r="CW37" s="96" t="e">
        <f>#REF!</f>
        <v>#REF!</v>
      </c>
      <c r="CX37" s="99">
        <f t="shared" si="62"/>
        <v>0.10848371258230335</v>
      </c>
      <c r="CY37" s="95">
        <f t="shared" si="62"/>
        <v>2.152475296492495E-2</v>
      </c>
      <c r="CZ37" s="99">
        <f t="shared" si="62"/>
        <v>0.21253739126141394</v>
      </c>
      <c r="DA37" s="198">
        <f>IF($O37&lt;&gt;0,IF($O37&lt;&gt;0,AX37/$O37*10,0)," ")</f>
        <v>3.8020114498578089E-2</v>
      </c>
      <c r="DB37" s="206">
        <f>AZ37/$O$37/0.1</f>
        <v>0.15400882569334923</v>
      </c>
      <c r="DC37" s="206">
        <f t="shared" ref="DC37:DH37" si="84">BB37/$O$37/0.1</f>
        <v>5.6052958386868718E-2</v>
      </c>
      <c r="DD37" s="215">
        <f t="shared" si="84"/>
        <v>0.36568626919708452</v>
      </c>
      <c r="DE37" s="215">
        <f t="shared" si="84"/>
        <v>0.12536995946035584</v>
      </c>
      <c r="DF37" s="215">
        <f t="shared" si="84"/>
        <v>0</v>
      </c>
      <c r="DG37" s="215">
        <f t="shared" si="84"/>
        <v>0</v>
      </c>
      <c r="DH37" s="216">
        <f t="shared" si="84"/>
        <v>0.57574805327730239</v>
      </c>
      <c r="DI37" s="217" t="e">
        <f>#REF!</f>
        <v>#REF!</v>
      </c>
      <c r="DJ37" s="216">
        <f>BH37/$O$37/0.1</f>
        <v>0.25391911972182651</v>
      </c>
      <c r="DK37" s="217" t="e">
        <f>#REF!</f>
        <v>#REF!</v>
      </c>
      <c r="DL37" s="213">
        <f>BI37/$O$37/0.1</f>
        <v>0.94438290092230603</v>
      </c>
      <c r="DM37" s="96">
        <f t="shared" si="16"/>
        <v>0</v>
      </c>
      <c r="DN37" s="206">
        <f>BJ37/$O$37/0.1</f>
        <v>2.2329416505393995</v>
      </c>
      <c r="DO37" s="100">
        <v>3.4</v>
      </c>
      <c r="DP37" s="206">
        <f>BL37/$O$37/0.1</f>
        <v>3.4312436711835326</v>
      </c>
      <c r="DQ37" s="218" t="str">
        <f>IF($Q37&lt;&gt;0,IF($Q37&lt;&gt;0,BM37/$Q37*10,0)," ")</f>
        <v xml:space="preserve"> </v>
      </c>
      <c r="DR37" s="101" t="e">
        <f>#REF!</f>
        <v>#REF!</v>
      </c>
      <c r="DS37" s="64"/>
      <c r="DT37" s="64"/>
      <c r="DU37" s="219"/>
      <c r="DV37" s="219"/>
      <c r="DW37" s="219"/>
      <c r="DX37" s="219"/>
      <c r="DY37" s="219"/>
      <c r="DZ37" s="219"/>
      <c r="EA37" s="219"/>
      <c r="EB37" s="220"/>
      <c r="EC37" s="219"/>
      <c r="ED37" s="219"/>
      <c r="EE37" s="219"/>
      <c r="EF37" s="219"/>
      <c r="EG37" s="219"/>
      <c r="EH37" s="219"/>
      <c r="EI37" s="219"/>
      <c r="EJ37" s="220"/>
      <c r="EK37" s="220"/>
      <c r="EL37" s="219"/>
      <c r="EM37" s="219"/>
      <c r="EN37" s="220"/>
      <c r="EO37" s="219"/>
      <c r="EP37" s="220"/>
      <c r="EQ37" s="220"/>
      <c r="ER37" s="220"/>
      <c r="ES37" s="220"/>
      <c r="ET37" s="220"/>
      <c r="EU37" s="220"/>
      <c r="EV37" s="220"/>
      <c r="EW37" s="220"/>
      <c r="EX37" s="219"/>
      <c r="EY37" s="219"/>
      <c r="EZ37" s="219"/>
      <c r="FA37" s="219"/>
      <c r="FB37" s="219"/>
      <c r="FC37" s="219"/>
      <c r="FD37" s="220"/>
      <c r="FE37" s="574" t="s">
        <v>129</v>
      </c>
      <c r="FF37" s="575"/>
      <c r="FG37" s="575"/>
      <c r="FH37" s="575"/>
      <c r="FI37" s="575"/>
      <c r="FJ37" s="575"/>
      <c r="FK37" s="575"/>
      <c r="FL37" s="575"/>
      <c r="FM37" s="576"/>
      <c r="FN37" s="220"/>
      <c r="FO37" s="220"/>
      <c r="FP37" s="64"/>
      <c r="FQ37" s="64"/>
      <c r="FR37" s="64"/>
      <c r="FS37" s="64"/>
      <c r="FT37" s="64"/>
      <c r="FU37" s="64"/>
      <c r="FV37" s="64"/>
      <c r="FW37" s="64"/>
      <c r="FX37" s="64"/>
      <c r="FY37" s="64"/>
      <c r="FZ37" s="221">
        <f>SUM(FZ6:FZ36)</f>
        <v>38276</v>
      </c>
      <c r="GA37" s="221">
        <f t="shared" ref="GA37:GI37" si="85">SUM(GA6:GA36)</f>
        <v>6040</v>
      </c>
      <c r="GB37" s="221">
        <f t="shared" si="85"/>
        <v>6.4779304812053722</v>
      </c>
      <c r="GC37" s="221">
        <f t="shared" si="85"/>
        <v>0</v>
      </c>
      <c r="GD37" s="221">
        <f t="shared" si="85"/>
        <v>0</v>
      </c>
      <c r="GE37" s="221">
        <f t="shared" si="85"/>
        <v>0</v>
      </c>
      <c r="GF37" s="221">
        <f t="shared" si="85"/>
        <v>0</v>
      </c>
      <c r="GG37" s="221">
        <f t="shared" si="85"/>
        <v>0</v>
      </c>
      <c r="GH37" s="221">
        <f t="shared" si="85"/>
        <v>0</v>
      </c>
      <c r="GI37" s="221">
        <f t="shared" si="85"/>
        <v>0</v>
      </c>
      <c r="GJ37" s="111">
        <f t="shared" si="64"/>
        <v>0</v>
      </c>
      <c r="GK37" s="222"/>
    </row>
    <row r="38" spans="1:193" s="10" customFormat="1">
      <c r="A38" s="64"/>
      <c r="B38" s="223" t="s">
        <v>130</v>
      </c>
      <c r="C38" s="64"/>
      <c r="F38" s="224"/>
      <c r="G38" s="224"/>
      <c r="I38" s="225"/>
      <c r="J38" s="225"/>
      <c r="K38" s="225"/>
      <c r="L38" s="225"/>
      <c r="M38" s="226"/>
      <c r="N38" s="227"/>
      <c r="O38" s="227"/>
      <c r="P38" s="102"/>
      <c r="Q38" s="64"/>
      <c r="R38" s="228"/>
      <c r="S38" s="228"/>
      <c r="T38" s="228"/>
      <c r="U38" s="228"/>
      <c r="V38" s="229"/>
      <c r="W38" s="229"/>
      <c r="X38" s="229"/>
      <c r="Y38" s="229"/>
      <c r="Z38" s="229"/>
      <c r="AA38" s="230"/>
      <c r="AB38" s="152"/>
      <c r="AC38" s="152"/>
      <c r="AD38" s="153"/>
      <c r="AE38" s="231"/>
      <c r="AF38" s="152"/>
      <c r="AG38" s="152"/>
      <c r="AH38" s="152"/>
      <c r="AI38" s="231"/>
      <c r="AJ38" s="152"/>
      <c r="AK38" s="152"/>
      <c r="AL38" s="152"/>
      <c r="AM38" s="231"/>
      <c r="AN38" s="152"/>
      <c r="AO38" s="231"/>
      <c r="AP38" s="152"/>
      <c r="AQ38" s="231"/>
      <c r="AR38" s="232"/>
      <c r="AS38" s="230"/>
      <c r="AT38" s="230"/>
      <c r="AU38" s="232"/>
      <c r="AV38" s="152"/>
      <c r="AW38" s="232"/>
      <c r="AX38" s="152"/>
      <c r="AY38" s="152"/>
      <c r="AZ38" s="152"/>
      <c r="BA38" s="152"/>
      <c r="BB38" s="152"/>
      <c r="BC38" s="152"/>
      <c r="BD38" s="228"/>
      <c r="BE38" s="228"/>
      <c r="BF38" s="228"/>
      <c r="BG38" s="152"/>
      <c r="BH38" s="152"/>
      <c r="BI38" s="233"/>
      <c r="BJ38" s="233"/>
      <c r="BK38" s="234"/>
      <c r="BL38" s="235"/>
      <c r="BM38" s="233"/>
      <c r="BN38" s="234"/>
      <c r="BO38" s="178"/>
      <c r="BP38" s="178"/>
      <c r="BQ38" s="178"/>
      <c r="BR38" s="178"/>
      <c r="BS38" s="178"/>
      <c r="BT38" s="178"/>
      <c r="BU38" s="178"/>
      <c r="BV38" s="178"/>
      <c r="BW38" s="178"/>
      <c r="BX38" s="178"/>
      <c r="BY38" s="178"/>
      <c r="BZ38" s="64"/>
      <c r="CA38" s="236"/>
      <c r="CB38" s="236"/>
      <c r="CC38" s="236"/>
      <c r="CD38" s="236"/>
      <c r="CE38" s="236"/>
      <c r="CF38" s="237"/>
      <c r="CG38" s="237"/>
      <c r="CH38" s="64"/>
      <c r="CI38" s="236"/>
      <c r="CJ38" s="236"/>
      <c r="CK38" s="236"/>
      <c r="CL38" s="236"/>
      <c r="CM38" s="236"/>
      <c r="CN38" s="236"/>
      <c r="CO38" s="236"/>
      <c r="CP38" s="236"/>
      <c r="CQ38" s="236"/>
      <c r="CR38" s="64"/>
      <c r="CS38" s="238"/>
      <c r="CT38" s="236"/>
      <c r="CU38" s="236"/>
      <c r="CV38" s="239"/>
      <c r="CW38" s="236"/>
      <c r="CX38" s="236"/>
      <c r="CY38" s="236"/>
      <c r="CZ38" s="236"/>
      <c r="DA38" s="236"/>
      <c r="DB38" s="64"/>
      <c r="DC38" s="64"/>
      <c r="DD38" s="64"/>
      <c r="DE38" s="64"/>
      <c r="DF38" s="64"/>
      <c r="DG38" s="64"/>
      <c r="DH38" s="240"/>
      <c r="DI38" s="236"/>
      <c r="DJ38" s="241"/>
      <c r="DK38" s="242"/>
      <c r="DL38" s="243"/>
      <c r="DM38" s="242"/>
      <c r="DN38" s="64"/>
      <c r="DO38" s="100"/>
      <c r="DP38" s="240"/>
      <c r="DQ38" s="244"/>
      <c r="DR38" s="245"/>
      <c r="DS38" s="64"/>
      <c r="DT38" s="64"/>
      <c r="DU38" s="246"/>
      <c r="DV38" s="246"/>
      <c r="DW38" s="246"/>
      <c r="DX38" s="219"/>
      <c r="DY38" s="219"/>
      <c r="DZ38" s="219"/>
      <c r="EA38" s="246"/>
      <c r="EB38" s="246"/>
      <c r="EC38" s="9"/>
      <c r="ED38" s="9"/>
      <c r="EE38" s="246"/>
      <c r="EF38" s="246"/>
      <c r="EG38" s="9"/>
      <c r="EH38" s="9"/>
      <c r="EI38" s="9"/>
      <c r="EJ38" s="64"/>
      <c r="EK38" s="64"/>
      <c r="EL38" s="9"/>
      <c r="EM38" s="9"/>
      <c r="EN38" s="64"/>
      <c r="EO38" s="9"/>
      <c r="EP38" s="220"/>
      <c r="EQ38" s="64"/>
      <c r="ER38" s="64"/>
      <c r="ES38" s="247"/>
      <c r="ET38" s="248"/>
      <c r="EU38" s="220"/>
      <c r="EV38" s="220"/>
      <c r="EW38" s="246"/>
      <c r="EX38" s="64"/>
      <c r="EY38" s="64"/>
      <c r="EZ38" s="64"/>
      <c r="FA38" s="64"/>
      <c r="FB38" s="64"/>
      <c r="FC38" s="141"/>
      <c r="FD38" s="249" t="s">
        <v>53</v>
      </c>
      <c r="FE38" s="250">
        <v>0</v>
      </c>
      <c r="FF38" s="251">
        <v>894316</v>
      </c>
      <c r="FG38" s="251">
        <v>347950</v>
      </c>
      <c r="FH38" s="251">
        <v>896681</v>
      </c>
      <c r="FI38" s="252">
        <v>747782</v>
      </c>
      <c r="FJ38" s="253">
        <v>698101</v>
      </c>
      <c r="FK38" s="252">
        <v>1175438</v>
      </c>
      <c r="FL38" s="250">
        <v>944288.5</v>
      </c>
      <c r="FM38" s="252">
        <v>556200</v>
      </c>
      <c r="FN38" s="220"/>
      <c r="FO38" s="152"/>
      <c r="FP38" s="220"/>
      <c r="FQ38" s="9"/>
      <c r="FR38" s="64"/>
      <c r="FS38" s="64"/>
      <c r="FT38" s="64"/>
      <c r="FU38" s="64"/>
      <c r="FV38" s="64"/>
      <c r="FW38" s="64"/>
      <c r="FX38" s="64"/>
      <c r="FY38" s="64"/>
      <c r="FZ38" s="9"/>
      <c r="GA38" s="64"/>
      <c r="GB38" s="64"/>
      <c r="GC38" s="64"/>
      <c r="GD38" s="64"/>
      <c r="GE38" s="64"/>
      <c r="GF38" s="64"/>
      <c r="GG38" s="64"/>
      <c r="GH38" s="64"/>
      <c r="GI38" s="64"/>
      <c r="GJ38" s="64"/>
    </row>
    <row r="39" spans="1:193" s="10" customFormat="1">
      <c r="A39" s="64"/>
      <c r="B39" s="64"/>
      <c r="C39" s="64"/>
      <c r="E39" s="64"/>
      <c r="F39" s="224">
        <v>501</v>
      </c>
      <c r="G39" s="10">
        <v>502</v>
      </c>
      <c r="H39" s="10">
        <v>503</v>
      </c>
      <c r="I39" s="225">
        <v>511</v>
      </c>
      <c r="J39" s="225">
        <v>512</v>
      </c>
      <c r="K39" s="225">
        <v>561</v>
      </c>
      <c r="L39" s="225">
        <v>562</v>
      </c>
      <c r="M39" s="254">
        <v>563</v>
      </c>
      <c r="N39" s="255"/>
      <c r="O39" s="256"/>
      <c r="P39" s="257"/>
      <c r="Q39" s="64"/>
      <c r="R39" s="258"/>
      <c r="S39" s="258"/>
      <c r="T39" s="258"/>
      <c r="U39" s="258"/>
      <c r="V39" s="258"/>
      <c r="W39" s="258"/>
      <c r="X39" s="258"/>
      <c r="Y39" s="258"/>
      <c r="Z39" s="258"/>
      <c r="AA39" s="258"/>
      <c r="AB39" s="152"/>
      <c r="AC39" s="152"/>
      <c r="AD39" s="231"/>
      <c r="AE39" s="152"/>
      <c r="AF39" s="152"/>
      <c r="AG39" s="152"/>
      <c r="AH39" s="152"/>
      <c r="AI39" s="152"/>
      <c r="AJ39" s="152"/>
      <c r="AK39" s="152"/>
      <c r="AL39" s="152"/>
      <c r="AM39" s="152"/>
      <c r="AN39" s="152"/>
      <c r="AO39" s="152"/>
      <c r="AP39" s="152"/>
      <c r="AQ39" s="152"/>
      <c r="AR39" s="258"/>
      <c r="AS39" s="258"/>
      <c r="AT39" s="258"/>
      <c r="AU39" s="258"/>
      <c r="AV39" s="152"/>
      <c r="AW39" s="258"/>
      <c r="AX39" s="152"/>
      <c r="AY39" s="152"/>
      <c r="AZ39" s="152"/>
      <c r="BA39" s="152"/>
      <c r="BB39" s="152"/>
      <c r="BC39" s="231"/>
      <c r="BD39" s="231"/>
      <c r="BE39" s="231"/>
      <c r="BF39" s="231"/>
      <c r="BG39" s="152"/>
      <c r="BH39" s="231"/>
      <c r="BI39" s="116"/>
      <c r="BJ39" s="116"/>
      <c r="BK39" s="259"/>
      <c r="BL39" s="260"/>
      <c r="BM39" s="165"/>
      <c r="BN39" s="259"/>
      <c r="BO39" s="64"/>
      <c r="BP39" s="64"/>
      <c r="BQ39" s="64"/>
      <c r="BR39" s="116"/>
      <c r="BS39" s="116"/>
      <c r="BT39" s="116"/>
      <c r="BU39" s="116"/>
      <c r="BV39" s="64"/>
      <c r="BW39" s="64"/>
      <c r="BX39" s="64"/>
      <c r="BY39" s="116"/>
      <c r="BZ39" s="243"/>
      <c r="CA39" s="243"/>
      <c r="CB39" s="243"/>
      <c r="CC39" s="243"/>
      <c r="CD39" s="243"/>
      <c r="CE39" s="243"/>
      <c r="CF39" s="141"/>
      <c r="CG39" s="237"/>
      <c r="CH39" s="243"/>
      <c r="CI39" s="243"/>
      <c r="CJ39" s="243"/>
      <c r="CK39" s="243"/>
      <c r="CL39" s="243"/>
      <c r="CM39" s="243"/>
      <c r="CN39" s="243"/>
      <c r="CO39" s="243"/>
      <c r="CP39" s="243"/>
      <c r="CQ39" s="243"/>
      <c r="CR39" s="243"/>
      <c r="CS39" s="243"/>
      <c r="CT39" s="243"/>
      <c r="CU39" s="243"/>
      <c r="CV39" s="243"/>
      <c r="CW39" s="243"/>
      <c r="CX39" s="243"/>
      <c r="CY39" s="116"/>
      <c r="CZ39" s="243"/>
      <c r="DA39" s="243"/>
      <c r="DB39" s="243"/>
      <c r="DC39" s="243"/>
      <c r="DD39" s="116"/>
      <c r="DE39" s="116"/>
      <c r="DF39" s="116"/>
      <c r="DG39" s="116"/>
      <c r="DH39" s="243"/>
      <c r="DI39" s="243"/>
      <c r="DJ39" s="64"/>
      <c r="DK39" s="64"/>
      <c r="DL39" s="74"/>
      <c r="DM39" s="64"/>
      <c r="DN39" s="74"/>
      <c r="DO39" s="261"/>
      <c r="DP39" s="262"/>
      <c r="DQ39" s="263"/>
      <c r="DR39" s="244"/>
      <c r="DS39" s="64"/>
      <c r="DT39" s="64"/>
      <c r="DU39" s="246"/>
      <c r="DV39" s="246"/>
      <c r="DW39" s="246"/>
      <c r="DX39" s="219"/>
      <c r="DY39" s="219"/>
      <c r="DZ39" s="219"/>
      <c r="EA39" s="246"/>
      <c r="EB39" s="246"/>
      <c r="EC39" s="9"/>
      <c r="ED39" s="9"/>
      <c r="EE39" s="246"/>
      <c r="EF39" s="246"/>
      <c r="EG39" s="9"/>
      <c r="EH39" s="9"/>
      <c r="EI39" s="9"/>
      <c r="EJ39" s="64"/>
      <c r="EK39" s="64"/>
      <c r="EL39" s="9"/>
      <c r="EM39" s="9"/>
      <c r="EN39" s="64"/>
      <c r="EO39" s="9"/>
      <c r="EP39" s="220"/>
      <c r="EQ39" s="64"/>
      <c r="ER39" s="64"/>
      <c r="ES39" s="257"/>
      <c r="ET39" s="74"/>
      <c r="EU39" s="64"/>
      <c r="EV39" s="64"/>
      <c r="EW39" s="246"/>
      <c r="EX39" s="64"/>
      <c r="EY39" s="64"/>
      <c r="EZ39" s="64"/>
      <c r="FA39" s="64"/>
      <c r="FB39" s="64"/>
      <c r="FC39" s="152"/>
      <c r="FD39" s="249">
        <v>1</v>
      </c>
      <c r="FE39" s="250">
        <v>0</v>
      </c>
      <c r="FF39" s="250">
        <v>895013</v>
      </c>
      <c r="FG39" s="250">
        <v>349946</v>
      </c>
      <c r="FH39" s="250">
        <v>898123</v>
      </c>
      <c r="FI39" s="250">
        <v>748348</v>
      </c>
      <c r="FJ39" s="250">
        <v>698821</v>
      </c>
      <c r="FK39" s="250">
        <v>1175438</v>
      </c>
      <c r="FL39" s="250">
        <v>945425.5</v>
      </c>
      <c r="FM39" s="250">
        <v>556200</v>
      </c>
      <c r="FN39" s="152"/>
      <c r="FO39" s="152"/>
      <c r="FP39" s="64"/>
      <c r="FQ39" s="9"/>
      <c r="FR39" s="9"/>
      <c r="FS39" s="9"/>
      <c r="FT39" s="9"/>
      <c r="FU39" s="9"/>
      <c r="FV39" s="9"/>
      <c r="FW39" s="9"/>
      <c r="FX39" s="9"/>
      <c r="FY39" s="9"/>
      <c r="FZ39" s="246"/>
      <c r="GA39" s="64"/>
      <c r="GB39" s="64"/>
      <c r="GC39" s="64"/>
      <c r="GD39" s="64"/>
      <c r="GE39" s="64"/>
      <c r="GF39" s="64"/>
      <c r="GG39" s="64"/>
      <c r="GH39" s="64"/>
      <c r="GI39" s="64"/>
      <c r="GJ39" s="64"/>
    </row>
    <row r="40" spans="1:193">
      <c r="FC40" s="220"/>
      <c r="FD40" s="249">
        <v>2</v>
      </c>
      <c r="FE40" s="250">
        <v>0</v>
      </c>
      <c r="FF40" s="250">
        <v>895734</v>
      </c>
      <c r="FG40" s="250">
        <v>351943</v>
      </c>
      <c r="FH40" s="250">
        <v>899043</v>
      </c>
      <c r="FI40" s="250">
        <v>748873</v>
      </c>
      <c r="FJ40" s="250">
        <v>699186</v>
      </c>
      <c r="FK40" s="250">
        <v>1175438</v>
      </c>
      <c r="FL40" s="250">
        <v>947123.5</v>
      </c>
      <c r="FM40" s="250">
        <v>556200</v>
      </c>
    </row>
    <row r="41" spans="1:193">
      <c r="B41" s="220"/>
      <c r="F41" s="64">
        <f>E52</f>
        <v>4800</v>
      </c>
      <c r="G41" s="64">
        <f>E45+E50</f>
        <v>4404.6000000000004</v>
      </c>
      <c r="H41" s="64">
        <f>E43+E44</f>
        <v>2691.4319999999998</v>
      </c>
      <c r="I41" s="64">
        <f>E49+E53</f>
        <v>3904.1620000000003</v>
      </c>
      <c r="J41" s="64">
        <f>E47+E48+E54</f>
        <v>6875.9060000000009</v>
      </c>
      <c r="K41" s="64">
        <f>E46</f>
        <v>802.69100000000003</v>
      </c>
      <c r="L41" s="64">
        <f>E42+E51</f>
        <v>6984</v>
      </c>
      <c r="CH41" s="178"/>
      <c r="CP41" s="178"/>
      <c r="FC41" s="220"/>
      <c r="FD41" s="249">
        <v>3</v>
      </c>
      <c r="FE41" s="250">
        <v>0</v>
      </c>
      <c r="FF41" s="250">
        <v>896169</v>
      </c>
      <c r="FG41" s="250">
        <v>353933</v>
      </c>
      <c r="FH41" s="250">
        <v>901244</v>
      </c>
      <c r="FI41" s="250">
        <v>749457</v>
      </c>
      <c r="FJ41" s="250">
        <v>699954</v>
      </c>
      <c r="FK41" s="250">
        <v>1175438</v>
      </c>
      <c r="FL41" s="250">
        <v>948103.5</v>
      </c>
      <c r="FM41" s="250">
        <v>556200</v>
      </c>
    </row>
    <row r="42" spans="1:193" ht="42">
      <c r="D42" s="64" t="s">
        <v>131</v>
      </c>
      <c r="E42" s="64">
        <v>2170.3200000000002</v>
      </c>
      <c r="FC42" s="220"/>
      <c r="FD42" s="249">
        <v>4</v>
      </c>
      <c r="FE42" s="250"/>
      <c r="FF42" s="250">
        <v>467623</v>
      </c>
      <c r="FG42" s="250">
        <v>830741</v>
      </c>
      <c r="FH42" s="250">
        <v>908626</v>
      </c>
      <c r="FI42" s="250">
        <v>769798</v>
      </c>
      <c r="FJ42" s="250">
        <v>1224659</v>
      </c>
      <c r="FK42" s="250"/>
      <c r="FL42" s="250">
        <v>236534</v>
      </c>
      <c r="FM42" s="250"/>
      <c r="FN42" s="264" t="s">
        <v>132</v>
      </c>
    </row>
    <row r="43" spans="1:193">
      <c r="D43" s="64">
        <v>70100003</v>
      </c>
      <c r="E43" s="64">
        <v>1218.24</v>
      </c>
      <c r="FC43" s="220"/>
      <c r="FD43" s="249">
        <v>5</v>
      </c>
      <c r="FE43" s="250"/>
      <c r="FF43" s="250">
        <v>467762</v>
      </c>
      <c r="FG43" s="250">
        <v>832701</v>
      </c>
      <c r="FH43" s="250">
        <v>910668</v>
      </c>
      <c r="FI43" s="250">
        <v>769798</v>
      </c>
      <c r="FJ43" s="250">
        <v>1225404</v>
      </c>
      <c r="FK43" s="250"/>
      <c r="FL43" s="250">
        <v>238278</v>
      </c>
      <c r="FM43" s="250"/>
    </row>
    <row r="44" spans="1:193">
      <c r="B44" s="220"/>
      <c r="D44" s="64">
        <v>70100003</v>
      </c>
      <c r="E44" s="64">
        <v>1473.192</v>
      </c>
      <c r="FC44" s="220"/>
      <c r="FD44" s="249">
        <v>6</v>
      </c>
      <c r="FE44" s="250"/>
      <c r="FF44" s="250">
        <v>468482</v>
      </c>
      <c r="FG44" s="250">
        <v>834667</v>
      </c>
      <c r="FH44" s="250">
        <v>913387</v>
      </c>
      <c r="FI44" s="250">
        <v>769798</v>
      </c>
      <c r="FJ44" s="250">
        <v>1226392</v>
      </c>
      <c r="FK44" s="250"/>
      <c r="FL44" s="250">
        <v>238824</v>
      </c>
      <c r="FM44" s="250"/>
    </row>
    <row r="45" spans="1:193">
      <c r="B45" s="220"/>
      <c r="D45" s="64">
        <v>70100002</v>
      </c>
      <c r="E45" s="64">
        <v>1298.1600000000001</v>
      </c>
      <c r="FC45" s="220"/>
      <c r="FD45" s="249">
        <v>7</v>
      </c>
      <c r="FE45" s="250"/>
      <c r="FF45" s="250">
        <v>468655</v>
      </c>
      <c r="FG45" s="250">
        <v>836632</v>
      </c>
      <c r="FH45" s="250">
        <v>915263</v>
      </c>
      <c r="FI45" s="265">
        <v>769798</v>
      </c>
      <c r="FJ45" s="250">
        <v>1227116</v>
      </c>
      <c r="FK45" s="250"/>
      <c r="FL45" s="250">
        <v>239686</v>
      </c>
      <c r="FM45" s="250"/>
    </row>
    <row r="46" spans="1:193">
      <c r="B46" s="220"/>
      <c r="D46" s="64" t="s">
        <v>133</v>
      </c>
      <c r="E46" s="64">
        <v>802.69100000000003</v>
      </c>
      <c r="FC46" s="220"/>
      <c r="FD46" s="249">
        <v>8</v>
      </c>
      <c r="FE46" s="250"/>
      <c r="FF46" s="250">
        <v>469327</v>
      </c>
      <c r="FG46" s="250">
        <v>838587</v>
      </c>
      <c r="FH46" s="250">
        <v>917680</v>
      </c>
      <c r="FI46" s="250">
        <v>769798</v>
      </c>
      <c r="FJ46" s="250">
        <v>1227959</v>
      </c>
      <c r="FK46" s="250"/>
      <c r="FL46" s="250">
        <v>240144</v>
      </c>
      <c r="FM46" s="250"/>
    </row>
    <row r="47" spans="1:193">
      <c r="B47" s="220"/>
      <c r="C47" s="220"/>
      <c r="D47" s="64">
        <v>74100012</v>
      </c>
      <c r="E47" s="64">
        <v>1503.799</v>
      </c>
      <c r="FC47" s="220"/>
      <c r="FD47" s="249">
        <v>9</v>
      </c>
      <c r="FE47" s="250"/>
      <c r="FF47" s="250">
        <v>469908</v>
      </c>
      <c r="FG47" s="250">
        <v>840543</v>
      </c>
      <c r="FH47" s="250">
        <v>919650</v>
      </c>
      <c r="FI47" s="250">
        <v>769798</v>
      </c>
      <c r="FJ47" s="250">
        <v>1228694</v>
      </c>
      <c r="FK47" s="250"/>
      <c r="FL47" s="250">
        <v>241931</v>
      </c>
      <c r="FM47" s="250"/>
    </row>
    <row r="48" spans="1:193">
      <c r="B48" s="220"/>
      <c r="D48" s="64">
        <v>74100012</v>
      </c>
      <c r="E48" s="64">
        <v>3551.9270000000001</v>
      </c>
      <c r="FC48" s="220"/>
      <c r="FD48" s="249">
        <v>10</v>
      </c>
      <c r="FE48" s="250"/>
      <c r="FF48" s="220">
        <v>470166</v>
      </c>
      <c r="FG48" s="250">
        <v>842496</v>
      </c>
      <c r="FH48" s="250">
        <v>921477</v>
      </c>
      <c r="FI48" s="250">
        <v>769798</v>
      </c>
      <c r="FJ48" s="250">
        <v>1229616</v>
      </c>
      <c r="FK48" s="250"/>
      <c r="FL48" s="250">
        <v>243290</v>
      </c>
      <c r="FM48" s="250"/>
    </row>
    <row r="49" spans="2:170">
      <c r="B49" s="220"/>
      <c r="C49" s="220"/>
      <c r="D49" s="64">
        <v>74100011</v>
      </c>
      <c r="E49" s="64">
        <v>1869.075</v>
      </c>
      <c r="FC49" s="220"/>
      <c r="FD49" s="249">
        <v>11</v>
      </c>
      <c r="FE49" s="250"/>
      <c r="FF49" s="250">
        <v>470375</v>
      </c>
      <c r="FG49" s="250">
        <v>844447</v>
      </c>
      <c r="FH49" s="250">
        <v>923807</v>
      </c>
      <c r="FI49" s="250">
        <v>769798</v>
      </c>
      <c r="FJ49" s="250">
        <v>1230444</v>
      </c>
      <c r="FK49" s="250"/>
      <c r="FL49" s="250">
        <v>244403</v>
      </c>
      <c r="FM49" s="250"/>
    </row>
    <row r="50" spans="2:170">
      <c r="B50" s="220"/>
      <c r="C50" s="220"/>
      <c r="D50" s="64">
        <v>70100002</v>
      </c>
      <c r="E50" s="64">
        <v>3106.44</v>
      </c>
      <c r="FC50" s="220"/>
      <c r="FD50" s="249">
        <v>12</v>
      </c>
      <c r="FE50" s="250"/>
      <c r="FF50" s="250">
        <v>470395</v>
      </c>
      <c r="FG50" s="250">
        <v>846393</v>
      </c>
      <c r="FH50" s="250">
        <v>926086</v>
      </c>
      <c r="FI50" s="250">
        <v>769798</v>
      </c>
      <c r="FJ50" s="250">
        <v>1231371</v>
      </c>
      <c r="FK50" s="250"/>
      <c r="FL50" s="250">
        <v>245443</v>
      </c>
      <c r="FM50" s="250"/>
    </row>
    <row r="51" spans="2:170">
      <c r="B51" s="220"/>
      <c r="C51" s="220"/>
      <c r="D51" s="64" t="s">
        <v>131</v>
      </c>
      <c r="E51" s="64">
        <v>4813.68</v>
      </c>
      <c r="FC51" s="220"/>
      <c r="FD51" s="249">
        <v>13</v>
      </c>
      <c r="FE51" s="250"/>
      <c r="FF51" s="250">
        <v>470414</v>
      </c>
      <c r="FG51" s="250">
        <v>848337</v>
      </c>
      <c r="FH51" s="250">
        <v>927998</v>
      </c>
      <c r="FI51" s="250">
        <v>769798</v>
      </c>
      <c r="FJ51" s="250">
        <v>1232287</v>
      </c>
      <c r="FK51" s="250"/>
      <c r="FL51" s="250">
        <v>246494</v>
      </c>
      <c r="FM51" s="250"/>
    </row>
    <row r="52" spans="2:170">
      <c r="B52" s="220"/>
      <c r="C52" s="220"/>
      <c r="D52" s="64">
        <v>70100001</v>
      </c>
      <c r="E52" s="64">
        <v>4800</v>
      </c>
      <c r="FC52" s="220"/>
      <c r="FD52" s="249">
        <v>14</v>
      </c>
      <c r="FE52" s="250"/>
      <c r="FF52" s="250">
        <v>470414</v>
      </c>
      <c r="FG52" s="250">
        <v>850286</v>
      </c>
      <c r="FH52" s="250">
        <v>929569</v>
      </c>
      <c r="FI52" s="250">
        <v>769798</v>
      </c>
      <c r="FJ52" s="250">
        <v>1233301</v>
      </c>
      <c r="FK52" s="250"/>
      <c r="FL52" s="250">
        <v>247619</v>
      </c>
      <c r="FM52" s="250"/>
    </row>
    <row r="53" spans="2:170">
      <c r="C53" s="220"/>
      <c r="D53" s="64">
        <v>74100011</v>
      </c>
      <c r="E53" s="64">
        <v>2035.087</v>
      </c>
      <c r="FC53" s="220"/>
      <c r="FD53" s="249">
        <v>15</v>
      </c>
      <c r="FE53" s="250"/>
      <c r="FF53" s="250">
        <v>470478</v>
      </c>
      <c r="FG53" s="250">
        <v>852239</v>
      </c>
      <c r="FH53" s="250">
        <v>931272</v>
      </c>
      <c r="FI53" s="250">
        <v>769798</v>
      </c>
      <c r="FJ53" s="250">
        <v>1234336</v>
      </c>
      <c r="FK53" s="250"/>
      <c r="FL53" s="250">
        <v>247924</v>
      </c>
      <c r="FM53" s="250"/>
    </row>
    <row r="54" spans="2:170">
      <c r="B54" s="220"/>
      <c r="C54" s="220"/>
      <c r="D54" s="64">
        <v>74100012</v>
      </c>
      <c r="E54" s="64">
        <v>1820.18</v>
      </c>
      <c r="FC54" s="220"/>
      <c r="FD54" s="249">
        <v>16</v>
      </c>
      <c r="FE54" s="250"/>
      <c r="FF54" s="266">
        <v>470478</v>
      </c>
      <c r="FG54" s="136">
        <v>854194</v>
      </c>
      <c r="FH54" s="136">
        <v>933033</v>
      </c>
      <c r="FI54" s="136">
        <v>769798</v>
      </c>
      <c r="FJ54" s="161">
        <v>1235024</v>
      </c>
      <c r="FK54" s="161"/>
      <c r="FL54" s="136">
        <v>247924</v>
      </c>
      <c r="FM54" s="161"/>
    </row>
    <row r="55" spans="2:170">
      <c r="B55" s="220"/>
      <c r="C55" s="220"/>
      <c r="FC55" s="220"/>
      <c r="FD55" s="249">
        <v>17</v>
      </c>
      <c r="FE55" s="250"/>
      <c r="FF55" s="250">
        <v>470478</v>
      </c>
      <c r="FG55" s="250">
        <v>856144</v>
      </c>
      <c r="FH55" s="250">
        <v>934683</v>
      </c>
      <c r="FI55" s="250">
        <v>769798</v>
      </c>
      <c r="FJ55" s="250">
        <v>1236084</v>
      </c>
      <c r="FK55" s="250"/>
      <c r="FL55" s="250">
        <v>249196</v>
      </c>
      <c r="FM55" s="250"/>
      <c r="FN55" s="220">
        <f>247924+1272</f>
        <v>249196</v>
      </c>
    </row>
    <row r="56" spans="2:170">
      <c r="B56" s="220"/>
      <c r="C56" s="220"/>
      <c r="FC56" s="220"/>
      <c r="FD56" s="249">
        <v>18</v>
      </c>
      <c r="FE56" s="250"/>
      <c r="FF56" s="250">
        <f>FF55</f>
        <v>470478</v>
      </c>
      <c r="FG56" s="250">
        <f>FG55+2074</f>
        <v>858218</v>
      </c>
      <c r="FH56" s="250">
        <f>FH55+2244</f>
        <v>936927</v>
      </c>
      <c r="FI56" s="250">
        <f>FI55+772</f>
        <v>770570</v>
      </c>
      <c r="FJ56" s="250">
        <f>FJ55+688</f>
        <v>1236772</v>
      </c>
      <c r="FK56" s="250"/>
      <c r="FL56" s="250">
        <f>FL55+1019</f>
        <v>250215</v>
      </c>
      <c r="FM56" s="250"/>
      <c r="FN56" s="220">
        <f>97*10.5</f>
        <v>1018.5</v>
      </c>
    </row>
    <row r="57" spans="2:170">
      <c r="B57" s="220"/>
      <c r="C57" s="220"/>
      <c r="FC57" s="220"/>
      <c r="FD57" s="249">
        <v>19</v>
      </c>
      <c r="FE57" s="250"/>
      <c r="FF57" s="250"/>
      <c r="FG57" s="250"/>
      <c r="FH57" s="250"/>
      <c r="FI57" s="250"/>
      <c r="FJ57" s="250"/>
      <c r="FK57" s="250"/>
      <c r="FL57" s="250"/>
      <c r="FM57" s="250"/>
    </row>
    <row r="58" spans="2:170">
      <c r="C58" s="220"/>
      <c r="FC58" s="220"/>
      <c r="FD58" s="249">
        <v>20</v>
      </c>
      <c r="FE58" s="250"/>
      <c r="FF58" s="250"/>
      <c r="FG58" s="250"/>
      <c r="FH58" s="250"/>
      <c r="FI58" s="250"/>
      <c r="FJ58" s="250"/>
      <c r="FK58" s="250"/>
      <c r="FL58" s="250"/>
      <c r="FM58" s="250"/>
    </row>
    <row r="59" spans="2:170">
      <c r="FC59" s="220"/>
      <c r="FD59" s="249">
        <v>21</v>
      </c>
      <c r="FE59" s="250"/>
      <c r="FF59" s="250"/>
      <c r="FG59" s="250"/>
      <c r="FH59" s="250"/>
      <c r="FI59" s="250"/>
      <c r="FJ59" s="250"/>
      <c r="FK59" s="250"/>
      <c r="FL59" s="250"/>
      <c r="FM59" s="250"/>
    </row>
    <row r="60" spans="2:170">
      <c r="FC60" s="220"/>
      <c r="FD60" s="249">
        <v>22</v>
      </c>
      <c r="FE60" s="250"/>
      <c r="FF60" s="250"/>
      <c r="FG60" s="250"/>
      <c r="FH60" s="250"/>
      <c r="FI60" s="250"/>
      <c r="FJ60" s="250"/>
      <c r="FK60" s="250"/>
      <c r="FL60" s="250"/>
      <c r="FM60" s="250"/>
    </row>
    <row r="61" spans="2:170">
      <c r="FC61" s="220"/>
      <c r="FD61" s="249">
        <v>23</v>
      </c>
      <c r="FE61" s="250"/>
      <c r="FF61" s="250"/>
      <c r="FG61" s="250"/>
      <c r="FH61" s="250"/>
      <c r="FI61" s="250"/>
      <c r="FJ61" s="250"/>
      <c r="FK61" s="250"/>
      <c r="FL61" s="250"/>
      <c r="FM61" s="250"/>
    </row>
    <row r="62" spans="2:170">
      <c r="FD62" s="249">
        <v>24</v>
      </c>
      <c r="FE62" s="250"/>
      <c r="FF62" s="250"/>
      <c r="FG62" s="250"/>
      <c r="FH62" s="250"/>
      <c r="FI62" s="250"/>
      <c r="FJ62" s="250"/>
      <c r="FK62" s="250"/>
      <c r="FL62" s="250"/>
      <c r="FM62" s="250"/>
    </row>
    <row r="63" spans="2:170">
      <c r="FD63" s="249">
        <v>25</v>
      </c>
      <c r="FE63" s="250"/>
      <c r="FF63" s="250"/>
      <c r="FG63" s="250"/>
      <c r="FH63" s="250"/>
      <c r="FI63" s="250"/>
      <c r="FJ63" s="250"/>
      <c r="FK63" s="250"/>
      <c r="FL63" s="250"/>
      <c r="FM63" s="250"/>
    </row>
    <row r="64" spans="2:170">
      <c r="FD64" s="249">
        <v>26</v>
      </c>
      <c r="FE64" s="250"/>
      <c r="FF64" s="250"/>
      <c r="FG64" s="250"/>
      <c r="FH64" s="250"/>
      <c r="FI64" s="250"/>
      <c r="FJ64" s="250"/>
      <c r="FK64" s="250"/>
      <c r="FL64" s="250"/>
      <c r="FM64" s="250"/>
    </row>
    <row r="65" spans="160:169">
      <c r="FD65" s="249">
        <v>27</v>
      </c>
      <c r="FE65" s="250"/>
      <c r="FF65" s="250"/>
      <c r="FG65" s="250"/>
      <c r="FH65" s="250"/>
      <c r="FI65" s="250"/>
      <c r="FJ65" s="250"/>
      <c r="FK65" s="250"/>
      <c r="FL65" s="250"/>
      <c r="FM65" s="250"/>
    </row>
    <row r="66" spans="160:169">
      <c r="FD66" s="249">
        <v>28</v>
      </c>
      <c r="FE66" s="250"/>
      <c r="FF66" s="250"/>
      <c r="FG66" s="250"/>
      <c r="FH66" s="250"/>
      <c r="FI66" s="250"/>
      <c r="FK66" s="250"/>
      <c r="FL66" s="250"/>
      <c r="FM66" s="250"/>
    </row>
    <row r="67" spans="160:169">
      <c r="FD67" s="249">
        <v>29</v>
      </c>
      <c r="FE67" s="250"/>
      <c r="FF67" s="250"/>
      <c r="FG67" s="250"/>
      <c r="FH67" s="250"/>
      <c r="FI67" s="250"/>
      <c r="FJ67" s="250"/>
      <c r="FK67" s="250"/>
      <c r="FL67" s="250"/>
      <c r="FM67" s="250"/>
    </row>
    <row r="68" spans="160:169">
      <c r="FD68" s="249">
        <v>30</v>
      </c>
      <c r="FE68" s="250"/>
      <c r="FF68" s="267"/>
      <c r="FG68" s="267"/>
      <c r="FH68" s="267"/>
      <c r="FI68" s="267"/>
      <c r="FJ68" s="267"/>
      <c r="FK68" s="250"/>
      <c r="FL68" s="267"/>
      <c r="FM68" s="250"/>
    </row>
    <row r="69" spans="160:169">
      <c r="FD69" s="249">
        <v>31</v>
      </c>
      <c r="FE69" s="267"/>
      <c r="FF69" s="267"/>
      <c r="FG69" s="267"/>
      <c r="FH69" s="267"/>
      <c r="FI69" s="267"/>
      <c r="FJ69" s="267"/>
      <c r="FK69" s="267"/>
      <c r="FL69" s="267"/>
      <c r="FM69" s="267"/>
    </row>
    <row r="70" spans="160:169">
      <c r="FE70" s="79"/>
      <c r="FF70" s="79"/>
      <c r="FG70" s="79"/>
      <c r="FH70" s="79"/>
      <c r="FI70" s="79"/>
      <c r="FJ70" s="79"/>
      <c r="FK70" s="79"/>
      <c r="FL70" s="79"/>
      <c r="FM70" s="79"/>
    </row>
  </sheetData>
  <sheetProtection formatCells="0" formatColumns="0" formatRows="0" insertColumns="0" insertRows="0" insertHyperlinks="0" deleteColumns="0" deleteRows="0" selectLockedCells="1" sort="0" autoFilter="0" pivotTables="0" selectUnlockedCells="1"/>
  <customSheetViews>
    <customSheetView guid="{CAAAA4EE-AC24-494B-BD01-DBAF6444BECB}" scale="80" showGridLines="0" hiddenColumns="1">
      <pane xSplit="3" ySplit="5" topLeftCell="AY6" activePane="bottomRight" state="frozen"/>
      <selection pane="bottomRight" activeCell="BI23" sqref="BI23"/>
      <pageMargins left="0.7" right="0.7" top="0.75" bottom="0.75" header="0.3" footer="0.3"/>
      <pageSetup orientation="portrait" r:id="rId1"/>
    </customSheetView>
    <customSheetView guid="{34EDC84D-4B3C-44BF-BB1A-7A0DFA8F65E7}" scale="80" showGridLines="0" hiddenColumns="1">
      <pane xSplit="3" ySplit="5" topLeftCell="AY6" activePane="bottomRight" state="frozen"/>
      <selection pane="bottomRight" activeCell="BI23" sqref="BI23"/>
      <pageMargins left="0.7" right="0.7" top="0.75" bottom="0.75" header="0.3" footer="0.3"/>
      <pageSetup orientation="portrait" r:id="rId2"/>
    </customSheetView>
  </customSheetViews>
  <mergeCells count="8">
    <mergeCell ref="FE37:FM37"/>
    <mergeCell ref="FC3:FC4"/>
    <mergeCell ref="B4:B5"/>
    <mergeCell ref="CF4:CH4"/>
    <mergeCell ref="CJ4:CL4"/>
    <mergeCell ref="CN4:CP4"/>
    <mergeCell ref="CR4:CT4"/>
    <mergeCell ref="CU4:CW4"/>
  </mergeCells>
  <conditionalFormatting sqref="DR39 DQ38:DQ39">
    <cfRule type="cellIs" dxfId="1292" priority="111" stopIfTrue="1" operator="lessThanOrEqual">
      <formula>0.145</formula>
    </cfRule>
    <cfRule type="cellIs" dxfId="1291" priority="112" stopIfTrue="1" operator="greaterThan">
      <formula>0.15</formula>
    </cfRule>
  </conditionalFormatting>
  <conditionalFormatting sqref="D6:F7 E10:F21 N15:N36 G15:M21 N6:N9 G6:M8 H9:L9 G9:G14 D10:D15 D23:M36 H10:N14">
    <cfRule type="expression" dxfId="1290" priority="110" stopIfTrue="1">
      <formula>OR($B6=TODAY(),$B6=TODAY()-1)</formula>
    </cfRule>
  </conditionalFormatting>
  <conditionalFormatting sqref="G15:G21 G10:G13 G6 I7:M8 H17">
    <cfRule type="expression" dxfId="1289" priority="109" stopIfTrue="1">
      <formula>OR($B6=TODAY(),$B6=TODAY()-1)</formula>
    </cfRule>
  </conditionalFormatting>
  <conditionalFormatting sqref="D6:F7">
    <cfRule type="expression" dxfId="1288" priority="108" stopIfTrue="1">
      <formula>OR($B6=TODAY(),$B6=TODAY()-1)</formula>
    </cfRule>
  </conditionalFormatting>
  <conditionalFormatting sqref="I7:M8">
    <cfRule type="expression" dxfId="1287" priority="107" stopIfTrue="1">
      <formula>OR($B7=TODAY(),$B7=TODAY()-1)</formula>
    </cfRule>
  </conditionalFormatting>
  <conditionalFormatting sqref="I7:M8">
    <cfRule type="expression" dxfId="1286" priority="106" stopIfTrue="1">
      <formula>OR($B7=TODAY(),$B7=TODAY()-1)</formula>
    </cfRule>
  </conditionalFormatting>
  <conditionalFormatting sqref="D6:F6">
    <cfRule type="expression" dxfId="1285" priority="105" stopIfTrue="1">
      <formula>OR($B6=TODAY(),$B6=TODAY()-1)</formula>
    </cfRule>
  </conditionalFormatting>
  <conditionalFormatting sqref="D6:F7 G6:L21">
    <cfRule type="expression" dxfId="1284" priority="104" stopIfTrue="1">
      <formula>OR($B6=TODAY(),$B6=TODAY()-1)</formula>
    </cfRule>
  </conditionalFormatting>
  <conditionalFormatting sqref="G15:G21 G10:G13 G6 I7:M8 H17">
    <cfRule type="expression" dxfId="1283" priority="103" stopIfTrue="1">
      <formula>OR($B6=TODAY(),$B6=TODAY()-1)</formula>
    </cfRule>
  </conditionalFormatting>
  <conditionalFormatting sqref="D6:F7 G6:L21">
    <cfRule type="expression" dxfId="1282" priority="102" stopIfTrue="1">
      <formula>OR($B6=TODAY(),$B6=TODAY()-1)</formula>
    </cfRule>
  </conditionalFormatting>
  <conditionalFormatting sqref="G15:G21 G10:G13 G6 I7:M8 H17">
    <cfRule type="expression" dxfId="1281" priority="101" stopIfTrue="1">
      <formula>OR($B6=TODAY(),$B6=TODAY()-1)</formula>
    </cfRule>
  </conditionalFormatting>
  <conditionalFormatting sqref="D6:F7 G6:L21">
    <cfRule type="expression" dxfId="1280" priority="100" stopIfTrue="1">
      <formula>OR($B6=TODAY(),$B6=TODAY()-1)</formula>
    </cfRule>
  </conditionalFormatting>
  <conditionalFormatting sqref="G15:G21 G10:G13 G6 I7:M8 H17">
    <cfRule type="expression" dxfId="1279" priority="99" stopIfTrue="1">
      <formula>OR($B6=TODAY(),$B6=TODAY()-1)</formula>
    </cfRule>
  </conditionalFormatting>
  <conditionalFormatting sqref="D6:F7 G6:L21">
    <cfRule type="expression" dxfId="1278" priority="98" stopIfTrue="1">
      <formula>OR($B6=TODAY(),$B6=TODAY()-1)</formula>
    </cfRule>
  </conditionalFormatting>
  <conditionalFormatting sqref="G15:G21 G10:G13 G6 I7:M8 H17">
    <cfRule type="expression" dxfId="1277" priority="97" stopIfTrue="1">
      <formula>OR($B6=TODAY(),$B6=TODAY()-1)</formula>
    </cfRule>
  </conditionalFormatting>
  <conditionalFormatting sqref="D6:F7 G6:L21">
    <cfRule type="expression" dxfId="1276" priority="96" stopIfTrue="1">
      <formula>OR($B6=TODAY(),$B6=TODAY()-1)</formula>
    </cfRule>
  </conditionalFormatting>
  <conditionalFormatting sqref="G15:G21 G10:G13 G6 I7:M8 H17">
    <cfRule type="expression" dxfId="1275" priority="95" stopIfTrue="1">
      <formula>OR($B6=TODAY(),$B6=TODAY()-1)</formula>
    </cfRule>
  </conditionalFormatting>
  <conditionalFormatting sqref="D6:F7 G6:L21">
    <cfRule type="expression" dxfId="1274" priority="94" stopIfTrue="1">
      <formula>OR($B6=TODAY(),$B6=TODAY()-1)</formula>
    </cfRule>
  </conditionalFormatting>
  <conditionalFormatting sqref="G15:G21 G10:G13 G6 I7:M8 H17">
    <cfRule type="expression" dxfId="1273" priority="93" stopIfTrue="1">
      <formula>OR($B6=TODAY(),$B6=TODAY()-1)</formula>
    </cfRule>
  </conditionalFormatting>
  <conditionalFormatting sqref="D6:F7 G6:L21">
    <cfRule type="expression" dxfId="1272" priority="92" stopIfTrue="1">
      <formula>OR($B6=TODAY(),$B6=TODAY()-1)</formula>
    </cfRule>
  </conditionalFormatting>
  <conditionalFormatting sqref="D6:F7 G6:L21">
    <cfRule type="expression" dxfId="1271" priority="91" stopIfTrue="1">
      <formula>OR($B6=TODAY(),$B6=TODAY()-1)</formula>
    </cfRule>
  </conditionalFormatting>
  <conditionalFormatting sqref="G15:G21 G10:G13 G6 I7:M8 H17">
    <cfRule type="expression" dxfId="1270" priority="90" stopIfTrue="1">
      <formula>OR($B6=TODAY(),$B6=TODAY()-1)</formula>
    </cfRule>
  </conditionalFormatting>
  <conditionalFormatting sqref="D6:F7 G6:L21">
    <cfRule type="expression" dxfId="1269" priority="89" stopIfTrue="1">
      <formula>OR($B6=TODAY(),$B6=TODAY()-1)</formula>
    </cfRule>
  </conditionalFormatting>
  <conditionalFormatting sqref="G15:G21 G10:G13 G6 I7:M8 H17">
    <cfRule type="expression" dxfId="1268" priority="88" stopIfTrue="1">
      <formula>OR($B6=TODAY(),$B6=TODAY()-1)</formula>
    </cfRule>
  </conditionalFormatting>
  <conditionalFormatting sqref="D6:F7">
    <cfRule type="expression" dxfId="1267" priority="87" stopIfTrue="1">
      <formula>OR($B6=TODAY(),$B6=TODAY()-1)</formula>
    </cfRule>
  </conditionalFormatting>
  <conditionalFormatting sqref="G15:G21 G10:G13 G6 I7:M8 H17">
    <cfRule type="expression" dxfId="1266" priority="86" stopIfTrue="1">
      <formula>OR($B6=TODAY(),$B6=TODAY()-1)</formula>
    </cfRule>
  </conditionalFormatting>
  <conditionalFormatting sqref="D29 D30:F31">
    <cfRule type="expression" dxfId="1265" priority="85" stopIfTrue="1">
      <formula>OR($B29=TODAY(),$B29=TODAY()-1)</formula>
    </cfRule>
  </conditionalFormatting>
  <conditionalFormatting sqref="D29 D30:F31">
    <cfRule type="expression" dxfId="1264" priority="84" stopIfTrue="1">
      <formula>OR($B29=TODAY(),$B29=TODAY()-1)</formula>
    </cfRule>
  </conditionalFormatting>
  <conditionalFormatting sqref="D29 D30:F31">
    <cfRule type="expression" dxfId="1263" priority="83" stopIfTrue="1">
      <formula>OR($B29=TODAY(),$B29=TODAY()-1)</formula>
    </cfRule>
  </conditionalFormatting>
  <conditionalFormatting sqref="D29 D30:F31">
    <cfRule type="expression" dxfId="1262" priority="82" stopIfTrue="1">
      <formula>OR($B29=TODAY(),$B29=TODAY()-1)</formula>
    </cfRule>
  </conditionalFormatting>
  <conditionalFormatting sqref="D29 D30:F31">
    <cfRule type="expression" dxfId="1261" priority="81" stopIfTrue="1">
      <formula>OR($B29=TODAY(),$B29=TODAY()-1)</formula>
    </cfRule>
  </conditionalFormatting>
  <conditionalFormatting sqref="D29 D30:F31">
    <cfRule type="expression" dxfId="1260" priority="80" stopIfTrue="1">
      <formula>OR($B29=TODAY(),$B29=TODAY()-1)</formula>
    </cfRule>
  </conditionalFormatting>
  <conditionalFormatting sqref="D29 D30:F31">
    <cfRule type="expression" dxfId="1259" priority="79" stopIfTrue="1">
      <formula>OR($B29=TODAY(),$B29=TODAY()-1)</formula>
    </cfRule>
  </conditionalFormatting>
  <conditionalFormatting sqref="D29 D30:F31">
    <cfRule type="expression" dxfId="1258" priority="78" stopIfTrue="1">
      <formula>OR($B29=TODAY(),$B29=TODAY()-1)</formula>
    </cfRule>
  </conditionalFormatting>
  <conditionalFormatting sqref="D29 D30:F31">
    <cfRule type="expression" dxfId="1257" priority="77" stopIfTrue="1">
      <formula>OR($B29=TODAY(),$B29=TODAY()-1)</formula>
    </cfRule>
  </conditionalFormatting>
  <conditionalFormatting sqref="D29 D30:F31">
    <cfRule type="expression" dxfId="1256" priority="76" stopIfTrue="1">
      <formula>OR($B29=TODAY(),$B29=TODAY()-1)</formula>
    </cfRule>
  </conditionalFormatting>
  <conditionalFormatting sqref="D29 D30:F31">
    <cfRule type="expression" dxfId="1255" priority="75" stopIfTrue="1">
      <formula>OR($B29=TODAY(),$B29=TODAY()-1)</formula>
    </cfRule>
  </conditionalFormatting>
  <conditionalFormatting sqref="DP6:DQ37">
    <cfRule type="cellIs" dxfId="1254" priority="73" stopIfTrue="1" operator="lessThanOrEqual">
      <formula>$D$2</formula>
    </cfRule>
    <cfRule type="cellIs" dxfId="1253" priority="74" stopIfTrue="1" operator="greaterThan">
      <formula>$D$2</formula>
    </cfRule>
  </conditionalFormatting>
  <conditionalFormatting sqref="BZ6:BZ37 DH6:DH37 DJ6:DJ37 CS6:CS37">
    <cfRule type="cellIs" dxfId="1252" priority="71" stopIfTrue="1" operator="lessThanOrEqual">
      <formula>#REF!</formula>
    </cfRule>
    <cfRule type="cellIs" dxfId="1251" priority="72" stopIfTrue="1" operator="greaterThan">
      <formula>#REF!</formula>
    </cfRule>
  </conditionalFormatting>
  <conditionalFormatting sqref="DL6:DL37">
    <cfRule type="cellIs" dxfId="1250" priority="69" stopIfTrue="1" operator="greaterThan">
      <formula>$D$3</formula>
    </cfRule>
    <cfRule type="cellIs" dxfId="1249" priority="70" stopIfTrue="1" operator="lessThanOrEqual">
      <formula>$D$3</formula>
    </cfRule>
  </conditionalFormatting>
  <conditionalFormatting sqref="E20:F20">
    <cfRule type="expression" dxfId="1248" priority="68" stopIfTrue="1">
      <formula>OR($B20=TODAY(),$B20=TODAY()-1)</formula>
    </cfRule>
  </conditionalFormatting>
  <conditionalFormatting sqref="E20:F20">
    <cfRule type="expression" dxfId="1247" priority="67" stopIfTrue="1">
      <formula>OR($B20=TODAY(),$B20=TODAY()-1)</formula>
    </cfRule>
  </conditionalFormatting>
  <conditionalFormatting sqref="E20:F20">
    <cfRule type="expression" dxfId="1246" priority="66" stopIfTrue="1">
      <formula>OR($B20=TODAY(),$B20=TODAY()-1)</formula>
    </cfRule>
  </conditionalFormatting>
  <conditionalFormatting sqref="E20:F20">
    <cfRule type="expression" dxfId="1245" priority="65" stopIfTrue="1">
      <formula>OR($B20=TODAY(),$B20=TODAY()-1)</formula>
    </cfRule>
  </conditionalFormatting>
  <conditionalFormatting sqref="E20:F20">
    <cfRule type="expression" dxfId="1244" priority="64" stopIfTrue="1">
      <formula>OR($B20=TODAY(),$B20=TODAY()-1)</formula>
    </cfRule>
  </conditionalFormatting>
  <conditionalFormatting sqref="E20:F20">
    <cfRule type="expression" dxfId="1243" priority="63" stopIfTrue="1">
      <formula>OR($B20=TODAY(),$B20=TODAY()-1)</formula>
    </cfRule>
  </conditionalFormatting>
  <conditionalFormatting sqref="E20:F20">
    <cfRule type="expression" dxfId="1242" priority="62" stopIfTrue="1">
      <formula>OR($B20=TODAY(),$B20=TODAY()-1)</formula>
    </cfRule>
  </conditionalFormatting>
  <conditionalFormatting sqref="E20:F20">
    <cfRule type="expression" dxfId="1241" priority="61" stopIfTrue="1">
      <formula>OR($B20=TODAY(),$B20=TODAY()-1)</formula>
    </cfRule>
  </conditionalFormatting>
  <conditionalFormatting sqref="E20:F20">
    <cfRule type="expression" dxfId="1240" priority="60" stopIfTrue="1">
      <formula>OR($B20=TODAY(),$B20=TODAY()-1)</formula>
    </cfRule>
  </conditionalFormatting>
  <conditionalFormatting sqref="E20:F20">
    <cfRule type="expression" dxfId="1239" priority="59" stopIfTrue="1">
      <formula>OR($B20=TODAY(),$B20=TODAY()-1)</formula>
    </cfRule>
  </conditionalFormatting>
  <conditionalFormatting sqref="D34:F34">
    <cfRule type="expression" dxfId="1238" priority="58" stopIfTrue="1">
      <formula>OR($B34=TODAY(),$B34=TODAY()-1)</formula>
    </cfRule>
  </conditionalFormatting>
  <conditionalFormatting sqref="D34:F34">
    <cfRule type="expression" dxfId="1237" priority="57" stopIfTrue="1">
      <formula>OR($B34=TODAY(),$B34=TODAY()-1)</formula>
    </cfRule>
  </conditionalFormatting>
  <conditionalFormatting sqref="CH6:CH37">
    <cfRule type="cellIs" dxfId="1236" priority="55" stopIfTrue="1" operator="lessThanOrEqual">
      <formula>#REF!</formula>
    </cfRule>
    <cfRule type="cellIs" dxfId="1235" priority="56" stopIfTrue="1" operator="greaterThan">
      <formula>#REF!</formula>
    </cfRule>
  </conditionalFormatting>
  <conditionalFormatting sqref="CL6:CL37 CP6:CP37 CV6:CV37">
    <cfRule type="cellIs" dxfId="1234" priority="53" operator="greaterThan">
      <formula>#REF!</formula>
    </cfRule>
    <cfRule type="cellIs" dxfId="1233" priority="54" operator="lessThanOrEqual">
      <formula>#REF!</formula>
    </cfRule>
  </conditionalFormatting>
  <conditionalFormatting sqref="G14">
    <cfRule type="expression" dxfId="1232" priority="52" stopIfTrue="1">
      <formula>OR($B15=TODAY(),$B15=TODAY()-1)</formula>
    </cfRule>
  </conditionalFormatting>
  <conditionalFormatting sqref="I16:M18">
    <cfRule type="expression" dxfId="1231" priority="51" stopIfTrue="1">
      <formula>OR($B16=TODAY(),$B16=TODAY()-1)</formula>
    </cfRule>
  </conditionalFormatting>
  <conditionalFormatting sqref="I16:M18">
    <cfRule type="expression" dxfId="1230" priority="50" stopIfTrue="1">
      <formula>OR($B16=TODAY(),$B16=TODAY()-1)</formula>
    </cfRule>
  </conditionalFormatting>
  <conditionalFormatting sqref="I16:M18">
    <cfRule type="expression" dxfId="1229" priority="49" stopIfTrue="1">
      <formula>OR($B16=TODAY(),$B16=TODAY()-1)</formula>
    </cfRule>
  </conditionalFormatting>
  <conditionalFormatting sqref="I16:M18">
    <cfRule type="expression" dxfId="1228" priority="48" stopIfTrue="1">
      <formula>OR($B16=TODAY(),$B16=TODAY()-1)</formula>
    </cfRule>
  </conditionalFormatting>
  <conditionalFormatting sqref="D16">
    <cfRule type="expression" dxfId="1227" priority="47" stopIfTrue="1">
      <formula>OR($B16=TODAY(),$B16=TODAY()-1)</formula>
    </cfRule>
  </conditionalFormatting>
  <conditionalFormatting sqref="G6:L21">
    <cfRule type="expression" dxfId="1226" priority="46" stopIfTrue="1">
      <formula>OR($B6=TODAY(),$B6=TODAY()-1)</formula>
    </cfRule>
  </conditionalFormatting>
  <conditionalFormatting sqref="G6:L21">
    <cfRule type="expression" dxfId="1225" priority="45" stopIfTrue="1">
      <formula>OR($B6=TODAY(),$B6=TODAY()-1)</formula>
    </cfRule>
  </conditionalFormatting>
  <conditionalFormatting sqref="G6:L21">
    <cfRule type="expression" dxfId="1224" priority="44" stopIfTrue="1">
      <formula>OR($B6=TODAY(),$B6=TODAY()-1)</formula>
    </cfRule>
  </conditionalFormatting>
  <conditionalFormatting sqref="G15">
    <cfRule type="expression" dxfId="1223" priority="43" stopIfTrue="1">
      <formula>OR($B16=TODAY(),$B16=TODAY()-1)</formula>
    </cfRule>
  </conditionalFormatting>
  <conditionalFormatting sqref="D6:J6">
    <cfRule type="expression" dxfId="1222" priority="42" stopIfTrue="1">
      <formula>OR($B6=TODAY(),$B6=TODAY()-1)</formula>
    </cfRule>
  </conditionalFormatting>
  <conditionalFormatting sqref="G6">
    <cfRule type="expression" dxfId="1221" priority="41" stopIfTrue="1">
      <formula>OR($B6=TODAY(),$B6=TODAY()-1)</formula>
    </cfRule>
  </conditionalFormatting>
  <conditionalFormatting sqref="D6:F6">
    <cfRule type="expression" dxfId="1220" priority="40" stopIfTrue="1">
      <formula>OR($B6=TODAY(),$B6=TODAY()-1)</formula>
    </cfRule>
  </conditionalFormatting>
  <conditionalFormatting sqref="D6:F6">
    <cfRule type="expression" dxfId="1219" priority="39" stopIfTrue="1">
      <formula>OR($B6=TODAY(),$B6=TODAY()-1)</formula>
    </cfRule>
  </conditionalFormatting>
  <conditionalFormatting sqref="D6:J6">
    <cfRule type="expression" dxfId="1218" priority="38" stopIfTrue="1">
      <formula>OR($B6=TODAY(),$B6=TODAY()-1)</formula>
    </cfRule>
  </conditionalFormatting>
  <conditionalFormatting sqref="G6">
    <cfRule type="expression" dxfId="1217" priority="37" stopIfTrue="1">
      <formula>OR($B6=TODAY(),$B6=TODAY()-1)</formula>
    </cfRule>
  </conditionalFormatting>
  <conditionalFormatting sqref="D6:J6">
    <cfRule type="expression" dxfId="1216" priority="36" stopIfTrue="1">
      <formula>OR($B6=TODAY(),$B6=TODAY()-1)</formula>
    </cfRule>
  </conditionalFormatting>
  <conditionalFormatting sqref="G6">
    <cfRule type="expression" dxfId="1215" priority="35" stopIfTrue="1">
      <formula>OR($B6=TODAY(),$B6=TODAY()-1)</formula>
    </cfRule>
  </conditionalFormatting>
  <conditionalFormatting sqref="D6:J6">
    <cfRule type="expression" dxfId="1214" priority="34" stopIfTrue="1">
      <formula>OR($B6=TODAY(),$B6=TODAY()-1)</formula>
    </cfRule>
  </conditionalFormatting>
  <conditionalFormatting sqref="G6">
    <cfRule type="expression" dxfId="1213" priority="33" stopIfTrue="1">
      <formula>OR($B6=TODAY(),$B6=TODAY()-1)</formula>
    </cfRule>
  </conditionalFormatting>
  <conditionalFormatting sqref="D6:J6">
    <cfRule type="expression" dxfId="1212" priority="32" stopIfTrue="1">
      <formula>OR($B6=TODAY(),$B6=TODAY()-1)</formula>
    </cfRule>
  </conditionalFormatting>
  <conditionalFormatting sqref="G6">
    <cfRule type="expression" dxfId="1211" priority="31" stopIfTrue="1">
      <formula>OR($B6=TODAY(),$B6=TODAY()-1)</formula>
    </cfRule>
  </conditionalFormatting>
  <conditionalFormatting sqref="D6:J6">
    <cfRule type="expression" dxfId="1210" priority="30" stopIfTrue="1">
      <formula>OR($B6=TODAY(),$B6=TODAY()-1)</formula>
    </cfRule>
  </conditionalFormatting>
  <conditionalFormatting sqref="G6">
    <cfRule type="expression" dxfId="1209" priority="29" stopIfTrue="1">
      <formula>OR($B6=TODAY(),$B6=TODAY()-1)</formula>
    </cfRule>
  </conditionalFormatting>
  <conditionalFormatting sqref="D6:J6">
    <cfRule type="expression" dxfId="1208" priority="28" stopIfTrue="1">
      <formula>OR($B6=TODAY(),$B6=TODAY()-1)</formula>
    </cfRule>
  </conditionalFormatting>
  <conditionalFormatting sqref="G6">
    <cfRule type="expression" dxfId="1207" priority="27" stopIfTrue="1">
      <formula>OR($B6=TODAY(),$B6=TODAY()-1)</formula>
    </cfRule>
  </conditionalFormatting>
  <conditionalFormatting sqref="D6:J6">
    <cfRule type="expression" dxfId="1206" priority="26" stopIfTrue="1">
      <formula>OR($B6=TODAY(),$B6=TODAY()-1)</formula>
    </cfRule>
  </conditionalFormatting>
  <conditionalFormatting sqref="D6:J6">
    <cfRule type="expression" dxfId="1205" priority="25" stopIfTrue="1">
      <formula>OR($B6=TODAY(),$B6=TODAY()-1)</formula>
    </cfRule>
  </conditionalFormatting>
  <conditionalFormatting sqref="G6">
    <cfRule type="expression" dxfId="1204" priority="24" stopIfTrue="1">
      <formula>OR($B6=TODAY(),$B6=TODAY()-1)</formula>
    </cfRule>
  </conditionalFormatting>
  <conditionalFormatting sqref="D6:J6">
    <cfRule type="expression" dxfId="1203" priority="23" stopIfTrue="1">
      <formula>OR($B6=TODAY(),$B6=TODAY()-1)</formula>
    </cfRule>
  </conditionalFormatting>
  <conditionalFormatting sqref="G6">
    <cfRule type="expression" dxfId="1202" priority="22" stopIfTrue="1">
      <formula>OR($B6=TODAY(),$B6=TODAY()-1)</formula>
    </cfRule>
  </conditionalFormatting>
  <conditionalFormatting sqref="D6:F6">
    <cfRule type="expression" dxfId="1201" priority="21" stopIfTrue="1">
      <formula>OR($B6=TODAY(),$B6=TODAY()-1)</formula>
    </cfRule>
  </conditionalFormatting>
  <conditionalFormatting sqref="G6">
    <cfRule type="expression" dxfId="1200" priority="20" stopIfTrue="1">
      <formula>OR($B6=TODAY(),$B6=TODAY()-1)</formula>
    </cfRule>
  </conditionalFormatting>
  <conditionalFormatting sqref="G6:J6">
    <cfRule type="expression" dxfId="1199" priority="19" stopIfTrue="1">
      <formula>OR($B6=TODAY(),$B6=TODAY()-1)</formula>
    </cfRule>
  </conditionalFormatting>
  <conditionalFormatting sqref="G6:J6">
    <cfRule type="expression" dxfId="1198" priority="18" stopIfTrue="1">
      <formula>OR($B6=TODAY(),$B6=TODAY()-1)</formula>
    </cfRule>
  </conditionalFormatting>
  <conditionalFormatting sqref="G6:J6">
    <cfRule type="expression" dxfId="1197" priority="17" stopIfTrue="1">
      <formula>OR($B6=TODAY(),$B6=TODAY()-1)</formula>
    </cfRule>
  </conditionalFormatting>
  <conditionalFormatting sqref="K13">
    <cfRule type="expression" dxfId="1196" priority="16" stopIfTrue="1">
      <formula>OR($B13=TODAY(),$B13=TODAY()-1)</formula>
    </cfRule>
  </conditionalFormatting>
  <conditionalFormatting sqref="K13">
    <cfRule type="expression" dxfId="1195" priority="15" stopIfTrue="1">
      <formula>OR($B13=TODAY(),$B13=TODAY()-1)</formula>
    </cfRule>
  </conditionalFormatting>
  <conditionalFormatting sqref="K13">
    <cfRule type="expression" dxfId="1194" priority="14" stopIfTrue="1">
      <formula>OR($B13=TODAY(),$B13=TODAY()-1)</formula>
    </cfRule>
  </conditionalFormatting>
  <conditionalFormatting sqref="K13">
    <cfRule type="expression" dxfId="1193" priority="13" stopIfTrue="1">
      <formula>OR($B13=TODAY(),$B13=TODAY()-1)</formula>
    </cfRule>
  </conditionalFormatting>
  <conditionalFormatting sqref="K13">
    <cfRule type="expression" dxfId="1192" priority="12" stopIfTrue="1">
      <formula>OR($B13=TODAY(),$B13=TODAY()-1)</formula>
    </cfRule>
  </conditionalFormatting>
  <conditionalFormatting sqref="K13">
    <cfRule type="expression" dxfId="1191" priority="11" stopIfTrue="1">
      <formula>OR($B13=TODAY(),$B13=TODAY()-1)</formula>
    </cfRule>
  </conditionalFormatting>
  <conditionalFormatting sqref="K13">
    <cfRule type="expression" dxfId="1190" priority="10" stopIfTrue="1">
      <formula>OR($B13=TODAY(),$B13=TODAY()-1)</formula>
    </cfRule>
  </conditionalFormatting>
  <conditionalFormatting sqref="K13">
    <cfRule type="expression" dxfId="1189" priority="9" stopIfTrue="1">
      <formula>OR($B13=TODAY(),$B13=TODAY()-1)</formula>
    </cfRule>
  </conditionalFormatting>
  <conditionalFormatting sqref="K13">
    <cfRule type="expression" dxfId="1188" priority="8" stopIfTrue="1">
      <formula>OR($B13=TODAY(),$B13=TODAY()-1)</formula>
    </cfRule>
  </conditionalFormatting>
  <conditionalFormatting sqref="K13">
    <cfRule type="expression" dxfId="1187" priority="7" stopIfTrue="1">
      <formula>OR($B13=TODAY(),$B13=TODAY()-1)</formula>
    </cfRule>
  </conditionalFormatting>
  <conditionalFormatting sqref="K13">
    <cfRule type="expression" dxfId="1186" priority="6" stopIfTrue="1">
      <formula>OR($B13=TODAY(),$B13=TODAY()-1)</formula>
    </cfRule>
  </conditionalFormatting>
  <conditionalFormatting sqref="K13">
    <cfRule type="expression" dxfId="1185" priority="5" stopIfTrue="1">
      <formula>OR($B13=TODAY(),$B13=TODAY()-1)</formula>
    </cfRule>
  </conditionalFormatting>
  <conditionalFormatting sqref="K13">
    <cfRule type="expression" dxfId="1184" priority="4" stopIfTrue="1">
      <formula>OR($B13=TODAY(),$B13=TODAY()-1)</formula>
    </cfRule>
  </conditionalFormatting>
  <conditionalFormatting sqref="K13">
    <cfRule type="expression" dxfId="1183" priority="3" stopIfTrue="1">
      <formula>OR($B13=TODAY(),$B13=TODAY()-1)</formula>
    </cfRule>
  </conditionalFormatting>
  <conditionalFormatting sqref="K13">
    <cfRule type="expression" dxfId="1182" priority="2" stopIfTrue="1">
      <formula>OR($B13=TODAY(),$B13=TODAY()-1)</formula>
    </cfRule>
  </conditionalFormatting>
  <conditionalFormatting sqref="K13">
    <cfRule type="expression" dxfId="1181" priority="1" stopIfTrue="1">
      <formula>OR($B13=TODAY(),$B13=TODAY()-1)</formula>
    </cfRule>
  </conditionalFormatting>
  <hyperlinks>
    <hyperlink ref="BA5" r:id="rId3" xr:uid="{00000000-0004-0000-0000-000000000000}"/>
  </hyperlinks>
  <pageMargins left="0.7" right="0.7" top="0.75" bottom="0.75" header="0.3" footer="0.3"/>
  <pageSetup orientation="portrait" r:id="rId4"/>
  <legacy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HD74"/>
  <sheetViews>
    <sheetView showGridLines="0" zoomScale="90" zoomScaleNormal="90" workbookViewId="0">
      <pane xSplit="3" ySplit="5" topLeftCell="D25" activePane="bottomRight" state="frozen"/>
      <selection activeCell="FE12" sqref="FE12"/>
      <selection pane="topRight" activeCell="FE12" sqref="FE12"/>
      <selection pane="bottomLeft" activeCell="FE12" sqref="FE12"/>
      <selection pane="bottomRight" activeCell="B6" sqref="B6:B36"/>
    </sheetView>
  </sheetViews>
  <sheetFormatPr defaultRowHeight="15" outlineLevelCol="2"/>
  <cols>
    <col min="1" max="1" width="0.7109375" style="64" customWidth="1"/>
    <col min="2" max="2" width="36.42578125" style="64" bestFit="1" customWidth="1"/>
    <col min="3" max="3" width="2.140625" style="64" bestFit="1" customWidth="1"/>
    <col min="4" max="4" width="13.85546875" style="64" customWidth="1" outlineLevel="1"/>
    <col min="5" max="5" width="12" style="64" customWidth="1" outlineLevel="1"/>
    <col min="6" max="6" width="10" style="64" customWidth="1" outlineLevel="1"/>
    <col min="7" max="7" width="9.85546875" style="64" customWidth="1" outlineLevel="1"/>
    <col min="8" max="8" width="10.42578125" style="64" customWidth="1" outlineLevel="1"/>
    <col min="9" max="9" width="10.7109375" style="64" customWidth="1" outlineLevel="1"/>
    <col min="10" max="11" width="9.28515625" style="64" customWidth="1" outlineLevel="1"/>
    <col min="12" max="12" width="10.5703125" style="64" customWidth="1" outlineLevel="1"/>
    <col min="13" max="13" width="10.85546875" style="64" customWidth="1" outlineLevel="1"/>
    <col min="14" max="14" width="14.28515625" style="64" customWidth="1" outlineLevel="1"/>
    <col min="15" max="15" width="11" style="64" customWidth="1"/>
    <col min="16" max="16" width="11.85546875" style="64" customWidth="1" outlineLevel="1"/>
    <col min="17" max="17" width="1.42578125" style="64" customWidth="1"/>
    <col min="18" max="18" width="12.28515625" style="64" customWidth="1" outlineLevel="2"/>
    <col min="19" max="19" width="12.85546875" style="64" customWidth="1" outlineLevel="2"/>
    <col min="20" max="20" width="12.5703125" style="64" customWidth="1" outlineLevel="2"/>
    <col min="21" max="21" width="14.140625" style="64" customWidth="1" outlineLevel="2"/>
    <col min="22" max="22" width="9.42578125" style="64" customWidth="1" outlineLevel="2"/>
    <col min="23" max="23" width="10.7109375" style="64" customWidth="1" outlineLevel="2"/>
    <col min="24" max="24" width="11.5703125" style="64" customWidth="1" outlineLevel="2"/>
    <col min="25" max="26" width="10.7109375" style="64" customWidth="1" outlineLevel="2"/>
    <col min="27" max="27" width="11" style="64" customWidth="1" outlineLevel="1"/>
    <col min="28" max="29" width="12" style="64" customWidth="1" outlineLevel="2"/>
    <col min="30" max="31" width="10.85546875" style="64" customWidth="1" outlineLevel="1"/>
    <col min="32" max="32" width="12" style="64" customWidth="1" outlineLevel="2"/>
    <col min="33" max="33" width="8.140625" style="64" customWidth="1" outlineLevel="2"/>
    <col min="34" max="34" width="9.5703125" style="64" customWidth="1" outlineLevel="1"/>
    <col min="35" max="35" width="10.85546875" style="64" customWidth="1" outlineLevel="1"/>
    <col min="36" max="36" width="12" style="64" customWidth="1" outlineLevel="2"/>
    <col min="37" max="37" width="8.140625" style="64" customWidth="1" outlineLevel="2"/>
    <col min="38" max="38" width="9.5703125" style="64" customWidth="1" outlineLevel="1"/>
    <col min="39" max="39" width="10.85546875" style="64" customWidth="1" outlineLevel="1"/>
    <col min="40" max="40" width="9.5703125" style="64" customWidth="1" outlineLevel="2"/>
    <col min="41" max="41" width="9.5703125" style="64" customWidth="1" outlineLevel="1"/>
    <col min="42" max="42" width="9.5703125" style="64" customWidth="1" outlineLevel="2"/>
    <col min="43" max="43" width="9.5703125" style="64" customWidth="1" outlineLevel="1"/>
    <col min="44" max="44" width="11.28515625" style="64" customWidth="1" outlineLevel="2"/>
    <col min="45" max="45" width="9.140625" style="64" customWidth="1" outlineLevel="1"/>
    <col min="46" max="46" width="13.5703125" style="64" customWidth="1" outlineLevel="1"/>
    <col min="47" max="47" width="11.28515625" style="64" customWidth="1" outlineLevel="2"/>
    <col min="48" max="48" width="9.5703125" style="64" customWidth="1" outlineLevel="1"/>
    <col min="49" max="49" width="11.28515625" style="64" customWidth="1" outlineLevel="2"/>
    <col min="50" max="51" width="9.5703125" style="64" customWidth="1" outlineLevel="1"/>
    <col min="52" max="52" width="13.85546875" style="64" customWidth="1" outlineLevel="2"/>
    <col min="53" max="53" width="10.28515625" style="64" customWidth="1" outlineLevel="2"/>
    <col min="54" max="54" width="13.85546875" style="64" customWidth="1" outlineLevel="2"/>
    <col min="55" max="55" width="14.85546875" style="64" customWidth="1" outlineLevel="2"/>
    <col min="56" max="56" width="15.28515625" style="64" customWidth="1" outlineLevel="2"/>
    <col min="57" max="58" width="13.7109375" style="64" customWidth="1" outlineLevel="2"/>
    <col min="59" max="60" width="9.5703125" style="64" customWidth="1" outlineLevel="1"/>
    <col min="61" max="61" width="17" style="64" customWidth="1" outlineLevel="1"/>
    <col min="62" max="62" width="19.140625" style="64" customWidth="1" outlineLevel="1"/>
    <col min="63" max="63" width="2.28515625" style="261" customWidth="1"/>
    <col min="64" max="64" width="19.28515625" style="64" customWidth="1"/>
    <col min="65" max="65" width="14.28515625" style="64" customWidth="1"/>
    <col min="66" max="66" width="0.85546875" style="64" customWidth="1"/>
    <col min="67" max="67" width="12.28515625" style="64" customWidth="1" outlineLevel="2"/>
    <col min="68" max="68" width="12.42578125" style="64" customWidth="1" outlineLevel="2"/>
    <col min="69" max="69" width="12.5703125" style="64" customWidth="1" outlineLevel="2"/>
    <col min="70" max="72" width="9.42578125" style="64" customWidth="1" outlineLevel="2"/>
    <col min="73" max="73" width="21.42578125" style="64" customWidth="1" outlineLevel="1"/>
    <col min="74" max="74" width="12.28515625" style="64" customWidth="1" outlineLevel="2"/>
    <col min="75" max="75" width="12.42578125" style="64" customWidth="1" outlineLevel="2"/>
    <col min="76" max="76" width="12.5703125" style="64" customWidth="1" outlineLevel="2"/>
    <col min="77" max="77" width="9.42578125" style="64" customWidth="1" outlineLevel="2"/>
    <col min="78" max="78" width="13.7109375" style="64" customWidth="1" outlineLevel="1"/>
    <col min="79" max="79" width="0.42578125" style="64" customWidth="1" outlineLevel="1"/>
    <col min="80" max="80" width="11.7109375" style="64" customWidth="1" outlineLevel="2"/>
    <col min="81" max="81" width="9.7109375" style="64" customWidth="1" outlineLevel="1"/>
    <col min="82" max="82" width="11.42578125" style="64" customWidth="1" outlineLevel="1"/>
    <col min="83" max="83" width="12.85546875" style="64" customWidth="1" outlineLevel="1"/>
    <col min="84" max="84" width="13.7109375" style="64" customWidth="1" outlineLevel="2"/>
    <col min="85" max="85" width="11" style="64" customWidth="1" outlineLevel="2"/>
    <col min="86" max="86" width="8.7109375" style="64" customWidth="1" outlineLevel="1"/>
    <col min="87" max="87" width="0.140625" style="64" customWidth="1" outlineLevel="1"/>
    <col min="88" max="89" width="11.7109375" style="64" customWidth="1" outlineLevel="2"/>
    <col min="90" max="90" width="10.28515625" style="64" customWidth="1" outlineLevel="1"/>
    <col min="91" max="91" width="0.5703125" style="64" customWidth="1" outlineLevel="1"/>
    <col min="92" max="93" width="11.7109375" style="64" customWidth="1" outlineLevel="2"/>
    <col min="94" max="94" width="8.7109375" style="64" customWidth="1" outlineLevel="1"/>
    <col min="95" max="95" width="0.28515625" style="64" customWidth="1" outlineLevel="1"/>
    <col min="96" max="96" width="14.42578125" style="64" customWidth="1" outlineLevel="2"/>
    <col min="97" max="97" width="6.7109375" style="64" customWidth="1" outlineLevel="1"/>
    <col min="98" max="98" width="0.28515625" style="64" customWidth="1" outlineLevel="1"/>
    <col min="99" max="99" width="11" style="64" customWidth="1" outlineLevel="2"/>
    <col min="100" max="100" width="7.28515625" style="64" customWidth="1" outlineLevel="1"/>
    <col min="101" max="101" width="0.42578125" style="64" customWidth="1" outlineLevel="1"/>
    <col min="102" max="104" width="8.140625" style="64" customWidth="1" outlineLevel="1"/>
    <col min="105" max="105" width="8.42578125" style="64" customWidth="1" outlineLevel="1"/>
    <col min="106" max="106" width="10.42578125" style="64" customWidth="1" outlineLevel="2"/>
    <col min="107" max="107" width="9.7109375" style="64" customWidth="1" outlineLevel="2"/>
    <col min="108" max="108" width="18.28515625" style="64" customWidth="1" outlineLevel="2"/>
    <col min="109" max="109" width="14.85546875" style="64" customWidth="1" outlineLevel="2"/>
    <col min="110" max="110" width="17" style="64" customWidth="1" outlineLevel="2"/>
    <col min="111" max="111" width="14.85546875" style="64" customWidth="1" outlineLevel="2"/>
    <col min="112" max="112" width="11" style="64" customWidth="1" outlineLevel="1"/>
    <col min="113" max="113" width="0.28515625" style="64" customWidth="1" outlineLevel="1"/>
    <col min="114" max="114" width="9.85546875" style="64" customWidth="1" outlineLevel="1"/>
    <col min="115" max="115" width="0.42578125" style="64" customWidth="1" outlineLevel="1"/>
    <col min="116" max="116" width="9.85546875" style="64" customWidth="1" outlineLevel="1"/>
    <col min="117" max="117" width="0.42578125" style="64" customWidth="1" outlineLevel="1"/>
    <col min="118" max="118" width="13.140625" style="64" customWidth="1" outlineLevel="2"/>
    <col min="119" max="119" width="1.7109375" style="261" customWidth="1"/>
    <col min="120" max="120" width="16.42578125" style="64" customWidth="1"/>
    <col min="121" max="121" width="15.140625" style="64" customWidth="1"/>
    <col min="122" max="122" width="3.42578125" style="64" customWidth="1"/>
    <col min="123" max="123" width="8.42578125" style="64" customWidth="1"/>
    <col min="124" max="124" width="9.140625" style="64" customWidth="1"/>
    <col min="125" max="131" width="15.7109375" style="219" customWidth="1" outlineLevel="1"/>
    <col min="132" max="132" width="15.7109375" style="220" customWidth="1" outlineLevel="1"/>
    <col min="133" max="139" width="15.7109375" style="219" customWidth="1" outlineLevel="1"/>
    <col min="140" max="141" width="15.7109375" style="220" customWidth="1" outlineLevel="1"/>
    <col min="142" max="143" width="15.7109375" style="219" customWidth="1" outlineLevel="1"/>
    <col min="144" max="144" width="15.7109375" style="220" customWidth="1" outlineLevel="1"/>
    <col min="145" max="145" width="15.7109375" style="219" customWidth="1" outlineLevel="1"/>
    <col min="146" max="153" width="15.7109375" style="220" customWidth="1" outlineLevel="1"/>
    <col min="154" max="159" width="15.7109375" style="219" customWidth="1" outlineLevel="1"/>
    <col min="160" max="160" width="20.5703125" style="220" customWidth="1"/>
    <col min="161" max="162" width="11.85546875" style="220" customWidth="1" outlineLevel="1"/>
    <col min="163" max="169" width="10.7109375" style="220" customWidth="1" outlineLevel="1"/>
    <col min="170" max="170" width="15.5703125" style="220" customWidth="1"/>
    <col min="171" max="171" width="20.5703125" style="220" customWidth="1"/>
    <col min="172" max="172" width="77.140625" style="64" customWidth="1"/>
    <col min="173" max="173" width="9.140625" style="9"/>
    <col min="174" max="179" width="9.140625" style="9" hidden="1" customWidth="1"/>
    <col min="180" max="181" width="9.140625" style="9"/>
    <col min="182" max="182" width="13.7109375" style="9" customWidth="1"/>
    <col min="183" max="184" width="12" style="64" customWidth="1"/>
    <col min="185" max="185" width="9.42578125" style="64" bestFit="1" customWidth="1"/>
    <col min="186" max="187" width="13.5703125" style="64" customWidth="1"/>
    <col min="188" max="188" width="9.7109375" style="64" bestFit="1" customWidth="1"/>
    <col min="189" max="189" width="9.140625" style="64"/>
    <col min="190" max="190" width="10.85546875" style="64" customWidth="1"/>
    <col min="191" max="191" width="15" style="64" customWidth="1"/>
    <col min="192" max="192" width="13.7109375" style="64" customWidth="1"/>
    <col min="193" max="194" width="9.140625" style="10"/>
    <col min="195" max="16384" width="9.140625" style="64"/>
  </cols>
  <sheetData>
    <row r="1" spans="1:212" s="4" customFormat="1">
      <c r="A1" s="1"/>
      <c r="B1" s="2" t="s">
        <v>134</v>
      </c>
      <c r="C1" s="1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AA1" s="5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5"/>
      <c r="AS1" s="5"/>
      <c r="AT1" s="5"/>
      <c r="AU1" s="5"/>
      <c r="AV1" s="6"/>
      <c r="AW1" s="5"/>
      <c r="AX1" s="6"/>
      <c r="AY1" s="6"/>
      <c r="AZ1" s="6"/>
      <c r="BA1" s="6"/>
      <c r="BB1" s="6"/>
      <c r="BD1" s="5"/>
      <c r="BE1" s="5"/>
      <c r="BF1" s="5"/>
      <c r="BG1" s="6"/>
      <c r="BK1" s="7"/>
      <c r="DO1" s="7"/>
      <c r="DU1" s="8"/>
      <c r="DV1" s="8"/>
      <c r="DW1" s="8"/>
      <c r="DX1" s="8"/>
      <c r="DY1" s="8"/>
      <c r="DZ1" s="8"/>
      <c r="EA1" s="8"/>
      <c r="EB1" s="3"/>
      <c r="EC1" s="8"/>
      <c r="ED1" s="8"/>
      <c r="EE1" s="8"/>
      <c r="EF1" s="8"/>
      <c r="EG1" s="8"/>
      <c r="EH1" s="8"/>
      <c r="EI1" s="8"/>
      <c r="EJ1" s="3"/>
      <c r="EK1" s="3"/>
      <c r="EL1" s="8"/>
      <c r="EM1" s="8"/>
      <c r="EN1" s="3"/>
      <c r="EO1" s="8"/>
      <c r="EP1" s="3"/>
      <c r="EQ1" s="3"/>
      <c r="ER1" s="3"/>
      <c r="ES1" s="3"/>
      <c r="ET1" s="3"/>
      <c r="EU1" s="3"/>
      <c r="EV1" s="3"/>
      <c r="EW1" s="3"/>
      <c r="EX1" s="8"/>
      <c r="EY1" s="8"/>
      <c r="EZ1" s="8"/>
      <c r="FA1" s="8"/>
      <c r="FB1" s="8"/>
      <c r="FC1" s="8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Q1" s="9"/>
      <c r="FR1" s="9"/>
      <c r="FS1" s="9"/>
      <c r="FT1" s="9"/>
      <c r="FU1" s="9"/>
      <c r="FV1" s="9"/>
      <c r="FW1" s="9"/>
      <c r="FX1" s="9"/>
      <c r="FY1" s="9"/>
      <c r="FZ1" s="9"/>
      <c r="GK1" s="10"/>
      <c r="GL1" s="10"/>
    </row>
    <row r="2" spans="1:212" s="4" customFormat="1" ht="13.5" customHeight="1">
      <c r="B2" s="11" t="s">
        <v>1</v>
      </c>
      <c r="C2" s="12"/>
      <c r="D2" s="13"/>
      <c r="E2" s="14"/>
      <c r="F2" s="14"/>
      <c r="G2" s="12"/>
      <c r="H2" s="12"/>
      <c r="I2" s="12"/>
      <c r="J2" s="12"/>
      <c r="K2" s="12"/>
      <c r="L2" s="12"/>
      <c r="M2" s="12"/>
      <c r="N2" s="12"/>
      <c r="R2" s="15"/>
      <c r="S2" s="15"/>
      <c r="T2" s="15"/>
      <c r="U2" s="15"/>
      <c r="V2" s="16"/>
      <c r="W2" s="16"/>
      <c r="X2" s="16"/>
      <c r="Y2" s="16"/>
      <c r="Z2" s="16"/>
      <c r="AA2" s="17"/>
      <c r="AB2" s="17"/>
      <c r="AC2" s="17"/>
      <c r="AD2" s="17"/>
      <c r="AE2" s="17"/>
      <c r="AF2" s="5"/>
      <c r="AG2" s="5"/>
      <c r="AH2" s="5"/>
      <c r="AI2" s="17"/>
      <c r="AJ2" s="5"/>
      <c r="AK2" s="5"/>
      <c r="AL2" s="5"/>
      <c r="AM2" s="17"/>
      <c r="AN2" s="5"/>
      <c r="AO2" s="5"/>
      <c r="AP2" s="5"/>
      <c r="AQ2" s="5"/>
      <c r="AR2" s="17"/>
      <c r="AS2" s="17"/>
      <c r="AT2" s="17"/>
      <c r="AU2" s="17"/>
      <c r="AV2" s="5"/>
      <c r="AW2" s="17"/>
      <c r="AX2" s="5"/>
      <c r="AY2" s="5"/>
      <c r="AZ2" s="5"/>
      <c r="BA2" s="5"/>
      <c r="BB2" s="5"/>
      <c r="BC2" s="6"/>
      <c r="BD2" s="18"/>
      <c r="BE2" s="18"/>
      <c r="BF2" s="18"/>
      <c r="BG2" s="5"/>
      <c r="BH2" s="5"/>
      <c r="BI2" s="19"/>
      <c r="BJ2" s="19"/>
      <c r="BK2" s="20"/>
      <c r="BL2" s="19"/>
      <c r="BM2" s="19"/>
      <c r="BN2" s="19"/>
      <c r="CG2" s="21"/>
      <c r="CK2" s="22"/>
      <c r="CO2" s="22"/>
      <c r="CU2" s="22"/>
      <c r="DO2" s="7"/>
      <c r="DU2" s="8"/>
      <c r="DV2" s="8"/>
      <c r="DW2" s="8"/>
      <c r="DX2" s="8"/>
      <c r="DY2" s="8"/>
      <c r="DZ2" s="8"/>
      <c r="EA2" s="8"/>
      <c r="EB2" s="3"/>
      <c r="EC2" s="8"/>
      <c r="ED2" s="8"/>
      <c r="EE2" s="8"/>
      <c r="EF2" s="8"/>
      <c r="EG2" s="8"/>
      <c r="EH2" s="8"/>
      <c r="EI2" s="8"/>
      <c r="EJ2" s="9"/>
      <c r="EK2" s="9"/>
      <c r="EL2" s="8"/>
      <c r="EM2" s="8"/>
      <c r="EN2" s="9"/>
      <c r="EO2" s="8"/>
      <c r="EP2" s="9"/>
      <c r="EQ2" s="9"/>
      <c r="ER2" s="9"/>
      <c r="ES2" s="9"/>
      <c r="ET2" s="9"/>
      <c r="EU2" s="9"/>
      <c r="EV2" s="9"/>
      <c r="EW2" s="3"/>
      <c r="EX2" s="8"/>
      <c r="EY2" s="8"/>
      <c r="EZ2" s="8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GK2" s="10"/>
      <c r="GL2" s="10"/>
    </row>
    <row r="3" spans="1:212" s="4" customFormat="1" ht="30" customHeight="1" thickBot="1">
      <c r="D3" s="21"/>
      <c r="E3" s="24"/>
      <c r="F3" s="24"/>
      <c r="G3" s="3"/>
      <c r="H3" s="3"/>
      <c r="I3" s="3"/>
      <c r="J3" s="3"/>
      <c r="K3" s="3"/>
      <c r="L3" s="3"/>
      <c r="M3" s="3"/>
      <c r="N3" s="3"/>
      <c r="P3" s="25"/>
      <c r="R3" s="26"/>
      <c r="S3" s="26"/>
      <c r="T3" s="26"/>
      <c r="U3" s="26"/>
      <c r="V3" s="27"/>
      <c r="W3" s="27"/>
      <c r="X3" s="27"/>
      <c r="Y3" s="27"/>
      <c r="Z3" s="27"/>
      <c r="AA3" s="27"/>
      <c r="AB3" s="27"/>
      <c r="AC3" s="27"/>
      <c r="AD3" s="28"/>
      <c r="AE3" s="28"/>
      <c r="AF3" s="26"/>
      <c r="AG3" s="26"/>
      <c r="AH3" s="28"/>
      <c r="AI3" s="28"/>
      <c r="AJ3" s="26"/>
      <c r="AK3" s="26"/>
      <c r="AL3" s="26"/>
      <c r="AM3" s="28"/>
      <c r="AN3" s="26"/>
      <c r="AO3" s="26"/>
      <c r="AP3" s="26"/>
      <c r="AQ3" s="26"/>
      <c r="AR3" s="27"/>
      <c r="AS3" s="27"/>
      <c r="AT3" s="27"/>
      <c r="AU3" s="27"/>
      <c r="AV3" s="26"/>
      <c r="AW3" s="27"/>
      <c r="AX3" s="26"/>
      <c r="AY3" s="26"/>
      <c r="AZ3" s="26"/>
      <c r="BA3" s="26"/>
      <c r="BB3" s="26"/>
      <c r="BC3" s="29"/>
      <c r="BD3" s="27"/>
      <c r="BE3" s="27"/>
      <c r="BF3" s="27"/>
      <c r="BG3" s="26"/>
      <c r="BH3" s="26"/>
      <c r="BI3" s="30"/>
      <c r="BJ3" s="30"/>
      <c r="BK3" s="31"/>
      <c r="BL3" s="30"/>
      <c r="BM3" s="30"/>
      <c r="BN3" s="30"/>
      <c r="BO3" s="32" t="s">
        <v>4</v>
      </c>
      <c r="DO3" s="7"/>
      <c r="DU3" s="33" t="s">
        <v>5</v>
      </c>
      <c r="DV3" s="34" t="s">
        <v>6</v>
      </c>
      <c r="DW3" s="34" t="s">
        <v>7</v>
      </c>
      <c r="DX3" s="34" t="s">
        <v>8</v>
      </c>
      <c r="DY3" s="34" t="s">
        <v>9</v>
      </c>
      <c r="DZ3" s="34" t="s">
        <v>10</v>
      </c>
      <c r="EA3" s="34" t="s">
        <v>11</v>
      </c>
      <c r="EB3" s="34" t="s">
        <v>12</v>
      </c>
      <c r="EC3" s="34" t="s">
        <v>13</v>
      </c>
      <c r="ED3" s="34" t="s">
        <v>14</v>
      </c>
      <c r="EE3" s="34" t="s">
        <v>15</v>
      </c>
      <c r="EF3" s="34" t="s">
        <v>16</v>
      </c>
      <c r="EG3" s="34" t="s">
        <v>17</v>
      </c>
      <c r="EH3" s="34" t="s">
        <v>18</v>
      </c>
      <c r="EI3" s="34" t="s">
        <v>19</v>
      </c>
      <c r="EJ3" s="34" t="s">
        <v>20</v>
      </c>
      <c r="EK3" s="34" t="s">
        <v>21</v>
      </c>
      <c r="EL3" s="34" t="s">
        <v>22</v>
      </c>
      <c r="EM3" s="34" t="s">
        <v>23</v>
      </c>
      <c r="EN3" s="34" t="s">
        <v>24</v>
      </c>
      <c r="EO3" s="35" t="s">
        <v>25</v>
      </c>
      <c r="EP3" s="35" t="s">
        <v>26</v>
      </c>
      <c r="EQ3" s="34" t="s">
        <v>27</v>
      </c>
      <c r="ER3" s="34" t="s">
        <v>28</v>
      </c>
      <c r="ES3" s="34" t="s">
        <v>29</v>
      </c>
      <c r="ET3" s="34" t="s">
        <v>30</v>
      </c>
      <c r="EU3" s="34" t="s">
        <v>31</v>
      </c>
      <c r="EV3" s="34" t="s">
        <v>32</v>
      </c>
      <c r="EW3" s="34" t="s">
        <v>33</v>
      </c>
      <c r="EX3" s="34" t="s">
        <v>34</v>
      </c>
      <c r="EY3" s="35" t="s">
        <v>35</v>
      </c>
      <c r="EZ3" s="34" t="s">
        <v>36</v>
      </c>
      <c r="FA3" s="35" t="s">
        <v>37</v>
      </c>
      <c r="FB3" s="36" t="s">
        <v>38</v>
      </c>
      <c r="FC3" s="577" t="s">
        <v>135</v>
      </c>
      <c r="FD3" s="268" t="s">
        <v>40</v>
      </c>
      <c r="FE3" s="38" t="s">
        <v>41</v>
      </c>
      <c r="FF3" s="38" t="s">
        <v>42</v>
      </c>
      <c r="FG3" s="38" t="s">
        <v>43</v>
      </c>
      <c r="FH3" s="38" t="s">
        <v>44</v>
      </c>
      <c r="FI3" s="38" t="s">
        <v>45</v>
      </c>
      <c r="FJ3" s="38" t="s">
        <v>46</v>
      </c>
      <c r="FK3" s="38" t="s">
        <v>47</v>
      </c>
      <c r="FL3" s="38" t="s">
        <v>48</v>
      </c>
      <c r="FM3" s="39" t="s">
        <v>49</v>
      </c>
      <c r="FN3" s="38" t="s">
        <v>50</v>
      </c>
      <c r="FO3" s="40" t="s">
        <v>51</v>
      </c>
      <c r="FP3" s="41" t="s">
        <v>52</v>
      </c>
      <c r="FQ3" s="9"/>
      <c r="FZ3" s="269" t="s">
        <v>136</v>
      </c>
      <c r="GK3" s="10"/>
      <c r="GL3" s="10"/>
    </row>
    <row r="4" spans="1:212" s="4" customFormat="1" ht="26.25" customHeight="1">
      <c r="B4" s="33" t="s">
        <v>53</v>
      </c>
      <c r="C4" s="42"/>
      <c r="D4" s="43" t="s">
        <v>54</v>
      </c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2"/>
      <c r="R4" s="45" t="s">
        <v>55</v>
      </c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7"/>
      <c r="BL4" s="48" t="s">
        <v>55</v>
      </c>
      <c r="BM4" s="48"/>
      <c r="BN4" s="47"/>
      <c r="BO4" s="32" t="s">
        <v>56</v>
      </c>
      <c r="BP4" s="32"/>
      <c r="BQ4" s="32"/>
      <c r="BR4" s="32"/>
      <c r="BS4" s="32"/>
      <c r="BT4" s="32"/>
      <c r="BU4" s="32"/>
      <c r="BV4" s="32" t="s">
        <v>57</v>
      </c>
      <c r="BW4" s="32"/>
      <c r="BX4" s="32"/>
      <c r="BY4" s="32"/>
      <c r="BZ4" s="32"/>
      <c r="CA4" s="32"/>
      <c r="CB4" s="32"/>
      <c r="CC4" s="32"/>
      <c r="CD4" s="32"/>
      <c r="CE4" s="32"/>
      <c r="CF4" s="581" t="s">
        <v>56</v>
      </c>
      <c r="CG4" s="581"/>
      <c r="CH4" s="581"/>
      <c r="CI4" s="49"/>
      <c r="CJ4" s="581" t="s">
        <v>56</v>
      </c>
      <c r="CK4" s="581"/>
      <c r="CL4" s="581"/>
      <c r="CM4" s="49"/>
      <c r="CN4" s="581" t="s">
        <v>56</v>
      </c>
      <c r="CO4" s="581"/>
      <c r="CP4" s="581"/>
      <c r="CQ4" s="49"/>
      <c r="CR4" s="581" t="s">
        <v>56</v>
      </c>
      <c r="CS4" s="581"/>
      <c r="CT4" s="581"/>
      <c r="CU4" s="581" t="s">
        <v>56</v>
      </c>
      <c r="CV4" s="581"/>
      <c r="CW4" s="581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50"/>
      <c r="DP4" s="32" t="s">
        <v>58</v>
      </c>
      <c r="DQ4" s="51"/>
      <c r="DR4" s="52"/>
      <c r="DS4" s="53"/>
      <c r="DT4" s="33" t="s">
        <v>53</v>
      </c>
      <c r="DU4" s="34"/>
      <c r="DV4" s="34"/>
      <c r="DW4" s="34"/>
      <c r="DX4" s="34"/>
      <c r="DY4" s="34"/>
      <c r="DZ4" s="34"/>
      <c r="EA4" s="34"/>
      <c r="EB4" s="34"/>
      <c r="EC4" s="34"/>
      <c r="ED4" s="34"/>
      <c r="EE4" s="34"/>
      <c r="EF4" s="34"/>
      <c r="EG4" s="34"/>
      <c r="EH4" s="34"/>
      <c r="EI4" s="34"/>
      <c r="EJ4" s="34"/>
      <c r="EK4" s="34"/>
      <c r="EL4" s="34"/>
      <c r="EM4" s="34"/>
      <c r="EN4" s="34"/>
      <c r="EO4" s="34"/>
      <c r="EP4" s="34"/>
      <c r="EQ4" s="34"/>
      <c r="ER4" s="34"/>
      <c r="ES4" s="34"/>
      <c r="ET4" s="34"/>
      <c r="EU4" s="34"/>
      <c r="EV4" s="34"/>
      <c r="EW4" s="34"/>
      <c r="EX4" s="34"/>
      <c r="EY4" s="34"/>
      <c r="EZ4" s="34"/>
      <c r="FA4" s="34"/>
      <c r="FB4" s="54"/>
      <c r="FC4" s="578"/>
      <c r="FD4" s="55"/>
      <c r="FE4" s="54">
        <f>110*16*31</f>
        <v>54560</v>
      </c>
      <c r="FF4" s="54">
        <f>60*16*31</f>
        <v>29760</v>
      </c>
      <c r="FG4" s="54">
        <f>110*16*31</f>
        <v>54560</v>
      </c>
      <c r="FH4" s="54">
        <f>110*16*31</f>
        <v>54560</v>
      </c>
      <c r="FI4" s="54">
        <f>48.8*16*31</f>
        <v>24204.799999999999</v>
      </c>
      <c r="FJ4" s="54">
        <f>95*16*31</f>
        <v>47120</v>
      </c>
      <c r="FK4" s="54">
        <f>89*16*31</f>
        <v>44144</v>
      </c>
      <c r="FL4" s="54">
        <f>60*16*31</f>
        <v>29760</v>
      </c>
      <c r="FM4" s="56">
        <f>100*16*31</f>
        <v>49600</v>
      </c>
      <c r="FN4" s="57"/>
      <c r="FO4" s="58"/>
      <c r="FP4" s="59"/>
      <c r="FZ4" s="270" t="s">
        <v>137</v>
      </c>
      <c r="GA4" s="583" t="s">
        <v>138</v>
      </c>
      <c r="GB4" s="584"/>
      <c r="GC4" s="584"/>
      <c r="GD4" s="585"/>
      <c r="GE4" s="583" t="s">
        <v>59</v>
      </c>
      <c r="GF4" s="584"/>
      <c r="GG4" s="584"/>
      <c r="GH4" s="584"/>
      <c r="GI4" s="584"/>
      <c r="GJ4" s="585"/>
      <c r="GK4" s="586" t="s">
        <v>55</v>
      </c>
      <c r="GL4" s="587"/>
      <c r="GM4" s="586" t="s">
        <v>139</v>
      </c>
      <c r="GN4" s="587"/>
      <c r="GO4" s="588" t="s">
        <v>140</v>
      </c>
      <c r="GP4" s="587"/>
      <c r="GQ4" s="64"/>
      <c r="GR4" s="64"/>
      <c r="GS4" s="64"/>
      <c r="GT4" s="64"/>
      <c r="GU4" s="64"/>
      <c r="GV4" s="64"/>
      <c r="GW4" s="64"/>
      <c r="GX4" s="64"/>
      <c r="GY4" s="64"/>
      <c r="GZ4" s="64"/>
      <c r="HA4" s="64"/>
      <c r="HB4" s="271"/>
      <c r="HC4" s="271"/>
      <c r="HD4" s="271"/>
    </row>
    <row r="5" spans="1:212" ht="33" customHeight="1" thickBot="1">
      <c r="B5" s="75"/>
      <c r="C5" s="65"/>
      <c r="D5" s="66" t="s">
        <v>62</v>
      </c>
      <c r="E5" s="66" t="s">
        <v>63</v>
      </c>
      <c r="F5" s="66" t="s">
        <v>64</v>
      </c>
      <c r="G5" s="66" t="s">
        <v>65</v>
      </c>
      <c r="H5" s="66" t="s">
        <v>66</v>
      </c>
      <c r="I5" s="66" t="s">
        <v>19</v>
      </c>
      <c r="J5" s="66" t="s">
        <v>20</v>
      </c>
      <c r="K5" s="66" t="s">
        <v>21</v>
      </c>
      <c r="L5" s="67" t="s">
        <v>67</v>
      </c>
      <c r="M5" s="67" t="s">
        <v>68</v>
      </c>
      <c r="N5" s="66" t="s">
        <v>69</v>
      </c>
      <c r="O5" s="66" t="s">
        <v>70</v>
      </c>
      <c r="P5" s="66" t="s">
        <v>71</v>
      </c>
      <c r="Q5" s="65"/>
      <c r="R5" s="66" t="s">
        <v>22</v>
      </c>
      <c r="S5" s="66" t="s">
        <v>72</v>
      </c>
      <c r="T5" s="66" t="s">
        <v>23</v>
      </c>
      <c r="U5" s="66" t="s">
        <v>73</v>
      </c>
      <c r="V5" s="66" t="s">
        <v>74</v>
      </c>
      <c r="W5" s="68" t="s">
        <v>75</v>
      </c>
      <c r="X5" s="66" t="s">
        <v>76</v>
      </c>
      <c r="Y5" s="66" t="s">
        <v>27</v>
      </c>
      <c r="Z5" s="66" t="s">
        <v>28</v>
      </c>
      <c r="AA5" s="67" t="s">
        <v>77</v>
      </c>
      <c r="AB5" s="67" t="s">
        <v>78</v>
      </c>
      <c r="AC5" s="66" t="s">
        <v>6</v>
      </c>
      <c r="AD5" s="67" t="s">
        <v>79</v>
      </c>
      <c r="AE5" s="67" t="s">
        <v>80</v>
      </c>
      <c r="AF5" s="67" t="s">
        <v>8</v>
      </c>
      <c r="AG5" s="66" t="s">
        <v>9</v>
      </c>
      <c r="AH5" s="67" t="s">
        <v>81</v>
      </c>
      <c r="AI5" s="67" t="s">
        <v>82</v>
      </c>
      <c r="AJ5" s="67" t="s">
        <v>11</v>
      </c>
      <c r="AK5" s="66" t="s">
        <v>12</v>
      </c>
      <c r="AL5" s="67" t="s">
        <v>83</v>
      </c>
      <c r="AM5" s="67" t="s">
        <v>84</v>
      </c>
      <c r="AN5" s="66" t="s">
        <v>14</v>
      </c>
      <c r="AO5" s="66" t="s">
        <v>65</v>
      </c>
      <c r="AP5" s="66" t="s">
        <v>17</v>
      </c>
      <c r="AQ5" s="66" t="s">
        <v>66</v>
      </c>
      <c r="AR5" s="67" t="s">
        <v>85</v>
      </c>
      <c r="AS5" s="66" t="s">
        <v>86</v>
      </c>
      <c r="AT5" s="67" t="s">
        <v>87</v>
      </c>
      <c r="AU5" s="67" t="s">
        <v>88</v>
      </c>
      <c r="AV5" s="66">
        <v>561</v>
      </c>
      <c r="AW5" s="67" t="s">
        <v>89</v>
      </c>
      <c r="AX5" s="66">
        <v>562</v>
      </c>
      <c r="AY5" s="66" t="s">
        <v>21</v>
      </c>
      <c r="AZ5" s="66" t="s">
        <v>33</v>
      </c>
      <c r="BA5" s="66" t="s">
        <v>90</v>
      </c>
      <c r="BB5" s="66" t="s">
        <v>34</v>
      </c>
      <c r="BC5" s="66" t="s">
        <v>91</v>
      </c>
      <c r="BD5" s="66" t="s">
        <v>92</v>
      </c>
      <c r="BE5" s="66" t="s">
        <v>113</v>
      </c>
      <c r="BF5" s="66" t="s">
        <v>114</v>
      </c>
      <c r="BG5" s="66" t="s">
        <v>95</v>
      </c>
      <c r="BH5" s="66" t="s">
        <v>96</v>
      </c>
      <c r="BI5" s="66" t="s">
        <v>97</v>
      </c>
      <c r="BJ5" s="66" t="s">
        <v>98</v>
      </c>
      <c r="BK5" s="69"/>
      <c r="BL5" s="66" t="s">
        <v>99</v>
      </c>
      <c r="BM5" s="70" t="s">
        <v>71</v>
      </c>
      <c r="BN5" s="69"/>
      <c r="BO5" s="67" t="s">
        <v>22</v>
      </c>
      <c r="BP5" s="67" t="s">
        <v>100</v>
      </c>
      <c r="BQ5" s="67" t="s">
        <v>23</v>
      </c>
      <c r="BR5" s="67" t="s">
        <v>74</v>
      </c>
      <c r="BS5" s="67" t="s">
        <v>27</v>
      </c>
      <c r="BT5" s="67" t="s">
        <v>28</v>
      </c>
      <c r="BU5" s="67" t="s">
        <v>101</v>
      </c>
      <c r="BV5" s="67" t="s">
        <v>22</v>
      </c>
      <c r="BW5" s="67" t="s">
        <v>100</v>
      </c>
      <c r="BX5" s="67" t="s">
        <v>23</v>
      </c>
      <c r="BY5" s="67" t="s">
        <v>74</v>
      </c>
      <c r="BZ5" s="67" t="s">
        <v>102</v>
      </c>
      <c r="CA5" s="71" t="s">
        <v>1</v>
      </c>
      <c r="CB5" s="66" t="s">
        <v>103</v>
      </c>
      <c r="CC5" s="66" t="s">
        <v>86</v>
      </c>
      <c r="CD5" s="67" t="s">
        <v>104</v>
      </c>
      <c r="CE5" s="67" t="s">
        <v>105</v>
      </c>
      <c r="CF5" s="66" t="s">
        <v>78</v>
      </c>
      <c r="CG5" s="66" t="s">
        <v>6</v>
      </c>
      <c r="CH5" s="67" t="s">
        <v>106</v>
      </c>
      <c r="CI5" s="71" t="s">
        <v>1</v>
      </c>
      <c r="CJ5" s="66" t="s">
        <v>8</v>
      </c>
      <c r="CK5" s="66" t="s">
        <v>9</v>
      </c>
      <c r="CL5" s="67" t="s">
        <v>107</v>
      </c>
      <c r="CM5" s="71" t="s">
        <v>1</v>
      </c>
      <c r="CN5" s="66" t="s">
        <v>11</v>
      </c>
      <c r="CO5" s="66" t="s">
        <v>12</v>
      </c>
      <c r="CP5" s="66" t="s">
        <v>108</v>
      </c>
      <c r="CQ5" s="71" t="s">
        <v>1</v>
      </c>
      <c r="CR5" s="66" t="s">
        <v>109</v>
      </c>
      <c r="CS5" s="66" t="s">
        <v>65</v>
      </c>
      <c r="CT5" s="71" t="s">
        <v>1</v>
      </c>
      <c r="CU5" s="66" t="s">
        <v>17</v>
      </c>
      <c r="CV5" s="66" t="s">
        <v>66</v>
      </c>
      <c r="CW5" s="71" t="s">
        <v>1</v>
      </c>
      <c r="CX5" s="67" t="s">
        <v>110</v>
      </c>
      <c r="CY5" s="66" t="s">
        <v>19</v>
      </c>
      <c r="CZ5" s="67" t="s">
        <v>111</v>
      </c>
      <c r="DA5" s="66" t="s">
        <v>112</v>
      </c>
      <c r="DB5" s="66" t="s">
        <v>33</v>
      </c>
      <c r="DC5" s="66" t="s">
        <v>34</v>
      </c>
      <c r="DD5" s="66" t="s">
        <v>91</v>
      </c>
      <c r="DE5" s="66" t="s">
        <v>92</v>
      </c>
      <c r="DF5" s="66" t="s">
        <v>113</v>
      </c>
      <c r="DG5" s="66" t="s">
        <v>114</v>
      </c>
      <c r="DH5" s="67" t="s">
        <v>115</v>
      </c>
      <c r="DI5" s="71" t="s">
        <v>1</v>
      </c>
      <c r="DJ5" s="66" t="s">
        <v>96</v>
      </c>
      <c r="DK5" s="71" t="s">
        <v>1</v>
      </c>
      <c r="DL5" s="66" t="s">
        <v>97</v>
      </c>
      <c r="DM5" s="71" t="s">
        <v>1</v>
      </c>
      <c r="DN5" s="67" t="s">
        <v>98</v>
      </c>
      <c r="DO5" s="69"/>
      <c r="DP5" s="66" t="s">
        <v>116</v>
      </c>
      <c r="DQ5" s="72" t="s">
        <v>71</v>
      </c>
      <c r="DR5" s="73" t="s">
        <v>1</v>
      </c>
      <c r="DS5" s="74"/>
      <c r="DT5" s="75"/>
      <c r="DU5" s="76">
        <v>595756</v>
      </c>
      <c r="DV5" s="272">
        <v>21023</v>
      </c>
      <c r="DW5" s="272">
        <v>5070563</v>
      </c>
      <c r="DX5" s="272">
        <v>94812</v>
      </c>
      <c r="DY5" s="272">
        <v>78904</v>
      </c>
      <c r="DZ5" s="272">
        <v>352995</v>
      </c>
      <c r="EA5" s="273">
        <v>198060</v>
      </c>
      <c r="EB5" s="273">
        <v>45404</v>
      </c>
      <c r="EC5" s="273">
        <v>349152</v>
      </c>
      <c r="ED5" s="272">
        <v>43054</v>
      </c>
      <c r="EE5" s="273">
        <v>35088</v>
      </c>
      <c r="EF5" s="273">
        <v>36764</v>
      </c>
      <c r="EG5" s="272">
        <v>87564</v>
      </c>
      <c r="EH5" s="272">
        <v>172468</v>
      </c>
      <c r="EI5" s="272">
        <v>26874</v>
      </c>
      <c r="EJ5" s="273">
        <v>34783</v>
      </c>
      <c r="EK5" s="64"/>
      <c r="EL5" s="272">
        <v>666742</v>
      </c>
      <c r="EM5" s="272">
        <v>3815</v>
      </c>
      <c r="EN5" s="273">
        <v>37369</v>
      </c>
      <c r="EO5" s="272">
        <v>2766109</v>
      </c>
      <c r="EP5" s="273">
        <v>1939559</v>
      </c>
      <c r="EQ5" s="273">
        <v>0</v>
      </c>
      <c r="ER5" s="273">
        <v>1783</v>
      </c>
      <c r="ES5" s="273">
        <v>235022</v>
      </c>
      <c r="ET5" s="273">
        <v>6325125</v>
      </c>
      <c r="EU5" s="273">
        <v>349526</v>
      </c>
      <c r="EV5" s="273">
        <v>96909</v>
      </c>
      <c r="EW5" s="273">
        <v>43069</v>
      </c>
      <c r="EX5" s="272">
        <v>190705</v>
      </c>
      <c r="EY5" s="272">
        <v>1520599</v>
      </c>
      <c r="EZ5" s="274">
        <v>663265</v>
      </c>
      <c r="FA5" s="274">
        <v>707054</v>
      </c>
      <c r="FB5" s="275">
        <v>29433</v>
      </c>
      <c r="FC5" s="76"/>
      <c r="FD5" s="104">
        <f>SUM(FE5:FM5)</f>
        <v>0</v>
      </c>
      <c r="FE5" s="77"/>
      <c r="FF5" s="77"/>
      <c r="FG5" s="77"/>
      <c r="FH5" s="77"/>
      <c r="FI5" s="77"/>
      <c r="FJ5" s="77"/>
      <c r="FL5" s="77"/>
      <c r="FN5" s="80">
        <f>IF(FO5="",0,(FO5-FO4))</f>
        <v>27068</v>
      </c>
      <c r="FO5" s="273">
        <v>27068</v>
      </c>
      <c r="FP5" s="189"/>
      <c r="FQ5" s="64"/>
      <c r="FR5" s="64"/>
      <c r="FS5" s="64"/>
      <c r="FT5" s="64"/>
      <c r="FU5" s="64"/>
      <c r="FV5" s="64"/>
      <c r="FW5" s="64"/>
      <c r="FX5" s="64"/>
      <c r="FY5" s="64"/>
      <c r="FZ5" s="276" t="s">
        <v>141</v>
      </c>
      <c r="GA5" s="277" t="s">
        <v>121</v>
      </c>
      <c r="GB5" s="278" t="s">
        <v>122</v>
      </c>
      <c r="GC5" s="278" t="s">
        <v>74</v>
      </c>
      <c r="GD5" s="279" t="s">
        <v>120</v>
      </c>
      <c r="GE5" s="277" t="s">
        <v>121</v>
      </c>
      <c r="GF5" s="278" t="s">
        <v>122</v>
      </c>
      <c r="GG5" s="278" t="s">
        <v>74</v>
      </c>
      <c r="GH5" s="278" t="s">
        <v>120</v>
      </c>
      <c r="GI5" s="278" t="s">
        <v>123</v>
      </c>
      <c r="GJ5" s="279" t="s">
        <v>142</v>
      </c>
      <c r="GK5" s="278" t="s">
        <v>91</v>
      </c>
      <c r="GL5" s="278" t="s">
        <v>92</v>
      </c>
      <c r="GM5" s="280" t="s">
        <v>143</v>
      </c>
      <c r="GN5" s="281" t="s">
        <v>144</v>
      </c>
      <c r="GO5" s="282" t="s">
        <v>143</v>
      </c>
      <c r="GP5" s="281" t="s">
        <v>144</v>
      </c>
      <c r="HB5" s="283"/>
      <c r="HC5" s="283"/>
      <c r="HD5" s="283"/>
    </row>
    <row r="6" spans="1:212" ht="15" customHeight="1">
      <c r="A6" s="4"/>
      <c r="B6" s="573">
        <v>42736</v>
      </c>
      <c r="C6" s="53"/>
      <c r="D6" s="86">
        <v>0</v>
      </c>
      <c r="E6" s="86">
        <v>0</v>
      </c>
      <c r="F6" s="86">
        <v>1938.816</v>
      </c>
      <c r="G6" s="86">
        <v>0</v>
      </c>
      <c r="H6" s="86">
        <v>0</v>
      </c>
      <c r="I6" s="86">
        <v>0</v>
      </c>
      <c r="J6" s="86">
        <v>0</v>
      </c>
      <c r="K6" s="284">
        <v>0</v>
      </c>
      <c r="L6" s="285">
        <v>0</v>
      </c>
      <c r="M6" s="286">
        <f>I6+J6</f>
        <v>0</v>
      </c>
      <c r="N6" s="213">
        <f t="shared" ref="N6:N36" si="0">SUM(D6:H6)</f>
        <v>1938.816</v>
      </c>
      <c r="O6" s="88">
        <f>N6+L6+((J6+I6)*0.5)</f>
        <v>1938.816</v>
      </c>
      <c r="P6" s="89">
        <f>O6</f>
        <v>1938.816</v>
      </c>
      <c r="Q6" s="74"/>
      <c r="R6" s="90">
        <f>IF(EL6=0,"",(EL6-EL5))</f>
        <v>227</v>
      </c>
      <c r="S6" s="90">
        <f>IF(EZ6=0,"",((EZ6-EZ5)/10))</f>
        <v>62</v>
      </c>
      <c r="T6" s="90">
        <f t="shared" ref="T6:T36" si="1">IF(EM6=0,"",((EM6/10)))</f>
        <v>443.4</v>
      </c>
      <c r="U6" s="90">
        <f>IF(FB6=0,"",((EN6-EN5)/10))</f>
        <v>5.4</v>
      </c>
      <c r="V6" s="90">
        <f>IF(EO6=0,"",(EO6-EO5))</f>
        <v>1084</v>
      </c>
      <c r="W6" s="91">
        <v>400</v>
      </c>
      <c r="X6" s="90">
        <f>IF(V6="","",V6)</f>
        <v>1084</v>
      </c>
      <c r="Y6" s="90" t="str">
        <f>IF(EQ6=0,"0",(EQ6/10))</f>
        <v>0</v>
      </c>
      <c r="Z6" s="90">
        <f t="shared" ref="Z6:Z36" si="2">IF(ER6=0,"",(ER6/10))</f>
        <v>81.900000000000006</v>
      </c>
      <c r="AA6" s="90">
        <f>IF(SUM(R6:V6)=0,"",SUM(R6:V6))</f>
        <v>1821.8</v>
      </c>
      <c r="AB6" s="90">
        <f>IF(DU6=0,"",(DU6-DU5))</f>
        <v>159</v>
      </c>
      <c r="AC6" s="90">
        <f>IF(DV6=0,"",(DV6-DV5))</f>
        <v>27</v>
      </c>
      <c r="AD6" s="90">
        <f>(IF(SUM(AB6:AC6)&gt;=(DW6-DW5),(SUM(AB6:AC6)),(DW6-DW5)))</f>
        <v>186</v>
      </c>
      <c r="AE6" s="90">
        <f>IF(AB6="","",(AD6-AC6-AB6))</f>
        <v>0</v>
      </c>
      <c r="AF6" s="90">
        <f>IF(DX6=0,"",(DX6-DX5))</f>
        <v>158</v>
      </c>
      <c r="AG6" s="90">
        <f>IF(DY6=0,"",(DY6-DY5))</f>
        <v>65</v>
      </c>
      <c r="AH6" s="90">
        <f>(IF(SUM(AF6:AG6)&gt;=(DZ6-DZ5),(SUM(AF6:AG6)),(DZ6-DZ5)))</f>
        <v>223</v>
      </c>
      <c r="AI6" s="90">
        <f>IF(AF6="","",(AH6-AG6-AF6))</f>
        <v>0</v>
      </c>
      <c r="AJ6" s="90">
        <f>IF(EA6=0,"",(EA6-EA5))</f>
        <v>168</v>
      </c>
      <c r="AK6" s="90">
        <f>IF(EB6=0,"",(EB6-EB5))</f>
        <v>45</v>
      </c>
      <c r="AL6" s="90">
        <f>(IF(SUM(AJ6:AK6)&gt;=(EC6-EC5),(SUM(AJ6:AK6)),(EC6-EC5)))</f>
        <v>307</v>
      </c>
      <c r="AM6" s="90">
        <f>IF(AJ6="","",(AL6-AK6-AJ6))</f>
        <v>94</v>
      </c>
      <c r="AN6" s="90">
        <f>IF(ED6=0,"",(ED6-ED5))</f>
        <v>4</v>
      </c>
      <c r="AO6" s="90">
        <f t="shared" ref="AO6:AO36" si="3">IF(AN6="","",(EE6-EE5)+(EF6-EF5))</f>
        <v>71</v>
      </c>
      <c r="AP6" s="90">
        <f>IF(EG6=0,"",(EG6-EG5))</f>
        <v>11</v>
      </c>
      <c r="AQ6" s="90">
        <f t="shared" ref="AQ6:AQ36" si="4">IF(AP6=0.1,0,(IF(AP6&gt;=(EH6-EH5),(AP6),(EH6-EH5))))</f>
        <v>56</v>
      </c>
      <c r="AR6" s="90">
        <f>IF(ET6=0,"",(ET6-ET5)/1000)</f>
        <v>17.382999999999999</v>
      </c>
      <c r="AS6" s="90">
        <f>IF(AR6="","",(ES6-ES5)+((ET6-ET5)/1000)-AW6-AU6)</f>
        <v>145.38300000000001</v>
      </c>
      <c r="AT6" s="90">
        <f>IF(AR6="","",ES6-ES5+((ET6-ET5)/1000))</f>
        <v>145.38300000000001</v>
      </c>
      <c r="AU6" s="90">
        <f>IF(EV6="","",(EV6-EV5))</f>
        <v>0</v>
      </c>
      <c r="AV6" s="90">
        <f>IF(EI6=0,"",(EI6-EI5)+AU6)</f>
        <v>20</v>
      </c>
      <c r="AW6" s="90">
        <f>IF(EU6="","",(EU6-EU5))</f>
        <v>0</v>
      </c>
      <c r="AX6" s="90">
        <f>IF(EJ6=0,"",(EJ6-EJ5)+AW6)</f>
        <v>26</v>
      </c>
      <c r="AY6" s="90" t="str">
        <f>IF(EK6=0,"",(EK6-EL5))</f>
        <v/>
      </c>
      <c r="AZ6" s="90">
        <f>IF(EW6=0,"",EW6-EW5)</f>
        <v>375</v>
      </c>
      <c r="BA6" s="90">
        <v>0</v>
      </c>
      <c r="BB6" s="90">
        <f>IF(EX6=0,"",(EX6-EX5))</f>
        <v>60</v>
      </c>
      <c r="BC6" s="90">
        <f>IF(EY6=0,"",(EY6-EY5))</f>
        <v>1062</v>
      </c>
      <c r="BD6" s="90">
        <f>IF(FA6=0,"",(FA6-FA5))</f>
        <v>122</v>
      </c>
      <c r="BE6" s="90"/>
      <c r="BF6" s="90"/>
      <c r="BG6" s="90">
        <f t="shared" ref="BG6:BG36" si="5">IFERROR(SUM(BB6:BF6)+AZ6,"")</f>
        <v>1619</v>
      </c>
      <c r="BH6" s="90">
        <f>BL6-FC6</f>
        <v>-66</v>
      </c>
      <c r="BI6" s="90">
        <f>IF(FC6=0,"",(FC6-BJ6))</f>
        <v>1500.817</v>
      </c>
      <c r="BJ6" s="90">
        <f t="shared" ref="BJ6:BJ36" si="6">IF(BH6=0,"",(AA6+AD6+AO6+BG6+AH6+AL6+AQ6+AS6+AX6+AV6))</f>
        <v>4475.183</v>
      </c>
      <c r="BK6" s="92"/>
      <c r="BL6" s="93">
        <f>FD6+FN6</f>
        <v>5910</v>
      </c>
      <c r="BM6" s="93">
        <f>BL6</f>
        <v>5910</v>
      </c>
      <c r="BN6" s="92"/>
      <c r="BO6" s="94">
        <f>IF($N6&lt;&gt;0,IF($N6&lt;&gt;0,R6/$N6*10,0)," ")</f>
        <v>1.1708176536607908</v>
      </c>
      <c r="BP6" s="94">
        <f>IF($N6&lt;&gt;0,IF($N6&lt;&gt;0,S6/$N6*10,0)," ")</f>
        <v>0.31978279527299136</v>
      </c>
      <c r="BQ6" s="94">
        <f>IF($N6&lt;&gt;0,IF($N6&lt;&gt;0,T6/$N6*10,0)," ")</f>
        <v>2.286962764903941</v>
      </c>
      <c r="BR6" s="94">
        <f>IF($N6&lt;&gt;0,IF($N6&lt;&gt;0,(V6)/$N6*10,0)," ")</f>
        <v>5.5910411302568166</v>
      </c>
      <c r="BS6" s="94">
        <f t="shared" ref="BS6:BU21" si="7">IF($N6&lt;&gt;0,IF($N6&lt;&gt;0,Y6/$N6*10,0)," ")</f>
        <v>0</v>
      </c>
      <c r="BT6" s="94">
        <f t="shared" si="7"/>
        <v>0.42242275698158055</v>
      </c>
      <c r="BU6" s="95">
        <f>IF($N6&lt;&gt;0,IF($N6&lt;&gt;0,AA6/$N6*10,0)," ")</f>
        <v>9.3964563940054138</v>
      </c>
      <c r="BV6" s="94">
        <f t="shared" ref="BV6:BX35" si="8">IF($O6&lt;&gt;0,IF($O6&lt;&gt;0,R6/$O6*10,0)," ")</f>
        <v>1.1708176536607908</v>
      </c>
      <c r="BW6" s="94">
        <f t="shared" si="8"/>
        <v>0.31978279527299136</v>
      </c>
      <c r="BX6" s="94">
        <f t="shared" si="8"/>
        <v>2.286962764903941</v>
      </c>
      <c r="BY6" s="94">
        <f>IF($O6&lt;&gt;0,IF($O6&lt;&gt;0,(V6)/$O6*10,0)," ")</f>
        <v>5.5910411302568166</v>
      </c>
      <c r="BZ6" s="95">
        <f t="shared" ref="BZ6:BZ36" si="9">IF($O6&lt;&gt;0,IF($O6&lt;&gt;0,AA6/$O6*10,0)," ")</f>
        <v>9.3964563940054138</v>
      </c>
      <c r="CA6" s="96" t="e">
        <f>#REF!</f>
        <v>#REF!</v>
      </c>
      <c r="CB6" s="94">
        <f t="shared" ref="CB6:CC36" si="10">IF($O6&lt;&gt;0,IF($O6&lt;&gt;0,AR6/$O6*10,0)," ")</f>
        <v>8.965781177790981E-2</v>
      </c>
      <c r="CC6" s="95">
        <f>IF($O6&lt;&gt;0,IF($O6&lt;&gt;0,AS6/$O6*10,0)," ")</f>
        <v>0.749854550406021</v>
      </c>
      <c r="CD6" s="97" t="str">
        <f t="shared" ref="CD6:CE35" si="11">IFERROR(AR6*10/($I6+$J6),"")</f>
        <v/>
      </c>
      <c r="CE6" s="98" t="str">
        <f>IFERROR(AS6*10/($I6+$J6),"")</f>
        <v/>
      </c>
      <c r="CF6" s="94" t="str">
        <f>IF($D6&lt;&gt;0,IF($D6&lt;&gt;0,AB6/$D6*10,0),"0,00")</f>
        <v>0,00</v>
      </c>
      <c r="CG6" s="94" t="str">
        <f>IF($D6&lt;&gt;0,IF($D6&lt;&gt;0,AC6/$D6*10,0),"0,00")</f>
        <v>0,00</v>
      </c>
      <c r="CH6" s="95" t="str">
        <f>IF($D6&lt;&gt;0,IF($O6&lt;&gt;0,AD6/$D6*10,0),"0,00 ")</f>
        <v xml:space="preserve">0,00 </v>
      </c>
      <c r="CI6" s="96" t="e">
        <f>#REF!</f>
        <v>#REF!</v>
      </c>
      <c r="CJ6" s="94" t="str">
        <f>IF($E6&lt;&gt;0,IF($E6&lt;&gt;0,AF6/$E6*10,0),"0,00")</f>
        <v>0,00</v>
      </c>
      <c r="CK6" s="94" t="str">
        <f>IF($E6&lt;&gt;0,IF($E6&lt;&gt;0,AG6/$E6*10,0),"0,00")</f>
        <v>0,00</v>
      </c>
      <c r="CL6" s="95" t="str">
        <f>IF($E6&lt;&gt;0,IF($E6&lt;&gt;0,AH6/$E6*10,0),"0,00 ")</f>
        <v xml:space="preserve">0,00 </v>
      </c>
      <c r="CM6" s="95" t="e">
        <f>#REF!</f>
        <v>#REF!</v>
      </c>
      <c r="CN6" s="94">
        <f>IF($F6&lt;&gt;0,IF($F6&lt;&gt;0,AJ6/$F6*10,0),"0,00")</f>
        <v>0.86650821944939582</v>
      </c>
      <c r="CO6" s="94">
        <f>IF($F6&lt;&gt;0,IF($F6&lt;&gt;0,AK6/$F6*10,0),"0,00")</f>
        <v>0.23210041592394534</v>
      </c>
      <c r="CP6" s="95">
        <f>IF($F6&lt;&gt;0,IF($F6&lt;&gt;0,AL6/$F6*10,0),"0,00 ")</f>
        <v>1.5834406153033602</v>
      </c>
      <c r="CQ6" s="95" t="e">
        <f>#REF!</f>
        <v>#REF!</v>
      </c>
      <c r="CR6" s="97" t="str">
        <f>IF($G6&lt;&gt;0,IF($G6&lt;&gt;0,AN6/$G6*10,0),"0,00 ")</f>
        <v xml:space="preserve">0,00 </v>
      </c>
      <c r="CS6" s="95" t="str">
        <f>IF($G6&lt;&gt;0,IF($G6&lt;&gt;0,AO6/$G6*10,0),"0,00 ")</f>
        <v xml:space="preserve">0,00 </v>
      </c>
      <c r="CT6" s="96" t="e">
        <f>#REF!</f>
        <v>#REF!</v>
      </c>
      <c r="CU6" s="97" t="str">
        <f>IF($H6&lt;&gt;0,IF($H6&lt;&gt;0,AP6/$H6*10,0),"0,00 ")</f>
        <v xml:space="preserve">0,00 </v>
      </c>
      <c r="CV6" s="95" t="str">
        <f>IF($H6&lt;&gt;0,IF($H6&lt;&gt;0,AQ6/$H6*10,0),"0,00 ")</f>
        <v xml:space="preserve">0,00 </v>
      </c>
      <c r="CW6" s="96" t="e">
        <f>#REF!</f>
        <v>#REF!</v>
      </c>
      <c r="CX6" s="99">
        <f>IF($O6&lt;&gt;0,IF($O6&lt;&gt;0,AU6/$O6*10,0)," ")</f>
        <v>0</v>
      </c>
      <c r="CY6" s="95">
        <f>IF($O6&lt;&gt;0,IF($O6&lt;&gt;0,AV6/$O6*10,0)," ")</f>
        <v>0.10315574041064236</v>
      </c>
      <c r="CZ6" s="99">
        <f>IF($O6&lt;&gt;0,IF($O6&lt;&gt;0,AW6/$O6*10,0)," ")</f>
        <v>0</v>
      </c>
      <c r="DA6" s="95">
        <f>IF($O6&lt;&gt;0,IF($O6&lt;&gt;0,AX6/$O6*10,0)," ")</f>
        <v>0.13410246253383507</v>
      </c>
      <c r="DB6" s="94">
        <f t="shared" ref="DB6:DB36" si="12">IF($O6&lt;&gt;0,IF($O6&lt;&gt;0,AZ6/$O6*10,0)," ")</f>
        <v>1.9341701326995444</v>
      </c>
      <c r="DC6" s="94">
        <f t="shared" ref="DC6:DH35" si="13">IF($O6&lt;&gt;0,IF($O6&lt;&gt;0,BB6/$O6*10,0)," ")</f>
        <v>0.3094672212319271</v>
      </c>
      <c r="DD6" s="94">
        <f t="shared" si="13"/>
        <v>5.4775698158051096</v>
      </c>
      <c r="DE6" s="94">
        <f t="shared" si="13"/>
        <v>0.62925001650491852</v>
      </c>
      <c r="DF6" s="94">
        <f t="shared" si="13"/>
        <v>0</v>
      </c>
      <c r="DG6" s="94">
        <f t="shared" si="13"/>
        <v>0</v>
      </c>
      <c r="DH6" s="95">
        <f>IF($O6&lt;&gt;0,IF($O6&lt;&gt;0,BG6/$O6*10,0)," ")</f>
        <v>8.3504571862414991</v>
      </c>
      <c r="DI6" s="96" t="e">
        <f>#REF!</f>
        <v>#REF!</v>
      </c>
      <c r="DJ6" s="95">
        <f>IF($O6&lt;&gt;0,IF($O6&lt;&gt;0,BH6/$O6*10,0)," ")</f>
        <v>-0.34041394335511982</v>
      </c>
      <c r="DK6" s="96" t="e">
        <f>#REF!</f>
        <v>#REF!</v>
      </c>
      <c r="DL6" s="95">
        <f t="shared" ref="DL6:DL36" si="14">IF($O6&lt;&gt;0,BI6/$O6*10," ")</f>
        <v>7.7408944427939534</v>
      </c>
      <c r="DM6" s="96">
        <f t="shared" ref="DM6:DM37" si="15">$D$3</f>
        <v>0</v>
      </c>
      <c r="DN6" s="94">
        <f t="shared" ref="DN6:DN36" si="16">IF($O6&lt;&gt;0,BJ6/$O6*10,"")</f>
        <v>23.082040791905989</v>
      </c>
      <c r="DO6" s="100">
        <v>3.4</v>
      </c>
      <c r="DP6" s="94">
        <f>IF($O6&lt;&gt;0,IF($O6&lt;&gt;0,BL6/$O6*10,0)," ")</f>
        <v>30.48252129134482</v>
      </c>
      <c r="DQ6" s="94">
        <f>IF($P6&lt;&gt;0,IF($P6&lt;&gt;0,BM6/$P6*10,0)," ")</f>
        <v>30.48252129134482</v>
      </c>
      <c r="DR6" s="101">
        <f t="shared" ref="DR6:DR35" si="17">$D$2</f>
        <v>0</v>
      </c>
      <c r="DS6" s="102"/>
      <c r="DT6" s="103">
        <v>1</v>
      </c>
      <c r="DU6" s="76">
        <v>595915</v>
      </c>
      <c r="DV6" s="76">
        <v>21050</v>
      </c>
      <c r="DW6" s="76">
        <v>5070587</v>
      </c>
      <c r="DX6" s="76">
        <v>94970</v>
      </c>
      <c r="DY6" s="76">
        <v>78969</v>
      </c>
      <c r="DZ6" s="76">
        <v>353154</v>
      </c>
      <c r="EA6" s="77">
        <v>198228</v>
      </c>
      <c r="EB6" s="77">
        <v>45449</v>
      </c>
      <c r="EC6" s="77">
        <v>349459</v>
      </c>
      <c r="ED6" s="76">
        <v>43058</v>
      </c>
      <c r="EE6" s="77">
        <v>35088</v>
      </c>
      <c r="EF6" s="77">
        <v>36835</v>
      </c>
      <c r="EG6" s="76">
        <v>87575</v>
      </c>
      <c r="EH6" s="76">
        <v>172524</v>
      </c>
      <c r="EI6" s="76">
        <v>26894</v>
      </c>
      <c r="EJ6" s="77">
        <v>34809</v>
      </c>
      <c r="EK6" s="77"/>
      <c r="EL6" s="76">
        <v>666969</v>
      </c>
      <c r="EM6" s="76">
        <v>4434</v>
      </c>
      <c r="EN6" s="77">
        <v>37423</v>
      </c>
      <c r="EO6" s="76">
        <v>2767193</v>
      </c>
      <c r="EP6" s="77">
        <v>1957292</v>
      </c>
      <c r="EQ6" s="77">
        <v>0</v>
      </c>
      <c r="ER6" s="77">
        <v>819</v>
      </c>
      <c r="ES6" s="77">
        <v>235150</v>
      </c>
      <c r="ET6" s="77">
        <v>6342508</v>
      </c>
      <c r="EU6" s="77">
        <v>349526</v>
      </c>
      <c r="EV6" s="77">
        <v>96909</v>
      </c>
      <c r="EW6" s="77">
        <v>43444</v>
      </c>
      <c r="EX6" s="76">
        <v>190765</v>
      </c>
      <c r="EY6" s="76">
        <v>1521661</v>
      </c>
      <c r="EZ6" s="76">
        <v>663885</v>
      </c>
      <c r="FA6" s="76">
        <v>707176</v>
      </c>
      <c r="FB6" s="77">
        <v>29433</v>
      </c>
      <c r="FC6" s="76">
        <v>5976</v>
      </c>
      <c r="FD6" s="104">
        <f t="shared" ref="FD6:FD34" si="18">SUM(FE6:FM6)</f>
        <v>4920</v>
      </c>
      <c r="FE6" s="105">
        <f t="shared" ref="FE6:FF21" si="19">FE39-FE38</f>
        <v>388</v>
      </c>
      <c r="FF6" s="287">
        <f t="shared" si="19"/>
        <v>0</v>
      </c>
      <c r="FG6" s="288">
        <v>1021</v>
      </c>
      <c r="FH6" s="288">
        <f t="shared" ref="FH6:FL21" si="20">FH39-FH38</f>
        <v>1652</v>
      </c>
      <c r="FI6" s="288">
        <f t="shared" si="20"/>
        <v>538</v>
      </c>
      <c r="FJ6" s="288">
        <f t="shared" si="20"/>
        <v>0</v>
      </c>
      <c r="FK6" s="104">
        <f t="shared" si="20"/>
        <v>0</v>
      </c>
      <c r="FL6" s="288">
        <f t="shared" si="20"/>
        <v>988</v>
      </c>
      <c r="FM6" s="288">
        <v>333</v>
      </c>
      <c r="FN6" s="80">
        <f>IF(FO6="",0,(FO6-FO5))</f>
        <v>990</v>
      </c>
      <c r="FO6" s="104">
        <v>28058</v>
      </c>
      <c r="FP6" s="121"/>
      <c r="FR6" s="64"/>
      <c r="FS6" s="64"/>
      <c r="FT6" s="64"/>
      <c r="FU6" s="64"/>
      <c r="FV6" s="64"/>
      <c r="FW6" s="64"/>
      <c r="FX6" s="64"/>
      <c r="FY6" s="64"/>
      <c r="FZ6" s="178">
        <f>BU6</f>
        <v>9.3964563940054138</v>
      </c>
      <c r="GA6" s="220">
        <v>17101.269369369373</v>
      </c>
      <c r="GB6" s="220">
        <v>7476.4378378378369</v>
      </c>
      <c r="GC6" s="220">
        <v>22765.7</v>
      </c>
      <c r="GD6" s="220">
        <v>47343.407207207216</v>
      </c>
      <c r="GE6" s="116">
        <f>IFERROR(SUM(R6:S6)/GA6/0.1,"-")</f>
        <v>0.16899330322089251</v>
      </c>
      <c r="GF6" s="116">
        <f>IFERROR(SUM(T6:U6)/GB6/0.1,"-")</f>
        <v>0.60028587107171283</v>
      </c>
      <c r="GG6" s="116">
        <f>IFERROR(X6/GC6/0.1,"-")</f>
        <v>0.47615491726588677</v>
      </c>
      <c r="GH6" s="116">
        <f>IFERROR(AA6/GD6/0.1,"-")</f>
        <v>0.38480542645073129</v>
      </c>
      <c r="GJ6" s="116">
        <f>IFERROR(SUM(Y6:Z6)/SUM(GC6)/0.1,"-")</f>
        <v>3.5975173177192003E-2</v>
      </c>
      <c r="GK6" s="289">
        <f>BC6</f>
        <v>1062</v>
      </c>
      <c r="GL6" s="290">
        <f>BD6</f>
        <v>122</v>
      </c>
      <c r="GM6" s="64">
        <v>8</v>
      </c>
      <c r="GN6" s="64">
        <v>4</v>
      </c>
      <c r="GO6" s="116">
        <f>IFERROR(GK6/(GM6*110),"-")</f>
        <v>1.2068181818181818</v>
      </c>
      <c r="GP6" s="116"/>
    </row>
    <row r="7" spans="1:212" ht="15" customHeight="1">
      <c r="B7" s="573">
        <v>42737</v>
      </c>
      <c r="D7" s="86">
        <v>0</v>
      </c>
      <c r="E7" s="86">
        <v>4278.12</v>
      </c>
      <c r="F7" s="86">
        <v>3208.6080000000002</v>
      </c>
      <c r="G7" s="86">
        <v>3308.4650000000001</v>
      </c>
      <c r="H7" s="86">
        <v>7322.8909999999996</v>
      </c>
      <c r="I7" s="86">
        <v>1204.0360000000001</v>
      </c>
      <c r="J7" s="86">
        <v>2999.52</v>
      </c>
      <c r="K7" s="284">
        <v>13.028</v>
      </c>
      <c r="L7" s="284">
        <v>0</v>
      </c>
      <c r="M7" s="291">
        <f t="shared" ref="M7:M36" si="21">I7+J7</f>
        <v>4203.5560000000005</v>
      </c>
      <c r="N7" s="213">
        <f t="shared" si="0"/>
        <v>18118.083999999999</v>
      </c>
      <c r="O7" s="88">
        <f t="shared" ref="O7:O36" si="22">N7+L7+((J7+I7)*0.5)</f>
        <v>20219.862000000001</v>
      </c>
      <c r="P7" s="89">
        <f t="shared" ref="P7:P36" si="23">P6+O7</f>
        <v>22158.678</v>
      </c>
      <c r="R7" s="90">
        <f t="shared" ref="R7:R36" si="24">IF(EL7=0,"",(EL7-EL6))</f>
        <v>250</v>
      </c>
      <c r="S7" s="90">
        <f t="shared" ref="S7:S36" si="25">IF(EZ7=0,"",((EZ7-EZ6)/10))</f>
        <v>0</v>
      </c>
      <c r="T7" s="90">
        <f t="shared" si="1"/>
        <v>583.5</v>
      </c>
      <c r="U7" s="90">
        <f>IF(FB7=0,"",((EN7-EN6)/10))</f>
        <v>5.0999999999999996</v>
      </c>
      <c r="V7" s="90">
        <f t="shared" ref="V7:V33" si="26">IF(EO7=0,"",(EO7-EO6))</f>
        <v>1239</v>
      </c>
      <c r="W7" s="91">
        <v>500</v>
      </c>
      <c r="X7" s="90">
        <f t="shared" ref="X7:X36" si="27">IF(V7="","",V7)</f>
        <v>1239</v>
      </c>
      <c r="Y7" s="90" t="str">
        <f t="shared" ref="Y7:Y36" si="28">IF(EQ7=0,"0",(EQ7/10))</f>
        <v>0</v>
      </c>
      <c r="Z7" s="90">
        <f t="shared" si="2"/>
        <v>116.3</v>
      </c>
      <c r="AA7" s="90">
        <f t="shared" ref="AA7:AA36" si="29">IF(SUM(R7:V7)=0,"",SUM(R7:V7))</f>
        <v>2077.6</v>
      </c>
      <c r="AB7" s="90">
        <f t="shared" ref="AB7:AC36" si="30">IF(DU7=0,"",(DU7-DU6))</f>
        <v>159</v>
      </c>
      <c r="AC7" s="90">
        <f t="shared" si="30"/>
        <v>14</v>
      </c>
      <c r="AD7" s="90">
        <f t="shared" ref="AD7:AD35" si="31">(IF(SUM(AB7:AC7)&gt;=(DW7-DW6),(SUM(AB7:AC7)),(DW7-DW6)))</f>
        <v>244</v>
      </c>
      <c r="AE7" s="90">
        <f t="shared" ref="AE7:AE36" si="32">IF(AB7="","",(AD7-AC7-AB7))</f>
        <v>71</v>
      </c>
      <c r="AF7" s="90">
        <f t="shared" ref="AF7:AG36" si="33">IF(DX7=0,"",(DX7-DX6))</f>
        <v>175</v>
      </c>
      <c r="AG7" s="90">
        <f t="shared" si="33"/>
        <v>12</v>
      </c>
      <c r="AH7" s="90">
        <f t="shared" ref="AH7:AH36" si="34">(IF(SUM(AF7:AG7)&gt;=(DZ7-DZ6),(SUM(AF7:AG7)),(DZ7-DZ6)))</f>
        <v>299</v>
      </c>
      <c r="AI7" s="90">
        <f t="shared" ref="AI7:AI36" si="35">IF(AF7="","",(AH7-AG7-AF7))</f>
        <v>112</v>
      </c>
      <c r="AJ7" s="90">
        <f t="shared" ref="AJ7:AK35" si="36">IF(EA7=0,"",(EA7-EA6))</f>
        <v>273</v>
      </c>
      <c r="AK7" s="90">
        <f t="shared" si="36"/>
        <v>18</v>
      </c>
      <c r="AL7" s="90">
        <f t="shared" ref="AL7:AL36" si="37">(IF(SUM(AJ7:AK7)&gt;=(EC7-EC6),(SUM(AJ7:AK7)),(EC7-EC6)))</f>
        <v>344</v>
      </c>
      <c r="AM7" s="90">
        <f t="shared" ref="AM7:AM36" si="38">IF(AJ7="","",(AL7-AK7-AJ7))</f>
        <v>53</v>
      </c>
      <c r="AN7" s="90">
        <f t="shared" ref="AN7:AN36" si="39">IF(ED7=0,"",(ED7-ED6))</f>
        <v>13</v>
      </c>
      <c r="AO7" s="90">
        <f t="shared" si="3"/>
        <v>46</v>
      </c>
      <c r="AP7" s="90">
        <f t="shared" ref="AP7:AP36" si="40">IF(EG7=0,"",(EG7-EG6))</f>
        <v>59</v>
      </c>
      <c r="AQ7" s="90">
        <f t="shared" si="4"/>
        <v>59</v>
      </c>
      <c r="AR7" s="90">
        <f t="shared" ref="AR7:AR36" si="41">IF(ET7=0,"",(ET7-ET6)/1000)</f>
        <v>64.084999999999994</v>
      </c>
      <c r="AS7" s="90">
        <f t="shared" ref="AS7:AS36" si="42">IF(AR7="","",(ES7-ES6)+((ET7-ET6)/1000)-AW7-AU7)</f>
        <v>188.08500000000004</v>
      </c>
      <c r="AT7" s="90">
        <f t="shared" ref="AT7:AT36" si="43">IF(AR7="","",ES7-ES6+((ET7-ET6)/1000))</f>
        <v>731.08500000000004</v>
      </c>
      <c r="AU7" s="90">
        <f t="shared" ref="AU7:AU36" si="44">IF(EV7="","",(EV7-EV6))</f>
        <v>181</v>
      </c>
      <c r="AV7" s="90">
        <f>IF(EI7=0,"",(EI7-EI6)+AU7)</f>
        <v>211</v>
      </c>
      <c r="AW7" s="90">
        <f t="shared" ref="AW7:AW36" si="45">IF(EU7="","",(EU7-EU6))</f>
        <v>362</v>
      </c>
      <c r="AX7" s="90">
        <f>IF(EJ7=0,"",(EJ7-EJ6)+AW7)</f>
        <v>442</v>
      </c>
      <c r="AY7" s="90" t="str">
        <f t="shared" ref="AY7:AY35" si="46">IF(EK7=0,"",(EK7-EK6))</f>
        <v/>
      </c>
      <c r="AZ7" s="90">
        <f t="shared" ref="AZ7:AZ36" si="47">IF(EW7=0,"",EW7-EW6)</f>
        <v>390</v>
      </c>
      <c r="BA7" s="90">
        <v>27</v>
      </c>
      <c r="BB7" s="90">
        <f t="shared" ref="BB7:BC36" si="48">IF(EX7=0,"",(EX7-EX6))</f>
        <v>147</v>
      </c>
      <c r="BC7" s="90">
        <f t="shared" si="48"/>
        <v>1047</v>
      </c>
      <c r="BD7" s="90">
        <f t="shared" ref="BD7:BD36" si="49">IF(FA7=0,"",(FA7-FA6))</f>
        <v>207</v>
      </c>
      <c r="BE7" s="90"/>
      <c r="BF7" s="90"/>
      <c r="BG7" s="90">
        <f t="shared" si="5"/>
        <v>1791</v>
      </c>
      <c r="BH7" s="90">
        <f t="shared" ref="BH7:BH36" si="50">BL7-FC7</f>
        <v>-99</v>
      </c>
      <c r="BI7" s="90">
        <f t="shared" ref="BI7:BI36" si="51">IF(FC7=0,"",(FC7-BJ7))</f>
        <v>1390.3149999999996</v>
      </c>
      <c r="BJ7" s="90">
        <f>IF(BH7=0,"",(AA7+AD7+AO7+BG7+AH7+AL7+AQ7+AS7+AX7+AV7))</f>
        <v>5701.6850000000004</v>
      </c>
      <c r="BK7" s="92"/>
      <c r="BL7" s="93">
        <f t="shared" ref="BL7:BL34" si="52">FD7+FN7</f>
        <v>6993</v>
      </c>
      <c r="BM7" s="93">
        <f t="shared" ref="BM7:BM36" si="53">BL7+BM6</f>
        <v>12903</v>
      </c>
      <c r="BN7" s="92"/>
      <c r="BO7" s="94">
        <f t="shared" ref="BO7:BP35" si="54">IF($N7&lt;&gt;0,IF($N7&lt;&gt;0,R7/$N7*10,0)," ")</f>
        <v>0.13798368525060378</v>
      </c>
      <c r="BP7" s="94">
        <f>IF($N7&lt;&gt;0,IF($N7&lt;&gt;0,S7/$N7*10,0)," ")</f>
        <v>0</v>
      </c>
      <c r="BQ7" s="94">
        <f t="shared" ref="BQ7:BQ36" si="55">IF($N7&lt;&gt;0,IF($N7&lt;&gt;0,T7/$N7*10,0)," ")</f>
        <v>0.32205392137490918</v>
      </c>
      <c r="BR7" s="94">
        <f>IF($N7&lt;&gt;0,IF($N7&lt;&gt;0,(V7)/$N7*10,0)," ")</f>
        <v>0.68384714410199232</v>
      </c>
      <c r="BS7" s="94">
        <f t="shared" si="7"/>
        <v>0</v>
      </c>
      <c r="BT7" s="94">
        <f t="shared" si="7"/>
        <v>6.4190010378580867E-2</v>
      </c>
      <c r="BU7" s="95">
        <f t="shared" si="7"/>
        <v>1.1466996179066173</v>
      </c>
      <c r="BV7" s="94">
        <f t="shared" si="8"/>
        <v>0.12364080427452967</v>
      </c>
      <c r="BW7" s="94">
        <f t="shared" si="8"/>
        <v>0</v>
      </c>
      <c r="BX7" s="94">
        <f t="shared" si="8"/>
        <v>0.28857763717675222</v>
      </c>
      <c r="BY7" s="94">
        <f t="shared" ref="BY7:BY36" si="56">IF($O7&lt;&gt;0,IF($O7&lt;&gt;0,(V7)/$O7*10,0)," ")</f>
        <v>0.61276382598456902</v>
      </c>
      <c r="BZ7" s="95">
        <f t="shared" si="9"/>
        <v>1.0275045398430513</v>
      </c>
      <c r="CA7" s="96" t="e">
        <f>#REF!</f>
        <v>#REF!</v>
      </c>
      <c r="CB7" s="94">
        <f t="shared" si="10"/>
        <v>3.1694083767732931E-2</v>
      </c>
      <c r="CC7" s="95">
        <f t="shared" si="10"/>
        <v>9.3019922687899659E-2</v>
      </c>
      <c r="CD7" s="97">
        <f t="shared" si="11"/>
        <v>0.15245425539709709</v>
      </c>
      <c r="CE7" s="98">
        <f>IFERROR(AS7*10/($I7+$J7),"")</f>
        <v>0.44744259384197571</v>
      </c>
      <c r="CF7" s="94" t="str">
        <f t="shared" ref="CF7:CG36" si="57">IF($D7&lt;&gt;0,IF($D7&lt;&gt;0,AB7/$D7*10,0),"0,00")</f>
        <v>0,00</v>
      </c>
      <c r="CG7" s="94" t="str">
        <f t="shared" si="57"/>
        <v>0,00</v>
      </c>
      <c r="CH7" s="95" t="str">
        <f t="shared" ref="CH7:CH36" si="58">IF($D7&lt;&gt;0,IF($O7&lt;&gt;0,AD7/$D7*10,0),"0,00 ")</f>
        <v xml:space="preserve">0,00 </v>
      </c>
      <c r="CI7" s="96" t="e">
        <f>#REF!</f>
        <v>#REF!</v>
      </c>
      <c r="CJ7" s="94">
        <f t="shared" ref="CJ7:CK36" si="59">IF($E7&lt;&gt;0,IF($E7&lt;&gt;0,AF7/$E7*10,0),"0,00")</f>
        <v>0.40905818443615416</v>
      </c>
      <c r="CK7" s="94">
        <f t="shared" si="59"/>
        <v>2.8049704075622E-2</v>
      </c>
      <c r="CL7" s="95">
        <f>IF($E7&lt;&gt;0,IF($E7&lt;&gt;0,AH7/$E7*10,0),"0,00 ")</f>
        <v>0.69890512655091497</v>
      </c>
      <c r="CM7" s="95" t="e">
        <f>#REF!</f>
        <v>#REF!</v>
      </c>
      <c r="CN7" s="94">
        <f t="shared" ref="CN7:CO36" si="60">IF($F7&lt;&gt;0,IF($F7&lt;&gt;0,AJ7/$F7*10,0),"0,00")</f>
        <v>0.85083625048619216</v>
      </c>
      <c r="CO7" s="94">
        <f t="shared" si="60"/>
        <v>5.6099093438650029E-2</v>
      </c>
      <c r="CP7" s="95">
        <f t="shared" ref="CP7:CP36" si="61">IF($F7&lt;&gt;0,IF($F7&lt;&gt;0,AL7/$F7*10,0),"0,00 ")</f>
        <v>1.0721160079386449</v>
      </c>
      <c r="CQ7" s="95" t="e">
        <f>#REF!</f>
        <v>#REF!</v>
      </c>
      <c r="CR7" s="97">
        <f>IF($G7&lt;&gt;0,IF($G7&lt;&gt;0,AN7/$G7*10,0),"0,00 ")</f>
        <v>3.9293146519609544E-2</v>
      </c>
      <c r="CS7" s="95">
        <f>IF($G7&lt;&gt;0,IF($G7&lt;&gt;0,AO7/$G7*10,0),"0,00 ")</f>
        <v>0.13903728768477225</v>
      </c>
      <c r="CT7" s="96" t="e">
        <f>#REF!</f>
        <v>#REF!</v>
      </c>
      <c r="CU7" s="97">
        <f>IF($H7&lt;&gt;0,IF($H7&lt;&gt;0,AP7/$H7*10,0),"0,00 ")</f>
        <v>8.0569272436255029E-2</v>
      </c>
      <c r="CV7" s="95">
        <f t="shared" ref="CV7:CV36" si="62">IF($H7&lt;&gt;0,IF($H7&lt;&gt;0,AQ7/$H7*10,0),"0,00 ")</f>
        <v>8.0569272436255029E-2</v>
      </c>
      <c r="CW7" s="96" t="e">
        <f>#REF!</f>
        <v>#REF!</v>
      </c>
      <c r="CX7" s="99">
        <f t="shared" ref="CX7:DA37" si="63">IF($O7&lt;&gt;0,IF($O7&lt;&gt;0,AU7/$O7*10,0)," ")</f>
        <v>8.9515942294759468E-2</v>
      </c>
      <c r="CY7" s="95">
        <f t="shared" si="63"/>
        <v>0.10435283880770305</v>
      </c>
      <c r="CZ7" s="99">
        <f t="shared" si="63"/>
        <v>0.17903188458951894</v>
      </c>
      <c r="DA7" s="95">
        <f t="shared" si="63"/>
        <v>0.21859694195736845</v>
      </c>
      <c r="DB7" s="94">
        <f t="shared" si="12"/>
        <v>0.19287965466826626</v>
      </c>
      <c r="DC7" s="94">
        <f t="shared" si="13"/>
        <v>7.2700792913423434E-2</v>
      </c>
      <c r="DD7" s="94">
        <f t="shared" si="13"/>
        <v>0.5178076883017303</v>
      </c>
      <c r="DE7" s="94">
        <f t="shared" si="13"/>
        <v>0.10237458593931056</v>
      </c>
      <c r="DF7" s="94">
        <f t="shared" si="13"/>
        <v>0</v>
      </c>
      <c r="DG7" s="94">
        <f t="shared" si="13"/>
        <v>0</v>
      </c>
      <c r="DH7" s="95">
        <f t="shared" si="13"/>
        <v>0.88576272182273053</v>
      </c>
      <c r="DI7" s="96" t="e">
        <f>#REF!</f>
        <v>#REF!</v>
      </c>
      <c r="DJ7" s="95">
        <f t="shared" ref="DJ7:DJ36" si="64">IF($O7&lt;&gt;0,IF($O7&lt;&gt;0,BH7/$O7*10,0)," ")</f>
        <v>-4.8961758492713746E-2</v>
      </c>
      <c r="DK7" s="96" t="e">
        <f>#REF!</f>
        <v>#REF!</v>
      </c>
      <c r="DL7" s="95">
        <f t="shared" si="14"/>
        <v>0.68759865917977059</v>
      </c>
      <c r="DM7" s="96">
        <f t="shared" si="15"/>
        <v>0</v>
      </c>
      <c r="DN7" s="94">
        <f t="shared" si="16"/>
        <v>2.8198436764800867</v>
      </c>
      <c r="DO7" s="100">
        <v>3.4</v>
      </c>
      <c r="DP7" s="94">
        <f>IF($O7&lt;&gt;0,IF($O7&lt;&gt;0,BL7/$O7*10,0)," ")</f>
        <v>3.4584805771671441</v>
      </c>
      <c r="DQ7" s="94">
        <f>IF($P7&lt;&gt;0,IF($P7&lt;&gt;0,BM7/$P7*10,0)," ")</f>
        <v>5.8230008125936026</v>
      </c>
      <c r="DR7" s="101">
        <f t="shared" si="17"/>
        <v>0</v>
      </c>
      <c r="DS7" s="116"/>
      <c r="DT7" s="103">
        <v>2</v>
      </c>
      <c r="DU7" s="76">
        <v>596074</v>
      </c>
      <c r="DV7" s="76">
        <v>21064</v>
      </c>
      <c r="DW7" s="77">
        <v>5070831</v>
      </c>
      <c r="DX7" s="76">
        <v>95145</v>
      </c>
      <c r="DY7" s="76">
        <v>78981</v>
      </c>
      <c r="DZ7" s="76">
        <v>353453</v>
      </c>
      <c r="EA7" s="76">
        <v>198501</v>
      </c>
      <c r="EB7" s="77">
        <v>45467</v>
      </c>
      <c r="EC7" s="77">
        <v>349803</v>
      </c>
      <c r="ED7" s="77">
        <v>43071</v>
      </c>
      <c r="EE7" s="77">
        <v>35123</v>
      </c>
      <c r="EF7" s="77">
        <v>36846</v>
      </c>
      <c r="EG7" s="76">
        <v>87634</v>
      </c>
      <c r="EH7" s="76">
        <v>172567</v>
      </c>
      <c r="EI7" s="76">
        <v>26924</v>
      </c>
      <c r="EJ7" s="77">
        <v>34889</v>
      </c>
      <c r="EK7" s="77"/>
      <c r="EL7" s="76">
        <v>667219</v>
      </c>
      <c r="EM7" s="76">
        <v>5835</v>
      </c>
      <c r="EN7" s="77">
        <v>37474</v>
      </c>
      <c r="EO7" s="76">
        <v>2768432</v>
      </c>
      <c r="EP7" s="77">
        <v>1974560</v>
      </c>
      <c r="EQ7" s="77">
        <v>0</v>
      </c>
      <c r="ER7" s="77">
        <v>1163</v>
      </c>
      <c r="ES7" s="77">
        <v>235817</v>
      </c>
      <c r="ET7" s="77">
        <v>6406593</v>
      </c>
      <c r="EU7" s="77">
        <v>349888</v>
      </c>
      <c r="EV7" s="77">
        <v>97090</v>
      </c>
      <c r="EW7" s="77">
        <v>43834</v>
      </c>
      <c r="EX7" s="76">
        <v>190912</v>
      </c>
      <c r="EY7" s="117">
        <v>1522708</v>
      </c>
      <c r="EZ7" s="76">
        <v>663885</v>
      </c>
      <c r="FA7" s="76">
        <v>707383</v>
      </c>
      <c r="FB7" s="77">
        <v>29472</v>
      </c>
      <c r="FC7" s="76">
        <v>7092</v>
      </c>
      <c r="FD7" s="104">
        <f t="shared" si="18"/>
        <v>5941</v>
      </c>
      <c r="FE7" s="105">
        <f t="shared" si="19"/>
        <v>402</v>
      </c>
      <c r="FF7" s="287">
        <f t="shared" si="19"/>
        <v>0</v>
      </c>
      <c r="FG7" s="104">
        <v>1729</v>
      </c>
      <c r="FH7" s="288">
        <f t="shared" si="20"/>
        <v>1681</v>
      </c>
      <c r="FI7" s="288">
        <f t="shared" si="20"/>
        <v>534</v>
      </c>
      <c r="FJ7" s="288">
        <f t="shared" si="20"/>
        <v>0</v>
      </c>
      <c r="FK7" s="104">
        <f t="shared" si="20"/>
        <v>321</v>
      </c>
      <c r="FL7" s="288">
        <f t="shared" si="20"/>
        <v>938</v>
      </c>
      <c r="FM7" s="104">
        <v>336</v>
      </c>
      <c r="FN7" s="80">
        <f>IF(FO7="",0,(FO7-FO6))</f>
        <v>1052</v>
      </c>
      <c r="FO7" s="104">
        <v>29110</v>
      </c>
      <c r="FP7" s="292"/>
      <c r="FR7" s="64"/>
      <c r="FS7" s="64"/>
      <c r="FT7" s="64"/>
      <c r="FU7" s="64"/>
      <c r="FV7" s="64"/>
      <c r="FW7" s="64"/>
      <c r="FX7" s="64"/>
      <c r="FY7" s="64"/>
      <c r="FZ7" s="178">
        <f t="shared" ref="FZ7:FZ36" si="65">BU7</f>
        <v>1.1466996179066173</v>
      </c>
      <c r="GA7" s="220">
        <v>12469.023423423421</v>
      </c>
      <c r="GB7" s="220">
        <v>12526.001801801802</v>
      </c>
      <c r="GC7" s="220">
        <v>13339</v>
      </c>
      <c r="GD7" s="220">
        <v>38334.025225225225</v>
      </c>
      <c r="GE7" s="116">
        <f t="shared" ref="GE7:GE21" si="66">IFERROR(SUM(R7:S7)/GA7/0.1,"-")</f>
        <v>0.2004968564982946</v>
      </c>
      <c r="GF7" s="116">
        <f>IFERROR(SUM(T7:U7)/GB7/0.1,"-")</f>
        <v>0.46990253499351475</v>
      </c>
      <c r="GG7" s="116">
        <f t="shared" ref="GG7:GG21" si="67">IFERROR(X7/GC7/0.1,"-")</f>
        <v>0.92885523652447699</v>
      </c>
      <c r="GH7" s="116">
        <f t="shared" ref="GH7:GH21" si="68">IFERROR(AA7/GD7/0.1,"-")</f>
        <v>0.5419728264364112</v>
      </c>
      <c r="GI7" s="116"/>
      <c r="GJ7" s="116">
        <f>IFERROR(SUM(Y7:Z7)/SUM(GC7)/0.1,"-")</f>
        <v>8.7187945123322577E-2</v>
      </c>
      <c r="GK7" s="289">
        <f t="shared" ref="GK7:GL21" si="69">BC7</f>
        <v>1047</v>
      </c>
      <c r="GL7" s="290">
        <f t="shared" si="69"/>
        <v>207</v>
      </c>
      <c r="GM7" s="64">
        <v>9</v>
      </c>
      <c r="GN7" s="64">
        <v>7</v>
      </c>
      <c r="GO7" s="116">
        <f t="shared" ref="GO7:GO21" si="70">IFERROR(GK7/(GM7*110),"-")</f>
        <v>1.0575757575757576</v>
      </c>
    </row>
    <row r="8" spans="1:212" s="119" customFormat="1" ht="15" customHeight="1">
      <c r="B8" s="573">
        <v>42738</v>
      </c>
      <c r="D8" s="86">
        <v>4416</v>
      </c>
      <c r="E8" s="86">
        <v>2113.56</v>
      </c>
      <c r="F8" s="86">
        <v>2999.808</v>
      </c>
      <c r="G8" s="86">
        <v>5926.384</v>
      </c>
      <c r="H8" s="86">
        <v>7916.8850000000002</v>
      </c>
      <c r="I8" s="86">
        <v>759.91700000000003</v>
      </c>
      <c r="J8" s="284">
        <v>5322.84</v>
      </c>
      <c r="K8" s="284">
        <v>0</v>
      </c>
      <c r="L8" s="284">
        <v>206.72</v>
      </c>
      <c r="M8" s="291">
        <f t="shared" si="21"/>
        <v>6082.7570000000005</v>
      </c>
      <c r="N8" s="213">
        <f t="shared" si="0"/>
        <v>23372.636999999999</v>
      </c>
      <c r="O8" s="88">
        <f t="shared" si="22"/>
        <v>26620.735499999999</v>
      </c>
      <c r="P8" s="89">
        <f t="shared" si="23"/>
        <v>48779.413499999995</v>
      </c>
      <c r="R8" s="90">
        <f t="shared" si="24"/>
        <v>116</v>
      </c>
      <c r="S8" s="90">
        <f t="shared" si="25"/>
        <v>1.1000000000000001</v>
      </c>
      <c r="T8" s="90">
        <f t="shared" si="1"/>
        <v>536.9</v>
      </c>
      <c r="U8" s="90">
        <f>IF(FB8=0,"",((EN8-EN7)/10))</f>
        <v>1.3</v>
      </c>
      <c r="V8" s="90">
        <f t="shared" si="26"/>
        <v>1460</v>
      </c>
      <c r="W8" s="91">
        <f t="shared" ref="W8:W36" si="71">IF(EP8=0,"",(EP8-EP7)/10)</f>
        <v>971.8</v>
      </c>
      <c r="X8" s="90">
        <f t="shared" si="27"/>
        <v>1460</v>
      </c>
      <c r="Y8" s="90" t="str">
        <f t="shared" si="28"/>
        <v>0</v>
      </c>
      <c r="Z8" s="90">
        <f t="shared" si="2"/>
        <v>135.80000000000001</v>
      </c>
      <c r="AA8" s="90">
        <f t="shared" si="29"/>
        <v>2115.3000000000002</v>
      </c>
      <c r="AB8" s="90">
        <f t="shared" si="30"/>
        <v>223</v>
      </c>
      <c r="AC8" s="90">
        <f t="shared" si="30"/>
        <v>38</v>
      </c>
      <c r="AD8" s="90">
        <f t="shared" si="31"/>
        <v>482</v>
      </c>
      <c r="AE8" s="90">
        <f t="shared" si="32"/>
        <v>221</v>
      </c>
      <c r="AF8" s="90">
        <f t="shared" si="33"/>
        <v>131</v>
      </c>
      <c r="AG8" s="90">
        <f t="shared" si="33"/>
        <v>20</v>
      </c>
      <c r="AH8" s="90">
        <f t="shared" si="34"/>
        <v>195</v>
      </c>
      <c r="AI8" s="90">
        <f t="shared" si="35"/>
        <v>44</v>
      </c>
      <c r="AJ8" s="90">
        <f t="shared" si="36"/>
        <v>270</v>
      </c>
      <c r="AK8" s="90">
        <f t="shared" si="36"/>
        <v>43</v>
      </c>
      <c r="AL8" s="90">
        <f t="shared" si="37"/>
        <v>397</v>
      </c>
      <c r="AM8" s="90">
        <f t="shared" si="38"/>
        <v>84</v>
      </c>
      <c r="AN8" s="90">
        <f t="shared" si="39"/>
        <v>33</v>
      </c>
      <c r="AO8" s="90">
        <f t="shared" si="3"/>
        <v>70</v>
      </c>
      <c r="AP8" s="90">
        <f t="shared" si="40"/>
        <v>10</v>
      </c>
      <c r="AQ8" s="90">
        <f t="shared" si="4"/>
        <v>53</v>
      </c>
      <c r="AR8" s="90">
        <f t="shared" si="41"/>
        <v>64.685000000000002</v>
      </c>
      <c r="AS8" s="90">
        <f t="shared" si="42"/>
        <v>261.68499999999995</v>
      </c>
      <c r="AT8" s="90">
        <f t="shared" si="43"/>
        <v>800.68499999999995</v>
      </c>
      <c r="AU8" s="90">
        <f t="shared" si="44"/>
        <v>96</v>
      </c>
      <c r="AV8" s="90">
        <f t="shared" ref="AV8:AV36" si="72">IF(EI8=0,"",(EI8-EI7))</f>
        <v>2</v>
      </c>
      <c r="AW8" s="90">
        <f t="shared" si="45"/>
        <v>443</v>
      </c>
      <c r="AX8" s="90">
        <f t="shared" ref="AX8:AX36" si="73">IF(EJ8=0,"",(EJ8-EJ7))</f>
        <v>63</v>
      </c>
      <c r="AY8" s="90" t="str">
        <f t="shared" si="46"/>
        <v/>
      </c>
      <c r="AZ8" s="90">
        <f t="shared" si="47"/>
        <v>409</v>
      </c>
      <c r="BA8" s="90">
        <v>33</v>
      </c>
      <c r="BB8" s="90">
        <f t="shared" si="48"/>
        <v>128</v>
      </c>
      <c r="BC8" s="90">
        <f t="shared" si="48"/>
        <v>378</v>
      </c>
      <c r="BD8" s="90">
        <f t="shared" si="49"/>
        <v>190</v>
      </c>
      <c r="BE8" s="90"/>
      <c r="BF8" s="90"/>
      <c r="BG8" s="90">
        <f t="shared" si="5"/>
        <v>1105</v>
      </c>
      <c r="BH8" s="90">
        <f t="shared" si="50"/>
        <v>-799</v>
      </c>
      <c r="BI8" s="90">
        <f t="shared" si="51"/>
        <v>2576.0149999999994</v>
      </c>
      <c r="BJ8" s="90">
        <f t="shared" si="6"/>
        <v>4743.9850000000006</v>
      </c>
      <c r="BK8" s="92"/>
      <c r="BL8" s="93">
        <f t="shared" si="52"/>
        <v>6521</v>
      </c>
      <c r="BM8" s="93">
        <f t="shared" si="53"/>
        <v>19424</v>
      </c>
      <c r="BN8" s="92" t="s">
        <v>125</v>
      </c>
      <c r="BO8" s="94">
        <f t="shared" si="54"/>
        <v>4.9630685660330069E-2</v>
      </c>
      <c r="BP8" s="94">
        <f t="shared" si="54"/>
        <v>4.7063581229623349E-4</v>
      </c>
      <c r="BQ8" s="94">
        <f t="shared" si="55"/>
        <v>0.22971306147440701</v>
      </c>
      <c r="BR8" s="94">
        <f t="shared" ref="BR8:BR36" si="74">IF($N8&lt;&gt;0,IF($N8&lt;&gt;0,(V8)/$N8*10,0)," ")</f>
        <v>0.62466207813863706</v>
      </c>
      <c r="BS8" s="94">
        <f t="shared" si="7"/>
        <v>0</v>
      </c>
      <c r="BT8" s="94">
        <f t="shared" si="7"/>
        <v>5.8102130281662279E-2</v>
      </c>
      <c r="BU8" s="95">
        <f t="shared" si="7"/>
        <v>0.90503266704565699</v>
      </c>
      <c r="BV8" s="94">
        <f t="shared" si="8"/>
        <v>4.3575054490887374E-2</v>
      </c>
      <c r="BW8" s="94">
        <f t="shared" si="8"/>
        <v>4.1321172362048382E-4</v>
      </c>
      <c r="BX8" s="94">
        <f t="shared" si="8"/>
        <v>0.20168488582894339</v>
      </c>
      <c r="BY8" s="94">
        <f t="shared" si="56"/>
        <v>0.54844465135082388</v>
      </c>
      <c r="BZ8" s="95">
        <f t="shared" si="9"/>
        <v>0.79460614452219036</v>
      </c>
      <c r="CA8" s="96" t="e">
        <f>#REF!</f>
        <v>#REF!</v>
      </c>
      <c r="CB8" s="94">
        <f t="shared" si="10"/>
        <v>2.4298727583991812E-2</v>
      </c>
      <c r="CC8" s="95">
        <f t="shared" si="10"/>
        <v>9.8301190814205699E-2</v>
      </c>
      <c r="CD8" s="97">
        <f t="shared" si="11"/>
        <v>0.10634158162162322</v>
      </c>
      <c r="CE8" s="98">
        <f t="shared" si="11"/>
        <v>0.43020788106445795</v>
      </c>
      <c r="CF8" s="94">
        <f t="shared" si="57"/>
        <v>0.50498188405797106</v>
      </c>
      <c r="CG8" s="94">
        <f t="shared" si="57"/>
        <v>8.6050724637681153E-2</v>
      </c>
      <c r="CH8" s="95">
        <f t="shared" si="58"/>
        <v>1.0914855072463767</v>
      </c>
      <c r="CI8" s="96" t="e">
        <f>#REF!</f>
        <v>#REF!</v>
      </c>
      <c r="CJ8" s="94">
        <f t="shared" si="59"/>
        <v>0.61980733927591358</v>
      </c>
      <c r="CK8" s="94">
        <f t="shared" si="59"/>
        <v>9.462707469861277E-2</v>
      </c>
      <c r="CL8" s="95">
        <f t="shared" ref="CL8:CL36" si="75">IF($E8&lt;&gt;0,IF($E8&lt;&gt;0,AH8/$E8*10,0),"0,00 ")</f>
        <v>0.92261397831147451</v>
      </c>
      <c r="CM8" s="95" t="e">
        <f>#REF!</f>
        <v>#REF!</v>
      </c>
      <c r="CN8" s="94">
        <f t="shared" si="60"/>
        <v>0.9000576036866359</v>
      </c>
      <c r="CO8" s="94">
        <f t="shared" si="60"/>
        <v>0.14334250725379757</v>
      </c>
      <c r="CP8" s="95">
        <f t="shared" si="61"/>
        <v>1.323418032087387</v>
      </c>
      <c r="CQ8" s="95" t="e">
        <f>#REF!</f>
        <v>#REF!</v>
      </c>
      <c r="CR8" s="97">
        <f t="shared" ref="CR8:CS36" si="76">IF($G8&lt;&gt;0,IF($G8&lt;&gt;0,AN8/$G8*10,0),"0,00 ")</f>
        <v>5.5683195688973244E-2</v>
      </c>
      <c r="CS8" s="95">
        <f t="shared" si="76"/>
        <v>0.11811586964327657</v>
      </c>
      <c r="CT8" s="96" t="e">
        <f>#REF!</f>
        <v>#REF!</v>
      </c>
      <c r="CU8" s="97">
        <f t="shared" ref="CU8:CU36" si="77">IF($H8&lt;&gt;0,IF($H8&lt;&gt;0,AP8/$H8*10,0),"0,00 ")</f>
        <v>1.2631230591324745E-2</v>
      </c>
      <c r="CV8" s="95">
        <f t="shared" si="62"/>
        <v>6.6945522134021135E-2</v>
      </c>
      <c r="CW8" s="96" t="e">
        <f>#REF!</f>
        <v>#REF!</v>
      </c>
      <c r="CX8" s="99">
        <f t="shared" si="63"/>
        <v>3.6062114061424039E-2</v>
      </c>
      <c r="CY8" s="95">
        <f t="shared" si="63"/>
        <v>7.512940429463341E-4</v>
      </c>
      <c r="CZ8" s="99">
        <f t="shared" si="63"/>
        <v>0.16641163051261301</v>
      </c>
      <c r="DA8" s="95">
        <f t="shared" si="63"/>
        <v>2.3665762352809525E-2</v>
      </c>
      <c r="DB8" s="94">
        <f t="shared" si="12"/>
        <v>0.15363963178252532</v>
      </c>
      <c r="DC8" s="94">
        <f t="shared" si="13"/>
        <v>4.8082818748565383E-2</v>
      </c>
      <c r="DD8" s="94">
        <f t="shared" si="13"/>
        <v>0.14199457411685715</v>
      </c>
      <c r="DE8" s="94">
        <f t="shared" si="13"/>
        <v>7.1372934079901737E-2</v>
      </c>
      <c r="DF8" s="94">
        <f t="shared" si="13"/>
        <v>0</v>
      </c>
      <c r="DG8" s="94">
        <f t="shared" si="13"/>
        <v>0</v>
      </c>
      <c r="DH8" s="95">
        <f t="shared" si="13"/>
        <v>0.4150899587278496</v>
      </c>
      <c r="DI8" s="96" t="e">
        <f>#REF!</f>
        <v>#REF!</v>
      </c>
      <c r="DJ8" s="95">
        <f t="shared" si="64"/>
        <v>-0.30014197015706046</v>
      </c>
      <c r="DK8" s="96" t="e">
        <f>#REF!</f>
        <v>#REF!</v>
      </c>
      <c r="DL8" s="95">
        <f t="shared" si="14"/>
        <v>0.96767236202020013</v>
      </c>
      <c r="DM8" s="96">
        <f t="shared" si="15"/>
        <v>0</v>
      </c>
      <c r="DN8" s="94">
        <f t="shared" si="16"/>
        <v>1.7820638351633828</v>
      </c>
      <c r="DO8" s="100">
        <v>3.4</v>
      </c>
      <c r="DP8" s="94">
        <f>IF($O8&lt;&gt;0,IF($O8&lt;&gt;0,BL8/$O8*10,0)," ")</f>
        <v>2.4495942270265223</v>
      </c>
      <c r="DQ8" s="94">
        <f>IF($P8&lt;&gt;0,IF($P8&lt;&gt;0,BM8/$P8*10,0)," ")</f>
        <v>3.9820076967510074</v>
      </c>
      <c r="DR8" s="101">
        <f t="shared" si="17"/>
        <v>0</v>
      </c>
      <c r="DS8" s="116"/>
      <c r="DT8" s="103">
        <v>3</v>
      </c>
      <c r="DU8" s="120">
        <v>596297</v>
      </c>
      <c r="DV8" s="120">
        <v>21102</v>
      </c>
      <c r="DW8" s="120">
        <v>5071313</v>
      </c>
      <c r="DX8" s="120">
        <v>95276</v>
      </c>
      <c r="DY8" s="120">
        <v>79001</v>
      </c>
      <c r="DZ8" s="120">
        <v>353648</v>
      </c>
      <c r="EA8" s="120">
        <v>198771</v>
      </c>
      <c r="EB8" s="121">
        <v>45510</v>
      </c>
      <c r="EC8" s="120">
        <v>350200</v>
      </c>
      <c r="ED8" s="120">
        <v>43104</v>
      </c>
      <c r="EE8" s="122">
        <v>35158</v>
      </c>
      <c r="EF8" s="121">
        <v>36881</v>
      </c>
      <c r="EG8" s="120">
        <v>87644</v>
      </c>
      <c r="EH8" s="120">
        <v>172620</v>
      </c>
      <c r="EI8" s="120">
        <v>26926</v>
      </c>
      <c r="EJ8" s="121">
        <v>34952</v>
      </c>
      <c r="EK8" s="121"/>
      <c r="EL8" s="120">
        <v>667335</v>
      </c>
      <c r="EM8" s="121">
        <v>5369</v>
      </c>
      <c r="EN8" s="121">
        <v>37487</v>
      </c>
      <c r="EO8" s="120">
        <v>2769892</v>
      </c>
      <c r="EP8" s="121">
        <v>1984278</v>
      </c>
      <c r="EQ8" s="121">
        <v>0</v>
      </c>
      <c r="ER8" s="121">
        <v>1358</v>
      </c>
      <c r="ES8" s="121">
        <v>236553</v>
      </c>
      <c r="ET8" s="121">
        <v>6471278</v>
      </c>
      <c r="EU8" s="121">
        <v>350331</v>
      </c>
      <c r="EV8" s="121">
        <v>97186</v>
      </c>
      <c r="EW8" s="121">
        <v>44243</v>
      </c>
      <c r="EX8" s="120">
        <v>191040</v>
      </c>
      <c r="EY8" s="120">
        <v>1523086</v>
      </c>
      <c r="EZ8" s="120">
        <v>663896</v>
      </c>
      <c r="FA8" s="120">
        <v>707573</v>
      </c>
      <c r="FB8" s="77">
        <v>30759</v>
      </c>
      <c r="FC8" s="77">
        <v>7320</v>
      </c>
      <c r="FD8" s="104">
        <f t="shared" si="18"/>
        <v>4872</v>
      </c>
      <c r="FE8" s="105">
        <f t="shared" si="19"/>
        <v>361</v>
      </c>
      <c r="FF8" s="287">
        <f t="shared" si="19"/>
        <v>0</v>
      </c>
      <c r="FG8" s="104">
        <v>1373</v>
      </c>
      <c r="FH8" s="288">
        <f t="shared" si="20"/>
        <v>1204</v>
      </c>
      <c r="FI8" s="288">
        <f t="shared" si="20"/>
        <v>468</v>
      </c>
      <c r="FJ8" s="288">
        <f t="shared" si="20"/>
        <v>0</v>
      </c>
      <c r="FK8" s="104">
        <f t="shared" si="20"/>
        <v>599</v>
      </c>
      <c r="FL8" s="288">
        <f t="shared" si="20"/>
        <v>537</v>
      </c>
      <c r="FM8" s="104">
        <v>330</v>
      </c>
      <c r="FN8" s="80">
        <f>IF(FO8="",0,(FO8-FO7))</f>
        <v>1649</v>
      </c>
      <c r="FO8" s="104">
        <v>30759</v>
      </c>
      <c r="FP8" s="293"/>
      <c r="FZ8" s="178">
        <f t="shared" si="65"/>
        <v>0.90503266704565699</v>
      </c>
      <c r="GA8" s="220">
        <v>1551.7189189189191</v>
      </c>
      <c r="GB8" s="220">
        <v>9374.2666666666664</v>
      </c>
      <c r="GC8" s="220">
        <v>36528.199999999997</v>
      </c>
      <c r="GD8" s="220">
        <v>47454.185585585583</v>
      </c>
      <c r="GE8" s="116">
        <f t="shared" si="66"/>
        <v>0.75464698259645779</v>
      </c>
      <c r="GF8" s="116">
        <f t="shared" ref="GF8:GF21" si="78">IFERROR(SUM(T8:U8)/GB8/0.1,"-")</f>
        <v>0.5741249093262405</v>
      </c>
      <c r="GG8" s="116">
        <f t="shared" si="67"/>
        <v>0.39969119748577814</v>
      </c>
      <c r="GH8" s="116">
        <f t="shared" si="68"/>
        <v>0.44575625393148283</v>
      </c>
      <c r="GI8" s="64"/>
      <c r="GJ8" s="116">
        <f t="shared" ref="GJ8:GJ21" si="79">IFERROR(SUM(Y8:Z8)/SUM(GC8)/0.1,"-")</f>
        <v>3.7176756588060737E-2</v>
      </c>
      <c r="GK8" s="289">
        <f t="shared" si="69"/>
        <v>378</v>
      </c>
      <c r="GL8" s="290">
        <f t="shared" si="69"/>
        <v>190</v>
      </c>
      <c r="GM8" s="119">
        <v>3</v>
      </c>
      <c r="GN8" s="119">
        <v>7</v>
      </c>
      <c r="GO8" s="116">
        <f t="shared" si="70"/>
        <v>1.1454545454545455</v>
      </c>
    </row>
    <row r="9" spans="1:212" s="119" customFormat="1" ht="15" customHeight="1">
      <c r="B9" s="573">
        <v>42739</v>
      </c>
      <c r="D9" s="86">
        <v>5166.72</v>
      </c>
      <c r="E9" s="86">
        <v>2528.4</v>
      </c>
      <c r="F9" s="86">
        <v>1741.8240000000001</v>
      </c>
      <c r="G9" s="86">
        <v>6081.3630000000003</v>
      </c>
      <c r="H9" s="86">
        <v>8673.2109999999993</v>
      </c>
      <c r="I9" s="86">
        <v>1204.0360000000001</v>
      </c>
      <c r="J9" s="86">
        <v>3145.56</v>
      </c>
      <c r="K9" s="284">
        <v>0</v>
      </c>
      <c r="L9" s="284">
        <v>190.72</v>
      </c>
      <c r="M9" s="291">
        <f t="shared" si="21"/>
        <v>4349.5959999999995</v>
      </c>
      <c r="N9" s="213">
        <f t="shared" si="0"/>
        <v>24191.518</v>
      </c>
      <c r="O9" s="88">
        <f t="shared" si="22"/>
        <v>26557.036</v>
      </c>
      <c r="P9" s="89">
        <f t="shared" si="23"/>
        <v>75336.449499999988</v>
      </c>
      <c r="R9" s="90">
        <f t="shared" si="24"/>
        <v>84</v>
      </c>
      <c r="S9" s="90">
        <f t="shared" si="25"/>
        <v>352.3</v>
      </c>
      <c r="T9" s="90">
        <f t="shared" si="1"/>
        <v>728.2</v>
      </c>
      <c r="U9" s="90">
        <f>IF(FB9=0,"",((EN9-EN8)/10))</f>
        <v>0.5</v>
      </c>
      <c r="V9" s="90">
        <f t="shared" si="26"/>
        <v>1585</v>
      </c>
      <c r="W9" s="91">
        <f t="shared" si="71"/>
        <v>1150.5999999999999</v>
      </c>
      <c r="X9" s="90">
        <f t="shared" si="27"/>
        <v>1585</v>
      </c>
      <c r="Y9" s="90" t="str">
        <f t="shared" si="28"/>
        <v>0</v>
      </c>
      <c r="Z9" s="90">
        <f t="shared" si="2"/>
        <v>155</v>
      </c>
      <c r="AA9" s="90">
        <f t="shared" si="29"/>
        <v>2750</v>
      </c>
      <c r="AB9" s="90">
        <f t="shared" si="30"/>
        <v>241</v>
      </c>
      <c r="AC9" s="90">
        <f t="shared" si="30"/>
        <v>27</v>
      </c>
      <c r="AD9" s="90">
        <f t="shared" si="31"/>
        <v>468</v>
      </c>
      <c r="AE9" s="90">
        <f t="shared" si="32"/>
        <v>200</v>
      </c>
      <c r="AF9" s="90">
        <f t="shared" si="33"/>
        <v>136</v>
      </c>
      <c r="AG9" s="90">
        <f t="shared" si="33"/>
        <v>11</v>
      </c>
      <c r="AH9" s="90">
        <f t="shared" si="34"/>
        <v>195</v>
      </c>
      <c r="AI9" s="90">
        <f t="shared" si="35"/>
        <v>48</v>
      </c>
      <c r="AJ9" s="90">
        <f t="shared" si="36"/>
        <v>213</v>
      </c>
      <c r="AK9" s="90">
        <f t="shared" si="36"/>
        <v>42</v>
      </c>
      <c r="AL9" s="90">
        <f t="shared" si="37"/>
        <v>360</v>
      </c>
      <c r="AM9" s="90">
        <f t="shared" si="38"/>
        <v>105</v>
      </c>
      <c r="AN9" s="90">
        <f t="shared" si="39"/>
        <v>30</v>
      </c>
      <c r="AO9" s="90">
        <f t="shared" si="3"/>
        <v>63</v>
      </c>
      <c r="AP9" s="90">
        <f t="shared" si="40"/>
        <v>7</v>
      </c>
      <c r="AQ9" s="90">
        <f t="shared" si="4"/>
        <v>23</v>
      </c>
      <c r="AR9" s="90">
        <f t="shared" si="41"/>
        <v>115.497</v>
      </c>
      <c r="AS9" s="90">
        <f t="shared" si="42"/>
        <v>206.49699999999996</v>
      </c>
      <c r="AT9" s="90">
        <f t="shared" si="43"/>
        <v>728.49699999999996</v>
      </c>
      <c r="AU9" s="90">
        <f t="shared" si="44"/>
        <v>239</v>
      </c>
      <c r="AV9" s="90">
        <f t="shared" si="72"/>
        <v>30</v>
      </c>
      <c r="AW9" s="90">
        <f t="shared" si="45"/>
        <v>283</v>
      </c>
      <c r="AX9" s="90">
        <f t="shared" si="73"/>
        <v>59</v>
      </c>
      <c r="AY9" s="90" t="str">
        <f t="shared" si="46"/>
        <v/>
      </c>
      <c r="AZ9" s="90">
        <f t="shared" si="47"/>
        <v>384</v>
      </c>
      <c r="BA9" s="90">
        <v>78</v>
      </c>
      <c r="BB9" s="90">
        <f t="shared" si="48"/>
        <v>137</v>
      </c>
      <c r="BC9" s="90">
        <f t="shared" si="48"/>
        <v>105</v>
      </c>
      <c r="BD9" s="90">
        <f t="shared" si="49"/>
        <v>221</v>
      </c>
      <c r="BE9" s="90"/>
      <c r="BF9" s="90"/>
      <c r="BG9" s="90">
        <f t="shared" si="5"/>
        <v>847</v>
      </c>
      <c r="BH9" s="90">
        <f t="shared" si="50"/>
        <v>-725</v>
      </c>
      <c r="BI9" s="90">
        <f t="shared" si="51"/>
        <v>981.5029999999997</v>
      </c>
      <c r="BJ9" s="90">
        <f t="shared" si="6"/>
        <v>5001.4970000000003</v>
      </c>
      <c r="BK9" s="92"/>
      <c r="BL9" s="93">
        <f t="shared" si="52"/>
        <v>5258</v>
      </c>
      <c r="BM9" s="93">
        <f t="shared" si="53"/>
        <v>24682</v>
      </c>
      <c r="BN9" s="92"/>
      <c r="BO9" s="94">
        <f t="shared" si="54"/>
        <v>3.4722914039540635E-2</v>
      </c>
      <c r="BP9" s="94">
        <f t="shared" si="54"/>
        <v>0.14562955495393054</v>
      </c>
      <c r="BQ9" s="94">
        <f t="shared" si="55"/>
        <v>0.30101459528087493</v>
      </c>
      <c r="BR9" s="94">
        <f t="shared" si="74"/>
        <v>0.65518831848418935</v>
      </c>
      <c r="BS9" s="94">
        <f t="shared" si="7"/>
        <v>0</v>
      </c>
      <c r="BT9" s="94">
        <f t="shared" si="7"/>
        <v>6.4072043763438072E-2</v>
      </c>
      <c r="BU9" s="95">
        <f t="shared" si="7"/>
        <v>1.1367620667706755</v>
      </c>
      <c r="BV9" s="94">
        <f t="shared" si="8"/>
        <v>3.1630035821768661E-2</v>
      </c>
      <c r="BW9" s="94">
        <f t="shared" si="8"/>
        <v>0.13265787642867977</v>
      </c>
      <c r="BX9" s="94">
        <f t="shared" si="8"/>
        <v>0.27420228673109454</v>
      </c>
      <c r="BY9" s="94">
        <f t="shared" si="56"/>
        <v>0.59682865211313485</v>
      </c>
      <c r="BZ9" s="95">
        <f t="shared" si="9"/>
        <v>1.0355071251174266</v>
      </c>
      <c r="CA9" s="96" t="e">
        <f>#REF!</f>
        <v>#REF!</v>
      </c>
      <c r="CB9" s="94">
        <f t="shared" si="10"/>
        <v>4.3490169610795423E-2</v>
      </c>
      <c r="CC9" s="95">
        <f t="shared" si="10"/>
        <v>7.7756041751044794E-2</v>
      </c>
      <c r="CD9" s="97">
        <f t="shared" si="11"/>
        <v>0.2655350060097536</v>
      </c>
      <c r="CE9" s="98">
        <f t="shared" si="11"/>
        <v>0.47474983883560667</v>
      </c>
      <c r="CF9" s="94">
        <f t="shared" si="57"/>
        <v>0.46644679796853711</v>
      </c>
      <c r="CG9" s="94">
        <f t="shared" si="57"/>
        <v>5.225752508361204E-2</v>
      </c>
      <c r="CH9" s="95">
        <f t="shared" si="58"/>
        <v>0.90579710144927539</v>
      </c>
      <c r="CI9" s="96" t="e">
        <f>#REF!</f>
        <v>#REF!</v>
      </c>
      <c r="CJ9" s="94">
        <f t="shared" si="59"/>
        <v>0.53788957443442487</v>
      </c>
      <c r="CK9" s="94">
        <f t="shared" si="59"/>
        <v>4.3505774402784365E-2</v>
      </c>
      <c r="CL9" s="95">
        <f t="shared" si="75"/>
        <v>0.77123872804935922</v>
      </c>
      <c r="CM9" s="95" t="e">
        <f>#REF!</f>
        <v>#REF!</v>
      </c>
      <c r="CN9" s="94">
        <f t="shared" si="60"/>
        <v>1.2228560405643738</v>
      </c>
      <c r="CO9" s="94">
        <f t="shared" si="60"/>
        <v>0.24112654320987653</v>
      </c>
      <c r="CP9" s="95">
        <f t="shared" si="61"/>
        <v>2.0667989417989414</v>
      </c>
      <c r="CQ9" s="95" t="e">
        <f>#REF!</f>
        <v>#REF!</v>
      </c>
      <c r="CR9" s="97">
        <f t="shared" si="76"/>
        <v>4.9331046346024726E-2</v>
      </c>
      <c r="CS9" s="95">
        <f t="shared" si="76"/>
        <v>0.10359519732665193</v>
      </c>
      <c r="CT9" s="96" t="e">
        <f>#REF!</f>
        <v>#REF!</v>
      </c>
      <c r="CU9" s="97">
        <f t="shared" si="77"/>
        <v>8.0708286700277437E-3</v>
      </c>
      <c r="CV9" s="95">
        <f t="shared" si="62"/>
        <v>2.6518437058662588E-2</v>
      </c>
      <c r="CW9" s="96" t="e">
        <f>#REF!</f>
        <v>#REF!</v>
      </c>
      <c r="CX9" s="99">
        <f t="shared" si="63"/>
        <v>8.9994982873841792E-2</v>
      </c>
      <c r="CY9" s="95">
        <f t="shared" si="63"/>
        <v>1.129644136491738E-2</v>
      </c>
      <c r="CZ9" s="99">
        <f t="shared" si="63"/>
        <v>0.1065630968757206</v>
      </c>
      <c r="DA9" s="95">
        <f t="shared" si="63"/>
        <v>2.2216334684337515E-2</v>
      </c>
      <c r="DB9" s="94">
        <f t="shared" si="12"/>
        <v>0.14459444947094247</v>
      </c>
      <c r="DC9" s="94">
        <f t="shared" si="13"/>
        <v>5.1587082233122701E-2</v>
      </c>
      <c r="DD9" s="94">
        <f t="shared" si="13"/>
        <v>3.9537544777210824E-2</v>
      </c>
      <c r="DE9" s="94">
        <f t="shared" si="13"/>
        <v>8.3217118054891362E-2</v>
      </c>
      <c r="DF9" s="94">
        <f t="shared" si="13"/>
        <v>0</v>
      </c>
      <c r="DG9" s="94">
        <f t="shared" si="13"/>
        <v>0</v>
      </c>
      <c r="DH9" s="95">
        <f t="shared" si="13"/>
        <v>0.31893619453616739</v>
      </c>
      <c r="DI9" s="96" t="e">
        <f>#REF!</f>
        <v>#REF!</v>
      </c>
      <c r="DJ9" s="95">
        <f t="shared" si="64"/>
        <v>-0.27299733298550338</v>
      </c>
      <c r="DK9" s="96" t="e">
        <f>#REF!</f>
        <v>#REF!</v>
      </c>
      <c r="DL9" s="95">
        <f t="shared" si="14"/>
        <v>0.36958303629968331</v>
      </c>
      <c r="DM9" s="96">
        <f t="shared" si="15"/>
        <v>0</v>
      </c>
      <c r="DN9" s="94">
        <f t="shared" si="16"/>
        <v>1.8833039199103396</v>
      </c>
      <c r="DO9" s="100">
        <v>3.4</v>
      </c>
      <c r="DP9" s="94">
        <f t="shared" ref="DP9:DP33" si="80">IF($O9&lt;&gt;0,IF($O9&lt;&gt;0,BL9/$O9*10,0)," ")</f>
        <v>1.9798896232245196</v>
      </c>
      <c r="DQ9" s="94">
        <f t="shared" ref="DQ9:DQ34" si="81">IF($P9&lt;&gt;0,IF($P9&lt;&gt;0,BM9/$P9*10,0)," ")</f>
        <v>3.2762361597622149</v>
      </c>
      <c r="DR9" s="101">
        <f t="shared" si="17"/>
        <v>0</v>
      </c>
      <c r="DS9" s="116"/>
      <c r="DT9" s="103">
        <v>4</v>
      </c>
      <c r="DU9" s="76">
        <v>596538</v>
      </c>
      <c r="DV9" s="76">
        <v>21129</v>
      </c>
      <c r="DW9" s="77">
        <v>5071781</v>
      </c>
      <c r="DX9" s="124">
        <v>95412</v>
      </c>
      <c r="DY9" s="77">
        <v>79012</v>
      </c>
      <c r="DZ9" s="77">
        <v>353843</v>
      </c>
      <c r="EA9" s="76">
        <v>198984</v>
      </c>
      <c r="EB9" s="77">
        <v>45552</v>
      </c>
      <c r="EC9" s="77">
        <v>350560</v>
      </c>
      <c r="ED9" s="76">
        <v>43134</v>
      </c>
      <c r="EE9" s="125">
        <v>35185</v>
      </c>
      <c r="EF9" s="77">
        <v>36917</v>
      </c>
      <c r="EG9" s="76">
        <v>87651</v>
      </c>
      <c r="EH9" s="76">
        <v>172643</v>
      </c>
      <c r="EI9" s="76">
        <v>26956</v>
      </c>
      <c r="EJ9" s="77">
        <v>35011</v>
      </c>
      <c r="EK9" s="77"/>
      <c r="EL9" s="76">
        <v>667419</v>
      </c>
      <c r="EM9" s="77">
        <v>7282</v>
      </c>
      <c r="EN9" s="77">
        <v>37492</v>
      </c>
      <c r="EO9" s="76">
        <v>2771477</v>
      </c>
      <c r="EP9" s="77">
        <v>1995784</v>
      </c>
      <c r="EQ9" s="77">
        <v>0</v>
      </c>
      <c r="ER9" s="77">
        <v>1550</v>
      </c>
      <c r="ES9" s="124">
        <v>237166</v>
      </c>
      <c r="ET9" s="77">
        <v>6586775</v>
      </c>
      <c r="EU9" s="77">
        <v>350614</v>
      </c>
      <c r="EV9" s="77">
        <v>97425</v>
      </c>
      <c r="EW9" s="77">
        <v>44627</v>
      </c>
      <c r="EX9" s="76">
        <v>191177</v>
      </c>
      <c r="EY9" s="76">
        <v>1523191</v>
      </c>
      <c r="EZ9" s="126">
        <v>667419</v>
      </c>
      <c r="FA9" s="127">
        <v>707794</v>
      </c>
      <c r="FB9" s="125">
        <v>29443</v>
      </c>
      <c r="FC9" s="77">
        <v>5983</v>
      </c>
      <c r="FD9" s="104">
        <f t="shared" si="18"/>
        <v>4986</v>
      </c>
      <c r="FE9" s="105">
        <f t="shared" si="19"/>
        <v>411</v>
      </c>
      <c r="FF9" s="287">
        <f t="shared" si="19"/>
        <v>0</v>
      </c>
      <c r="FG9" s="77">
        <v>455</v>
      </c>
      <c r="FH9" s="288">
        <f t="shared" si="20"/>
        <v>2239</v>
      </c>
      <c r="FI9" s="288">
        <f t="shared" si="20"/>
        <v>715</v>
      </c>
      <c r="FJ9" s="288">
        <f t="shared" si="20"/>
        <v>0</v>
      </c>
      <c r="FK9" s="104">
        <f t="shared" si="20"/>
        <v>833</v>
      </c>
      <c r="FL9" s="288">
        <f t="shared" si="20"/>
        <v>0</v>
      </c>
      <c r="FM9" s="77">
        <v>333</v>
      </c>
      <c r="FN9" s="80">
        <f t="shared" ref="FN9:FN36" si="82">IF(FO9="",0,(FO9-FO8))</f>
        <v>272</v>
      </c>
      <c r="FO9" s="104">
        <v>31031</v>
      </c>
      <c r="FP9" s="77"/>
      <c r="FZ9" s="178">
        <f t="shared" si="65"/>
        <v>1.1367620667706755</v>
      </c>
      <c r="GA9" s="220">
        <v>3020.6576576576581</v>
      </c>
      <c r="GB9" s="220">
        <v>14120.536036036037</v>
      </c>
      <c r="GC9" s="220">
        <v>44127.4</v>
      </c>
      <c r="GD9" s="220">
        <v>61268.593693693692</v>
      </c>
      <c r="GE9" s="116">
        <f t="shared" si="66"/>
        <v>1.4443874462037678</v>
      </c>
      <c r="GF9" s="116">
        <f t="shared" si="78"/>
        <v>0.51605689623987039</v>
      </c>
      <c r="GG9" s="116">
        <f t="shared" si="67"/>
        <v>0.35918726233587289</v>
      </c>
      <c r="GH9" s="116">
        <f t="shared" si="68"/>
        <v>0.44884333623656431</v>
      </c>
      <c r="GI9" s="64"/>
      <c r="GJ9" s="116">
        <f t="shared" si="79"/>
        <v>3.5125568241047511E-2</v>
      </c>
      <c r="GK9" s="289">
        <f t="shared" si="69"/>
        <v>105</v>
      </c>
      <c r="GL9" s="290">
        <f t="shared" si="69"/>
        <v>221</v>
      </c>
      <c r="GM9" s="119">
        <v>1</v>
      </c>
      <c r="GN9" s="119">
        <v>8</v>
      </c>
      <c r="GO9" s="116">
        <f t="shared" si="70"/>
        <v>0.95454545454545459</v>
      </c>
    </row>
    <row r="10" spans="1:212" s="119" customFormat="1" ht="15" customHeight="1">
      <c r="B10" s="573">
        <v>42740</v>
      </c>
      <c r="D10" s="128">
        <v>5583</v>
      </c>
      <c r="E10" s="128">
        <v>1236.5999999999999</v>
      </c>
      <c r="F10" s="128">
        <v>2426.1120000000001</v>
      </c>
      <c r="G10" s="128">
        <v>0</v>
      </c>
      <c r="H10" s="128">
        <v>3193.4870000000001</v>
      </c>
      <c r="I10" s="128">
        <v>1771.1570000000002</v>
      </c>
      <c r="J10" s="128">
        <v>5055.24</v>
      </c>
      <c r="K10" s="294"/>
      <c r="L10" s="294">
        <v>408.72</v>
      </c>
      <c r="M10" s="291">
        <f t="shared" si="21"/>
        <v>6826.3969999999999</v>
      </c>
      <c r="N10" s="213">
        <f t="shared" si="0"/>
        <v>12439.199000000001</v>
      </c>
      <c r="O10" s="88">
        <f t="shared" si="22"/>
        <v>16261.1175</v>
      </c>
      <c r="P10" s="89">
        <f t="shared" si="23"/>
        <v>91597.566999999981</v>
      </c>
      <c r="R10" s="90">
        <f t="shared" si="24"/>
        <v>149</v>
      </c>
      <c r="S10" s="90">
        <f t="shared" si="25"/>
        <v>7.3</v>
      </c>
      <c r="T10" s="90">
        <f t="shared" si="1"/>
        <v>718.5</v>
      </c>
      <c r="U10" s="90">
        <f>IF(FB10=0,"",((EN10-EN9)/10))</f>
        <v>3.1</v>
      </c>
      <c r="V10" s="90">
        <f t="shared" si="26"/>
        <v>1220</v>
      </c>
      <c r="W10" s="91">
        <f t="shared" si="71"/>
        <v>1133.2</v>
      </c>
      <c r="X10" s="90">
        <f t="shared" si="27"/>
        <v>1220</v>
      </c>
      <c r="Y10" s="90" t="str">
        <f t="shared" si="28"/>
        <v>0</v>
      </c>
      <c r="Z10" s="90">
        <f t="shared" si="2"/>
        <v>121</v>
      </c>
      <c r="AA10" s="90">
        <f t="shared" si="29"/>
        <v>2097.9</v>
      </c>
      <c r="AB10" s="90">
        <f t="shared" si="30"/>
        <v>258</v>
      </c>
      <c r="AC10" s="90">
        <f t="shared" si="30"/>
        <v>26</v>
      </c>
      <c r="AD10" s="90">
        <f t="shared" si="31"/>
        <v>491</v>
      </c>
      <c r="AE10" s="90">
        <f t="shared" si="32"/>
        <v>207</v>
      </c>
      <c r="AF10" s="90">
        <f t="shared" si="33"/>
        <v>0</v>
      </c>
      <c r="AG10" s="90">
        <f t="shared" si="33"/>
        <v>24</v>
      </c>
      <c r="AH10" s="90">
        <f t="shared" si="34"/>
        <v>131</v>
      </c>
      <c r="AI10" s="90">
        <f t="shared" si="35"/>
        <v>107</v>
      </c>
      <c r="AJ10" s="90">
        <f t="shared" si="36"/>
        <v>192</v>
      </c>
      <c r="AK10" s="90">
        <f t="shared" si="36"/>
        <v>14</v>
      </c>
      <c r="AL10" s="90">
        <f t="shared" si="37"/>
        <v>327</v>
      </c>
      <c r="AM10" s="90">
        <f t="shared" si="38"/>
        <v>121</v>
      </c>
      <c r="AN10" s="90">
        <f t="shared" si="39"/>
        <v>0</v>
      </c>
      <c r="AO10" s="90">
        <f t="shared" si="3"/>
        <v>0</v>
      </c>
      <c r="AP10" s="90">
        <f t="shared" si="40"/>
        <v>9</v>
      </c>
      <c r="AQ10" s="90">
        <f t="shared" si="4"/>
        <v>74</v>
      </c>
      <c r="AR10" s="90">
        <f t="shared" si="41"/>
        <v>64.647000000000006</v>
      </c>
      <c r="AS10" s="90">
        <f t="shared" si="42"/>
        <v>111.64700000000005</v>
      </c>
      <c r="AT10" s="90">
        <f t="shared" si="43"/>
        <v>832.64700000000005</v>
      </c>
      <c r="AU10" s="90">
        <f t="shared" si="44"/>
        <v>226</v>
      </c>
      <c r="AV10" s="90">
        <f t="shared" si="72"/>
        <v>43</v>
      </c>
      <c r="AW10" s="90">
        <f t="shared" si="45"/>
        <v>495</v>
      </c>
      <c r="AX10" s="90">
        <f t="shared" si="73"/>
        <v>73</v>
      </c>
      <c r="AY10" s="90" t="str">
        <f t="shared" si="46"/>
        <v/>
      </c>
      <c r="AZ10" s="90">
        <f t="shared" si="47"/>
        <v>452</v>
      </c>
      <c r="BA10" s="90">
        <v>43</v>
      </c>
      <c r="BB10" s="90">
        <f t="shared" si="48"/>
        <v>102</v>
      </c>
      <c r="BC10" s="90">
        <f t="shared" si="48"/>
        <v>596</v>
      </c>
      <c r="BD10" s="90">
        <f t="shared" si="49"/>
        <v>224</v>
      </c>
      <c r="BE10" s="90"/>
      <c r="BF10" s="90"/>
      <c r="BG10" s="90">
        <f t="shared" si="5"/>
        <v>1374</v>
      </c>
      <c r="BH10" s="90">
        <f t="shared" si="50"/>
        <v>152</v>
      </c>
      <c r="BI10" s="90">
        <f t="shared" si="51"/>
        <v>2438.4530000000004</v>
      </c>
      <c r="BJ10" s="90">
        <f t="shared" si="6"/>
        <v>4722.5469999999996</v>
      </c>
      <c r="BK10" s="92"/>
      <c r="BL10" s="93">
        <f t="shared" si="52"/>
        <v>7313</v>
      </c>
      <c r="BM10" s="93">
        <f t="shared" si="53"/>
        <v>31995</v>
      </c>
      <c r="BN10" s="92"/>
      <c r="BO10" s="94">
        <f t="shared" si="54"/>
        <v>0.11978263230614768</v>
      </c>
      <c r="BP10" s="94">
        <f t="shared" si="54"/>
        <v>5.868545072717302E-3</v>
      </c>
      <c r="BQ10" s="94">
        <f t="shared" si="55"/>
        <v>0.5776095390064907</v>
      </c>
      <c r="BR10" s="94">
        <f t="shared" si="74"/>
        <v>0.98077054639933003</v>
      </c>
      <c r="BS10" s="94">
        <f t="shared" si="7"/>
        <v>0</v>
      </c>
      <c r="BT10" s="94">
        <f t="shared" si="7"/>
        <v>9.7273144355999125E-2</v>
      </c>
      <c r="BU10" s="95">
        <f t="shared" si="7"/>
        <v>1.6865233846648808</v>
      </c>
      <c r="BV10" s="94">
        <f t="shared" si="8"/>
        <v>9.1629618936090951E-2</v>
      </c>
      <c r="BW10" s="94">
        <f t="shared" si="8"/>
        <v>4.4892363639829798E-3</v>
      </c>
      <c r="BX10" s="94">
        <f t="shared" si="8"/>
        <v>0.44185155171531104</v>
      </c>
      <c r="BY10" s="94">
        <f t="shared" si="56"/>
        <v>0.75025594028208697</v>
      </c>
      <c r="BZ10" s="95">
        <f t="shared" si="9"/>
        <v>1.290132735342451</v>
      </c>
      <c r="CA10" s="96" t="e">
        <f>#REF!</f>
        <v>#REF!</v>
      </c>
      <c r="CB10" s="94">
        <f t="shared" si="10"/>
        <v>3.9755570304439408E-2</v>
      </c>
      <c r="CC10" s="95">
        <f t="shared" si="10"/>
        <v>6.8658872921864095E-2</v>
      </c>
      <c r="CD10" s="97">
        <f t="shared" si="11"/>
        <v>9.4701494800258468E-2</v>
      </c>
      <c r="CE10" s="98">
        <f t="shared" si="11"/>
        <v>0.16355187077458291</v>
      </c>
      <c r="CF10" s="94">
        <f t="shared" si="57"/>
        <v>0.46211714132186998</v>
      </c>
      <c r="CG10" s="94">
        <f t="shared" si="57"/>
        <v>4.6569944474296979E-2</v>
      </c>
      <c r="CH10" s="95">
        <f t="shared" si="58"/>
        <v>0.87945548987999278</v>
      </c>
      <c r="CI10" s="96" t="e">
        <f>#REF!</f>
        <v>#REF!</v>
      </c>
      <c r="CJ10" s="94">
        <f t="shared" si="59"/>
        <v>0</v>
      </c>
      <c r="CK10" s="94">
        <f t="shared" si="59"/>
        <v>0.19408054342552161</v>
      </c>
      <c r="CL10" s="95">
        <f t="shared" si="75"/>
        <v>1.0593562995309722</v>
      </c>
      <c r="CM10" s="95" t="e">
        <f>#REF!</f>
        <v>#REF!</v>
      </c>
      <c r="CN10" s="94">
        <f t="shared" si="60"/>
        <v>0.79138968027856915</v>
      </c>
      <c r="CO10" s="94">
        <f t="shared" si="60"/>
        <v>5.7705497520312329E-2</v>
      </c>
      <c r="CP10" s="95">
        <f t="shared" si="61"/>
        <v>1.3478355492244383</v>
      </c>
      <c r="CQ10" s="95" t="e">
        <f>#REF!</f>
        <v>#REF!</v>
      </c>
      <c r="CR10" s="97" t="str">
        <f t="shared" si="76"/>
        <v xml:space="preserve">0,00 </v>
      </c>
      <c r="CS10" s="95" t="str">
        <f t="shared" si="76"/>
        <v xml:space="preserve">0,00 </v>
      </c>
      <c r="CT10" s="96" t="e">
        <f>#REF!</f>
        <v>#REF!</v>
      </c>
      <c r="CU10" s="97">
        <f t="shared" si="77"/>
        <v>2.8182359909403109E-2</v>
      </c>
      <c r="CV10" s="95">
        <f t="shared" si="62"/>
        <v>0.23172162592175888</v>
      </c>
      <c r="CW10" s="96" t="e">
        <f>#REF!</f>
        <v>#REF!</v>
      </c>
      <c r="CX10" s="99">
        <f t="shared" si="63"/>
        <v>0.13898183811782924</v>
      </c>
      <c r="CY10" s="95">
        <f t="shared" si="63"/>
        <v>2.6443447075516182E-2</v>
      </c>
      <c r="CZ10" s="99">
        <f t="shared" si="63"/>
        <v>0.30440712331117464</v>
      </c>
      <c r="DA10" s="95">
        <f t="shared" si="63"/>
        <v>4.4892363639829798E-2</v>
      </c>
      <c r="DB10" s="94">
        <f t="shared" si="12"/>
        <v>0.27796367623565849</v>
      </c>
      <c r="DC10" s="94">
        <f t="shared" si="13"/>
        <v>6.2726316318666292E-2</v>
      </c>
      <c r="DD10" s="94">
        <f t="shared" si="13"/>
        <v>0.3665184757443638</v>
      </c>
      <c r="DE10" s="94">
        <f t="shared" si="13"/>
        <v>0.13775191034687498</v>
      </c>
      <c r="DF10" s="94">
        <f t="shared" si="13"/>
        <v>0</v>
      </c>
      <c r="DG10" s="94">
        <f t="shared" si="13"/>
        <v>0</v>
      </c>
      <c r="DH10" s="95">
        <f t="shared" si="13"/>
        <v>0.8449603786455635</v>
      </c>
      <c r="DI10" s="96" t="e">
        <f>#REF!</f>
        <v>#REF!</v>
      </c>
      <c r="DJ10" s="95">
        <f t="shared" si="64"/>
        <v>9.347451059252232E-2</v>
      </c>
      <c r="DK10" s="96" t="e">
        <f>#REF!</f>
        <v>#REF!</v>
      </c>
      <c r="DL10" s="95">
        <f t="shared" si="14"/>
        <v>1.4995605314333413</v>
      </c>
      <c r="DM10" s="96">
        <f t="shared" si="15"/>
        <v>0</v>
      </c>
      <c r="DN10" s="94">
        <f t="shared" si="16"/>
        <v>2.9041958524683187</v>
      </c>
      <c r="DO10" s="100">
        <v>3.4</v>
      </c>
      <c r="DP10" s="94">
        <f>IF($O10&lt;&gt;0,IF($O10&lt;&gt;0,BL10/$O10*10,0)," ")</f>
        <v>4.4972308944941819</v>
      </c>
      <c r="DQ10" s="94">
        <f>IF($P10&lt;&gt;0,IF($P10&lt;&gt;0,BM10/$P10*10,0)," ")</f>
        <v>3.4929967080894198</v>
      </c>
      <c r="DR10" s="101">
        <f t="shared" si="17"/>
        <v>0</v>
      </c>
      <c r="DS10" s="116"/>
      <c r="DT10" s="103">
        <v>5</v>
      </c>
      <c r="DU10" s="76">
        <v>596796</v>
      </c>
      <c r="DV10" s="76">
        <v>21155</v>
      </c>
      <c r="DW10" s="76">
        <v>5072272</v>
      </c>
      <c r="DX10" s="129">
        <v>95412</v>
      </c>
      <c r="DY10" s="76">
        <v>79036</v>
      </c>
      <c r="DZ10" s="76">
        <v>353974</v>
      </c>
      <c r="EA10" s="76">
        <v>199176</v>
      </c>
      <c r="EB10" s="77">
        <v>45566</v>
      </c>
      <c r="EC10" s="76">
        <v>350887</v>
      </c>
      <c r="ED10" s="76">
        <v>43134</v>
      </c>
      <c r="EE10" s="77">
        <v>35185</v>
      </c>
      <c r="EF10" s="77">
        <v>36917</v>
      </c>
      <c r="EG10" s="76">
        <v>87660</v>
      </c>
      <c r="EH10" s="76">
        <v>172717</v>
      </c>
      <c r="EI10" s="76">
        <v>26999</v>
      </c>
      <c r="EJ10" s="77">
        <v>35084</v>
      </c>
      <c r="EK10" s="77"/>
      <c r="EL10" s="76">
        <v>667568</v>
      </c>
      <c r="EM10" s="77">
        <v>7185</v>
      </c>
      <c r="EN10" s="77">
        <v>37523</v>
      </c>
      <c r="EO10" s="76">
        <v>2772697</v>
      </c>
      <c r="EP10" s="77">
        <v>2007116</v>
      </c>
      <c r="EQ10" s="77">
        <v>0</v>
      </c>
      <c r="ER10" s="77">
        <v>1210</v>
      </c>
      <c r="ES10" s="124">
        <v>237934</v>
      </c>
      <c r="ET10" s="77">
        <v>6651422</v>
      </c>
      <c r="EU10" s="77">
        <v>351109</v>
      </c>
      <c r="EV10" s="77">
        <v>97651</v>
      </c>
      <c r="EW10" s="77">
        <v>45079</v>
      </c>
      <c r="EX10" s="76">
        <v>191279</v>
      </c>
      <c r="EY10" s="76">
        <v>1523787</v>
      </c>
      <c r="EZ10" s="76">
        <v>667492</v>
      </c>
      <c r="FA10" s="130">
        <v>708018</v>
      </c>
      <c r="FB10" s="77">
        <v>29456</v>
      </c>
      <c r="FC10" s="77">
        <v>7161</v>
      </c>
      <c r="FD10" s="104">
        <f t="shared" si="18"/>
        <v>5782</v>
      </c>
      <c r="FE10" s="105">
        <f t="shared" si="19"/>
        <v>372</v>
      </c>
      <c r="FF10" s="287">
        <f t="shared" si="19"/>
        <v>0</v>
      </c>
      <c r="FG10" s="77">
        <v>1181</v>
      </c>
      <c r="FH10" s="288">
        <f t="shared" si="20"/>
        <v>1653</v>
      </c>
      <c r="FI10" s="288">
        <f t="shared" si="20"/>
        <v>560</v>
      </c>
      <c r="FJ10" s="288">
        <f t="shared" si="20"/>
        <v>0</v>
      </c>
      <c r="FK10" s="104">
        <f t="shared" si="20"/>
        <v>744</v>
      </c>
      <c r="FL10" s="288">
        <f t="shared" si="20"/>
        <v>942</v>
      </c>
      <c r="FM10" s="77">
        <v>330</v>
      </c>
      <c r="FN10" s="80">
        <f t="shared" si="82"/>
        <v>1531</v>
      </c>
      <c r="FO10" s="77">
        <v>32562</v>
      </c>
      <c r="FP10" s="77"/>
      <c r="FZ10" s="178">
        <f t="shared" si="65"/>
        <v>1.6865233846648808</v>
      </c>
      <c r="GA10" s="220">
        <v>7740.0441441441462</v>
      </c>
      <c r="GB10" s="220">
        <v>10923.813513513514</v>
      </c>
      <c r="GC10" s="220">
        <v>36980.300000000003</v>
      </c>
      <c r="GD10" s="220">
        <v>55644.157657657663</v>
      </c>
      <c r="GE10" s="116">
        <f t="shared" si="66"/>
        <v>0.20193683277407565</v>
      </c>
      <c r="GF10" s="116">
        <f t="shared" si="78"/>
        <v>0.66057517286186807</v>
      </c>
      <c r="GG10" s="116">
        <f t="shared" si="67"/>
        <v>0.32990538205476966</v>
      </c>
      <c r="GH10" s="116">
        <f t="shared" si="68"/>
        <v>0.37702071310109775</v>
      </c>
      <c r="GI10" s="64"/>
      <c r="GJ10" s="116">
        <f t="shared" si="79"/>
        <v>3.272012395789109E-2</v>
      </c>
      <c r="GK10" s="289">
        <f t="shared" si="69"/>
        <v>596</v>
      </c>
      <c r="GL10" s="290">
        <f t="shared" si="69"/>
        <v>224</v>
      </c>
      <c r="GM10" s="119">
        <v>5</v>
      </c>
      <c r="GN10" s="119">
        <v>8</v>
      </c>
      <c r="GO10" s="116">
        <f t="shared" si="70"/>
        <v>1.0836363636363637</v>
      </c>
    </row>
    <row r="11" spans="1:212" s="119" customFormat="1" ht="15.75" customHeight="1">
      <c r="B11" s="573">
        <v>42741</v>
      </c>
      <c r="D11" s="131">
        <v>3638.28</v>
      </c>
      <c r="E11" s="131">
        <v>0</v>
      </c>
      <c r="F11" s="131">
        <v>3157.1280000000002</v>
      </c>
      <c r="G11" s="131">
        <v>0</v>
      </c>
      <c r="H11" s="131">
        <v>3859.5659999999998</v>
      </c>
      <c r="I11" s="131">
        <v>2225.3449999999998</v>
      </c>
      <c r="J11" s="131">
        <v>6852.36</v>
      </c>
      <c r="K11" s="295">
        <v>9.48</v>
      </c>
      <c r="L11" s="295">
        <v>817.44</v>
      </c>
      <c r="M11" s="291">
        <f t="shared" si="21"/>
        <v>9077.7049999999999</v>
      </c>
      <c r="N11" s="213">
        <f t="shared" si="0"/>
        <v>10654.974</v>
      </c>
      <c r="O11" s="88">
        <f>N11+L11+K11+((J11+I11)*0.5)</f>
        <v>16020.746500000001</v>
      </c>
      <c r="P11" s="89">
        <f t="shared" si="23"/>
        <v>107618.31349999999</v>
      </c>
      <c r="R11" s="90">
        <f t="shared" si="24"/>
        <v>301</v>
      </c>
      <c r="S11" s="90">
        <f t="shared" si="25"/>
        <v>-141.5</v>
      </c>
      <c r="T11" s="90">
        <f t="shared" si="1"/>
        <v>445</v>
      </c>
      <c r="U11" s="90"/>
      <c r="V11" s="90">
        <f t="shared" si="26"/>
        <v>1566</v>
      </c>
      <c r="W11" s="91">
        <f t="shared" si="71"/>
        <v>2575.3000000000002</v>
      </c>
      <c r="X11" s="90">
        <f t="shared" si="27"/>
        <v>1566</v>
      </c>
      <c r="Y11" s="90" t="str">
        <f t="shared" si="28"/>
        <v>0</v>
      </c>
      <c r="Z11" s="90">
        <f t="shared" si="2"/>
        <v>160.4</v>
      </c>
      <c r="AA11" s="90">
        <f t="shared" si="29"/>
        <v>2170.5</v>
      </c>
      <c r="AB11" s="90">
        <f t="shared" si="30"/>
        <v>151</v>
      </c>
      <c r="AC11" s="90">
        <f t="shared" si="30"/>
        <v>29</v>
      </c>
      <c r="AD11" s="90">
        <f t="shared" si="31"/>
        <v>341</v>
      </c>
      <c r="AE11" s="90">
        <f t="shared" si="32"/>
        <v>161</v>
      </c>
      <c r="AF11" s="90">
        <f t="shared" si="33"/>
        <v>265</v>
      </c>
      <c r="AG11" s="90">
        <f t="shared" si="33"/>
        <v>53</v>
      </c>
      <c r="AH11" s="90">
        <f t="shared" si="34"/>
        <v>373</v>
      </c>
      <c r="AI11" s="90">
        <f t="shared" si="35"/>
        <v>55</v>
      </c>
      <c r="AJ11" s="90">
        <f t="shared" si="36"/>
        <v>298</v>
      </c>
      <c r="AK11" s="90">
        <f t="shared" si="36"/>
        <v>17</v>
      </c>
      <c r="AL11" s="90">
        <f t="shared" si="37"/>
        <v>442</v>
      </c>
      <c r="AM11" s="90">
        <f t="shared" si="38"/>
        <v>127</v>
      </c>
      <c r="AN11" s="90">
        <f t="shared" si="39"/>
        <v>0</v>
      </c>
      <c r="AO11" s="90">
        <f t="shared" si="3"/>
        <v>0</v>
      </c>
      <c r="AP11" s="90">
        <f t="shared" si="40"/>
        <v>137</v>
      </c>
      <c r="AQ11" s="90">
        <f t="shared" si="4"/>
        <v>161</v>
      </c>
      <c r="AR11" s="90">
        <f t="shared" si="41"/>
        <v>49.927</v>
      </c>
      <c r="AS11" s="90">
        <f t="shared" si="42"/>
        <v>163.92699999999991</v>
      </c>
      <c r="AT11" s="90">
        <f t="shared" si="43"/>
        <v>1180.9269999999999</v>
      </c>
      <c r="AU11" s="90">
        <f t="shared" si="44"/>
        <v>333</v>
      </c>
      <c r="AV11" s="90">
        <f t="shared" si="72"/>
        <v>10</v>
      </c>
      <c r="AW11" s="90">
        <f t="shared" si="45"/>
        <v>684</v>
      </c>
      <c r="AX11" s="90">
        <f t="shared" si="73"/>
        <v>28</v>
      </c>
      <c r="AY11" s="90" t="str">
        <f t="shared" si="46"/>
        <v/>
      </c>
      <c r="AZ11" s="90">
        <f t="shared" si="47"/>
        <v>484</v>
      </c>
      <c r="BA11" s="90">
        <v>47</v>
      </c>
      <c r="BB11" s="90">
        <f t="shared" si="48"/>
        <v>104</v>
      </c>
      <c r="BC11" s="90">
        <f t="shared" si="48"/>
        <v>1096</v>
      </c>
      <c r="BD11" s="90">
        <f t="shared" si="49"/>
        <v>251</v>
      </c>
      <c r="BE11" s="90"/>
      <c r="BF11" s="90"/>
      <c r="BG11" s="90">
        <f t="shared" si="5"/>
        <v>1935</v>
      </c>
      <c r="BH11" s="90">
        <f t="shared" si="50"/>
        <v>-556.69999999995343</v>
      </c>
      <c r="BI11" s="90">
        <f t="shared" si="51"/>
        <v>2192.5730000000003</v>
      </c>
      <c r="BJ11" s="90">
        <f t="shared" si="6"/>
        <v>5624.4269999999997</v>
      </c>
      <c r="BK11" s="92"/>
      <c r="BL11" s="93">
        <f t="shared" si="52"/>
        <v>7260.3000000000466</v>
      </c>
      <c r="BM11" s="93">
        <f t="shared" si="53"/>
        <v>39255.300000000047</v>
      </c>
      <c r="BN11" s="92"/>
      <c r="BO11" s="94">
        <f t="shared" si="54"/>
        <v>0.28249716986639295</v>
      </c>
      <c r="BP11" s="94">
        <f t="shared" si="54"/>
        <v>-0.13280182570131094</v>
      </c>
      <c r="BQ11" s="94">
        <f t="shared" si="55"/>
        <v>0.41764531757656098</v>
      </c>
      <c r="BR11" s="94">
        <f t="shared" si="74"/>
        <v>1.4697361063480774</v>
      </c>
      <c r="BS11" s="94">
        <f t="shared" si="7"/>
        <v>0</v>
      </c>
      <c r="BT11" s="94">
        <f t="shared" si="7"/>
        <v>0.1505400200882705</v>
      </c>
      <c r="BU11" s="95">
        <f t="shared" si="7"/>
        <v>2.0370767680897202</v>
      </c>
      <c r="BV11" s="94">
        <f t="shared" si="8"/>
        <v>0.18788138243121194</v>
      </c>
      <c r="BW11" s="94">
        <f t="shared" si="8"/>
        <v>-8.8322975461848793E-2</v>
      </c>
      <c r="BX11" s="94">
        <f t="shared" si="8"/>
        <v>0.27776483449132661</v>
      </c>
      <c r="BY11" s="94">
        <f t="shared" si="56"/>
        <v>0.977482541153747</v>
      </c>
      <c r="BZ11" s="95">
        <f t="shared" si="9"/>
        <v>1.3548057826144366</v>
      </c>
      <c r="CA11" s="96" t="e">
        <f>#REF!</f>
        <v>#REF!</v>
      </c>
      <c r="CB11" s="94">
        <f t="shared" si="10"/>
        <v>3.1163966048648233E-2</v>
      </c>
      <c r="CC11" s="95">
        <f t="shared" si="10"/>
        <v>0.10232169892957228</v>
      </c>
      <c r="CD11" s="97">
        <f t="shared" si="11"/>
        <v>5.4999584145992847E-2</v>
      </c>
      <c r="CE11" s="98">
        <f t="shared" si="11"/>
        <v>0.18058198630601005</v>
      </c>
      <c r="CF11" s="94">
        <f t="shared" si="57"/>
        <v>0.4150312785162219</v>
      </c>
      <c r="CG11" s="94">
        <f t="shared" si="57"/>
        <v>7.970799388722144E-2</v>
      </c>
      <c r="CH11" s="95">
        <f t="shared" si="58"/>
        <v>0.9372560660531899</v>
      </c>
      <c r="CI11" s="96" t="e">
        <f>#REF!</f>
        <v>#REF!</v>
      </c>
      <c r="CJ11" s="94" t="str">
        <f t="shared" si="59"/>
        <v>0,00</v>
      </c>
      <c r="CK11" s="94" t="str">
        <f t="shared" si="59"/>
        <v>0,00</v>
      </c>
      <c r="CL11" s="95" t="str">
        <f t="shared" si="75"/>
        <v xml:space="preserve">0,00 </v>
      </c>
      <c r="CM11" s="95" t="e">
        <f>#REF!</f>
        <v>#REF!</v>
      </c>
      <c r="CN11" s="94">
        <f t="shared" si="60"/>
        <v>0.94389584457773013</v>
      </c>
      <c r="CO11" s="94">
        <f t="shared" si="60"/>
        <v>5.3846407241011446E-2</v>
      </c>
      <c r="CP11" s="95">
        <f t="shared" si="61"/>
        <v>1.4000065882662978</v>
      </c>
      <c r="CQ11" s="95" t="e">
        <f>#REF!</f>
        <v>#REF!</v>
      </c>
      <c r="CR11" s="97" t="str">
        <f t="shared" si="76"/>
        <v xml:space="preserve">0,00 </v>
      </c>
      <c r="CS11" s="95" t="str">
        <f t="shared" si="76"/>
        <v xml:space="preserve">0,00 </v>
      </c>
      <c r="CT11" s="96" t="e">
        <f>#REF!</f>
        <v>#REF!</v>
      </c>
      <c r="CU11" s="97">
        <f t="shared" si="77"/>
        <v>0.35496219004934759</v>
      </c>
      <c r="CV11" s="95">
        <f t="shared" si="62"/>
        <v>0.41714534743025511</v>
      </c>
      <c r="CW11" s="96" t="e">
        <f>#REF!</f>
        <v>#REF!</v>
      </c>
      <c r="CX11" s="99">
        <f t="shared" si="63"/>
        <v>0.20785548288901518</v>
      </c>
      <c r="CY11" s="95">
        <f t="shared" si="63"/>
        <v>6.2419063930635186E-3</v>
      </c>
      <c r="CZ11" s="99">
        <f t="shared" si="63"/>
        <v>0.42694639728554468</v>
      </c>
      <c r="DA11" s="95">
        <f t="shared" si="63"/>
        <v>1.7477337900577851E-2</v>
      </c>
      <c r="DB11" s="94">
        <f t="shared" si="12"/>
        <v>0.30210826942427432</v>
      </c>
      <c r="DC11" s="94">
        <f t="shared" si="13"/>
        <v>6.4915826487860595E-2</v>
      </c>
      <c r="DD11" s="94">
        <f t="shared" si="13"/>
        <v>0.68411294067976169</v>
      </c>
      <c r="DE11" s="94">
        <f t="shared" si="13"/>
        <v>0.15667185046589432</v>
      </c>
      <c r="DF11" s="94">
        <f t="shared" si="13"/>
        <v>0</v>
      </c>
      <c r="DG11" s="94">
        <f t="shared" si="13"/>
        <v>0</v>
      </c>
      <c r="DH11" s="95">
        <f t="shared" si="13"/>
        <v>1.207808887057791</v>
      </c>
      <c r="DI11" s="96" t="e">
        <f>#REF!</f>
        <v>#REF!</v>
      </c>
      <c r="DJ11" s="95">
        <f t="shared" si="64"/>
        <v>-0.34748692890181704</v>
      </c>
      <c r="DK11" s="96" t="e">
        <f>#REF!</f>
        <v>#REF!</v>
      </c>
      <c r="DL11" s="95">
        <f t="shared" si="14"/>
        <v>1.3685835425958461</v>
      </c>
      <c r="DM11" s="96">
        <f t="shared" si="15"/>
        <v>0</v>
      </c>
      <c r="DN11" s="94">
        <f t="shared" si="16"/>
        <v>3.5107146848619064</v>
      </c>
      <c r="DO11" s="100">
        <v>3.4</v>
      </c>
      <c r="DP11" s="94">
        <f>IF($O11&lt;&gt;0,IF($O11&lt;&gt;0,BL11/$O11*10,0)," ")</f>
        <v>4.5318112985559358</v>
      </c>
      <c r="DQ11" s="94">
        <f t="shared" si="81"/>
        <v>3.6476412539209742</v>
      </c>
      <c r="DR11" s="101">
        <f t="shared" si="17"/>
        <v>0</v>
      </c>
      <c r="DS11" s="116"/>
      <c r="DT11" s="103">
        <v>6</v>
      </c>
      <c r="DU11" s="76">
        <v>596947</v>
      </c>
      <c r="DV11" s="76">
        <f>DV10+29</f>
        <v>21184</v>
      </c>
      <c r="DW11" s="77">
        <v>5072613</v>
      </c>
      <c r="DX11" s="129">
        <v>95677</v>
      </c>
      <c r="DY11" s="76">
        <v>79089</v>
      </c>
      <c r="DZ11" s="76">
        <v>354347</v>
      </c>
      <c r="EA11" s="76">
        <v>199474</v>
      </c>
      <c r="EB11" s="77">
        <v>45583</v>
      </c>
      <c r="EC11" s="76">
        <v>351329</v>
      </c>
      <c r="ED11" s="76">
        <v>43134</v>
      </c>
      <c r="EE11" s="77">
        <v>35185</v>
      </c>
      <c r="EF11" s="77">
        <v>36917</v>
      </c>
      <c r="EG11" s="76">
        <v>87797</v>
      </c>
      <c r="EH11" s="76">
        <v>172878</v>
      </c>
      <c r="EI11" s="76">
        <v>27009</v>
      </c>
      <c r="EJ11" s="77">
        <v>35112</v>
      </c>
      <c r="EK11" s="77"/>
      <c r="EL11" s="76">
        <v>667869</v>
      </c>
      <c r="EM11" s="77">
        <v>4450</v>
      </c>
      <c r="EN11" s="77">
        <v>375884</v>
      </c>
      <c r="EO11" s="76">
        <v>2774263</v>
      </c>
      <c r="EP11" s="77">
        <v>2032869</v>
      </c>
      <c r="EQ11" s="77">
        <v>0</v>
      </c>
      <c r="ER11" s="77">
        <v>1604</v>
      </c>
      <c r="ES11" s="124">
        <v>239065</v>
      </c>
      <c r="ET11" s="77">
        <v>6701349</v>
      </c>
      <c r="EU11" s="77">
        <v>351793</v>
      </c>
      <c r="EV11" s="77">
        <v>97984</v>
      </c>
      <c r="EW11" s="77">
        <v>45563</v>
      </c>
      <c r="EX11" s="76">
        <v>191383</v>
      </c>
      <c r="EY11" s="76">
        <v>1524883</v>
      </c>
      <c r="EZ11" s="76">
        <v>666077</v>
      </c>
      <c r="FA11" s="76">
        <v>708269</v>
      </c>
      <c r="FB11" s="77">
        <v>29463</v>
      </c>
      <c r="FC11" s="77">
        <v>7817</v>
      </c>
      <c r="FD11" s="104">
        <f t="shared" si="18"/>
        <v>6215.3000000000466</v>
      </c>
      <c r="FE11" s="105">
        <f t="shared" si="19"/>
        <v>393</v>
      </c>
      <c r="FF11" s="287">
        <f t="shared" si="19"/>
        <v>0</v>
      </c>
      <c r="FG11" s="77">
        <v>1068</v>
      </c>
      <c r="FH11" s="288">
        <f t="shared" si="20"/>
        <v>1807</v>
      </c>
      <c r="FI11" s="288">
        <f t="shared" si="20"/>
        <v>576</v>
      </c>
      <c r="FJ11" s="288">
        <f t="shared" si="20"/>
        <v>0</v>
      </c>
      <c r="FK11" s="104">
        <f t="shared" si="20"/>
        <v>719</v>
      </c>
      <c r="FL11" s="288">
        <f t="shared" si="20"/>
        <v>1315.3000000000466</v>
      </c>
      <c r="FM11" s="77">
        <v>337</v>
      </c>
      <c r="FN11" s="80">
        <f t="shared" si="82"/>
        <v>1045</v>
      </c>
      <c r="FO11" s="77">
        <v>33607</v>
      </c>
      <c r="FP11" s="189"/>
      <c r="FZ11" s="178">
        <f t="shared" si="65"/>
        <v>2.0370767680897202</v>
      </c>
      <c r="GA11" s="220">
        <v>13869.090990990991</v>
      </c>
      <c r="GB11" s="220">
        <v>14075.635135135135</v>
      </c>
      <c r="GC11" s="220">
        <v>31298.800000000003</v>
      </c>
      <c r="GD11" s="220">
        <v>59243.526126126133</v>
      </c>
      <c r="GE11" s="116">
        <f t="shared" si="66"/>
        <v>0.11500393219974339</v>
      </c>
      <c r="GF11" s="116">
        <f t="shared" si="78"/>
        <v>0.31614914405475436</v>
      </c>
      <c r="GG11" s="116">
        <f t="shared" si="67"/>
        <v>0.50033867113116148</v>
      </c>
      <c r="GH11" s="116">
        <f t="shared" si="68"/>
        <v>0.36636914477020283</v>
      </c>
      <c r="GI11" s="64"/>
      <c r="GJ11" s="116">
        <f t="shared" si="79"/>
        <v>5.1247971168223695E-2</v>
      </c>
      <c r="GK11" s="289">
        <f t="shared" si="69"/>
        <v>1096</v>
      </c>
      <c r="GL11" s="290">
        <f t="shared" si="69"/>
        <v>251</v>
      </c>
      <c r="GM11" s="119">
        <v>8</v>
      </c>
      <c r="GN11" s="119">
        <v>8</v>
      </c>
      <c r="GO11" s="116">
        <f t="shared" si="70"/>
        <v>1.2454545454545454</v>
      </c>
    </row>
    <row r="12" spans="1:212" s="119" customFormat="1" ht="15" customHeight="1">
      <c r="B12" s="573">
        <v>42742</v>
      </c>
      <c r="D12" s="131">
        <v>3545.28</v>
      </c>
      <c r="E12" s="131">
        <v>2196.2399999999998</v>
      </c>
      <c r="F12" s="131">
        <v>2093.4720000000002</v>
      </c>
      <c r="G12" s="131">
        <v>0</v>
      </c>
      <c r="H12" s="131">
        <v>4514.009</v>
      </c>
      <c r="I12" s="131">
        <v>1315.89</v>
      </c>
      <c r="J12" s="131">
        <v>4745.5200000000004</v>
      </c>
      <c r="K12" s="295">
        <v>0</v>
      </c>
      <c r="L12" s="295">
        <v>817.48800000000006</v>
      </c>
      <c r="M12" s="291">
        <f t="shared" si="21"/>
        <v>6061.4100000000008</v>
      </c>
      <c r="N12" s="213">
        <f t="shared" si="0"/>
        <v>12349.001</v>
      </c>
      <c r="O12" s="88">
        <f>N12+L12+K12+((J12+I12)*0.5)</f>
        <v>16197.194</v>
      </c>
      <c r="P12" s="89">
        <f t="shared" si="23"/>
        <v>123815.50749999999</v>
      </c>
      <c r="R12" s="90">
        <f t="shared" si="24"/>
        <v>254</v>
      </c>
      <c r="S12" s="90">
        <f t="shared" si="25"/>
        <v>39.9</v>
      </c>
      <c r="T12" s="90">
        <f t="shared" si="1"/>
        <v>538.1</v>
      </c>
      <c r="U12" s="90"/>
      <c r="V12" s="90">
        <f t="shared" si="26"/>
        <v>958</v>
      </c>
      <c r="W12" s="91">
        <f t="shared" si="71"/>
        <v>1491.7</v>
      </c>
      <c r="X12" s="90">
        <f t="shared" si="27"/>
        <v>958</v>
      </c>
      <c r="Y12" s="90" t="str">
        <f t="shared" si="28"/>
        <v>0</v>
      </c>
      <c r="Z12" s="90">
        <f t="shared" si="2"/>
        <v>75.8</v>
      </c>
      <c r="AA12" s="90">
        <f t="shared" si="29"/>
        <v>1790</v>
      </c>
      <c r="AB12" s="90">
        <f t="shared" si="30"/>
        <v>0</v>
      </c>
      <c r="AC12" s="90">
        <f t="shared" si="30"/>
        <v>0</v>
      </c>
      <c r="AD12" s="90">
        <f t="shared" si="31"/>
        <v>347</v>
      </c>
      <c r="AE12" s="90">
        <f t="shared" si="32"/>
        <v>347</v>
      </c>
      <c r="AF12" s="90">
        <f t="shared" si="33"/>
        <v>0</v>
      </c>
      <c r="AG12" s="90">
        <f t="shared" si="33"/>
        <v>0</v>
      </c>
      <c r="AH12" s="90">
        <f t="shared" si="34"/>
        <v>93</v>
      </c>
      <c r="AI12" s="90">
        <f t="shared" si="35"/>
        <v>93</v>
      </c>
      <c r="AJ12" s="90">
        <f t="shared" si="36"/>
        <v>217</v>
      </c>
      <c r="AK12" s="90">
        <f t="shared" si="36"/>
        <v>12</v>
      </c>
      <c r="AL12" s="90">
        <f t="shared" si="37"/>
        <v>318</v>
      </c>
      <c r="AM12" s="90">
        <f t="shared" si="38"/>
        <v>89</v>
      </c>
      <c r="AN12" s="90">
        <f t="shared" si="39"/>
        <v>0</v>
      </c>
      <c r="AO12" s="90">
        <f t="shared" si="3"/>
        <v>0</v>
      </c>
      <c r="AP12" s="90">
        <f t="shared" si="40"/>
        <v>8</v>
      </c>
      <c r="AQ12" s="90">
        <f t="shared" si="4"/>
        <v>49</v>
      </c>
      <c r="AR12" s="90">
        <f t="shared" si="41"/>
        <v>96.802999999999997</v>
      </c>
      <c r="AS12" s="90">
        <f t="shared" si="42"/>
        <v>-81.197000000000003</v>
      </c>
      <c r="AT12" s="90">
        <f t="shared" si="43"/>
        <v>537.803</v>
      </c>
      <c r="AU12" s="90">
        <f t="shared" si="44"/>
        <v>295</v>
      </c>
      <c r="AV12" s="90">
        <f t="shared" si="72"/>
        <v>101</v>
      </c>
      <c r="AW12" s="90">
        <f t="shared" si="45"/>
        <v>324</v>
      </c>
      <c r="AX12" s="90">
        <f t="shared" si="73"/>
        <v>150</v>
      </c>
      <c r="AY12" s="90" t="str">
        <f t="shared" si="46"/>
        <v/>
      </c>
      <c r="AZ12" s="90">
        <f t="shared" si="47"/>
        <v>382</v>
      </c>
      <c r="BA12" s="90">
        <v>38</v>
      </c>
      <c r="BB12" s="90">
        <f t="shared" si="48"/>
        <v>80</v>
      </c>
      <c r="BC12" s="90">
        <f t="shared" si="48"/>
        <v>999</v>
      </c>
      <c r="BD12" s="90">
        <f t="shared" si="49"/>
        <v>245</v>
      </c>
      <c r="BE12" s="90"/>
      <c r="BF12" s="90"/>
      <c r="BG12" s="90">
        <f t="shared" si="5"/>
        <v>1706</v>
      </c>
      <c r="BH12" s="90">
        <f t="shared" si="50"/>
        <v>578</v>
      </c>
      <c r="BI12" s="90">
        <f t="shared" si="51"/>
        <v>2353.1970000000001</v>
      </c>
      <c r="BJ12" s="90">
        <f t="shared" si="6"/>
        <v>4472.8029999999999</v>
      </c>
      <c r="BK12" s="92"/>
      <c r="BL12" s="93">
        <f t="shared" si="52"/>
        <v>7404</v>
      </c>
      <c r="BM12" s="93">
        <f t="shared" si="53"/>
        <v>46659.300000000047</v>
      </c>
      <c r="BN12" s="92"/>
      <c r="BO12" s="94">
        <f t="shared" si="54"/>
        <v>0.20568465416757192</v>
      </c>
      <c r="BP12" s="94">
        <f t="shared" si="54"/>
        <v>3.2310305910575272E-2</v>
      </c>
      <c r="BQ12" s="94">
        <f t="shared" si="55"/>
        <v>0.43574374963610418</v>
      </c>
      <c r="BR12" s="94">
        <f t="shared" si="74"/>
        <v>0.77577125469501551</v>
      </c>
      <c r="BS12" s="94">
        <f t="shared" si="7"/>
        <v>0</v>
      </c>
      <c r="BT12" s="94">
        <f t="shared" si="7"/>
        <v>6.1381483409062798E-2</v>
      </c>
      <c r="BU12" s="95">
        <f t="shared" si="7"/>
        <v>1.4495099644092668</v>
      </c>
      <c r="BV12" s="94">
        <f t="shared" si="8"/>
        <v>0.15681728575949638</v>
      </c>
      <c r="BW12" s="94">
        <f t="shared" si="8"/>
        <v>2.4633896463794901E-2</v>
      </c>
      <c r="BX12" s="94">
        <f t="shared" si="8"/>
        <v>0.33221803727238186</v>
      </c>
      <c r="BY12" s="94">
        <f t="shared" si="56"/>
        <v>0.59146047148660441</v>
      </c>
      <c r="BZ12" s="95">
        <f t="shared" si="9"/>
        <v>1.1051296909822776</v>
      </c>
      <c r="CA12" s="96" t="e">
        <f>#REF!</f>
        <v>#REF!</v>
      </c>
      <c r="CB12" s="94">
        <f t="shared" si="10"/>
        <v>5.9765290210143804E-2</v>
      </c>
      <c r="CC12" s="95">
        <f t="shared" si="10"/>
        <v>-5.013028799926704E-2</v>
      </c>
      <c r="CD12" s="97">
        <f t="shared" si="11"/>
        <v>0.15970376529553351</v>
      </c>
      <c r="CE12" s="98">
        <f t="shared" si="11"/>
        <v>-0.13395728056673281</v>
      </c>
      <c r="CF12" s="94">
        <f t="shared" si="57"/>
        <v>0</v>
      </c>
      <c r="CG12" s="94">
        <f t="shared" si="57"/>
        <v>0</v>
      </c>
      <c r="CH12" s="95">
        <f t="shared" si="58"/>
        <v>0.97876613412762881</v>
      </c>
      <c r="CI12" s="96" t="e">
        <f>#REF!</f>
        <v>#REF!</v>
      </c>
      <c r="CJ12" s="94">
        <f t="shared" si="59"/>
        <v>0</v>
      </c>
      <c r="CK12" s="94">
        <f t="shared" si="59"/>
        <v>0</v>
      </c>
      <c r="CL12" s="95">
        <f t="shared" si="75"/>
        <v>0.42345098896295497</v>
      </c>
      <c r="CM12" s="95" t="e">
        <f>#REF!</f>
        <v>#REF!</v>
      </c>
      <c r="CN12" s="94">
        <f t="shared" si="60"/>
        <v>1.0365555402699438</v>
      </c>
      <c r="CO12" s="94">
        <f t="shared" si="60"/>
        <v>5.7321043701563712E-2</v>
      </c>
      <c r="CP12" s="95">
        <f t="shared" si="61"/>
        <v>1.5190076580914382</v>
      </c>
      <c r="CQ12" s="95" t="e">
        <f>#REF!</f>
        <v>#REF!</v>
      </c>
      <c r="CR12" s="97" t="str">
        <f t="shared" si="76"/>
        <v xml:space="preserve">0,00 </v>
      </c>
      <c r="CS12" s="95" t="str">
        <f t="shared" si="76"/>
        <v xml:space="preserve">0,00 </v>
      </c>
      <c r="CT12" s="96" t="e">
        <f>#REF!</f>
        <v>#REF!</v>
      </c>
      <c r="CU12" s="97">
        <f t="shared" si="77"/>
        <v>1.7722605338181648E-2</v>
      </c>
      <c r="CV12" s="95">
        <f t="shared" si="62"/>
        <v>0.1085509576963626</v>
      </c>
      <c r="CW12" s="96" t="e">
        <f>#REF!</f>
        <v>#REF!</v>
      </c>
      <c r="CX12" s="99">
        <f t="shared" si="63"/>
        <v>0.18213031220098988</v>
      </c>
      <c r="CY12" s="95">
        <f t="shared" si="63"/>
        <v>6.23564797705084E-2</v>
      </c>
      <c r="CZ12" s="99">
        <f t="shared" si="63"/>
        <v>0.20003464797668041</v>
      </c>
      <c r="DA12" s="95">
        <f t="shared" si="63"/>
        <v>9.2608633322537215E-2</v>
      </c>
      <c r="DB12" s="94">
        <f t="shared" si="12"/>
        <v>0.23584331952806148</v>
      </c>
      <c r="DC12" s="94">
        <f t="shared" si="13"/>
        <v>4.9391271105353185E-2</v>
      </c>
      <c r="DD12" s="94">
        <f t="shared" si="13"/>
        <v>0.61677349792809799</v>
      </c>
      <c r="DE12" s="94">
        <f t="shared" si="13"/>
        <v>0.15126076776014413</v>
      </c>
      <c r="DF12" s="94">
        <f t="shared" si="13"/>
        <v>0</v>
      </c>
      <c r="DG12" s="94">
        <f t="shared" si="13"/>
        <v>0</v>
      </c>
      <c r="DH12" s="95">
        <f t="shared" si="13"/>
        <v>1.0532688563216568</v>
      </c>
      <c r="DI12" s="96" t="e">
        <f>#REF!</f>
        <v>#REF!</v>
      </c>
      <c r="DJ12" s="95">
        <f t="shared" si="64"/>
        <v>0.35685193373617674</v>
      </c>
      <c r="DK12" s="96" t="e">
        <f>#REF!</f>
        <v>#REF!</v>
      </c>
      <c r="DL12" s="95">
        <f t="shared" si="14"/>
        <v>1.4528423873912977</v>
      </c>
      <c r="DM12" s="96">
        <f t="shared" si="15"/>
        <v>0</v>
      </c>
      <c r="DN12" s="94">
        <f t="shared" si="16"/>
        <v>2.761467819672963</v>
      </c>
      <c r="DO12" s="100">
        <v>3.4</v>
      </c>
      <c r="DP12" s="94">
        <f>IF($O12&lt;&gt;0,IF($O12&lt;&gt;0,BL12/$O12*10,0)," ")</f>
        <v>4.5711621408004373</v>
      </c>
      <c r="DQ12" s="94">
        <f t="shared" si="81"/>
        <v>3.7684536405910265</v>
      </c>
      <c r="DR12" s="101">
        <f t="shared" si="17"/>
        <v>0</v>
      </c>
      <c r="DS12" s="116"/>
      <c r="DT12" s="134">
        <v>7</v>
      </c>
      <c r="DU12" s="76">
        <v>596947</v>
      </c>
      <c r="DV12" s="76">
        <v>21184</v>
      </c>
      <c r="DW12" s="76">
        <v>5072960</v>
      </c>
      <c r="DX12" s="77">
        <v>95677</v>
      </c>
      <c r="DY12" s="77">
        <v>79089</v>
      </c>
      <c r="DZ12" s="77">
        <v>354440</v>
      </c>
      <c r="EA12" s="77">
        <v>199691</v>
      </c>
      <c r="EB12" s="77">
        <v>45595</v>
      </c>
      <c r="EC12" s="77">
        <v>351647</v>
      </c>
      <c r="ED12" s="296">
        <v>43134</v>
      </c>
      <c r="EE12" s="77">
        <v>35185</v>
      </c>
      <c r="EF12" s="77">
        <v>36917</v>
      </c>
      <c r="EG12" s="76">
        <v>87805</v>
      </c>
      <c r="EH12" s="76">
        <v>172927</v>
      </c>
      <c r="EI12" s="76">
        <v>27110</v>
      </c>
      <c r="EJ12" s="77">
        <v>35262</v>
      </c>
      <c r="EK12" s="77"/>
      <c r="EL12" s="76">
        <v>668123</v>
      </c>
      <c r="EM12" s="77">
        <v>5381</v>
      </c>
      <c r="EN12" s="77">
        <v>37633</v>
      </c>
      <c r="EO12" s="76">
        <v>2775221</v>
      </c>
      <c r="EP12" s="77">
        <v>2047786</v>
      </c>
      <c r="EQ12" s="77">
        <v>0</v>
      </c>
      <c r="ER12" s="77">
        <v>758</v>
      </c>
      <c r="ES12" s="77">
        <v>239506</v>
      </c>
      <c r="ET12" s="77">
        <v>6798152</v>
      </c>
      <c r="EU12" s="77">
        <v>352117</v>
      </c>
      <c r="EV12" s="77">
        <v>98279</v>
      </c>
      <c r="EW12" s="77">
        <v>45945</v>
      </c>
      <c r="EX12" s="76">
        <v>191463</v>
      </c>
      <c r="EY12" s="76">
        <v>1525882</v>
      </c>
      <c r="EZ12" s="76">
        <v>666476</v>
      </c>
      <c r="FA12" s="76">
        <v>708514</v>
      </c>
      <c r="FB12" s="77">
        <v>29517</v>
      </c>
      <c r="FC12" s="77">
        <v>6826</v>
      </c>
      <c r="FD12" s="104">
        <f t="shared" si="18"/>
        <v>6262</v>
      </c>
      <c r="FE12" s="105">
        <f t="shared" si="19"/>
        <v>319</v>
      </c>
      <c r="FF12" s="287">
        <f t="shared" si="19"/>
        <v>0</v>
      </c>
      <c r="FG12" s="77">
        <v>1406</v>
      </c>
      <c r="FH12" s="288">
        <f t="shared" si="20"/>
        <v>1708</v>
      </c>
      <c r="FI12" s="288">
        <f t="shared" si="20"/>
        <v>541</v>
      </c>
      <c r="FJ12" s="288">
        <f t="shared" si="20"/>
        <v>0</v>
      </c>
      <c r="FK12" s="104">
        <f t="shared" si="20"/>
        <v>757</v>
      </c>
      <c r="FL12" s="288">
        <f t="shared" si="20"/>
        <v>1194</v>
      </c>
      <c r="FM12" s="77">
        <v>337</v>
      </c>
      <c r="FN12" s="80">
        <f t="shared" si="82"/>
        <v>1142</v>
      </c>
      <c r="FO12" s="77">
        <v>34749</v>
      </c>
      <c r="FP12" s="81"/>
      <c r="FZ12" s="178">
        <f t="shared" si="65"/>
        <v>1.4495099644092668</v>
      </c>
      <c r="GA12" s="220">
        <v>12529.42252252252</v>
      </c>
      <c r="GB12" s="220">
        <v>10937.089189189192</v>
      </c>
      <c r="GC12" s="220">
        <v>22008.23</v>
      </c>
      <c r="GD12" s="220">
        <v>45474.741711711715</v>
      </c>
      <c r="GE12" s="116">
        <f t="shared" si="66"/>
        <v>0.23456787371620202</v>
      </c>
      <c r="GF12" s="116">
        <f t="shared" si="78"/>
        <v>0.49199562213672637</v>
      </c>
      <c r="GG12" s="116">
        <f t="shared" si="67"/>
        <v>0.43529170678423479</v>
      </c>
      <c r="GH12" s="116">
        <f t="shared" si="68"/>
        <v>0.39362510541516665</v>
      </c>
      <c r="GI12" s="64"/>
      <c r="GJ12" s="116">
        <f t="shared" si="79"/>
        <v>3.4441661142218159E-2</v>
      </c>
      <c r="GK12" s="289">
        <f t="shared" si="69"/>
        <v>999</v>
      </c>
      <c r="GL12" s="290">
        <f t="shared" si="69"/>
        <v>245</v>
      </c>
      <c r="GM12" s="119">
        <v>9</v>
      </c>
      <c r="GN12" s="119">
        <v>8</v>
      </c>
      <c r="GO12" s="116">
        <f t="shared" si="70"/>
        <v>1.009090909090909</v>
      </c>
    </row>
    <row r="13" spans="1:212" s="119" customFormat="1" ht="15" customHeight="1">
      <c r="B13" s="573">
        <v>42743</v>
      </c>
      <c r="D13" s="131">
        <v>0</v>
      </c>
      <c r="E13" s="131">
        <v>0</v>
      </c>
      <c r="F13" s="131">
        <v>945.93600000000004</v>
      </c>
      <c r="G13" s="131">
        <v>0</v>
      </c>
      <c r="H13" s="131">
        <v>0</v>
      </c>
      <c r="I13" s="131">
        <v>0</v>
      </c>
      <c r="J13" s="131">
        <v>0</v>
      </c>
      <c r="K13" s="295"/>
      <c r="L13" s="295">
        <v>0</v>
      </c>
      <c r="M13" s="291">
        <f t="shared" si="21"/>
        <v>0</v>
      </c>
      <c r="N13" s="213">
        <f t="shared" si="0"/>
        <v>945.93600000000004</v>
      </c>
      <c r="O13" s="88">
        <f>N13+L13+K13+((J13+I13)*0.5)</f>
        <v>945.93600000000004</v>
      </c>
      <c r="P13" s="89">
        <f t="shared" si="23"/>
        <v>124761.44349999999</v>
      </c>
      <c r="R13" s="90">
        <f t="shared" si="24"/>
        <v>20</v>
      </c>
      <c r="S13" s="90">
        <f t="shared" si="25"/>
        <v>0</v>
      </c>
      <c r="T13" s="90">
        <f t="shared" si="1"/>
        <v>538.1</v>
      </c>
      <c r="U13" s="90"/>
      <c r="V13" s="90">
        <f t="shared" si="26"/>
        <v>196</v>
      </c>
      <c r="W13" s="91">
        <f t="shared" si="71"/>
        <v>1514.9</v>
      </c>
      <c r="X13" s="90">
        <f t="shared" si="27"/>
        <v>196</v>
      </c>
      <c r="Y13" s="90" t="str">
        <f t="shared" si="28"/>
        <v>0</v>
      </c>
      <c r="Z13" s="90">
        <f t="shared" si="2"/>
        <v>18.7</v>
      </c>
      <c r="AA13" s="90">
        <f t="shared" si="29"/>
        <v>754.1</v>
      </c>
      <c r="AB13" s="90">
        <f t="shared" si="30"/>
        <v>152</v>
      </c>
      <c r="AC13" s="90">
        <f t="shared" si="30"/>
        <v>43</v>
      </c>
      <c r="AD13" s="90">
        <f t="shared" si="31"/>
        <v>195</v>
      </c>
      <c r="AE13" s="90">
        <f t="shared" si="32"/>
        <v>0</v>
      </c>
      <c r="AF13" s="90">
        <f t="shared" si="33"/>
        <v>79</v>
      </c>
      <c r="AG13" s="90">
        <f t="shared" si="33"/>
        <v>7</v>
      </c>
      <c r="AH13" s="90">
        <f t="shared" si="34"/>
        <v>86</v>
      </c>
      <c r="AI13" s="90">
        <f t="shared" si="35"/>
        <v>0</v>
      </c>
      <c r="AJ13" s="90">
        <f t="shared" si="36"/>
        <v>69</v>
      </c>
      <c r="AK13" s="90">
        <f t="shared" si="36"/>
        <v>42</v>
      </c>
      <c r="AL13" s="90">
        <f t="shared" si="37"/>
        <v>111</v>
      </c>
      <c r="AM13" s="90">
        <f t="shared" si="38"/>
        <v>0</v>
      </c>
      <c r="AN13" s="90">
        <f t="shared" si="39"/>
        <v>0</v>
      </c>
      <c r="AO13" s="90">
        <f t="shared" si="3"/>
        <v>0</v>
      </c>
      <c r="AP13" s="90">
        <f t="shared" si="40"/>
        <v>0</v>
      </c>
      <c r="AQ13" s="90">
        <f t="shared" si="4"/>
        <v>0</v>
      </c>
      <c r="AR13" s="90">
        <f t="shared" si="41"/>
        <v>17.850999999999999</v>
      </c>
      <c r="AS13" s="90">
        <f t="shared" si="42"/>
        <v>32.850999999999999</v>
      </c>
      <c r="AT13" s="90">
        <f t="shared" si="43"/>
        <v>38.850999999999999</v>
      </c>
      <c r="AU13" s="90">
        <f t="shared" si="44"/>
        <v>6</v>
      </c>
      <c r="AV13" s="90">
        <f t="shared" si="72"/>
        <v>33</v>
      </c>
      <c r="AW13" s="90">
        <f t="shared" si="45"/>
        <v>0</v>
      </c>
      <c r="AX13" s="90">
        <f t="shared" si="73"/>
        <v>17</v>
      </c>
      <c r="AY13" s="90" t="str">
        <f t="shared" si="46"/>
        <v/>
      </c>
      <c r="AZ13" s="90">
        <f t="shared" si="47"/>
        <v>285</v>
      </c>
      <c r="BA13" s="90">
        <v>0</v>
      </c>
      <c r="BB13" s="90">
        <f t="shared" si="48"/>
        <v>37</v>
      </c>
      <c r="BC13" s="90">
        <f t="shared" si="48"/>
        <v>122</v>
      </c>
      <c r="BD13" s="90">
        <f t="shared" si="49"/>
        <v>19</v>
      </c>
      <c r="BE13" s="90"/>
      <c r="BF13" s="90"/>
      <c r="BG13" s="90">
        <f t="shared" si="5"/>
        <v>463</v>
      </c>
      <c r="BH13" s="90">
        <f t="shared" si="50"/>
        <v>703.40000000002328</v>
      </c>
      <c r="BI13" s="90">
        <f t="shared" si="51"/>
        <v>207.04899999999998</v>
      </c>
      <c r="BJ13" s="90">
        <f t="shared" si="6"/>
        <v>1691.951</v>
      </c>
      <c r="BK13" s="92"/>
      <c r="BL13" s="93">
        <f t="shared" si="52"/>
        <v>2602.4000000000233</v>
      </c>
      <c r="BM13" s="93">
        <f t="shared" si="53"/>
        <v>49261.70000000007</v>
      </c>
      <c r="BN13" s="92"/>
      <c r="BO13" s="94">
        <f t="shared" si="54"/>
        <v>0.2114307944723533</v>
      </c>
      <c r="BP13" s="94">
        <f t="shared" si="54"/>
        <v>0</v>
      </c>
      <c r="BQ13" s="94">
        <f t="shared" si="55"/>
        <v>5.6885455252786654</v>
      </c>
      <c r="BR13" s="94">
        <f t="shared" si="74"/>
        <v>2.0720217858290626</v>
      </c>
      <c r="BS13" s="94">
        <f t="shared" si="7"/>
        <v>0</v>
      </c>
      <c r="BT13" s="94">
        <f t="shared" si="7"/>
        <v>0.19768779283165033</v>
      </c>
      <c r="BU13" s="95">
        <f t="shared" si="7"/>
        <v>7.9719981055800817</v>
      </c>
      <c r="BV13" s="94">
        <f t="shared" si="8"/>
        <v>0.2114307944723533</v>
      </c>
      <c r="BW13" s="94">
        <f t="shared" si="8"/>
        <v>0</v>
      </c>
      <c r="BX13" s="94">
        <f t="shared" si="8"/>
        <v>5.6885455252786654</v>
      </c>
      <c r="BY13" s="94">
        <f t="shared" si="56"/>
        <v>2.0720217858290626</v>
      </c>
      <c r="BZ13" s="95">
        <f t="shared" si="9"/>
        <v>7.9719981055800817</v>
      </c>
      <c r="CA13" s="96" t="e">
        <f>#REF!</f>
        <v>#REF!</v>
      </c>
      <c r="CB13" s="94">
        <f t="shared" si="10"/>
        <v>0.18871255560629893</v>
      </c>
      <c r="CC13" s="95">
        <f t="shared" si="10"/>
        <v>0.34728565146056389</v>
      </c>
      <c r="CD13" s="97" t="str">
        <f t="shared" si="11"/>
        <v/>
      </c>
      <c r="CE13" s="98" t="str">
        <f t="shared" si="11"/>
        <v/>
      </c>
      <c r="CF13" s="94" t="str">
        <f t="shared" si="57"/>
        <v>0,00</v>
      </c>
      <c r="CG13" s="94" t="str">
        <f t="shared" si="57"/>
        <v>0,00</v>
      </c>
      <c r="CH13" s="95" t="str">
        <f t="shared" si="58"/>
        <v xml:space="preserve">0,00 </v>
      </c>
      <c r="CI13" s="96" t="e">
        <f>#REF!</f>
        <v>#REF!</v>
      </c>
      <c r="CJ13" s="94" t="str">
        <f t="shared" si="59"/>
        <v>0,00</v>
      </c>
      <c r="CK13" s="94" t="str">
        <f t="shared" si="59"/>
        <v>0,00</v>
      </c>
      <c r="CL13" s="95" t="str">
        <f t="shared" si="75"/>
        <v xml:space="preserve">0,00 </v>
      </c>
      <c r="CM13" s="95" t="e">
        <f>#REF!</f>
        <v>#REF!</v>
      </c>
      <c r="CN13" s="94">
        <f t="shared" si="60"/>
        <v>0.7294362409296189</v>
      </c>
      <c r="CO13" s="94">
        <f t="shared" si="60"/>
        <v>0.44400466839194191</v>
      </c>
      <c r="CP13" s="95">
        <f t="shared" si="61"/>
        <v>1.173440909321561</v>
      </c>
      <c r="CQ13" s="95" t="e">
        <f>#REF!</f>
        <v>#REF!</v>
      </c>
      <c r="CR13" s="97" t="str">
        <f t="shared" si="76"/>
        <v xml:space="preserve">0,00 </v>
      </c>
      <c r="CS13" s="95" t="str">
        <f t="shared" si="76"/>
        <v xml:space="preserve">0,00 </v>
      </c>
      <c r="CT13" s="96" t="e">
        <f>#REF!</f>
        <v>#REF!</v>
      </c>
      <c r="CU13" s="97" t="str">
        <f t="shared" si="77"/>
        <v xml:space="preserve">0,00 </v>
      </c>
      <c r="CV13" s="95" t="str">
        <f t="shared" si="62"/>
        <v xml:space="preserve">0,00 </v>
      </c>
      <c r="CW13" s="96" t="e">
        <f>#REF!</f>
        <v>#REF!</v>
      </c>
      <c r="CX13" s="99">
        <f t="shared" si="63"/>
        <v>6.3429238341705996E-2</v>
      </c>
      <c r="CY13" s="95">
        <f t="shared" si="63"/>
        <v>0.34886081087938292</v>
      </c>
      <c r="CZ13" s="99">
        <f t="shared" si="63"/>
        <v>0</v>
      </c>
      <c r="DA13" s="95">
        <f t="shared" si="63"/>
        <v>0.1797161753015003</v>
      </c>
      <c r="DB13" s="94">
        <f t="shared" si="12"/>
        <v>3.0128888212310345</v>
      </c>
      <c r="DC13" s="94">
        <f t="shared" si="13"/>
        <v>0.39114696977385355</v>
      </c>
      <c r="DD13" s="94">
        <f t="shared" si="13"/>
        <v>1.2897278462813553</v>
      </c>
      <c r="DE13" s="94">
        <f t="shared" si="13"/>
        <v>0.20085925474873564</v>
      </c>
      <c r="DF13" s="94">
        <f t="shared" si="13"/>
        <v>0</v>
      </c>
      <c r="DG13" s="94">
        <f t="shared" si="13"/>
        <v>0</v>
      </c>
      <c r="DH13" s="95">
        <f t="shared" si="13"/>
        <v>4.8946228920349792</v>
      </c>
      <c r="DI13" s="96" t="e">
        <f>#REF!</f>
        <v>#REF!</v>
      </c>
      <c r="DJ13" s="95">
        <f t="shared" si="64"/>
        <v>7.4360210415929116</v>
      </c>
      <c r="DK13" s="96" t="e">
        <f>#REF!</f>
        <v>#REF!</v>
      </c>
      <c r="DL13" s="95">
        <f t="shared" si="14"/>
        <v>2.188826728235314</v>
      </c>
      <c r="DM13" s="96">
        <f t="shared" si="15"/>
        <v>0</v>
      </c>
      <c r="DN13" s="94">
        <f t="shared" si="16"/>
        <v>17.886527206914632</v>
      </c>
      <c r="DO13" s="100">
        <v>3.4</v>
      </c>
      <c r="DP13" s="94">
        <f t="shared" si="80"/>
        <v>27.511374976742857</v>
      </c>
      <c r="DQ13" s="94">
        <f t="shared" si="81"/>
        <v>3.9484714682705695</v>
      </c>
      <c r="DR13" s="101">
        <f t="shared" si="17"/>
        <v>0</v>
      </c>
      <c r="DS13" s="116"/>
      <c r="DT13" s="134">
        <v>8</v>
      </c>
      <c r="DU13" s="76">
        <v>597099</v>
      </c>
      <c r="DV13" s="76">
        <v>21227</v>
      </c>
      <c r="DW13" s="76">
        <v>5072974</v>
      </c>
      <c r="DX13" s="77">
        <v>95756</v>
      </c>
      <c r="DY13" s="77">
        <v>79096</v>
      </c>
      <c r="DZ13" s="77">
        <v>354457</v>
      </c>
      <c r="EA13" s="77">
        <v>199760</v>
      </c>
      <c r="EB13" s="77">
        <v>45637</v>
      </c>
      <c r="EC13" s="77">
        <v>31824</v>
      </c>
      <c r="ED13" s="76">
        <v>43134</v>
      </c>
      <c r="EE13" s="77">
        <v>35185</v>
      </c>
      <c r="EF13" s="77">
        <v>36917</v>
      </c>
      <c r="EG13" s="76">
        <v>87805</v>
      </c>
      <c r="EH13" s="76">
        <v>172927</v>
      </c>
      <c r="EI13" s="76">
        <v>27143</v>
      </c>
      <c r="EJ13" s="77">
        <v>35279</v>
      </c>
      <c r="EK13" s="77"/>
      <c r="EL13" s="76">
        <v>668143</v>
      </c>
      <c r="EM13" s="76">
        <v>5381</v>
      </c>
      <c r="EN13" s="77">
        <v>37639</v>
      </c>
      <c r="EO13" s="76">
        <v>2775417</v>
      </c>
      <c r="EP13" s="77">
        <v>2062935</v>
      </c>
      <c r="EQ13" s="77">
        <v>0</v>
      </c>
      <c r="ER13" s="77">
        <v>187</v>
      </c>
      <c r="ES13" s="121">
        <v>239527</v>
      </c>
      <c r="ET13" s="77">
        <v>6816003</v>
      </c>
      <c r="EU13" s="77">
        <v>352117</v>
      </c>
      <c r="EV13" s="77">
        <v>98285</v>
      </c>
      <c r="EW13" s="77">
        <v>46230</v>
      </c>
      <c r="EX13" s="76">
        <v>191500</v>
      </c>
      <c r="EY13" s="76">
        <v>1526004</v>
      </c>
      <c r="EZ13" s="149">
        <v>666476</v>
      </c>
      <c r="FA13" s="149">
        <v>708533</v>
      </c>
      <c r="FB13" s="77">
        <v>29555</v>
      </c>
      <c r="FC13" s="76">
        <v>1899</v>
      </c>
      <c r="FD13" s="104">
        <f t="shared" si="18"/>
        <v>2137.4000000000233</v>
      </c>
      <c r="FE13" s="105">
        <f t="shared" si="19"/>
        <v>125</v>
      </c>
      <c r="FF13" s="287">
        <f t="shared" si="19"/>
        <v>0</v>
      </c>
      <c r="FG13" s="77">
        <v>96</v>
      </c>
      <c r="FH13" s="288">
        <f t="shared" si="20"/>
        <v>691</v>
      </c>
      <c r="FI13" s="288">
        <f t="shared" si="20"/>
        <v>220</v>
      </c>
      <c r="FJ13" s="288">
        <f t="shared" si="20"/>
        <v>0</v>
      </c>
      <c r="FK13" s="104">
        <f t="shared" si="20"/>
        <v>240</v>
      </c>
      <c r="FL13" s="288">
        <f t="shared" si="20"/>
        <v>471.40000000002328</v>
      </c>
      <c r="FM13" s="77">
        <v>294</v>
      </c>
      <c r="FN13" s="80">
        <f t="shared" si="82"/>
        <v>465</v>
      </c>
      <c r="FO13" s="189">
        <v>35214</v>
      </c>
      <c r="FP13" s="81"/>
      <c r="FZ13" s="178">
        <f t="shared" si="65"/>
        <v>7.9719981055800817</v>
      </c>
      <c r="GA13" s="220">
        <v>1570.2972972972973</v>
      </c>
      <c r="GB13" s="220">
        <v>0</v>
      </c>
      <c r="GC13" s="220">
        <v>7312</v>
      </c>
      <c r="GD13" s="220">
        <v>8882.2972972972966</v>
      </c>
      <c r="GE13" s="116">
        <f t="shared" si="66"/>
        <v>0.12736441713567753</v>
      </c>
      <c r="GF13" s="116" t="str">
        <f t="shared" si="78"/>
        <v>-</v>
      </c>
      <c r="GG13" s="116">
        <f t="shared" si="67"/>
        <v>0.26805251641137856</v>
      </c>
      <c r="GH13" s="116">
        <f t="shared" si="68"/>
        <v>0.8489920735139741</v>
      </c>
      <c r="GI13" s="64"/>
      <c r="GJ13" s="116">
        <f t="shared" si="79"/>
        <v>2.557439824945295E-2</v>
      </c>
      <c r="GK13" s="289">
        <f t="shared" si="69"/>
        <v>122</v>
      </c>
      <c r="GL13" s="290">
        <f t="shared" si="69"/>
        <v>19</v>
      </c>
      <c r="GM13" s="119">
        <v>2</v>
      </c>
      <c r="GN13" s="119">
        <v>1</v>
      </c>
      <c r="GO13" s="116">
        <f t="shared" si="70"/>
        <v>0.55454545454545456</v>
      </c>
    </row>
    <row r="14" spans="1:212" s="141" customFormat="1" ht="15" customHeight="1">
      <c r="B14" s="573">
        <v>42744</v>
      </c>
      <c r="D14" s="131">
        <v>0</v>
      </c>
      <c r="E14" s="131">
        <v>1431.72</v>
      </c>
      <c r="F14" s="131">
        <v>1059.6959999999999</v>
      </c>
      <c r="G14" s="131">
        <v>1757.08</v>
      </c>
      <c r="H14" s="131">
        <v>2992.8409999999999</v>
      </c>
      <c r="I14" s="131">
        <v>762.64700000000005</v>
      </c>
      <c r="J14" s="131">
        <v>462</v>
      </c>
      <c r="K14" s="295">
        <v>0</v>
      </c>
      <c r="L14" s="295">
        <v>0</v>
      </c>
      <c r="M14" s="291">
        <f t="shared" si="21"/>
        <v>1224.6469999999999</v>
      </c>
      <c r="N14" s="213">
        <f t="shared" si="0"/>
        <v>7241.3369999999995</v>
      </c>
      <c r="O14" s="88">
        <f>N14+L14+K14+((J14+I14)*0.5)</f>
        <v>7853.6605</v>
      </c>
      <c r="P14" s="89">
        <f t="shared" si="23"/>
        <v>132615.10399999999</v>
      </c>
      <c r="R14" s="90">
        <f t="shared" si="24"/>
        <v>2</v>
      </c>
      <c r="S14" s="90">
        <f t="shared" si="25"/>
        <v>22.2</v>
      </c>
      <c r="T14" s="90">
        <f t="shared" si="1"/>
        <v>619.9</v>
      </c>
      <c r="U14" s="90"/>
      <c r="V14" s="90">
        <f t="shared" si="26"/>
        <v>956</v>
      </c>
      <c r="W14" s="91">
        <f t="shared" si="71"/>
        <v>1298</v>
      </c>
      <c r="X14" s="90">
        <f t="shared" si="27"/>
        <v>956</v>
      </c>
      <c r="Y14" s="90">
        <f t="shared" si="28"/>
        <v>13.9</v>
      </c>
      <c r="Z14" s="90">
        <f t="shared" si="2"/>
        <v>104.7</v>
      </c>
      <c r="AA14" s="90">
        <f t="shared" si="29"/>
        <v>1600.1</v>
      </c>
      <c r="AB14" s="90">
        <f t="shared" si="30"/>
        <v>111</v>
      </c>
      <c r="AC14" s="90">
        <f t="shared" si="30"/>
        <v>28</v>
      </c>
      <c r="AD14" s="90">
        <f t="shared" si="31"/>
        <v>262</v>
      </c>
      <c r="AE14" s="90">
        <f t="shared" si="32"/>
        <v>123</v>
      </c>
      <c r="AF14" s="90">
        <f t="shared" si="33"/>
        <v>118</v>
      </c>
      <c r="AG14" s="90">
        <f t="shared" si="33"/>
        <v>33</v>
      </c>
      <c r="AH14" s="90">
        <f t="shared" si="34"/>
        <v>212</v>
      </c>
      <c r="AI14" s="90">
        <f t="shared" si="35"/>
        <v>61</v>
      </c>
      <c r="AJ14" s="90">
        <f t="shared" si="36"/>
        <v>112</v>
      </c>
      <c r="AK14" s="90">
        <f t="shared" si="36"/>
        <v>27</v>
      </c>
      <c r="AL14" s="90">
        <f t="shared" si="37"/>
        <v>247</v>
      </c>
      <c r="AM14" s="90">
        <f t="shared" si="38"/>
        <v>108</v>
      </c>
      <c r="AN14" s="90">
        <f t="shared" si="39"/>
        <v>45</v>
      </c>
      <c r="AO14" s="90">
        <f t="shared" si="3"/>
        <v>15</v>
      </c>
      <c r="AP14" s="90">
        <f t="shared" si="40"/>
        <v>28</v>
      </c>
      <c r="AQ14" s="90">
        <f t="shared" si="4"/>
        <v>51</v>
      </c>
      <c r="AR14" s="90">
        <f t="shared" si="41"/>
        <v>103.565</v>
      </c>
      <c r="AS14" s="90">
        <f t="shared" si="42"/>
        <v>204.565</v>
      </c>
      <c r="AT14" s="90">
        <f t="shared" si="43"/>
        <v>398.565</v>
      </c>
      <c r="AU14" s="90">
        <f t="shared" si="44"/>
        <v>129</v>
      </c>
      <c r="AV14" s="90">
        <f t="shared" si="72"/>
        <v>5</v>
      </c>
      <c r="AW14" s="90">
        <f t="shared" si="45"/>
        <v>65</v>
      </c>
      <c r="AX14" s="90">
        <f t="shared" si="73"/>
        <v>25</v>
      </c>
      <c r="AY14" s="90" t="str">
        <f t="shared" si="46"/>
        <v/>
      </c>
      <c r="AZ14" s="90">
        <f t="shared" si="47"/>
        <v>352</v>
      </c>
      <c r="BA14" s="90">
        <v>46</v>
      </c>
      <c r="BB14" s="90">
        <f t="shared" si="48"/>
        <v>92</v>
      </c>
      <c r="BC14" s="90">
        <f t="shared" si="48"/>
        <v>85</v>
      </c>
      <c r="BD14" s="90">
        <f t="shared" si="49"/>
        <v>0</v>
      </c>
      <c r="BE14" s="90"/>
      <c r="BF14" s="90"/>
      <c r="BG14" s="90">
        <f t="shared" si="5"/>
        <v>529</v>
      </c>
      <c r="BH14" s="90">
        <f t="shared" si="50"/>
        <v>630.29999999993015</v>
      </c>
      <c r="BI14" s="90">
        <f t="shared" si="51"/>
        <v>1359.335</v>
      </c>
      <c r="BJ14" s="90">
        <f t="shared" si="6"/>
        <v>3150.665</v>
      </c>
      <c r="BK14" s="92"/>
      <c r="BL14" s="93">
        <f t="shared" si="52"/>
        <v>5140.2999999999302</v>
      </c>
      <c r="BM14" s="93">
        <f t="shared" si="53"/>
        <v>54402</v>
      </c>
      <c r="BN14" s="92"/>
      <c r="BO14" s="94">
        <f t="shared" si="54"/>
        <v>2.7619208994140174E-3</v>
      </c>
      <c r="BP14" s="94">
        <f t="shared" si="54"/>
        <v>3.0657321983495588E-2</v>
      </c>
      <c r="BQ14" s="94">
        <f t="shared" si="55"/>
        <v>0.85605738277337462</v>
      </c>
      <c r="BR14" s="94">
        <f t="shared" si="74"/>
        <v>1.3201981899199002</v>
      </c>
      <c r="BS14" s="94">
        <f t="shared" si="7"/>
        <v>1.9195350250927421E-2</v>
      </c>
      <c r="BT14" s="94">
        <f t="shared" si="7"/>
        <v>0.1445865590843238</v>
      </c>
      <c r="BU14" s="95">
        <f t="shared" si="7"/>
        <v>2.2096748155761845</v>
      </c>
      <c r="BV14" s="94">
        <f t="shared" si="8"/>
        <v>2.5465832142858736E-3</v>
      </c>
      <c r="BW14" s="94">
        <f t="shared" si="8"/>
        <v>2.8267073678573194E-2</v>
      </c>
      <c r="BX14" s="94">
        <f t="shared" si="8"/>
        <v>0.78931346726790641</v>
      </c>
      <c r="BY14" s="94">
        <f t="shared" si="56"/>
        <v>1.2172667764286476</v>
      </c>
      <c r="BZ14" s="95">
        <f t="shared" si="9"/>
        <v>2.0373939005894131</v>
      </c>
      <c r="CA14" s="96" t="e">
        <f>#REF!</f>
        <v>#REF!</v>
      </c>
      <c r="CB14" s="94">
        <f t="shared" si="10"/>
        <v>0.13186844529375824</v>
      </c>
      <c r="CC14" s="95">
        <f t="shared" si="10"/>
        <v>0.26047089761519487</v>
      </c>
      <c r="CD14" s="97">
        <f t="shared" si="11"/>
        <v>0.84567226310928789</v>
      </c>
      <c r="CE14" s="98">
        <f t="shared" si="11"/>
        <v>1.6703997151832326</v>
      </c>
      <c r="CF14" s="94" t="str">
        <f t="shared" si="57"/>
        <v>0,00</v>
      </c>
      <c r="CG14" s="94" t="str">
        <f t="shared" si="57"/>
        <v>0,00</v>
      </c>
      <c r="CH14" s="95" t="str">
        <f t="shared" si="58"/>
        <v xml:space="preserve">0,00 </v>
      </c>
      <c r="CI14" s="96" t="e">
        <f>#REF!</f>
        <v>#REF!</v>
      </c>
      <c r="CJ14" s="94">
        <f t="shared" si="59"/>
        <v>0.82418349956695447</v>
      </c>
      <c r="CK14" s="94">
        <f t="shared" si="59"/>
        <v>0.23049199564160588</v>
      </c>
      <c r="CL14" s="95">
        <f t="shared" si="75"/>
        <v>1.4807364568491046</v>
      </c>
      <c r="CM14" s="95" t="e">
        <f>#REF!</f>
        <v>#REF!</v>
      </c>
      <c r="CN14" s="94">
        <f t="shared" si="60"/>
        <v>1.0569068865032991</v>
      </c>
      <c r="CO14" s="94">
        <f t="shared" si="60"/>
        <v>0.25479005299633106</v>
      </c>
      <c r="CP14" s="95">
        <f t="shared" si="61"/>
        <v>2.3308571514849543</v>
      </c>
      <c r="CQ14" s="95" t="e">
        <f>#REF!</f>
        <v>#REF!</v>
      </c>
      <c r="CR14" s="97">
        <f t="shared" si="76"/>
        <v>0.25610672251690303</v>
      </c>
      <c r="CS14" s="95">
        <f t="shared" si="76"/>
        <v>8.5368907505634348E-2</v>
      </c>
      <c r="CT14" s="96" t="e">
        <f>#REF!</f>
        <v>#REF!</v>
      </c>
      <c r="CU14" s="97">
        <f t="shared" si="77"/>
        <v>9.3556590543901266E-2</v>
      </c>
      <c r="CV14" s="95">
        <f t="shared" si="62"/>
        <v>0.17040664706210587</v>
      </c>
      <c r="CW14" s="96" t="e">
        <f>#REF!</f>
        <v>#REF!</v>
      </c>
      <c r="CX14" s="99">
        <f t="shared" si="63"/>
        <v>0.16425461732143881</v>
      </c>
      <c r="CY14" s="95">
        <f t="shared" si="63"/>
        <v>6.366458035714684E-3</v>
      </c>
      <c r="CZ14" s="99">
        <f t="shared" si="63"/>
        <v>8.2763954464290884E-2</v>
      </c>
      <c r="DA14" s="95">
        <f t="shared" si="63"/>
        <v>3.1832290178573419E-2</v>
      </c>
      <c r="DB14" s="94">
        <f t="shared" si="12"/>
        <v>0.44819864571431378</v>
      </c>
      <c r="DC14" s="94">
        <f t="shared" si="13"/>
        <v>0.11714282785715019</v>
      </c>
      <c r="DD14" s="94">
        <f t="shared" si="13"/>
        <v>0.10822978660714963</v>
      </c>
      <c r="DE14" s="94">
        <f t="shared" si="13"/>
        <v>0</v>
      </c>
      <c r="DF14" s="94">
        <f t="shared" si="13"/>
        <v>0</v>
      </c>
      <c r="DG14" s="94">
        <f t="shared" si="13"/>
        <v>0</v>
      </c>
      <c r="DH14" s="95">
        <f t="shared" si="13"/>
        <v>0.67357126017861357</v>
      </c>
      <c r="DI14" s="96" t="e">
        <f>#REF!</f>
        <v>#REF!</v>
      </c>
      <c r="DJ14" s="95">
        <f t="shared" si="64"/>
        <v>0.80255569998210396</v>
      </c>
      <c r="DK14" s="96" t="e">
        <f>#REF!</f>
        <v>#REF!</v>
      </c>
      <c r="DL14" s="95">
        <f t="shared" si="14"/>
        <v>1.730829846795644</v>
      </c>
      <c r="DM14" s="96">
        <f t="shared" si="15"/>
        <v>0</v>
      </c>
      <c r="DN14" s="94">
        <f t="shared" si="16"/>
        <v>4.0117153014190006</v>
      </c>
      <c r="DO14" s="100">
        <v>3.4</v>
      </c>
      <c r="DP14" s="94">
        <f t="shared" si="80"/>
        <v>6.545100848196749</v>
      </c>
      <c r="DQ14" s="94">
        <f t="shared" si="81"/>
        <v>4.1022476595124493</v>
      </c>
      <c r="DR14" s="101">
        <f t="shared" si="17"/>
        <v>0</v>
      </c>
      <c r="DT14" s="142">
        <v>9</v>
      </c>
      <c r="DU14" s="76">
        <v>597210</v>
      </c>
      <c r="DV14" s="76">
        <v>21255</v>
      </c>
      <c r="DW14" s="76">
        <v>5073236</v>
      </c>
      <c r="DX14" s="77">
        <v>95874</v>
      </c>
      <c r="DY14" s="77">
        <v>79129</v>
      </c>
      <c r="DZ14" s="77">
        <v>354669</v>
      </c>
      <c r="EA14" s="77">
        <v>199872</v>
      </c>
      <c r="EB14" s="77">
        <v>45664</v>
      </c>
      <c r="EC14" s="77">
        <v>32071</v>
      </c>
      <c r="ED14" s="76">
        <v>43179</v>
      </c>
      <c r="EE14" s="77">
        <v>35200</v>
      </c>
      <c r="EF14" s="77">
        <v>36917</v>
      </c>
      <c r="EG14" s="76">
        <v>87833</v>
      </c>
      <c r="EH14" s="76">
        <v>172978</v>
      </c>
      <c r="EI14" s="76">
        <v>27148</v>
      </c>
      <c r="EJ14" s="77">
        <v>35304</v>
      </c>
      <c r="EK14" s="77"/>
      <c r="EL14" s="76">
        <v>668145</v>
      </c>
      <c r="EM14" s="77">
        <v>6199</v>
      </c>
      <c r="EN14" s="77">
        <v>37639</v>
      </c>
      <c r="EO14" s="76">
        <v>2776373</v>
      </c>
      <c r="EP14" s="77">
        <v>2075915</v>
      </c>
      <c r="EQ14" s="77">
        <v>139</v>
      </c>
      <c r="ER14" s="77">
        <v>1047</v>
      </c>
      <c r="ES14" s="124">
        <v>239822</v>
      </c>
      <c r="ET14" s="77">
        <v>6919568</v>
      </c>
      <c r="EU14" s="77">
        <v>352182</v>
      </c>
      <c r="EV14" s="77">
        <v>98414</v>
      </c>
      <c r="EW14" s="77">
        <v>46582</v>
      </c>
      <c r="EX14" s="76">
        <v>191592</v>
      </c>
      <c r="EY14" s="76">
        <v>1526089</v>
      </c>
      <c r="EZ14" s="149">
        <v>666698</v>
      </c>
      <c r="FA14" s="149">
        <v>708533</v>
      </c>
      <c r="FB14" s="151">
        <v>29613</v>
      </c>
      <c r="FC14" s="127">
        <v>4510</v>
      </c>
      <c r="FD14" s="104">
        <f t="shared" si="18"/>
        <v>4190.2999999999302</v>
      </c>
      <c r="FE14" s="105">
        <f t="shared" si="19"/>
        <v>353</v>
      </c>
      <c r="FF14" s="287">
        <f t="shared" si="19"/>
        <v>113</v>
      </c>
      <c r="FG14" s="77">
        <v>0</v>
      </c>
      <c r="FH14" s="288">
        <f t="shared" si="20"/>
        <v>1744</v>
      </c>
      <c r="FI14" s="288">
        <f t="shared" si="20"/>
        <v>566</v>
      </c>
      <c r="FJ14" s="288">
        <f t="shared" si="20"/>
        <v>0</v>
      </c>
      <c r="FK14" s="104">
        <f t="shared" si="20"/>
        <v>0</v>
      </c>
      <c r="FL14" s="288">
        <f t="shared" si="20"/>
        <v>1309.2999999999302</v>
      </c>
      <c r="FM14" s="77">
        <v>105</v>
      </c>
      <c r="FN14" s="80">
        <f t="shared" si="82"/>
        <v>950</v>
      </c>
      <c r="FO14" s="189">
        <v>36164</v>
      </c>
      <c r="FP14" s="81"/>
      <c r="FZ14" s="178">
        <f t="shared" si="65"/>
        <v>2.2096748155761845</v>
      </c>
      <c r="GA14" s="220">
        <v>0</v>
      </c>
      <c r="GB14" s="220">
        <v>0</v>
      </c>
      <c r="GC14" s="220">
        <v>25829</v>
      </c>
      <c r="GD14" s="220">
        <v>25829</v>
      </c>
      <c r="GE14" s="116" t="str">
        <f t="shared" si="66"/>
        <v>-</v>
      </c>
      <c r="GF14" s="116" t="str">
        <f t="shared" si="78"/>
        <v>-</v>
      </c>
      <c r="GG14" s="116">
        <f t="shared" si="67"/>
        <v>0.3701266018816059</v>
      </c>
      <c r="GH14" s="116">
        <f t="shared" si="68"/>
        <v>0.61949746409075057</v>
      </c>
      <c r="GI14" s="64"/>
      <c r="GJ14" s="116">
        <f t="shared" si="79"/>
        <v>4.5917379689496308E-2</v>
      </c>
      <c r="GK14" s="289">
        <f t="shared" si="69"/>
        <v>85</v>
      </c>
      <c r="GL14" s="290">
        <f t="shared" si="69"/>
        <v>0</v>
      </c>
      <c r="GM14" s="141">
        <v>0</v>
      </c>
      <c r="GN14" s="141">
        <v>0</v>
      </c>
      <c r="GO14" s="116" t="str">
        <f t="shared" si="70"/>
        <v>-</v>
      </c>
    </row>
    <row r="15" spans="1:212" s="119" customFormat="1" ht="15" customHeight="1">
      <c r="A15" s="119" t="s">
        <v>125</v>
      </c>
      <c r="B15" s="573">
        <v>42745</v>
      </c>
      <c r="D15" s="131">
        <v>0</v>
      </c>
      <c r="E15" s="131">
        <v>0</v>
      </c>
      <c r="F15" s="131">
        <v>1233.7919999999999</v>
      </c>
      <c r="G15" s="131">
        <v>0</v>
      </c>
      <c r="H15" s="131">
        <v>87.41</v>
      </c>
      <c r="I15" s="131">
        <v>586.66</v>
      </c>
      <c r="J15" s="131">
        <v>78</v>
      </c>
      <c r="K15" s="295"/>
      <c r="L15" s="295">
        <v>0</v>
      </c>
      <c r="M15" s="291">
        <f t="shared" si="21"/>
        <v>664.66</v>
      </c>
      <c r="N15" s="213">
        <f t="shared" si="0"/>
        <v>1321.202</v>
      </c>
      <c r="O15" s="88">
        <f t="shared" si="22"/>
        <v>1653.5319999999999</v>
      </c>
      <c r="P15" s="89">
        <f t="shared" si="23"/>
        <v>134268.636</v>
      </c>
      <c r="R15" s="90">
        <f t="shared" si="24"/>
        <v>0</v>
      </c>
      <c r="S15" s="90">
        <f t="shared" si="25"/>
        <v>0.1</v>
      </c>
      <c r="T15" s="90">
        <f t="shared" si="1"/>
        <v>619.9</v>
      </c>
      <c r="U15" s="90"/>
      <c r="V15" s="90">
        <f t="shared" si="26"/>
        <v>1237</v>
      </c>
      <c r="W15" s="91">
        <f t="shared" si="71"/>
        <v>1497.3</v>
      </c>
      <c r="X15" s="90">
        <f t="shared" si="27"/>
        <v>1237</v>
      </c>
      <c r="Y15" s="90" t="str">
        <f t="shared" si="28"/>
        <v>0</v>
      </c>
      <c r="Z15" s="90">
        <f t="shared" si="2"/>
        <v>33</v>
      </c>
      <c r="AA15" s="90">
        <f t="shared" si="29"/>
        <v>1857</v>
      </c>
      <c r="AB15" s="90">
        <f t="shared" si="30"/>
        <v>69</v>
      </c>
      <c r="AC15" s="90">
        <f t="shared" si="30"/>
        <v>23</v>
      </c>
      <c r="AD15" s="90">
        <f t="shared" si="31"/>
        <v>203</v>
      </c>
      <c r="AE15" s="90">
        <f t="shared" si="32"/>
        <v>111</v>
      </c>
      <c r="AF15" s="90">
        <f t="shared" si="33"/>
        <v>21</v>
      </c>
      <c r="AG15" s="90">
        <f t="shared" si="33"/>
        <v>23</v>
      </c>
      <c r="AH15" s="90">
        <f t="shared" si="34"/>
        <v>77</v>
      </c>
      <c r="AI15" s="90">
        <f t="shared" si="35"/>
        <v>33</v>
      </c>
      <c r="AJ15" s="90">
        <f t="shared" si="36"/>
        <v>91</v>
      </c>
      <c r="AK15" s="90">
        <f t="shared" si="36"/>
        <v>27</v>
      </c>
      <c r="AL15" s="90">
        <f>91+27+60</f>
        <v>178</v>
      </c>
      <c r="AM15" s="90">
        <v>60</v>
      </c>
      <c r="AN15" s="90">
        <f t="shared" si="39"/>
        <v>0</v>
      </c>
      <c r="AO15" s="90">
        <f t="shared" si="3"/>
        <v>0</v>
      </c>
      <c r="AP15" s="90">
        <f t="shared" si="40"/>
        <v>0</v>
      </c>
      <c r="AQ15" s="90">
        <f t="shared" si="4"/>
        <v>0</v>
      </c>
      <c r="AR15" s="90">
        <f t="shared" si="41"/>
        <v>63.054000000000002</v>
      </c>
      <c r="AS15" s="90">
        <f t="shared" si="42"/>
        <v>119.05399999999997</v>
      </c>
      <c r="AT15" s="90">
        <f t="shared" si="43"/>
        <v>341.05399999999997</v>
      </c>
      <c r="AU15" s="90">
        <f t="shared" si="44"/>
        <v>107</v>
      </c>
      <c r="AV15" s="90">
        <f t="shared" si="72"/>
        <v>55</v>
      </c>
      <c r="AW15" s="90">
        <f t="shared" si="45"/>
        <v>115</v>
      </c>
      <c r="AX15" s="90">
        <f t="shared" si="73"/>
        <v>32</v>
      </c>
      <c r="AY15" s="90" t="str">
        <f t="shared" si="46"/>
        <v/>
      </c>
      <c r="AZ15" s="90">
        <f t="shared" si="47"/>
        <v>205</v>
      </c>
      <c r="BA15" s="90">
        <v>27</v>
      </c>
      <c r="BB15" s="90">
        <f t="shared" si="48"/>
        <v>62</v>
      </c>
      <c r="BC15" s="90">
        <f t="shared" si="48"/>
        <v>0</v>
      </c>
      <c r="BD15" s="90">
        <f t="shared" si="49"/>
        <v>0</v>
      </c>
      <c r="BE15" s="90"/>
      <c r="BF15" s="90"/>
      <c r="BG15" s="90">
        <f t="shared" si="5"/>
        <v>267</v>
      </c>
      <c r="BH15" s="90">
        <f t="shared" si="50"/>
        <v>-83</v>
      </c>
      <c r="BI15" s="90">
        <f>IF(FC15=0,"",(FC15-BJ15))</f>
        <v>-541.05400000000009</v>
      </c>
      <c r="BJ15" s="90">
        <f t="shared" si="6"/>
        <v>2788.0540000000001</v>
      </c>
      <c r="BK15" s="92"/>
      <c r="BL15" s="93">
        <f t="shared" si="52"/>
        <v>2164</v>
      </c>
      <c r="BM15" s="93">
        <f t="shared" si="53"/>
        <v>56566</v>
      </c>
      <c r="BN15" s="92"/>
      <c r="BO15" s="94">
        <f t="shared" si="54"/>
        <v>0</v>
      </c>
      <c r="BP15" s="94">
        <f t="shared" si="54"/>
        <v>7.5688653211242499E-4</v>
      </c>
      <c r="BQ15" s="94">
        <f t="shared" si="55"/>
        <v>4.6919396125649211</v>
      </c>
      <c r="BR15" s="94">
        <f t="shared" si="74"/>
        <v>9.362686402230695</v>
      </c>
      <c r="BS15" s="94">
        <f t="shared" si="7"/>
        <v>0</v>
      </c>
      <c r="BT15" s="94">
        <f t="shared" si="7"/>
        <v>0.24977255559710021</v>
      </c>
      <c r="BU15" s="95">
        <f t="shared" si="7"/>
        <v>14.05538290132773</v>
      </c>
      <c r="BV15" s="94">
        <f t="shared" si="8"/>
        <v>0</v>
      </c>
      <c r="BW15" s="94">
        <f t="shared" si="8"/>
        <v>6.0476604020968461E-4</v>
      </c>
      <c r="BX15" s="94">
        <f t="shared" si="8"/>
        <v>3.7489446832598339</v>
      </c>
      <c r="BY15" s="94">
        <f t="shared" si="56"/>
        <v>7.4809559173937981</v>
      </c>
      <c r="BZ15" s="95">
        <f t="shared" si="9"/>
        <v>11.230505366693841</v>
      </c>
      <c r="CA15" s="96" t="e">
        <f>#REF!</f>
        <v>#REF!</v>
      </c>
      <c r="CB15" s="94">
        <f t="shared" si="10"/>
        <v>0.38132917899381447</v>
      </c>
      <c r="CC15" s="95">
        <f t="shared" si="10"/>
        <v>0.71999816151123763</v>
      </c>
      <c r="CD15" s="97">
        <f t="shared" si="11"/>
        <v>0.94866548310414345</v>
      </c>
      <c r="CE15" s="98">
        <f t="shared" si="11"/>
        <v>1.7912015165648598</v>
      </c>
      <c r="CF15" s="94" t="str">
        <f t="shared" si="57"/>
        <v>0,00</v>
      </c>
      <c r="CG15" s="94" t="str">
        <f t="shared" si="57"/>
        <v>0,00</v>
      </c>
      <c r="CH15" s="95" t="str">
        <f t="shared" si="58"/>
        <v xml:space="preserve">0,00 </v>
      </c>
      <c r="CI15" s="96" t="e">
        <f>#REF!</f>
        <v>#REF!</v>
      </c>
      <c r="CJ15" s="94" t="str">
        <f t="shared" si="59"/>
        <v>0,00</v>
      </c>
      <c r="CK15" s="94" t="str">
        <f t="shared" si="59"/>
        <v>0,00</v>
      </c>
      <c r="CL15" s="95" t="str">
        <f t="shared" si="75"/>
        <v xml:space="preserve">0,00 </v>
      </c>
      <c r="CM15" s="95" t="e">
        <f>#REF!</f>
        <v>#REF!</v>
      </c>
      <c r="CN15" s="94">
        <f t="shared" si="60"/>
        <v>0.73756354393609291</v>
      </c>
      <c r="CO15" s="94">
        <f t="shared" si="60"/>
        <v>0.21883753501400563</v>
      </c>
      <c r="CP15" s="95">
        <f t="shared" si="61"/>
        <v>1.4427067123145556</v>
      </c>
      <c r="CQ15" s="95" t="e">
        <f>#REF!</f>
        <v>#REF!</v>
      </c>
      <c r="CR15" s="97" t="str">
        <f t="shared" si="76"/>
        <v xml:space="preserve">0,00 </v>
      </c>
      <c r="CS15" s="95" t="str">
        <f t="shared" si="76"/>
        <v xml:space="preserve">0,00 </v>
      </c>
      <c r="CT15" s="96" t="e">
        <f>#REF!</f>
        <v>#REF!</v>
      </c>
      <c r="CU15" s="97">
        <f t="shared" si="77"/>
        <v>0</v>
      </c>
      <c r="CV15" s="95">
        <f t="shared" si="62"/>
        <v>0</v>
      </c>
      <c r="CW15" s="96" t="e">
        <f>#REF!</f>
        <v>#REF!</v>
      </c>
      <c r="CX15" s="99">
        <f t="shared" si="63"/>
        <v>0.64709966302436239</v>
      </c>
      <c r="CY15" s="95">
        <f t="shared" si="63"/>
        <v>0.33262132211532647</v>
      </c>
      <c r="CZ15" s="99">
        <f t="shared" si="63"/>
        <v>0.69548094624113721</v>
      </c>
      <c r="DA15" s="95">
        <f t="shared" si="63"/>
        <v>0.19352513286709905</v>
      </c>
      <c r="DB15" s="94">
        <f t="shared" si="12"/>
        <v>1.2397703824298532</v>
      </c>
      <c r="DC15" s="94">
        <f t="shared" si="13"/>
        <v>0.37495494493000436</v>
      </c>
      <c r="DD15" s="94">
        <f t="shared" si="13"/>
        <v>0</v>
      </c>
      <c r="DE15" s="94">
        <f t="shared" si="13"/>
        <v>0</v>
      </c>
      <c r="DF15" s="94">
        <f t="shared" si="13"/>
        <v>0</v>
      </c>
      <c r="DG15" s="94">
        <f t="shared" si="13"/>
        <v>0</v>
      </c>
      <c r="DH15" s="95">
        <f t="shared" si="13"/>
        <v>1.6147253273598579</v>
      </c>
      <c r="DI15" s="96" t="e">
        <f>#REF!</f>
        <v>#REF!</v>
      </c>
      <c r="DJ15" s="95">
        <f t="shared" si="64"/>
        <v>-0.50195581337403816</v>
      </c>
      <c r="DK15" s="96" t="e">
        <f>#REF!</f>
        <v>#REF!</v>
      </c>
      <c r="DL15" s="95">
        <f t="shared" si="14"/>
        <v>-3.2721108511961066</v>
      </c>
      <c r="DM15" s="96">
        <f t="shared" si="15"/>
        <v>0</v>
      </c>
      <c r="DN15" s="94">
        <f t="shared" si="16"/>
        <v>16.861203774707718</v>
      </c>
      <c r="DO15" s="100">
        <v>3.4</v>
      </c>
      <c r="DP15" s="94">
        <f t="shared" si="80"/>
        <v>13.087137110137572</v>
      </c>
      <c r="DQ15" s="94">
        <f t="shared" si="81"/>
        <v>4.212897493052659</v>
      </c>
      <c r="DR15" s="101">
        <f t="shared" si="17"/>
        <v>0</v>
      </c>
      <c r="DS15" s="147"/>
      <c r="DT15" s="134">
        <v>10</v>
      </c>
      <c r="DU15" s="76">
        <v>597279</v>
      </c>
      <c r="DV15" s="76">
        <v>21278</v>
      </c>
      <c r="DW15" s="76">
        <v>5073439</v>
      </c>
      <c r="DX15" s="77">
        <v>95895</v>
      </c>
      <c r="DY15" s="77">
        <v>79152</v>
      </c>
      <c r="DZ15" s="77">
        <v>354746</v>
      </c>
      <c r="EA15" s="77">
        <v>199963</v>
      </c>
      <c r="EB15" s="77">
        <v>45691</v>
      </c>
      <c r="EC15" s="77">
        <v>352303</v>
      </c>
      <c r="ED15" s="76">
        <v>43179</v>
      </c>
      <c r="EE15" s="77">
        <v>35200</v>
      </c>
      <c r="EF15" s="77">
        <v>36917</v>
      </c>
      <c r="EG15" s="76">
        <v>87833</v>
      </c>
      <c r="EH15" s="76">
        <v>172978</v>
      </c>
      <c r="EI15" s="76">
        <v>27203</v>
      </c>
      <c r="EJ15" s="77">
        <v>35336</v>
      </c>
      <c r="EK15" s="77"/>
      <c r="EL15" s="76">
        <v>668145</v>
      </c>
      <c r="EM15" s="77">
        <v>6199</v>
      </c>
      <c r="EN15" s="77">
        <v>37639</v>
      </c>
      <c r="EO15" s="76">
        <v>2777610</v>
      </c>
      <c r="EP15" s="77">
        <v>2090888</v>
      </c>
      <c r="EQ15" s="77">
        <v>0</v>
      </c>
      <c r="ER15" s="77">
        <v>330</v>
      </c>
      <c r="ES15" s="124">
        <v>240100</v>
      </c>
      <c r="ET15" s="77">
        <v>6982622</v>
      </c>
      <c r="EU15" s="77">
        <v>352297</v>
      </c>
      <c r="EV15" s="77">
        <v>98521</v>
      </c>
      <c r="EW15" s="77">
        <v>46787</v>
      </c>
      <c r="EX15" s="76">
        <v>191654</v>
      </c>
      <c r="EY15" s="76">
        <v>1526089</v>
      </c>
      <c r="EZ15" s="149">
        <v>666699</v>
      </c>
      <c r="FA15" s="150">
        <v>708533</v>
      </c>
      <c r="FB15" s="151">
        <v>29650</v>
      </c>
      <c r="FC15" s="127">
        <v>2247</v>
      </c>
      <c r="FD15" s="104">
        <f t="shared" si="18"/>
        <v>2164</v>
      </c>
      <c r="FE15" s="105">
        <f t="shared" si="19"/>
        <v>233</v>
      </c>
      <c r="FF15" s="287">
        <f t="shared" si="19"/>
        <v>41</v>
      </c>
      <c r="FG15" s="77">
        <v>0</v>
      </c>
      <c r="FH15" s="288">
        <f t="shared" si="20"/>
        <v>760</v>
      </c>
      <c r="FI15" s="288">
        <f t="shared" si="20"/>
        <v>291</v>
      </c>
      <c r="FJ15" s="288">
        <f t="shared" si="20"/>
        <v>0</v>
      </c>
      <c r="FK15" s="104">
        <f t="shared" si="20"/>
        <v>0</v>
      </c>
      <c r="FL15" s="288">
        <f t="shared" si="20"/>
        <v>512</v>
      </c>
      <c r="FM15" s="77">
        <v>327</v>
      </c>
      <c r="FN15" s="80">
        <f t="shared" si="82"/>
        <v>0</v>
      </c>
      <c r="FO15" s="189">
        <v>36164</v>
      </c>
      <c r="FP15" s="81"/>
      <c r="FZ15" s="178">
        <f t="shared" si="65"/>
        <v>14.05538290132773</v>
      </c>
      <c r="GA15" s="220">
        <v>0</v>
      </c>
      <c r="GB15" s="220">
        <v>0</v>
      </c>
      <c r="GC15" s="220">
        <v>2112</v>
      </c>
      <c r="GD15" s="220">
        <v>2112</v>
      </c>
      <c r="GE15" s="116" t="str">
        <f t="shared" si="66"/>
        <v>-</v>
      </c>
      <c r="GF15" s="116" t="str">
        <f t="shared" si="78"/>
        <v>-</v>
      </c>
      <c r="GG15" s="116">
        <f t="shared" si="67"/>
        <v>5.8570075757575752</v>
      </c>
      <c r="GH15" s="116">
        <f t="shared" si="68"/>
        <v>8.7926136363636367</v>
      </c>
      <c r="GI15" s="64"/>
      <c r="GJ15" s="116">
        <f t="shared" si="79"/>
        <v>0.15625</v>
      </c>
      <c r="GK15" s="289">
        <f t="shared" si="69"/>
        <v>0</v>
      </c>
      <c r="GL15" s="290">
        <f t="shared" si="69"/>
        <v>0</v>
      </c>
      <c r="GM15" s="119">
        <v>0</v>
      </c>
      <c r="GN15" s="119">
        <v>0</v>
      </c>
      <c r="GO15" s="116" t="str">
        <f t="shared" si="70"/>
        <v>-</v>
      </c>
    </row>
    <row r="16" spans="1:212" s="141" customFormat="1" ht="15" customHeight="1">
      <c r="A16" s="141">
        <v>0</v>
      </c>
      <c r="B16" s="573">
        <v>42746</v>
      </c>
      <c r="D16" s="131">
        <v>6650.16</v>
      </c>
      <c r="E16" s="131">
        <v>2182.8000000000002</v>
      </c>
      <c r="F16" s="131">
        <v>3052.4399999999996</v>
      </c>
      <c r="G16" s="131">
        <v>0</v>
      </c>
      <c r="H16" s="131">
        <v>0</v>
      </c>
      <c r="I16" s="131">
        <v>1753.354</v>
      </c>
      <c r="J16" s="131">
        <v>3424.2</v>
      </c>
      <c r="K16" s="295">
        <v>0</v>
      </c>
      <c r="L16" s="295">
        <v>0</v>
      </c>
      <c r="M16" s="291">
        <f t="shared" si="21"/>
        <v>5177.5540000000001</v>
      </c>
      <c r="N16" s="213">
        <f t="shared" si="0"/>
        <v>11885.399999999998</v>
      </c>
      <c r="O16" s="88">
        <f t="shared" si="22"/>
        <v>14474.176999999998</v>
      </c>
      <c r="P16" s="89">
        <f t="shared" si="23"/>
        <v>148742.81299999999</v>
      </c>
      <c r="Q16" s="152"/>
      <c r="R16" s="90">
        <f t="shared" si="24"/>
        <v>0</v>
      </c>
      <c r="S16" s="90">
        <f t="shared" si="25"/>
        <v>144.6</v>
      </c>
      <c r="T16" s="90">
        <v>0</v>
      </c>
      <c r="U16" s="90"/>
      <c r="V16" s="90">
        <f t="shared" si="26"/>
        <v>100</v>
      </c>
      <c r="W16" s="91">
        <f t="shared" si="71"/>
        <v>1058.9000000000001</v>
      </c>
      <c r="X16" s="90">
        <f t="shared" si="27"/>
        <v>100</v>
      </c>
      <c r="Y16" s="90" t="str">
        <f t="shared" si="28"/>
        <v>0</v>
      </c>
      <c r="Z16" s="90">
        <f t="shared" si="2"/>
        <v>83</v>
      </c>
      <c r="AA16" s="90">
        <f t="shared" si="29"/>
        <v>244.6</v>
      </c>
      <c r="AB16" s="90">
        <f t="shared" si="30"/>
        <v>275</v>
      </c>
      <c r="AC16" s="90">
        <f t="shared" si="30"/>
        <v>28</v>
      </c>
      <c r="AD16" s="90">
        <f t="shared" si="31"/>
        <v>473</v>
      </c>
      <c r="AE16" s="90">
        <f t="shared" si="32"/>
        <v>170</v>
      </c>
      <c r="AF16" s="90">
        <f t="shared" si="33"/>
        <v>101</v>
      </c>
      <c r="AG16" s="90">
        <f t="shared" si="33"/>
        <v>9</v>
      </c>
      <c r="AH16" s="90">
        <f t="shared" si="34"/>
        <v>206</v>
      </c>
      <c r="AI16" s="90">
        <f t="shared" si="35"/>
        <v>96</v>
      </c>
      <c r="AJ16" s="90">
        <f t="shared" si="36"/>
        <v>233</v>
      </c>
      <c r="AK16" s="90">
        <f t="shared" si="36"/>
        <v>11</v>
      </c>
      <c r="AL16" s="90">
        <f t="shared" si="37"/>
        <v>352</v>
      </c>
      <c r="AM16" s="90">
        <f t="shared" si="38"/>
        <v>108</v>
      </c>
      <c r="AN16" s="90">
        <f t="shared" si="39"/>
        <v>0</v>
      </c>
      <c r="AO16" s="90">
        <f t="shared" si="3"/>
        <v>0</v>
      </c>
      <c r="AP16" s="90">
        <f t="shared" si="40"/>
        <v>0</v>
      </c>
      <c r="AQ16" s="90">
        <f t="shared" si="4"/>
        <v>6</v>
      </c>
      <c r="AR16" s="90">
        <f t="shared" si="41"/>
        <v>60.932000000000002</v>
      </c>
      <c r="AS16" s="90">
        <f t="shared" si="42"/>
        <v>100.93200000000002</v>
      </c>
      <c r="AT16" s="90">
        <f t="shared" si="43"/>
        <v>599.93200000000002</v>
      </c>
      <c r="AU16" s="90">
        <f t="shared" si="44"/>
        <v>276</v>
      </c>
      <c r="AV16" s="90">
        <f t="shared" si="72"/>
        <v>8</v>
      </c>
      <c r="AW16" s="90">
        <f t="shared" si="45"/>
        <v>223</v>
      </c>
      <c r="AX16" s="90">
        <f t="shared" si="73"/>
        <v>65</v>
      </c>
      <c r="AY16" s="90" t="str">
        <f t="shared" si="46"/>
        <v/>
      </c>
      <c r="AZ16" s="90">
        <f t="shared" si="47"/>
        <v>309</v>
      </c>
      <c r="BA16" s="90">
        <v>42</v>
      </c>
      <c r="BB16" s="90">
        <f t="shared" si="48"/>
        <v>78</v>
      </c>
      <c r="BC16" s="90">
        <f t="shared" si="48"/>
        <v>0</v>
      </c>
      <c r="BD16" s="90">
        <f t="shared" si="49"/>
        <v>0</v>
      </c>
      <c r="BE16" s="90"/>
      <c r="BF16" s="90"/>
      <c r="BG16" s="90">
        <f t="shared" si="5"/>
        <v>387</v>
      </c>
      <c r="BH16" s="90">
        <f t="shared" si="50"/>
        <v>1452</v>
      </c>
      <c r="BI16" s="90">
        <f t="shared" si="51"/>
        <v>1990.4680000000001</v>
      </c>
      <c r="BJ16" s="90">
        <f t="shared" si="6"/>
        <v>1842.5319999999999</v>
      </c>
      <c r="BK16" s="92"/>
      <c r="BL16" s="93">
        <f t="shared" si="52"/>
        <v>5285</v>
      </c>
      <c r="BM16" s="93">
        <f t="shared" si="53"/>
        <v>61851</v>
      </c>
      <c r="BN16" s="92"/>
      <c r="BO16" s="94">
        <f t="shared" si="54"/>
        <v>0</v>
      </c>
      <c r="BP16" s="94">
        <f t="shared" si="54"/>
        <v>0.12166187086677774</v>
      </c>
      <c r="BQ16" s="94">
        <f t="shared" si="55"/>
        <v>0</v>
      </c>
      <c r="BR16" s="94">
        <f t="shared" si="74"/>
        <v>8.4136840156831094E-2</v>
      </c>
      <c r="BS16" s="94">
        <f t="shared" si="7"/>
        <v>0</v>
      </c>
      <c r="BT16" s="94">
        <f t="shared" si="7"/>
        <v>6.9833577330169802E-2</v>
      </c>
      <c r="BU16" s="95">
        <f t="shared" si="7"/>
        <v>0.20579871102360883</v>
      </c>
      <c r="BV16" s="94">
        <f t="shared" si="8"/>
        <v>0</v>
      </c>
      <c r="BW16" s="94">
        <f t="shared" si="8"/>
        <v>9.9902053153004836E-2</v>
      </c>
      <c r="BX16" s="94">
        <f t="shared" si="8"/>
        <v>0</v>
      </c>
      <c r="BY16" s="94">
        <f t="shared" si="56"/>
        <v>6.9088556813972926E-2</v>
      </c>
      <c r="BZ16" s="95">
        <f t="shared" si="9"/>
        <v>0.16899060996697776</v>
      </c>
      <c r="CA16" s="96" t="e">
        <f>#REF!</f>
        <v>#REF!</v>
      </c>
      <c r="CB16" s="94">
        <f t="shared" si="10"/>
        <v>4.2097039437889977E-2</v>
      </c>
      <c r="CC16" s="95">
        <f t="shared" si="10"/>
        <v>6.9732462163479156E-2</v>
      </c>
      <c r="CD16" s="97">
        <f t="shared" si="11"/>
        <v>0.11768491453686433</v>
      </c>
      <c r="CE16" s="98">
        <f t="shared" si="11"/>
        <v>0.19494147236320475</v>
      </c>
      <c r="CF16" s="94">
        <f t="shared" si="57"/>
        <v>0.41352388513960564</v>
      </c>
      <c r="CG16" s="94">
        <f t="shared" si="57"/>
        <v>4.2104250123305299E-2</v>
      </c>
      <c r="CH16" s="95">
        <f t="shared" si="58"/>
        <v>0.71126108244012176</v>
      </c>
      <c r="CI16" s="96" t="e">
        <f>#REF!</f>
        <v>#REF!</v>
      </c>
      <c r="CJ16" s="94">
        <f t="shared" si="59"/>
        <v>0.46270844786512733</v>
      </c>
      <c r="CK16" s="94">
        <f t="shared" si="59"/>
        <v>4.1231445849367783E-2</v>
      </c>
      <c r="CL16" s="95">
        <f t="shared" si="75"/>
        <v>0.94374198277441812</v>
      </c>
      <c r="CM16" s="95" t="e">
        <f>#REF!</f>
        <v>#REF!</v>
      </c>
      <c r="CN16" s="94">
        <f t="shared" si="60"/>
        <v>0.76332376721573569</v>
      </c>
      <c r="CO16" s="94">
        <f t="shared" si="60"/>
        <v>3.6036744374991811E-2</v>
      </c>
      <c r="CP16" s="95">
        <f t="shared" si="61"/>
        <v>1.1531758199997379</v>
      </c>
      <c r="CQ16" s="95" t="e">
        <f>#REF!</f>
        <v>#REF!</v>
      </c>
      <c r="CR16" s="97" t="str">
        <f t="shared" si="76"/>
        <v xml:space="preserve">0,00 </v>
      </c>
      <c r="CS16" s="95" t="str">
        <f t="shared" si="76"/>
        <v xml:space="preserve">0,00 </v>
      </c>
      <c r="CT16" s="96" t="e">
        <f>#REF!</f>
        <v>#REF!</v>
      </c>
      <c r="CU16" s="97" t="str">
        <f t="shared" si="77"/>
        <v xml:space="preserve">0,00 </v>
      </c>
      <c r="CV16" s="95" t="str">
        <f t="shared" si="62"/>
        <v xml:space="preserve">0,00 </v>
      </c>
      <c r="CW16" s="96" t="e">
        <f>#REF!</f>
        <v>#REF!</v>
      </c>
      <c r="CX16" s="99">
        <f t="shared" si="63"/>
        <v>0.19068441680656525</v>
      </c>
      <c r="CY16" s="95">
        <f t="shared" si="63"/>
        <v>5.5270845451178344E-3</v>
      </c>
      <c r="CZ16" s="99">
        <f t="shared" si="63"/>
        <v>0.1540674816951596</v>
      </c>
      <c r="DA16" s="95">
        <f t="shared" si="63"/>
        <v>4.49075619290824E-2</v>
      </c>
      <c r="DB16" s="94">
        <f t="shared" si="12"/>
        <v>0.21348364055517632</v>
      </c>
      <c r="DC16" s="94">
        <f t="shared" si="13"/>
        <v>5.388907431489888E-2</v>
      </c>
      <c r="DD16" s="94">
        <f t="shared" si="13"/>
        <v>0</v>
      </c>
      <c r="DE16" s="94">
        <f t="shared" si="13"/>
        <v>0</v>
      </c>
      <c r="DF16" s="94">
        <f t="shared" si="13"/>
        <v>0</v>
      </c>
      <c r="DG16" s="94">
        <f t="shared" si="13"/>
        <v>0</v>
      </c>
      <c r="DH16" s="95">
        <f t="shared" si="13"/>
        <v>0.26737271487007519</v>
      </c>
      <c r="DI16" s="96" t="e">
        <f>#REF!</f>
        <v>#REF!</v>
      </c>
      <c r="DJ16" s="95">
        <f t="shared" si="64"/>
        <v>1.0031658449388867</v>
      </c>
      <c r="DK16" s="96" t="e">
        <f>#REF!</f>
        <v>#REF!</v>
      </c>
      <c r="DL16" s="95">
        <f t="shared" si="14"/>
        <v>1.3751856150439505</v>
      </c>
      <c r="DM16" s="96">
        <f t="shared" si="15"/>
        <v>0</v>
      </c>
      <c r="DN16" s="94">
        <f t="shared" si="16"/>
        <v>1.2729787676356317</v>
      </c>
      <c r="DO16" s="100">
        <v>3.4</v>
      </c>
      <c r="DP16" s="94">
        <f>IF($O16&lt;&gt;0,IF($O16&lt;&gt;0,BL16/$O16*10,0)," ")</f>
        <v>3.6513302276184687</v>
      </c>
      <c r="DQ16" s="94">
        <f>IF($P16&lt;&gt;0,IF($P16&lt;&gt;0,BM16/$P16*10,0)," ")</f>
        <v>4.1582513300995592</v>
      </c>
      <c r="DR16" s="101"/>
      <c r="DS16" s="153"/>
      <c r="DT16" s="142">
        <v>11</v>
      </c>
      <c r="DU16" s="76">
        <v>597554</v>
      </c>
      <c r="DV16" s="76">
        <v>21306</v>
      </c>
      <c r="DW16" s="77">
        <v>5073912</v>
      </c>
      <c r="DX16" s="77">
        <v>95996</v>
      </c>
      <c r="DY16" s="77">
        <v>79161</v>
      </c>
      <c r="DZ16" s="77">
        <v>354952</v>
      </c>
      <c r="EA16" s="77">
        <v>200196</v>
      </c>
      <c r="EB16" s="77">
        <v>45702</v>
      </c>
      <c r="EC16" s="77">
        <v>352655</v>
      </c>
      <c r="ED16" s="77">
        <v>43179</v>
      </c>
      <c r="EE16" s="77">
        <v>35200</v>
      </c>
      <c r="EF16" s="77">
        <v>36917</v>
      </c>
      <c r="EG16" s="77">
        <v>87833</v>
      </c>
      <c r="EH16" s="76">
        <v>172984</v>
      </c>
      <c r="EI16" s="76">
        <v>27211</v>
      </c>
      <c r="EJ16" s="77">
        <v>35401</v>
      </c>
      <c r="EK16" s="77"/>
      <c r="EL16" s="76">
        <v>668145</v>
      </c>
      <c r="EM16" s="76">
        <v>0</v>
      </c>
      <c r="EN16" s="77">
        <v>37639</v>
      </c>
      <c r="EO16" s="76">
        <v>2777710</v>
      </c>
      <c r="EP16" s="77">
        <v>2101477</v>
      </c>
      <c r="EQ16" s="77">
        <v>0</v>
      </c>
      <c r="ER16" s="77">
        <v>830</v>
      </c>
      <c r="ES16" s="77">
        <v>240639</v>
      </c>
      <c r="ET16" s="77">
        <v>7043554</v>
      </c>
      <c r="EU16" s="77">
        <v>352520</v>
      </c>
      <c r="EV16" s="77">
        <v>98797</v>
      </c>
      <c r="EW16" s="77">
        <v>47096</v>
      </c>
      <c r="EX16" s="77">
        <v>191732</v>
      </c>
      <c r="EY16" s="76">
        <v>1526089</v>
      </c>
      <c r="EZ16" s="149">
        <v>668145</v>
      </c>
      <c r="FA16" s="149">
        <v>708533</v>
      </c>
      <c r="FB16" s="151">
        <v>29452</v>
      </c>
      <c r="FC16" s="127">
        <v>3833</v>
      </c>
      <c r="FD16" s="104">
        <f t="shared" si="18"/>
        <v>4685</v>
      </c>
      <c r="FE16" s="105">
        <f t="shared" si="19"/>
        <v>429</v>
      </c>
      <c r="FF16" s="287">
        <f t="shared" si="19"/>
        <v>0</v>
      </c>
      <c r="FG16" s="77">
        <v>0</v>
      </c>
      <c r="FH16" s="288">
        <f t="shared" si="20"/>
        <v>2103</v>
      </c>
      <c r="FI16" s="288">
        <f t="shared" si="20"/>
        <v>462</v>
      </c>
      <c r="FJ16" s="288">
        <f t="shared" si="20"/>
        <v>0</v>
      </c>
      <c r="FK16" s="104">
        <f t="shared" si="20"/>
        <v>166</v>
      </c>
      <c r="FL16" s="288">
        <f t="shared" si="20"/>
        <v>1525</v>
      </c>
      <c r="FM16" s="77">
        <v>0</v>
      </c>
      <c r="FN16" s="80">
        <f t="shared" si="82"/>
        <v>600</v>
      </c>
      <c r="FO16" s="77">
        <v>36764</v>
      </c>
      <c r="FP16" s="81"/>
      <c r="FZ16" s="178">
        <f t="shared" si="65"/>
        <v>0.20579871102360883</v>
      </c>
      <c r="GA16" s="220">
        <v>0</v>
      </c>
      <c r="GB16" s="220">
        <v>0</v>
      </c>
      <c r="GC16" s="220">
        <v>15429</v>
      </c>
      <c r="GD16" s="220">
        <v>15429</v>
      </c>
      <c r="GE16" s="116" t="str">
        <f>IFERROR(SUM(R16:S16)/GA16/0.1,"-")</f>
        <v>-</v>
      </c>
      <c r="GF16" s="116" t="str">
        <f t="shared" si="78"/>
        <v>-</v>
      </c>
      <c r="GG16" s="116">
        <f t="shared" si="67"/>
        <v>6.4813014453302217E-2</v>
      </c>
      <c r="GH16" s="116">
        <f t="shared" si="68"/>
        <v>0.15853263335277723</v>
      </c>
      <c r="GI16" s="64"/>
      <c r="GJ16" s="116">
        <f t="shared" si="79"/>
        <v>5.3794801996240843E-2</v>
      </c>
      <c r="GK16" s="289">
        <f t="shared" si="69"/>
        <v>0</v>
      </c>
      <c r="GL16" s="290">
        <f t="shared" si="69"/>
        <v>0</v>
      </c>
      <c r="GM16" s="141">
        <v>0</v>
      </c>
      <c r="GN16" s="141">
        <v>0</v>
      </c>
      <c r="GO16" s="116" t="str">
        <f t="shared" si="70"/>
        <v>-</v>
      </c>
    </row>
    <row r="17" spans="1:197" s="119" customFormat="1" ht="15" customHeight="1">
      <c r="A17" s="119" t="s">
        <v>126</v>
      </c>
      <c r="B17" s="573">
        <v>42747</v>
      </c>
      <c r="D17" s="131">
        <v>6321.72</v>
      </c>
      <c r="E17" s="131">
        <v>0</v>
      </c>
      <c r="F17" s="131">
        <v>2751.192</v>
      </c>
      <c r="G17" s="131">
        <v>0</v>
      </c>
      <c r="H17" s="131">
        <v>1479.3240000000001</v>
      </c>
      <c r="I17" s="131">
        <v>2106.6080000000002</v>
      </c>
      <c r="J17" s="131">
        <v>5129.76</v>
      </c>
      <c r="K17" s="295">
        <v>22</v>
      </c>
      <c r="L17" s="295">
        <v>0</v>
      </c>
      <c r="M17" s="291">
        <f t="shared" si="21"/>
        <v>7236.3680000000004</v>
      </c>
      <c r="N17" s="213">
        <f t="shared" si="0"/>
        <v>10552.236000000001</v>
      </c>
      <c r="O17" s="88">
        <f t="shared" si="22"/>
        <v>14170.420000000002</v>
      </c>
      <c r="P17" s="89">
        <f t="shared" si="23"/>
        <v>162913.23300000001</v>
      </c>
      <c r="Q17" s="155"/>
      <c r="R17" s="90">
        <f t="shared" si="24"/>
        <v>1</v>
      </c>
      <c r="S17" s="90">
        <f t="shared" si="25"/>
        <v>0</v>
      </c>
      <c r="T17" s="90">
        <v>0</v>
      </c>
      <c r="U17" s="90"/>
      <c r="V17" s="90">
        <f t="shared" si="26"/>
        <v>709</v>
      </c>
      <c r="W17" s="91">
        <f t="shared" si="71"/>
        <v>2052.8000000000002</v>
      </c>
      <c r="X17" s="90">
        <f t="shared" si="27"/>
        <v>709</v>
      </c>
      <c r="Y17" s="90">
        <f t="shared" si="28"/>
        <v>160.1</v>
      </c>
      <c r="Z17" s="90">
        <f t="shared" si="2"/>
        <v>57.8</v>
      </c>
      <c r="AA17" s="90">
        <f t="shared" si="29"/>
        <v>710</v>
      </c>
      <c r="AB17" s="90">
        <f t="shared" si="30"/>
        <v>251</v>
      </c>
      <c r="AC17" s="90">
        <f t="shared" si="30"/>
        <v>111</v>
      </c>
      <c r="AD17" s="90">
        <f t="shared" si="31"/>
        <v>627</v>
      </c>
      <c r="AE17" s="90">
        <f t="shared" si="32"/>
        <v>265</v>
      </c>
      <c r="AF17" s="90">
        <f t="shared" si="33"/>
        <v>0</v>
      </c>
      <c r="AG17" s="90">
        <f t="shared" si="33"/>
        <v>22</v>
      </c>
      <c r="AH17" s="90">
        <f t="shared" si="34"/>
        <v>66</v>
      </c>
      <c r="AI17" s="90">
        <f t="shared" si="35"/>
        <v>44</v>
      </c>
      <c r="AJ17" s="90">
        <f t="shared" si="36"/>
        <v>238</v>
      </c>
      <c r="AK17" s="90">
        <f t="shared" si="36"/>
        <v>23</v>
      </c>
      <c r="AL17" s="90">
        <f t="shared" si="37"/>
        <v>379</v>
      </c>
      <c r="AM17" s="90">
        <f t="shared" si="38"/>
        <v>118</v>
      </c>
      <c r="AN17" s="90">
        <f t="shared" si="39"/>
        <v>0</v>
      </c>
      <c r="AO17" s="90">
        <f t="shared" si="3"/>
        <v>0</v>
      </c>
      <c r="AP17" s="90">
        <f t="shared" si="40"/>
        <v>31</v>
      </c>
      <c r="AQ17" s="90">
        <f t="shared" si="4"/>
        <v>72</v>
      </c>
      <c r="AR17" s="90">
        <f t="shared" si="41"/>
        <v>104.94799999999999</v>
      </c>
      <c r="AS17" s="90">
        <f t="shared" si="42"/>
        <v>130.94799999999998</v>
      </c>
      <c r="AT17" s="90">
        <f t="shared" si="43"/>
        <v>958.94799999999998</v>
      </c>
      <c r="AU17" s="90">
        <f t="shared" si="44"/>
        <v>309</v>
      </c>
      <c r="AV17" s="90">
        <f t="shared" si="72"/>
        <v>11</v>
      </c>
      <c r="AW17" s="90">
        <f t="shared" si="45"/>
        <v>519</v>
      </c>
      <c r="AX17" s="90">
        <f t="shared" si="73"/>
        <v>6</v>
      </c>
      <c r="AY17" s="90" t="str">
        <f t="shared" si="46"/>
        <v/>
      </c>
      <c r="AZ17" s="90">
        <f t="shared" si="47"/>
        <v>333</v>
      </c>
      <c r="BA17" s="90">
        <v>42</v>
      </c>
      <c r="BB17" s="90">
        <f t="shared" si="48"/>
        <v>83</v>
      </c>
      <c r="BC17" s="90">
        <f t="shared" si="48"/>
        <v>0</v>
      </c>
      <c r="BD17" s="90">
        <f t="shared" si="49"/>
        <v>0</v>
      </c>
      <c r="BE17" s="90"/>
      <c r="BF17" s="90"/>
      <c r="BG17" s="90">
        <f t="shared" si="5"/>
        <v>416</v>
      </c>
      <c r="BH17" s="90">
        <f t="shared" si="50"/>
        <v>-357</v>
      </c>
      <c r="BI17" s="90">
        <f t="shared" si="51"/>
        <v>1918.0520000000001</v>
      </c>
      <c r="BJ17" s="90">
        <f t="shared" si="6"/>
        <v>2417.9479999999999</v>
      </c>
      <c r="BK17" s="92"/>
      <c r="BL17" s="93">
        <f t="shared" si="52"/>
        <v>3979</v>
      </c>
      <c r="BM17" s="93">
        <f t="shared" si="53"/>
        <v>65830</v>
      </c>
      <c r="BN17" s="92"/>
      <c r="BO17" s="94">
        <f t="shared" si="54"/>
        <v>9.4766644718711742E-4</v>
      </c>
      <c r="BP17" s="94">
        <f t="shared" si="54"/>
        <v>0</v>
      </c>
      <c r="BQ17" s="94">
        <f t="shared" si="55"/>
        <v>0</v>
      </c>
      <c r="BR17" s="94">
        <f t="shared" si="74"/>
        <v>0.67189551105566625</v>
      </c>
      <c r="BS17" s="94">
        <f t="shared" si="7"/>
        <v>0.15172139819465749</v>
      </c>
      <c r="BT17" s="94">
        <f t="shared" si="7"/>
        <v>5.4775120647415389E-2</v>
      </c>
      <c r="BU17" s="95">
        <f t="shared" si="7"/>
        <v>0.67284317750285338</v>
      </c>
      <c r="BV17" s="94">
        <f t="shared" si="8"/>
        <v>7.0569538517559801E-4</v>
      </c>
      <c r="BW17" s="94">
        <f t="shared" si="8"/>
        <v>0</v>
      </c>
      <c r="BX17" s="94">
        <f t="shared" si="8"/>
        <v>0</v>
      </c>
      <c r="BY17" s="94">
        <f t="shared" si="56"/>
        <v>0.50033802808949901</v>
      </c>
      <c r="BZ17" s="95">
        <f t="shared" si="9"/>
        <v>0.50104372347467463</v>
      </c>
      <c r="CA17" s="96" t="e">
        <f>#REF!</f>
        <v>#REF!</v>
      </c>
      <c r="CB17" s="94">
        <f t="shared" si="10"/>
        <v>7.4061319283408672E-2</v>
      </c>
      <c r="CC17" s="95">
        <f t="shared" si="10"/>
        <v>9.2409399297974204E-2</v>
      </c>
      <c r="CD17" s="97">
        <f t="shared" si="11"/>
        <v>0.14502855576167492</v>
      </c>
      <c r="CE17" s="98">
        <f t="shared" si="11"/>
        <v>0.18095818233677444</v>
      </c>
      <c r="CF17" s="94">
        <f t="shared" si="57"/>
        <v>0.39704384249856051</v>
      </c>
      <c r="CG17" s="94">
        <f t="shared" si="57"/>
        <v>0.17558512556709249</v>
      </c>
      <c r="CH17" s="95">
        <f t="shared" si="58"/>
        <v>0.99181868225736036</v>
      </c>
      <c r="CI17" s="96" t="e">
        <f>#REF!</f>
        <v>#REF!</v>
      </c>
      <c r="CJ17" s="94" t="str">
        <f t="shared" si="59"/>
        <v>0,00</v>
      </c>
      <c r="CK17" s="94" t="str">
        <f t="shared" si="59"/>
        <v>0,00</v>
      </c>
      <c r="CL17" s="95" t="str">
        <f t="shared" si="75"/>
        <v xml:space="preserve">0,00 </v>
      </c>
      <c r="CM17" s="95" t="e">
        <f>#REF!</f>
        <v>#REF!</v>
      </c>
      <c r="CN17" s="94">
        <f t="shared" si="60"/>
        <v>0.86507957278154346</v>
      </c>
      <c r="CO17" s="94">
        <f t="shared" si="60"/>
        <v>8.3600126781409656E-2</v>
      </c>
      <c r="CP17" s="95">
        <f t="shared" si="61"/>
        <v>1.3775846978327939</v>
      </c>
      <c r="CQ17" s="95" t="e">
        <f>#REF!</f>
        <v>#REF!</v>
      </c>
      <c r="CR17" s="97" t="str">
        <f t="shared" si="76"/>
        <v xml:space="preserve">0,00 </v>
      </c>
      <c r="CS17" s="95" t="str">
        <f t="shared" si="76"/>
        <v xml:space="preserve">0,00 </v>
      </c>
      <c r="CT17" s="96" t="e">
        <f>#REF!</f>
        <v>#REF!</v>
      </c>
      <c r="CU17" s="97">
        <f t="shared" si="77"/>
        <v>0.20955517520164615</v>
      </c>
      <c r="CV17" s="95">
        <f t="shared" si="62"/>
        <v>0.48670879401672651</v>
      </c>
      <c r="CW17" s="96" t="e">
        <f>#REF!</f>
        <v>#REF!</v>
      </c>
      <c r="CX17" s="99">
        <f t="shared" si="63"/>
        <v>0.2180598740192598</v>
      </c>
      <c r="CY17" s="95">
        <f t="shared" si="63"/>
        <v>7.7626492369315793E-3</v>
      </c>
      <c r="CZ17" s="99">
        <f t="shared" si="63"/>
        <v>0.36625590490613541</v>
      </c>
      <c r="DA17" s="95">
        <f t="shared" si="63"/>
        <v>4.2341723110535887E-3</v>
      </c>
      <c r="DB17" s="94">
        <f t="shared" si="12"/>
        <v>0.23499656326347415</v>
      </c>
      <c r="DC17" s="94">
        <f t="shared" si="13"/>
        <v>5.857271696957464E-2</v>
      </c>
      <c r="DD17" s="94">
        <f t="shared" si="13"/>
        <v>0</v>
      </c>
      <c r="DE17" s="94">
        <f t="shared" si="13"/>
        <v>0</v>
      </c>
      <c r="DF17" s="94">
        <f t="shared" si="13"/>
        <v>0</v>
      </c>
      <c r="DG17" s="94">
        <f t="shared" si="13"/>
        <v>0</v>
      </c>
      <c r="DH17" s="95">
        <f t="shared" si="13"/>
        <v>0.29356928023304879</v>
      </c>
      <c r="DI17" s="96" t="e">
        <f>#REF!</f>
        <v>#REF!</v>
      </c>
      <c r="DJ17" s="95">
        <f t="shared" si="64"/>
        <v>-0.2519332525076885</v>
      </c>
      <c r="DK17" s="96" t="e">
        <f>#REF!</f>
        <v>#REF!</v>
      </c>
      <c r="DL17" s="95">
        <f t="shared" si="14"/>
        <v>1.3535604449268264</v>
      </c>
      <c r="DM17" s="96">
        <f t="shared" si="15"/>
        <v>0</v>
      </c>
      <c r="DN17" s="94">
        <f t="shared" si="16"/>
        <v>1.706334745194567</v>
      </c>
      <c r="DO17" s="100">
        <v>3.4</v>
      </c>
      <c r="DP17" s="94">
        <f>IF($O17&lt;&gt;0,IF($O17&lt;&gt;0,BL17/$O17*10,0)," ")</f>
        <v>2.8079619376137051</v>
      </c>
      <c r="DQ17" s="94">
        <f>IF($P17&lt;&gt;0,IF($P17&lt;&gt;0,BM17/$P17*10,0)," ")</f>
        <v>4.040801277327791</v>
      </c>
      <c r="DR17" s="101">
        <f t="shared" si="17"/>
        <v>0</v>
      </c>
      <c r="DS17" s="147"/>
      <c r="DT17" s="134">
        <v>12</v>
      </c>
      <c r="DU17" s="76">
        <v>597805</v>
      </c>
      <c r="DV17" s="76">
        <v>21417</v>
      </c>
      <c r="DW17" s="76">
        <v>5074539</v>
      </c>
      <c r="DX17" s="77">
        <v>95996</v>
      </c>
      <c r="DY17" s="76">
        <v>79183</v>
      </c>
      <c r="DZ17" s="76">
        <v>355018</v>
      </c>
      <c r="EA17" s="77">
        <v>200434</v>
      </c>
      <c r="EB17" s="77">
        <v>45725</v>
      </c>
      <c r="EC17" s="77">
        <v>353034</v>
      </c>
      <c r="ED17" s="76">
        <v>43179</v>
      </c>
      <c r="EE17" s="77">
        <v>35200</v>
      </c>
      <c r="EF17" s="77">
        <v>36917</v>
      </c>
      <c r="EG17" s="76">
        <v>87864</v>
      </c>
      <c r="EH17" s="76">
        <v>173056</v>
      </c>
      <c r="EI17" s="76">
        <v>27222</v>
      </c>
      <c r="EJ17" s="77">
        <v>35407</v>
      </c>
      <c r="EK17" s="77"/>
      <c r="EL17" s="120">
        <v>668146</v>
      </c>
      <c r="EM17" s="120">
        <v>0</v>
      </c>
      <c r="EN17" s="77">
        <v>37369</v>
      </c>
      <c r="EO17" s="76">
        <v>2778419</v>
      </c>
      <c r="EP17" s="77">
        <v>2122005</v>
      </c>
      <c r="EQ17" s="77">
        <v>1601</v>
      </c>
      <c r="ER17" s="77">
        <v>578</v>
      </c>
      <c r="ES17" s="77">
        <v>241493</v>
      </c>
      <c r="ET17" s="77">
        <v>7148502</v>
      </c>
      <c r="EU17" s="77">
        <v>353039</v>
      </c>
      <c r="EV17" s="77">
        <v>99106</v>
      </c>
      <c r="EW17" s="77">
        <v>47429</v>
      </c>
      <c r="EX17" s="77">
        <v>191815</v>
      </c>
      <c r="EY17" s="77">
        <v>1526089</v>
      </c>
      <c r="EZ17" s="77">
        <v>668145</v>
      </c>
      <c r="FA17" s="77">
        <v>708533</v>
      </c>
      <c r="FB17" s="77">
        <v>29461</v>
      </c>
      <c r="FC17" s="77">
        <v>4336</v>
      </c>
      <c r="FD17" s="104">
        <f t="shared" si="18"/>
        <v>3979</v>
      </c>
      <c r="FE17" s="105">
        <f t="shared" si="19"/>
        <v>370</v>
      </c>
      <c r="FF17" s="287">
        <f t="shared" si="19"/>
        <v>0</v>
      </c>
      <c r="FG17" s="77">
        <v>0</v>
      </c>
      <c r="FH17" s="288">
        <f t="shared" si="20"/>
        <v>1593</v>
      </c>
      <c r="FI17" s="288">
        <f t="shared" si="20"/>
        <v>0</v>
      </c>
      <c r="FJ17" s="77">
        <v>0</v>
      </c>
      <c r="FK17" s="104">
        <f t="shared" si="20"/>
        <v>517</v>
      </c>
      <c r="FL17" s="288">
        <f t="shared" si="20"/>
        <v>1499</v>
      </c>
      <c r="FM17" s="77">
        <v>0</v>
      </c>
      <c r="FN17" s="80">
        <f t="shared" si="82"/>
        <v>0</v>
      </c>
      <c r="FO17" s="77">
        <v>36764</v>
      </c>
      <c r="FP17" s="81"/>
      <c r="FZ17" s="178">
        <f t="shared" si="65"/>
        <v>0.67284317750285338</v>
      </c>
      <c r="GA17" s="220">
        <v>0</v>
      </c>
      <c r="GB17" s="220">
        <v>0</v>
      </c>
      <c r="GC17" s="220">
        <v>25845</v>
      </c>
      <c r="GD17" s="220">
        <v>25845</v>
      </c>
      <c r="GE17" s="116" t="str">
        <f t="shared" si="66"/>
        <v>-</v>
      </c>
      <c r="GF17" s="116" t="str">
        <f t="shared" si="78"/>
        <v>-</v>
      </c>
      <c r="GG17" s="116">
        <f t="shared" si="67"/>
        <v>0.27432772296382274</v>
      </c>
      <c r="GH17" s="116">
        <f t="shared" si="68"/>
        <v>0.2747146449990327</v>
      </c>
      <c r="GI17" s="64"/>
      <c r="GJ17" s="116">
        <f t="shared" si="79"/>
        <v>8.4310311472238331E-2</v>
      </c>
      <c r="GK17" s="289">
        <f t="shared" si="69"/>
        <v>0</v>
      </c>
      <c r="GL17" s="290">
        <f t="shared" si="69"/>
        <v>0</v>
      </c>
      <c r="GM17" s="119">
        <v>0</v>
      </c>
      <c r="GN17" s="119">
        <v>0</v>
      </c>
      <c r="GO17" s="116" t="str">
        <f t="shared" si="70"/>
        <v>-</v>
      </c>
    </row>
    <row r="18" spans="1:197" s="119" customFormat="1" ht="15" customHeight="1">
      <c r="B18" s="573">
        <v>42748</v>
      </c>
      <c r="D18" s="131">
        <v>5612.76</v>
      </c>
      <c r="E18" s="131">
        <v>0</v>
      </c>
      <c r="F18" s="131">
        <v>3164.8319999999999</v>
      </c>
      <c r="G18" s="131">
        <v>0</v>
      </c>
      <c r="H18" s="131">
        <v>6071.076</v>
      </c>
      <c r="I18" s="131">
        <v>2053.6239999999998</v>
      </c>
      <c r="J18" s="131">
        <v>3385.44</v>
      </c>
      <c r="K18" s="295"/>
      <c r="L18" s="297">
        <v>32</v>
      </c>
      <c r="M18" s="291">
        <f t="shared" si="21"/>
        <v>5439.0640000000003</v>
      </c>
      <c r="N18" s="213">
        <f t="shared" si="0"/>
        <v>14848.668000000001</v>
      </c>
      <c r="O18" s="88">
        <f t="shared" si="22"/>
        <v>17600.2</v>
      </c>
      <c r="P18" s="89">
        <f t="shared" si="23"/>
        <v>180513.43300000002</v>
      </c>
      <c r="R18" s="90">
        <f t="shared" si="24"/>
        <v>17</v>
      </c>
      <c r="S18" s="90">
        <f t="shared" si="25"/>
        <v>16.399999999999999</v>
      </c>
      <c r="T18" s="90">
        <v>0</v>
      </c>
      <c r="U18" s="90"/>
      <c r="V18" s="90">
        <f t="shared" si="26"/>
        <v>1427</v>
      </c>
      <c r="W18" s="91">
        <f t="shared" si="71"/>
        <v>1567.2</v>
      </c>
      <c r="X18" s="90">
        <f t="shared" si="27"/>
        <v>1427</v>
      </c>
      <c r="Y18" s="90">
        <f t="shared" si="28"/>
        <v>131.6</v>
      </c>
      <c r="Z18" s="90">
        <f t="shared" si="2"/>
        <v>136.4</v>
      </c>
      <c r="AA18" s="90">
        <f t="shared" si="29"/>
        <v>1460.4</v>
      </c>
      <c r="AB18" s="90">
        <f t="shared" si="30"/>
        <v>284</v>
      </c>
      <c r="AC18" s="90">
        <f t="shared" si="30"/>
        <v>34</v>
      </c>
      <c r="AD18" s="90">
        <f t="shared" si="31"/>
        <v>496</v>
      </c>
      <c r="AE18" s="90">
        <f t="shared" si="32"/>
        <v>178</v>
      </c>
      <c r="AF18" s="90">
        <f t="shared" si="33"/>
        <v>171</v>
      </c>
      <c r="AG18" s="90">
        <f t="shared" si="33"/>
        <v>22</v>
      </c>
      <c r="AH18" s="90">
        <f t="shared" si="34"/>
        <v>204</v>
      </c>
      <c r="AI18" s="90">
        <f t="shared" si="35"/>
        <v>11</v>
      </c>
      <c r="AJ18" s="90">
        <f t="shared" si="36"/>
        <v>274</v>
      </c>
      <c r="AK18" s="90">
        <f t="shared" si="36"/>
        <v>25</v>
      </c>
      <c r="AL18" s="90">
        <f t="shared" si="37"/>
        <v>360</v>
      </c>
      <c r="AM18" s="90">
        <f t="shared" si="38"/>
        <v>61</v>
      </c>
      <c r="AN18" s="90">
        <f t="shared" si="39"/>
        <v>0</v>
      </c>
      <c r="AO18" s="90">
        <f t="shared" si="3"/>
        <v>0</v>
      </c>
      <c r="AP18" s="90">
        <f t="shared" si="40"/>
        <v>16</v>
      </c>
      <c r="AQ18" s="90">
        <f>IF(AP18=0.1,0,(IF(AP18&gt;=(EH18-EH17),(AP18),(EH18-EH17))))</f>
        <v>25</v>
      </c>
      <c r="AR18" s="90">
        <f t="shared" si="41"/>
        <v>43.368000000000002</v>
      </c>
      <c r="AS18" s="90">
        <f t="shared" si="42"/>
        <v>125.36800000000005</v>
      </c>
      <c r="AT18" s="90">
        <f t="shared" si="43"/>
        <v>630.36800000000005</v>
      </c>
      <c r="AU18" s="90">
        <f t="shared" si="44"/>
        <v>254</v>
      </c>
      <c r="AV18" s="90">
        <f t="shared" si="72"/>
        <v>36</v>
      </c>
      <c r="AW18" s="90">
        <f t="shared" si="45"/>
        <v>251</v>
      </c>
      <c r="AX18" s="90">
        <f t="shared" si="73"/>
        <v>32</v>
      </c>
      <c r="AY18" s="90" t="str">
        <f t="shared" si="46"/>
        <v/>
      </c>
      <c r="AZ18" s="90">
        <f t="shared" si="47"/>
        <v>326</v>
      </c>
      <c r="BA18" s="90">
        <v>28</v>
      </c>
      <c r="BB18" s="90">
        <f t="shared" si="48"/>
        <v>102</v>
      </c>
      <c r="BC18" s="90">
        <f t="shared" si="48"/>
        <v>0</v>
      </c>
      <c r="BD18" s="90">
        <f t="shared" si="49"/>
        <v>0</v>
      </c>
      <c r="BE18" s="90"/>
      <c r="BF18" s="90"/>
      <c r="BG18" s="90">
        <f t="shared" si="5"/>
        <v>428</v>
      </c>
      <c r="BH18" s="90">
        <f t="shared" si="50"/>
        <v>91</v>
      </c>
      <c r="BI18" s="90">
        <f t="shared" si="51"/>
        <v>1396.232</v>
      </c>
      <c r="BJ18" s="90">
        <f t="shared" si="6"/>
        <v>3166.768</v>
      </c>
      <c r="BK18" s="92"/>
      <c r="BL18" s="93">
        <f t="shared" si="52"/>
        <v>4654</v>
      </c>
      <c r="BM18" s="93">
        <f t="shared" si="53"/>
        <v>70484</v>
      </c>
      <c r="BN18" s="92"/>
      <c r="BO18" s="94">
        <f t="shared" si="54"/>
        <v>1.1448838373920137E-2</v>
      </c>
      <c r="BP18" s="94">
        <f t="shared" si="54"/>
        <v>1.1044761725428837E-2</v>
      </c>
      <c r="BQ18" s="94">
        <f t="shared" si="55"/>
        <v>0</v>
      </c>
      <c r="BR18" s="94">
        <f t="shared" si="74"/>
        <v>0.96102896232847279</v>
      </c>
      <c r="BS18" s="94">
        <f t="shared" si="7"/>
        <v>8.8627478235758242E-2</v>
      </c>
      <c r="BT18" s="94">
        <f t="shared" si="7"/>
        <v>9.1860091423688631E-2</v>
      </c>
      <c r="BU18" s="95">
        <f t="shared" si="7"/>
        <v>0.98352256242782188</v>
      </c>
      <c r="BV18" s="94">
        <f t="shared" si="8"/>
        <v>9.6589811479414998E-3</v>
      </c>
      <c r="BW18" s="94">
        <f t="shared" si="8"/>
        <v>9.3180759309553288E-3</v>
      </c>
      <c r="BX18" s="94">
        <f t="shared" si="8"/>
        <v>0</v>
      </c>
      <c r="BY18" s="94">
        <f t="shared" si="56"/>
        <v>0.81078624106544228</v>
      </c>
      <c r="BZ18" s="95">
        <f t="shared" si="9"/>
        <v>0.82976329814433925</v>
      </c>
      <c r="CA18" s="96" t="e">
        <f>#REF!</f>
        <v>#REF!</v>
      </c>
      <c r="CB18" s="94">
        <f t="shared" si="10"/>
        <v>2.4640629083760409E-2</v>
      </c>
      <c r="CC18" s="95">
        <f t="shared" si="10"/>
        <v>7.1231008738537091E-2</v>
      </c>
      <c r="CD18" s="97">
        <f t="shared" si="11"/>
        <v>7.9734307226390425E-2</v>
      </c>
      <c r="CE18" s="98">
        <f t="shared" si="11"/>
        <v>0.23049554114457937</v>
      </c>
      <c r="CF18" s="94">
        <f t="shared" si="57"/>
        <v>0.50598992296125256</v>
      </c>
      <c r="CG18" s="94">
        <f t="shared" si="57"/>
        <v>6.0576258382685169E-2</v>
      </c>
      <c r="CH18" s="95">
        <f t="shared" si="58"/>
        <v>0.88370071052387766</v>
      </c>
      <c r="CI18" s="96" t="e">
        <f>#REF!</f>
        <v>#REF!</v>
      </c>
      <c r="CJ18" s="94" t="str">
        <f t="shared" si="59"/>
        <v>0,00</v>
      </c>
      <c r="CK18" s="94" t="str">
        <f t="shared" si="59"/>
        <v>0,00</v>
      </c>
      <c r="CL18" s="95" t="str">
        <f t="shared" si="75"/>
        <v xml:space="preserve">0,00 </v>
      </c>
      <c r="CM18" s="95" t="e">
        <f>#REF!</f>
        <v>#REF!</v>
      </c>
      <c r="CN18" s="94">
        <f t="shared" si="60"/>
        <v>0.86576475465364355</v>
      </c>
      <c r="CO18" s="94">
        <f t="shared" si="60"/>
        <v>7.89931345486901E-2</v>
      </c>
      <c r="CP18" s="95">
        <f t="shared" si="61"/>
        <v>1.1375011375011375</v>
      </c>
      <c r="CQ18" s="95" t="e">
        <f>#REF!</f>
        <v>#REF!</v>
      </c>
      <c r="CR18" s="97" t="str">
        <f t="shared" si="76"/>
        <v xml:space="preserve">0,00 </v>
      </c>
      <c r="CS18" s="95" t="str">
        <f t="shared" si="76"/>
        <v xml:space="preserve">0,00 </v>
      </c>
      <c r="CT18" s="96" t="e">
        <f>#REF!</f>
        <v>#REF!</v>
      </c>
      <c r="CU18" s="97">
        <f t="shared" si="77"/>
        <v>2.6354471596138806E-2</v>
      </c>
      <c r="CV18" s="95">
        <f t="shared" si="62"/>
        <v>4.1178861868966882E-2</v>
      </c>
      <c r="CW18" s="96" t="e">
        <f>#REF!</f>
        <v>#REF!</v>
      </c>
      <c r="CX18" s="99">
        <f t="shared" si="63"/>
        <v>0.14431654185747889</v>
      </c>
      <c r="CY18" s="95">
        <f t="shared" si="63"/>
        <v>2.0454313019170233E-2</v>
      </c>
      <c r="CZ18" s="99">
        <f t="shared" si="63"/>
        <v>0.14261201577254803</v>
      </c>
      <c r="DA18" s="95">
        <f t="shared" si="63"/>
        <v>1.8181611572595763E-2</v>
      </c>
      <c r="DB18" s="94">
        <f t="shared" si="12"/>
        <v>0.18522516789581939</v>
      </c>
      <c r="DC18" s="94">
        <f t="shared" si="13"/>
        <v>5.7953886887649006E-2</v>
      </c>
      <c r="DD18" s="94">
        <f t="shared" si="13"/>
        <v>0</v>
      </c>
      <c r="DE18" s="94">
        <f t="shared" si="13"/>
        <v>0</v>
      </c>
      <c r="DF18" s="94">
        <f t="shared" si="13"/>
        <v>0</v>
      </c>
      <c r="DG18" s="94">
        <f t="shared" si="13"/>
        <v>0</v>
      </c>
      <c r="DH18" s="95">
        <f t="shared" si="13"/>
        <v>0.24317905478346835</v>
      </c>
      <c r="DI18" s="96" t="e">
        <f>#REF!</f>
        <v>#REF!</v>
      </c>
      <c r="DJ18" s="95">
        <f t="shared" si="64"/>
        <v>5.1703957909569206E-2</v>
      </c>
      <c r="DK18" s="96" t="e">
        <f>#REF!</f>
        <v>#REF!</v>
      </c>
      <c r="DL18" s="95">
        <f t="shared" si="14"/>
        <v>0.79330462153839154</v>
      </c>
      <c r="DM18" s="96">
        <f t="shared" si="15"/>
        <v>0</v>
      </c>
      <c r="DN18" s="94">
        <f t="shared" si="16"/>
        <v>1.7992795536414357</v>
      </c>
      <c r="DO18" s="100">
        <v>3.4</v>
      </c>
      <c r="DP18" s="94">
        <f>IF($O18&lt;&gt;0,IF($O18&lt;&gt;0,BL18/$O18*10,0)," ")</f>
        <v>2.6442881330893964</v>
      </c>
      <c r="DQ18" s="94">
        <f t="shared" si="81"/>
        <v>3.9046401604915459</v>
      </c>
      <c r="DR18" s="101">
        <f t="shared" si="17"/>
        <v>0</v>
      </c>
      <c r="DS18" s="147"/>
      <c r="DT18" s="134">
        <v>13</v>
      </c>
      <c r="DU18" s="76">
        <v>598089</v>
      </c>
      <c r="DV18" s="76">
        <v>21451</v>
      </c>
      <c r="DW18" s="76">
        <v>5075035</v>
      </c>
      <c r="DX18" s="298">
        <v>96167</v>
      </c>
      <c r="DY18" s="76">
        <v>79205</v>
      </c>
      <c r="DZ18" s="76">
        <v>355222</v>
      </c>
      <c r="EA18" s="77">
        <v>200708</v>
      </c>
      <c r="EB18" s="77">
        <v>45750</v>
      </c>
      <c r="EC18" s="77">
        <v>353394</v>
      </c>
      <c r="ED18" s="77">
        <v>43179</v>
      </c>
      <c r="EE18" s="77">
        <v>35200</v>
      </c>
      <c r="EF18" s="77">
        <v>36917</v>
      </c>
      <c r="EG18" s="76">
        <v>87880</v>
      </c>
      <c r="EH18" s="76">
        <v>173081</v>
      </c>
      <c r="EI18" s="76">
        <v>27258</v>
      </c>
      <c r="EJ18" s="77">
        <v>35439</v>
      </c>
      <c r="EK18" s="77"/>
      <c r="EL18" s="76">
        <v>668163</v>
      </c>
      <c r="EM18" s="77">
        <v>0</v>
      </c>
      <c r="EN18" s="77">
        <v>37640</v>
      </c>
      <c r="EO18" s="76">
        <v>2779846</v>
      </c>
      <c r="EP18" s="77">
        <v>2137677</v>
      </c>
      <c r="EQ18" s="77">
        <v>1316</v>
      </c>
      <c r="ER18" s="77">
        <v>1364</v>
      </c>
      <c r="ES18" s="77">
        <v>242080</v>
      </c>
      <c r="ET18" s="77">
        <v>7191870</v>
      </c>
      <c r="EU18" s="77">
        <v>353290</v>
      </c>
      <c r="EV18" s="77">
        <v>99360</v>
      </c>
      <c r="EW18" s="77">
        <v>47755</v>
      </c>
      <c r="EX18" s="77">
        <v>191917</v>
      </c>
      <c r="EY18" s="77">
        <v>1526089</v>
      </c>
      <c r="EZ18" s="77">
        <v>668309</v>
      </c>
      <c r="FA18" s="151">
        <v>708533</v>
      </c>
      <c r="FB18" s="77">
        <v>29494</v>
      </c>
      <c r="FC18" s="77">
        <v>4563</v>
      </c>
      <c r="FD18" s="104">
        <f t="shared" si="18"/>
        <v>4148</v>
      </c>
      <c r="FE18" s="105">
        <f t="shared" si="19"/>
        <v>245</v>
      </c>
      <c r="FF18" s="287">
        <f t="shared" si="19"/>
        <v>0</v>
      </c>
      <c r="FG18" s="77">
        <v>1360</v>
      </c>
      <c r="FH18" s="288">
        <f t="shared" si="20"/>
        <v>1077</v>
      </c>
      <c r="FI18" s="288">
        <f t="shared" si="20"/>
        <v>0</v>
      </c>
      <c r="FJ18" s="77">
        <v>0</v>
      </c>
      <c r="FK18" s="104">
        <f t="shared" si="20"/>
        <v>474</v>
      </c>
      <c r="FL18" s="288">
        <f t="shared" si="20"/>
        <v>992</v>
      </c>
      <c r="FM18" s="77">
        <v>0</v>
      </c>
      <c r="FN18" s="80">
        <f t="shared" si="82"/>
        <v>506</v>
      </c>
      <c r="FO18" s="77">
        <v>37270</v>
      </c>
      <c r="FP18" s="81"/>
      <c r="FZ18" s="178">
        <f t="shared" si="65"/>
        <v>0.98352256242782188</v>
      </c>
      <c r="GA18" s="220">
        <v>0</v>
      </c>
      <c r="GB18" s="220">
        <v>0</v>
      </c>
      <c r="GC18" s="220">
        <v>61393</v>
      </c>
      <c r="GD18" s="220">
        <v>61393</v>
      </c>
      <c r="GE18" s="116" t="str">
        <f t="shared" si="66"/>
        <v>-</v>
      </c>
      <c r="GF18" s="116" t="str">
        <f t="shared" si="78"/>
        <v>-</v>
      </c>
      <c r="GG18" s="116">
        <f t="shared" si="67"/>
        <v>0.23243692277621228</v>
      </c>
      <c r="GH18" s="116">
        <f t="shared" si="68"/>
        <v>0.23787728242633524</v>
      </c>
      <c r="GI18" s="64"/>
      <c r="GJ18" s="116">
        <f t="shared" si="79"/>
        <v>4.3653185216555632E-2</v>
      </c>
      <c r="GK18" s="289">
        <f t="shared" si="69"/>
        <v>0</v>
      </c>
      <c r="GL18" s="290">
        <f t="shared" si="69"/>
        <v>0</v>
      </c>
      <c r="GM18" s="119">
        <v>0</v>
      </c>
      <c r="GN18" s="119">
        <v>0</v>
      </c>
      <c r="GO18" s="116" t="str">
        <f t="shared" si="70"/>
        <v>-</v>
      </c>
    </row>
    <row r="19" spans="1:197" s="119" customFormat="1" ht="15" customHeight="1">
      <c r="B19" s="573">
        <v>42749</v>
      </c>
      <c r="D19" s="131">
        <v>5874.96</v>
      </c>
      <c r="E19" s="131">
        <v>386.28</v>
      </c>
      <c r="F19" s="131">
        <v>3048.192</v>
      </c>
      <c r="G19" s="131">
        <v>0</v>
      </c>
      <c r="H19" s="131">
        <v>7303.6260000000002</v>
      </c>
      <c r="I19" s="131">
        <v>1990.7149999999999</v>
      </c>
      <c r="J19" s="131">
        <v>2606.88</v>
      </c>
      <c r="K19" s="295"/>
      <c r="L19" s="295"/>
      <c r="M19" s="291">
        <f t="shared" si="21"/>
        <v>4597.5950000000003</v>
      </c>
      <c r="N19" s="213">
        <f t="shared" si="0"/>
        <v>16613.058000000001</v>
      </c>
      <c r="O19" s="88">
        <f t="shared" si="22"/>
        <v>18911.855500000001</v>
      </c>
      <c r="P19" s="89">
        <f t="shared" si="23"/>
        <v>199425.28850000002</v>
      </c>
      <c r="R19" s="90">
        <f t="shared" si="24"/>
        <v>132</v>
      </c>
      <c r="S19" s="90">
        <f t="shared" si="25"/>
        <v>3.8</v>
      </c>
      <c r="T19" s="90">
        <f t="shared" si="1"/>
        <v>736.1</v>
      </c>
      <c r="U19" s="90"/>
      <c r="V19" s="90">
        <f t="shared" si="26"/>
        <v>1262</v>
      </c>
      <c r="W19" s="91">
        <f t="shared" si="71"/>
        <v>2139.8000000000002</v>
      </c>
      <c r="X19" s="90">
        <f t="shared" si="27"/>
        <v>1262</v>
      </c>
      <c r="Y19" s="90" t="str">
        <f t="shared" si="28"/>
        <v>0</v>
      </c>
      <c r="Z19" s="90">
        <f t="shared" si="2"/>
        <v>138.6</v>
      </c>
      <c r="AA19" s="90">
        <f t="shared" si="29"/>
        <v>2133.9</v>
      </c>
      <c r="AB19" s="90">
        <f t="shared" si="30"/>
        <v>283</v>
      </c>
      <c r="AC19" s="90">
        <f t="shared" si="30"/>
        <v>30</v>
      </c>
      <c r="AD19" s="90">
        <f t="shared" si="31"/>
        <v>504</v>
      </c>
      <c r="AE19" s="90">
        <f t="shared" si="32"/>
        <v>191</v>
      </c>
      <c r="AF19" s="90">
        <f t="shared" si="33"/>
        <v>23</v>
      </c>
      <c r="AG19" s="90">
        <f t="shared" si="33"/>
        <v>10</v>
      </c>
      <c r="AH19" s="90">
        <f t="shared" si="34"/>
        <v>79</v>
      </c>
      <c r="AI19" s="90">
        <f t="shared" si="35"/>
        <v>46</v>
      </c>
      <c r="AJ19" s="90">
        <f t="shared" si="36"/>
        <v>211</v>
      </c>
      <c r="AK19" s="90">
        <f t="shared" si="36"/>
        <v>16</v>
      </c>
      <c r="AL19" s="90">
        <f t="shared" si="37"/>
        <v>323</v>
      </c>
      <c r="AM19" s="90">
        <f t="shared" si="38"/>
        <v>96</v>
      </c>
      <c r="AN19" s="90">
        <f t="shared" si="39"/>
        <v>0</v>
      </c>
      <c r="AO19" s="90">
        <f t="shared" si="3"/>
        <v>0</v>
      </c>
      <c r="AP19" s="90">
        <f t="shared" si="40"/>
        <v>10</v>
      </c>
      <c r="AQ19" s="90">
        <f t="shared" si="4"/>
        <v>22</v>
      </c>
      <c r="AR19" s="90">
        <f t="shared" si="41"/>
        <v>42.530999999999999</v>
      </c>
      <c r="AS19" s="90">
        <f t="shared" si="42"/>
        <v>42.530999999999949</v>
      </c>
      <c r="AT19" s="90">
        <f t="shared" si="43"/>
        <v>587.53099999999995</v>
      </c>
      <c r="AU19" s="90">
        <f t="shared" si="44"/>
        <v>276</v>
      </c>
      <c r="AV19" s="90">
        <f t="shared" si="72"/>
        <v>25</v>
      </c>
      <c r="AW19" s="90">
        <f t="shared" si="45"/>
        <v>269</v>
      </c>
      <c r="AX19" s="90">
        <f t="shared" si="73"/>
        <v>2</v>
      </c>
      <c r="AY19" s="90" t="str">
        <f t="shared" si="46"/>
        <v/>
      </c>
      <c r="AZ19" s="90">
        <f t="shared" si="47"/>
        <v>309</v>
      </c>
      <c r="BA19" s="90">
        <v>31</v>
      </c>
      <c r="BB19" s="90">
        <f t="shared" si="48"/>
        <v>67</v>
      </c>
      <c r="BC19" s="90">
        <f t="shared" si="48"/>
        <v>344</v>
      </c>
      <c r="BD19" s="90">
        <f t="shared" si="49"/>
        <v>0</v>
      </c>
      <c r="BE19" s="90"/>
      <c r="BF19" s="90"/>
      <c r="BG19" s="90">
        <f t="shared" si="5"/>
        <v>720</v>
      </c>
      <c r="BH19" s="90">
        <f t="shared" si="50"/>
        <v>-337</v>
      </c>
      <c r="BI19" s="90">
        <f t="shared" si="51"/>
        <v>1179.569</v>
      </c>
      <c r="BJ19" s="90">
        <f t="shared" si="6"/>
        <v>3851.431</v>
      </c>
      <c r="BK19" s="92"/>
      <c r="BL19" s="93">
        <f t="shared" si="52"/>
        <v>4694</v>
      </c>
      <c r="BM19" s="93">
        <f t="shared" si="53"/>
        <v>75178</v>
      </c>
      <c r="BN19" s="92"/>
      <c r="BO19" s="94">
        <f t="shared" si="54"/>
        <v>7.9455570431404013E-2</v>
      </c>
      <c r="BP19" s="94">
        <f t="shared" si="54"/>
        <v>2.2873573306010247E-3</v>
      </c>
      <c r="BQ19" s="94">
        <f t="shared" si="55"/>
        <v>0.44308519238300376</v>
      </c>
      <c r="BR19" s="94">
        <f t="shared" si="74"/>
        <v>0.759643408215393</v>
      </c>
      <c r="BS19" s="94">
        <f t="shared" si="7"/>
        <v>0</v>
      </c>
      <c r="BT19" s="94">
        <f t="shared" si="7"/>
        <v>8.3428348952974213E-2</v>
      </c>
      <c r="BU19" s="95">
        <f t="shared" si="7"/>
        <v>1.284471528360402</v>
      </c>
      <c r="BV19" s="94">
        <f t="shared" si="8"/>
        <v>6.9797487612994924E-2</v>
      </c>
      <c r="BW19" s="94">
        <f t="shared" si="8"/>
        <v>2.0093216131013688E-3</v>
      </c>
      <c r="BX19" s="94">
        <f t="shared" si="8"/>
        <v>0.38922674721155731</v>
      </c>
      <c r="BY19" s="94">
        <f t="shared" si="56"/>
        <v>0.66730628308787565</v>
      </c>
      <c r="BZ19" s="95">
        <f t="shared" si="9"/>
        <v>1.1283398395255293</v>
      </c>
      <c r="CA19" s="96" t="e">
        <f>#REF!</f>
        <v>#REF!</v>
      </c>
      <c r="CB19" s="94">
        <f t="shared" si="10"/>
        <v>2.2489067770214297E-2</v>
      </c>
      <c r="CC19" s="95">
        <f t="shared" si="10"/>
        <v>2.2489067770214269E-2</v>
      </c>
      <c r="CD19" s="97">
        <f t="shared" si="11"/>
        <v>9.2507060756765222E-2</v>
      </c>
      <c r="CE19" s="98">
        <f t="shared" si="11"/>
        <v>9.2507060756765111E-2</v>
      </c>
      <c r="CF19" s="94">
        <f t="shared" si="57"/>
        <v>0.48170540735596501</v>
      </c>
      <c r="CG19" s="94">
        <f t="shared" si="57"/>
        <v>5.1064177458229505E-2</v>
      </c>
      <c r="CH19" s="95">
        <f t="shared" si="58"/>
        <v>0.85787818129825566</v>
      </c>
      <c r="CI19" s="96" t="e">
        <f>#REF!</f>
        <v>#REF!</v>
      </c>
      <c r="CJ19" s="94">
        <f t="shared" si="59"/>
        <v>0.59542300921611269</v>
      </c>
      <c r="CK19" s="94">
        <f t="shared" si="59"/>
        <v>0.25887956922439681</v>
      </c>
      <c r="CL19" s="95">
        <f t="shared" si="75"/>
        <v>2.045148596872735</v>
      </c>
      <c r="CM19" s="95" t="e">
        <f>#REF!</f>
        <v>#REF!</v>
      </c>
      <c r="CN19" s="94">
        <f t="shared" si="60"/>
        <v>0.69221361384059787</v>
      </c>
      <c r="CO19" s="94">
        <f t="shared" si="60"/>
        <v>5.2490131855211224E-2</v>
      </c>
      <c r="CP19" s="95">
        <f t="shared" si="61"/>
        <v>1.0596445368270766</v>
      </c>
      <c r="CQ19" s="95" t="e">
        <f>#REF!</f>
        <v>#REF!</v>
      </c>
      <c r="CR19" s="97" t="str">
        <f t="shared" si="76"/>
        <v xml:space="preserve">0,00 </v>
      </c>
      <c r="CS19" s="95" t="str">
        <f t="shared" si="76"/>
        <v xml:space="preserve">0,00 </v>
      </c>
      <c r="CT19" s="96" t="e">
        <f>#REF!</f>
        <v>#REF!</v>
      </c>
      <c r="CU19" s="97">
        <f t="shared" si="77"/>
        <v>1.3691829236601106E-2</v>
      </c>
      <c r="CV19" s="95">
        <f t="shared" si="62"/>
        <v>3.0122024320522436E-2</v>
      </c>
      <c r="CW19" s="96" t="e">
        <f>#REF!</f>
        <v>#REF!</v>
      </c>
      <c r="CX19" s="99">
        <f t="shared" si="63"/>
        <v>0.14594020137262576</v>
      </c>
      <c r="CY19" s="95">
        <f t="shared" si="63"/>
        <v>1.3219221138824795E-2</v>
      </c>
      <c r="CZ19" s="99">
        <f t="shared" si="63"/>
        <v>0.1422388194537548</v>
      </c>
      <c r="DA19" s="95">
        <f t="shared" si="63"/>
        <v>1.0575376911059837E-3</v>
      </c>
      <c r="DB19" s="94">
        <f t="shared" si="12"/>
        <v>0.16338957327587447</v>
      </c>
      <c r="DC19" s="94">
        <f t="shared" si="13"/>
        <v>3.542751265205045E-2</v>
      </c>
      <c r="DD19" s="94">
        <f t="shared" si="13"/>
        <v>0.18189648287022919</v>
      </c>
      <c r="DE19" s="94">
        <f t="shared" si="13"/>
        <v>0</v>
      </c>
      <c r="DF19" s="94">
        <f t="shared" si="13"/>
        <v>0</v>
      </c>
      <c r="DG19" s="94">
        <f t="shared" si="13"/>
        <v>0</v>
      </c>
      <c r="DH19" s="95">
        <f t="shared" si="13"/>
        <v>0.38071356879815416</v>
      </c>
      <c r="DI19" s="96" t="e">
        <f>#REF!</f>
        <v>#REF!</v>
      </c>
      <c r="DJ19" s="95">
        <f t="shared" si="64"/>
        <v>-0.17819510095135827</v>
      </c>
      <c r="DK19" s="96" t="e">
        <f>#REF!</f>
        <v>#REF!</v>
      </c>
      <c r="DL19" s="95">
        <f t="shared" si="14"/>
        <v>0.62371933838009697</v>
      </c>
      <c r="DM19" s="96">
        <f t="shared" si="15"/>
        <v>0</v>
      </c>
      <c r="DN19" s="94">
        <f t="shared" si="16"/>
        <v>2.0365167235970052</v>
      </c>
      <c r="DO19" s="100">
        <v>3.4</v>
      </c>
      <c r="DP19" s="94">
        <f>IF($O19&lt;&gt;0,IF($O19&lt;&gt;0,BL19/$O19*10,0)," ")</f>
        <v>2.4820409610257439</v>
      </c>
      <c r="DQ19" s="94">
        <f t="shared" si="81"/>
        <v>3.7697325432225708</v>
      </c>
      <c r="DR19" s="101">
        <f t="shared" si="17"/>
        <v>0</v>
      </c>
      <c r="DS19" s="147"/>
      <c r="DT19" s="103">
        <v>14</v>
      </c>
      <c r="DU19" s="76">
        <v>598372</v>
      </c>
      <c r="DV19" s="76">
        <v>21481</v>
      </c>
      <c r="DW19" s="76">
        <v>5075539</v>
      </c>
      <c r="DX19" s="298">
        <v>96190</v>
      </c>
      <c r="DY19" s="76">
        <v>79215</v>
      </c>
      <c r="DZ19" s="76">
        <v>355301</v>
      </c>
      <c r="EA19" s="76">
        <v>200919</v>
      </c>
      <c r="EB19" s="77">
        <v>45766</v>
      </c>
      <c r="EC19" s="76">
        <v>353717</v>
      </c>
      <c r="ED19" s="76">
        <v>43179</v>
      </c>
      <c r="EE19" s="77">
        <v>35200</v>
      </c>
      <c r="EF19" s="77">
        <v>36917</v>
      </c>
      <c r="EG19" s="76">
        <v>87890</v>
      </c>
      <c r="EH19" s="76">
        <v>173103</v>
      </c>
      <c r="EI19" s="76">
        <v>27283</v>
      </c>
      <c r="EJ19" s="77">
        <v>35441</v>
      </c>
      <c r="EK19" s="77"/>
      <c r="EL19" s="76">
        <v>668295</v>
      </c>
      <c r="EM19" s="77">
        <v>7361</v>
      </c>
      <c r="EN19" s="77">
        <v>37656</v>
      </c>
      <c r="EO19" s="76">
        <v>2781108</v>
      </c>
      <c r="EP19" s="77">
        <v>2159075</v>
      </c>
      <c r="EQ19" s="77">
        <v>0</v>
      </c>
      <c r="ER19" s="77">
        <v>1386</v>
      </c>
      <c r="ES19" s="77">
        <v>242625</v>
      </c>
      <c r="ET19" s="77">
        <v>7234401</v>
      </c>
      <c r="EU19" s="77">
        <v>353559</v>
      </c>
      <c r="EV19" s="77">
        <v>99636</v>
      </c>
      <c r="EW19" s="77">
        <v>48064</v>
      </c>
      <c r="EX19" s="77">
        <v>191984</v>
      </c>
      <c r="EY19" s="77">
        <v>1526433</v>
      </c>
      <c r="EZ19" s="77">
        <v>668347</v>
      </c>
      <c r="FA19" s="151">
        <v>708533</v>
      </c>
      <c r="FB19" s="77">
        <v>29533</v>
      </c>
      <c r="FC19" s="77">
        <v>5031</v>
      </c>
      <c r="FD19" s="104">
        <f t="shared" si="18"/>
        <v>4552</v>
      </c>
      <c r="FE19" s="105">
        <f t="shared" si="19"/>
        <v>262</v>
      </c>
      <c r="FF19" s="287">
        <f t="shared" si="19"/>
        <v>0</v>
      </c>
      <c r="FG19" s="77">
        <v>1359</v>
      </c>
      <c r="FH19" s="288">
        <f t="shared" si="20"/>
        <v>1162</v>
      </c>
      <c r="FI19" s="288">
        <f t="shared" si="20"/>
        <v>0</v>
      </c>
      <c r="FJ19" s="77">
        <v>0</v>
      </c>
      <c r="FK19" s="104">
        <f t="shared" si="20"/>
        <v>540</v>
      </c>
      <c r="FL19" s="288">
        <f t="shared" si="20"/>
        <v>1229</v>
      </c>
      <c r="FM19" s="77">
        <v>0</v>
      </c>
      <c r="FN19" s="80">
        <f t="shared" si="82"/>
        <v>142</v>
      </c>
      <c r="FO19" s="77">
        <v>37412</v>
      </c>
      <c r="FP19" s="81"/>
      <c r="FZ19" s="178">
        <f t="shared" si="65"/>
        <v>1.284471528360402</v>
      </c>
      <c r="GA19" s="220">
        <v>7587.911711711713</v>
      </c>
      <c r="GB19" s="220">
        <v>2860.392792792793</v>
      </c>
      <c r="GC19" s="220">
        <v>41034</v>
      </c>
      <c r="GD19" s="220">
        <v>51482.304504504507</v>
      </c>
      <c r="GE19" s="116">
        <f t="shared" si="66"/>
        <v>0.178968872015731</v>
      </c>
      <c r="GF19" s="116">
        <f t="shared" si="78"/>
        <v>2.5734227895368744</v>
      </c>
      <c r="GG19" s="116">
        <f t="shared" si="67"/>
        <v>0.30754983672076813</v>
      </c>
      <c r="GH19" s="116">
        <f t="shared" si="68"/>
        <v>0.41449193476047519</v>
      </c>
      <c r="GI19" s="64"/>
      <c r="GJ19" s="116">
        <f t="shared" si="79"/>
        <v>3.3776867963152504E-2</v>
      </c>
      <c r="GK19" s="289">
        <f t="shared" si="69"/>
        <v>344</v>
      </c>
      <c r="GL19" s="290">
        <f t="shared" si="69"/>
        <v>0</v>
      </c>
      <c r="GM19" s="119">
        <v>3</v>
      </c>
      <c r="GN19" s="119">
        <v>0</v>
      </c>
      <c r="GO19" s="116">
        <f t="shared" si="70"/>
        <v>1.0424242424242425</v>
      </c>
    </row>
    <row r="20" spans="1:197" s="119" customFormat="1" ht="15" customHeight="1">
      <c r="B20" s="573">
        <v>42750</v>
      </c>
      <c r="D20" s="131">
        <v>5819.76</v>
      </c>
      <c r="E20" s="131">
        <v>0</v>
      </c>
      <c r="F20" s="131">
        <v>3248.3519999999999</v>
      </c>
      <c r="G20" s="131">
        <v>0</v>
      </c>
      <c r="H20" s="131">
        <v>4081.2420000000002</v>
      </c>
      <c r="I20" s="131">
        <v>1777.1880000000001</v>
      </c>
      <c r="J20" s="131">
        <v>4097.16</v>
      </c>
      <c r="K20" s="295"/>
      <c r="L20" s="295"/>
      <c r="M20" s="291">
        <f t="shared" si="21"/>
        <v>5874.348</v>
      </c>
      <c r="N20" s="213">
        <f t="shared" si="0"/>
        <v>13149.354000000001</v>
      </c>
      <c r="O20" s="88">
        <f t="shared" si="22"/>
        <v>16086.528000000002</v>
      </c>
      <c r="P20" s="89">
        <f t="shared" si="23"/>
        <v>215511.81650000002</v>
      </c>
      <c r="R20" s="90">
        <f t="shared" si="24"/>
        <v>69</v>
      </c>
      <c r="S20" s="90">
        <f t="shared" si="25"/>
        <v>61.7</v>
      </c>
      <c r="T20" s="90">
        <f t="shared" si="1"/>
        <v>425.6</v>
      </c>
      <c r="U20" s="90"/>
      <c r="V20" s="90">
        <f t="shared" si="26"/>
        <v>1513</v>
      </c>
      <c r="W20" s="91">
        <f t="shared" si="71"/>
        <v>2326.5</v>
      </c>
      <c r="X20" s="90">
        <f t="shared" si="27"/>
        <v>1513</v>
      </c>
      <c r="Y20" s="90" t="str">
        <f t="shared" si="28"/>
        <v>0</v>
      </c>
      <c r="Z20" s="90">
        <f t="shared" si="2"/>
        <v>158.1</v>
      </c>
      <c r="AA20" s="90">
        <f t="shared" si="29"/>
        <v>2069.3000000000002</v>
      </c>
      <c r="AB20" s="90">
        <f t="shared" si="30"/>
        <v>236</v>
      </c>
      <c r="AC20" s="90">
        <f t="shared" si="30"/>
        <v>90</v>
      </c>
      <c r="AD20" s="90">
        <f t="shared" si="31"/>
        <v>567</v>
      </c>
      <c r="AE20" s="90">
        <f t="shared" si="32"/>
        <v>241</v>
      </c>
      <c r="AF20" s="90">
        <f t="shared" si="33"/>
        <v>49</v>
      </c>
      <c r="AG20" s="90">
        <f t="shared" si="33"/>
        <v>0</v>
      </c>
      <c r="AH20" s="90">
        <f t="shared" si="34"/>
        <v>61</v>
      </c>
      <c r="AI20" s="90">
        <f t="shared" si="35"/>
        <v>12</v>
      </c>
      <c r="AJ20" s="90">
        <f t="shared" si="36"/>
        <v>0</v>
      </c>
      <c r="AK20" s="90">
        <f t="shared" si="36"/>
        <v>16</v>
      </c>
      <c r="AL20" s="90">
        <f t="shared" si="37"/>
        <v>327</v>
      </c>
      <c r="AM20" s="90">
        <f t="shared" si="38"/>
        <v>311</v>
      </c>
      <c r="AN20" s="90">
        <f t="shared" si="39"/>
        <v>0</v>
      </c>
      <c r="AO20" s="90">
        <f t="shared" si="3"/>
        <v>0</v>
      </c>
      <c r="AP20" s="90">
        <f t="shared" si="40"/>
        <v>9</v>
      </c>
      <c r="AQ20" s="90">
        <f t="shared" si="4"/>
        <v>65</v>
      </c>
      <c r="AR20" s="90">
        <f t="shared" si="41"/>
        <v>79.915999999999997</v>
      </c>
      <c r="AS20" s="90">
        <f t="shared" si="42"/>
        <v>228.91599999999994</v>
      </c>
      <c r="AT20" s="90">
        <f t="shared" si="43"/>
        <v>805.91599999999994</v>
      </c>
      <c r="AU20" s="90">
        <f t="shared" si="44"/>
        <v>245</v>
      </c>
      <c r="AV20" s="90">
        <f t="shared" si="72"/>
        <v>32</v>
      </c>
      <c r="AW20" s="90">
        <f t="shared" si="45"/>
        <v>332</v>
      </c>
      <c r="AX20" s="90">
        <f t="shared" si="73"/>
        <v>31</v>
      </c>
      <c r="AY20" s="90" t="str">
        <f t="shared" si="46"/>
        <v/>
      </c>
      <c r="AZ20" s="90">
        <f t="shared" si="47"/>
        <v>373</v>
      </c>
      <c r="BA20" s="90">
        <v>0</v>
      </c>
      <c r="BB20" s="90">
        <f t="shared" si="48"/>
        <v>73</v>
      </c>
      <c r="BC20" s="90">
        <f t="shared" si="48"/>
        <v>350</v>
      </c>
      <c r="BD20" s="90">
        <f t="shared" si="49"/>
        <v>201</v>
      </c>
      <c r="BE20" s="90"/>
      <c r="BF20" s="90"/>
      <c r="BG20" s="90">
        <f t="shared" si="5"/>
        <v>997</v>
      </c>
      <c r="BH20" s="90">
        <f t="shared" si="50"/>
        <v>-542</v>
      </c>
      <c r="BI20" s="90">
        <f t="shared" si="51"/>
        <v>1565.7839999999997</v>
      </c>
      <c r="BJ20" s="90">
        <f t="shared" si="6"/>
        <v>4378.2160000000003</v>
      </c>
      <c r="BK20" s="92"/>
      <c r="BL20" s="93">
        <f t="shared" si="52"/>
        <v>5402</v>
      </c>
      <c r="BM20" s="93">
        <f t="shared" si="53"/>
        <v>80580</v>
      </c>
      <c r="BN20" s="92"/>
      <c r="BO20" s="94">
        <f t="shared" si="54"/>
        <v>5.2474060702906014E-2</v>
      </c>
      <c r="BP20" s="94">
        <f t="shared" si="54"/>
        <v>4.6922457179265228E-2</v>
      </c>
      <c r="BQ20" s="94">
        <f t="shared" si="55"/>
        <v>0.32366609036459126</v>
      </c>
      <c r="BR20" s="94">
        <f t="shared" si="74"/>
        <v>1.150626867297055</v>
      </c>
      <c r="BS20" s="94">
        <f t="shared" si="7"/>
        <v>0</v>
      </c>
      <c r="BT20" s="94">
        <f t="shared" si="7"/>
        <v>0.12023404343665854</v>
      </c>
      <c r="BU20" s="95">
        <f t="shared" si="7"/>
        <v>1.5736894755438178</v>
      </c>
      <c r="BV20" s="94">
        <f t="shared" si="8"/>
        <v>4.2893034469588462E-2</v>
      </c>
      <c r="BW20" s="94">
        <f t="shared" si="8"/>
        <v>3.8355075750342152E-2</v>
      </c>
      <c r="BX20" s="94">
        <f t="shared" si="8"/>
        <v>0.26456920971386738</v>
      </c>
      <c r="BY20" s="94">
        <f t="shared" si="56"/>
        <v>0.94053856742735276</v>
      </c>
      <c r="BZ20" s="95">
        <f t="shared" si="9"/>
        <v>1.2863558873611507</v>
      </c>
      <c r="CA20" s="96" t="e">
        <f>#REF!</f>
        <v>#REF!</v>
      </c>
      <c r="CB20" s="94">
        <f t="shared" si="10"/>
        <v>4.9678836850313497E-2</v>
      </c>
      <c r="CC20" s="95">
        <f t="shared" si="10"/>
        <v>0.14230292577739578</v>
      </c>
      <c r="CD20" s="97">
        <f t="shared" si="11"/>
        <v>0.13604233184687048</v>
      </c>
      <c r="CE20" s="98">
        <f t="shared" si="11"/>
        <v>0.38968750234068522</v>
      </c>
      <c r="CF20" s="94">
        <f t="shared" si="57"/>
        <v>0.40551500405515001</v>
      </c>
      <c r="CG20" s="94">
        <f t="shared" si="57"/>
        <v>0.15464555239391314</v>
      </c>
      <c r="CH20" s="95">
        <f t="shared" si="58"/>
        <v>0.9742669800816528</v>
      </c>
      <c r="CI20" s="96" t="e">
        <f>#REF!</f>
        <v>#REF!</v>
      </c>
      <c r="CJ20" s="94" t="str">
        <f t="shared" si="59"/>
        <v>0,00</v>
      </c>
      <c r="CK20" s="94" t="str">
        <f t="shared" si="59"/>
        <v>0,00</v>
      </c>
      <c r="CL20" s="95" t="str">
        <f t="shared" si="75"/>
        <v xml:space="preserve">0,00 </v>
      </c>
      <c r="CM20" s="95" t="e">
        <f>#REF!</f>
        <v>#REF!</v>
      </c>
      <c r="CN20" s="94">
        <f t="shared" si="60"/>
        <v>0</v>
      </c>
      <c r="CO20" s="94">
        <f t="shared" si="60"/>
        <v>4.9255745682733894E-2</v>
      </c>
      <c r="CP20" s="95">
        <f t="shared" si="61"/>
        <v>1.0066643023908739</v>
      </c>
      <c r="CQ20" s="95" t="e">
        <f>#REF!</f>
        <v>#REF!</v>
      </c>
      <c r="CR20" s="97" t="str">
        <f t="shared" si="76"/>
        <v xml:space="preserve">0,00 </v>
      </c>
      <c r="CS20" s="95" t="str">
        <f t="shared" si="76"/>
        <v xml:space="preserve">0,00 </v>
      </c>
      <c r="CT20" s="96" t="e">
        <f>#REF!</f>
        <v>#REF!</v>
      </c>
      <c r="CU20" s="97">
        <f t="shared" si="77"/>
        <v>2.2052110607506246E-2</v>
      </c>
      <c r="CV20" s="95">
        <f t="shared" si="62"/>
        <v>0.15926524327643399</v>
      </c>
      <c r="CW20" s="96" t="e">
        <f>#REF!</f>
        <v>#REF!</v>
      </c>
      <c r="CX20" s="99">
        <f t="shared" si="63"/>
        <v>0.15230135427607497</v>
      </c>
      <c r="CY20" s="95">
        <f t="shared" si="63"/>
        <v>1.9892421782997549E-2</v>
      </c>
      <c r="CZ20" s="99">
        <f t="shared" si="63"/>
        <v>0.20638387599859953</v>
      </c>
      <c r="DA20" s="95">
        <f t="shared" si="63"/>
        <v>1.9270783602278872E-2</v>
      </c>
      <c r="DB20" s="94">
        <f t="shared" si="12"/>
        <v>0.23187104140806516</v>
      </c>
      <c r="DC20" s="94">
        <f t="shared" si="13"/>
        <v>4.5379587192463156E-2</v>
      </c>
      <c r="DD20" s="94">
        <f t="shared" si="13"/>
        <v>0.21757336325153565</v>
      </c>
      <c r="DE20" s="94">
        <f t="shared" si="13"/>
        <v>0.12494927432445334</v>
      </c>
      <c r="DF20" s="94">
        <f t="shared" si="13"/>
        <v>0</v>
      </c>
      <c r="DG20" s="94">
        <f t="shared" si="13"/>
        <v>0</v>
      </c>
      <c r="DH20" s="95">
        <f t="shared" si="13"/>
        <v>0.6197732661765174</v>
      </c>
      <c r="DI20" s="96" t="e">
        <f>#REF!</f>
        <v>#REF!</v>
      </c>
      <c r="DJ20" s="95">
        <f t="shared" si="64"/>
        <v>-0.33692789394952094</v>
      </c>
      <c r="DK20" s="96" t="e">
        <f>#REF!</f>
        <v>#REF!</v>
      </c>
      <c r="DL20" s="95">
        <f t="shared" si="14"/>
        <v>0.97335111715840694</v>
      </c>
      <c r="DM20" s="96">
        <f t="shared" si="15"/>
        <v>0</v>
      </c>
      <c r="DN20" s="94">
        <f t="shared" si="16"/>
        <v>2.7216662290333868</v>
      </c>
      <c r="DO20" s="100">
        <v>3.4</v>
      </c>
      <c r="DP20" s="94">
        <f>IF($O20&lt;&gt;0,IF($O20&lt;&gt;0,BL20/$O20*10,0)," ")</f>
        <v>3.3580894522422735</v>
      </c>
      <c r="DQ20" s="94">
        <f>IF($P20&lt;&gt;0,IF($P20&lt;&gt;0,BM20/$P20*10,0)," ")</f>
        <v>3.7390061161681127</v>
      </c>
      <c r="DR20" s="101">
        <f t="shared" si="17"/>
        <v>0</v>
      </c>
      <c r="DS20" s="147"/>
      <c r="DT20" s="103">
        <v>15</v>
      </c>
      <c r="DU20" s="76">
        <v>598608</v>
      </c>
      <c r="DV20" s="76">
        <v>21571</v>
      </c>
      <c r="DW20" s="76">
        <v>5076106</v>
      </c>
      <c r="DX20" s="298">
        <v>96239</v>
      </c>
      <c r="DY20" s="76">
        <v>79215</v>
      </c>
      <c r="DZ20" s="76">
        <v>355362</v>
      </c>
      <c r="EA20" s="76">
        <v>200919</v>
      </c>
      <c r="EB20" s="77">
        <v>45782</v>
      </c>
      <c r="EC20" s="76">
        <v>354044</v>
      </c>
      <c r="ED20" s="76">
        <v>43179</v>
      </c>
      <c r="EE20" s="77">
        <v>35200</v>
      </c>
      <c r="EF20" s="77">
        <v>36917</v>
      </c>
      <c r="EG20" s="76">
        <v>87899</v>
      </c>
      <c r="EH20" s="76">
        <v>173168</v>
      </c>
      <c r="EI20" s="76">
        <v>27315</v>
      </c>
      <c r="EJ20" s="77">
        <v>35472</v>
      </c>
      <c r="EK20" s="77"/>
      <c r="EL20" s="76">
        <v>668364</v>
      </c>
      <c r="EM20" s="77">
        <v>4256</v>
      </c>
      <c r="EN20" s="77">
        <v>37675</v>
      </c>
      <c r="EO20" s="76">
        <v>2782621</v>
      </c>
      <c r="EP20" s="77">
        <v>2182340</v>
      </c>
      <c r="EQ20" s="77">
        <v>0</v>
      </c>
      <c r="ER20" s="77">
        <v>1581</v>
      </c>
      <c r="ES20" s="77">
        <v>243351</v>
      </c>
      <c r="ET20" s="77">
        <v>7314317</v>
      </c>
      <c r="EU20" s="77">
        <v>353891</v>
      </c>
      <c r="EV20" s="77">
        <v>99881</v>
      </c>
      <c r="EW20" s="77">
        <v>48437</v>
      </c>
      <c r="EX20" s="77">
        <v>192057</v>
      </c>
      <c r="EY20" s="77">
        <v>1526783</v>
      </c>
      <c r="EZ20" s="77">
        <v>668964</v>
      </c>
      <c r="FA20" s="151">
        <v>708734</v>
      </c>
      <c r="FB20" s="77">
        <v>29533</v>
      </c>
      <c r="FC20" s="77">
        <v>5944</v>
      </c>
      <c r="FD20" s="104">
        <f t="shared" si="18"/>
        <v>4553</v>
      </c>
      <c r="FE20" s="105">
        <f t="shared" si="19"/>
        <v>360</v>
      </c>
      <c r="FF20" s="287">
        <f t="shared" si="19"/>
        <v>0</v>
      </c>
      <c r="FG20" s="77">
        <v>0</v>
      </c>
      <c r="FH20" s="288">
        <f t="shared" si="20"/>
        <v>1879</v>
      </c>
      <c r="FI20" s="288">
        <f t="shared" si="20"/>
        <v>0</v>
      </c>
      <c r="FJ20" s="77">
        <v>0</v>
      </c>
      <c r="FK20" s="104">
        <f t="shared" si="20"/>
        <v>893</v>
      </c>
      <c r="FL20" s="288">
        <f t="shared" si="20"/>
        <v>1421</v>
      </c>
      <c r="FM20" s="77">
        <v>0</v>
      </c>
      <c r="FN20" s="80">
        <f t="shared" si="82"/>
        <v>849</v>
      </c>
      <c r="FO20" s="77">
        <v>38261</v>
      </c>
      <c r="FP20" s="81"/>
      <c r="FZ20" s="178">
        <f t="shared" si="65"/>
        <v>1.5736894755438178</v>
      </c>
      <c r="GA20" s="220">
        <v>2859.5297297297298</v>
      </c>
      <c r="GB20" s="220">
        <v>7986.6396396396412</v>
      </c>
      <c r="GC20" s="220">
        <v>41723</v>
      </c>
      <c r="GD20" s="220">
        <v>52569.169369369367</v>
      </c>
      <c r="GE20" s="116">
        <f t="shared" si="66"/>
        <v>0.45706816278616963</v>
      </c>
      <c r="GF20" s="116">
        <f t="shared" si="78"/>
        <v>0.53288995022092067</v>
      </c>
      <c r="GG20" s="116">
        <f t="shared" si="67"/>
        <v>0.36262972461232407</v>
      </c>
      <c r="GH20" s="116">
        <f t="shared" si="68"/>
        <v>0.39363376382464305</v>
      </c>
      <c r="GI20" s="64"/>
      <c r="GJ20" s="116">
        <f t="shared" si="79"/>
        <v>3.7892768976343978E-2</v>
      </c>
      <c r="GK20" s="289">
        <f t="shared" si="69"/>
        <v>350</v>
      </c>
      <c r="GL20" s="290">
        <f t="shared" si="69"/>
        <v>201</v>
      </c>
      <c r="GM20" s="119">
        <v>3</v>
      </c>
      <c r="GN20" s="119">
        <v>6</v>
      </c>
      <c r="GO20" s="116">
        <f t="shared" si="70"/>
        <v>1.0606060606060606</v>
      </c>
    </row>
    <row r="21" spans="1:197" s="119" customFormat="1" ht="15" customHeight="1">
      <c r="B21" s="573">
        <v>42751</v>
      </c>
      <c r="D21" s="131">
        <v>672</v>
      </c>
      <c r="E21" s="131">
        <v>924.12</v>
      </c>
      <c r="F21" s="131">
        <v>2291.904</v>
      </c>
      <c r="G21" s="131">
        <v>0</v>
      </c>
      <c r="H21" s="131">
        <v>6783.5010000000002</v>
      </c>
      <c r="I21" s="131">
        <v>1608.2539999999999</v>
      </c>
      <c r="J21" s="131">
        <v>3564</v>
      </c>
      <c r="K21" s="295">
        <v>11.484</v>
      </c>
      <c r="L21" s="299">
        <v>16</v>
      </c>
      <c r="M21" s="291">
        <f t="shared" si="21"/>
        <v>5172.2539999999999</v>
      </c>
      <c r="N21" s="213">
        <f t="shared" si="0"/>
        <v>10671.525</v>
      </c>
      <c r="O21" s="88">
        <f t="shared" si="22"/>
        <v>13273.652</v>
      </c>
      <c r="P21" s="89">
        <f t="shared" si="23"/>
        <v>228785.46850000002</v>
      </c>
      <c r="R21" s="90">
        <f t="shared" si="24"/>
        <v>216</v>
      </c>
      <c r="S21" s="90">
        <f t="shared" si="25"/>
        <v>26.4</v>
      </c>
      <c r="T21" s="90">
        <f t="shared" si="1"/>
        <v>518.1</v>
      </c>
      <c r="U21" s="90"/>
      <c r="V21" s="90">
        <f t="shared" si="26"/>
        <v>1168</v>
      </c>
      <c r="W21" s="91">
        <f t="shared" si="71"/>
        <v>2419.4</v>
      </c>
      <c r="X21" s="90">
        <f t="shared" si="27"/>
        <v>1168</v>
      </c>
      <c r="Y21" s="90" t="str">
        <f t="shared" si="28"/>
        <v>0</v>
      </c>
      <c r="Z21" s="90">
        <f t="shared" si="2"/>
        <v>148</v>
      </c>
      <c r="AA21" s="90">
        <f t="shared" si="29"/>
        <v>1928.5</v>
      </c>
      <c r="AB21" s="90">
        <f t="shared" si="30"/>
        <v>208</v>
      </c>
      <c r="AC21" s="90">
        <f t="shared" si="30"/>
        <v>59</v>
      </c>
      <c r="AD21" s="90">
        <f t="shared" si="31"/>
        <v>404</v>
      </c>
      <c r="AE21" s="90">
        <f t="shared" si="32"/>
        <v>137</v>
      </c>
      <c r="AF21" s="90">
        <f t="shared" si="33"/>
        <v>72</v>
      </c>
      <c r="AG21" s="90">
        <f t="shared" si="33"/>
        <v>32</v>
      </c>
      <c r="AH21" s="90">
        <f t="shared" si="34"/>
        <v>130</v>
      </c>
      <c r="AI21" s="90">
        <f t="shared" si="35"/>
        <v>26</v>
      </c>
      <c r="AJ21" s="90">
        <f t="shared" si="36"/>
        <v>411</v>
      </c>
      <c r="AK21" s="90">
        <f>IF(EB21=0,"",(EB21-EB20))</f>
        <v>24</v>
      </c>
      <c r="AL21" s="90">
        <f t="shared" si="37"/>
        <v>435</v>
      </c>
      <c r="AM21" s="90">
        <f t="shared" si="38"/>
        <v>0</v>
      </c>
      <c r="AN21" s="90">
        <f t="shared" si="39"/>
        <v>0</v>
      </c>
      <c r="AO21" s="90">
        <f t="shared" si="3"/>
        <v>0</v>
      </c>
      <c r="AP21" s="90">
        <f t="shared" si="40"/>
        <v>13</v>
      </c>
      <c r="AQ21" s="90">
        <f t="shared" si="4"/>
        <v>19</v>
      </c>
      <c r="AR21" s="90">
        <f t="shared" si="41"/>
        <v>52.493000000000002</v>
      </c>
      <c r="AS21" s="90">
        <f t="shared" si="42"/>
        <v>93.493000000000052</v>
      </c>
      <c r="AT21" s="90">
        <f t="shared" si="43"/>
        <v>625.49300000000005</v>
      </c>
      <c r="AU21" s="90">
        <f t="shared" si="44"/>
        <v>229</v>
      </c>
      <c r="AV21" s="90">
        <f t="shared" si="72"/>
        <v>38</v>
      </c>
      <c r="AW21" s="90">
        <f t="shared" si="45"/>
        <v>303</v>
      </c>
      <c r="AX21" s="90">
        <f t="shared" si="73"/>
        <v>54</v>
      </c>
      <c r="AY21" s="90" t="str">
        <f t="shared" si="46"/>
        <v/>
      </c>
      <c r="AZ21" s="90">
        <f t="shared" si="47"/>
        <v>373</v>
      </c>
      <c r="BA21" s="90">
        <v>36</v>
      </c>
      <c r="BB21" s="90">
        <f t="shared" si="48"/>
        <v>103</v>
      </c>
      <c r="BC21" s="90">
        <f t="shared" si="48"/>
        <v>970</v>
      </c>
      <c r="BD21" s="90">
        <f t="shared" si="49"/>
        <v>252</v>
      </c>
      <c r="BE21" s="90"/>
      <c r="BF21" s="90"/>
      <c r="BG21" s="90">
        <f t="shared" si="5"/>
        <v>1698</v>
      </c>
      <c r="BH21" s="90">
        <f t="shared" si="50"/>
        <v>414</v>
      </c>
      <c r="BI21" s="90">
        <f t="shared" si="51"/>
        <v>-556.99300000000039</v>
      </c>
      <c r="BJ21" s="90">
        <f t="shared" si="6"/>
        <v>4799.9930000000004</v>
      </c>
      <c r="BK21" s="92"/>
      <c r="BL21" s="93">
        <f t="shared" si="52"/>
        <v>4657</v>
      </c>
      <c r="BM21" s="93">
        <f t="shared" si="53"/>
        <v>85237</v>
      </c>
      <c r="BN21" s="92"/>
      <c r="BO21" s="94">
        <f t="shared" si="54"/>
        <v>0.20240780956798585</v>
      </c>
      <c r="BP21" s="94">
        <f t="shared" si="54"/>
        <v>2.4738732280531604E-2</v>
      </c>
      <c r="BQ21" s="94">
        <f t="shared" si="55"/>
        <v>0.4854976210054327</v>
      </c>
      <c r="BR21" s="94">
        <f t="shared" si="74"/>
        <v>1.0945014887750346</v>
      </c>
      <c r="BS21" s="94">
        <f t="shared" si="7"/>
        <v>0</v>
      </c>
      <c r="BT21" s="94">
        <f t="shared" si="7"/>
        <v>0.13868683248176808</v>
      </c>
      <c r="BU21" s="95">
        <f t="shared" si="7"/>
        <v>1.8071456516289848</v>
      </c>
      <c r="BV21" s="94">
        <f t="shared" si="8"/>
        <v>0.16272838853994362</v>
      </c>
      <c r="BW21" s="94">
        <f t="shared" si="8"/>
        <v>1.9889025265993107E-2</v>
      </c>
      <c r="BX21" s="94">
        <f t="shared" si="8"/>
        <v>0.39032212084511486</v>
      </c>
      <c r="BY21" s="94">
        <f t="shared" si="56"/>
        <v>0.8799386935863619</v>
      </c>
      <c r="BZ21" s="95">
        <f t="shared" si="9"/>
        <v>1.4528782282374133</v>
      </c>
      <c r="CA21" s="96" t="e">
        <f>#REF!</f>
        <v>#REF!</v>
      </c>
      <c r="CB21" s="94">
        <f t="shared" si="10"/>
        <v>3.9546765276052137E-2</v>
      </c>
      <c r="CC21" s="95">
        <f t="shared" si="10"/>
        <v>7.0435024211874808E-2</v>
      </c>
      <c r="CD21" s="97">
        <f t="shared" si="11"/>
        <v>0.10148960201877172</v>
      </c>
      <c r="CE21" s="98">
        <f t="shared" si="11"/>
        <v>0.1807587175726483</v>
      </c>
      <c r="CF21" s="94">
        <f t="shared" si="57"/>
        <v>3.0952380952380953</v>
      </c>
      <c r="CG21" s="94">
        <f t="shared" si="57"/>
        <v>0.87797619047619047</v>
      </c>
      <c r="CH21" s="95">
        <f t="shared" si="58"/>
        <v>6.0119047619047619</v>
      </c>
      <c r="CI21" s="96" t="e">
        <f>#REF!</f>
        <v>#REF!</v>
      </c>
      <c r="CJ21" s="94">
        <f t="shared" si="59"/>
        <v>0.77911959485781068</v>
      </c>
      <c r="CK21" s="94">
        <f t="shared" si="59"/>
        <v>0.34627537549236032</v>
      </c>
      <c r="CL21" s="95">
        <f t="shared" si="75"/>
        <v>1.4067437129377136</v>
      </c>
      <c r="CM21" s="95" t="e">
        <f>#REF!</f>
        <v>#REF!</v>
      </c>
      <c r="CN21" s="94">
        <f t="shared" si="60"/>
        <v>1.7932688280137388</v>
      </c>
      <c r="CO21" s="94">
        <f t="shared" si="60"/>
        <v>0.10471642791321102</v>
      </c>
      <c r="CP21" s="95">
        <f t="shared" si="61"/>
        <v>1.8979852559269497</v>
      </c>
      <c r="CQ21" s="95" t="e">
        <f>#REF!</f>
        <v>#REF!</v>
      </c>
      <c r="CR21" s="97" t="str">
        <f t="shared" si="76"/>
        <v xml:space="preserve">0,00 </v>
      </c>
      <c r="CS21" s="95" t="str">
        <f t="shared" si="76"/>
        <v xml:space="preserve">0,00 </v>
      </c>
      <c r="CT21" s="96" t="e">
        <f>#REF!</f>
        <v>#REF!</v>
      </c>
      <c r="CU21" s="97">
        <f t="shared" si="77"/>
        <v>1.9164145475912806E-2</v>
      </c>
      <c r="CV21" s="95">
        <f t="shared" si="62"/>
        <v>2.8009135695564871E-2</v>
      </c>
      <c r="CW21" s="96" t="e">
        <f>#REF!</f>
        <v>#REF!</v>
      </c>
      <c r="CX21" s="99">
        <f t="shared" si="63"/>
        <v>0.17252222673910692</v>
      </c>
      <c r="CY21" s="95">
        <f t="shared" si="63"/>
        <v>2.8628142428323421E-2</v>
      </c>
      <c r="CZ21" s="99">
        <f t="shared" si="63"/>
        <v>0.22827176725742093</v>
      </c>
      <c r="DA21" s="95">
        <f t="shared" si="63"/>
        <v>4.0682097134985905E-2</v>
      </c>
      <c r="DB21" s="94">
        <f t="shared" si="12"/>
        <v>0.28100781909906936</v>
      </c>
      <c r="DC21" s="94">
        <f t="shared" si="13"/>
        <v>7.7597333424139797E-2</v>
      </c>
      <c r="DD21" s="94">
        <f t="shared" si="13"/>
        <v>0.73077100409141349</v>
      </c>
      <c r="DE21" s="94">
        <f t="shared" si="13"/>
        <v>0.18984978662993424</v>
      </c>
      <c r="DF21" s="94">
        <f t="shared" si="13"/>
        <v>0</v>
      </c>
      <c r="DG21" s="94">
        <f t="shared" si="13"/>
        <v>0</v>
      </c>
      <c r="DH21" s="95">
        <f t="shared" si="13"/>
        <v>1.279225943244557</v>
      </c>
      <c r="DI21" s="96" t="e">
        <f>#REF!</f>
        <v>#REF!</v>
      </c>
      <c r="DJ21" s="95">
        <f t="shared" si="64"/>
        <v>0.31189607803489194</v>
      </c>
      <c r="DK21" s="96" t="e">
        <f>#REF!</f>
        <v>#REF!</v>
      </c>
      <c r="DL21" s="95">
        <f t="shared" si="14"/>
        <v>-0.4196230246205041</v>
      </c>
      <c r="DM21" s="96">
        <f t="shared" si="15"/>
        <v>0</v>
      </c>
      <c r="DN21" s="94">
        <f t="shared" si="16"/>
        <v>3.6161811383935638</v>
      </c>
      <c r="DO21" s="100">
        <v>3.4</v>
      </c>
      <c r="DP21" s="94">
        <f t="shared" si="80"/>
        <v>3.5084541918079513</v>
      </c>
      <c r="DQ21" s="94">
        <f t="shared" si="81"/>
        <v>3.7256299781120057</v>
      </c>
      <c r="DR21" s="101">
        <f t="shared" si="17"/>
        <v>0</v>
      </c>
      <c r="DS21" s="147"/>
      <c r="DT21" s="103">
        <v>16</v>
      </c>
      <c r="DU21" s="76">
        <v>598816</v>
      </c>
      <c r="DV21" s="76">
        <v>21630</v>
      </c>
      <c r="DW21" s="300">
        <v>5076510</v>
      </c>
      <c r="DX21" s="298">
        <v>96311</v>
      </c>
      <c r="DY21" s="76">
        <v>79247</v>
      </c>
      <c r="DZ21" s="300">
        <v>355492</v>
      </c>
      <c r="EA21" s="174">
        <v>201330</v>
      </c>
      <c r="EB21" s="174">
        <v>45806</v>
      </c>
      <c r="EC21" s="300">
        <v>354414</v>
      </c>
      <c r="ED21" s="300">
        <v>43179</v>
      </c>
      <c r="EE21" s="77">
        <v>35200</v>
      </c>
      <c r="EF21" s="77">
        <v>36917</v>
      </c>
      <c r="EG21" s="300">
        <v>87912</v>
      </c>
      <c r="EH21" s="300">
        <v>173187</v>
      </c>
      <c r="EI21" s="300">
        <v>27353</v>
      </c>
      <c r="EJ21" s="77">
        <v>35526</v>
      </c>
      <c r="EK21" s="77"/>
      <c r="EL21" s="300">
        <v>668580</v>
      </c>
      <c r="EM21" s="174">
        <v>5181</v>
      </c>
      <c r="EN21" s="174">
        <v>37725</v>
      </c>
      <c r="EO21" s="300">
        <v>2783789</v>
      </c>
      <c r="EP21" s="77">
        <v>2206534</v>
      </c>
      <c r="EQ21" s="77">
        <v>0</v>
      </c>
      <c r="ER21" s="77">
        <v>1480</v>
      </c>
      <c r="ES21" s="77">
        <v>243924</v>
      </c>
      <c r="ET21" s="77">
        <v>7366810</v>
      </c>
      <c r="EU21" s="77">
        <v>354194</v>
      </c>
      <c r="EV21" s="77">
        <v>100110</v>
      </c>
      <c r="EW21" s="77">
        <v>48810</v>
      </c>
      <c r="EX21" s="77">
        <v>192160</v>
      </c>
      <c r="EY21" s="77">
        <v>1527753</v>
      </c>
      <c r="EZ21" s="77">
        <v>669228</v>
      </c>
      <c r="FA21" s="151">
        <v>708986</v>
      </c>
      <c r="FB21" s="77">
        <v>29583</v>
      </c>
      <c r="FC21" s="77">
        <v>4243</v>
      </c>
      <c r="FD21" s="104">
        <f t="shared" si="18"/>
        <v>3932</v>
      </c>
      <c r="FE21" s="105">
        <f t="shared" si="19"/>
        <v>367</v>
      </c>
      <c r="FF21" s="287">
        <f t="shared" si="19"/>
        <v>0</v>
      </c>
      <c r="FG21" s="77">
        <v>0</v>
      </c>
      <c r="FH21" s="288">
        <f t="shared" si="20"/>
        <v>1034</v>
      </c>
      <c r="FI21" s="288">
        <f t="shared" si="20"/>
        <v>0</v>
      </c>
      <c r="FJ21" s="77">
        <v>0</v>
      </c>
      <c r="FK21" s="104">
        <f t="shared" si="20"/>
        <v>778</v>
      </c>
      <c r="FL21" s="288">
        <f t="shared" si="20"/>
        <v>1753</v>
      </c>
      <c r="FM21" s="77">
        <v>0</v>
      </c>
      <c r="FN21" s="80">
        <f t="shared" si="82"/>
        <v>725</v>
      </c>
      <c r="FO21" s="174">
        <v>38986</v>
      </c>
      <c r="FP21" s="81"/>
      <c r="FZ21" s="178">
        <f t="shared" si="65"/>
        <v>1.8071456516289848</v>
      </c>
      <c r="GA21" s="220">
        <v>12485.208108108109</v>
      </c>
      <c r="GB21" s="220">
        <v>12592.885585585585</v>
      </c>
      <c r="GC21" s="220">
        <v>42988</v>
      </c>
      <c r="GD21" s="220">
        <v>68066.093693693692</v>
      </c>
      <c r="GE21" s="116">
        <f t="shared" si="66"/>
        <v>0.19414974736590998</v>
      </c>
      <c r="GF21" s="116">
        <f t="shared" si="78"/>
        <v>0.41142278033006335</v>
      </c>
      <c r="GG21" s="116">
        <f t="shared" si="67"/>
        <v>0.27170373127384384</v>
      </c>
      <c r="GH21" s="116">
        <f t="shared" si="68"/>
        <v>0.28332755640106244</v>
      </c>
      <c r="GI21" s="64"/>
      <c r="GJ21" s="116">
        <f t="shared" si="79"/>
        <v>3.4428212524425419E-2</v>
      </c>
      <c r="GK21" s="289">
        <f t="shared" si="69"/>
        <v>970</v>
      </c>
      <c r="GL21" s="290">
        <f t="shared" si="69"/>
        <v>252</v>
      </c>
      <c r="GM21" s="119">
        <v>8</v>
      </c>
      <c r="GN21" s="119">
        <v>7</v>
      </c>
      <c r="GO21" s="116">
        <f t="shared" si="70"/>
        <v>1.1022727272727273</v>
      </c>
    </row>
    <row r="22" spans="1:197" ht="15" customHeight="1">
      <c r="B22" s="573">
        <v>42752</v>
      </c>
      <c r="D22" s="131">
        <v>6741.48</v>
      </c>
      <c r="E22" s="131">
        <v>0</v>
      </c>
      <c r="F22" s="131">
        <v>3295.944</v>
      </c>
      <c r="G22" s="131">
        <v>0</v>
      </c>
      <c r="H22" s="131">
        <v>7183.3190000000004</v>
      </c>
      <c r="I22" s="131">
        <v>2240.873</v>
      </c>
      <c r="J22" s="131">
        <v>3969.3</v>
      </c>
      <c r="K22" s="295"/>
      <c r="L22" s="295"/>
      <c r="M22" s="291">
        <f t="shared" si="21"/>
        <v>6210.1730000000007</v>
      </c>
      <c r="N22" s="213">
        <f t="shared" si="0"/>
        <v>17220.742999999999</v>
      </c>
      <c r="O22" s="88">
        <f t="shared" si="22"/>
        <v>20325.8295</v>
      </c>
      <c r="P22" s="89">
        <f t="shared" si="23"/>
        <v>249111.29800000001</v>
      </c>
      <c r="Q22" s="168"/>
      <c r="R22" s="90">
        <f t="shared" si="24"/>
        <v>219</v>
      </c>
      <c r="S22" s="90">
        <f t="shared" si="25"/>
        <v>82.1</v>
      </c>
      <c r="T22" s="90">
        <f t="shared" si="1"/>
        <v>572.29999999999995</v>
      </c>
      <c r="U22" s="90"/>
      <c r="V22" s="90">
        <f t="shared" si="26"/>
        <v>806</v>
      </c>
      <c r="W22" s="91">
        <f t="shared" si="71"/>
        <v>2149.6</v>
      </c>
      <c r="X22" s="90">
        <f t="shared" si="27"/>
        <v>806</v>
      </c>
      <c r="Y22" s="90" t="str">
        <f t="shared" si="28"/>
        <v>0</v>
      </c>
      <c r="Z22" s="90">
        <f t="shared" si="2"/>
        <v>63.3</v>
      </c>
      <c r="AA22" s="90">
        <f t="shared" si="29"/>
        <v>1679.4</v>
      </c>
      <c r="AB22" s="90">
        <f t="shared" si="30"/>
        <v>242</v>
      </c>
      <c r="AC22" s="90">
        <f t="shared" si="30"/>
        <v>50</v>
      </c>
      <c r="AD22" s="90">
        <f t="shared" si="31"/>
        <v>483</v>
      </c>
      <c r="AE22" s="90">
        <f t="shared" si="32"/>
        <v>191</v>
      </c>
      <c r="AF22" s="90">
        <f t="shared" si="33"/>
        <v>0</v>
      </c>
      <c r="AG22" s="90">
        <f t="shared" si="33"/>
        <v>119</v>
      </c>
      <c r="AH22" s="90">
        <f t="shared" si="34"/>
        <v>190</v>
      </c>
      <c r="AI22" s="90">
        <f t="shared" si="35"/>
        <v>71</v>
      </c>
      <c r="AJ22" s="90">
        <f t="shared" si="36"/>
        <v>207</v>
      </c>
      <c r="AK22" s="90">
        <f t="shared" si="36"/>
        <v>14</v>
      </c>
      <c r="AL22" s="90">
        <f t="shared" si="37"/>
        <v>332</v>
      </c>
      <c r="AM22" s="90">
        <f t="shared" si="38"/>
        <v>111</v>
      </c>
      <c r="AN22" s="90">
        <f t="shared" si="39"/>
        <v>0</v>
      </c>
      <c r="AO22" s="90">
        <f t="shared" si="3"/>
        <v>0</v>
      </c>
      <c r="AP22" s="90">
        <f t="shared" si="40"/>
        <v>13</v>
      </c>
      <c r="AQ22" s="90">
        <f t="shared" si="4"/>
        <v>25</v>
      </c>
      <c r="AR22" s="90">
        <f t="shared" si="41"/>
        <v>76.123999999999995</v>
      </c>
      <c r="AS22" s="90">
        <f t="shared" si="42"/>
        <v>64.124000000000024</v>
      </c>
      <c r="AT22" s="90">
        <f t="shared" si="43"/>
        <v>749.12400000000002</v>
      </c>
      <c r="AU22" s="90">
        <f t="shared" si="44"/>
        <v>284</v>
      </c>
      <c r="AV22" s="90">
        <f t="shared" si="72"/>
        <v>30</v>
      </c>
      <c r="AW22" s="90">
        <f t="shared" si="45"/>
        <v>401</v>
      </c>
      <c r="AX22" s="90">
        <f t="shared" si="73"/>
        <v>6</v>
      </c>
      <c r="AY22" s="90" t="str">
        <f t="shared" si="46"/>
        <v/>
      </c>
      <c r="AZ22" s="90">
        <f t="shared" si="47"/>
        <v>393</v>
      </c>
      <c r="BA22" s="90">
        <v>45</v>
      </c>
      <c r="BB22" s="90">
        <f t="shared" si="48"/>
        <v>128</v>
      </c>
      <c r="BC22" s="90">
        <f t="shared" si="48"/>
        <v>807</v>
      </c>
      <c r="BD22" s="90">
        <f t="shared" si="49"/>
        <v>280</v>
      </c>
      <c r="BE22" s="90"/>
      <c r="BF22" s="90"/>
      <c r="BG22" s="90">
        <f t="shared" si="5"/>
        <v>1608</v>
      </c>
      <c r="BH22" s="90">
        <f t="shared" si="50"/>
        <v>-1691</v>
      </c>
      <c r="BI22" s="90">
        <f t="shared" si="51"/>
        <v>2183.4760000000006</v>
      </c>
      <c r="BJ22" s="90">
        <f t="shared" si="6"/>
        <v>4417.5239999999994</v>
      </c>
      <c r="BK22" s="92"/>
      <c r="BL22" s="93">
        <f t="shared" si="52"/>
        <v>4910</v>
      </c>
      <c r="BM22" s="93">
        <f t="shared" si="53"/>
        <v>90147</v>
      </c>
      <c r="BN22" s="92"/>
      <c r="BO22" s="94">
        <f t="shared" si="54"/>
        <v>0.12717221318499441</v>
      </c>
      <c r="BP22" s="94">
        <f t="shared" si="54"/>
        <v>4.7675062568438537E-2</v>
      </c>
      <c r="BQ22" s="94">
        <f t="shared" si="55"/>
        <v>0.33233176988937124</v>
      </c>
      <c r="BR22" s="94">
        <f t="shared" si="74"/>
        <v>0.46804020012376935</v>
      </c>
      <c r="BS22" s="94">
        <f t="shared" ref="BS22:BU36" si="83">IF($N22&lt;&gt;0,IF($N22&lt;&gt;0,Y22/$N22*10,0)," ")</f>
        <v>0</v>
      </c>
      <c r="BT22" s="94">
        <f t="shared" si="83"/>
        <v>3.6757995865799753E-2</v>
      </c>
      <c r="BU22" s="95">
        <f t="shared" si="83"/>
        <v>0.97521924576657359</v>
      </c>
      <c r="BV22" s="94">
        <f t="shared" si="8"/>
        <v>0.10774468023555939</v>
      </c>
      <c r="BW22" s="94">
        <f t="shared" si="8"/>
        <v>4.0391955467303307E-2</v>
      </c>
      <c r="BX22" s="94">
        <f t="shared" si="8"/>
        <v>0.28156292465210336</v>
      </c>
      <c r="BY22" s="94">
        <f t="shared" si="56"/>
        <v>0.39653978205415918</v>
      </c>
      <c r="BZ22" s="95">
        <f t="shared" si="9"/>
        <v>0.82623934240912533</v>
      </c>
      <c r="CA22" s="96" t="e">
        <f>#REF!</f>
        <v>#REF!</v>
      </c>
      <c r="CB22" s="94">
        <f t="shared" si="10"/>
        <v>3.7451854055943937E-2</v>
      </c>
      <c r="CC22" s="95">
        <f t="shared" si="10"/>
        <v>3.1548035960844809E-2</v>
      </c>
      <c r="CD22" s="97">
        <f t="shared" si="11"/>
        <v>0.12257951590076475</v>
      </c>
      <c r="CE22" s="98">
        <f t="shared" si="11"/>
        <v>0.10325638271268774</v>
      </c>
      <c r="CF22" s="94">
        <f t="shared" si="57"/>
        <v>0.35897162047502923</v>
      </c>
      <c r="CG22" s="94">
        <f t="shared" si="57"/>
        <v>7.4167690180791168E-2</v>
      </c>
      <c r="CH22" s="95">
        <f t="shared" si="58"/>
        <v>0.71645988714644271</v>
      </c>
      <c r="CI22" s="96" t="e">
        <f>#REF!</f>
        <v>#REF!</v>
      </c>
      <c r="CJ22" s="94" t="str">
        <f t="shared" si="59"/>
        <v>0,00</v>
      </c>
      <c r="CK22" s="94" t="str">
        <f t="shared" si="59"/>
        <v>0,00</v>
      </c>
      <c r="CL22" s="95" t="str">
        <f t="shared" si="75"/>
        <v xml:space="preserve">0,00 </v>
      </c>
      <c r="CM22" s="95" t="e">
        <f>#REF!</f>
        <v>#REF!</v>
      </c>
      <c r="CN22" s="94">
        <f t="shared" si="60"/>
        <v>0.6280446512440746</v>
      </c>
      <c r="CO22" s="94">
        <f t="shared" si="60"/>
        <v>4.247644984259441E-2</v>
      </c>
      <c r="CP22" s="95">
        <f t="shared" si="61"/>
        <v>1.0072986676958104</v>
      </c>
      <c r="CQ22" s="95" t="e">
        <f>#REF!</f>
        <v>#REF!</v>
      </c>
      <c r="CR22" s="97" t="str">
        <f t="shared" si="76"/>
        <v xml:space="preserve">0,00 </v>
      </c>
      <c r="CS22" s="95" t="str">
        <f t="shared" si="76"/>
        <v xml:space="preserve">0,00 </v>
      </c>
      <c r="CT22" s="96" t="e">
        <f>#REF!</f>
        <v>#REF!</v>
      </c>
      <c r="CU22" s="97">
        <f t="shared" si="77"/>
        <v>1.8097483906812435E-2</v>
      </c>
      <c r="CV22" s="95">
        <f t="shared" si="62"/>
        <v>3.4802853666946992E-2</v>
      </c>
      <c r="CW22" s="96" t="e">
        <f>#REF!</f>
        <v>#REF!</v>
      </c>
      <c r="CX22" s="99">
        <f t="shared" si="63"/>
        <v>0.13972369491734643</v>
      </c>
      <c r="CY22" s="95">
        <f t="shared" si="63"/>
        <v>1.4759545237747862E-2</v>
      </c>
      <c r="CZ22" s="99">
        <f t="shared" si="63"/>
        <v>0.19728592134456308</v>
      </c>
      <c r="DA22" s="95">
        <f t="shared" si="63"/>
        <v>2.9519090475495723E-3</v>
      </c>
      <c r="DB22" s="94">
        <f t="shared" si="12"/>
        <v>0.19335004261449698</v>
      </c>
      <c r="DC22" s="94">
        <f t="shared" si="13"/>
        <v>6.2974059681057543E-2</v>
      </c>
      <c r="DD22" s="94">
        <f t="shared" si="13"/>
        <v>0.39703176689541753</v>
      </c>
      <c r="DE22" s="94">
        <f t="shared" si="13"/>
        <v>0.1377557555523134</v>
      </c>
      <c r="DF22" s="94">
        <f t="shared" si="13"/>
        <v>0</v>
      </c>
      <c r="DG22" s="94">
        <f t="shared" si="13"/>
        <v>0</v>
      </c>
      <c r="DH22" s="95">
        <f t="shared" si="13"/>
        <v>0.79111162474328534</v>
      </c>
      <c r="DI22" s="96" t="e">
        <f>#REF!</f>
        <v>#REF!</v>
      </c>
      <c r="DJ22" s="95">
        <f t="shared" si="64"/>
        <v>-0.83194636656772114</v>
      </c>
      <c r="DK22" s="96" t="e">
        <f>#REF!</f>
        <v>#REF!</v>
      </c>
      <c r="DL22" s="95">
        <f t="shared" si="14"/>
        <v>1.0742370932512253</v>
      </c>
      <c r="DM22" s="96">
        <f t="shared" si="15"/>
        <v>0</v>
      </c>
      <c r="DN22" s="94">
        <f t="shared" si="16"/>
        <v>2.1733548438945629</v>
      </c>
      <c r="DO22" s="100">
        <v>3.4</v>
      </c>
      <c r="DP22" s="94">
        <f t="shared" si="80"/>
        <v>2.4156455705780666</v>
      </c>
      <c r="DQ22" s="94">
        <f t="shared" si="81"/>
        <v>3.6187439399075352</v>
      </c>
      <c r="DR22" s="101">
        <f t="shared" si="17"/>
        <v>0</v>
      </c>
      <c r="DS22" s="116"/>
      <c r="DT22" s="103">
        <v>17</v>
      </c>
      <c r="DU22" s="76">
        <v>599058</v>
      </c>
      <c r="DV22" s="76">
        <v>21680</v>
      </c>
      <c r="DW22" s="300">
        <v>5076993</v>
      </c>
      <c r="DX22" s="298">
        <v>96311</v>
      </c>
      <c r="DY22" s="300">
        <v>79366</v>
      </c>
      <c r="DZ22" s="300">
        <v>355682</v>
      </c>
      <c r="EA22" s="174">
        <v>201537</v>
      </c>
      <c r="EB22" s="174">
        <v>45820</v>
      </c>
      <c r="EC22" s="300">
        <v>354746</v>
      </c>
      <c r="ED22" s="300">
        <v>43179</v>
      </c>
      <c r="EE22" s="174">
        <v>35200</v>
      </c>
      <c r="EF22" s="77">
        <v>36917</v>
      </c>
      <c r="EG22" s="300">
        <v>87925</v>
      </c>
      <c r="EH22" s="300">
        <v>173212</v>
      </c>
      <c r="EI22" s="300">
        <v>27383</v>
      </c>
      <c r="EJ22" s="77">
        <v>35532</v>
      </c>
      <c r="EK22" s="77"/>
      <c r="EL22" s="300">
        <v>668799</v>
      </c>
      <c r="EM22" s="174">
        <v>5723</v>
      </c>
      <c r="EN22" s="174">
        <v>37770</v>
      </c>
      <c r="EO22" s="300">
        <v>2784595</v>
      </c>
      <c r="EP22" s="77">
        <v>2228030</v>
      </c>
      <c r="EQ22" s="77">
        <v>0</v>
      </c>
      <c r="ER22" s="77">
        <v>633</v>
      </c>
      <c r="ES22" s="77">
        <v>244597</v>
      </c>
      <c r="ET22" s="77">
        <v>7442934</v>
      </c>
      <c r="EU22" s="77">
        <v>354595</v>
      </c>
      <c r="EV22" s="77">
        <v>100394</v>
      </c>
      <c r="EW22" s="77">
        <v>49203</v>
      </c>
      <c r="EX22" s="77">
        <v>192288</v>
      </c>
      <c r="EY22" s="77">
        <v>1528560</v>
      </c>
      <c r="EZ22" s="77">
        <v>670049</v>
      </c>
      <c r="FA22" s="151">
        <v>709266</v>
      </c>
      <c r="FB22" s="77">
        <v>29638</v>
      </c>
      <c r="FC22" s="77">
        <v>6601</v>
      </c>
      <c r="FD22" s="104">
        <f t="shared" si="18"/>
        <v>4909</v>
      </c>
      <c r="FE22" s="105">
        <f t="shared" ref="FE22:FF36" si="84">FE55-FE54</f>
        <v>353</v>
      </c>
      <c r="FF22" s="287">
        <f t="shared" si="84"/>
        <v>181</v>
      </c>
      <c r="FG22" s="77">
        <v>0</v>
      </c>
      <c r="FH22" s="288">
        <f t="shared" ref="FH22:FI33" si="85">FH55-FH54</f>
        <v>1857</v>
      </c>
      <c r="FI22" s="288">
        <f t="shared" si="85"/>
        <v>0</v>
      </c>
      <c r="FJ22" s="77">
        <v>0</v>
      </c>
      <c r="FK22" s="104">
        <f t="shared" ref="FK22:FM34" si="86">FK55-FK54</f>
        <v>796</v>
      </c>
      <c r="FL22" s="288">
        <f t="shared" si="86"/>
        <v>1722</v>
      </c>
      <c r="FM22" s="77">
        <v>0</v>
      </c>
      <c r="FN22" s="80">
        <f t="shared" si="82"/>
        <v>1</v>
      </c>
      <c r="FO22" s="174">
        <v>38987</v>
      </c>
      <c r="FP22" s="81"/>
      <c r="FR22" s="64"/>
      <c r="FS22" s="64"/>
      <c r="FT22" s="64"/>
      <c r="FU22" s="64"/>
      <c r="FV22" s="64"/>
      <c r="FW22" s="64"/>
      <c r="FX22" s="64"/>
      <c r="FY22" s="64"/>
      <c r="FZ22" s="178">
        <f t="shared" si="65"/>
        <v>0.97521924576657359</v>
      </c>
      <c r="GE22" s="116"/>
      <c r="GF22" s="116"/>
      <c r="GK22" s="118"/>
    </row>
    <row r="23" spans="1:197" s="119" customFormat="1" ht="15" customHeight="1">
      <c r="B23" s="573">
        <v>42753</v>
      </c>
      <c r="D23" s="301">
        <v>6430.8</v>
      </c>
      <c r="E23" s="301">
        <v>0</v>
      </c>
      <c r="F23" s="301">
        <v>356.32799999999997</v>
      </c>
      <c r="G23" s="301">
        <v>0</v>
      </c>
      <c r="H23" s="301">
        <v>8278.7870000000003</v>
      </c>
      <c r="I23" s="301">
        <v>2168.7199999999998</v>
      </c>
      <c r="J23" s="301">
        <v>6259.2</v>
      </c>
      <c r="K23" s="297"/>
      <c r="L23" s="297"/>
      <c r="M23" s="291">
        <f t="shared" si="21"/>
        <v>8427.92</v>
      </c>
      <c r="N23" s="213">
        <f t="shared" si="0"/>
        <v>15065.915000000001</v>
      </c>
      <c r="O23" s="88">
        <f t="shared" si="22"/>
        <v>19279.875</v>
      </c>
      <c r="P23" s="89">
        <f t="shared" si="23"/>
        <v>268391.17300000001</v>
      </c>
      <c r="R23" s="90">
        <f t="shared" si="24"/>
        <v>314</v>
      </c>
      <c r="S23" s="90">
        <f t="shared" si="25"/>
        <v>37.5</v>
      </c>
      <c r="T23" s="90">
        <f t="shared" si="1"/>
        <v>525.79999999999995</v>
      </c>
      <c r="U23" s="90"/>
      <c r="V23" s="90">
        <f t="shared" si="26"/>
        <v>1434</v>
      </c>
      <c r="W23" s="91">
        <f t="shared" si="71"/>
        <v>1071</v>
      </c>
      <c r="X23" s="90">
        <f t="shared" si="27"/>
        <v>1434</v>
      </c>
      <c r="Y23" s="90" t="str">
        <f t="shared" si="28"/>
        <v>0</v>
      </c>
      <c r="Z23" s="90">
        <f t="shared" si="2"/>
        <v>145.6</v>
      </c>
      <c r="AA23" s="90">
        <f t="shared" si="29"/>
        <v>2311.3000000000002</v>
      </c>
      <c r="AB23" s="90">
        <f t="shared" si="30"/>
        <v>259</v>
      </c>
      <c r="AC23" s="90">
        <f t="shared" si="30"/>
        <v>81</v>
      </c>
      <c r="AD23" s="90">
        <f t="shared" si="31"/>
        <v>583</v>
      </c>
      <c r="AE23" s="90">
        <f t="shared" si="32"/>
        <v>243</v>
      </c>
      <c r="AF23" s="90">
        <f t="shared" si="33"/>
        <v>0</v>
      </c>
      <c r="AG23" s="90">
        <f t="shared" si="33"/>
        <v>0</v>
      </c>
      <c r="AH23" s="90">
        <f t="shared" si="34"/>
        <v>6</v>
      </c>
      <c r="AI23" s="90">
        <f t="shared" si="35"/>
        <v>6</v>
      </c>
      <c r="AJ23" s="90">
        <f t="shared" si="36"/>
        <v>92</v>
      </c>
      <c r="AK23" s="90">
        <f t="shared" si="36"/>
        <v>64</v>
      </c>
      <c r="AL23" s="90">
        <f t="shared" si="37"/>
        <v>302</v>
      </c>
      <c r="AM23" s="90">
        <f t="shared" si="38"/>
        <v>146</v>
      </c>
      <c r="AN23" s="90">
        <f t="shared" si="39"/>
        <v>0</v>
      </c>
      <c r="AO23" s="90">
        <f t="shared" si="3"/>
        <v>0</v>
      </c>
      <c r="AP23" s="90">
        <f t="shared" si="40"/>
        <v>9</v>
      </c>
      <c r="AQ23" s="90">
        <f t="shared" si="4"/>
        <v>20</v>
      </c>
      <c r="AR23" s="90">
        <f t="shared" si="41"/>
        <v>45.286000000000001</v>
      </c>
      <c r="AS23" s="90">
        <f t="shared" si="42"/>
        <v>176.28600000000006</v>
      </c>
      <c r="AT23" s="90">
        <f t="shared" si="43"/>
        <v>1024.2860000000001</v>
      </c>
      <c r="AU23" s="90">
        <f t="shared" si="44"/>
        <v>295</v>
      </c>
      <c r="AV23" s="90">
        <f t="shared" si="72"/>
        <v>16</v>
      </c>
      <c r="AW23" s="90">
        <f t="shared" si="45"/>
        <v>553</v>
      </c>
      <c r="AX23" s="90">
        <f t="shared" si="73"/>
        <v>4</v>
      </c>
      <c r="AY23" s="90" t="str">
        <f t="shared" si="46"/>
        <v/>
      </c>
      <c r="AZ23" s="90">
        <f t="shared" si="47"/>
        <v>478</v>
      </c>
      <c r="BA23" s="90">
        <v>0</v>
      </c>
      <c r="BB23" s="90">
        <f t="shared" si="48"/>
        <v>94</v>
      </c>
      <c r="BC23" s="90">
        <f t="shared" si="48"/>
        <v>1128</v>
      </c>
      <c r="BD23" s="90">
        <f t="shared" si="49"/>
        <v>250</v>
      </c>
      <c r="BE23" s="90"/>
      <c r="BF23" s="90"/>
      <c r="BG23" s="90">
        <f t="shared" si="5"/>
        <v>1950</v>
      </c>
      <c r="BH23" s="90">
        <f t="shared" si="50"/>
        <v>-1524</v>
      </c>
      <c r="BI23" s="90">
        <f t="shared" si="51"/>
        <v>1939.4139999999998</v>
      </c>
      <c r="BJ23" s="90">
        <f t="shared" si="6"/>
        <v>5368.5860000000002</v>
      </c>
      <c r="BK23" s="92"/>
      <c r="BL23" s="93">
        <f t="shared" si="52"/>
        <v>5784</v>
      </c>
      <c r="BM23" s="93">
        <f t="shared" si="53"/>
        <v>95931</v>
      </c>
      <c r="BN23" s="92"/>
      <c r="BO23" s="94">
        <f t="shared" si="54"/>
        <v>0.20841747746486022</v>
      </c>
      <c r="BP23" s="94">
        <f t="shared" si="54"/>
        <v>2.4890622308701461E-2</v>
      </c>
      <c r="BQ23" s="94">
        <f t="shared" si="55"/>
        <v>0.34899971226440607</v>
      </c>
      <c r="BR23" s="94">
        <f t="shared" si="74"/>
        <v>0.95181739708474389</v>
      </c>
      <c r="BS23" s="94">
        <f t="shared" si="83"/>
        <v>0</v>
      </c>
      <c r="BT23" s="94">
        <f>IF($N23&lt;&gt;0,IF($N23&lt;&gt;0,Z23/$N23*10,0)," ")</f>
        <v>9.6641989550584881E-2</v>
      </c>
      <c r="BU23" s="95">
        <f t="shared" si="83"/>
        <v>1.5341252091227118</v>
      </c>
      <c r="BV23" s="94">
        <f t="shared" si="8"/>
        <v>0.162864126453102</v>
      </c>
      <c r="BW23" s="94">
        <f t="shared" si="8"/>
        <v>1.945033357322078E-2</v>
      </c>
      <c r="BX23" s="94">
        <f t="shared" si="8"/>
        <v>0.27271961047465298</v>
      </c>
      <c r="BY23" s="94">
        <f t="shared" si="56"/>
        <v>0.74378075583996273</v>
      </c>
      <c r="BZ23" s="95">
        <f t="shared" si="9"/>
        <v>1.1988148263409384</v>
      </c>
      <c r="CA23" s="96" t="e">
        <f>#REF!</f>
        <v>#REF!</v>
      </c>
      <c r="CB23" s="94">
        <f t="shared" si="10"/>
        <v>2.3488741498583366E-2</v>
      </c>
      <c r="CC23" s="95">
        <f t="shared" si="10"/>
        <v>9.1435240114367988E-2</v>
      </c>
      <c r="CD23" s="97">
        <f t="shared" si="11"/>
        <v>5.3733305489373419E-2</v>
      </c>
      <c r="CE23" s="98">
        <f t="shared" si="11"/>
        <v>0.20916904764164831</v>
      </c>
      <c r="CF23" s="94">
        <f t="shared" si="57"/>
        <v>0.4027492691422529</v>
      </c>
      <c r="CG23" s="94">
        <f t="shared" si="57"/>
        <v>0.12595633513715246</v>
      </c>
      <c r="CH23" s="95">
        <f t="shared" si="58"/>
        <v>0.90657460969086268</v>
      </c>
      <c r="CI23" s="96" t="e">
        <f>#REF!</f>
        <v>#REF!</v>
      </c>
      <c r="CJ23" s="94" t="str">
        <f t="shared" si="59"/>
        <v>0,00</v>
      </c>
      <c r="CK23" s="94" t="str">
        <f t="shared" si="59"/>
        <v>0,00</v>
      </c>
      <c r="CL23" s="95" t="str">
        <f t="shared" si="75"/>
        <v xml:space="preserve">0,00 </v>
      </c>
      <c r="CM23" s="95" t="e">
        <f>#REF!</f>
        <v>#REF!</v>
      </c>
      <c r="CN23" s="94">
        <f t="shared" si="60"/>
        <v>2.5818908421454392</v>
      </c>
      <c r="CO23" s="94">
        <f t="shared" si="60"/>
        <v>1.7960979771446532</v>
      </c>
      <c r="CP23" s="95">
        <f t="shared" si="61"/>
        <v>8.4753373296513335</v>
      </c>
      <c r="CQ23" s="95" t="e">
        <f>#REF!</f>
        <v>#REF!</v>
      </c>
      <c r="CR23" s="97" t="str">
        <f t="shared" si="76"/>
        <v xml:space="preserve">0,00 </v>
      </c>
      <c r="CS23" s="95" t="str">
        <f t="shared" si="76"/>
        <v xml:space="preserve">0,00 </v>
      </c>
      <c r="CT23" s="96" t="e">
        <f>#REF!</f>
        <v>#REF!</v>
      </c>
      <c r="CU23" s="97">
        <f t="shared" si="77"/>
        <v>1.0871157815752477E-2</v>
      </c>
      <c r="CV23" s="95">
        <f t="shared" si="62"/>
        <v>2.4158128479449949E-2</v>
      </c>
      <c r="CW23" s="96" t="e">
        <f>#REF!</f>
        <v>#REF!</v>
      </c>
      <c r="CX23" s="99">
        <f t="shared" si="63"/>
        <v>0.15300929077600348</v>
      </c>
      <c r="CY23" s="95">
        <f t="shared" si="63"/>
        <v>8.2988089912408667E-3</v>
      </c>
      <c r="CZ23" s="99">
        <f t="shared" si="63"/>
        <v>0.28682758575976247</v>
      </c>
      <c r="DA23" s="95">
        <f t="shared" si="63"/>
        <v>2.0747022478102167E-3</v>
      </c>
      <c r="DB23" s="94">
        <f t="shared" si="12"/>
        <v>0.24792691861332089</v>
      </c>
      <c r="DC23" s="94">
        <f t="shared" si="13"/>
        <v>4.8755502823540089E-2</v>
      </c>
      <c r="DD23" s="94">
        <f t="shared" si="13"/>
        <v>0.58506603388248113</v>
      </c>
      <c r="DE23" s="94">
        <f t="shared" si="13"/>
        <v>0.12966889048813854</v>
      </c>
      <c r="DF23" s="94">
        <f t="shared" si="13"/>
        <v>0</v>
      </c>
      <c r="DG23" s="94">
        <f t="shared" si="13"/>
        <v>0</v>
      </c>
      <c r="DH23" s="95">
        <f t="shared" si="13"/>
        <v>1.0114173458074807</v>
      </c>
      <c r="DI23" s="96" t="e">
        <f>#REF!</f>
        <v>#REF!</v>
      </c>
      <c r="DJ23" s="95">
        <f t="shared" si="64"/>
        <v>-0.79046155641569249</v>
      </c>
      <c r="DK23" s="96" t="e">
        <f>#REF!</f>
        <v>#REF!</v>
      </c>
      <c r="DL23" s="95">
        <f t="shared" si="14"/>
        <v>1.0059266463086507</v>
      </c>
      <c r="DM23" s="96">
        <f t="shared" si="15"/>
        <v>0</v>
      </c>
      <c r="DN23" s="94">
        <f t="shared" si="16"/>
        <v>2.7845543604406147</v>
      </c>
      <c r="DO23" s="100">
        <v>3.4</v>
      </c>
      <c r="DP23" s="94">
        <f>IF($O23&lt;&gt;0,IF($O23&lt;&gt;0,BL23/$O23*10,0)," ")</f>
        <v>3.0000194503335731</v>
      </c>
      <c r="DQ23" s="94">
        <f>IF($P23&lt;&gt;0,IF($P23&lt;&gt;0,BM23/$P23*10,0)," ")</f>
        <v>3.5742978775237138</v>
      </c>
      <c r="DR23" s="101">
        <f t="shared" si="17"/>
        <v>0</v>
      </c>
      <c r="DS23" s="171"/>
      <c r="DT23" s="103">
        <v>18</v>
      </c>
      <c r="DU23" s="300">
        <v>599317</v>
      </c>
      <c r="DV23" s="300">
        <v>21761</v>
      </c>
      <c r="DW23" s="300">
        <v>5077576</v>
      </c>
      <c r="DX23" s="298">
        <v>96311</v>
      </c>
      <c r="DY23" s="300">
        <v>79366</v>
      </c>
      <c r="DZ23" s="300">
        <v>355688</v>
      </c>
      <c r="EA23" s="121">
        <v>201629</v>
      </c>
      <c r="EB23" s="174">
        <v>45884</v>
      </c>
      <c r="EC23" s="300">
        <v>355048</v>
      </c>
      <c r="ED23" s="300">
        <v>43179</v>
      </c>
      <c r="EE23" s="174">
        <v>35200</v>
      </c>
      <c r="EF23" s="77">
        <v>36917</v>
      </c>
      <c r="EG23" s="298">
        <v>87934</v>
      </c>
      <c r="EH23" s="76">
        <v>173232</v>
      </c>
      <c r="EI23" s="76">
        <v>27399</v>
      </c>
      <c r="EJ23" s="77">
        <v>35536</v>
      </c>
      <c r="EK23" s="77"/>
      <c r="EL23" s="76">
        <v>669113</v>
      </c>
      <c r="EM23" s="76">
        <v>5258</v>
      </c>
      <c r="EN23" s="77">
        <v>37824</v>
      </c>
      <c r="EO23" s="76">
        <v>2786029</v>
      </c>
      <c r="EP23" s="77">
        <v>2238740</v>
      </c>
      <c r="EQ23" s="77">
        <v>0</v>
      </c>
      <c r="ER23" s="77">
        <v>1456</v>
      </c>
      <c r="ES23" s="77">
        <v>245576</v>
      </c>
      <c r="ET23" s="77">
        <v>7488220</v>
      </c>
      <c r="EU23" s="77">
        <v>355148</v>
      </c>
      <c r="EV23" s="77">
        <v>100689</v>
      </c>
      <c r="EW23" s="77">
        <v>49681</v>
      </c>
      <c r="EX23" s="77">
        <v>192382</v>
      </c>
      <c r="EY23" s="77">
        <v>1529688</v>
      </c>
      <c r="EZ23" s="77">
        <v>670424</v>
      </c>
      <c r="FA23" s="151">
        <v>709516</v>
      </c>
      <c r="FB23" s="77">
        <v>29648</v>
      </c>
      <c r="FC23" s="77">
        <v>7308</v>
      </c>
      <c r="FD23" s="104">
        <f t="shared" si="18"/>
        <v>5037</v>
      </c>
      <c r="FE23" s="105">
        <f t="shared" si="84"/>
        <v>311</v>
      </c>
      <c r="FF23" s="287">
        <f t="shared" si="84"/>
        <v>696</v>
      </c>
      <c r="FG23" s="77">
        <v>0</v>
      </c>
      <c r="FH23" s="288">
        <f t="shared" si="85"/>
        <v>1624</v>
      </c>
      <c r="FI23" s="288">
        <f t="shared" si="85"/>
        <v>0</v>
      </c>
      <c r="FJ23" s="77">
        <v>0</v>
      </c>
      <c r="FK23" s="104">
        <f t="shared" si="86"/>
        <v>746</v>
      </c>
      <c r="FL23" s="288">
        <f t="shared" si="86"/>
        <v>1660</v>
      </c>
      <c r="FM23" s="77">
        <v>0</v>
      </c>
      <c r="FN23" s="80">
        <f t="shared" si="82"/>
        <v>747</v>
      </c>
      <c r="FO23" s="174">
        <v>39734</v>
      </c>
      <c r="FP23" s="81"/>
      <c r="FZ23" s="178">
        <f t="shared" si="65"/>
        <v>1.5341252091227118</v>
      </c>
      <c r="GA23" s="64"/>
      <c r="GB23" s="64"/>
      <c r="GC23" s="64"/>
      <c r="GD23" s="64"/>
      <c r="GE23" s="116"/>
      <c r="GF23" s="116"/>
      <c r="GG23" s="64"/>
      <c r="GH23" s="64"/>
      <c r="GI23" s="64"/>
      <c r="GJ23" s="64"/>
    </row>
    <row r="24" spans="1:197" s="119" customFormat="1" ht="15" customHeight="1">
      <c r="B24" s="573">
        <v>42754</v>
      </c>
      <c r="D24" s="301">
        <v>6065.4</v>
      </c>
      <c r="E24" s="301">
        <v>0</v>
      </c>
      <c r="F24" s="301">
        <v>2692.08</v>
      </c>
      <c r="G24" s="301">
        <v>0</v>
      </c>
      <c r="H24" s="301">
        <v>7773.7360000000008</v>
      </c>
      <c r="I24" s="301">
        <v>2180.011</v>
      </c>
      <c r="J24" s="301">
        <v>4500.8999999999996</v>
      </c>
      <c r="K24" s="297">
        <v>4.2750000000000004</v>
      </c>
      <c r="L24" s="297"/>
      <c r="M24" s="291">
        <f t="shared" si="21"/>
        <v>6680.9110000000001</v>
      </c>
      <c r="N24" s="213">
        <f t="shared" si="0"/>
        <v>16531.216</v>
      </c>
      <c r="O24" s="88">
        <f t="shared" si="22"/>
        <v>19871.6715</v>
      </c>
      <c r="P24" s="89">
        <f t="shared" si="23"/>
        <v>288262.84450000001</v>
      </c>
      <c r="R24" s="90">
        <f t="shared" si="24"/>
        <v>289</v>
      </c>
      <c r="S24" s="90">
        <f t="shared" si="25"/>
        <v>13.5</v>
      </c>
      <c r="T24" s="90">
        <f t="shared" si="1"/>
        <v>435.9</v>
      </c>
      <c r="U24" s="90"/>
      <c r="V24" s="90">
        <f t="shared" si="26"/>
        <v>1126</v>
      </c>
      <c r="W24" s="91">
        <f t="shared" si="71"/>
        <v>1631.6</v>
      </c>
      <c r="X24" s="90">
        <f t="shared" si="27"/>
        <v>1126</v>
      </c>
      <c r="Y24" s="90" t="str">
        <f t="shared" si="28"/>
        <v>0</v>
      </c>
      <c r="Z24" s="90">
        <f t="shared" si="2"/>
        <v>91.3</v>
      </c>
      <c r="AA24" s="90">
        <f t="shared" si="29"/>
        <v>1864.4</v>
      </c>
      <c r="AB24" s="90">
        <f t="shared" si="30"/>
        <v>284</v>
      </c>
      <c r="AC24" s="90">
        <f t="shared" si="30"/>
        <v>79</v>
      </c>
      <c r="AD24" s="90">
        <f>(IF(SUM(AB24:AC24)&gt;=(DW24-DW23),(SUM(AB24:AC24)),(DW24-DW23)))</f>
        <v>575</v>
      </c>
      <c r="AE24" s="90">
        <f t="shared" si="32"/>
        <v>212</v>
      </c>
      <c r="AF24" s="90">
        <f t="shared" si="33"/>
        <v>0</v>
      </c>
      <c r="AG24" s="90">
        <f t="shared" si="33"/>
        <v>0</v>
      </c>
      <c r="AH24" s="90">
        <f t="shared" si="34"/>
        <v>93</v>
      </c>
      <c r="AI24" s="90">
        <f>IF(AF24="","",(AH24-AG24-AF24))</f>
        <v>93</v>
      </c>
      <c r="AJ24" s="90">
        <f t="shared" si="36"/>
        <v>212</v>
      </c>
      <c r="AK24" s="90">
        <f t="shared" si="36"/>
        <v>30</v>
      </c>
      <c r="AL24" s="90">
        <f t="shared" si="37"/>
        <v>317</v>
      </c>
      <c r="AM24" s="90">
        <f t="shared" si="38"/>
        <v>75</v>
      </c>
      <c r="AN24" s="90">
        <f t="shared" si="39"/>
        <v>44</v>
      </c>
      <c r="AO24" s="90">
        <f t="shared" si="3"/>
        <v>0</v>
      </c>
      <c r="AP24" s="90">
        <f t="shared" si="40"/>
        <v>18</v>
      </c>
      <c r="AQ24" s="90">
        <f t="shared" si="4"/>
        <v>27</v>
      </c>
      <c r="AR24" s="90">
        <f t="shared" si="41"/>
        <v>57.243000000000002</v>
      </c>
      <c r="AS24" s="90">
        <f t="shared" si="42"/>
        <v>84.243000000000052</v>
      </c>
      <c r="AT24" s="90">
        <f t="shared" si="43"/>
        <v>801.24300000000005</v>
      </c>
      <c r="AU24" s="90">
        <f t="shared" si="44"/>
        <v>295</v>
      </c>
      <c r="AV24" s="90">
        <f t="shared" si="72"/>
        <v>39</v>
      </c>
      <c r="AW24" s="90">
        <f t="shared" si="45"/>
        <v>422</v>
      </c>
      <c r="AX24" s="90">
        <f t="shared" si="73"/>
        <v>78</v>
      </c>
      <c r="AY24" s="90" t="str">
        <f t="shared" si="46"/>
        <v/>
      </c>
      <c r="AZ24" s="90">
        <f t="shared" si="47"/>
        <v>428</v>
      </c>
      <c r="BA24" s="90">
        <v>25</v>
      </c>
      <c r="BB24" s="90">
        <f t="shared" si="48"/>
        <v>95</v>
      </c>
      <c r="BC24" s="90">
        <f t="shared" si="48"/>
        <v>1061</v>
      </c>
      <c r="BD24" s="90">
        <f t="shared" si="49"/>
        <v>218</v>
      </c>
      <c r="BE24" s="90"/>
      <c r="BF24" s="90"/>
      <c r="BG24" s="90">
        <f t="shared" si="5"/>
        <v>1802</v>
      </c>
      <c r="BH24" s="90">
        <f t="shared" si="50"/>
        <v>-1253</v>
      </c>
      <c r="BI24" s="90">
        <f t="shared" si="51"/>
        <v>2116.357</v>
      </c>
      <c r="BJ24" s="90">
        <f t="shared" si="6"/>
        <v>4879.643</v>
      </c>
      <c r="BK24" s="92"/>
      <c r="BL24" s="93">
        <f t="shared" si="52"/>
        <v>5743</v>
      </c>
      <c r="BM24" s="93">
        <f t="shared" si="53"/>
        <v>101674</v>
      </c>
      <c r="BN24" s="92"/>
      <c r="BO24" s="94">
        <f t="shared" si="54"/>
        <v>0.17482077543478955</v>
      </c>
      <c r="BP24" s="94">
        <f t="shared" si="54"/>
        <v>8.1663684026631791E-3</v>
      </c>
      <c r="BQ24" s="94">
        <f t="shared" si="55"/>
        <v>0.26368296197932445</v>
      </c>
      <c r="BR24" s="94">
        <f t="shared" si="74"/>
        <v>0.68113561639990672</v>
      </c>
      <c r="BS24" s="94">
        <f t="shared" si="83"/>
        <v>0</v>
      </c>
      <c r="BT24" s="94">
        <f t="shared" si="83"/>
        <v>5.52288470491221E-2</v>
      </c>
      <c r="BU24" s="95">
        <f t="shared" si="83"/>
        <v>1.127805722216684</v>
      </c>
      <c r="BV24" s="94">
        <f t="shared" si="8"/>
        <v>0.14543316096987613</v>
      </c>
      <c r="BW24" s="94">
        <f t="shared" si="8"/>
        <v>6.7935905643367739E-3</v>
      </c>
      <c r="BX24" s="94">
        <f t="shared" si="8"/>
        <v>0.21935749088847406</v>
      </c>
      <c r="BY24" s="94">
        <f t="shared" si="56"/>
        <v>0.56663577595875614</v>
      </c>
      <c r="BZ24" s="95">
        <f t="shared" si="9"/>
        <v>0.9382200183814432</v>
      </c>
      <c r="CA24" s="96" t="e">
        <f>#REF!</f>
        <v>#REF!</v>
      </c>
      <c r="CB24" s="94">
        <f t="shared" si="10"/>
        <v>2.880633367958E-2</v>
      </c>
      <c r="CC24" s="95">
        <f t="shared" si="10"/>
        <v>4.2393514808253575E-2</v>
      </c>
      <c r="CD24" s="97">
        <f t="shared" si="11"/>
        <v>8.5681428775207458E-2</v>
      </c>
      <c r="CE24" s="98">
        <f t="shared" si="11"/>
        <v>0.12609507894956248</v>
      </c>
      <c r="CF24" s="94">
        <f t="shared" si="57"/>
        <v>0.46822963036238341</v>
      </c>
      <c r="CG24" s="94">
        <f t="shared" si="57"/>
        <v>0.13024697464305734</v>
      </c>
      <c r="CH24" s="95">
        <f t="shared" si="58"/>
        <v>0.94800013189567056</v>
      </c>
      <c r="CI24" s="96" t="e">
        <f>#REF!</f>
        <v>#REF!</v>
      </c>
      <c r="CJ24" s="94" t="str">
        <f t="shared" si="59"/>
        <v>0,00</v>
      </c>
      <c r="CK24" s="94" t="str">
        <f t="shared" si="59"/>
        <v>0,00</v>
      </c>
      <c r="CL24" s="95" t="str">
        <f t="shared" si="75"/>
        <v xml:space="preserve">0,00 </v>
      </c>
      <c r="CM24" s="95" t="e">
        <f>#REF!</f>
        <v>#REF!</v>
      </c>
      <c r="CN24" s="94">
        <f t="shared" si="60"/>
        <v>0.78749517102017774</v>
      </c>
      <c r="CO24" s="94">
        <f t="shared" si="60"/>
        <v>0.11143799589908175</v>
      </c>
      <c r="CP24" s="95">
        <f t="shared" si="61"/>
        <v>1.177528156666964</v>
      </c>
      <c r="CQ24" s="95" t="e">
        <f>#REF!</f>
        <v>#REF!</v>
      </c>
      <c r="CR24" s="97" t="str">
        <f t="shared" si="76"/>
        <v xml:space="preserve">0,00 </v>
      </c>
      <c r="CS24" s="95" t="str">
        <f t="shared" si="76"/>
        <v xml:space="preserve">0,00 </v>
      </c>
      <c r="CT24" s="96" t="e">
        <f>#REF!</f>
        <v>#REF!</v>
      </c>
      <c r="CU24" s="97">
        <f t="shared" si="77"/>
        <v>2.3154889746706087E-2</v>
      </c>
      <c r="CV24" s="95">
        <f t="shared" si="62"/>
        <v>3.4732334620059126E-2</v>
      </c>
      <c r="CW24" s="96" t="e">
        <f>#REF!</f>
        <v>#REF!</v>
      </c>
      <c r="CX24" s="99">
        <f t="shared" si="63"/>
        <v>0.14845253455402582</v>
      </c>
      <c r="CY24" s="95">
        <f t="shared" si="63"/>
        <v>1.9625928296972905E-2</v>
      </c>
      <c r="CZ24" s="99">
        <f t="shared" si="63"/>
        <v>0.21236260875186067</v>
      </c>
      <c r="DA24" s="95">
        <f t="shared" si="63"/>
        <v>3.9251856593945811E-2</v>
      </c>
      <c r="DB24" s="94">
        <f t="shared" si="12"/>
        <v>0.21538198233601033</v>
      </c>
      <c r="DC24" s="94">
        <f t="shared" si="13"/>
        <v>4.7806748415703225E-2</v>
      </c>
      <c r="DD24" s="94">
        <f t="shared" si="13"/>
        <v>0.53392589546380131</v>
      </c>
      <c r="DE24" s="94">
        <f t="shared" si="13"/>
        <v>0.10970390689077161</v>
      </c>
      <c r="DF24" s="94">
        <f t="shared" si="13"/>
        <v>0</v>
      </c>
      <c r="DG24" s="94">
        <f t="shared" si="13"/>
        <v>0</v>
      </c>
      <c r="DH24" s="95">
        <f t="shared" si="13"/>
        <v>0.90681853310628657</v>
      </c>
      <c r="DI24" s="96" t="e">
        <f>#REF!</f>
        <v>#REF!</v>
      </c>
      <c r="DJ24" s="95">
        <f t="shared" si="64"/>
        <v>-0.63054585015659093</v>
      </c>
      <c r="DK24" s="96" t="e">
        <f>#REF!</f>
        <v>#REF!</v>
      </c>
      <c r="DL24" s="95">
        <f t="shared" si="14"/>
        <v>1.0650120700717098</v>
      </c>
      <c r="DM24" s="96">
        <f t="shared" si="15"/>
        <v>0</v>
      </c>
      <c r="DN24" s="94">
        <f t="shared" si="16"/>
        <v>2.4555775290468143</v>
      </c>
      <c r="DO24" s="100">
        <v>3.4</v>
      </c>
      <c r="DP24" s="94">
        <f t="shared" si="80"/>
        <v>2.8900437489619328</v>
      </c>
      <c r="DQ24" s="94">
        <f t="shared" si="81"/>
        <v>3.5271281727742747</v>
      </c>
      <c r="DR24" s="101">
        <f t="shared" si="17"/>
        <v>0</v>
      </c>
      <c r="DT24" s="103">
        <v>19</v>
      </c>
      <c r="DU24" s="300">
        <v>599601</v>
      </c>
      <c r="DV24" s="300">
        <v>21840</v>
      </c>
      <c r="DW24" s="76">
        <v>5078151</v>
      </c>
      <c r="DX24" s="76">
        <v>96311</v>
      </c>
      <c r="DY24" s="76">
        <v>79366</v>
      </c>
      <c r="DZ24" s="76">
        <v>355781</v>
      </c>
      <c r="EA24" s="121">
        <v>201841</v>
      </c>
      <c r="EB24" s="174">
        <v>45914</v>
      </c>
      <c r="EC24" s="120">
        <v>355365</v>
      </c>
      <c r="ED24" s="76">
        <v>43223</v>
      </c>
      <c r="EE24" s="77">
        <v>35200</v>
      </c>
      <c r="EF24" s="77">
        <v>36917</v>
      </c>
      <c r="EG24" s="76">
        <v>87952</v>
      </c>
      <c r="EH24" s="76">
        <v>173259</v>
      </c>
      <c r="EI24" s="76">
        <v>27438</v>
      </c>
      <c r="EJ24" s="77">
        <v>35614</v>
      </c>
      <c r="EK24" s="77"/>
      <c r="EL24" s="76">
        <v>669402</v>
      </c>
      <c r="EM24" s="76">
        <v>4359</v>
      </c>
      <c r="EN24" s="77">
        <v>37879</v>
      </c>
      <c r="EO24" s="76">
        <v>2787155</v>
      </c>
      <c r="EP24" s="77">
        <v>2255056</v>
      </c>
      <c r="EQ24" s="77">
        <v>0</v>
      </c>
      <c r="ER24" s="77">
        <v>913</v>
      </c>
      <c r="ES24" s="77">
        <v>246320</v>
      </c>
      <c r="ET24" s="77">
        <v>7545463</v>
      </c>
      <c r="EU24" s="77">
        <v>355570</v>
      </c>
      <c r="EV24" s="77">
        <v>100984</v>
      </c>
      <c r="EW24" s="77">
        <v>50109</v>
      </c>
      <c r="EX24" s="77">
        <v>192477</v>
      </c>
      <c r="EY24" s="77">
        <v>1530749</v>
      </c>
      <c r="EZ24" s="77">
        <v>670559</v>
      </c>
      <c r="FA24" s="151">
        <v>709734</v>
      </c>
      <c r="FB24" s="77">
        <v>29674</v>
      </c>
      <c r="FC24" s="77">
        <v>6996</v>
      </c>
      <c r="FD24" s="104">
        <f t="shared" si="18"/>
        <v>4457</v>
      </c>
      <c r="FE24" s="105">
        <f t="shared" si="84"/>
        <v>240</v>
      </c>
      <c r="FF24" s="287">
        <f t="shared" si="84"/>
        <v>556</v>
      </c>
      <c r="FG24" s="77">
        <v>0</v>
      </c>
      <c r="FH24" s="288">
        <f t="shared" si="85"/>
        <v>1520</v>
      </c>
      <c r="FI24" s="288">
        <f t="shared" si="85"/>
        <v>3</v>
      </c>
      <c r="FJ24" s="77">
        <v>0</v>
      </c>
      <c r="FK24" s="104">
        <f t="shared" si="86"/>
        <v>795</v>
      </c>
      <c r="FL24" s="288">
        <f t="shared" si="86"/>
        <v>1343</v>
      </c>
      <c r="FM24" s="77">
        <v>0</v>
      </c>
      <c r="FN24" s="80">
        <f t="shared" si="82"/>
        <v>1286</v>
      </c>
      <c r="FO24" s="302">
        <v>41020</v>
      </c>
      <c r="FP24" s="81"/>
      <c r="FZ24" s="178">
        <f t="shared" si="65"/>
        <v>1.127805722216684</v>
      </c>
      <c r="GA24" s="64"/>
      <c r="GB24" s="64"/>
      <c r="GC24" s="64"/>
      <c r="GD24" s="64"/>
      <c r="GE24" s="116"/>
      <c r="GF24" s="116"/>
      <c r="GG24" s="64"/>
      <c r="GH24" s="64"/>
      <c r="GI24" s="64"/>
      <c r="GJ24" s="64"/>
    </row>
    <row r="25" spans="1:197" ht="15" customHeight="1">
      <c r="B25" s="573">
        <v>42755</v>
      </c>
      <c r="D25" s="301">
        <v>5950.08</v>
      </c>
      <c r="E25" s="301">
        <v>0</v>
      </c>
      <c r="F25" s="301">
        <v>3207.8879999999999</v>
      </c>
      <c r="G25" s="301">
        <v>0</v>
      </c>
      <c r="H25" s="301">
        <v>8803.2489999999998</v>
      </c>
      <c r="I25" s="301">
        <v>2108.8829999999998</v>
      </c>
      <c r="J25" s="301">
        <v>6944.76</v>
      </c>
      <c r="K25" s="297">
        <v>11.169</v>
      </c>
      <c r="L25" s="297">
        <v>16</v>
      </c>
      <c r="M25" s="291">
        <f t="shared" si="21"/>
        <v>9053.643</v>
      </c>
      <c r="N25" s="213">
        <f t="shared" si="0"/>
        <v>17961.217000000001</v>
      </c>
      <c r="O25" s="88">
        <f t="shared" si="22"/>
        <v>22504.038500000002</v>
      </c>
      <c r="P25" s="89">
        <f t="shared" si="23"/>
        <v>310766.88300000003</v>
      </c>
      <c r="R25" s="90">
        <f t="shared" si="24"/>
        <v>207</v>
      </c>
      <c r="S25" s="90">
        <f t="shared" si="25"/>
        <v>40.700000000000003</v>
      </c>
      <c r="T25" s="90">
        <f t="shared" si="1"/>
        <v>1011.6</v>
      </c>
      <c r="U25" s="90"/>
      <c r="V25" s="90">
        <f t="shared" si="26"/>
        <v>1103</v>
      </c>
      <c r="W25" s="91">
        <f t="shared" si="71"/>
        <v>1835.9</v>
      </c>
      <c r="X25" s="90">
        <f t="shared" si="27"/>
        <v>1103</v>
      </c>
      <c r="Y25" s="90" t="str">
        <f t="shared" si="28"/>
        <v>0</v>
      </c>
      <c r="Z25" s="90">
        <f t="shared" si="2"/>
        <v>114.8</v>
      </c>
      <c r="AA25" s="90">
        <f t="shared" si="29"/>
        <v>2362.3000000000002</v>
      </c>
      <c r="AB25" s="90">
        <f t="shared" si="30"/>
        <v>284</v>
      </c>
      <c r="AC25" s="90">
        <f t="shared" si="30"/>
        <v>45</v>
      </c>
      <c r="AD25" s="90">
        <f t="shared" si="31"/>
        <v>513</v>
      </c>
      <c r="AE25" s="90">
        <f t="shared" si="32"/>
        <v>184</v>
      </c>
      <c r="AF25" s="90">
        <f t="shared" si="33"/>
        <v>0</v>
      </c>
      <c r="AG25" s="90">
        <f t="shared" si="33"/>
        <v>101</v>
      </c>
      <c r="AH25" s="90">
        <f t="shared" si="34"/>
        <v>103</v>
      </c>
      <c r="AI25" s="90">
        <f t="shared" si="35"/>
        <v>2</v>
      </c>
      <c r="AJ25" s="90">
        <f t="shared" si="36"/>
        <v>229</v>
      </c>
      <c r="AK25" s="90">
        <f t="shared" si="36"/>
        <v>62</v>
      </c>
      <c r="AL25" s="90">
        <f t="shared" si="37"/>
        <v>369</v>
      </c>
      <c r="AM25" s="90">
        <f t="shared" si="38"/>
        <v>78</v>
      </c>
      <c r="AN25" s="90">
        <f t="shared" si="39"/>
        <v>0</v>
      </c>
      <c r="AO25" s="90">
        <f t="shared" si="3"/>
        <v>0</v>
      </c>
      <c r="AP25" s="90">
        <f t="shared" si="40"/>
        <v>13</v>
      </c>
      <c r="AQ25" s="90">
        <f t="shared" si="4"/>
        <v>48</v>
      </c>
      <c r="AR25" s="90">
        <f t="shared" si="41"/>
        <v>79.3</v>
      </c>
      <c r="AS25" s="90">
        <f t="shared" si="42"/>
        <v>180.29999999999995</v>
      </c>
      <c r="AT25" s="90">
        <f t="shared" si="43"/>
        <v>1061.3</v>
      </c>
      <c r="AU25" s="90">
        <f t="shared" si="44"/>
        <v>283</v>
      </c>
      <c r="AV25" s="90">
        <f t="shared" si="72"/>
        <v>14</v>
      </c>
      <c r="AW25" s="90">
        <f t="shared" si="45"/>
        <v>598</v>
      </c>
      <c r="AX25" s="90">
        <f t="shared" si="73"/>
        <v>40</v>
      </c>
      <c r="AY25" s="90" t="str">
        <f t="shared" si="46"/>
        <v/>
      </c>
      <c r="AZ25" s="90">
        <f t="shared" si="47"/>
        <v>434</v>
      </c>
      <c r="BA25" s="90">
        <v>7</v>
      </c>
      <c r="BB25" s="90">
        <f t="shared" si="48"/>
        <v>97</v>
      </c>
      <c r="BC25" s="90">
        <f t="shared" si="48"/>
        <v>966</v>
      </c>
      <c r="BD25" s="90">
        <f t="shared" si="49"/>
        <v>45</v>
      </c>
      <c r="BE25" s="90"/>
      <c r="BF25" s="90"/>
      <c r="BG25" s="90">
        <f t="shared" si="5"/>
        <v>1542</v>
      </c>
      <c r="BH25" s="90">
        <f t="shared" si="50"/>
        <v>-376</v>
      </c>
      <c r="BI25" s="90">
        <f t="shared" si="51"/>
        <v>1498.3999999999996</v>
      </c>
      <c r="BJ25" s="90">
        <f t="shared" si="6"/>
        <v>5171.6000000000004</v>
      </c>
      <c r="BK25" s="92"/>
      <c r="BL25" s="93">
        <f t="shared" si="52"/>
        <v>6294</v>
      </c>
      <c r="BM25" s="93">
        <f t="shared" si="53"/>
        <v>107968</v>
      </c>
      <c r="BN25" s="92"/>
      <c r="BO25" s="94">
        <f t="shared" si="54"/>
        <v>0.11524831530068369</v>
      </c>
      <c r="BP25" s="94">
        <f t="shared" si="54"/>
        <v>2.2659934457670661E-2</v>
      </c>
      <c r="BQ25" s="94">
        <f t="shared" si="55"/>
        <v>0.56321350607812382</v>
      </c>
      <c r="BR25" s="94">
        <f t="shared" si="74"/>
        <v>0.61410092645726622</v>
      </c>
      <c r="BS25" s="94">
        <f t="shared" si="83"/>
        <v>0</v>
      </c>
      <c r="BT25" s="94">
        <f t="shared" si="83"/>
        <v>6.3915490804437133E-2</v>
      </c>
      <c r="BU25" s="95">
        <f t="shared" si="83"/>
        <v>1.3152226822937443</v>
      </c>
      <c r="BV25" s="94">
        <f t="shared" si="8"/>
        <v>9.198348998558635E-2</v>
      </c>
      <c r="BW25" s="94">
        <f t="shared" si="8"/>
        <v>1.8085642716972775E-2</v>
      </c>
      <c r="BX25" s="94">
        <f t="shared" si="8"/>
        <v>0.44951931627738723</v>
      </c>
      <c r="BY25" s="94">
        <f t="shared" si="56"/>
        <v>0.49013424857053983</v>
      </c>
      <c r="BZ25" s="95">
        <f t="shared" si="9"/>
        <v>1.0497226975504863</v>
      </c>
      <c r="CA25" s="96" t="e">
        <f>#REF!</f>
        <v>#REF!</v>
      </c>
      <c r="CB25" s="94">
        <f t="shared" si="10"/>
        <v>3.5238119593512064E-2</v>
      </c>
      <c r="CC25" s="95">
        <f t="shared" si="10"/>
        <v>8.0118952871503446E-2</v>
      </c>
      <c r="CD25" s="97">
        <f t="shared" si="11"/>
        <v>8.7589051169788781E-2</v>
      </c>
      <c r="CE25" s="98">
        <f t="shared" si="11"/>
        <v>0.19914635467733813</v>
      </c>
      <c r="CF25" s="94">
        <f t="shared" si="57"/>
        <v>0.47730450683016024</v>
      </c>
      <c r="CG25" s="94">
        <f t="shared" si="57"/>
        <v>7.5629235237173284E-2</v>
      </c>
      <c r="CH25" s="95">
        <f t="shared" si="58"/>
        <v>0.86217328170377538</v>
      </c>
      <c r="CI25" s="96" t="e">
        <f>#REF!</f>
        <v>#REF!</v>
      </c>
      <c r="CJ25" s="94" t="str">
        <f t="shared" si="59"/>
        <v>0,00</v>
      </c>
      <c r="CK25" s="94" t="str">
        <f t="shared" si="59"/>
        <v>0,00</v>
      </c>
      <c r="CL25" s="95" t="str">
        <f t="shared" si="75"/>
        <v xml:space="preserve">0,00 </v>
      </c>
      <c r="CM25" s="95" t="e">
        <f>#REF!</f>
        <v>#REF!</v>
      </c>
      <c r="CN25" s="94">
        <f t="shared" si="60"/>
        <v>0.71386532198131614</v>
      </c>
      <c r="CO25" s="94">
        <f t="shared" si="60"/>
        <v>0.19327358062376243</v>
      </c>
      <c r="CP25" s="95">
        <f t="shared" si="61"/>
        <v>1.1502895362930377</v>
      </c>
      <c r="CQ25" s="95" t="e">
        <f>#REF!</f>
        <v>#REF!</v>
      </c>
      <c r="CR25" s="97" t="str">
        <f t="shared" si="76"/>
        <v xml:space="preserve">0,00 </v>
      </c>
      <c r="CS25" s="95" t="str">
        <f t="shared" si="76"/>
        <v xml:space="preserve">0,00 </v>
      </c>
      <c r="CT25" s="96" t="e">
        <f>#REF!</f>
        <v>#REF!</v>
      </c>
      <c r="CU25" s="97">
        <f t="shared" si="77"/>
        <v>1.4767275127626175E-2</v>
      </c>
      <c r="CV25" s="95">
        <f t="shared" si="62"/>
        <v>5.4525323548158186E-2</v>
      </c>
      <c r="CW25" s="96" t="e">
        <f>#REF!</f>
        <v>#REF!</v>
      </c>
      <c r="CX25" s="99">
        <f t="shared" si="63"/>
        <v>0.1257552061155601</v>
      </c>
      <c r="CY25" s="95">
        <f t="shared" si="63"/>
        <v>6.2211056028898988E-3</v>
      </c>
      <c r="CZ25" s="99">
        <f t="shared" si="63"/>
        <v>0.26573008218058281</v>
      </c>
      <c r="DA25" s="95">
        <f t="shared" si="63"/>
        <v>1.7774587436828283E-2</v>
      </c>
      <c r="DB25" s="94">
        <f t="shared" si="12"/>
        <v>0.19285427368958685</v>
      </c>
      <c r="DC25" s="94">
        <f t="shared" si="13"/>
        <v>4.3103374534308583E-2</v>
      </c>
      <c r="DD25" s="94">
        <f t="shared" si="13"/>
        <v>0.42925628659940296</v>
      </c>
      <c r="DE25" s="94">
        <f t="shared" si="13"/>
        <v>1.9996410866431818E-2</v>
      </c>
      <c r="DF25" s="94">
        <f t="shared" si="13"/>
        <v>0</v>
      </c>
      <c r="DG25" s="94">
        <f t="shared" si="13"/>
        <v>0</v>
      </c>
      <c r="DH25" s="95">
        <f t="shared" si="13"/>
        <v>0.68521034568973027</v>
      </c>
      <c r="DI25" s="96" t="e">
        <f>#REF!</f>
        <v>#REF!</v>
      </c>
      <c r="DJ25" s="95">
        <f t="shared" si="64"/>
        <v>-0.16708112190618585</v>
      </c>
      <c r="DK25" s="96" t="e">
        <f>#REF!</f>
        <v>#REF!</v>
      </c>
      <c r="DL25" s="95">
        <f t="shared" si="14"/>
        <v>0.66583604538358721</v>
      </c>
      <c r="DM25" s="96">
        <f t="shared" si="15"/>
        <v>0</v>
      </c>
      <c r="DN25" s="94">
        <f t="shared" si="16"/>
        <v>2.2980764097075288</v>
      </c>
      <c r="DO25" s="100">
        <v>3.4</v>
      </c>
      <c r="DP25" s="94">
        <f t="shared" si="80"/>
        <v>2.7968313331849299</v>
      </c>
      <c r="DQ25" s="94">
        <f t="shared" si="81"/>
        <v>3.4742440686641629</v>
      </c>
      <c r="DR25" s="101">
        <f t="shared" si="17"/>
        <v>0</v>
      </c>
      <c r="DS25" s="173"/>
      <c r="DT25" s="103">
        <v>20</v>
      </c>
      <c r="DU25" s="160">
        <v>599885</v>
      </c>
      <c r="DV25" s="160">
        <v>21885</v>
      </c>
      <c r="DW25" s="135">
        <v>5078664</v>
      </c>
      <c r="DX25" s="135">
        <v>96311</v>
      </c>
      <c r="DY25" s="183">
        <v>79467</v>
      </c>
      <c r="DZ25" s="183">
        <v>355884</v>
      </c>
      <c r="EA25" s="139">
        <v>202070</v>
      </c>
      <c r="EB25" s="161">
        <v>45976</v>
      </c>
      <c r="EC25" s="183">
        <v>355734</v>
      </c>
      <c r="ED25" s="135">
        <v>43223</v>
      </c>
      <c r="EE25" s="136">
        <v>35200</v>
      </c>
      <c r="EF25" s="136">
        <v>36917</v>
      </c>
      <c r="EG25" s="135">
        <v>87965</v>
      </c>
      <c r="EH25" s="135">
        <v>173307</v>
      </c>
      <c r="EI25" s="135">
        <v>27452</v>
      </c>
      <c r="EJ25" s="136">
        <v>35654</v>
      </c>
      <c r="EK25" s="77"/>
      <c r="EL25" s="135">
        <v>669609</v>
      </c>
      <c r="EM25" s="136">
        <v>10116</v>
      </c>
      <c r="EN25" s="136">
        <v>37921</v>
      </c>
      <c r="EO25" s="135">
        <v>2788258</v>
      </c>
      <c r="EP25" s="136">
        <v>2273415</v>
      </c>
      <c r="EQ25" s="136">
        <v>0</v>
      </c>
      <c r="ER25" s="136">
        <v>1148</v>
      </c>
      <c r="ES25" s="136">
        <v>247302</v>
      </c>
      <c r="ET25" s="136">
        <v>7624763</v>
      </c>
      <c r="EU25" s="136">
        <v>356168</v>
      </c>
      <c r="EV25" s="136">
        <v>101267</v>
      </c>
      <c r="EW25" s="136">
        <v>50543</v>
      </c>
      <c r="EX25" s="136">
        <v>192574</v>
      </c>
      <c r="EY25" s="136">
        <v>1531715</v>
      </c>
      <c r="EZ25" s="136">
        <v>670966</v>
      </c>
      <c r="FA25" s="145">
        <v>709779</v>
      </c>
      <c r="FB25" s="136">
        <v>29463</v>
      </c>
      <c r="FC25" s="136">
        <v>6670</v>
      </c>
      <c r="FD25" s="303">
        <v>5823</v>
      </c>
      <c r="FE25" s="105">
        <f t="shared" si="84"/>
        <v>256</v>
      </c>
      <c r="FF25" s="287">
        <f t="shared" si="84"/>
        <v>624</v>
      </c>
      <c r="FG25" s="287">
        <f t="shared" ref="FG25:FG36" si="87">FG58-FG57</f>
        <v>430</v>
      </c>
      <c r="FH25" s="288">
        <f t="shared" si="85"/>
        <v>1864</v>
      </c>
      <c r="FI25" s="288">
        <f t="shared" si="85"/>
        <v>185</v>
      </c>
      <c r="FJ25" s="136">
        <v>0</v>
      </c>
      <c r="FK25" s="104">
        <f t="shared" si="86"/>
        <v>592</v>
      </c>
      <c r="FL25" s="288">
        <f t="shared" si="86"/>
        <v>1520</v>
      </c>
      <c r="FM25" s="288">
        <f t="shared" si="86"/>
        <v>352</v>
      </c>
      <c r="FN25" s="187">
        <f t="shared" si="82"/>
        <v>471</v>
      </c>
      <c r="FO25" s="161">
        <v>41491</v>
      </c>
      <c r="FP25" s="81"/>
      <c r="FQ25" s="185"/>
      <c r="FR25" s="64"/>
      <c r="FS25" s="64"/>
      <c r="FT25" s="64"/>
      <c r="FU25" s="64"/>
      <c r="FV25" s="64"/>
      <c r="FW25" s="64"/>
      <c r="FX25" s="64"/>
      <c r="FY25" s="64"/>
      <c r="FZ25" s="178">
        <f t="shared" si="65"/>
        <v>1.3152226822937443</v>
      </c>
      <c r="GE25" s="116"/>
      <c r="GF25" s="116"/>
      <c r="GK25" s="118"/>
    </row>
    <row r="26" spans="1:197" s="119" customFormat="1" ht="15" customHeight="1">
      <c r="B26" s="573">
        <v>42756</v>
      </c>
      <c r="D26" s="301">
        <v>5324.04</v>
      </c>
      <c r="E26" s="301">
        <v>0</v>
      </c>
      <c r="F26" s="301">
        <v>2725.1279999999997</v>
      </c>
      <c r="G26" s="301">
        <v>0</v>
      </c>
      <c r="H26" s="301">
        <v>0</v>
      </c>
      <c r="I26" s="301">
        <v>1881.0219999999999</v>
      </c>
      <c r="J26" s="301">
        <v>5692.56</v>
      </c>
      <c r="K26" s="297">
        <v>0</v>
      </c>
      <c r="L26" s="297"/>
      <c r="M26" s="291">
        <f t="shared" si="21"/>
        <v>7573.5820000000003</v>
      </c>
      <c r="N26" s="213">
        <f t="shared" si="0"/>
        <v>8049.1679999999997</v>
      </c>
      <c r="O26" s="88">
        <f t="shared" si="22"/>
        <v>11835.958999999999</v>
      </c>
      <c r="P26" s="89">
        <f t="shared" si="23"/>
        <v>322602.842</v>
      </c>
      <c r="R26" s="90">
        <f t="shared" si="24"/>
        <v>265</v>
      </c>
      <c r="S26" s="90">
        <f t="shared" si="25"/>
        <v>205.4</v>
      </c>
      <c r="T26" s="90">
        <f t="shared" si="1"/>
        <v>488.5</v>
      </c>
      <c r="U26" s="90"/>
      <c r="V26" s="90">
        <f t="shared" si="26"/>
        <v>1085</v>
      </c>
      <c r="W26" s="91">
        <f t="shared" si="71"/>
        <v>2403.5</v>
      </c>
      <c r="X26" s="90">
        <f t="shared" si="27"/>
        <v>1085</v>
      </c>
      <c r="Y26" s="90" t="str">
        <f t="shared" si="28"/>
        <v>0</v>
      </c>
      <c r="Z26" s="90">
        <f t="shared" si="2"/>
        <v>89</v>
      </c>
      <c r="AA26" s="90">
        <f t="shared" si="29"/>
        <v>2043.9</v>
      </c>
      <c r="AB26" s="90">
        <f t="shared" si="30"/>
        <v>265</v>
      </c>
      <c r="AC26" s="90">
        <f t="shared" si="30"/>
        <v>42</v>
      </c>
      <c r="AD26" s="90">
        <f t="shared" si="31"/>
        <v>508</v>
      </c>
      <c r="AE26" s="90">
        <f t="shared" si="32"/>
        <v>201</v>
      </c>
      <c r="AF26" s="90">
        <f t="shared" si="33"/>
        <v>0</v>
      </c>
      <c r="AG26" s="90">
        <f t="shared" si="33"/>
        <v>74</v>
      </c>
      <c r="AH26" s="90">
        <f t="shared" si="34"/>
        <v>117</v>
      </c>
      <c r="AI26" s="90">
        <f t="shared" si="35"/>
        <v>43</v>
      </c>
      <c r="AJ26" s="90">
        <f t="shared" si="36"/>
        <v>218</v>
      </c>
      <c r="AK26" s="90">
        <f t="shared" si="36"/>
        <v>45</v>
      </c>
      <c r="AL26" s="90">
        <f t="shared" si="37"/>
        <v>330</v>
      </c>
      <c r="AM26" s="90">
        <f t="shared" si="38"/>
        <v>67</v>
      </c>
      <c r="AN26" s="90">
        <f t="shared" si="39"/>
        <v>0</v>
      </c>
      <c r="AO26" s="90">
        <f t="shared" si="3"/>
        <v>0</v>
      </c>
      <c r="AP26" s="90">
        <f t="shared" si="40"/>
        <v>0</v>
      </c>
      <c r="AQ26" s="90">
        <f t="shared" si="4"/>
        <v>57</v>
      </c>
      <c r="AR26" s="90">
        <f t="shared" si="41"/>
        <v>54.381</v>
      </c>
      <c r="AS26" s="90">
        <f t="shared" si="42"/>
        <v>-105.61900000000003</v>
      </c>
      <c r="AT26" s="90">
        <f t="shared" si="43"/>
        <v>836.38099999999997</v>
      </c>
      <c r="AU26" s="90">
        <f t="shared" si="44"/>
        <v>410</v>
      </c>
      <c r="AV26" s="90">
        <f t="shared" si="72"/>
        <v>66</v>
      </c>
      <c r="AW26" s="90">
        <f t="shared" si="45"/>
        <v>532</v>
      </c>
      <c r="AX26" s="90">
        <f t="shared" si="73"/>
        <v>60</v>
      </c>
      <c r="AY26" s="90" t="str">
        <f t="shared" si="46"/>
        <v/>
      </c>
      <c r="AZ26" s="90">
        <f t="shared" si="47"/>
        <v>428</v>
      </c>
      <c r="BA26" s="90">
        <v>83</v>
      </c>
      <c r="BB26" s="90">
        <f t="shared" si="48"/>
        <v>72</v>
      </c>
      <c r="BC26" s="90">
        <f t="shared" si="48"/>
        <v>444</v>
      </c>
      <c r="BD26" s="90">
        <f t="shared" si="49"/>
        <v>328</v>
      </c>
      <c r="BE26" s="90"/>
      <c r="BF26" s="90"/>
      <c r="BG26" s="90">
        <f t="shared" si="5"/>
        <v>1272</v>
      </c>
      <c r="BH26" s="90">
        <f t="shared" si="50"/>
        <v>1772</v>
      </c>
      <c r="BI26" s="90">
        <f t="shared" si="51"/>
        <v>1700.7190000000001</v>
      </c>
      <c r="BJ26" s="90">
        <f t="shared" si="6"/>
        <v>4348.2809999999999</v>
      </c>
      <c r="BK26" s="92"/>
      <c r="BL26" s="93">
        <f t="shared" si="52"/>
        <v>7821</v>
      </c>
      <c r="BM26" s="93">
        <f t="shared" si="53"/>
        <v>115789</v>
      </c>
      <c r="BN26" s="92"/>
      <c r="BO26" s="94">
        <f t="shared" si="54"/>
        <v>0.32922657347939566</v>
      </c>
      <c r="BP26" s="94">
        <f t="shared" si="54"/>
        <v>0.25518165355723721</v>
      </c>
      <c r="BQ26" s="94">
        <f t="shared" si="55"/>
        <v>0.60689502318748967</v>
      </c>
      <c r="BR26" s="94">
        <f t="shared" si="74"/>
        <v>1.3479654046231859</v>
      </c>
      <c r="BS26" s="94">
        <f t="shared" si="83"/>
        <v>0</v>
      </c>
      <c r="BT26" s="94">
        <f t="shared" si="83"/>
        <v>0.11057043411194797</v>
      </c>
      <c r="BU26" s="95">
        <f t="shared" si="83"/>
        <v>2.5392686548473087</v>
      </c>
      <c r="BV26" s="94">
        <f t="shared" si="8"/>
        <v>0.22389398273515482</v>
      </c>
      <c r="BW26" s="94">
        <f t="shared" si="8"/>
        <v>0.1735389586935879</v>
      </c>
      <c r="BX26" s="94">
        <f t="shared" si="8"/>
        <v>0.4127253228910307</v>
      </c>
      <c r="BY26" s="94">
        <f t="shared" si="56"/>
        <v>0.91669800478355834</v>
      </c>
      <c r="BZ26" s="95">
        <f t="shared" si="9"/>
        <v>1.7268562691033318</v>
      </c>
      <c r="CA26" s="96" t="e">
        <f>#REF!</f>
        <v>#REF!</v>
      </c>
      <c r="CB26" s="94">
        <f t="shared" si="10"/>
        <v>4.5945579906114919E-2</v>
      </c>
      <c r="CC26" s="95">
        <f t="shared" si="10"/>
        <v>-8.9235692688695564E-2</v>
      </c>
      <c r="CD26" s="97">
        <f t="shared" si="11"/>
        <v>7.1803540253475823E-2</v>
      </c>
      <c r="CE26" s="98">
        <f t="shared" si="11"/>
        <v>-0.1394571287404032</v>
      </c>
      <c r="CF26" s="94">
        <f t="shared" si="57"/>
        <v>0.49774231598560492</v>
      </c>
      <c r="CG26" s="94">
        <f t="shared" si="57"/>
        <v>7.8887461401492109E-2</v>
      </c>
      <c r="CH26" s="95">
        <f t="shared" si="58"/>
        <v>0.95416262837995203</v>
      </c>
      <c r="CI26" s="96" t="e">
        <f>#REF!</f>
        <v>#REF!</v>
      </c>
      <c r="CJ26" s="94" t="str">
        <f t="shared" si="59"/>
        <v>0,00</v>
      </c>
      <c r="CK26" s="94" t="str">
        <f t="shared" si="59"/>
        <v>0,00</v>
      </c>
      <c r="CL26" s="95" t="str">
        <f t="shared" si="75"/>
        <v xml:space="preserve">0,00 </v>
      </c>
      <c r="CM26" s="95" t="e">
        <f>#REF!</f>
        <v>#REF!</v>
      </c>
      <c r="CN26" s="94">
        <f t="shared" si="60"/>
        <v>0.79996242378339677</v>
      </c>
      <c r="CO26" s="94">
        <f t="shared" si="60"/>
        <v>0.16512985812042594</v>
      </c>
      <c r="CP26" s="95">
        <f t="shared" si="61"/>
        <v>1.2109522928831233</v>
      </c>
      <c r="CQ26" s="95" t="e">
        <f>#REF!</f>
        <v>#REF!</v>
      </c>
      <c r="CR26" s="97" t="str">
        <f t="shared" si="76"/>
        <v xml:space="preserve">0,00 </v>
      </c>
      <c r="CS26" s="95" t="str">
        <f t="shared" si="76"/>
        <v xml:space="preserve">0,00 </v>
      </c>
      <c r="CT26" s="96" t="e">
        <f>#REF!</f>
        <v>#REF!</v>
      </c>
      <c r="CU26" s="97" t="str">
        <f t="shared" si="77"/>
        <v xml:space="preserve">0,00 </v>
      </c>
      <c r="CV26" s="95" t="str">
        <f t="shared" si="62"/>
        <v xml:space="preserve">0,00 </v>
      </c>
      <c r="CW26" s="96" t="e">
        <f>#REF!</f>
        <v>#REF!</v>
      </c>
      <c r="CX26" s="99">
        <f t="shared" si="63"/>
        <v>0.34640201102420176</v>
      </c>
      <c r="CY26" s="95">
        <f t="shared" si="63"/>
        <v>5.5762274945359305E-2</v>
      </c>
      <c r="CZ26" s="99">
        <f t="shared" si="63"/>
        <v>0.44947773137774477</v>
      </c>
      <c r="DA26" s="95">
        <f t="shared" si="63"/>
        <v>5.0692977223053923E-2</v>
      </c>
      <c r="DB26" s="94">
        <f t="shared" si="12"/>
        <v>0.36160990419111799</v>
      </c>
      <c r="DC26" s="94">
        <f t="shared" si="13"/>
        <v>6.0831572667664702E-2</v>
      </c>
      <c r="DD26" s="94">
        <f t="shared" si="13"/>
        <v>0.37512803145059898</v>
      </c>
      <c r="DE26" s="94">
        <f t="shared" si="13"/>
        <v>0.27712160881936143</v>
      </c>
      <c r="DF26" s="94">
        <f t="shared" si="13"/>
        <v>0</v>
      </c>
      <c r="DG26" s="94">
        <f t="shared" si="13"/>
        <v>0</v>
      </c>
      <c r="DH26" s="95">
        <f t="shared" si="13"/>
        <v>1.074691117128743</v>
      </c>
      <c r="DI26" s="96" t="e">
        <f>#REF!</f>
        <v>#REF!</v>
      </c>
      <c r="DJ26" s="95">
        <f t="shared" si="64"/>
        <v>1.4971325939875257</v>
      </c>
      <c r="DK26" s="96" t="e">
        <f>#REF!</f>
        <v>#REF!</v>
      </c>
      <c r="DL26" s="95">
        <f t="shared" si="14"/>
        <v>1.4369084921635842</v>
      </c>
      <c r="DM26" s="96">
        <f t="shared" si="15"/>
        <v>0</v>
      </c>
      <c r="DN26" s="94">
        <f t="shared" si="16"/>
        <v>3.6737884948739685</v>
      </c>
      <c r="DO26" s="100">
        <v>3.4</v>
      </c>
      <c r="DP26" s="94">
        <f>IF($O26&lt;&gt;0,IF($O26&lt;&gt;0,BL26/$O26*10,0)," ")</f>
        <v>6.6078295810250784</v>
      </c>
      <c r="DQ26" s="94">
        <f>IF($P26&lt;&gt;0,IF($P26&lt;&gt;0,BM26/$P26*10,0)," ")</f>
        <v>3.5892120256026763</v>
      </c>
      <c r="DR26" s="101">
        <f t="shared" si="17"/>
        <v>0</v>
      </c>
      <c r="DS26" s="173"/>
      <c r="DT26" s="103">
        <v>21</v>
      </c>
      <c r="DU26" s="300">
        <v>600150</v>
      </c>
      <c r="DV26" s="300">
        <v>21927</v>
      </c>
      <c r="DW26" s="76">
        <v>5079172</v>
      </c>
      <c r="DX26" s="120">
        <v>96311</v>
      </c>
      <c r="DY26" s="120">
        <v>79541</v>
      </c>
      <c r="DZ26" s="120">
        <v>356001</v>
      </c>
      <c r="EA26" s="121">
        <v>202288</v>
      </c>
      <c r="EB26" s="174">
        <v>46021</v>
      </c>
      <c r="EC26" s="121">
        <v>356064</v>
      </c>
      <c r="ED26" s="76">
        <v>43223</v>
      </c>
      <c r="EE26" s="77">
        <v>35200</v>
      </c>
      <c r="EF26" s="77">
        <v>36917</v>
      </c>
      <c r="EG26" s="76">
        <v>87965</v>
      </c>
      <c r="EH26" s="76">
        <v>173364</v>
      </c>
      <c r="EI26" s="76">
        <v>27518</v>
      </c>
      <c r="EJ26" s="77">
        <v>35714</v>
      </c>
      <c r="EK26" s="77"/>
      <c r="EL26" s="76">
        <v>669874</v>
      </c>
      <c r="EM26" s="76">
        <v>4885</v>
      </c>
      <c r="EN26" s="77">
        <v>37954</v>
      </c>
      <c r="EO26" s="76">
        <v>2789343</v>
      </c>
      <c r="EP26" s="77">
        <v>2297450</v>
      </c>
      <c r="EQ26" s="77">
        <v>0</v>
      </c>
      <c r="ER26" s="77">
        <v>890</v>
      </c>
      <c r="ES26" s="77">
        <v>248084</v>
      </c>
      <c r="ET26" s="77">
        <v>7679144</v>
      </c>
      <c r="EU26" s="77">
        <v>356700</v>
      </c>
      <c r="EV26" s="77">
        <v>101677</v>
      </c>
      <c r="EW26" s="77">
        <v>50971</v>
      </c>
      <c r="EX26" s="77">
        <v>192646</v>
      </c>
      <c r="EY26" s="77">
        <v>1532159</v>
      </c>
      <c r="EZ26" s="77">
        <v>673020</v>
      </c>
      <c r="FA26" s="151">
        <v>710107</v>
      </c>
      <c r="FB26" s="77">
        <v>29519</v>
      </c>
      <c r="FC26" s="77">
        <v>6049</v>
      </c>
      <c r="FD26" s="104">
        <v>6962</v>
      </c>
      <c r="FE26" s="105">
        <f t="shared" si="84"/>
        <v>60</v>
      </c>
      <c r="FF26" s="287">
        <f t="shared" si="84"/>
        <v>491</v>
      </c>
      <c r="FG26" s="287">
        <f t="shared" si="87"/>
        <v>994</v>
      </c>
      <c r="FH26" s="288">
        <f t="shared" si="85"/>
        <v>1771</v>
      </c>
      <c r="FI26" s="288">
        <f t="shared" si="85"/>
        <v>268</v>
      </c>
      <c r="FJ26" s="136">
        <v>1</v>
      </c>
      <c r="FK26" s="104">
        <f t="shared" si="86"/>
        <v>655</v>
      </c>
      <c r="FL26" s="288">
        <f t="shared" si="86"/>
        <v>1468</v>
      </c>
      <c r="FM26" s="288">
        <f t="shared" si="86"/>
        <v>352</v>
      </c>
      <c r="FN26" s="80">
        <v>859</v>
      </c>
      <c r="FO26" s="174">
        <v>42350</v>
      </c>
      <c r="FP26" s="81"/>
      <c r="FZ26" s="178">
        <f t="shared" si="65"/>
        <v>2.5392686548473087</v>
      </c>
      <c r="GA26" s="64"/>
      <c r="GB26" s="64"/>
      <c r="GC26" s="64"/>
      <c r="GD26" s="64"/>
      <c r="GE26" s="243"/>
      <c r="GF26" s="64"/>
      <c r="GG26" s="64"/>
      <c r="GH26" s="64"/>
      <c r="GI26" s="64"/>
      <c r="GJ26" s="64"/>
      <c r="GK26" s="113"/>
    </row>
    <row r="27" spans="1:197" s="119" customFormat="1" ht="15" customHeight="1">
      <c r="B27" s="573">
        <v>42757</v>
      </c>
      <c r="D27" s="301">
        <v>3497.76</v>
      </c>
      <c r="E27" s="301">
        <v>0</v>
      </c>
      <c r="F27" s="301">
        <v>2926.7999999999997</v>
      </c>
      <c r="G27" s="301">
        <v>0</v>
      </c>
      <c r="H27" s="301">
        <v>0</v>
      </c>
      <c r="I27" s="301">
        <v>0</v>
      </c>
      <c r="J27" s="301">
        <v>4783.68</v>
      </c>
      <c r="K27" s="297">
        <v>0</v>
      </c>
      <c r="L27" s="297"/>
      <c r="M27" s="291">
        <f t="shared" si="21"/>
        <v>4783.68</v>
      </c>
      <c r="N27" s="213">
        <f t="shared" si="0"/>
        <v>6424.5599999999995</v>
      </c>
      <c r="O27" s="88">
        <f t="shared" si="22"/>
        <v>8816.4</v>
      </c>
      <c r="P27" s="89">
        <f t="shared" si="23"/>
        <v>331419.24200000003</v>
      </c>
      <c r="R27" s="90">
        <f t="shared" si="24"/>
        <v>258</v>
      </c>
      <c r="S27" s="90">
        <f t="shared" si="25"/>
        <v>64.400000000000006</v>
      </c>
      <c r="T27" s="90">
        <f t="shared" si="1"/>
        <v>670.9</v>
      </c>
      <c r="U27" s="90"/>
      <c r="V27" s="90">
        <f t="shared" si="26"/>
        <v>865</v>
      </c>
      <c r="W27" s="91">
        <f t="shared" si="71"/>
        <v>2172.8000000000002</v>
      </c>
      <c r="X27" s="90">
        <f t="shared" si="27"/>
        <v>865</v>
      </c>
      <c r="Y27" s="90" t="str">
        <f t="shared" si="28"/>
        <v>0</v>
      </c>
      <c r="Z27" s="90">
        <f t="shared" si="2"/>
        <v>70.5</v>
      </c>
      <c r="AA27" s="90">
        <f t="shared" si="29"/>
        <v>1858.3</v>
      </c>
      <c r="AB27" s="90">
        <f t="shared" si="30"/>
        <v>0</v>
      </c>
      <c r="AC27" s="90">
        <f t="shared" si="30"/>
        <v>94</v>
      </c>
      <c r="AD27" s="90">
        <f t="shared" si="31"/>
        <v>316</v>
      </c>
      <c r="AE27" s="90">
        <f t="shared" si="32"/>
        <v>222</v>
      </c>
      <c r="AF27" s="90">
        <f t="shared" si="33"/>
        <v>0</v>
      </c>
      <c r="AG27" s="90">
        <f t="shared" si="33"/>
        <v>56</v>
      </c>
      <c r="AH27" s="90">
        <f t="shared" si="34"/>
        <v>180</v>
      </c>
      <c r="AI27" s="90">
        <f t="shared" si="35"/>
        <v>124</v>
      </c>
      <c r="AJ27" s="90">
        <f t="shared" si="36"/>
        <v>209</v>
      </c>
      <c r="AK27" s="90">
        <f t="shared" si="36"/>
        <v>16</v>
      </c>
      <c r="AL27" s="90">
        <f t="shared" si="37"/>
        <v>295</v>
      </c>
      <c r="AM27" s="90">
        <f t="shared" si="38"/>
        <v>70</v>
      </c>
      <c r="AN27" s="90">
        <f t="shared" si="39"/>
        <v>53</v>
      </c>
      <c r="AO27" s="90">
        <f t="shared" si="3"/>
        <v>46</v>
      </c>
      <c r="AP27" s="90">
        <f t="shared" si="40"/>
        <v>0</v>
      </c>
      <c r="AQ27" s="90">
        <f t="shared" si="4"/>
        <v>2</v>
      </c>
      <c r="AR27" s="90">
        <f t="shared" si="41"/>
        <v>78.518000000000001</v>
      </c>
      <c r="AS27" s="90">
        <f t="shared" si="42"/>
        <v>252.51800000000003</v>
      </c>
      <c r="AT27" s="90">
        <f t="shared" si="43"/>
        <v>675.51800000000003</v>
      </c>
      <c r="AU27" s="90">
        <f t="shared" si="44"/>
        <v>31</v>
      </c>
      <c r="AV27" s="90">
        <f t="shared" si="72"/>
        <v>53</v>
      </c>
      <c r="AW27" s="90">
        <f t="shared" si="45"/>
        <v>392</v>
      </c>
      <c r="AX27" s="90">
        <f t="shared" si="73"/>
        <v>64</v>
      </c>
      <c r="AY27" s="90" t="str">
        <f t="shared" si="46"/>
        <v/>
      </c>
      <c r="AZ27" s="90">
        <f t="shared" si="47"/>
        <v>462</v>
      </c>
      <c r="BA27" s="90">
        <v>0</v>
      </c>
      <c r="BB27" s="90">
        <f t="shared" si="48"/>
        <v>80</v>
      </c>
      <c r="BC27" s="90">
        <f t="shared" si="48"/>
        <v>906</v>
      </c>
      <c r="BD27" s="90">
        <f t="shared" si="49"/>
        <v>288</v>
      </c>
      <c r="BE27" s="90"/>
      <c r="BF27" s="90"/>
      <c r="BG27" s="90">
        <f t="shared" si="5"/>
        <v>1736</v>
      </c>
      <c r="BH27" s="90">
        <f t="shared" si="50"/>
        <v>1330</v>
      </c>
      <c r="BI27" s="90">
        <f t="shared" si="51"/>
        <v>1215.1819999999998</v>
      </c>
      <c r="BJ27" s="90">
        <f t="shared" si="6"/>
        <v>4802.8180000000002</v>
      </c>
      <c r="BK27" s="92"/>
      <c r="BL27" s="93">
        <f t="shared" si="52"/>
        <v>7348</v>
      </c>
      <c r="BM27" s="93">
        <f t="shared" si="53"/>
        <v>123137</v>
      </c>
      <c r="BN27" s="92"/>
      <c r="BO27" s="94">
        <f t="shared" si="54"/>
        <v>0.40158392170047452</v>
      </c>
      <c r="BP27" s="94">
        <f t="shared" si="54"/>
        <v>0.10024032774228898</v>
      </c>
      <c r="BQ27" s="94">
        <f t="shared" si="55"/>
        <v>1.0442738491040631</v>
      </c>
      <c r="BR27" s="94">
        <f t="shared" si="74"/>
        <v>1.3463957064763972</v>
      </c>
      <c r="BS27" s="94">
        <f t="shared" si="83"/>
        <v>0</v>
      </c>
      <c r="BT27" s="94">
        <f t="shared" si="83"/>
        <v>0.1097351413948971</v>
      </c>
      <c r="BU27" s="95">
        <f t="shared" si="83"/>
        <v>2.8924938050232236</v>
      </c>
      <c r="BV27" s="94">
        <f t="shared" si="8"/>
        <v>0.29263645025180346</v>
      </c>
      <c r="BW27" s="94">
        <f t="shared" si="8"/>
        <v>7.3045687582233121E-2</v>
      </c>
      <c r="BX27" s="94">
        <f t="shared" si="8"/>
        <v>0.76096819563540663</v>
      </c>
      <c r="BY27" s="94">
        <f t="shared" si="56"/>
        <v>0.98112608320856598</v>
      </c>
      <c r="BZ27" s="95">
        <f t="shared" si="9"/>
        <v>2.1077764166780093</v>
      </c>
      <c r="CA27" s="96" t="e">
        <f>#REF!</f>
        <v>#REF!</v>
      </c>
      <c r="CB27" s="94">
        <f t="shared" si="10"/>
        <v>8.9059026359965529E-2</v>
      </c>
      <c r="CC27" s="95">
        <f t="shared" si="10"/>
        <v>0.28641849280885628</v>
      </c>
      <c r="CD27" s="97">
        <f t="shared" si="11"/>
        <v>0.16413723325974983</v>
      </c>
      <c r="CE27" s="98">
        <f t="shared" si="11"/>
        <v>0.52787393805605731</v>
      </c>
      <c r="CF27" s="94">
        <f t="shared" si="57"/>
        <v>0</v>
      </c>
      <c r="CG27" s="94">
        <f t="shared" si="57"/>
        <v>0.2687434243630209</v>
      </c>
      <c r="CH27" s="95">
        <f t="shared" si="58"/>
        <v>0.90343534147568727</v>
      </c>
      <c r="CI27" s="96" t="e">
        <f>#REF!</f>
        <v>#REF!</v>
      </c>
      <c r="CJ27" s="94" t="str">
        <f t="shared" si="59"/>
        <v>0,00</v>
      </c>
      <c r="CK27" s="94" t="str">
        <f t="shared" si="59"/>
        <v>0,00</v>
      </c>
      <c r="CL27" s="95" t="str">
        <f t="shared" si="75"/>
        <v xml:space="preserve">0,00 </v>
      </c>
      <c r="CM27" s="95" t="e">
        <f>#REF!</f>
        <v>#REF!</v>
      </c>
      <c r="CN27" s="94">
        <f t="shared" si="60"/>
        <v>0.71409047423807581</v>
      </c>
      <c r="CO27" s="94">
        <f t="shared" si="60"/>
        <v>5.4667213338800064E-2</v>
      </c>
      <c r="CP27" s="95">
        <f t="shared" si="61"/>
        <v>1.0079267459341261</v>
      </c>
      <c r="CQ27" s="95" t="e">
        <f>#REF!</f>
        <v>#REF!</v>
      </c>
      <c r="CR27" s="97" t="str">
        <f t="shared" si="76"/>
        <v xml:space="preserve">0,00 </v>
      </c>
      <c r="CS27" s="95" t="str">
        <f t="shared" si="76"/>
        <v xml:space="preserve">0,00 </v>
      </c>
      <c r="CT27" s="96" t="e">
        <f>#REF!</f>
        <v>#REF!</v>
      </c>
      <c r="CU27" s="97" t="str">
        <f t="shared" si="77"/>
        <v xml:space="preserve">0,00 </v>
      </c>
      <c r="CV27" s="95" t="str">
        <f t="shared" si="62"/>
        <v xml:space="preserve">0,00 </v>
      </c>
      <c r="CW27" s="96" t="e">
        <f>#REF!</f>
        <v>#REF!</v>
      </c>
      <c r="CX27" s="99">
        <f t="shared" si="63"/>
        <v>3.5161744022503522E-2</v>
      </c>
      <c r="CY27" s="95">
        <f t="shared" si="63"/>
        <v>6.0115239780409238E-2</v>
      </c>
      <c r="CZ27" s="99">
        <f t="shared" si="63"/>
        <v>0.44462592441359283</v>
      </c>
      <c r="DA27" s="95">
        <f t="shared" si="63"/>
        <v>7.2591987659362103E-2</v>
      </c>
      <c r="DB27" s="94">
        <f t="shared" si="12"/>
        <v>0.52402341091602012</v>
      </c>
      <c r="DC27" s="94">
        <f t="shared" si="13"/>
        <v>9.0739984574202626E-2</v>
      </c>
      <c r="DD27" s="94">
        <f t="shared" si="13"/>
        <v>1.0276303253028447</v>
      </c>
      <c r="DE27" s="94">
        <f t="shared" si="13"/>
        <v>0.32666394446712943</v>
      </c>
      <c r="DF27" s="94">
        <f t="shared" si="13"/>
        <v>0</v>
      </c>
      <c r="DG27" s="94">
        <f t="shared" si="13"/>
        <v>0</v>
      </c>
      <c r="DH27" s="95">
        <f t="shared" si="13"/>
        <v>1.969057665260197</v>
      </c>
      <c r="DI27" s="96" t="e">
        <f>#REF!</f>
        <v>#REF!</v>
      </c>
      <c r="DJ27" s="95">
        <f t="shared" si="64"/>
        <v>1.5085522435461187</v>
      </c>
      <c r="DK27" s="96" t="e">
        <f>#REF!</f>
        <v>#REF!</v>
      </c>
      <c r="DL27" s="95">
        <f t="shared" si="14"/>
        <v>1.3783199491856086</v>
      </c>
      <c r="DM27" s="96">
        <f t="shared" si="15"/>
        <v>0</v>
      </c>
      <c r="DN27" s="94">
        <f t="shared" si="16"/>
        <v>5.4475953904087842</v>
      </c>
      <c r="DO27" s="100">
        <v>3.4</v>
      </c>
      <c r="DP27" s="94">
        <f t="shared" si="80"/>
        <v>8.3344675831405119</v>
      </c>
      <c r="DQ27" s="94">
        <f t="shared" si="81"/>
        <v>3.7154451038180811</v>
      </c>
      <c r="DR27" s="101">
        <f t="shared" si="17"/>
        <v>0</v>
      </c>
      <c r="DS27" s="173"/>
      <c r="DT27" s="103">
        <v>22</v>
      </c>
      <c r="DU27" s="300">
        <v>600150</v>
      </c>
      <c r="DV27" s="76">
        <v>22021</v>
      </c>
      <c r="DW27" s="76">
        <v>5079488</v>
      </c>
      <c r="DX27" s="120">
        <v>96311</v>
      </c>
      <c r="DY27" s="120">
        <v>79597</v>
      </c>
      <c r="DZ27" s="120">
        <v>356181</v>
      </c>
      <c r="EA27" s="121">
        <v>202497</v>
      </c>
      <c r="EB27" s="174">
        <v>46037</v>
      </c>
      <c r="EC27" s="121">
        <v>356359</v>
      </c>
      <c r="ED27" s="76">
        <v>43276</v>
      </c>
      <c r="EE27" s="77">
        <v>35201</v>
      </c>
      <c r="EF27" s="77">
        <v>36962</v>
      </c>
      <c r="EG27" s="76">
        <v>87965</v>
      </c>
      <c r="EH27" s="76">
        <v>173366</v>
      </c>
      <c r="EI27" s="76">
        <v>27571</v>
      </c>
      <c r="EJ27" s="77">
        <v>35778</v>
      </c>
      <c r="EK27" s="77"/>
      <c r="EL27" s="76">
        <v>670132</v>
      </c>
      <c r="EM27" s="76">
        <v>6709</v>
      </c>
      <c r="EN27" s="77">
        <v>38005</v>
      </c>
      <c r="EO27" s="76">
        <v>2790208</v>
      </c>
      <c r="EP27" s="77">
        <v>2319178</v>
      </c>
      <c r="EQ27" s="77">
        <v>0</v>
      </c>
      <c r="ER27" s="77">
        <v>705</v>
      </c>
      <c r="ES27" s="77">
        <v>248681</v>
      </c>
      <c r="ET27" s="77">
        <v>7757662</v>
      </c>
      <c r="EU27" s="77">
        <v>357092</v>
      </c>
      <c r="EV27" s="77">
        <v>101708</v>
      </c>
      <c r="EW27" s="77">
        <v>51433</v>
      </c>
      <c r="EX27" s="77">
        <v>192726</v>
      </c>
      <c r="EY27" s="77">
        <v>1533065</v>
      </c>
      <c r="EZ27" s="77">
        <v>673664</v>
      </c>
      <c r="FA27" s="151">
        <v>710395</v>
      </c>
      <c r="FB27" s="77">
        <v>29519</v>
      </c>
      <c r="FC27" s="176">
        <v>6018</v>
      </c>
      <c r="FD27" s="104">
        <v>6492</v>
      </c>
      <c r="FE27" s="105">
        <f t="shared" si="84"/>
        <v>0</v>
      </c>
      <c r="FF27" s="287">
        <f t="shared" si="84"/>
        <v>511</v>
      </c>
      <c r="FG27" s="287">
        <f t="shared" si="87"/>
        <v>640</v>
      </c>
      <c r="FH27" s="288">
        <f t="shared" si="85"/>
        <v>1610</v>
      </c>
      <c r="FI27" s="288">
        <f t="shared" si="85"/>
        <v>611</v>
      </c>
      <c r="FJ27" s="77">
        <v>2</v>
      </c>
      <c r="FK27" s="104">
        <f t="shared" si="86"/>
        <v>764</v>
      </c>
      <c r="FL27" s="288">
        <f t="shared" si="86"/>
        <v>1530</v>
      </c>
      <c r="FM27" s="288">
        <f t="shared" si="86"/>
        <v>352</v>
      </c>
      <c r="FN27" s="80">
        <v>856</v>
      </c>
      <c r="FO27" s="174">
        <v>43206</v>
      </c>
      <c r="FP27" s="81"/>
      <c r="FZ27" s="178">
        <f t="shared" si="65"/>
        <v>2.8924938050232236</v>
      </c>
      <c r="GA27" s="64"/>
      <c r="GB27" s="64"/>
      <c r="GC27" s="64"/>
      <c r="GD27" s="64"/>
      <c r="GE27" s="243"/>
      <c r="GF27" s="64"/>
      <c r="GG27" s="64"/>
      <c r="GH27" s="64"/>
      <c r="GI27" s="64"/>
      <c r="GJ27" s="64"/>
      <c r="GK27" s="113"/>
    </row>
    <row r="28" spans="1:197" ht="15" customHeight="1">
      <c r="B28" s="573">
        <v>42758</v>
      </c>
      <c r="D28" s="301">
        <v>0</v>
      </c>
      <c r="E28" s="301">
        <v>121.68</v>
      </c>
      <c r="F28" s="301">
        <v>3348.0720000000001</v>
      </c>
      <c r="G28" s="301">
        <v>2431.7150000000001</v>
      </c>
      <c r="H28" s="301">
        <v>0</v>
      </c>
      <c r="I28" s="301">
        <v>587.17200000000003</v>
      </c>
      <c r="J28" s="301">
        <v>6929.6399999999994</v>
      </c>
      <c r="K28" s="297">
        <v>0</v>
      </c>
      <c r="L28" s="297">
        <v>16</v>
      </c>
      <c r="M28" s="291">
        <f t="shared" si="21"/>
        <v>7516.8119999999999</v>
      </c>
      <c r="N28" s="213">
        <f t="shared" si="0"/>
        <v>5901.4670000000006</v>
      </c>
      <c r="O28" s="88">
        <f t="shared" si="22"/>
        <v>9675.8729999999996</v>
      </c>
      <c r="P28" s="89">
        <f t="shared" si="23"/>
        <v>341095.11500000005</v>
      </c>
      <c r="R28" s="90">
        <f t="shared" si="24"/>
        <v>232</v>
      </c>
      <c r="S28" s="90">
        <f t="shared" si="25"/>
        <v>0</v>
      </c>
      <c r="T28" s="90">
        <f t="shared" si="1"/>
        <v>484.6</v>
      </c>
      <c r="U28" s="90"/>
      <c r="V28" s="90">
        <f t="shared" si="26"/>
        <v>951</v>
      </c>
      <c r="W28" s="91">
        <f t="shared" si="71"/>
        <v>1636.2</v>
      </c>
      <c r="X28" s="90">
        <f t="shared" si="27"/>
        <v>951</v>
      </c>
      <c r="Y28" s="90">
        <f t="shared" si="28"/>
        <v>31</v>
      </c>
      <c r="Z28" s="90">
        <f t="shared" si="2"/>
        <v>91.6</v>
      </c>
      <c r="AA28" s="90">
        <f t="shared" si="29"/>
        <v>1667.6</v>
      </c>
      <c r="AB28" s="90">
        <f t="shared" si="30"/>
        <v>206</v>
      </c>
      <c r="AC28" s="90">
        <f t="shared" si="30"/>
        <v>34</v>
      </c>
      <c r="AD28" s="90">
        <f t="shared" si="31"/>
        <v>253</v>
      </c>
      <c r="AE28" s="90">
        <f t="shared" si="32"/>
        <v>13</v>
      </c>
      <c r="AF28" s="90">
        <f t="shared" si="33"/>
        <v>240</v>
      </c>
      <c r="AG28" s="90">
        <f t="shared" si="33"/>
        <v>5</v>
      </c>
      <c r="AH28" s="90">
        <f t="shared" si="34"/>
        <v>245</v>
      </c>
      <c r="AI28" s="90">
        <f t="shared" si="35"/>
        <v>0</v>
      </c>
      <c r="AJ28" s="90">
        <f t="shared" si="36"/>
        <v>229</v>
      </c>
      <c r="AK28" s="90">
        <f t="shared" si="36"/>
        <v>30</v>
      </c>
      <c r="AL28" s="90">
        <f t="shared" si="37"/>
        <v>335</v>
      </c>
      <c r="AM28" s="90">
        <f t="shared" si="38"/>
        <v>76</v>
      </c>
      <c r="AN28" s="90">
        <f t="shared" si="39"/>
        <v>12</v>
      </c>
      <c r="AO28" s="90">
        <f t="shared" si="3"/>
        <v>28</v>
      </c>
      <c r="AP28" s="90">
        <f t="shared" si="40"/>
        <v>0</v>
      </c>
      <c r="AQ28" s="90">
        <f t="shared" si="4"/>
        <v>0</v>
      </c>
      <c r="AR28" s="90">
        <f t="shared" si="41"/>
        <v>97.078000000000003</v>
      </c>
      <c r="AS28" s="90">
        <f t="shared" si="42"/>
        <v>206.07799999999997</v>
      </c>
      <c r="AT28" s="90">
        <f t="shared" si="43"/>
        <v>874.07799999999997</v>
      </c>
      <c r="AU28" s="90">
        <f t="shared" si="44"/>
        <v>119</v>
      </c>
      <c r="AV28" s="90">
        <f t="shared" si="72"/>
        <v>34</v>
      </c>
      <c r="AW28" s="90">
        <f t="shared" si="45"/>
        <v>549</v>
      </c>
      <c r="AX28" s="90">
        <f t="shared" si="73"/>
        <v>50</v>
      </c>
      <c r="AY28" s="90" t="str">
        <f t="shared" si="46"/>
        <v/>
      </c>
      <c r="AZ28" s="90">
        <f t="shared" si="47"/>
        <v>532</v>
      </c>
      <c r="BA28" s="90">
        <v>47</v>
      </c>
      <c r="BB28" s="90">
        <f t="shared" si="48"/>
        <v>83</v>
      </c>
      <c r="BC28" s="90">
        <f t="shared" si="48"/>
        <v>1015</v>
      </c>
      <c r="BD28" s="90">
        <f t="shared" si="49"/>
        <v>318</v>
      </c>
      <c r="BE28" s="90"/>
      <c r="BF28" s="90"/>
      <c r="BG28" s="90">
        <f t="shared" si="5"/>
        <v>1948</v>
      </c>
      <c r="BH28" s="90">
        <f t="shared" si="50"/>
        <v>-2180</v>
      </c>
      <c r="BI28" s="90">
        <f t="shared" si="51"/>
        <v>1845.3220000000001</v>
      </c>
      <c r="BJ28" s="90">
        <f t="shared" si="6"/>
        <v>4766.6779999999999</v>
      </c>
      <c r="BK28" s="92"/>
      <c r="BL28" s="93">
        <f t="shared" si="52"/>
        <v>4432</v>
      </c>
      <c r="BM28" s="93">
        <f t="shared" si="53"/>
        <v>127569</v>
      </c>
      <c r="BN28" s="92"/>
      <c r="BO28" s="94">
        <f t="shared" si="54"/>
        <v>0.3931225913827866</v>
      </c>
      <c r="BP28" s="94">
        <f t="shared" si="54"/>
        <v>0</v>
      </c>
      <c r="BQ28" s="94">
        <f t="shared" si="55"/>
        <v>0.82115175769007942</v>
      </c>
      <c r="BR28" s="94">
        <f t="shared" si="74"/>
        <v>1.6114637258837505</v>
      </c>
      <c r="BS28" s="94">
        <f t="shared" si="83"/>
        <v>5.2529311779596494E-2</v>
      </c>
      <c r="BT28" s="94">
        <f t="shared" si="83"/>
        <v>0.15521564383906575</v>
      </c>
      <c r="BU28" s="95">
        <f t="shared" si="83"/>
        <v>2.8257380749566163</v>
      </c>
      <c r="BV28" s="94">
        <f t="shared" si="8"/>
        <v>0.23977164644471874</v>
      </c>
      <c r="BW28" s="94">
        <f t="shared" si="8"/>
        <v>0</v>
      </c>
      <c r="BX28" s="94">
        <f t="shared" si="8"/>
        <v>0.50083336149616686</v>
      </c>
      <c r="BY28" s="94">
        <f t="shared" si="56"/>
        <v>0.98285705072813589</v>
      </c>
      <c r="BZ28" s="95">
        <f t="shared" si="9"/>
        <v>1.7234620586690212</v>
      </c>
      <c r="CA28" s="96" t="e">
        <f>#REF!</f>
        <v>#REF!</v>
      </c>
      <c r="CB28" s="94">
        <f t="shared" si="10"/>
        <v>0.10032996505845004</v>
      </c>
      <c r="CC28" s="95">
        <f t="shared" si="10"/>
        <v>0.2129812989484256</v>
      </c>
      <c r="CD28" s="97">
        <f t="shared" si="11"/>
        <v>0.12914783554517525</v>
      </c>
      <c r="CE28" s="98">
        <f t="shared" si="11"/>
        <v>0.27415611831185877</v>
      </c>
      <c r="CF28" s="94" t="str">
        <f t="shared" si="57"/>
        <v>0,00</v>
      </c>
      <c r="CG28" s="94" t="str">
        <f t="shared" si="57"/>
        <v>0,00</v>
      </c>
      <c r="CH28" s="95" t="str">
        <f t="shared" si="58"/>
        <v xml:space="preserve">0,00 </v>
      </c>
      <c r="CI28" s="96" t="e">
        <f>#REF!</f>
        <v>#REF!</v>
      </c>
      <c r="CJ28" s="94">
        <f t="shared" si="59"/>
        <v>19.723865877712029</v>
      </c>
      <c r="CK28" s="94">
        <f t="shared" si="59"/>
        <v>0.41091387245233396</v>
      </c>
      <c r="CL28" s="95">
        <f t="shared" si="75"/>
        <v>20.134779750164363</v>
      </c>
      <c r="CM28" s="95" t="e">
        <f>#REF!</f>
        <v>#REF!</v>
      </c>
      <c r="CN28" s="94">
        <f t="shared" si="60"/>
        <v>0.68397573289941205</v>
      </c>
      <c r="CO28" s="94">
        <f t="shared" si="60"/>
        <v>8.960380780341641E-2</v>
      </c>
      <c r="CP28" s="95">
        <f t="shared" si="61"/>
        <v>1.0005758538048166</v>
      </c>
      <c r="CQ28" s="95" t="e">
        <f>#REF!</f>
        <v>#REF!</v>
      </c>
      <c r="CR28" s="97">
        <f t="shared" si="76"/>
        <v>4.9347888218808533E-2</v>
      </c>
      <c r="CS28" s="95">
        <f t="shared" si="76"/>
        <v>0.11514507251055324</v>
      </c>
      <c r="CT28" s="96" t="e">
        <f>#REF!</f>
        <v>#REF!</v>
      </c>
      <c r="CU28" s="97" t="str">
        <f t="shared" si="77"/>
        <v xml:space="preserve">0,00 </v>
      </c>
      <c r="CV28" s="95" t="str">
        <f t="shared" si="62"/>
        <v xml:space="preserve">0,00 </v>
      </c>
      <c r="CW28" s="96" t="e">
        <f>#REF!</f>
        <v>#REF!</v>
      </c>
      <c r="CX28" s="99">
        <f t="shared" si="63"/>
        <v>0.12298631865052384</v>
      </c>
      <c r="CY28" s="95">
        <f t="shared" si="63"/>
        <v>3.5138948185863952E-2</v>
      </c>
      <c r="CZ28" s="99">
        <f t="shared" si="63"/>
        <v>0.56739066335409738</v>
      </c>
      <c r="DA28" s="95">
        <f t="shared" si="63"/>
        <v>5.1674923802741107E-2</v>
      </c>
      <c r="DB28" s="94">
        <f t="shared" si="12"/>
        <v>0.54982118926116541</v>
      </c>
      <c r="DC28" s="94">
        <f t="shared" si="13"/>
        <v>8.5780373512550231E-2</v>
      </c>
      <c r="DD28" s="94">
        <f t="shared" si="13"/>
        <v>1.0490009531956446</v>
      </c>
      <c r="DE28" s="94">
        <f t="shared" si="13"/>
        <v>0.3286525153854335</v>
      </c>
      <c r="DF28" s="94">
        <f t="shared" si="13"/>
        <v>0</v>
      </c>
      <c r="DG28" s="94">
        <f t="shared" si="13"/>
        <v>0</v>
      </c>
      <c r="DH28" s="95">
        <f t="shared" si="13"/>
        <v>2.0132550313547934</v>
      </c>
      <c r="DI28" s="96" t="e">
        <f>#REF!</f>
        <v>#REF!</v>
      </c>
      <c r="DJ28" s="95">
        <f t="shared" si="64"/>
        <v>-2.2530266777995123</v>
      </c>
      <c r="DK28" s="96" t="e">
        <f>#REF!</f>
        <v>#REF!</v>
      </c>
      <c r="DL28" s="95">
        <f t="shared" si="14"/>
        <v>1.9071374748304368</v>
      </c>
      <c r="DM28" s="96">
        <f t="shared" si="15"/>
        <v>0</v>
      </c>
      <c r="DN28" s="94">
        <f t="shared" si="16"/>
        <v>4.9263544488440472</v>
      </c>
      <c r="DO28" s="100">
        <v>3.4</v>
      </c>
      <c r="DP28" s="94">
        <f>IF($O28&lt;&gt;0,IF($O28&lt;&gt;0,BL28/$O28*10,0)," ")</f>
        <v>4.5804652458749722</v>
      </c>
      <c r="DQ28" s="94">
        <f t="shared" si="81"/>
        <v>3.739983200873457</v>
      </c>
      <c r="DR28" s="101">
        <f t="shared" si="17"/>
        <v>0</v>
      </c>
      <c r="DS28" s="173"/>
      <c r="DT28" s="103">
        <v>23</v>
      </c>
      <c r="DU28" s="300">
        <v>600356</v>
      </c>
      <c r="DV28" s="76">
        <v>22055</v>
      </c>
      <c r="DW28" s="120">
        <v>5079741</v>
      </c>
      <c r="DX28" s="120">
        <v>96551</v>
      </c>
      <c r="DY28" s="120">
        <v>79602</v>
      </c>
      <c r="DZ28" s="120">
        <v>356225</v>
      </c>
      <c r="EA28" s="121">
        <v>202726</v>
      </c>
      <c r="EB28" s="174">
        <v>46067</v>
      </c>
      <c r="EC28" s="77">
        <v>356694</v>
      </c>
      <c r="ED28" s="76">
        <v>43288</v>
      </c>
      <c r="EE28" s="77">
        <v>35227</v>
      </c>
      <c r="EF28" s="121">
        <v>36964</v>
      </c>
      <c r="EG28" s="76">
        <v>87965</v>
      </c>
      <c r="EH28" s="120">
        <v>173366</v>
      </c>
      <c r="EI28" s="120">
        <v>27605</v>
      </c>
      <c r="EJ28" s="77">
        <v>35828</v>
      </c>
      <c r="EK28" s="77"/>
      <c r="EL28" s="120">
        <v>670364</v>
      </c>
      <c r="EM28" s="120">
        <v>4846</v>
      </c>
      <c r="EN28" s="121">
        <v>38052</v>
      </c>
      <c r="EO28" s="120">
        <v>2791159</v>
      </c>
      <c r="EP28" s="121">
        <v>2335540</v>
      </c>
      <c r="EQ28" s="121">
        <v>310</v>
      </c>
      <c r="ER28" s="121">
        <v>916</v>
      </c>
      <c r="ES28" s="77">
        <v>249458</v>
      </c>
      <c r="ET28" s="77">
        <v>7854740</v>
      </c>
      <c r="EU28" s="77">
        <v>357641</v>
      </c>
      <c r="EV28" s="77">
        <v>101827</v>
      </c>
      <c r="EW28" s="121">
        <v>51965</v>
      </c>
      <c r="EX28" s="120">
        <v>192809</v>
      </c>
      <c r="EY28" s="120">
        <v>1534080</v>
      </c>
      <c r="EZ28" s="77">
        <v>673664</v>
      </c>
      <c r="FA28" s="151">
        <v>710713</v>
      </c>
      <c r="FB28" s="150">
        <v>29574</v>
      </c>
      <c r="FC28" s="177">
        <v>6612</v>
      </c>
      <c r="FD28" s="104">
        <f>SUM(FE28:FM28)</f>
        <v>3772</v>
      </c>
      <c r="FE28" s="105">
        <f t="shared" si="84"/>
        <v>0</v>
      </c>
      <c r="FF28" s="287">
        <f t="shared" si="84"/>
        <v>424</v>
      </c>
      <c r="FG28" s="287">
        <f t="shared" si="87"/>
        <v>0</v>
      </c>
      <c r="FH28" s="288">
        <f t="shared" si="85"/>
        <v>1241</v>
      </c>
      <c r="FI28" s="288">
        <f t="shared" si="85"/>
        <v>0</v>
      </c>
      <c r="FJ28" s="77">
        <v>3</v>
      </c>
      <c r="FK28" s="104">
        <f t="shared" si="86"/>
        <v>585</v>
      </c>
      <c r="FL28" s="288">
        <f t="shared" si="86"/>
        <v>1171</v>
      </c>
      <c r="FM28" s="288">
        <f t="shared" si="86"/>
        <v>348</v>
      </c>
      <c r="FN28" s="80">
        <f>IF(FO28="",0,(FO28-FO27))</f>
        <v>660</v>
      </c>
      <c r="FO28" s="174">
        <v>43866</v>
      </c>
      <c r="FP28" s="81"/>
      <c r="FR28" s="64"/>
      <c r="FS28" s="64"/>
      <c r="FT28" s="64"/>
      <c r="FU28" s="64"/>
      <c r="FV28" s="64"/>
      <c r="FW28" s="64"/>
      <c r="FX28" s="64"/>
      <c r="FY28" s="64"/>
      <c r="FZ28" s="178">
        <f t="shared" si="65"/>
        <v>2.8257380749566163</v>
      </c>
      <c r="GE28" s="243"/>
      <c r="GK28" s="118"/>
    </row>
    <row r="29" spans="1:197" ht="15" customHeight="1">
      <c r="B29" s="573">
        <v>42759</v>
      </c>
      <c r="D29" s="85">
        <v>5192.5200000000004</v>
      </c>
      <c r="E29" s="85">
        <v>0</v>
      </c>
      <c r="F29" s="85">
        <v>2880.0720000000001</v>
      </c>
      <c r="G29" s="85">
        <v>4125.5119999999997</v>
      </c>
      <c r="H29" s="85">
        <v>0</v>
      </c>
      <c r="I29" s="85">
        <v>1732.2809999999999</v>
      </c>
      <c r="J29" s="85">
        <v>4881.12</v>
      </c>
      <c r="K29" s="167"/>
      <c r="L29" s="167"/>
      <c r="M29" s="291">
        <f t="shared" si="21"/>
        <v>6613.4009999999998</v>
      </c>
      <c r="N29" s="213">
        <f t="shared" si="0"/>
        <v>12198.103999999999</v>
      </c>
      <c r="O29" s="88">
        <f t="shared" si="22"/>
        <v>15504.804499999998</v>
      </c>
      <c r="P29" s="89">
        <f t="shared" si="23"/>
        <v>356599.91950000008</v>
      </c>
      <c r="R29" s="90">
        <f t="shared" si="24"/>
        <v>91</v>
      </c>
      <c r="S29" s="90">
        <f t="shared" si="25"/>
        <v>151.30000000000001</v>
      </c>
      <c r="T29" s="90">
        <f t="shared" si="1"/>
        <v>645.4</v>
      </c>
      <c r="U29" s="90"/>
      <c r="V29" s="90">
        <f t="shared" si="26"/>
        <v>1107</v>
      </c>
      <c r="W29" s="91">
        <f t="shared" si="71"/>
        <v>591.70000000000005</v>
      </c>
      <c r="X29" s="90">
        <f t="shared" si="27"/>
        <v>1107</v>
      </c>
      <c r="Y29" s="90">
        <f t="shared" si="28"/>
        <v>217.8</v>
      </c>
      <c r="Z29" s="90">
        <f t="shared" si="2"/>
        <v>71.599999999999994</v>
      </c>
      <c r="AA29" s="90">
        <f t="shared" si="29"/>
        <v>1994.7</v>
      </c>
      <c r="AB29" s="90">
        <f t="shared" si="30"/>
        <v>236</v>
      </c>
      <c r="AC29" s="90">
        <f t="shared" si="30"/>
        <v>24</v>
      </c>
      <c r="AD29" s="90">
        <f t="shared" si="31"/>
        <v>451</v>
      </c>
      <c r="AE29" s="90">
        <f t="shared" si="32"/>
        <v>191</v>
      </c>
      <c r="AF29" s="90">
        <f t="shared" si="33"/>
        <v>93</v>
      </c>
      <c r="AG29" s="90">
        <f t="shared" si="33"/>
        <v>0</v>
      </c>
      <c r="AH29" s="90">
        <f t="shared" si="34"/>
        <v>110</v>
      </c>
      <c r="AI29" s="90">
        <f t="shared" si="35"/>
        <v>17</v>
      </c>
      <c r="AJ29" s="90">
        <f t="shared" si="36"/>
        <v>228</v>
      </c>
      <c r="AK29" s="90">
        <f t="shared" si="36"/>
        <v>23</v>
      </c>
      <c r="AL29" s="90">
        <f t="shared" si="37"/>
        <v>333</v>
      </c>
      <c r="AM29" s="90">
        <f t="shared" si="38"/>
        <v>82</v>
      </c>
      <c r="AN29" s="90">
        <f t="shared" si="39"/>
        <v>8</v>
      </c>
      <c r="AO29" s="90">
        <f t="shared" si="3"/>
        <v>39</v>
      </c>
      <c r="AP29" s="90">
        <f t="shared" si="40"/>
        <v>24</v>
      </c>
      <c r="AQ29" s="90">
        <f t="shared" si="4"/>
        <v>26</v>
      </c>
      <c r="AR29" s="90">
        <f t="shared" si="41"/>
        <v>90.745000000000005</v>
      </c>
      <c r="AS29" s="90">
        <f t="shared" si="42"/>
        <v>178.745</v>
      </c>
      <c r="AT29" s="90">
        <f t="shared" si="43"/>
        <v>920.745</v>
      </c>
      <c r="AU29" s="90">
        <f t="shared" si="44"/>
        <v>244</v>
      </c>
      <c r="AV29" s="90">
        <f t="shared" si="72"/>
        <v>34</v>
      </c>
      <c r="AW29" s="90">
        <f t="shared" si="45"/>
        <v>498</v>
      </c>
      <c r="AX29" s="90">
        <f t="shared" si="73"/>
        <v>51</v>
      </c>
      <c r="AY29" s="90" t="str">
        <f t="shared" si="46"/>
        <v/>
      </c>
      <c r="AZ29" s="90">
        <f t="shared" si="47"/>
        <v>464</v>
      </c>
      <c r="BA29" s="90">
        <v>0</v>
      </c>
      <c r="BB29" s="90">
        <f t="shared" si="48"/>
        <v>95</v>
      </c>
      <c r="BC29" s="90">
        <f t="shared" si="48"/>
        <v>362</v>
      </c>
      <c r="BD29" s="90">
        <f t="shared" si="49"/>
        <v>297</v>
      </c>
      <c r="BE29" s="90"/>
      <c r="BF29" s="90"/>
      <c r="BG29" s="90">
        <f t="shared" si="5"/>
        <v>1218</v>
      </c>
      <c r="BH29" s="90">
        <f t="shared" si="50"/>
        <v>-1781</v>
      </c>
      <c r="BI29" s="90">
        <f t="shared" si="51"/>
        <v>2389.5550000000003</v>
      </c>
      <c r="BJ29" s="90">
        <f>IF(BH29=0,"",(AA29+AD29+AO29+BG29+AH29+AL29+AQ29+AS29+AX29+AV29))</f>
        <v>4435.4449999999997</v>
      </c>
      <c r="BK29" s="92"/>
      <c r="BL29" s="93">
        <f t="shared" si="52"/>
        <v>5044</v>
      </c>
      <c r="BM29" s="93">
        <f t="shared" si="53"/>
        <v>132613</v>
      </c>
      <c r="BN29" s="92"/>
      <c r="BO29" s="94">
        <f t="shared" si="54"/>
        <v>7.4601757781373235E-2</v>
      </c>
      <c r="BP29" s="94">
        <f t="shared" si="54"/>
        <v>0.12403566980573376</v>
      </c>
      <c r="BQ29" s="94">
        <f t="shared" si="55"/>
        <v>0.52909862057250867</v>
      </c>
      <c r="BR29" s="94">
        <f t="shared" si="74"/>
        <v>0.90751808641736464</v>
      </c>
      <c r="BS29" s="94">
        <f t="shared" si="83"/>
        <v>0.17855233895366035</v>
      </c>
      <c r="BT29" s="94">
        <f t="shared" si="83"/>
        <v>5.8697646781827734E-2</v>
      </c>
      <c r="BU29" s="95">
        <f t="shared" si="83"/>
        <v>1.6352541345769802</v>
      </c>
      <c r="BV29" s="94">
        <f t="shared" si="8"/>
        <v>5.8691484952293344E-2</v>
      </c>
      <c r="BW29" s="94">
        <f t="shared" si="8"/>
        <v>9.7582655750351466E-2</v>
      </c>
      <c r="BX29" s="94">
        <f t="shared" si="8"/>
        <v>0.41625807020011124</v>
      </c>
      <c r="BY29" s="94">
        <f t="shared" si="56"/>
        <v>0.71397224002405202</v>
      </c>
      <c r="BZ29" s="95">
        <f t="shared" si="9"/>
        <v>1.2865044509268082</v>
      </c>
      <c r="CA29" s="96" t="e">
        <f>#REF!</f>
        <v>#REF!</v>
      </c>
      <c r="CB29" s="94">
        <f t="shared" si="10"/>
        <v>5.8527019802152302E-2</v>
      </c>
      <c r="CC29" s="95">
        <f t="shared" si="10"/>
        <v>0.11528362063513928</v>
      </c>
      <c r="CD29" s="97">
        <f t="shared" si="11"/>
        <v>0.13721381782232772</v>
      </c>
      <c r="CE29" s="98">
        <f t="shared" si="11"/>
        <v>0.27027697246847726</v>
      </c>
      <c r="CF29" s="94">
        <f t="shared" si="57"/>
        <v>0.45449993452119586</v>
      </c>
      <c r="CG29" s="94">
        <f t="shared" si="57"/>
        <v>4.6220332324189414E-2</v>
      </c>
      <c r="CH29" s="95">
        <f t="shared" si="58"/>
        <v>0.86855707825872597</v>
      </c>
      <c r="CI29" s="96" t="e">
        <f>#REF!</f>
        <v>#REF!</v>
      </c>
      <c r="CJ29" s="94" t="str">
        <f t="shared" si="59"/>
        <v>0,00</v>
      </c>
      <c r="CK29" s="94" t="str">
        <f t="shared" si="59"/>
        <v>0,00</v>
      </c>
      <c r="CL29" s="95" t="str">
        <f t="shared" si="75"/>
        <v xml:space="preserve">0,00 </v>
      </c>
      <c r="CM29" s="95" t="e">
        <f>#REF!</f>
        <v>#REF!</v>
      </c>
      <c r="CN29" s="94">
        <f t="shared" si="60"/>
        <v>0.7916468754947793</v>
      </c>
      <c r="CO29" s="94">
        <f t="shared" si="60"/>
        <v>7.9859114633245284E-2</v>
      </c>
      <c r="CP29" s="95">
        <f t="shared" si="61"/>
        <v>1.1562210944726381</v>
      </c>
      <c r="CQ29" s="95" t="e">
        <f>#REF!</f>
        <v>#REF!</v>
      </c>
      <c r="CR29" s="97">
        <f t="shared" si="76"/>
        <v>1.9391532493421425E-2</v>
      </c>
      <c r="CS29" s="95">
        <f t="shared" si="76"/>
        <v>9.4533720905429441E-2</v>
      </c>
      <c r="CT29" s="96" t="e">
        <f>#REF!</f>
        <v>#REF!</v>
      </c>
      <c r="CU29" s="97" t="str">
        <f t="shared" si="77"/>
        <v xml:space="preserve">0,00 </v>
      </c>
      <c r="CV29" s="95" t="str">
        <f t="shared" si="62"/>
        <v xml:space="preserve">0,00 </v>
      </c>
      <c r="CW29" s="96" t="e">
        <f>#REF!</f>
        <v>#REF!</v>
      </c>
      <c r="CX29" s="99">
        <f t="shared" si="63"/>
        <v>0.1573705750369184</v>
      </c>
      <c r="CY29" s="95">
        <f t="shared" si="63"/>
        <v>2.1928686685472237E-2</v>
      </c>
      <c r="CZ29" s="99">
        <f t="shared" si="63"/>
        <v>0.32119076380485806</v>
      </c>
      <c r="DA29" s="95">
        <f t="shared" si="63"/>
        <v>3.2893030028208356E-2</v>
      </c>
      <c r="DB29" s="94">
        <f t="shared" si="12"/>
        <v>0.29926207711938585</v>
      </c>
      <c r="DC29" s="94">
        <f t="shared" si="13"/>
        <v>6.1271330444701844E-2</v>
      </c>
      <c r="DD29" s="94">
        <f t="shared" si="13"/>
        <v>0.23347601706296911</v>
      </c>
      <c r="DE29" s="94">
        <f t="shared" si="13"/>
        <v>0.19155352781133103</v>
      </c>
      <c r="DF29" s="94">
        <f t="shared" si="13"/>
        <v>0</v>
      </c>
      <c r="DG29" s="94">
        <f t="shared" si="13"/>
        <v>0</v>
      </c>
      <c r="DH29" s="95">
        <f t="shared" si="13"/>
        <v>0.78556295243838781</v>
      </c>
      <c r="DI29" s="96" t="e">
        <f>#REF!</f>
        <v>#REF!</v>
      </c>
      <c r="DJ29" s="95">
        <f t="shared" si="64"/>
        <v>-1.148676205494884</v>
      </c>
      <c r="DK29" s="96" t="e">
        <f>#REF!</f>
        <v>#REF!</v>
      </c>
      <c r="DL29" s="95">
        <f t="shared" si="14"/>
        <v>1.5411706739030475</v>
      </c>
      <c r="DM29" s="96">
        <f t="shared" si="15"/>
        <v>0</v>
      </c>
      <c r="DN29" s="94">
        <f t="shared" si="16"/>
        <v>2.8606906975189528</v>
      </c>
      <c r="DO29" s="100">
        <v>3.4</v>
      </c>
      <c r="DP29" s="94">
        <f t="shared" si="80"/>
        <v>3.2531851659271167</v>
      </c>
      <c r="DQ29" s="94">
        <f t="shared" si="81"/>
        <v>3.7188174407313617</v>
      </c>
      <c r="DR29" s="101">
        <f t="shared" si="17"/>
        <v>0</v>
      </c>
      <c r="DS29" s="178"/>
      <c r="DT29" s="103">
        <v>24</v>
      </c>
      <c r="DU29" s="120">
        <v>600592</v>
      </c>
      <c r="DV29" s="76">
        <v>22079</v>
      </c>
      <c r="DW29" s="120">
        <v>5080192</v>
      </c>
      <c r="DX29" s="120">
        <v>96644</v>
      </c>
      <c r="DY29" s="120">
        <v>79602</v>
      </c>
      <c r="DZ29" s="120">
        <v>356335</v>
      </c>
      <c r="EA29" s="77">
        <v>202954</v>
      </c>
      <c r="EB29" s="174">
        <v>46090</v>
      </c>
      <c r="EC29" s="77">
        <v>357027</v>
      </c>
      <c r="ED29" s="76">
        <v>43296</v>
      </c>
      <c r="EE29" s="77">
        <v>35257</v>
      </c>
      <c r="EF29" s="77">
        <v>36973</v>
      </c>
      <c r="EG29" s="76">
        <v>87989</v>
      </c>
      <c r="EH29" s="76">
        <v>173392</v>
      </c>
      <c r="EI29" s="76">
        <v>27639</v>
      </c>
      <c r="EJ29" s="77">
        <v>35879</v>
      </c>
      <c r="EK29" s="77"/>
      <c r="EL29" s="76">
        <v>670455</v>
      </c>
      <c r="EM29" s="76">
        <v>6454</v>
      </c>
      <c r="EN29" s="121">
        <v>38067</v>
      </c>
      <c r="EO29" s="76">
        <v>2792266</v>
      </c>
      <c r="EP29" s="77">
        <v>2341457</v>
      </c>
      <c r="EQ29" s="77">
        <v>2178</v>
      </c>
      <c r="ER29" s="77">
        <v>716</v>
      </c>
      <c r="ES29" s="77">
        <v>250288</v>
      </c>
      <c r="ET29" s="77">
        <v>7945485</v>
      </c>
      <c r="EU29" s="77">
        <v>358139</v>
      </c>
      <c r="EV29" s="77">
        <v>102071</v>
      </c>
      <c r="EW29" s="77">
        <v>52429</v>
      </c>
      <c r="EX29" s="76">
        <v>192904</v>
      </c>
      <c r="EY29" s="76">
        <v>1534442</v>
      </c>
      <c r="EZ29" s="77">
        <v>675177</v>
      </c>
      <c r="FA29" s="151">
        <v>711010</v>
      </c>
      <c r="FB29" s="151">
        <v>29574</v>
      </c>
      <c r="FC29" s="149">
        <v>6825</v>
      </c>
      <c r="FD29" s="104">
        <f t="shared" si="18"/>
        <v>3473</v>
      </c>
      <c r="FE29" s="105">
        <f t="shared" si="84"/>
        <v>3</v>
      </c>
      <c r="FF29" s="287">
        <f t="shared" si="84"/>
        <v>438</v>
      </c>
      <c r="FG29" s="287">
        <f t="shared" si="87"/>
        <v>0</v>
      </c>
      <c r="FH29" s="288">
        <f t="shared" si="85"/>
        <v>1562</v>
      </c>
      <c r="FI29" s="288">
        <f t="shared" si="85"/>
        <v>5</v>
      </c>
      <c r="FJ29" s="77">
        <v>3</v>
      </c>
      <c r="FK29" s="104">
        <f t="shared" si="86"/>
        <v>655</v>
      </c>
      <c r="FL29" s="288">
        <f t="shared" si="86"/>
        <v>454</v>
      </c>
      <c r="FM29" s="288">
        <f t="shared" si="86"/>
        <v>353</v>
      </c>
      <c r="FN29" s="80">
        <f>IF(FO29="",0,(FO29-FO28))</f>
        <v>1571</v>
      </c>
      <c r="FO29" s="77">
        <v>45437</v>
      </c>
      <c r="FP29" s="81"/>
      <c r="FR29" s="64"/>
      <c r="FS29" s="64"/>
      <c r="FT29" s="64"/>
      <c r="FU29" s="64"/>
      <c r="FV29" s="64"/>
      <c r="FW29" s="64"/>
      <c r="FX29" s="64"/>
      <c r="FY29" s="64"/>
      <c r="FZ29" s="178">
        <f t="shared" si="65"/>
        <v>1.6352541345769802</v>
      </c>
      <c r="GE29" s="243"/>
      <c r="GK29" s="113"/>
    </row>
    <row r="30" spans="1:197" ht="15" customHeight="1">
      <c r="B30" s="573">
        <v>42760</v>
      </c>
      <c r="D30" s="85">
        <v>5851.8</v>
      </c>
      <c r="E30" s="85">
        <v>480</v>
      </c>
      <c r="F30" s="85">
        <v>515.30399999999997</v>
      </c>
      <c r="G30" s="85">
        <v>7245.11</v>
      </c>
      <c r="H30" s="85">
        <v>0</v>
      </c>
      <c r="I30" s="85">
        <v>1255.7399999999998</v>
      </c>
      <c r="J30" s="85">
        <v>6992.16</v>
      </c>
      <c r="K30" s="167"/>
      <c r="L30" s="167"/>
      <c r="M30" s="291">
        <f t="shared" si="21"/>
        <v>8247.9</v>
      </c>
      <c r="N30" s="213">
        <f t="shared" si="0"/>
        <v>14092.214</v>
      </c>
      <c r="O30" s="88">
        <f t="shared" si="22"/>
        <v>18216.164000000001</v>
      </c>
      <c r="P30" s="89">
        <f t="shared" si="23"/>
        <v>374816.08350000007</v>
      </c>
      <c r="R30" s="90">
        <f t="shared" si="24"/>
        <v>243</v>
      </c>
      <c r="S30" s="90">
        <f t="shared" si="25"/>
        <v>105</v>
      </c>
      <c r="T30" s="90">
        <f t="shared" si="1"/>
        <v>377.6</v>
      </c>
      <c r="U30" s="90"/>
      <c r="V30" s="90">
        <f t="shared" si="26"/>
        <v>1396</v>
      </c>
      <c r="W30" s="91">
        <f>IF(EP30=0,"",(EP30-EP29)/10)</f>
        <v>1043.5</v>
      </c>
      <c r="X30" s="90">
        <f t="shared" si="27"/>
        <v>1396</v>
      </c>
      <c r="Y30" s="90">
        <f t="shared" si="28"/>
        <v>181.6</v>
      </c>
      <c r="Z30" s="90">
        <f t="shared" si="2"/>
        <v>126.9</v>
      </c>
      <c r="AA30" s="90">
        <f t="shared" si="29"/>
        <v>2121.6</v>
      </c>
      <c r="AB30" s="90">
        <f t="shared" si="30"/>
        <v>293</v>
      </c>
      <c r="AC30" s="90">
        <f t="shared" si="30"/>
        <v>27</v>
      </c>
      <c r="AD30" s="90">
        <f t="shared" si="31"/>
        <v>493</v>
      </c>
      <c r="AE30" s="90">
        <f t="shared" si="32"/>
        <v>173</v>
      </c>
      <c r="AF30" s="90">
        <f t="shared" si="33"/>
        <v>63</v>
      </c>
      <c r="AG30" s="90">
        <f t="shared" si="33"/>
        <v>24</v>
      </c>
      <c r="AH30" s="90">
        <f t="shared" si="34"/>
        <v>157</v>
      </c>
      <c r="AI30" s="90">
        <f t="shared" si="35"/>
        <v>70</v>
      </c>
      <c r="AJ30" s="90">
        <f>IF(EA30=0,"",(EA30-EA29))</f>
        <v>90</v>
      </c>
      <c r="AK30" s="90">
        <f>IF(EB30=0,"",(EB30-EB29))</f>
        <v>22</v>
      </c>
      <c r="AL30" s="90">
        <f t="shared" si="37"/>
        <v>239</v>
      </c>
      <c r="AM30" s="90">
        <f t="shared" si="38"/>
        <v>127</v>
      </c>
      <c r="AN30" s="90">
        <f t="shared" si="39"/>
        <v>7</v>
      </c>
      <c r="AO30" s="90">
        <f t="shared" si="3"/>
        <v>41</v>
      </c>
      <c r="AP30" s="90">
        <f t="shared" si="40"/>
        <v>79</v>
      </c>
      <c r="AQ30" s="90">
        <f>IF(AP30=0.1,0,(IF(AP30&gt;=(EH30-EH29),(AP30),(EH30-EH29))))</f>
        <v>131</v>
      </c>
      <c r="AR30" s="90">
        <f t="shared" si="41"/>
        <v>108.736</v>
      </c>
      <c r="AS30" s="90">
        <f t="shared" si="42"/>
        <v>188.73599999999999</v>
      </c>
      <c r="AT30" s="90">
        <f t="shared" si="43"/>
        <v>934.73599999999999</v>
      </c>
      <c r="AU30" s="90">
        <f t="shared" si="44"/>
        <v>172</v>
      </c>
      <c r="AV30" s="90">
        <f t="shared" si="72"/>
        <v>34</v>
      </c>
      <c r="AW30" s="90">
        <f t="shared" si="45"/>
        <v>574</v>
      </c>
      <c r="AX30" s="90">
        <f t="shared" si="73"/>
        <v>20</v>
      </c>
      <c r="AY30" s="90" t="str">
        <f t="shared" si="46"/>
        <v/>
      </c>
      <c r="AZ30" s="90">
        <f t="shared" si="47"/>
        <v>552</v>
      </c>
      <c r="BA30" s="90">
        <v>47</v>
      </c>
      <c r="BB30" s="90">
        <f t="shared" si="48"/>
        <v>96</v>
      </c>
      <c r="BC30" s="90">
        <f t="shared" si="48"/>
        <v>799</v>
      </c>
      <c r="BD30" s="90">
        <f t="shared" si="49"/>
        <v>207</v>
      </c>
      <c r="BE30" s="90"/>
      <c r="BF30" s="90"/>
      <c r="BG30" s="90">
        <f t="shared" si="5"/>
        <v>1654</v>
      </c>
      <c r="BH30" s="90">
        <f t="shared" si="50"/>
        <v>-494</v>
      </c>
      <c r="BI30" s="90">
        <f t="shared" si="51"/>
        <v>2192.6639999999998</v>
      </c>
      <c r="BJ30" s="90">
        <f t="shared" si="6"/>
        <v>5079.3360000000002</v>
      </c>
      <c r="BK30" s="92"/>
      <c r="BL30" s="93">
        <f t="shared" si="52"/>
        <v>6778</v>
      </c>
      <c r="BM30" s="93">
        <f t="shared" si="53"/>
        <v>139391</v>
      </c>
      <c r="BN30" s="92"/>
      <c r="BO30" s="94">
        <f t="shared" si="54"/>
        <v>0.17243564425008021</v>
      </c>
      <c r="BP30" s="94">
        <f t="shared" si="54"/>
        <v>7.4509228996948243E-2</v>
      </c>
      <c r="BQ30" s="94">
        <f t="shared" si="55"/>
        <v>0.26794937970712057</v>
      </c>
      <c r="BR30" s="94">
        <f t="shared" si="74"/>
        <v>0.99061793980704527</v>
      </c>
      <c r="BS30" s="94">
        <f t="shared" si="83"/>
        <v>0.12886548557948382</v>
      </c>
      <c r="BT30" s="94">
        <f t="shared" si="83"/>
        <v>9.0049725330597463E-2</v>
      </c>
      <c r="BU30" s="95">
        <f t="shared" si="83"/>
        <v>1.5055121927611941</v>
      </c>
      <c r="BV30" s="94">
        <f t="shared" si="8"/>
        <v>0.13339800849399466</v>
      </c>
      <c r="BW30" s="94">
        <f t="shared" si="8"/>
        <v>5.7641114781355723E-2</v>
      </c>
      <c r="BX30" s="94">
        <f t="shared" si="8"/>
        <v>0.20728842801371355</v>
      </c>
      <c r="BY30" s="94">
        <f t="shared" si="56"/>
        <v>0.76635234509307226</v>
      </c>
      <c r="BZ30" s="95">
        <f t="shared" si="9"/>
        <v>1.1646798963821361</v>
      </c>
      <c r="CA30" s="96" t="e">
        <f>#REF!</f>
        <v>#REF!</v>
      </c>
      <c r="CB30" s="94">
        <f t="shared" si="10"/>
        <v>5.9692040541576154E-2</v>
      </c>
      <c r="CC30" s="95">
        <f t="shared" si="10"/>
        <v>0.10360908037499003</v>
      </c>
      <c r="CD30" s="97">
        <f t="shared" si="11"/>
        <v>0.13183477006268265</v>
      </c>
      <c r="CE30" s="98">
        <f t="shared" si="11"/>
        <v>0.22882915651256683</v>
      </c>
      <c r="CF30" s="94">
        <f t="shared" si="57"/>
        <v>0.50070063911958718</v>
      </c>
      <c r="CG30" s="94">
        <f t="shared" si="57"/>
        <v>4.6139649338665024E-2</v>
      </c>
      <c r="CH30" s="95">
        <f t="shared" si="58"/>
        <v>0.8424758194059947</v>
      </c>
      <c r="CI30" s="96" t="e">
        <f>#REF!</f>
        <v>#REF!</v>
      </c>
      <c r="CJ30" s="94">
        <f t="shared" si="59"/>
        <v>1.3125</v>
      </c>
      <c r="CK30" s="94">
        <f t="shared" si="59"/>
        <v>0.5</v>
      </c>
      <c r="CL30" s="95">
        <f t="shared" si="75"/>
        <v>3.2708333333333335</v>
      </c>
      <c r="CM30" s="95" t="e">
        <f>#REF!</f>
        <v>#REF!</v>
      </c>
      <c r="CN30" s="94">
        <f t="shared" si="60"/>
        <v>1.7465418471426577</v>
      </c>
      <c r="CO30" s="94">
        <f t="shared" si="60"/>
        <v>0.42693245152376075</v>
      </c>
      <c r="CP30" s="95">
        <f t="shared" si="61"/>
        <v>4.638038905189946</v>
      </c>
      <c r="CQ30" s="95" t="e">
        <f>#REF!</f>
        <v>#REF!</v>
      </c>
      <c r="CR30" s="97">
        <f t="shared" si="76"/>
        <v>9.6616890564808558E-3</v>
      </c>
      <c r="CS30" s="95">
        <f t="shared" si="76"/>
        <v>5.6589893045102146E-2</v>
      </c>
      <c r="CT30" s="96" t="e">
        <f>#REF!</f>
        <v>#REF!</v>
      </c>
      <c r="CU30" s="97" t="str">
        <f t="shared" si="77"/>
        <v xml:space="preserve">0,00 </v>
      </c>
      <c r="CV30" s="95" t="str">
        <f t="shared" si="62"/>
        <v xml:space="preserve">0,00 </v>
      </c>
      <c r="CW30" s="96" t="e">
        <f>#REF!</f>
        <v>#REF!</v>
      </c>
      <c r="CX30" s="99">
        <f t="shared" si="63"/>
        <v>9.4421635641839835E-2</v>
      </c>
      <c r="CY30" s="95">
        <f t="shared" si="63"/>
        <v>1.8664741929200899E-2</v>
      </c>
      <c r="CZ30" s="99">
        <f t="shared" si="63"/>
        <v>0.31510476080474464</v>
      </c>
      <c r="DA30" s="95">
        <f t="shared" si="63"/>
        <v>1.0979259958353471E-2</v>
      </c>
      <c r="DB30" s="94">
        <f t="shared" si="12"/>
        <v>0.30302757485055576</v>
      </c>
      <c r="DC30" s="94">
        <f t="shared" si="13"/>
        <v>5.270044780009666E-2</v>
      </c>
      <c r="DD30" s="94">
        <f t="shared" si="13"/>
        <v>0.43862143533622117</v>
      </c>
      <c r="DE30" s="94">
        <f t="shared" si="13"/>
        <v>0.11363534056895842</v>
      </c>
      <c r="DF30" s="94">
        <f t="shared" si="13"/>
        <v>0</v>
      </c>
      <c r="DG30" s="94">
        <f t="shared" si="13"/>
        <v>0</v>
      </c>
      <c r="DH30" s="95">
        <f t="shared" si="13"/>
        <v>0.90798479855583203</v>
      </c>
      <c r="DI30" s="96" t="e">
        <f>#REF!</f>
        <v>#REF!</v>
      </c>
      <c r="DJ30" s="95">
        <f t="shared" si="64"/>
        <v>-0.2711877209713307</v>
      </c>
      <c r="DK30" s="96" t="e">
        <f>#REF!</f>
        <v>#REF!</v>
      </c>
      <c r="DL30" s="95">
        <f t="shared" si="14"/>
        <v>1.2036914028661576</v>
      </c>
      <c r="DM30" s="96">
        <f t="shared" si="15"/>
        <v>0</v>
      </c>
      <c r="DN30" s="94">
        <f t="shared" si="16"/>
        <v>2.7883675179911642</v>
      </c>
      <c r="DO30" s="100">
        <v>3.4</v>
      </c>
      <c r="DP30" s="94">
        <f>IF($O30&lt;&gt;0,IF($O30&lt;&gt;0,BL30/$O30*10,0)," ")</f>
        <v>3.7208711998859911</v>
      </c>
      <c r="DQ30" s="94">
        <f>IF($P30&lt;&gt;0,IF($P30&lt;&gt;0,BM30/$P30*10,0)," ")</f>
        <v>3.7189172539870468</v>
      </c>
      <c r="DR30" s="101">
        <f t="shared" si="17"/>
        <v>0</v>
      </c>
      <c r="DT30" s="103">
        <v>25</v>
      </c>
      <c r="DU30" s="183">
        <v>600885</v>
      </c>
      <c r="DV30" s="135">
        <v>22106</v>
      </c>
      <c r="DW30" s="183">
        <v>5080685</v>
      </c>
      <c r="DX30" s="183">
        <v>96707</v>
      </c>
      <c r="DY30" s="183">
        <v>79626</v>
      </c>
      <c r="DZ30" s="135">
        <v>356492</v>
      </c>
      <c r="EA30" s="136">
        <v>203044</v>
      </c>
      <c r="EB30" s="161">
        <v>46112</v>
      </c>
      <c r="EC30" s="136">
        <v>357266</v>
      </c>
      <c r="ED30" s="135">
        <v>43303</v>
      </c>
      <c r="EE30" s="136">
        <v>35288</v>
      </c>
      <c r="EF30" s="136">
        <v>36983</v>
      </c>
      <c r="EG30" s="135">
        <v>88068</v>
      </c>
      <c r="EH30" s="135">
        <v>173523</v>
      </c>
      <c r="EI30" s="135">
        <v>27673</v>
      </c>
      <c r="EJ30" s="136">
        <v>35899</v>
      </c>
      <c r="EK30" s="136"/>
      <c r="EL30" s="135">
        <v>670698</v>
      </c>
      <c r="EM30" s="135">
        <v>3776</v>
      </c>
      <c r="EN30" s="136">
        <v>38116</v>
      </c>
      <c r="EO30" s="135">
        <v>2793662</v>
      </c>
      <c r="EP30" s="136">
        <v>2351892</v>
      </c>
      <c r="EQ30" s="136">
        <v>1816</v>
      </c>
      <c r="ER30" s="136">
        <v>1269</v>
      </c>
      <c r="ES30" s="136">
        <v>251114</v>
      </c>
      <c r="ET30" s="136">
        <v>8054221</v>
      </c>
      <c r="EU30" s="136">
        <v>358713</v>
      </c>
      <c r="EV30" s="136">
        <v>102243</v>
      </c>
      <c r="EW30" s="136">
        <v>52981</v>
      </c>
      <c r="EX30" s="135">
        <v>193000</v>
      </c>
      <c r="EY30" s="135">
        <v>1535241</v>
      </c>
      <c r="EZ30" s="136">
        <v>676227</v>
      </c>
      <c r="FA30" s="140">
        <v>711217</v>
      </c>
      <c r="FB30" s="145">
        <v>29635</v>
      </c>
      <c r="FC30" s="146">
        <v>7272</v>
      </c>
      <c r="FD30" s="104">
        <f t="shared" si="18"/>
        <v>5153</v>
      </c>
      <c r="FE30" s="105">
        <f t="shared" si="84"/>
        <v>0</v>
      </c>
      <c r="FF30" s="287">
        <f t="shared" si="84"/>
        <v>639</v>
      </c>
      <c r="FG30" s="287">
        <f t="shared" si="87"/>
        <v>0</v>
      </c>
      <c r="FH30" s="288">
        <f t="shared" si="85"/>
        <v>1848</v>
      </c>
      <c r="FI30" s="288">
        <f t="shared" si="85"/>
        <v>3</v>
      </c>
      <c r="FJ30" s="77">
        <v>3</v>
      </c>
      <c r="FK30" s="104">
        <f t="shared" si="86"/>
        <v>799</v>
      </c>
      <c r="FL30" s="288">
        <f t="shared" si="86"/>
        <v>1507</v>
      </c>
      <c r="FM30" s="288">
        <f t="shared" si="86"/>
        <v>354</v>
      </c>
      <c r="FN30" s="80">
        <f t="shared" si="82"/>
        <v>1625</v>
      </c>
      <c r="FO30" s="77">
        <v>47062</v>
      </c>
      <c r="FP30" s="188" t="s">
        <v>125</v>
      </c>
      <c r="FR30" s="64"/>
      <c r="FS30" s="64"/>
      <c r="FT30" s="64"/>
      <c r="FU30" s="64"/>
      <c r="FV30" s="64"/>
      <c r="FW30" s="64"/>
      <c r="FX30" s="64"/>
      <c r="FY30" s="64"/>
      <c r="FZ30" s="178">
        <f t="shared" si="65"/>
        <v>1.5055121927611941</v>
      </c>
      <c r="GE30" s="243"/>
    </row>
    <row r="31" spans="1:197" ht="15" customHeight="1">
      <c r="B31" s="573">
        <v>42761</v>
      </c>
      <c r="D31" s="85">
        <v>5960.04</v>
      </c>
      <c r="E31" s="85">
        <v>2429.16</v>
      </c>
      <c r="F31" s="85">
        <v>2313.288</v>
      </c>
      <c r="G31" s="85">
        <v>5445.9409999999998</v>
      </c>
      <c r="H31" s="85">
        <v>6028.366</v>
      </c>
      <c r="I31" s="85">
        <v>697.57600000000002</v>
      </c>
      <c r="J31" s="85">
        <v>5692.92</v>
      </c>
      <c r="K31" s="167">
        <v>0</v>
      </c>
      <c r="L31" s="167"/>
      <c r="M31" s="291">
        <f t="shared" si="21"/>
        <v>6390.4960000000001</v>
      </c>
      <c r="N31" s="213">
        <f t="shared" si="0"/>
        <v>22176.794999999998</v>
      </c>
      <c r="O31" s="88">
        <f t="shared" si="22"/>
        <v>25372.042999999998</v>
      </c>
      <c r="P31" s="89">
        <f t="shared" si="23"/>
        <v>400188.12650000007</v>
      </c>
      <c r="R31" s="90">
        <f t="shared" si="24"/>
        <v>257</v>
      </c>
      <c r="S31" s="90">
        <f t="shared" si="25"/>
        <v>85.8</v>
      </c>
      <c r="T31" s="90">
        <f t="shared" si="1"/>
        <v>562.5</v>
      </c>
      <c r="U31" s="90"/>
      <c r="V31" s="90">
        <f t="shared" si="26"/>
        <v>1353</v>
      </c>
      <c r="W31" s="91">
        <f t="shared" si="71"/>
        <v>2032.9</v>
      </c>
      <c r="X31" s="90">
        <f t="shared" si="27"/>
        <v>1353</v>
      </c>
      <c r="Y31" s="90">
        <f t="shared" si="28"/>
        <v>50</v>
      </c>
      <c r="Z31" s="90">
        <f t="shared" si="2"/>
        <v>135.6</v>
      </c>
      <c r="AA31" s="90">
        <f t="shared" si="29"/>
        <v>2258.3000000000002</v>
      </c>
      <c r="AB31" s="90">
        <f t="shared" si="30"/>
        <v>257</v>
      </c>
      <c r="AC31" s="90">
        <f t="shared" si="30"/>
        <v>23</v>
      </c>
      <c r="AD31" s="90">
        <f t="shared" si="31"/>
        <v>481</v>
      </c>
      <c r="AE31" s="90">
        <f t="shared" si="32"/>
        <v>201</v>
      </c>
      <c r="AF31" s="90">
        <f t="shared" si="33"/>
        <v>149</v>
      </c>
      <c r="AG31" s="90">
        <f t="shared" si="33"/>
        <v>14</v>
      </c>
      <c r="AH31" s="90">
        <f t="shared" si="34"/>
        <v>217</v>
      </c>
      <c r="AI31" s="90">
        <f t="shared" si="35"/>
        <v>54</v>
      </c>
      <c r="AJ31" s="90">
        <f t="shared" si="36"/>
        <v>173</v>
      </c>
      <c r="AK31" s="90">
        <f t="shared" si="36"/>
        <v>43</v>
      </c>
      <c r="AL31" s="90">
        <f t="shared" si="37"/>
        <v>277</v>
      </c>
      <c r="AM31" s="90">
        <f t="shared" si="38"/>
        <v>61</v>
      </c>
      <c r="AN31" s="90">
        <f t="shared" si="39"/>
        <v>6</v>
      </c>
      <c r="AO31" s="90">
        <f t="shared" si="3"/>
        <v>42</v>
      </c>
      <c r="AP31" s="90">
        <f t="shared" si="40"/>
        <v>10</v>
      </c>
      <c r="AQ31" s="90">
        <f t="shared" si="4"/>
        <v>18</v>
      </c>
      <c r="AR31" s="90">
        <f t="shared" si="41"/>
        <v>75.742000000000004</v>
      </c>
      <c r="AS31" s="90">
        <f t="shared" si="42"/>
        <v>296.74199999999996</v>
      </c>
      <c r="AT31" s="90">
        <f t="shared" si="43"/>
        <v>969.74199999999996</v>
      </c>
      <c r="AU31" s="90">
        <f t="shared" si="44"/>
        <v>115</v>
      </c>
      <c r="AV31" s="90">
        <f t="shared" si="72"/>
        <v>34</v>
      </c>
      <c r="AW31" s="90">
        <f t="shared" si="45"/>
        <v>558</v>
      </c>
      <c r="AX31" s="90">
        <f t="shared" si="73"/>
        <v>22</v>
      </c>
      <c r="AY31" s="90" t="str">
        <f t="shared" si="46"/>
        <v/>
      </c>
      <c r="AZ31" s="90">
        <f t="shared" si="47"/>
        <v>572</v>
      </c>
      <c r="BA31" s="90">
        <v>0</v>
      </c>
      <c r="BB31" s="90">
        <f t="shared" si="48"/>
        <v>118</v>
      </c>
      <c r="BC31" s="90">
        <f t="shared" si="48"/>
        <v>1072</v>
      </c>
      <c r="BD31" s="90">
        <f t="shared" si="49"/>
        <v>315</v>
      </c>
      <c r="BE31" s="90"/>
      <c r="BF31" s="90"/>
      <c r="BG31" s="90">
        <f t="shared" si="5"/>
        <v>2077</v>
      </c>
      <c r="BH31" s="90">
        <f t="shared" si="50"/>
        <v>-2794</v>
      </c>
      <c r="BI31" s="90">
        <f t="shared" si="51"/>
        <v>2439.9579999999996</v>
      </c>
      <c r="BJ31" s="90">
        <f t="shared" si="6"/>
        <v>5723.0420000000004</v>
      </c>
      <c r="BK31" s="92"/>
      <c r="BL31" s="93">
        <f t="shared" si="52"/>
        <v>5369</v>
      </c>
      <c r="BM31" s="93">
        <f t="shared" si="53"/>
        <v>144760</v>
      </c>
      <c r="BN31" s="92"/>
      <c r="BO31" s="94">
        <f t="shared" si="54"/>
        <v>0.11588689889589547</v>
      </c>
      <c r="BP31" s="94">
        <f t="shared" si="54"/>
        <v>3.8689089203376777E-2</v>
      </c>
      <c r="BQ31" s="94">
        <f t="shared" si="55"/>
        <v>0.25364350439276734</v>
      </c>
      <c r="BR31" s="94">
        <f t="shared" si="74"/>
        <v>0.61009717589940304</v>
      </c>
      <c r="BS31" s="94">
        <f t="shared" si="83"/>
        <v>2.2546089279357095E-2</v>
      </c>
      <c r="BT31" s="94">
        <f t="shared" si="83"/>
        <v>6.1144994125616442E-2</v>
      </c>
      <c r="BU31" s="95">
        <f t="shared" si="83"/>
        <v>1.0183166683914426</v>
      </c>
      <c r="BV31" s="94">
        <f t="shared" si="8"/>
        <v>0.10129259200766766</v>
      </c>
      <c r="BW31" s="94">
        <f t="shared" si="8"/>
        <v>3.3816748615789434E-2</v>
      </c>
      <c r="BX31" s="94">
        <f t="shared" si="8"/>
        <v>0.22170071207903913</v>
      </c>
      <c r="BY31" s="94">
        <f t="shared" si="56"/>
        <v>0.53326411278744879</v>
      </c>
      <c r="BZ31" s="95">
        <f t="shared" si="9"/>
        <v>0.89007416548994511</v>
      </c>
      <c r="CA31" s="96" t="e">
        <f>#REF!</f>
        <v>#REF!</v>
      </c>
      <c r="CB31" s="94">
        <f t="shared" si="10"/>
        <v>2.9852542816516593E-2</v>
      </c>
      <c r="CC31" s="95">
        <f t="shared" si="10"/>
        <v>0.11695628925112572</v>
      </c>
      <c r="CD31" s="97">
        <f t="shared" si="11"/>
        <v>0.11852288147899633</v>
      </c>
      <c r="CE31" s="98">
        <f t="shared" si="11"/>
        <v>0.4643489331657511</v>
      </c>
      <c r="CF31" s="94">
        <f t="shared" si="57"/>
        <v>0.43120515969691475</v>
      </c>
      <c r="CG31" s="94">
        <f t="shared" si="57"/>
        <v>3.8590345031241403E-2</v>
      </c>
      <c r="CH31" s="95">
        <f t="shared" si="58"/>
        <v>0.80704156347943978</v>
      </c>
      <c r="CI31" s="96" t="e">
        <f>#REF!</f>
        <v>#REF!</v>
      </c>
      <c r="CJ31" s="94">
        <f t="shared" si="59"/>
        <v>0.61338075713415341</v>
      </c>
      <c r="CK31" s="94">
        <f t="shared" si="59"/>
        <v>5.7633091274349985E-2</v>
      </c>
      <c r="CL31" s="95">
        <f t="shared" si="75"/>
        <v>0.8933129147524248</v>
      </c>
      <c r="CM31" s="95" t="e">
        <f>#REF!</f>
        <v>#REF!</v>
      </c>
      <c r="CN31" s="94">
        <f t="shared" si="60"/>
        <v>0.74785327205259344</v>
      </c>
      <c r="CO31" s="94">
        <f t="shared" si="60"/>
        <v>0.18588260519226313</v>
      </c>
      <c r="CP31" s="95">
        <f t="shared" si="61"/>
        <v>1.1974298055408579</v>
      </c>
      <c r="CQ31" s="95" t="e">
        <f>#REF!</f>
        <v>#REF!</v>
      </c>
      <c r="CR31" s="97">
        <f t="shared" si="76"/>
        <v>1.1017379732905664E-2</v>
      </c>
      <c r="CS31" s="95">
        <f t="shared" si="76"/>
        <v>7.7121658130339651E-2</v>
      </c>
      <c r="CT31" s="96" t="e">
        <f>#REF!</f>
        <v>#REF!</v>
      </c>
      <c r="CU31" s="97">
        <f t="shared" si="77"/>
        <v>1.658824298325616E-2</v>
      </c>
      <c r="CV31" s="95">
        <f t="shared" si="62"/>
        <v>2.9858837369861089E-2</v>
      </c>
      <c r="CW31" s="96" t="e">
        <f>#REF!</f>
        <v>#REF!</v>
      </c>
      <c r="CX31" s="99">
        <f t="shared" si="63"/>
        <v>4.5325478913936894E-2</v>
      </c>
      <c r="CY31" s="95">
        <f t="shared" si="63"/>
        <v>1.3400576374555254E-2</v>
      </c>
      <c r="CZ31" s="99">
        <f t="shared" si="63"/>
        <v>0.21992710638240681</v>
      </c>
      <c r="DA31" s="95">
        <f t="shared" si="63"/>
        <v>8.6709611835357539E-3</v>
      </c>
      <c r="DB31" s="94">
        <f t="shared" si="12"/>
        <v>0.22544499077192959</v>
      </c>
      <c r="DC31" s="94">
        <f t="shared" si="13"/>
        <v>4.6507882711691768E-2</v>
      </c>
      <c r="DD31" s="94">
        <f t="shared" si="13"/>
        <v>0.42251229039774213</v>
      </c>
      <c r="DE31" s="94">
        <f t="shared" si="13"/>
        <v>0.12415239876426191</v>
      </c>
      <c r="DF31" s="94">
        <f t="shared" si="13"/>
        <v>0</v>
      </c>
      <c r="DG31" s="94">
        <f t="shared" si="13"/>
        <v>0</v>
      </c>
      <c r="DH31" s="95">
        <f t="shared" si="13"/>
        <v>0.81861756264562546</v>
      </c>
      <c r="DI31" s="96" t="e">
        <f>#REF!</f>
        <v>#REF!</v>
      </c>
      <c r="DJ31" s="95">
        <f t="shared" si="64"/>
        <v>-1.1012120703090407</v>
      </c>
      <c r="DK31" s="96" t="e">
        <f>#REF!</f>
        <v>#REF!</v>
      </c>
      <c r="DL31" s="95">
        <f t="shared" si="14"/>
        <v>0.96167186852079656</v>
      </c>
      <c r="DM31" s="96">
        <f t="shared" si="15"/>
        <v>0</v>
      </c>
      <c r="DN31" s="94">
        <f t="shared" si="16"/>
        <v>2.2556488651702193</v>
      </c>
      <c r="DO31" s="100">
        <v>3.4</v>
      </c>
      <c r="DP31" s="94">
        <f t="shared" si="80"/>
        <v>2.1161086633819752</v>
      </c>
      <c r="DQ31" s="94">
        <f t="shared" si="81"/>
        <v>3.6172987256282321</v>
      </c>
      <c r="DR31" s="101">
        <f t="shared" si="17"/>
        <v>0</v>
      </c>
      <c r="DT31" s="182">
        <v>26</v>
      </c>
      <c r="DU31" s="76">
        <v>601142</v>
      </c>
      <c r="DV31" s="76">
        <v>22129</v>
      </c>
      <c r="DW31" s="76">
        <v>5081166</v>
      </c>
      <c r="DX31" s="76">
        <v>96856</v>
      </c>
      <c r="DY31" s="76">
        <v>79640</v>
      </c>
      <c r="DZ31" s="76">
        <v>356709</v>
      </c>
      <c r="EA31" s="77">
        <v>203217</v>
      </c>
      <c r="EB31" s="77">
        <v>46155</v>
      </c>
      <c r="EC31" s="77">
        <v>357543</v>
      </c>
      <c r="ED31" s="77">
        <v>43309</v>
      </c>
      <c r="EE31" s="77">
        <v>35316</v>
      </c>
      <c r="EF31" s="77">
        <v>36997</v>
      </c>
      <c r="EG31" s="76">
        <v>88078</v>
      </c>
      <c r="EH31" s="76">
        <v>173541</v>
      </c>
      <c r="EI31" s="76">
        <v>27707</v>
      </c>
      <c r="EJ31" s="77">
        <v>35921</v>
      </c>
      <c r="EK31" s="77"/>
      <c r="EL31" s="76">
        <v>670955</v>
      </c>
      <c r="EM31" s="76">
        <v>5625</v>
      </c>
      <c r="EN31" s="77">
        <v>38166</v>
      </c>
      <c r="EO31" s="76">
        <v>2795015</v>
      </c>
      <c r="EP31" s="121">
        <v>2372221</v>
      </c>
      <c r="EQ31" s="121">
        <v>500</v>
      </c>
      <c r="ER31" s="121">
        <v>1356</v>
      </c>
      <c r="ES31" s="77">
        <v>252008</v>
      </c>
      <c r="ET31" s="77">
        <v>8129963</v>
      </c>
      <c r="EU31" s="77">
        <v>359271</v>
      </c>
      <c r="EV31" s="77">
        <v>102358</v>
      </c>
      <c r="EW31" s="77">
        <v>53553</v>
      </c>
      <c r="EX31" s="76">
        <v>193118</v>
      </c>
      <c r="EY31" s="76">
        <v>1536313</v>
      </c>
      <c r="EZ31" s="77">
        <v>677085</v>
      </c>
      <c r="FA31" s="151">
        <v>711532</v>
      </c>
      <c r="FB31" s="151">
        <v>29635</v>
      </c>
      <c r="FC31" s="149">
        <v>8163</v>
      </c>
      <c r="FD31" s="104">
        <v>4887</v>
      </c>
      <c r="FE31" s="105">
        <f t="shared" si="84"/>
        <v>0</v>
      </c>
      <c r="FF31" s="287">
        <f t="shared" si="84"/>
        <v>546</v>
      </c>
      <c r="FG31" s="287">
        <f t="shared" si="87"/>
        <v>0</v>
      </c>
      <c r="FH31" s="288">
        <f t="shared" si="85"/>
        <v>1552</v>
      </c>
      <c r="FI31" s="288">
        <f t="shared" si="85"/>
        <v>539</v>
      </c>
      <c r="FJ31" s="77">
        <v>4</v>
      </c>
      <c r="FK31" s="104">
        <f t="shared" si="86"/>
        <v>658</v>
      </c>
      <c r="FL31" s="288">
        <f t="shared" si="86"/>
        <v>1256</v>
      </c>
      <c r="FM31" s="288">
        <f t="shared" si="86"/>
        <v>336</v>
      </c>
      <c r="FN31" s="80">
        <v>482</v>
      </c>
      <c r="FO31" s="77">
        <v>47544</v>
      </c>
      <c r="FQ31" s="185"/>
      <c r="FR31" s="64"/>
      <c r="FS31" s="64"/>
      <c r="FT31" s="64"/>
      <c r="FU31" s="64"/>
      <c r="FV31" s="64"/>
      <c r="FW31" s="64"/>
      <c r="FX31" s="64"/>
      <c r="FY31" s="64"/>
      <c r="FZ31" s="178">
        <f t="shared" si="65"/>
        <v>1.0183166683914426</v>
      </c>
      <c r="GE31" s="243"/>
      <c r="GK31" s="118"/>
    </row>
    <row r="32" spans="1:197" s="119" customFormat="1" ht="15" customHeight="1">
      <c r="B32" s="573">
        <v>42762</v>
      </c>
      <c r="D32" s="85">
        <v>5016.72</v>
      </c>
      <c r="E32" s="85">
        <v>2855.28</v>
      </c>
      <c r="F32" s="85">
        <v>3362.6880000000001</v>
      </c>
      <c r="G32" s="85">
        <v>4956.2550000000001</v>
      </c>
      <c r="H32" s="85">
        <v>7511.4480000000003</v>
      </c>
      <c r="I32" s="85">
        <v>1835.7170000000001</v>
      </c>
      <c r="J32" s="85">
        <v>2811.9839999999999</v>
      </c>
      <c r="K32" s="167">
        <v>30.998999999999999</v>
      </c>
      <c r="L32" s="167">
        <v>24</v>
      </c>
      <c r="M32" s="291">
        <f t="shared" si="21"/>
        <v>4647.701</v>
      </c>
      <c r="N32" s="213">
        <f t="shared" si="0"/>
        <v>23702.391</v>
      </c>
      <c r="O32" s="88">
        <f t="shared" si="22"/>
        <v>26050.2415</v>
      </c>
      <c r="P32" s="89">
        <f t="shared" si="23"/>
        <v>426238.36800000007</v>
      </c>
      <c r="R32" s="90">
        <f t="shared" si="24"/>
        <v>312</v>
      </c>
      <c r="S32" s="90">
        <f t="shared" si="25"/>
        <v>29.4</v>
      </c>
      <c r="T32" s="90">
        <f t="shared" si="1"/>
        <v>692.1</v>
      </c>
      <c r="U32" s="90"/>
      <c r="V32" s="90">
        <f t="shared" si="26"/>
        <v>1519</v>
      </c>
      <c r="W32" s="91">
        <f t="shared" si="71"/>
        <v>1707.4</v>
      </c>
      <c r="X32" s="90">
        <f t="shared" si="27"/>
        <v>1519</v>
      </c>
      <c r="Y32" s="90" t="str">
        <f t="shared" si="28"/>
        <v>0</v>
      </c>
      <c r="Z32" s="90">
        <f t="shared" si="2"/>
        <v>153.69999999999999</v>
      </c>
      <c r="AA32" s="90">
        <f t="shared" si="29"/>
        <v>2552.5</v>
      </c>
      <c r="AB32" s="90">
        <f t="shared" si="30"/>
        <v>227</v>
      </c>
      <c r="AC32" s="90">
        <f t="shared" si="30"/>
        <v>38</v>
      </c>
      <c r="AD32" s="90">
        <f t="shared" si="31"/>
        <v>460</v>
      </c>
      <c r="AE32" s="90">
        <f t="shared" si="32"/>
        <v>195</v>
      </c>
      <c r="AF32" s="90">
        <f t="shared" si="33"/>
        <v>164</v>
      </c>
      <c r="AG32" s="90">
        <f t="shared" si="33"/>
        <v>45</v>
      </c>
      <c r="AH32" s="90">
        <f t="shared" si="34"/>
        <v>267</v>
      </c>
      <c r="AI32" s="90">
        <f t="shared" si="35"/>
        <v>58</v>
      </c>
      <c r="AJ32" s="90">
        <f>IF(EA32=0,"",(EA32-EA31))</f>
        <v>205</v>
      </c>
      <c r="AK32" s="90">
        <f t="shared" si="36"/>
        <v>75</v>
      </c>
      <c r="AL32" s="90">
        <f t="shared" si="37"/>
        <v>349</v>
      </c>
      <c r="AM32" s="90">
        <f t="shared" si="38"/>
        <v>69</v>
      </c>
      <c r="AN32" s="90">
        <f t="shared" si="39"/>
        <v>7</v>
      </c>
      <c r="AO32" s="90">
        <f t="shared" si="3"/>
        <v>36</v>
      </c>
      <c r="AP32" s="90">
        <f t="shared" si="40"/>
        <v>12</v>
      </c>
      <c r="AQ32" s="90">
        <f t="shared" si="4"/>
        <v>28</v>
      </c>
      <c r="AR32" s="90">
        <f t="shared" si="41"/>
        <v>113.628</v>
      </c>
      <c r="AS32" s="90">
        <f t="shared" si="42"/>
        <v>188.62800000000004</v>
      </c>
      <c r="AT32" s="90">
        <f t="shared" si="43"/>
        <v>745.62800000000004</v>
      </c>
      <c r="AU32" s="90">
        <f t="shared" si="44"/>
        <v>271</v>
      </c>
      <c r="AV32" s="90">
        <f t="shared" si="72"/>
        <v>11</v>
      </c>
      <c r="AW32" s="90">
        <f t="shared" si="45"/>
        <v>286</v>
      </c>
      <c r="AX32" s="90">
        <f t="shared" si="73"/>
        <v>62</v>
      </c>
      <c r="AY32" s="90" t="str">
        <f t="shared" si="46"/>
        <v/>
      </c>
      <c r="AZ32" s="90">
        <f t="shared" si="47"/>
        <v>543</v>
      </c>
      <c r="BA32" s="90">
        <v>0</v>
      </c>
      <c r="BB32" s="90">
        <f t="shared" si="48"/>
        <v>112</v>
      </c>
      <c r="BC32" s="90">
        <f t="shared" si="48"/>
        <v>1073</v>
      </c>
      <c r="BD32" s="90">
        <f t="shared" si="49"/>
        <v>121</v>
      </c>
      <c r="BE32" s="90"/>
      <c r="BF32" s="90"/>
      <c r="BG32" s="90">
        <f t="shared" si="5"/>
        <v>1849</v>
      </c>
      <c r="BH32" s="90">
        <f t="shared" si="50"/>
        <v>-218</v>
      </c>
      <c r="BI32" s="90">
        <f t="shared" si="51"/>
        <v>1399.8720000000003</v>
      </c>
      <c r="BJ32" s="90">
        <f t="shared" si="6"/>
        <v>5803.1279999999997</v>
      </c>
      <c r="BK32" s="92"/>
      <c r="BL32" s="93">
        <f t="shared" si="52"/>
        <v>6985</v>
      </c>
      <c r="BM32" s="93">
        <f t="shared" si="53"/>
        <v>151745</v>
      </c>
      <c r="BN32" s="92"/>
      <c r="BO32" s="94">
        <f t="shared" si="54"/>
        <v>0.13163228975507155</v>
      </c>
      <c r="BP32" s="94">
        <f t="shared" si="54"/>
        <v>1.2403811919227896E-2</v>
      </c>
      <c r="BQ32" s="94">
        <f t="shared" si="55"/>
        <v>0.29199585813937506</v>
      </c>
      <c r="BR32" s="94">
        <f t="shared" si="74"/>
        <v>0.64086361582677454</v>
      </c>
      <c r="BS32" s="94">
        <f t="shared" si="83"/>
        <v>0</v>
      </c>
      <c r="BT32" s="94">
        <f t="shared" si="83"/>
        <v>6.4845778638956714E-2</v>
      </c>
      <c r="BU32" s="95">
        <f t="shared" si="83"/>
        <v>1.076895575640449</v>
      </c>
      <c r="BV32" s="94">
        <f t="shared" si="8"/>
        <v>0.11976856337397103</v>
      </c>
      <c r="BW32" s="94">
        <f t="shared" si="8"/>
        <v>1.1285883856393423E-2</v>
      </c>
      <c r="BX32" s="94">
        <f t="shared" si="8"/>
        <v>0.26567891894591456</v>
      </c>
      <c r="BY32" s="94">
        <f t="shared" si="56"/>
        <v>0.58310399924699352</v>
      </c>
      <c r="BZ32" s="95">
        <f t="shared" si="9"/>
        <v>0.9798373654232726</v>
      </c>
      <c r="CA32" s="96" t="e">
        <f>#REF!</f>
        <v>#REF!</v>
      </c>
      <c r="CB32" s="94">
        <f t="shared" si="10"/>
        <v>4.3618789484158906E-2</v>
      </c>
      <c r="CC32" s="95">
        <f t="shared" si="10"/>
        <v>7.2409309525978877E-2</v>
      </c>
      <c r="CD32" s="97">
        <f t="shared" si="11"/>
        <v>0.24448216440773621</v>
      </c>
      <c r="CE32" s="98">
        <f t="shared" si="11"/>
        <v>0.40585226975659588</v>
      </c>
      <c r="CF32" s="94">
        <f t="shared" si="57"/>
        <v>0.45248688386037084</v>
      </c>
      <c r="CG32" s="94">
        <f t="shared" si="57"/>
        <v>7.5746703025084114E-2</v>
      </c>
      <c r="CH32" s="95">
        <f t="shared" si="58"/>
        <v>0.91693377346154459</v>
      </c>
      <c r="CI32" s="96" t="e">
        <f>#REF!</f>
        <v>#REF!</v>
      </c>
      <c r="CJ32" s="94">
        <f t="shared" si="59"/>
        <v>0.57437449216889414</v>
      </c>
      <c r="CK32" s="94">
        <f t="shared" si="59"/>
        <v>0.1576027569975624</v>
      </c>
      <c r="CL32" s="95">
        <f t="shared" si="75"/>
        <v>0.93510969151887036</v>
      </c>
      <c r="CM32" s="95" t="e">
        <f>#REF!</f>
        <v>#REF!</v>
      </c>
      <c r="CN32" s="94">
        <f t="shared" si="60"/>
        <v>0.60963134254501161</v>
      </c>
      <c r="CO32" s="94">
        <f t="shared" si="60"/>
        <v>0.22303585702866277</v>
      </c>
      <c r="CP32" s="95">
        <f t="shared" si="61"/>
        <v>1.0378601880400442</v>
      </c>
      <c r="CQ32" s="95" t="e">
        <f>#REF!</f>
        <v>#REF!</v>
      </c>
      <c r="CR32" s="97">
        <f t="shared" si="76"/>
        <v>1.4123567088456909E-2</v>
      </c>
      <c r="CS32" s="95">
        <f t="shared" si="76"/>
        <v>7.263548788349268E-2</v>
      </c>
      <c r="CT32" s="96" t="e">
        <f>#REF!</f>
        <v>#REF!</v>
      </c>
      <c r="CU32" s="97">
        <f t="shared" si="77"/>
        <v>1.5975614821536404E-2</v>
      </c>
      <c r="CV32" s="95">
        <f t="shared" si="62"/>
        <v>3.7276434583584948E-2</v>
      </c>
      <c r="CW32" s="96" t="e">
        <f>#REF!</f>
        <v>#REF!</v>
      </c>
      <c r="CX32" s="99">
        <f t="shared" si="63"/>
        <v>0.10402974575110946</v>
      </c>
      <c r="CY32" s="95">
        <f t="shared" si="63"/>
        <v>4.2226096061335943E-3</v>
      </c>
      <c r="CZ32" s="99">
        <f t="shared" si="63"/>
        <v>0.10978784975947344</v>
      </c>
      <c r="DA32" s="95">
        <f t="shared" si="63"/>
        <v>2.3800163234571167E-2</v>
      </c>
      <c r="DB32" s="94">
        <f t="shared" si="12"/>
        <v>0.20844336510277647</v>
      </c>
      <c r="DC32" s="94">
        <f t="shared" si="13"/>
        <v>4.2993843262451141E-2</v>
      </c>
      <c r="DD32" s="94">
        <f t="shared" si="13"/>
        <v>0.41189637339830421</v>
      </c>
      <c r="DE32" s="94">
        <f t="shared" si="13"/>
        <v>4.6448705667469531E-2</v>
      </c>
      <c r="DF32" s="94">
        <f t="shared" si="13"/>
        <v>0</v>
      </c>
      <c r="DG32" s="94">
        <f t="shared" si="13"/>
        <v>0</v>
      </c>
      <c r="DH32" s="95">
        <f t="shared" si="13"/>
        <v>0.70978228743100136</v>
      </c>
      <c r="DI32" s="96" t="e">
        <f>#REF!</f>
        <v>#REF!</v>
      </c>
      <c r="DJ32" s="95">
        <f t="shared" si="64"/>
        <v>-8.3684444921556675E-2</v>
      </c>
      <c r="DK32" s="96" t="e">
        <f>#REF!</f>
        <v>#REF!</v>
      </c>
      <c r="DL32" s="95">
        <f t="shared" si="14"/>
        <v>0.537373904959768</v>
      </c>
      <c r="DM32" s="96">
        <f t="shared" si="15"/>
        <v>0</v>
      </c>
      <c r="DN32" s="94">
        <f>IF($O32&lt;&gt;0,BJ32/$O32*10,"")</f>
        <v>2.2276676398566209</v>
      </c>
      <c r="DO32" s="100">
        <v>3.4</v>
      </c>
      <c r="DP32" s="94">
        <f t="shared" si="80"/>
        <v>2.6813570998948322</v>
      </c>
      <c r="DQ32" s="94">
        <f t="shared" si="81"/>
        <v>3.5600971520236295</v>
      </c>
      <c r="DR32" s="101"/>
      <c r="DS32" s="173"/>
      <c r="DT32" s="134">
        <v>27</v>
      </c>
      <c r="DU32" s="76">
        <v>601369</v>
      </c>
      <c r="DV32" s="76">
        <v>22167</v>
      </c>
      <c r="DW32" s="76">
        <v>5081626</v>
      </c>
      <c r="DX32" s="76">
        <v>97020</v>
      </c>
      <c r="DY32" s="76">
        <v>79685</v>
      </c>
      <c r="DZ32" s="296">
        <v>356976</v>
      </c>
      <c r="EA32" s="77">
        <v>203422</v>
      </c>
      <c r="EB32" s="77">
        <v>46230</v>
      </c>
      <c r="EC32" s="77">
        <v>357892</v>
      </c>
      <c r="ED32" s="77">
        <v>43316</v>
      </c>
      <c r="EE32" s="77">
        <v>35339</v>
      </c>
      <c r="EF32" s="77">
        <v>37010</v>
      </c>
      <c r="EG32" s="76">
        <v>88090</v>
      </c>
      <c r="EH32" s="76">
        <v>173569</v>
      </c>
      <c r="EI32" s="76">
        <v>27718</v>
      </c>
      <c r="EJ32" s="77">
        <v>35983</v>
      </c>
      <c r="EK32" s="77"/>
      <c r="EL32" s="76">
        <v>671267</v>
      </c>
      <c r="EM32" s="76">
        <v>6921</v>
      </c>
      <c r="EN32" s="77">
        <v>38219</v>
      </c>
      <c r="EO32" s="76">
        <v>2796534</v>
      </c>
      <c r="EP32" s="124">
        <v>2389295</v>
      </c>
      <c r="EQ32" s="77">
        <v>0</v>
      </c>
      <c r="ER32" s="77">
        <v>1537</v>
      </c>
      <c r="ES32" s="77">
        <v>252640</v>
      </c>
      <c r="ET32" s="77">
        <v>8243591</v>
      </c>
      <c r="EU32" s="77">
        <v>359557</v>
      </c>
      <c r="EV32" s="77">
        <v>102629</v>
      </c>
      <c r="EW32" s="77">
        <v>54096</v>
      </c>
      <c r="EX32" s="76">
        <v>193230</v>
      </c>
      <c r="EY32" s="76">
        <v>1537386</v>
      </c>
      <c r="EZ32" s="77">
        <v>677379</v>
      </c>
      <c r="FA32" s="151">
        <v>711653</v>
      </c>
      <c r="FB32" s="151">
        <v>29635</v>
      </c>
      <c r="FC32" s="149">
        <v>7203</v>
      </c>
      <c r="FD32" s="104">
        <f t="shared" si="18"/>
        <v>5947</v>
      </c>
      <c r="FE32" s="105">
        <f t="shared" si="84"/>
        <v>0</v>
      </c>
      <c r="FF32" s="287">
        <f t="shared" si="84"/>
        <v>638</v>
      </c>
      <c r="FG32" s="287">
        <f t="shared" si="87"/>
        <v>0</v>
      </c>
      <c r="FH32" s="288">
        <f t="shared" si="85"/>
        <v>1946</v>
      </c>
      <c r="FI32" s="288">
        <f t="shared" si="85"/>
        <v>641</v>
      </c>
      <c r="FJ32" s="77">
        <v>4</v>
      </c>
      <c r="FK32" s="104">
        <f t="shared" si="86"/>
        <v>825</v>
      </c>
      <c r="FL32" s="288">
        <f t="shared" si="86"/>
        <v>1540</v>
      </c>
      <c r="FM32" s="288">
        <f t="shared" si="86"/>
        <v>353</v>
      </c>
      <c r="FN32" s="80">
        <f t="shared" si="82"/>
        <v>1038</v>
      </c>
      <c r="FO32" s="77">
        <v>48582</v>
      </c>
      <c r="FP32" s="81" t="s">
        <v>145</v>
      </c>
      <c r="FQ32" s="186"/>
      <c r="FZ32" s="178">
        <f t="shared" si="65"/>
        <v>1.076895575640449</v>
      </c>
      <c r="GA32" s="64"/>
      <c r="GB32" s="64"/>
      <c r="GC32" s="64"/>
      <c r="GD32" s="64"/>
      <c r="GE32" s="243"/>
      <c r="GF32" s="64"/>
      <c r="GG32" s="64"/>
      <c r="GH32" s="64"/>
      <c r="GI32" s="64"/>
      <c r="GJ32" s="64"/>
    </row>
    <row r="33" spans="1:193" s="119" customFormat="1" ht="15" customHeight="1">
      <c r="A33" s="119">
        <v>0</v>
      </c>
      <c r="B33" s="573">
        <v>42763</v>
      </c>
      <c r="D33" s="85">
        <v>5341.2</v>
      </c>
      <c r="E33" s="85">
        <v>1100.52</v>
      </c>
      <c r="F33" s="85">
        <v>3004.92</v>
      </c>
      <c r="G33" s="85">
        <v>4815.2910000000002</v>
      </c>
      <c r="H33" s="85">
        <v>5752.1710000000003</v>
      </c>
      <c r="I33" s="85">
        <v>2396.7530000000002</v>
      </c>
      <c r="J33" s="85">
        <v>5890.7640000000001</v>
      </c>
      <c r="K33" s="167"/>
      <c r="L33" s="167"/>
      <c r="M33" s="291">
        <f t="shared" si="21"/>
        <v>8287.5169999999998</v>
      </c>
      <c r="N33" s="213">
        <f t="shared" si="0"/>
        <v>20014.101999999999</v>
      </c>
      <c r="O33" s="88">
        <f t="shared" si="22"/>
        <v>24157.860499999999</v>
      </c>
      <c r="P33" s="89">
        <f t="shared" si="23"/>
        <v>450396.22850000008</v>
      </c>
      <c r="R33" s="90">
        <f t="shared" si="24"/>
        <v>315</v>
      </c>
      <c r="S33" s="90">
        <f t="shared" si="25"/>
        <v>58</v>
      </c>
      <c r="T33" s="90">
        <f t="shared" si="1"/>
        <v>490.6</v>
      </c>
      <c r="U33" s="90"/>
      <c r="V33" s="90">
        <f t="shared" si="26"/>
        <v>1582</v>
      </c>
      <c r="W33" s="91">
        <f t="shared" si="71"/>
        <v>1564.4</v>
      </c>
      <c r="X33" s="90">
        <f t="shared" si="27"/>
        <v>1582</v>
      </c>
      <c r="Y33" s="90" t="str">
        <f t="shared" si="28"/>
        <v>0</v>
      </c>
      <c r="Z33" s="90">
        <f t="shared" si="2"/>
        <v>164.1</v>
      </c>
      <c r="AA33" s="90">
        <f t="shared" si="29"/>
        <v>2445.6</v>
      </c>
      <c r="AB33" s="90">
        <f t="shared" si="30"/>
        <v>0</v>
      </c>
      <c r="AC33" s="90">
        <f t="shared" si="30"/>
        <v>0</v>
      </c>
      <c r="AD33" s="90">
        <f>(IF(SUM(AB33:AC33)&gt;=(DW33-DW32),(SUM(AB33:AC33)),(DW33-DW32)))</f>
        <v>406</v>
      </c>
      <c r="AE33" s="90">
        <f t="shared" si="32"/>
        <v>406</v>
      </c>
      <c r="AF33" s="90">
        <f t="shared" si="33"/>
        <v>30</v>
      </c>
      <c r="AG33" s="90">
        <f t="shared" si="33"/>
        <v>0</v>
      </c>
      <c r="AH33" s="90">
        <f t="shared" si="34"/>
        <v>82</v>
      </c>
      <c r="AI33" s="90">
        <f t="shared" si="35"/>
        <v>52</v>
      </c>
      <c r="AJ33" s="90">
        <f>IF(EA33=0,"",(EA33-EA32))</f>
        <v>209</v>
      </c>
      <c r="AK33" s="90">
        <f t="shared" si="36"/>
        <v>18</v>
      </c>
      <c r="AL33" s="90">
        <f t="shared" si="37"/>
        <v>304</v>
      </c>
      <c r="AM33" s="90">
        <f t="shared" si="38"/>
        <v>77</v>
      </c>
      <c r="AN33" s="90">
        <f t="shared" si="39"/>
        <v>13</v>
      </c>
      <c r="AO33" s="90">
        <f t="shared" si="3"/>
        <v>48</v>
      </c>
      <c r="AP33" s="90">
        <f t="shared" si="40"/>
        <v>20</v>
      </c>
      <c r="AQ33" s="90">
        <f t="shared" si="4"/>
        <v>28</v>
      </c>
      <c r="AR33" s="90">
        <f t="shared" si="41"/>
        <v>60.170999999999999</v>
      </c>
      <c r="AS33" s="90">
        <f t="shared" si="42"/>
        <v>151.17100000000005</v>
      </c>
      <c r="AT33" s="90">
        <f t="shared" si="43"/>
        <v>1029.171</v>
      </c>
      <c r="AU33" s="90">
        <f t="shared" si="44"/>
        <v>309</v>
      </c>
      <c r="AV33" s="90">
        <f t="shared" si="72"/>
        <v>13</v>
      </c>
      <c r="AW33" s="90">
        <f t="shared" si="45"/>
        <v>569</v>
      </c>
      <c r="AX33" s="90">
        <f t="shared" si="73"/>
        <v>3</v>
      </c>
      <c r="AY33" s="90" t="str">
        <f t="shared" si="46"/>
        <v/>
      </c>
      <c r="AZ33" s="90">
        <f t="shared" si="47"/>
        <v>479</v>
      </c>
      <c r="BA33" s="90">
        <v>38</v>
      </c>
      <c r="BB33" s="90">
        <f t="shared" si="48"/>
        <v>81</v>
      </c>
      <c r="BC33" s="90">
        <f t="shared" si="48"/>
        <v>1077</v>
      </c>
      <c r="BD33" s="90">
        <f t="shared" si="49"/>
        <v>0</v>
      </c>
      <c r="BE33" s="90"/>
      <c r="BF33" s="90"/>
      <c r="BG33" s="90">
        <f t="shared" si="5"/>
        <v>1637</v>
      </c>
      <c r="BH33" s="90">
        <f t="shared" si="50"/>
        <v>-233</v>
      </c>
      <c r="BI33" s="90">
        <f t="shared" si="51"/>
        <v>1584.2289999999994</v>
      </c>
      <c r="BJ33" s="90">
        <f t="shared" si="6"/>
        <v>5117.7710000000006</v>
      </c>
      <c r="BK33" s="92"/>
      <c r="BL33" s="93">
        <f t="shared" si="52"/>
        <v>6469</v>
      </c>
      <c r="BM33" s="93">
        <f t="shared" si="53"/>
        <v>158214</v>
      </c>
      <c r="BN33" s="92"/>
      <c r="BO33" s="94">
        <f t="shared" si="54"/>
        <v>0.15738902499847357</v>
      </c>
      <c r="BP33" s="94">
        <f t="shared" si="54"/>
        <v>2.8979566507655454E-2</v>
      </c>
      <c r="BQ33" s="94">
        <f t="shared" si="55"/>
        <v>0.24512716083889252</v>
      </c>
      <c r="BR33" s="94">
        <f t="shared" si="74"/>
        <v>0.79044265888122289</v>
      </c>
      <c r="BS33" s="94">
        <f t="shared" si="83"/>
        <v>0</v>
      </c>
      <c r="BT33" s="94">
        <f t="shared" si="83"/>
        <v>8.199218730872862E-2</v>
      </c>
      <c r="BU33" s="95">
        <f t="shared" si="83"/>
        <v>1.2219384112262444</v>
      </c>
      <c r="BV33" s="94">
        <f t="shared" si="8"/>
        <v>0.13039234165624891</v>
      </c>
      <c r="BW33" s="94">
        <f t="shared" si="8"/>
        <v>2.4008748622420431E-2</v>
      </c>
      <c r="BX33" s="94">
        <f t="shared" si="8"/>
        <v>0.20308089783033562</v>
      </c>
      <c r="BY33" s="94">
        <f t="shared" si="56"/>
        <v>0.65485931587360557</v>
      </c>
      <c r="BZ33" s="95">
        <f t="shared" si="9"/>
        <v>1.0123413039826106</v>
      </c>
      <c r="CA33" s="96" t="e">
        <f>#REF!</f>
        <v>#REF!</v>
      </c>
      <c r="CB33" s="94">
        <f t="shared" si="10"/>
        <v>2.4907420919994136E-2</v>
      </c>
      <c r="CC33" s="95">
        <f t="shared" si="10"/>
        <v>6.2576319620688284E-2</v>
      </c>
      <c r="CD33" s="97">
        <f t="shared" si="11"/>
        <v>7.2604375954824593E-2</v>
      </c>
      <c r="CE33" s="98">
        <f t="shared" si="11"/>
        <v>0.18240807228510064</v>
      </c>
      <c r="CF33" s="94">
        <f t="shared" si="57"/>
        <v>0</v>
      </c>
      <c r="CG33" s="94">
        <f t="shared" si="57"/>
        <v>0</v>
      </c>
      <c r="CH33" s="95">
        <f t="shared" si="58"/>
        <v>0.76012881000524224</v>
      </c>
      <c r="CI33" s="96" t="e">
        <f>#REF!</f>
        <v>#REF!</v>
      </c>
      <c r="CJ33" s="94">
        <f t="shared" si="59"/>
        <v>0.27259840802529711</v>
      </c>
      <c r="CK33" s="94">
        <f t="shared" si="59"/>
        <v>0</v>
      </c>
      <c r="CL33" s="95">
        <f t="shared" si="75"/>
        <v>0.7451023152691455</v>
      </c>
      <c r="CM33" s="95" t="e">
        <f>#REF!</f>
        <v>#REF!</v>
      </c>
      <c r="CN33" s="94">
        <f t="shared" si="60"/>
        <v>0.69552600402007381</v>
      </c>
      <c r="CO33" s="94">
        <f t="shared" si="60"/>
        <v>5.9901761111776683E-2</v>
      </c>
      <c r="CP33" s="95">
        <f t="shared" si="61"/>
        <v>1.0116741876655617</v>
      </c>
      <c r="CQ33" s="95" t="e">
        <f>#REF!</f>
        <v>#REF!</v>
      </c>
      <c r="CR33" s="97">
        <f t="shared" si="76"/>
        <v>2.6997329964066553E-2</v>
      </c>
      <c r="CS33" s="95">
        <f t="shared" si="76"/>
        <v>9.9682449098091888E-2</v>
      </c>
      <c r="CT33" s="96" t="e">
        <f>#REF!</f>
        <v>#REF!</v>
      </c>
      <c r="CU33" s="97">
        <f t="shared" si="77"/>
        <v>3.476948094901907E-2</v>
      </c>
      <c r="CV33" s="95">
        <f t="shared" si="62"/>
        <v>4.8677273328626702E-2</v>
      </c>
      <c r="CW33" s="96" t="e">
        <f>#REF!</f>
        <v>#REF!</v>
      </c>
      <c r="CX33" s="99">
        <f t="shared" si="63"/>
        <v>0.1279086780056537</v>
      </c>
      <c r="CY33" s="95">
        <f t="shared" si="63"/>
        <v>5.3812712429563044E-3</v>
      </c>
      <c r="CZ33" s="99">
        <f t="shared" si="63"/>
        <v>0.23553410286477977</v>
      </c>
      <c r="DA33" s="95">
        <f t="shared" si="63"/>
        <v>1.2418318252976088E-3</v>
      </c>
      <c r="DB33" s="94">
        <f t="shared" si="12"/>
        <v>0.19827914810585154</v>
      </c>
      <c r="DC33" s="94">
        <f t="shared" si="13"/>
        <v>3.3529459283035433E-2</v>
      </c>
      <c r="DD33" s="94">
        <f t="shared" si="13"/>
        <v>0.44581762528184155</v>
      </c>
      <c r="DE33" s="94">
        <f t="shared" si="13"/>
        <v>0</v>
      </c>
      <c r="DF33" s="94">
        <f t="shared" si="13"/>
        <v>0</v>
      </c>
      <c r="DG33" s="94">
        <f t="shared" si="13"/>
        <v>0</v>
      </c>
      <c r="DH33" s="95">
        <f t="shared" si="13"/>
        <v>0.67762623267072841</v>
      </c>
      <c r="DI33" s="96" t="e">
        <f>#REF!</f>
        <v>#REF!</v>
      </c>
      <c r="DJ33" s="95">
        <f t="shared" si="64"/>
        <v>-9.6448938431447612E-2</v>
      </c>
      <c r="DK33" s="96" t="e">
        <f>#REF!</f>
        <v>#REF!</v>
      </c>
      <c r="DL33" s="95">
        <f t="shared" si="14"/>
        <v>0.65578199691980144</v>
      </c>
      <c r="DM33" s="96">
        <f t="shared" si="15"/>
        <v>0</v>
      </c>
      <c r="DN33" s="94">
        <f t="shared" si="16"/>
        <v>2.1184703007950563</v>
      </c>
      <c r="DO33" s="100">
        <v>3.4</v>
      </c>
      <c r="DP33" s="94">
        <f t="shared" si="80"/>
        <v>2.6778033592834101</v>
      </c>
      <c r="DQ33" s="94">
        <f t="shared" si="81"/>
        <v>3.5127736421531774</v>
      </c>
      <c r="DR33" s="101">
        <f t="shared" si="17"/>
        <v>0</v>
      </c>
      <c r="DT33" s="134">
        <v>28</v>
      </c>
      <c r="DU33" s="76">
        <v>601369</v>
      </c>
      <c r="DV33" s="76">
        <v>22167</v>
      </c>
      <c r="DW33" s="76">
        <v>5082032</v>
      </c>
      <c r="DX33" s="76">
        <v>97050</v>
      </c>
      <c r="DY33" s="76">
        <v>79685</v>
      </c>
      <c r="DZ33" s="76">
        <v>357058</v>
      </c>
      <c r="EA33" s="77">
        <v>203631</v>
      </c>
      <c r="EB33" s="77">
        <v>46248</v>
      </c>
      <c r="EC33" s="77">
        <v>358196</v>
      </c>
      <c r="ED33" s="76">
        <v>43329</v>
      </c>
      <c r="EE33" s="77">
        <v>35371</v>
      </c>
      <c r="EF33" s="77">
        <v>37026</v>
      </c>
      <c r="EG33" s="76">
        <v>88110</v>
      </c>
      <c r="EH33" s="76">
        <v>173597</v>
      </c>
      <c r="EI33" s="76">
        <v>27731</v>
      </c>
      <c r="EJ33" s="77">
        <v>35986</v>
      </c>
      <c r="EK33" s="77"/>
      <c r="EL33" s="76">
        <v>671582</v>
      </c>
      <c r="EM33" s="76">
        <v>4906</v>
      </c>
      <c r="EN33" s="77">
        <v>38280</v>
      </c>
      <c r="EO33" s="76">
        <v>2798116</v>
      </c>
      <c r="EP33" s="77">
        <v>2404939</v>
      </c>
      <c r="EQ33" s="77">
        <v>0</v>
      </c>
      <c r="ER33" s="77">
        <v>1641</v>
      </c>
      <c r="ES33" s="77">
        <v>253609</v>
      </c>
      <c r="ET33" s="77">
        <v>8303762</v>
      </c>
      <c r="EU33" s="77">
        <v>360126</v>
      </c>
      <c r="EV33" s="77">
        <v>102938</v>
      </c>
      <c r="EW33" s="77">
        <v>54575</v>
      </c>
      <c r="EX33" s="76">
        <v>193311</v>
      </c>
      <c r="EY33" s="76">
        <v>1538463</v>
      </c>
      <c r="EZ33" s="149">
        <v>677959</v>
      </c>
      <c r="FA33" s="151">
        <v>711653</v>
      </c>
      <c r="FB33" s="151">
        <v>29463</v>
      </c>
      <c r="FC33" s="151">
        <v>6702</v>
      </c>
      <c r="FD33" s="104">
        <f t="shared" si="18"/>
        <v>6273</v>
      </c>
      <c r="FE33" s="105">
        <f t="shared" si="84"/>
        <v>0</v>
      </c>
      <c r="FF33" s="287">
        <f t="shared" si="84"/>
        <v>599</v>
      </c>
      <c r="FG33" s="287">
        <f t="shared" si="87"/>
        <v>625</v>
      </c>
      <c r="FH33" s="288">
        <f t="shared" si="85"/>
        <v>1641</v>
      </c>
      <c r="FI33" s="288">
        <f t="shared" si="85"/>
        <v>661</v>
      </c>
      <c r="FJ33" s="77">
        <v>4</v>
      </c>
      <c r="FK33" s="104">
        <f t="shared" si="86"/>
        <v>796</v>
      </c>
      <c r="FL33" s="288">
        <f t="shared" si="86"/>
        <v>1596</v>
      </c>
      <c r="FM33" s="288">
        <f t="shared" si="86"/>
        <v>351</v>
      </c>
      <c r="FN33" s="80">
        <f t="shared" si="82"/>
        <v>196</v>
      </c>
      <c r="FO33" s="77">
        <v>48778</v>
      </c>
      <c r="FP33" s="188"/>
      <c r="FZ33" s="178">
        <f t="shared" si="65"/>
        <v>1.2219384112262444</v>
      </c>
      <c r="GA33" s="64"/>
      <c r="GB33" s="64"/>
      <c r="GC33" s="64"/>
      <c r="GD33" s="64"/>
      <c r="GE33" s="243"/>
      <c r="GF33" s="64"/>
      <c r="GG33" s="64"/>
      <c r="GH33" s="64"/>
      <c r="GI33" s="64"/>
      <c r="GJ33" s="64"/>
      <c r="GK33" s="113"/>
    </row>
    <row r="34" spans="1:193" s="119" customFormat="1" ht="15" customHeight="1">
      <c r="B34" s="573">
        <v>42764</v>
      </c>
      <c r="D34" s="85">
        <v>0</v>
      </c>
      <c r="E34" s="85">
        <v>0</v>
      </c>
      <c r="F34" s="85">
        <v>2973.24</v>
      </c>
      <c r="G34" s="85">
        <v>4869.4359999999997</v>
      </c>
      <c r="H34" s="85">
        <v>5570.0290000000005</v>
      </c>
      <c r="I34" s="85">
        <v>1155.8019999999999</v>
      </c>
      <c r="J34" s="85">
        <v>6940.692</v>
      </c>
      <c r="K34" s="167"/>
      <c r="L34" s="167"/>
      <c r="M34" s="291">
        <f t="shared" si="21"/>
        <v>8096.4939999999997</v>
      </c>
      <c r="N34" s="213">
        <f t="shared" si="0"/>
        <v>13412.705</v>
      </c>
      <c r="O34" s="88">
        <f t="shared" si="22"/>
        <v>17460.952000000001</v>
      </c>
      <c r="P34" s="89">
        <f t="shared" si="23"/>
        <v>467857.18050000007</v>
      </c>
      <c r="R34" s="90">
        <f t="shared" si="24"/>
        <v>349</v>
      </c>
      <c r="S34" s="90">
        <f t="shared" si="25"/>
        <v>27.4</v>
      </c>
      <c r="T34" s="90">
        <f t="shared" si="1"/>
        <v>839.3</v>
      </c>
      <c r="U34" s="90"/>
      <c r="V34" s="90">
        <f>IF(EO34=0,"",(EO34-EO33))</f>
        <v>1663</v>
      </c>
      <c r="W34" s="91">
        <f t="shared" si="71"/>
        <v>791.7</v>
      </c>
      <c r="X34" s="90">
        <f t="shared" si="27"/>
        <v>1663</v>
      </c>
      <c r="Y34" s="90">
        <f t="shared" si="28"/>
        <v>1.5</v>
      </c>
      <c r="Z34" s="90">
        <f t="shared" si="2"/>
        <v>176.5</v>
      </c>
      <c r="AA34" s="90">
        <f t="shared" si="29"/>
        <v>2878.7</v>
      </c>
      <c r="AB34" s="90">
        <f t="shared" si="30"/>
        <v>0</v>
      </c>
      <c r="AC34" s="90">
        <f t="shared" si="30"/>
        <v>0</v>
      </c>
      <c r="AD34" s="90">
        <f t="shared" si="31"/>
        <v>2</v>
      </c>
      <c r="AE34" s="90">
        <f t="shared" si="32"/>
        <v>2</v>
      </c>
      <c r="AF34" s="90">
        <f t="shared" si="33"/>
        <v>28</v>
      </c>
      <c r="AG34" s="90">
        <f t="shared" si="33"/>
        <v>60</v>
      </c>
      <c r="AH34" s="90">
        <f t="shared" si="34"/>
        <v>160</v>
      </c>
      <c r="AI34" s="90">
        <f t="shared" si="35"/>
        <v>72</v>
      </c>
      <c r="AJ34" s="90">
        <f>IF(EA34=0,"",(EA34-EA33))</f>
        <v>225</v>
      </c>
      <c r="AK34" s="90">
        <f t="shared" si="36"/>
        <v>10</v>
      </c>
      <c r="AL34" s="90">
        <f t="shared" si="37"/>
        <v>308</v>
      </c>
      <c r="AM34" s="90">
        <f t="shared" si="38"/>
        <v>73</v>
      </c>
      <c r="AN34" s="90">
        <f t="shared" si="39"/>
        <v>13</v>
      </c>
      <c r="AO34" s="90">
        <f t="shared" si="3"/>
        <v>46</v>
      </c>
      <c r="AP34" s="90">
        <f t="shared" si="40"/>
        <v>19</v>
      </c>
      <c r="AQ34" s="90">
        <f t="shared" si="4"/>
        <v>34</v>
      </c>
      <c r="AR34" s="90">
        <f t="shared" si="41"/>
        <v>61.302</v>
      </c>
      <c r="AS34" s="90">
        <f t="shared" si="42"/>
        <v>147.30200000000002</v>
      </c>
      <c r="AT34" s="90">
        <f t="shared" si="43"/>
        <v>906.30200000000002</v>
      </c>
      <c r="AU34" s="90">
        <f t="shared" si="44"/>
        <v>183</v>
      </c>
      <c r="AV34" s="90">
        <f t="shared" si="72"/>
        <v>10</v>
      </c>
      <c r="AW34" s="90">
        <f t="shared" si="45"/>
        <v>576</v>
      </c>
      <c r="AX34" s="90">
        <f t="shared" si="73"/>
        <v>4</v>
      </c>
      <c r="AY34" s="90" t="str">
        <f t="shared" si="46"/>
        <v/>
      </c>
      <c r="AZ34" s="90">
        <f t="shared" si="47"/>
        <v>491</v>
      </c>
      <c r="BA34" s="90">
        <v>0</v>
      </c>
      <c r="BB34" s="90">
        <f t="shared" si="48"/>
        <v>69</v>
      </c>
      <c r="BC34" s="90">
        <f t="shared" si="48"/>
        <v>1186</v>
      </c>
      <c r="BD34" s="90">
        <f t="shared" si="49"/>
        <v>78</v>
      </c>
      <c r="BE34" s="90"/>
      <c r="BF34" s="90"/>
      <c r="BG34" s="90">
        <f t="shared" si="5"/>
        <v>1824</v>
      </c>
      <c r="BH34" s="90">
        <f t="shared" si="50"/>
        <v>469</v>
      </c>
      <c r="BI34" s="90">
        <f t="shared" si="51"/>
        <v>883.9980000000005</v>
      </c>
      <c r="BJ34" s="90">
        <f t="shared" si="6"/>
        <v>5414.0019999999995</v>
      </c>
      <c r="BK34" s="92"/>
      <c r="BL34" s="93">
        <f t="shared" si="52"/>
        <v>6767</v>
      </c>
      <c r="BM34" s="93">
        <f t="shared" si="53"/>
        <v>164981</v>
      </c>
      <c r="BN34" s="92"/>
      <c r="BO34" s="94">
        <f t="shared" si="54"/>
        <v>0.26020105564090168</v>
      </c>
      <c r="BP34" s="94">
        <f>IF($N34&lt;&gt;0,IF($N34&lt;&gt;0,S34/$N34*10,0)," ")</f>
        <v>2.0428392333984829E-2</v>
      </c>
      <c r="BQ34" s="94">
        <f t="shared" si="55"/>
        <v>0.62574998853698782</v>
      </c>
      <c r="BR34" s="94">
        <f t="shared" si="74"/>
        <v>1.2398692135553566</v>
      </c>
      <c r="BS34" s="94">
        <f>IF($N34&lt;&gt;0,IF($N34&lt;&gt;0,Y34/$N34*10,0)," ")</f>
        <v>1.1183426460210674E-3</v>
      </c>
      <c r="BT34" s="94">
        <f t="shared" si="83"/>
        <v>0.13159165134847892</v>
      </c>
      <c r="BU34" s="95">
        <f t="shared" si="83"/>
        <v>2.1462486500672311</v>
      </c>
      <c r="BV34" s="94">
        <f t="shared" si="8"/>
        <v>0.19987455437710383</v>
      </c>
      <c r="BW34" s="94">
        <f t="shared" si="8"/>
        <v>1.5692156991211015E-2</v>
      </c>
      <c r="BX34" s="94">
        <f t="shared" si="8"/>
        <v>0.48067253148625566</v>
      </c>
      <c r="BY34" s="94">
        <f t="shared" si="56"/>
        <v>0.95241084220379268</v>
      </c>
      <c r="BZ34" s="95">
        <f t="shared" si="9"/>
        <v>1.6486500850583632</v>
      </c>
      <c r="CA34" s="96" t="e">
        <f>#REF!</f>
        <v>#REF!</v>
      </c>
      <c r="CB34" s="94">
        <f t="shared" si="10"/>
        <v>3.5108051382307215E-2</v>
      </c>
      <c r="CC34" s="95">
        <f t="shared" si="10"/>
        <v>8.4360806902166616E-2</v>
      </c>
      <c r="CD34" s="97">
        <f t="shared" si="11"/>
        <v>7.5714253601620651E-2</v>
      </c>
      <c r="CE34" s="98">
        <f t="shared" si="11"/>
        <v>0.18193306880731341</v>
      </c>
      <c r="CF34" s="94" t="str">
        <f t="shared" si="57"/>
        <v>0,00</v>
      </c>
      <c r="CG34" s="94" t="str">
        <f t="shared" si="57"/>
        <v>0,00</v>
      </c>
      <c r="CH34" s="95" t="str">
        <f t="shared" si="58"/>
        <v xml:space="preserve">0,00 </v>
      </c>
      <c r="CI34" s="96" t="e">
        <f>#REF!</f>
        <v>#REF!</v>
      </c>
      <c r="CJ34" s="94" t="str">
        <f t="shared" si="59"/>
        <v>0,00</v>
      </c>
      <c r="CK34" s="94" t="str">
        <f t="shared" si="59"/>
        <v>0,00</v>
      </c>
      <c r="CL34" s="95" t="str">
        <f t="shared" si="75"/>
        <v xml:space="preserve">0,00 </v>
      </c>
      <c r="CM34" s="95" t="e">
        <f>#REF!</f>
        <v>#REF!</v>
      </c>
      <c r="CN34" s="94">
        <f t="shared" si="60"/>
        <v>0.75675021189005942</v>
      </c>
      <c r="CO34" s="94">
        <f t="shared" si="60"/>
        <v>3.3633342750669308E-2</v>
      </c>
      <c r="CP34" s="95">
        <f t="shared" si="61"/>
        <v>1.0359069567206145</v>
      </c>
      <c r="CQ34" s="95" t="e">
        <f>#REF!</f>
        <v>#REF!</v>
      </c>
      <c r="CR34" s="97">
        <f t="shared" si="76"/>
        <v>2.6697136999028225E-2</v>
      </c>
      <c r="CS34" s="95">
        <f t="shared" si="76"/>
        <v>9.4466792458099885E-2</v>
      </c>
      <c r="CT34" s="96" t="e">
        <f>#REF!</f>
        <v>#REF!</v>
      </c>
      <c r="CU34" s="97">
        <f t="shared" si="77"/>
        <v>3.4111132994101102E-2</v>
      </c>
      <c r="CV34" s="95">
        <f t="shared" si="62"/>
        <v>6.1040974831549348E-2</v>
      </c>
      <c r="CW34" s="96" t="e">
        <f>#REF!</f>
        <v>#REF!</v>
      </c>
      <c r="CX34" s="99">
        <f t="shared" si="63"/>
        <v>0.10480528209458453</v>
      </c>
      <c r="CY34" s="95">
        <f t="shared" si="63"/>
        <v>5.7270645953324878E-3</v>
      </c>
      <c r="CZ34" s="99">
        <f t="shared" si="63"/>
        <v>0.32987892069115127</v>
      </c>
      <c r="DA34" s="95">
        <f t="shared" si="63"/>
        <v>2.2908258381329951E-3</v>
      </c>
      <c r="DB34" s="94">
        <f t="shared" si="12"/>
        <v>0.28119887163082513</v>
      </c>
      <c r="DC34" s="94">
        <f t="shared" si="13"/>
        <v>3.9516745707794163E-2</v>
      </c>
      <c r="DD34" s="94">
        <f t="shared" si="13"/>
        <v>0.67922986100643301</v>
      </c>
      <c r="DE34" s="94">
        <f t="shared" si="13"/>
        <v>4.46711038435934E-2</v>
      </c>
      <c r="DF34" s="94">
        <f t="shared" si="13"/>
        <v>0</v>
      </c>
      <c r="DG34" s="94">
        <f t="shared" si="13"/>
        <v>0</v>
      </c>
      <c r="DH34" s="95">
        <f t="shared" si="13"/>
        <v>1.0446165821886457</v>
      </c>
      <c r="DI34" s="96" t="e">
        <f>#REF!</f>
        <v>#REF!</v>
      </c>
      <c r="DJ34" s="95">
        <f t="shared" si="64"/>
        <v>0.26859932952109367</v>
      </c>
      <c r="DK34" s="96" t="e">
        <f>#REF!</f>
        <v>#REF!</v>
      </c>
      <c r="DL34" s="95">
        <f t="shared" si="14"/>
        <v>0.50627136481447321</v>
      </c>
      <c r="DM34" s="96">
        <f t="shared" si="15"/>
        <v>0</v>
      </c>
      <c r="DN34" s="94">
        <f t="shared" si="16"/>
        <v>3.1006339173259279</v>
      </c>
      <c r="DO34" s="100">
        <v>3.4</v>
      </c>
      <c r="DP34" s="94">
        <f>IF($O34&lt;&gt;0,IF($O34&lt;&gt;0,BL34/$O34*10,0)," ")</f>
        <v>3.8755046116614942</v>
      </c>
      <c r="DQ34" s="94">
        <f t="shared" si="81"/>
        <v>3.5263111666616807</v>
      </c>
      <c r="DR34" s="101">
        <f t="shared" si="17"/>
        <v>0</v>
      </c>
      <c r="DT34" s="134">
        <v>29</v>
      </c>
      <c r="DU34" s="76">
        <v>601369</v>
      </c>
      <c r="DV34" s="76">
        <v>22167</v>
      </c>
      <c r="DW34" s="77">
        <v>5082034</v>
      </c>
      <c r="DX34" s="76">
        <v>97078</v>
      </c>
      <c r="DY34" s="76">
        <v>79745</v>
      </c>
      <c r="DZ34" s="76">
        <v>357218</v>
      </c>
      <c r="EA34" s="77">
        <v>203856</v>
      </c>
      <c r="EB34" s="77">
        <v>46258</v>
      </c>
      <c r="EC34" s="77">
        <v>358504</v>
      </c>
      <c r="ED34" s="77">
        <v>43342</v>
      </c>
      <c r="EE34" s="77">
        <v>35403</v>
      </c>
      <c r="EF34" s="77">
        <v>37040</v>
      </c>
      <c r="EG34" s="76">
        <v>88129</v>
      </c>
      <c r="EH34" s="76">
        <v>173631</v>
      </c>
      <c r="EI34" s="76">
        <v>27741</v>
      </c>
      <c r="EJ34" s="77">
        <v>35990</v>
      </c>
      <c r="EK34" s="77"/>
      <c r="EL34" s="76">
        <v>671931</v>
      </c>
      <c r="EM34" s="76">
        <v>8393</v>
      </c>
      <c r="EN34" s="77">
        <v>38341</v>
      </c>
      <c r="EO34" s="76">
        <v>2799779</v>
      </c>
      <c r="EP34" s="77">
        <v>2412856</v>
      </c>
      <c r="EQ34" s="77">
        <v>15</v>
      </c>
      <c r="ER34" s="77">
        <v>1765</v>
      </c>
      <c r="ES34" s="77">
        <v>254454</v>
      </c>
      <c r="ET34" s="77">
        <v>8365064</v>
      </c>
      <c r="EU34" s="77">
        <v>360702</v>
      </c>
      <c r="EV34" s="77">
        <v>103121</v>
      </c>
      <c r="EW34" s="77">
        <v>55066</v>
      </c>
      <c r="EX34" s="76">
        <v>193380</v>
      </c>
      <c r="EY34" s="76">
        <v>1539649</v>
      </c>
      <c r="EZ34" s="149">
        <v>678233</v>
      </c>
      <c r="FA34" s="149">
        <v>711731</v>
      </c>
      <c r="FB34" s="151">
        <v>29463</v>
      </c>
      <c r="FC34" s="149">
        <v>6298</v>
      </c>
      <c r="FD34" s="104">
        <f t="shared" si="18"/>
        <v>6265</v>
      </c>
      <c r="FE34" s="105">
        <f t="shared" si="84"/>
        <v>0</v>
      </c>
      <c r="FF34" s="287">
        <f t="shared" si="84"/>
        <v>523</v>
      </c>
      <c r="FG34" s="287">
        <f t="shared" si="87"/>
        <v>1320</v>
      </c>
      <c r="FH34" s="287">
        <f t="shared" ref="FH34:FJ36" si="88">FH67-FH66</f>
        <v>1555</v>
      </c>
      <c r="FI34" s="287">
        <f t="shared" si="88"/>
        <v>500</v>
      </c>
      <c r="FJ34" s="287">
        <f t="shared" si="88"/>
        <v>0</v>
      </c>
      <c r="FK34" s="287">
        <f t="shared" si="86"/>
        <v>653</v>
      </c>
      <c r="FL34" s="287">
        <f t="shared" si="86"/>
        <v>1365</v>
      </c>
      <c r="FM34" s="287">
        <f t="shared" si="86"/>
        <v>349</v>
      </c>
      <c r="FN34" s="80">
        <f t="shared" si="82"/>
        <v>502</v>
      </c>
      <c r="FO34" s="77">
        <v>49280</v>
      </c>
      <c r="FP34" s="189"/>
      <c r="FZ34" s="178">
        <f t="shared" si="65"/>
        <v>2.1462486500672311</v>
      </c>
      <c r="GA34" s="64"/>
      <c r="GB34" s="64"/>
      <c r="GC34" s="64"/>
      <c r="GD34" s="64"/>
      <c r="GE34" s="243"/>
      <c r="GF34" s="64"/>
      <c r="GG34" s="64"/>
      <c r="GH34" s="64"/>
      <c r="GI34" s="64"/>
      <c r="GJ34" s="64"/>
      <c r="GK34" s="113"/>
    </row>
    <row r="35" spans="1:193" s="119" customFormat="1" ht="15" customHeight="1">
      <c r="B35" s="573">
        <v>42765</v>
      </c>
      <c r="D35" s="85">
        <v>0</v>
      </c>
      <c r="E35" s="85">
        <v>3240</v>
      </c>
      <c r="F35" s="85">
        <v>2997.0720000000001</v>
      </c>
      <c r="G35" s="85">
        <v>5446.3250000000007</v>
      </c>
      <c r="H35" s="85">
        <v>7380.9570000000003</v>
      </c>
      <c r="I35" s="85">
        <v>1927.8620000000001</v>
      </c>
      <c r="J35" s="85">
        <v>5950.0320000000002</v>
      </c>
      <c r="K35" s="167"/>
      <c r="L35" s="167">
        <v>16</v>
      </c>
      <c r="M35" s="291">
        <f t="shared" si="21"/>
        <v>7877.8940000000002</v>
      </c>
      <c r="N35" s="213">
        <f t="shared" si="0"/>
        <v>19064.353999999999</v>
      </c>
      <c r="O35" s="88">
        <f t="shared" si="22"/>
        <v>23019.300999999999</v>
      </c>
      <c r="P35" s="89">
        <f t="shared" si="23"/>
        <v>490876.48150000005</v>
      </c>
      <c r="R35" s="90">
        <f t="shared" si="24"/>
        <v>0</v>
      </c>
      <c r="S35" s="90">
        <f t="shared" si="25"/>
        <v>0</v>
      </c>
      <c r="T35" s="90">
        <f t="shared" si="1"/>
        <v>498.5</v>
      </c>
      <c r="U35" s="90"/>
      <c r="V35" s="90">
        <f>IF(EO35=0,"",(EO35-EO34))</f>
        <v>1342</v>
      </c>
      <c r="W35" s="91">
        <f t="shared" si="71"/>
        <v>580.4</v>
      </c>
      <c r="X35" s="90">
        <f t="shared" si="27"/>
        <v>1342</v>
      </c>
      <c r="Y35" s="90" t="str">
        <f t="shared" si="28"/>
        <v>0</v>
      </c>
      <c r="Z35" s="90">
        <f t="shared" si="2"/>
        <v>140.9</v>
      </c>
      <c r="AA35" s="90">
        <f t="shared" si="29"/>
        <v>1840.5</v>
      </c>
      <c r="AB35" s="90">
        <f>IF(DU35=0,"",(DU35-DU34))</f>
        <v>419</v>
      </c>
      <c r="AC35" s="90">
        <f t="shared" si="30"/>
        <v>70</v>
      </c>
      <c r="AD35" s="90">
        <f t="shared" si="31"/>
        <v>489</v>
      </c>
      <c r="AE35" s="90">
        <f t="shared" si="32"/>
        <v>0</v>
      </c>
      <c r="AF35" s="90">
        <f t="shared" si="33"/>
        <v>257</v>
      </c>
      <c r="AG35" s="90">
        <f t="shared" si="33"/>
        <v>0</v>
      </c>
      <c r="AH35" s="90">
        <f t="shared" si="34"/>
        <v>273</v>
      </c>
      <c r="AI35" s="90">
        <f t="shared" si="35"/>
        <v>16</v>
      </c>
      <c r="AJ35" s="90">
        <f t="shared" si="36"/>
        <v>200</v>
      </c>
      <c r="AK35" s="90">
        <f t="shared" si="36"/>
        <v>21</v>
      </c>
      <c r="AL35" s="90">
        <f t="shared" si="37"/>
        <v>286</v>
      </c>
      <c r="AM35" s="90">
        <f t="shared" si="38"/>
        <v>65</v>
      </c>
      <c r="AN35" s="90">
        <f t="shared" si="39"/>
        <v>31</v>
      </c>
      <c r="AO35" s="90">
        <f t="shared" si="3"/>
        <v>63</v>
      </c>
      <c r="AP35" s="90">
        <f t="shared" si="40"/>
        <v>32</v>
      </c>
      <c r="AQ35" s="90">
        <f t="shared" si="4"/>
        <v>34</v>
      </c>
      <c r="AR35" s="90">
        <f t="shared" si="41"/>
        <v>48.305999999999997</v>
      </c>
      <c r="AS35" s="90">
        <f t="shared" si="42"/>
        <v>106.30600000000004</v>
      </c>
      <c r="AT35" s="90">
        <f t="shared" si="43"/>
        <v>778.30600000000004</v>
      </c>
      <c r="AU35" s="90">
        <f t="shared" si="44"/>
        <v>224</v>
      </c>
      <c r="AV35" s="90">
        <f t="shared" si="72"/>
        <v>42</v>
      </c>
      <c r="AW35" s="90">
        <f t="shared" si="45"/>
        <v>448</v>
      </c>
      <c r="AX35" s="90">
        <f t="shared" si="73"/>
        <v>35</v>
      </c>
      <c r="AY35" s="90" t="str">
        <f t="shared" si="46"/>
        <v/>
      </c>
      <c r="AZ35" s="90">
        <f t="shared" si="47"/>
        <v>391</v>
      </c>
      <c r="BA35" s="90">
        <v>56</v>
      </c>
      <c r="BB35" s="90">
        <f t="shared" si="48"/>
        <v>63</v>
      </c>
      <c r="BC35" s="90">
        <f t="shared" si="48"/>
        <v>242</v>
      </c>
      <c r="BD35" s="90">
        <f t="shared" si="49"/>
        <v>356</v>
      </c>
      <c r="BE35" s="90"/>
      <c r="BF35" s="90"/>
      <c r="BG35" s="90">
        <f t="shared" si="5"/>
        <v>1052</v>
      </c>
      <c r="BH35" s="90">
        <f t="shared" si="50"/>
        <v>-469.39999999999964</v>
      </c>
      <c r="BI35" s="90">
        <f t="shared" si="51"/>
        <v>2476.1939999999995</v>
      </c>
      <c r="BJ35" s="90">
        <f t="shared" si="6"/>
        <v>4220.8060000000005</v>
      </c>
      <c r="BK35" s="92"/>
      <c r="BL35" s="93">
        <f>FD35+FN35-BM38</f>
        <v>6227.6</v>
      </c>
      <c r="BM35" s="93">
        <f t="shared" si="53"/>
        <v>171208.6</v>
      </c>
      <c r="BN35" s="92"/>
      <c r="BO35" s="94">
        <f t="shared" si="54"/>
        <v>0</v>
      </c>
      <c r="BP35" s="94">
        <f t="shared" si="54"/>
        <v>0</v>
      </c>
      <c r="BQ35" s="94">
        <f t="shared" si="55"/>
        <v>0.26148276516476771</v>
      </c>
      <c r="BR35" s="94">
        <f t="shared" si="74"/>
        <v>0.70393153631117</v>
      </c>
      <c r="BS35" s="94">
        <f t="shared" si="83"/>
        <v>0</v>
      </c>
      <c r="BT35" s="94">
        <f t="shared" si="83"/>
        <v>7.3907565921195129E-2</v>
      </c>
      <c r="BU35" s="95">
        <f t="shared" si="83"/>
        <v>0.96541430147593776</v>
      </c>
      <c r="BV35" s="94">
        <f t="shared" si="8"/>
        <v>0</v>
      </c>
      <c r="BW35" s="94">
        <f t="shared" si="8"/>
        <v>0</v>
      </c>
      <c r="BX35" s="94">
        <f t="shared" si="8"/>
        <v>0.21655740111309202</v>
      </c>
      <c r="BY35" s="94">
        <f t="shared" si="56"/>
        <v>0.58298903168258676</v>
      </c>
      <c r="BZ35" s="95">
        <f t="shared" si="9"/>
        <v>0.79954643279567872</v>
      </c>
      <c r="CA35" s="96" t="e">
        <f>#REF!</f>
        <v>#REF!</v>
      </c>
      <c r="CB35" s="94">
        <f t="shared" si="10"/>
        <v>2.0984998632234748E-2</v>
      </c>
      <c r="CC35" s="95">
        <f t="shared" si="10"/>
        <v>4.6181245903166232E-2</v>
      </c>
      <c r="CD35" s="97">
        <f t="shared" si="11"/>
        <v>6.1318418348863278E-2</v>
      </c>
      <c r="CE35" s="98">
        <f t="shared" si="11"/>
        <v>0.13494215586043687</v>
      </c>
      <c r="CF35" s="94" t="str">
        <f t="shared" si="57"/>
        <v>0,00</v>
      </c>
      <c r="CG35" s="94" t="str">
        <f t="shared" si="57"/>
        <v>0,00</v>
      </c>
      <c r="CH35" s="95" t="str">
        <f t="shared" si="58"/>
        <v xml:space="preserve">0,00 </v>
      </c>
      <c r="CI35" s="96" t="e">
        <f>#REF!</f>
        <v>#REF!</v>
      </c>
      <c r="CJ35" s="94">
        <f t="shared" si="59"/>
        <v>0.79320987654320985</v>
      </c>
      <c r="CK35" s="94">
        <f t="shared" si="59"/>
        <v>0</v>
      </c>
      <c r="CL35" s="95">
        <f t="shared" si="75"/>
        <v>0.84259259259259256</v>
      </c>
      <c r="CM35" s="95" t="e">
        <f>#REF!</f>
        <v>#REF!</v>
      </c>
      <c r="CN35" s="94">
        <f t="shared" si="60"/>
        <v>0.66731796900441498</v>
      </c>
      <c r="CO35" s="94">
        <f t="shared" si="60"/>
        <v>7.0068386745463562E-2</v>
      </c>
      <c r="CP35" s="95">
        <f t="shared" si="61"/>
        <v>0.95426469567631345</v>
      </c>
      <c r="CQ35" s="95" t="e">
        <f>#REF!</f>
        <v>#REF!</v>
      </c>
      <c r="CR35" s="97">
        <f t="shared" si="76"/>
        <v>5.6919115183173968E-2</v>
      </c>
      <c r="CS35" s="95">
        <f t="shared" si="76"/>
        <v>0.11567433085612774</v>
      </c>
      <c r="CT35" s="96" t="e">
        <f>#REF!</f>
        <v>#REF!</v>
      </c>
      <c r="CU35" s="97">
        <f t="shared" si="77"/>
        <v>4.335481157795662E-2</v>
      </c>
      <c r="CV35" s="95">
        <f t="shared" si="62"/>
        <v>4.6064487301578916E-2</v>
      </c>
      <c r="CW35" s="96" t="e">
        <f>#REF!</f>
        <v>#REF!</v>
      </c>
      <c r="CX35" s="99">
        <f t="shared" si="63"/>
        <v>9.7309644632562906E-2</v>
      </c>
      <c r="CY35" s="95">
        <f t="shared" si="63"/>
        <v>1.8245558368605547E-2</v>
      </c>
      <c r="CZ35" s="99">
        <f t="shared" si="63"/>
        <v>0.19461928926512581</v>
      </c>
      <c r="DA35" s="95">
        <f t="shared" si="63"/>
        <v>1.5204631973837954E-2</v>
      </c>
      <c r="DB35" s="94">
        <f t="shared" si="12"/>
        <v>0.16985746005058974</v>
      </c>
      <c r="DC35" s="94">
        <f t="shared" si="13"/>
        <v>2.7368337552908316E-2</v>
      </c>
      <c r="DD35" s="94">
        <f t="shared" si="13"/>
        <v>0.10512916964767957</v>
      </c>
      <c r="DE35" s="94">
        <f t="shared" si="13"/>
        <v>0.15465282807675176</v>
      </c>
      <c r="DF35" s="94">
        <f t="shared" si="13"/>
        <v>0</v>
      </c>
      <c r="DG35" s="94">
        <f t="shared" si="13"/>
        <v>0</v>
      </c>
      <c r="DH35" s="95">
        <f t="shared" si="13"/>
        <v>0.4570077953279294</v>
      </c>
      <c r="DI35" s="96" t="e">
        <f>#REF!</f>
        <v>#REF!</v>
      </c>
      <c r="DJ35" s="95">
        <f t="shared" si="64"/>
        <v>-0.20391583567198657</v>
      </c>
      <c r="DK35" s="96" t="e">
        <f>#REF!</f>
        <v>#REF!</v>
      </c>
      <c r="DL35" s="95">
        <f t="shared" si="14"/>
        <v>1.075703384737877</v>
      </c>
      <c r="DM35" s="96">
        <f t="shared" si="15"/>
        <v>0</v>
      </c>
      <c r="DN35" s="94">
        <f t="shared" si="16"/>
        <v>1.8335943389419169</v>
      </c>
      <c r="DO35" s="100">
        <v>3.4</v>
      </c>
      <c r="DP35" s="94">
        <f>IF($O35&lt;&gt;0,IF($O35&lt;&gt;0,BL35/$O35*10,0)," ")</f>
        <v>2.7053818880078073</v>
      </c>
      <c r="DQ35" s="94">
        <f>IF($P35&lt;&gt;0,IF($P35&lt;&gt;0,BM35/$P35*10,0)," ")</f>
        <v>3.4878142761459636</v>
      </c>
      <c r="DR35" s="101">
        <f t="shared" si="17"/>
        <v>0</v>
      </c>
      <c r="DS35" s="173"/>
      <c r="DT35" s="134">
        <v>30</v>
      </c>
      <c r="DU35" s="76">
        <v>601788</v>
      </c>
      <c r="DV35" s="76">
        <v>22237</v>
      </c>
      <c r="DW35" s="76">
        <v>5082352</v>
      </c>
      <c r="DX35" s="76">
        <v>97335</v>
      </c>
      <c r="DY35" s="76">
        <v>79745</v>
      </c>
      <c r="DZ35" s="76">
        <v>357491</v>
      </c>
      <c r="EA35" s="77">
        <v>204056</v>
      </c>
      <c r="EB35" s="77">
        <v>46279</v>
      </c>
      <c r="EC35" s="77">
        <v>358790</v>
      </c>
      <c r="ED35" s="76">
        <v>43373</v>
      </c>
      <c r="EE35" s="77">
        <v>35433</v>
      </c>
      <c r="EF35" s="77">
        <v>37073</v>
      </c>
      <c r="EG35" s="76">
        <v>88161</v>
      </c>
      <c r="EH35" s="76">
        <v>173665</v>
      </c>
      <c r="EI35" s="76">
        <v>27783</v>
      </c>
      <c r="EJ35" s="77">
        <v>36025</v>
      </c>
      <c r="EK35" s="77"/>
      <c r="EL35" s="76">
        <v>671931</v>
      </c>
      <c r="EM35" s="76">
        <v>4985</v>
      </c>
      <c r="EN35" s="77">
        <v>38347</v>
      </c>
      <c r="EO35" s="76">
        <v>2801121</v>
      </c>
      <c r="EP35" s="77">
        <v>2418660</v>
      </c>
      <c r="EQ35" s="77">
        <v>0</v>
      </c>
      <c r="ER35" s="77">
        <v>1409</v>
      </c>
      <c r="ES35" s="77">
        <v>255184</v>
      </c>
      <c r="ET35" s="77">
        <v>8413370</v>
      </c>
      <c r="EU35" s="77">
        <v>361150</v>
      </c>
      <c r="EV35" s="77">
        <v>103345</v>
      </c>
      <c r="EW35" s="77">
        <v>55457</v>
      </c>
      <c r="EX35" s="76">
        <v>193443</v>
      </c>
      <c r="EY35" s="76">
        <v>1539891</v>
      </c>
      <c r="EZ35" s="149">
        <v>678233</v>
      </c>
      <c r="FA35" s="149">
        <v>712087</v>
      </c>
      <c r="FB35" s="151">
        <v>29560</v>
      </c>
      <c r="FC35" s="149">
        <v>6697</v>
      </c>
      <c r="FD35" s="104">
        <f>SUM(FE35:FM35)</f>
        <v>6454</v>
      </c>
      <c r="FE35" s="105">
        <f t="shared" si="84"/>
        <v>0</v>
      </c>
      <c r="FF35" s="105">
        <f t="shared" si="84"/>
        <v>458</v>
      </c>
      <c r="FG35" s="105">
        <f t="shared" si="87"/>
        <v>1513</v>
      </c>
      <c r="FH35" s="105">
        <f t="shared" si="88"/>
        <v>1550</v>
      </c>
      <c r="FI35" s="105">
        <f t="shared" si="88"/>
        <v>483</v>
      </c>
      <c r="FJ35" s="105">
        <f t="shared" si="88"/>
        <v>0</v>
      </c>
      <c r="FK35" s="105">
        <f t="shared" ref="FK35:FM36" si="89">FK68-FK67</f>
        <v>730</v>
      </c>
      <c r="FL35" s="105">
        <f t="shared" si="89"/>
        <v>1369</v>
      </c>
      <c r="FM35" s="105">
        <f t="shared" si="89"/>
        <v>351</v>
      </c>
      <c r="FN35" s="80">
        <f t="shared" si="82"/>
        <v>580</v>
      </c>
      <c r="FO35" s="136">
        <v>49860</v>
      </c>
      <c r="FP35" s="189"/>
      <c r="FZ35" s="178">
        <f t="shared" si="65"/>
        <v>0.96541430147593776</v>
      </c>
      <c r="GA35" s="64"/>
      <c r="GB35" s="64"/>
      <c r="GC35" s="64"/>
      <c r="GD35" s="64"/>
      <c r="GE35" s="243"/>
      <c r="GF35" s="64"/>
      <c r="GG35" s="64"/>
      <c r="GH35" s="64"/>
      <c r="GI35" s="64"/>
      <c r="GJ35" s="64"/>
      <c r="GK35" s="113"/>
    </row>
    <row r="36" spans="1:193" s="119" customFormat="1" ht="15" customHeight="1">
      <c r="B36" s="573">
        <v>42766</v>
      </c>
      <c r="D36" s="85">
        <v>5802.72</v>
      </c>
      <c r="E36" s="85">
        <v>3298.2</v>
      </c>
      <c r="F36" s="85">
        <v>3314.232</v>
      </c>
      <c r="G36" s="85">
        <v>5749.3179999999993</v>
      </c>
      <c r="H36" s="85">
        <v>8493.6229999999996</v>
      </c>
      <c r="I36" s="85">
        <v>1673.4389999999999</v>
      </c>
      <c r="J36" s="85">
        <v>1576.3440000000001</v>
      </c>
      <c r="K36" s="167">
        <v>15.101000000000001</v>
      </c>
      <c r="L36" s="167">
        <v>206.72</v>
      </c>
      <c r="M36" s="291">
        <f t="shared" si="21"/>
        <v>3249.7829999999999</v>
      </c>
      <c r="N36" s="213">
        <f t="shared" si="0"/>
        <v>26658.093000000001</v>
      </c>
      <c r="O36" s="88">
        <f t="shared" si="22"/>
        <v>28489.704500000003</v>
      </c>
      <c r="P36" s="89">
        <f t="shared" si="23"/>
        <v>519366.18600000005</v>
      </c>
      <c r="R36" s="90">
        <f t="shared" si="24"/>
        <v>69</v>
      </c>
      <c r="S36" s="90">
        <f t="shared" si="25"/>
        <v>74.599999999999994</v>
      </c>
      <c r="T36" s="90">
        <f t="shared" si="1"/>
        <v>692.6</v>
      </c>
      <c r="U36" s="90"/>
      <c r="V36" s="90">
        <f>IF(EO36=0,"",(EO36-EO35))</f>
        <v>1201</v>
      </c>
      <c r="W36" s="91">
        <f t="shared" si="71"/>
        <v>101622.7</v>
      </c>
      <c r="X36" s="90">
        <f t="shared" si="27"/>
        <v>1201</v>
      </c>
      <c r="Y36" s="90" t="str">
        <f t="shared" si="28"/>
        <v>0</v>
      </c>
      <c r="Z36" s="90">
        <f t="shared" si="2"/>
        <v>146.9</v>
      </c>
      <c r="AA36" s="90">
        <f t="shared" si="29"/>
        <v>2037.2</v>
      </c>
      <c r="AB36" s="90">
        <f t="shared" si="30"/>
        <v>227</v>
      </c>
      <c r="AC36" s="90">
        <f t="shared" si="30"/>
        <v>25</v>
      </c>
      <c r="AD36" s="90">
        <f>(IF(SUM(AB36:AC36)&gt;=(DW36-DW35),(SUM(AB36:AC36)),(DW36-DW35)))</f>
        <v>404</v>
      </c>
      <c r="AE36" s="90">
        <f t="shared" si="32"/>
        <v>152</v>
      </c>
      <c r="AF36" s="90">
        <f t="shared" si="33"/>
        <v>145</v>
      </c>
      <c r="AG36" s="90">
        <f t="shared" si="33"/>
        <v>6</v>
      </c>
      <c r="AH36" s="90">
        <f t="shared" si="34"/>
        <v>204</v>
      </c>
      <c r="AI36" s="90">
        <f t="shared" si="35"/>
        <v>53</v>
      </c>
      <c r="AJ36" s="90">
        <f>IF(EA36=0,"",(EA36-EA35))</f>
        <v>210</v>
      </c>
      <c r="AK36" s="90">
        <f>IF(EB36=0,"",(EB36-EB35))</f>
        <v>21</v>
      </c>
      <c r="AL36" s="90">
        <f t="shared" si="37"/>
        <v>305</v>
      </c>
      <c r="AM36" s="90">
        <f t="shared" si="38"/>
        <v>74</v>
      </c>
      <c r="AN36" s="90">
        <f t="shared" si="39"/>
        <v>9</v>
      </c>
      <c r="AO36" s="90">
        <f t="shared" si="3"/>
        <v>38</v>
      </c>
      <c r="AP36" s="90">
        <f t="shared" si="40"/>
        <v>18</v>
      </c>
      <c r="AQ36" s="90">
        <f t="shared" si="4"/>
        <v>26</v>
      </c>
      <c r="AR36" s="90">
        <f t="shared" si="41"/>
        <v>87.92</v>
      </c>
      <c r="AS36" s="90">
        <f t="shared" si="42"/>
        <v>108.91999999999996</v>
      </c>
      <c r="AT36" s="90">
        <f t="shared" si="43"/>
        <v>554.91999999999996</v>
      </c>
      <c r="AU36" s="90">
        <f t="shared" si="44"/>
        <v>216</v>
      </c>
      <c r="AV36" s="90">
        <f t="shared" si="72"/>
        <v>40</v>
      </c>
      <c r="AW36" s="90">
        <f t="shared" si="45"/>
        <v>230</v>
      </c>
      <c r="AX36" s="90">
        <f t="shared" si="73"/>
        <v>78</v>
      </c>
      <c r="AY36" s="90">
        <v>806.4</v>
      </c>
      <c r="AZ36" s="90">
        <f t="shared" si="47"/>
        <v>394</v>
      </c>
      <c r="BA36" s="90">
        <v>78</v>
      </c>
      <c r="BB36" s="90">
        <f t="shared" si="48"/>
        <v>88</v>
      </c>
      <c r="BC36" s="90">
        <f t="shared" si="48"/>
        <v>238</v>
      </c>
      <c r="BD36" s="90">
        <f t="shared" si="49"/>
        <v>326</v>
      </c>
      <c r="BE36" s="90"/>
      <c r="BF36" s="90"/>
      <c r="BG36" s="90">
        <f t="shared" si="5"/>
        <v>1046</v>
      </c>
      <c r="BH36" s="90">
        <f t="shared" si="50"/>
        <v>-2575</v>
      </c>
      <c r="BI36" s="90">
        <f t="shared" si="51"/>
        <v>1891.88</v>
      </c>
      <c r="BJ36" s="90">
        <f t="shared" si="6"/>
        <v>4287.12</v>
      </c>
      <c r="BK36" s="92"/>
      <c r="BL36" s="93">
        <f>FD36+FN36</f>
        <v>3604</v>
      </c>
      <c r="BM36" s="93">
        <f t="shared" si="53"/>
        <v>174812.6</v>
      </c>
      <c r="BN36" s="92"/>
      <c r="BO36" s="94">
        <f>IF($N36&lt;&gt;0,IF($N36&lt;&gt;0,R36/$N36*10,0)," ")</f>
        <v>2.588332181150392E-2</v>
      </c>
      <c r="BP36" s="94">
        <f>IF($N36&lt;&gt;0,IF($N36&lt;&gt;0,S36/$N36*10,0)," ")</f>
        <v>2.7983997204901336E-2</v>
      </c>
      <c r="BQ36" s="94">
        <f t="shared" si="55"/>
        <v>0.25980853169054513</v>
      </c>
      <c r="BR36" s="94">
        <f t="shared" si="74"/>
        <v>0.45051984776255377</v>
      </c>
      <c r="BS36" s="94">
        <f t="shared" si="83"/>
        <v>0</v>
      </c>
      <c r="BT36" s="94">
        <f t="shared" si="83"/>
        <v>5.5105217016085881E-2</v>
      </c>
      <c r="BU36" s="95">
        <f t="shared" si="83"/>
        <v>0.76419569846950419</v>
      </c>
      <c r="BV36" s="94">
        <f>IF($O36&lt;&gt;0,IF($O36&lt;&gt;0,R36/$O36*10,0)," ")</f>
        <v>2.4219275422811069E-2</v>
      </c>
      <c r="BW36" s="94">
        <f>IF($O36&lt;&gt;0,IF($O36&lt;&gt;0,S36/$O36*10,0)," ")</f>
        <v>2.6184897775966748E-2</v>
      </c>
      <c r="BX36" s="94">
        <f>IF($O36&lt;&gt;0,IF($O36&lt;&gt;0,T36/$O36*10,0)," ")</f>
        <v>0.24310536460636156</v>
      </c>
      <c r="BY36" s="94">
        <f t="shared" si="56"/>
        <v>0.42155579395356657</v>
      </c>
      <c r="BZ36" s="95">
        <f t="shared" si="9"/>
        <v>0.7150653317587059</v>
      </c>
      <c r="CA36" s="96" t="e">
        <f>#REF!</f>
        <v>#REF!</v>
      </c>
      <c r="CB36" s="94">
        <f t="shared" si="10"/>
        <v>3.0860270944544188E-2</v>
      </c>
      <c r="CC36" s="95">
        <f t="shared" si="10"/>
        <v>3.8231354768877977E-2</v>
      </c>
      <c r="CD36" s="97">
        <f>IFERROR(AR36*10/($I36+$J36),"")</f>
        <v>0.27054114074693603</v>
      </c>
      <c r="CE36" s="98">
        <f>IFERROR(AS36*10/($I36+$J36),"")</f>
        <v>0.33516083996993018</v>
      </c>
      <c r="CF36" s="94">
        <f t="shared" si="57"/>
        <v>0.39119585297929244</v>
      </c>
      <c r="CG36" s="94">
        <f t="shared" si="57"/>
        <v>4.3083243720186397E-2</v>
      </c>
      <c r="CH36" s="95">
        <f t="shared" si="58"/>
        <v>0.69622521851821217</v>
      </c>
      <c r="CI36" s="96" t="e">
        <f>#REF!</f>
        <v>#REF!</v>
      </c>
      <c r="CJ36" s="94">
        <f t="shared" si="59"/>
        <v>0.43963373961554786</v>
      </c>
      <c r="CK36" s="94">
        <f t="shared" si="59"/>
        <v>1.8191740949608879E-2</v>
      </c>
      <c r="CL36" s="95">
        <f t="shared" si="75"/>
        <v>0.61851919228670182</v>
      </c>
      <c r="CM36" s="95" t="e">
        <f>#REF!</f>
        <v>#REF!</v>
      </c>
      <c r="CN36" s="94">
        <f t="shared" si="60"/>
        <v>0.63363095884657439</v>
      </c>
      <c r="CO36" s="94">
        <f t="shared" si="60"/>
        <v>6.3363095884657439E-2</v>
      </c>
      <c r="CP36" s="95">
        <f t="shared" si="61"/>
        <v>0.92027353546764379</v>
      </c>
      <c r="CQ36" s="95" t="e">
        <f>#REF!</f>
        <v>#REF!</v>
      </c>
      <c r="CR36" s="97">
        <f t="shared" si="76"/>
        <v>1.5654030617196685E-2</v>
      </c>
      <c r="CS36" s="95">
        <f t="shared" si="76"/>
        <v>6.6094795939274892E-2</v>
      </c>
      <c r="CT36" s="96" t="e">
        <f>#REF!</f>
        <v>#REF!</v>
      </c>
      <c r="CU36" s="97">
        <f t="shared" si="77"/>
        <v>2.1192369852064307E-2</v>
      </c>
      <c r="CV36" s="95">
        <f t="shared" si="62"/>
        <v>3.0611200897426222E-2</v>
      </c>
      <c r="CW36" s="96" t="e">
        <f>#REF!</f>
        <v>#REF!</v>
      </c>
      <c r="CX36" s="99">
        <f t="shared" si="63"/>
        <v>7.5816862193147691E-2</v>
      </c>
      <c r="CY36" s="95">
        <f t="shared" si="63"/>
        <v>1.404015966539772E-2</v>
      </c>
      <c r="CZ36" s="99">
        <f t="shared" si="63"/>
        <v>8.0730918076036898E-2</v>
      </c>
      <c r="DA36" s="95">
        <f t="shared" si="63"/>
        <v>2.7378311347525556E-2</v>
      </c>
      <c r="DB36" s="94">
        <f t="shared" si="12"/>
        <v>0.13829557270416756</v>
      </c>
      <c r="DC36" s="94">
        <f t="shared" ref="DC36:DH36" si="90">IF($O36&lt;&gt;0,IF($O36&lt;&gt;0,BB36/$O36*10,0)," ")</f>
        <v>3.0888351263874989E-2</v>
      </c>
      <c r="DD36" s="94">
        <f t="shared" si="90"/>
        <v>8.3538950009116444E-2</v>
      </c>
      <c r="DE36" s="94">
        <f t="shared" si="90"/>
        <v>0.11442730127299143</v>
      </c>
      <c r="DF36" s="94">
        <f t="shared" si="90"/>
        <v>0</v>
      </c>
      <c r="DG36" s="94">
        <f t="shared" si="90"/>
        <v>0</v>
      </c>
      <c r="DH36" s="95">
        <f t="shared" si="90"/>
        <v>0.36715017525015042</v>
      </c>
      <c r="DI36" s="96" t="e">
        <f>#REF!</f>
        <v>#REF!</v>
      </c>
      <c r="DJ36" s="95">
        <f t="shared" si="64"/>
        <v>-0.90383527845997835</v>
      </c>
      <c r="DK36" s="96" t="e">
        <f>#REF!</f>
        <v>#REF!</v>
      </c>
      <c r="DL36" s="95">
        <f t="shared" si="14"/>
        <v>0.66405743169431608</v>
      </c>
      <c r="DM36" s="96">
        <f t="shared" si="15"/>
        <v>0</v>
      </c>
      <c r="DN36" s="94">
        <f t="shared" si="16"/>
        <v>1.5047962326179971</v>
      </c>
      <c r="DO36" s="100">
        <v>3.4</v>
      </c>
      <c r="DP36" s="94">
        <f>IF($O36&lt;&gt;0,IF($O36&lt;&gt;0,BL36/$O36*10,0)," ")</f>
        <v>1.2650183858523347</v>
      </c>
      <c r="DQ36" s="94">
        <f>IF($P36&lt;&gt;0,IF($P36&lt;&gt;0,BM36/$P36*10,0)," ")</f>
        <v>3.3658833538308168</v>
      </c>
      <c r="DR36" s="101"/>
      <c r="DS36" s="173"/>
      <c r="DT36" s="134">
        <v>31</v>
      </c>
      <c r="DU36" s="135">
        <v>602015</v>
      </c>
      <c r="DV36" s="135">
        <v>22262</v>
      </c>
      <c r="DW36" s="135">
        <v>5082756</v>
      </c>
      <c r="DX36" s="135">
        <v>97480</v>
      </c>
      <c r="DY36" s="135">
        <v>79751</v>
      </c>
      <c r="DZ36" s="135">
        <v>357695</v>
      </c>
      <c r="EA36" s="136">
        <v>204266</v>
      </c>
      <c r="EB36" s="136">
        <v>46300</v>
      </c>
      <c r="EC36" s="136">
        <v>359095</v>
      </c>
      <c r="ED36" s="135">
        <v>43382</v>
      </c>
      <c r="EE36" s="136">
        <v>35460</v>
      </c>
      <c r="EF36" s="136">
        <v>37084</v>
      </c>
      <c r="EG36" s="135">
        <v>88179</v>
      </c>
      <c r="EH36" s="135">
        <v>173691</v>
      </c>
      <c r="EI36" s="135">
        <v>27823</v>
      </c>
      <c r="EJ36" s="136">
        <v>36103</v>
      </c>
      <c r="EK36" s="136"/>
      <c r="EL36" s="135">
        <v>672000</v>
      </c>
      <c r="EM36" s="135">
        <v>6926</v>
      </c>
      <c r="EN36" s="136">
        <v>38360</v>
      </c>
      <c r="EO36" s="135">
        <v>2802322</v>
      </c>
      <c r="EP36" s="136">
        <v>3434887</v>
      </c>
      <c r="EQ36" s="136">
        <v>0</v>
      </c>
      <c r="ER36" s="136">
        <v>1469</v>
      </c>
      <c r="ES36" s="136">
        <v>255651</v>
      </c>
      <c r="ET36" s="136">
        <v>8501290</v>
      </c>
      <c r="EU36" s="136">
        <v>361380</v>
      </c>
      <c r="EV36" s="136">
        <v>103561</v>
      </c>
      <c r="EW36" s="136">
        <v>55851</v>
      </c>
      <c r="EX36" s="135">
        <v>193531</v>
      </c>
      <c r="EY36" s="135">
        <v>1540129</v>
      </c>
      <c r="EZ36" s="135">
        <v>678979</v>
      </c>
      <c r="FA36" s="135">
        <v>712413</v>
      </c>
      <c r="FB36" s="136">
        <v>29632</v>
      </c>
      <c r="FC36" s="135">
        <v>6179</v>
      </c>
      <c r="FD36" s="104">
        <f>SUM(FE36:FM36)-1500</f>
        <v>2971</v>
      </c>
      <c r="FE36" s="105">
        <f t="shared" si="84"/>
        <v>0</v>
      </c>
      <c r="FF36" s="105">
        <f t="shared" si="84"/>
        <v>361</v>
      </c>
      <c r="FG36" s="105">
        <f t="shared" si="87"/>
        <v>1748</v>
      </c>
      <c r="FH36" s="105">
        <f t="shared" si="88"/>
        <v>1033</v>
      </c>
      <c r="FI36" s="105">
        <f t="shared" si="88"/>
        <v>202</v>
      </c>
      <c r="FJ36" s="105">
        <f t="shared" si="88"/>
        <v>0</v>
      </c>
      <c r="FK36" s="105">
        <f t="shared" si="89"/>
        <v>259</v>
      </c>
      <c r="FL36" s="105">
        <f t="shared" si="89"/>
        <v>515</v>
      </c>
      <c r="FM36" s="105">
        <f t="shared" si="89"/>
        <v>353</v>
      </c>
      <c r="FN36" s="80">
        <f t="shared" si="82"/>
        <v>633</v>
      </c>
      <c r="FO36" s="77">
        <v>50493</v>
      </c>
      <c r="FP36" s="189"/>
      <c r="FZ36" s="178">
        <f t="shared" si="65"/>
        <v>0.76419569846950419</v>
      </c>
      <c r="GA36" s="64"/>
      <c r="GB36" s="64"/>
      <c r="GC36" s="64"/>
      <c r="GD36" s="64"/>
      <c r="GE36" s="243"/>
      <c r="GF36" s="64"/>
      <c r="GG36" s="64"/>
      <c r="GH36" s="64"/>
      <c r="GI36" s="64"/>
      <c r="GJ36" s="64"/>
    </row>
    <row r="37" spans="1:193" s="10" customFormat="1" ht="15" customHeight="1">
      <c r="A37" s="64" t="s">
        <v>127</v>
      </c>
      <c r="B37" s="193" t="s">
        <v>128</v>
      </c>
      <c r="C37" s="194"/>
      <c r="D37" s="196">
        <f>SUM(D6:D36)</f>
        <v>120475.19999999998</v>
      </c>
      <c r="E37" s="196">
        <f t="shared" ref="E37:M37" si="91">SUM(E6:E36)</f>
        <v>30802.68</v>
      </c>
      <c r="F37" s="196">
        <f t="shared" si="91"/>
        <v>78275.160000000018</v>
      </c>
      <c r="G37" s="196">
        <f t="shared" si="91"/>
        <v>62158.194999999992</v>
      </c>
      <c r="H37" s="196">
        <f t="shared" si="91"/>
        <v>137054.75399999999</v>
      </c>
      <c r="I37" s="196">
        <f t="shared" si="91"/>
        <v>44961.281999999992</v>
      </c>
      <c r="J37" s="196">
        <f t="shared" si="91"/>
        <v>130684.53599999996</v>
      </c>
      <c r="K37" s="196">
        <f t="shared" si="91"/>
        <v>117.536</v>
      </c>
      <c r="L37" s="196">
        <f t="shared" si="91"/>
        <v>2767.808</v>
      </c>
      <c r="M37" s="197">
        <f t="shared" si="91"/>
        <v>175645.81800000003</v>
      </c>
      <c r="N37" s="198">
        <f>SUM(N6:N36)</f>
        <v>428765.98899999994</v>
      </c>
      <c r="O37" s="199">
        <f>SUM(O6:O36)</f>
        <v>519366.18600000005</v>
      </c>
      <c r="P37" s="200">
        <f>P36</f>
        <v>519366.18600000005</v>
      </c>
      <c r="Q37" s="201">
        <f>SUM(Q6:Q33)</f>
        <v>0</v>
      </c>
      <c r="R37" s="196">
        <f>SUM(R6:R36)</f>
        <v>5258</v>
      </c>
      <c r="S37" s="196">
        <f t="shared" ref="S37:Z37" si="92">SUM(S6:S36)</f>
        <v>1571.4</v>
      </c>
      <c r="T37" s="196">
        <f t="shared" si="92"/>
        <v>16439.5</v>
      </c>
      <c r="U37" s="196">
        <f t="shared" si="92"/>
        <v>15.4</v>
      </c>
      <c r="V37" s="196">
        <f t="shared" si="92"/>
        <v>36213</v>
      </c>
      <c r="W37" s="202">
        <f t="shared" si="92"/>
        <v>146932.70000000001</v>
      </c>
      <c r="X37" s="196">
        <f t="shared" si="92"/>
        <v>36213</v>
      </c>
      <c r="Y37" s="196">
        <f t="shared" si="92"/>
        <v>787.50000000000011</v>
      </c>
      <c r="Z37" s="196">
        <f t="shared" si="92"/>
        <v>3506.7999999999993</v>
      </c>
      <c r="AA37" s="203">
        <f>SUM(R37:V37)</f>
        <v>59497.3</v>
      </c>
      <c r="AB37" s="196">
        <f t="shared" ref="AB37:BA37" si="93">SUM(AB6:AB36)</f>
        <v>6259</v>
      </c>
      <c r="AC37" s="196">
        <f t="shared" si="93"/>
        <v>1239</v>
      </c>
      <c r="AD37" s="203">
        <f t="shared" si="93"/>
        <v>12707</v>
      </c>
      <c r="AE37" s="203">
        <f t="shared" si="93"/>
        <v>5209</v>
      </c>
      <c r="AF37" s="196">
        <f>SUM(AF6:AF36)</f>
        <v>2668</v>
      </c>
      <c r="AG37" s="196">
        <f>SUM(AG6:AG36)</f>
        <v>847</v>
      </c>
      <c r="AH37" s="203">
        <f t="shared" si="93"/>
        <v>5034</v>
      </c>
      <c r="AI37" s="203">
        <f t="shared" si="93"/>
        <v>1519</v>
      </c>
      <c r="AJ37" s="196">
        <f t="shared" si="93"/>
        <v>6206</v>
      </c>
      <c r="AK37" s="196">
        <f t="shared" si="93"/>
        <v>896</v>
      </c>
      <c r="AL37" s="203">
        <f t="shared" si="93"/>
        <v>9888</v>
      </c>
      <c r="AM37" s="203">
        <f t="shared" si="93"/>
        <v>2786</v>
      </c>
      <c r="AN37" s="196">
        <f t="shared" si="93"/>
        <v>328</v>
      </c>
      <c r="AO37" s="203">
        <f t="shared" si="93"/>
        <v>692</v>
      </c>
      <c r="AP37" s="196">
        <f t="shared" si="93"/>
        <v>615</v>
      </c>
      <c r="AQ37" s="203">
        <f t="shared" si="93"/>
        <v>1239</v>
      </c>
      <c r="AR37" s="196">
        <f t="shared" si="93"/>
        <v>2176.165</v>
      </c>
      <c r="AS37" s="203">
        <f t="shared" si="93"/>
        <v>4299.165</v>
      </c>
      <c r="AT37" s="203">
        <f t="shared" si="93"/>
        <v>22805.164999999994</v>
      </c>
      <c r="AU37" s="204">
        <f t="shared" si="93"/>
        <v>6652</v>
      </c>
      <c r="AV37" s="203">
        <f t="shared" si="93"/>
        <v>1130</v>
      </c>
      <c r="AW37" s="204">
        <f t="shared" si="93"/>
        <v>11854</v>
      </c>
      <c r="AX37" s="203">
        <f t="shared" si="93"/>
        <v>1682</v>
      </c>
      <c r="AY37" s="203">
        <f t="shared" si="93"/>
        <v>806.4</v>
      </c>
      <c r="AZ37" s="196">
        <f t="shared" si="93"/>
        <v>12782</v>
      </c>
      <c r="BA37" s="196">
        <f t="shared" si="93"/>
        <v>944</v>
      </c>
      <c r="BB37" s="196">
        <f>SUM(BB6:BB35)</f>
        <v>2738</v>
      </c>
      <c r="BC37" s="196">
        <f t="shared" ref="BC37:BJ37" si="94">SUM(BC6:BC36)</f>
        <v>19530</v>
      </c>
      <c r="BD37" s="196">
        <f t="shared" si="94"/>
        <v>5359</v>
      </c>
      <c r="BE37" s="196">
        <f t="shared" si="94"/>
        <v>0</v>
      </c>
      <c r="BF37" s="196">
        <f t="shared" si="94"/>
        <v>0</v>
      </c>
      <c r="BG37" s="203">
        <f t="shared" si="94"/>
        <v>40497</v>
      </c>
      <c r="BH37" s="203">
        <f t="shared" si="94"/>
        <v>-11561.4</v>
      </c>
      <c r="BI37" s="196">
        <f t="shared" si="94"/>
        <v>49708.534999999996</v>
      </c>
      <c r="BJ37" s="196">
        <f t="shared" si="94"/>
        <v>136665.465</v>
      </c>
      <c r="BK37" s="205"/>
      <c r="BL37" s="195">
        <f>SUM(BL6:BL36)</f>
        <v>174812.6</v>
      </c>
      <c r="BM37" s="196">
        <f>BM36</f>
        <v>174812.6</v>
      </c>
      <c r="BN37" s="205"/>
      <c r="BO37" s="94">
        <f>IF($N37&lt;&gt;0,IF($N37&lt;&gt;0,R37/$N37*10,0)," ")</f>
        <v>0.12263099534231015</v>
      </c>
      <c r="BP37" s="206">
        <f>S37/$N$37/0.1</f>
        <v>3.6649362130259829E-2</v>
      </c>
      <c r="BQ37" s="94">
        <f>IF($N37&lt;&gt;0,IF($N37&lt;&gt;0,T37/$N37*10,0)," ")</f>
        <v>0.38341427309431492</v>
      </c>
      <c r="BR37" s="94">
        <f>IF($N37&lt;&gt;0,IF($N37&lt;&gt;0,(V37)/$N37*10,0)," ")</f>
        <v>0.84458657937068804</v>
      </c>
      <c r="BS37" s="206">
        <f>IF($N37&lt;&gt;0,IF($N37&lt;&gt;0,Y37/$N37*10,0)," ")</f>
        <v>1.8366662006859883E-2</v>
      </c>
      <c r="BT37" s="206">
        <f>IF($N37&lt;&gt;0,IF($N37&lt;&gt;0,Z37/$N37*10,0)," ")</f>
        <v>8.1788203588134878E-2</v>
      </c>
      <c r="BU37" s="207">
        <f>IF($N37&lt;&gt;0,IF($N37&lt;&gt;0,AA37/$N37*10,0)," ")</f>
        <v>1.3876403802168182</v>
      </c>
      <c r="BV37" s="206">
        <f>R37/$O$37/0.1</f>
        <v>0.10123878184091097</v>
      </c>
      <c r="BW37" s="206">
        <f>S37/$O$37/0.1</f>
        <v>3.0256109126056963E-2</v>
      </c>
      <c r="BX37" s="206">
        <f>(T37+U37)/$O$37/0.1</f>
        <v>0.3168265559745162</v>
      </c>
      <c r="BY37" s="206">
        <f>(V37)/$O$37/0.1</f>
        <v>0.69725370992866276</v>
      </c>
      <c r="BZ37" s="198">
        <f>AA37/$O$37/0.1</f>
        <v>1.1455751568701471</v>
      </c>
      <c r="CA37" s="208" t="e">
        <f>#REF!</f>
        <v>#REF!</v>
      </c>
      <c r="CB37" s="209">
        <f>IF($O37&lt;&gt;0,IF($O37&lt;&gt;0,AR37/$O37*10,0)," ")</f>
        <v>4.1900398190343482E-2</v>
      </c>
      <c r="CC37" s="210">
        <f>IF($O37&lt;&gt;0,IF($O37&lt;&gt;0,AS37/$O37*10,0)," ")</f>
        <v>8.277714483322178E-2</v>
      </c>
      <c r="CD37" s="211">
        <f>IFERROR(AR37*10/($I37+$J37),"")</f>
        <v>0.1238950647831536</v>
      </c>
      <c r="CE37" s="212">
        <f>IFERROR(AS37*10/(($I37+$J37)),"")</f>
        <v>0.24476329974448927</v>
      </c>
      <c r="CF37" s="206">
        <f>AB37/$D$37/0.1</f>
        <v>0.51952601033241697</v>
      </c>
      <c r="CG37" s="206">
        <f>AC37/$D$37/0.1</f>
        <v>0.10284274273875454</v>
      </c>
      <c r="CH37" s="198">
        <f>AD37/$D$37/0.1</f>
        <v>1.0547398966758303</v>
      </c>
      <c r="CI37" s="208" t="e">
        <f>#REF!</f>
        <v>#REF!</v>
      </c>
      <c r="CJ37" s="206">
        <f>AF37/$E$37/0.1</f>
        <v>0.86615839920422499</v>
      </c>
      <c r="CK37" s="206">
        <f>AG37/$E$37/0.1</f>
        <v>0.2749760735104867</v>
      </c>
      <c r="CL37" s="198">
        <f>AH37/$E$37/0.1</f>
        <v>1.6342733814070722</v>
      </c>
      <c r="CM37" s="95" t="e">
        <f>#REF!</f>
        <v>#REF!</v>
      </c>
      <c r="CN37" s="206">
        <f>AJ37/$F$37/0.1</f>
        <v>0.79284411555338863</v>
      </c>
      <c r="CO37" s="206">
        <f>AK37/$F$37/0.1</f>
        <v>0.11446798703445638</v>
      </c>
      <c r="CP37" s="198">
        <f>AL37/$F$37/0.1</f>
        <v>1.2632359997731075</v>
      </c>
      <c r="CQ37" s="213" t="e">
        <f>#REF!</f>
        <v>#REF!</v>
      </c>
      <c r="CR37" s="214">
        <f>AN37/$G$37/0.1</f>
        <v>5.2768585059459978E-2</v>
      </c>
      <c r="CS37" s="198">
        <f>AO37/$G$37/0.1</f>
        <v>0.11132884408886069</v>
      </c>
      <c r="CT37" s="208" t="e">
        <f>#REF!</f>
        <v>#REF!</v>
      </c>
      <c r="CU37" s="214">
        <f>AP37/$H$37/0.1</f>
        <v>4.4872576984815865E-2</v>
      </c>
      <c r="CV37" s="198">
        <f>AQ37/$H$37/0.1</f>
        <v>9.040182582794612E-2</v>
      </c>
      <c r="CW37" s="96" t="e">
        <f>#REF!</f>
        <v>#REF!</v>
      </c>
      <c r="CX37" s="99">
        <f t="shared" si="63"/>
        <v>0.12807918919850511</v>
      </c>
      <c r="CY37" s="95">
        <f t="shared" si="63"/>
        <v>2.1757288604075581E-2</v>
      </c>
      <c r="CZ37" s="99">
        <f t="shared" si="63"/>
        <v>0.22823973372806367</v>
      </c>
      <c r="DA37" s="198">
        <f>IF($O37&lt;&gt;0,IF($O37&lt;&gt;0,AX37/$O37*10,0)," ")</f>
        <v>3.2385627815977994E-2</v>
      </c>
      <c r="DB37" s="206">
        <f>AZ37/$O$37/0.1</f>
        <v>0.24610766631618947</v>
      </c>
      <c r="DC37" s="206">
        <f t="shared" ref="DC37:DH37" si="95">BB37/$O$37/0.1</f>
        <v>5.2718102830052162E-2</v>
      </c>
      <c r="DD37" s="215">
        <f t="shared" si="95"/>
        <v>0.3760352623341558</v>
      </c>
      <c r="DE37" s="215">
        <f t="shared" si="95"/>
        <v>0.10318345984888588</v>
      </c>
      <c r="DF37" s="215">
        <f t="shared" si="95"/>
        <v>0</v>
      </c>
      <c r="DG37" s="215">
        <f t="shared" si="95"/>
        <v>0</v>
      </c>
      <c r="DH37" s="216">
        <f t="shared" si="95"/>
        <v>0.7797388642471228</v>
      </c>
      <c r="DI37" s="217" t="e">
        <f>#REF!</f>
        <v>#REF!</v>
      </c>
      <c r="DJ37" s="216">
        <f>BH37/$O$37/0.1</f>
        <v>-0.22260594377624726</v>
      </c>
      <c r="DK37" s="217" t="e">
        <f>#REF!</f>
        <v>#REF!</v>
      </c>
      <c r="DL37" s="213">
        <f>BI37/$O$37/0.1</f>
        <v>0.95709994874406379</v>
      </c>
      <c r="DM37" s="96">
        <f t="shared" si="15"/>
        <v>0</v>
      </c>
      <c r="DN37" s="206">
        <f>BJ37/$O$37/0.1</f>
        <v>2.6313893488630002</v>
      </c>
      <c r="DO37" s="100">
        <v>3.4</v>
      </c>
      <c r="DP37" s="206">
        <f>BL37/$O$37/0.1</f>
        <v>3.3658833538308168</v>
      </c>
      <c r="DQ37" s="218" t="str">
        <f>IF($Q37&lt;&gt;0,IF($Q37&lt;&gt;0,BM37/$Q37*10,0)," ")</f>
        <v xml:space="preserve"> </v>
      </c>
      <c r="DR37" s="101" t="e">
        <f>#REF!</f>
        <v>#REF!</v>
      </c>
      <c r="DS37" s="64"/>
      <c r="DT37" s="64"/>
      <c r="DU37" s="219"/>
      <c r="DV37" s="219"/>
      <c r="DW37" s="219"/>
      <c r="DX37" s="219"/>
      <c r="DY37" s="219"/>
      <c r="DZ37" s="219"/>
      <c r="EA37" s="219"/>
      <c r="EB37" s="220"/>
      <c r="EC37" s="219"/>
      <c r="ED37" s="219"/>
      <c r="EE37" s="219"/>
      <c r="EF37" s="219"/>
      <c r="EG37" s="219"/>
      <c r="EH37" s="219"/>
      <c r="EI37" s="219"/>
      <c r="EJ37" s="220"/>
      <c r="EK37" s="220"/>
      <c r="EL37" s="219"/>
      <c r="EM37" s="219"/>
      <c r="EN37" s="220"/>
      <c r="EO37" s="219"/>
      <c r="EP37" s="220"/>
      <c r="EQ37" s="220"/>
      <c r="ER37" s="220"/>
      <c r="ES37" s="220"/>
      <c r="ET37" s="220"/>
      <c r="EU37" s="220"/>
      <c r="EV37" s="220"/>
      <c r="EW37" s="220"/>
      <c r="EX37" s="219"/>
      <c r="EY37" s="219"/>
      <c r="EZ37" s="219"/>
      <c r="FA37" s="219"/>
      <c r="FB37" s="219"/>
      <c r="FC37" s="219"/>
      <c r="FD37" s="220"/>
      <c r="FE37" s="574" t="s">
        <v>129</v>
      </c>
      <c r="FF37" s="575"/>
      <c r="FG37" s="575"/>
      <c r="FH37" s="575"/>
      <c r="FI37" s="575"/>
      <c r="FJ37" s="575"/>
      <c r="FK37" s="575"/>
      <c r="FL37" s="575"/>
      <c r="FM37" s="576"/>
      <c r="FN37" s="220"/>
      <c r="FO37" s="220"/>
      <c r="FP37" s="64"/>
      <c r="FQ37" s="64"/>
      <c r="FR37" s="64"/>
      <c r="FS37" s="64"/>
      <c r="FT37" s="64"/>
      <c r="FU37" s="64"/>
      <c r="FV37" s="64"/>
      <c r="FW37" s="64"/>
      <c r="FX37" s="64"/>
      <c r="FY37" s="64"/>
      <c r="FZ37" s="64"/>
      <c r="GA37" s="64"/>
      <c r="GB37" s="64"/>
      <c r="GC37" s="64"/>
      <c r="GD37" s="64"/>
      <c r="GE37" s="64"/>
      <c r="GF37" s="64"/>
      <c r="GG37" s="64"/>
      <c r="GH37" s="64"/>
      <c r="GI37" s="64"/>
      <c r="GJ37" s="64"/>
      <c r="GK37" s="222"/>
    </row>
    <row r="38" spans="1:193" s="10" customFormat="1" ht="24">
      <c r="A38" s="64"/>
      <c r="B38" s="223" t="s">
        <v>130</v>
      </c>
      <c r="C38" s="64"/>
      <c r="F38" s="224"/>
      <c r="G38" s="224"/>
      <c r="M38" s="226"/>
      <c r="N38" s="227"/>
      <c r="O38" s="227"/>
      <c r="P38" s="102"/>
      <c r="Q38" s="64"/>
      <c r="R38" s="228"/>
      <c r="S38" s="228"/>
      <c r="T38" s="228"/>
      <c r="U38" s="228"/>
      <c r="V38" s="229"/>
      <c r="W38" s="229"/>
      <c r="X38" s="229"/>
      <c r="Y38" s="229"/>
      <c r="Z38" s="229"/>
      <c r="AA38" s="230"/>
      <c r="AB38" s="152"/>
      <c r="AC38" s="152"/>
      <c r="AD38" s="153"/>
      <c r="AE38" s="231"/>
      <c r="AF38" s="152"/>
      <c r="AG38" s="152"/>
      <c r="AH38" s="152"/>
      <c r="AI38" s="231"/>
      <c r="AJ38" s="152"/>
      <c r="AK38" s="152"/>
      <c r="AL38" s="152"/>
      <c r="AM38" s="231"/>
      <c r="AN38" s="152"/>
      <c r="AO38" s="231"/>
      <c r="AP38" s="152"/>
      <c r="AQ38" s="231"/>
      <c r="AR38" s="232"/>
      <c r="AS38" s="230"/>
      <c r="AT38" s="230"/>
      <c r="AU38" s="232"/>
      <c r="AV38" s="152"/>
      <c r="AW38" s="232"/>
      <c r="AX38" s="152"/>
      <c r="AY38" s="152"/>
      <c r="AZ38" s="152"/>
      <c r="BA38" s="152"/>
      <c r="BB38" s="152"/>
      <c r="BC38" s="152"/>
      <c r="BD38" s="228"/>
      <c r="BE38" s="228"/>
      <c r="BF38" s="228"/>
      <c r="BG38" s="152"/>
      <c r="BH38" s="152"/>
      <c r="BI38" s="233"/>
      <c r="BJ38" s="233"/>
      <c r="BK38" s="234"/>
      <c r="BL38" s="304" t="s">
        <v>146</v>
      </c>
      <c r="BM38" s="305">
        <f>806.4</f>
        <v>806.4</v>
      </c>
      <c r="BN38" s="234"/>
      <c r="BO38" s="178"/>
      <c r="BP38" s="178"/>
      <c r="BQ38" s="178"/>
      <c r="BR38" s="178"/>
      <c r="BS38" s="178"/>
      <c r="BT38" s="178"/>
      <c r="BU38" s="178"/>
      <c r="BV38" s="178"/>
      <c r="BW38" s="178"/>
      <c r="BX38" s="178"/>
      <c r="BY38" s="178"/>
      <c r="BZ38" s="64"/>
      <c r="CA38" s="236"/>
      <c r="CB38" s="236"/>
      <c r="CC38" s="236"/>
      <c r="CD38" s="236"/>
      <c r="CE38" s="236"/>
      <c r="CF38" s="237"/>
      <c r="CG38" s="237"/>
      <c r="CH38" s="178"/>
      <c r="CI38" s="236"/>
      <c r="CJ38" s="236"/>
      <c r="CK38" s="236"/>
      <c r="CL38" s="178"/>
      <c r="CM38" s="236"/>
      <c r="CN38" s="236"/>
      <c r="CO38" s="236"/>
      <c r="CP38" s="178">
        <f>CP37-CN37-CO37</f>
        <v>0.35592389718526252</v>
      </c>
      <c r="CQ38" s="236"/>
      <c r="CR38" s="64"/>
      <c r="CS38" s="238"/>
      <c r="CT38" s="236"/>
      <c r="CU38" s="236"/>
      <c r="CV38" s="239"/>
      <c r="CW38" s="236"/>
      <c r="CX38" s="236"/>
      <c r="CY38" s="236"/>
      <c r="CZ38" s="236"/>
      <c r="DA38" s="236"/>
      <c r="DB38" s="64"/>
      <c r="DC38" s="64"/>
      <c r="DD38" s="64"/>
      <c r="DE38" s="64"/>
      <c r="DF38" s="64"/>
      <c r="DG38" s="64"/>
      <c r="DH38" s="240"/>
      <c r="DI38" s="236"/>
      <c r="DJ38" s="241"/>
      <c r="DK38" s="242"/>
      <c r="DL38" s="243"/>
      <c r="DM38" s="242"/>
      <c r="DN38" s="64"/>
      <c r="DO38" s="100"/>
      <c r="DP38" s="240"/>
      <c r="DQ38" s="244"/>
      <c r="DR38" s="245"/>
      <c r="DS38" s="64"/>
      <c r="DT38" s="64"/>
      <c r="DU38" s="246"/>
      <c r="DV38" s="246"/>
      <c r="DW38" s="246"/>
      <c r="DX38" s="219"/>
      <c r="DY38" s="219"/>
      <c r="DZ38" s="219"/>
      <c r="EA38" s="246"/>
      <c r="EB38" s="246"/>
      <c r="EC38" s="9"/>
      <c r="ED38" s="9"/>
      <c r="EE38" s="246"/>
      <c r="EF38" s="246"/>
      <c r="EG38" s="9"/>
      <c r="EH38" s="9"/>
      <c r="EI38" s="9"/>
      <c r="EJ38" s="64"/>
      <c r="EK38" s="64"/>
      <c r="EL38" s="9"/>
      <c r="EM38" s="9"/>
      <c r="EN38" s="64"/>
      <c r="EO38" s="9"/>
      <c r="EP38" s="220"/>
      <c r="EQ38" s="64"/>
      <c r="ER38" s="64"/>
      <c r="ES38" s="247"/>
      <c r="ET38" s="248"/>
      <c r="EU38" s="220"/>
      <c r="EV38" s="220"/>
      <c r="EW38" s="246"/>
      <c r="EX38" s="64"/>
      <c r="EY38" s="64"/>
      <c r="EZ38" s="64"/>
      <c r="FA38" s="64"/>
      <c r="FB38" s="64"/>
      <c r="FC38" s="141"/>
      <c r="FD38" s="249" t="s">
        <v>53</v>
      </c>
      <c r="FE38" s="250">
        <v>1174669</v>
      </c>
      <c r="FF38" s="250">
        <v>843777</v>
      </c>
      <c r="FG38" s="250"/>
      <c r="FH38" s="250">
        <v>692572</v>
      </c>
      <c r="FI38" s="250">
        <v>705714</v>
      </c>
      <c r="FJ38" s="250">
        <v>656353</v>
      </c>
      <c r="FK38" s="250">
        <v>1147266</v>
      </c>
      <c r="FL38" s="250">
        <v>829125</v>
      </c>
      <c r="FM38" s="250"/>
      <c r="FN38" s="141"/>
      <c r="FO38" s="152"/>
      <c r="FP38" s="220"/>
      <c r="FQ38" s="9"/>
      <c r="FR38" s="64"/>
      <c r="FS38" s="64"/>
      <c r="FT38" s="64"/>
      <c r="FU38" s="64"/>
      <c r="FV38" s="64"/>
      <c r="FW38" s="64"/>
      <c r="FX38" s="64"/>
      <c r="FY38" s="64"/>
      <c r="FZ38" s="64"/>
      <c r="GA38" s="64"/>
      <c r="GB38" s="64"/>
      <c r="GC38" s="64"/>
      <c r="GD38" s="64"/>
      <c r="GE38" s="64"/>
      <c r="GF38" s="64"/>
      <c r="GG38" s="64"/>
      <c r="GH38" s="64"/>
      <c r="GI38" s="64"/>
      <c r="GJ38" s="64"/>
    </row>
    <row r="39" spans="1:193" s="10" customFormat="1">
      <c r="A39" s="64"/>
      <c r="B39" s="64"/>
      <c r="C39" s="64"/>
      <c r="F39" s="224">
        <v>501</v>
      </c>
      <c r="G39" s="10">
        <v>502</v>
      </c>
      <c r="H39" s="10">
        <v>503</v>
      </c>
      <c r="I39" s="10">
        <v>511</v>
      </c>
      <c r="J39" s="10">
        <v>512</v>
      </c>
      <c r="K39" s="10">
        <v>561</v>
      </c>
      <c r="L39" s="10">
        <v>562</v>
      </c>
      <c r="M39" s="254">
        <v>563</v>
      </c>
      <c r="N39" s="255"/>
      <c r="O39" s="256"/>
      <c r="P39" s="257"/>
      <c r="Q39" s="64"/>
      <c r="R39" s="258"/>
      <c r="S39" s="258"/>
      <c r="T39" s="258"/>
      <c r="U39" s="258"/>
      <c r="V39" s="258"/>
      <c r="W39" s="258"/>
      <c r="X39" s="258"/>
      <c r="Y39" s="258"/>
      <c r="Z39" s="258"/>
      <c r="AA39" s="258"/>
      <c r="AB39" s="152"/>
      <c r="AC39" s="152"/>
      <c r="AD39" s="231"/>
      <c r="AE39" s="152"/>
      <c r="AF39" s="152"/>
      <c r="AG39" s="152"/>
      <c r="AH39" s="152"/>
      <c r="AI39" s="152"/>
      <c r="AJ39" s="152"/>
      <c r="AK39" s="152"/>
      <c r="AL39" s="152"/>
      <c r="AM39" s="152"/>
      <c r="AN39" s="152"/>
      <c r="AO39" s="152"/>
      <c r="AP39" s="152"/>
      <c r="AQ39" s="152"/>
      <c r="AR39" s="258"/>
      <c r="AS39" s="258"/>
      <c r="AT39" s="258"/>
      <c r="AU39" s="258"/>
      <c r="AV39" s="152"/>
      <c r="AW39" s="258"/>
      <c r="AX39" s="152"/>
      <c r="AY39" s="152"/>
      <c r="AZ39" s="152"/>
      <c r="BA39" s="152"/>
      <c r="BB39" s="152"/>
      <c r="BC39" s="231"/>
      <c r="BD39" s="231"/>
      <c r="BE39" s="231"/>
      <c r="BF39" s="231"/>
      <c r="BG39" s="152"/>
      <c r="BH39" s="231"/>
      <c r="BI39" s="116"/>
      <c r="BJ39" s="116"/>
      <c r="BK39" s="259"/>
      <c r="BL39" s="260" t="s">
        <v>147</v>
      </c>
      <c r="BM39" s="165" t="s">
        <v>148</v>
      </c>
      <c r="BN39" s="259"/>
      <c r="BO39" s="64"/>
      <c r="BP39" s="64"/>
      <c r="BQ39" s="64"/>
      <c r="BR39" s="116"/>
      <c r="BS39" s="116"/>
      <c r="BT39" s="116"/>
      <c r="BU39" s="116"/>
      <c r="BV39" s="64"/>
      <c r="BW39" s="64"/>
      <c r="BX39" s="64"/>
      <c r="BY39" s="116"/>
      <c r="BZ39" s="243"/>
      <c r="CA39" s="243"/>
      <c r="CB39" s="243"/>
      <c r="CC39" s="243"/>
      <c r="CD39" s="243"/>
      <c r="CE39" s="243"/>
      <c r="CF39" s="141"/>
      <c r="CG39" s="237"/>
      <c r="CH39" s="243"/>
      <c r="CI39" s="243"/>
      <c r="CJ39" s="243"/>
      <c r="CK39" s="243"/>
      <c r="CL39" s="243"/>
      <c r="CM39" s="243"/>
      <c r="CN39" s="243"/>
      <c r="CO39" s="243"/>
      <c r="CP39" s="243"/>
      <c r="CQ39" s="243"/>
      <c r="CR39" s="243"/>
      <c r="CS39" s="243"/>
      <c r="CT39" s="243"/>
      <c r="CU39" s="243"/>
      <c r="CV39" s="243"/>
      <c r="CW39" s="243"/>
      <c r="CX39" s="243"/>
      <c r="CY39" s="116"/>
      <c r="CZ39" s="243"/>
      <c r="DA39" s="243"/>
      <c r="DB39" s="243"/>
      <c r="DC39" s="243"/>
      <c r="DD39" s="116"/>
      <c r="DE39" s="116"/>
      <c r="DF39" s="116"/>
      <c r="DG39" s="116"/>
      <c r="DH39" s="243"/>
      <c r="DI39" s="243"/>
      <c r="DJ39" s="64"/>
      <c r="DK39" s="64"/>
      <c r="DL39" s="74"/>
      <c r="DM39" s="64"/>
      <c r="DN39" s="74"/>
      <c r="DO39" s="261"/>
      <c r="DP39" s="262"/>
      <c r="DQ39" s="263"/>
      <c r="DR39" s="244"/>
      <c r="DS39" s="64"/>
      <c r="DT39" s="64"/>
      <c r="DU39" s="246"/>
      <c r="DV39" s="246"/>
      <c r="DW39" s="246"/>
      <c r="DX39" s="219"/>
      <c r="DY39" s="219"/>
      <c r="DZ39" s="219"/>
      <c r="EA39" s="246"/>
      <c r="EB39" s="246"/>
      <c r="EC39" s="9"/>
      <c r="ED39" s="9"/>
      <c r="EE39" s="246"/>
      <c r="EF39" s="246"/>
      <c r="EG39" s="9"/>
      <c r="EH39" s="9"/>
      <c r="EI39" s="9"/>
      <c r="EJ39" s="64"/>
      <c r="EK39" s="64"/>
      <c r="EL39" s="9"/>
      <c r="EM39" s="9"/>
      <c r="EN39" s="64"/>
      <c r="EO39" s="9"/>
      <c r="EP39" s="220"/>
      <c r="EQ39" s="64"/>
      <c r="ER39" s="64"/>
      <c r="ES39" s="257"/>
      <c r="ET39" s="74"/>
      <c r="EU39" s="64"/>
      <c r="EV39" s="64"/>
      <c r="EW39" s="246"/>
      <c r="EX39" s="64"/>
      <c r="EY39" s="64"/>
      <c r="EZ39" s="64"/>
      <c r="FA39" s="64"/>
      <c r="FB39" s="64"/>
      <c r="FC39" s="152"/>
      <c r="FD39" s="249">
        <v>1</v>
      </c>
      <c r="FE39" s="250">
        <v>1175057</v>
      </c>
      <c r="FF39" s="250">
        <v>843777</v>
      </c>
      <c r="FG39" s="250"/>
      <c r="FH39" s="250">
        <v>694224</v>
      </c>
      <c r="FI39" s="250">
        <v>706252</v>
      </c>
      <c r="FJ39" s="250">
        <v>656353</v>
      </c>
      <c r="FK39" s="250">
        <v>1147266</v>
      </c>
      <c r="FL39" s="250">
        <v>830113</v>
      </c>
      <c r="FM39" s="250"/>
      <c r="FN39" s="152"/>
      <c r="FO39" s="152"/>
      <c r="FP39" s="64"/>
      <c r="FQ39" s="9"/>
      <c r="FR39" s="9"/>
      <c r="FS39" s="9"/>
      <c r="FT39" s="9"/>
      <c r="FU39" s="9"/>
      <c r="FV39" s="9"/>
      <c r="FW39" s="9"/>
      <c r="FX39" s="9"/>
      <c r="FY39" s="9"/>
      <c r="FZ39" s="64"/>
      <c r="GA39" s="64"/>
      <c r="GB39" s="64"/>
      <c r="GC39" s="64"/>
      <c r="GD39" s="64"/>
      <c r="GE39" s="64"/>
      <c r="GF39" s="64"/>
      <c r="GG39" s="64"/>
      <c r="GH39" s="64"/>
      <c r="GI39" s="64"/>
      <c r="GJ39" s="64"/>
    </row>
    <row r="40" spans="1:193">
      <c r="BM40" s="64" t="s">
        <v>149</v>
      </c>
      <c r="FC40" s="220"/>
      <c r="FD40" s="249">
        <v>2</v>
      </c>
      <c r="FE40" s="103">
        <v>1175459</v>
      </c>
      <c r="FF40" s="250">
        <v>843777</v>
      </c>
      <c r="FG40" s="250"/>
      <c r="FH40" s="250">
        <v>695905</v>
      </c>
      <c r="FI40" s="250">
        <v>706786</v>
      </c>
      <c r="FJ40" s="250">
        <v>656353</v>
      </c>
      <c r="FK40" s="250">
        <v>1147587</v>
      </c>
      <c r="FL40" s="250">
        <v>831051</v>
      </c>
      <c r="FM40" s="250"/>
      <c r="FZ40" s="64"/>
    </row>
    <row r="41" spans="1:193">
      <c r="FC41" s="220"/>
      <c r="FD41" s="249">
        <v>3</v>
      </c>
      <c r="FE41" s="220">
        <v>1175820</v>
      </c>
      <c r="FF41" s="250">
        <v>843777</v>
      </c>
      <c r="FG41" s="250"/>
      <c r="FH41" s="250">
        <v>697109</v>
      </c>
      <c r="FI41" s="250">
        <v>707254</v>
      </c>
      <c r="FJ41" s="250">
        <v>656353</v>
      </c>
      <c r="FK41" s="250">
        <v>1148186</v>
      </c>
      <c r="FL41" s="250">
        <v>831588</v>
      </c>
      <c r="FM41" s="250"/>
      <c r="FZ41" s="64"/>
    </row>
    <row r="42" spans="1:193">
      <c r="FC42" s="220"/>
      <c r="FD42" s="249">
        <v>4</v>
      </c>
      <c r="FE42" s="103">
        <v>1176231</v>
      </c>
      <c r="FF42" s="250">
        <v>843777</v>
      </c>
      <c r="FG42" s="250"/>
      <c r="FH42" s="250">
        <v>699348</v>
      </c>
      <c r="FI42" s="250">
        <v>707969</v>
      </c>
      <c r="FJ42" s="250">
        <v>656353</v>
      </c>
      <c r="FK42" s="250">
        <v>1149019</v>
      </c>
      <c r="FL42" s="250">
        <v>831588</v>
      </c>
      <c r="FM42" s="250"/>
      <c r="FZ42" s="64"/>
    </row>
    <row r="43" spans="1:193">
      <c r="FC43" s="220"/>
      <c r="FD43" s="249">
        <v>5</v>
      </c>
      <c r="FE43" s="103">
        <v>1176603</v>
      </c>
      <c r="FF43" s="250">
        <v>843777</v>
      </c>
      <c r="FG43" s="250"/>
      <c r="FH43" s="250">
        <v>701001</v>
      </c>
      <c r="FI43" s="250">
        <v>708529</v>
      </c>
      <c r="FJ43" s="250">
        <v>656353</v>
      </c>
      <c r="FK43" s="250">
        <v>1149763</v>
      </c>
      <c r="FL43" s="250">
        <v>832530</v>
      </c>
      <c r="FM43" s="250"/>
      <c r="FZ43" s="64"/>
    </row>
    <row r="44" spans="1:193">
      <c r="FC44" s="220"/>
      <c r="FD44" s="249">
        <v>6</v>
      </c>
      <c r="FE44" s="250">
        <v>1176996</v>
      </c>
      <c r="FF44" s="250">
        <v>843777</v>
      </c>
      <c r="FG44" s="250"/>
      <c r="FH44" s="250">
        <v>702808</v>
      </c>
      <c r="FI44" s="250">
        <v>709105</v>
      </c>
      <c r="FJ44" s="250">
        <v>656353</v>
      </c>
      <c r="FK44" s="250">
        <v>1150482</v>
      </c>
      <c r="FL44" s="250">
        <v>833845.3</v>
      </c>
      <c r="FM44" s="250"/>
      <c r="FZ44" s="64"/>
    </row>
    <row r="45" spans="1:193">
      <c r="FC45" s="220"/>
      <c r="FD45" s="249">
        <v>7</v>
      </c>
      <c r="FE45" s="250">
        <v>1177315</v>
      </c>
      <c r="FF45" s="250">
        <v>843777</v>
      </c>
      <c r="FG45" s="250"/>
      <c r="FH45" s="250">
        <v>704516</v>
      </c>
      <c r="FI45" s="250">
        <v>709646</v>
      </c>
      <c r="FJ45" s="250">
        <v>656353</v>
      </c>
      <c r="FK45" s="250">
        <v>1151239</v>
      </c>
      <c r="FL45" s="250">
        <v>835039.3</v>
      </c>
      <c r="FM45" s="250"/>
      <c r="FZ45" s="64"/>
    </row>
    <row r="46" spans="1:193">
      <c r="FC46" s="220"/>
      <c r="FD46" s="249">
        <v>8</v>
      </c>
      <c r="FE46" s="250">
        <v>1177440</v>
      </c>
      <c r="FF46" s="250">
        <v>843777</v>
      </c>
      <c r="FG46" s="250"/>
      <c r="FH46" s="250">
        <v>705207</v>
      </c>
      <c r="FI46" s="250">
        <v>709866</v>
      </c>
      <c r="FJ46" s="250">
        <v>656353</v>
      </c>
      <c r="FK46" s="250">
        <v>1151479</v>
      </c>
      <c r="FL46" s="250">
        <v>835510.70000000007</v>
      </c>
      <c r="FM46" s="250"/>
      <c r="FZ46" s="64"/>
    </row>
    <row r="47" spans="1:193">
      <c r="FC47" s="220"/>
      <c r="FD47" s="249">
        <v>9</v>
      </c>
      <c r="FE47" s="250">
        <v>1177793</v>
      </c>
      <c r="FF47" s="250">
        <v>843890</v>
      </c>
      <c r="FG47" s="250"/>
      <c r="FH47" s="250">
        <v>706951</v>
      </c>
      <c r="FI47" s="250">
        <v>710432</v>
      </c>
      <c r="FJ47" s="250">
        <v>656353</v>
      </c>
      <c r="FK47" s="250">
        <v>1151479</v>
      </c>
      <c r="FL47" s="250">
        <v>836820</v>
      </c>
      <c r="FM47" s="250"/>
      <c r="FZ47" s="64"/>
    </row>
    <row r="48" spans="1:193">
      <c r="FC48" s="220"/>
      <c r="FD48" s="249">
        <v>10</v>
      </c>
      <c r="FE48" s="250">
        <v>1178026</v>
      </c>
      <c r="FF48" s="250">
        <v>843931</v>
      </c>
      <c r="FG48" s="250"/>
      <c r="FH48" s="250">
        <v>707711</v>
      </c>
      <c r="FI48" s="250">
        <v>710723</v>
      </c>
      <c r="FJ48" s="250">
        <v>656353</v>
      </c>
      <c r="FK48" s="250">
        <v>1151479</v>
      </c>
      <c r="FL48" s="250">
        <v>837332</v>
      </c>
      <c r="FM48" s="250"/>
      <c r="FZ48" s="64"/>
    </row>
    <row r="49" spans="2:182">
      <c r="FC49" s="220"/>
      <c r="FD49" s="249">
        <v>11</v>
      </c>
      <c r="FE49" s="250">
        <v>1178455</v>
      </c>
      <c r="FF49" s="250">
        <v>843931</v>
      </c>
      <c r="FG49" s="250">
        <v>512866</v>
      </c>
      <c r="FH49" s="250">
        <v>709814</v>
      </c>
      <c r="FI49" s="250">
        <v>711185</v>
      </c>
      <c r="FJ49" s="250">
        <v>656353</v>
      </c>
      <c r="FK49" s="250">
        <v>1151645</v>
      </c>
      <c r="FL49" s="250">
        <v>838857</v>
      </c>
      <c r="FM49" s="250">
        <v>544299</v>
      </c>
      <c r="FZ49" s="64"/>
    </row>
    <row r="50" spans="2:182">
      <c r="FC50" s="220"/>
      <c r="FD50" s="249">
        <v>12</v>
      </c>
      <c r="FE50" s="250">
        <v>1178825</v>
      </c>
      <c r="FF50" s="250">
        <v>843931</v>
      </c>
      <c r="FG50" s="250">
        <v>512866</v>
      </c>
      <c r="FH50" s="250">
        <v>711407</v>
      </c>
      <c r="FI50" s="250">
        <v>711185</v>
      </c>
      <c r="FJ50" s="250">
        <v>656353</v>
      </c>
      <c r="FK50" s="250">
        <v>1152162</v>
      </c>
      <c r="FL50" s="250">
        <v>840356</v>
      </c>
      <c r="FM50" s="250">
        <v>544299</v>
      </c>
      <c r="FZ50" s="64"/>
    </row>
    <row r="51" spans="2:182">
      <c r="FD51" s="249">
        <v>13</v>
      </c>
      <c r="FE51" s="250">
        <v>1179070</v>
      </c>
      <c r="FF51" s="250">
        <v>843931</v>
      </c>
      <c r="FG51" s="250">
        <v>514226</v>
      </c>
      <c r="FH51" s="250">
        <v>712484</v>
      </c>
      <c r="FI51" s="250">
        <v>711185</v>
      </c>
      <c r="FJ51" s="250">
        <v>656353</v>
      </c>
      <c r="FK51" s="250">
        <v>1152636</v>
      </c>
      <c r="FL51" s="250">
        <v>841348</v>
      </c>
      <c r="FM51" s="250">
        <v>544582</v>
      </c>
      <c r="FZ51" s="64"/>
    </row>
    <row r="52" spans="2:182">
      <c r="FC52" s="220"/>
      <c r="FD52" s="249">
        <v>14</v>
      </c>
      <c r="FE52" s="250">
        <v>1179332</v>
      </c>
      <c r="FF52" s="250">
        <v>843931</v>
      </c>
      <c r="FG52" s="250">
        <v>515585</v>
      </c>
      <c r="FH52" s="250">
        <v>713646</v>
      </c>
      <c r="FI52" s="250">
        <v>711185</v>
      </c>
      <c r="FJ52" s="250">
        <v>656353</v>
      </c>
      <c r="FK52" s="250">
        <v>1153176</v>
      </c>
      <c r="FL52" s="250">
        <v>842577</v>
      </c>
      <c r="FM52" s="250">
        <v>545107</v>
      </c>
      <c r="FZ52" s="64"/>
    </row>
    <row r="53" spans="2:182">
      <c r="FD53" s="249">
        <v>15</v>
      </c>
      <c r="FE53" s="250">
        <v>1179692</v>
      </c>
      <c r="FF53" s="250">
        <v>843931</v>
      </c>
      <c r="FG53" s="250">
        <v>515585</v>
      </c>
      <c r="FH53" s="250">
        <v>715525</v>
      </c>
      <c r="FI53" s="250">
        <v>711185</v>
      </c>
      <c r="FJ53" s="250">
        <v>656353</v>
      </c>
      <c r="FK53" s="250">
        <v>1154069</v>
      </c>
      <c r="FL53" s="250">
        <v>843998</v>
      </c>
      <c r="FM53" s="250">
        <v>545467</v>
      </c>
      <c r="FZ53" s="64"/>
    </row>
    <row r="54" spans="2:182">
      <c r="B54" s="220"/>
      <c r="FC54" s="220"/>
      <c r="FD54" s="249">
        <v>16</v>
      </c>
      <c r="FE54" s="250">
        <v>1180059</v>
      </c>
      <c r="FF54" s="250">
        <v>843931</v>
      </c>
      <c r="FG54" s="250">
        <v>515585</v>
      </c>
      <c r="FH54" s="250">
        <v>716559</v>
      </c>
      <c r="FI54" s="250">
        <v>711185</v>
      </c>
      <c r="FJ54" s="250">
        <v>656353</v>
      </c>
      <c r="FK54" s="250">
        <v>1154847</v>
      </c>
      <c r="FL54" s="250">
        <v>845751</v>
      </c>
      <c r="FM54" s="250">
        <v>545778</v>
      </c>
      <c r="FZ54" s="64"/>
    </row>
    <row r="55" spans="2:182">
      <c r="FC55" s="220"/>
      <c r="FD55" s="249">
        <v>17</v>
      </c>
      <c r="FE55" s="250">
        <v>1180412</v>
      </c>
      <c r="FF55" s="250">
        <v>844112</v>
      </c>
      <c r="FG55" s="250">
        <v>515585</v>
      </c>
      <c r="FH55" s="250">
        <v>718416</v>
      </c>
      <c r="FI55" s="250">
        <v>711185</v>
      </c>
      <c r="FJ55" s="250">
        <v>656353</v>
      </c>
      <c r="FK55" s="250">
        <v>1155643</v>
      </c>
      <c r="FL55" s="250">
        <v>847473</v>
      </c>
      <c r="FM55" s="250">
        <v>546128</v>
      </c>
      <c r="FZ55" s="64"/>
    </row>
    <row r="56" spans="2:182">
      <c r="FC56" s="220"/>
      <c r="FD56" s="249">
        <v>18</v>
      </c>
      <c r="FE56" s="250">
        <v>1180723</v>
      </c>
      <c r="FF56" s="250">
        <v>844808</v>
      </c>
      <c r="FG56" s="250">
        <v>515585</v>
      </c>
      <c r="FH56" s="250">
        <v>720040</v>
      </c>
      <c r="FI56" s="250">
        <v>711185</v>
      </c>
      <c r="FJ56" s="250">
        <v>656353</v>
      </c>
      <c r="FK56" s="250">
        <v>1156389</v>
      </c>
      <c r="FL56" s="250">
        <v>849133</v>
      </c>
      <c r="FM56" s="250">
        <v>546475</v>
      </c>
      <c r="FZ56" s="64"/>
    </row>
    <row r="57" spans="2:182">
      <c r="FC57" s="220"/>
      <c r="FD57" s="249">
        <v>19</v>
      </c>
      <c r="FE57" s="250">
        <v>1180963</v>
      </c>
      <c r="FF57" s="250">
        <v>845364</v>
      </c>
      <c r="FG57" s="250">
        <v>515585</v>
      </c>
      <c r="FH57" s="250">
        <v>721560</v>
      </c>
      <c r="FI57" s="250">
        <v>711188</v>
      </c>
      <c r="FJ57" s="250">
        <v>656353</v>
      </c>
      <c r="FK57" s="250">
        <v>1157184</v>
      </c>
      <c r="FL57" s="250">
        <v>850476</v>
      </c>
      <c r="FM57" s="250">
        <v>546827</v>
      </c>
      <c r="FZ57" s="64"/>
    </row>
    <row r="58" spans="2:182">
      <c r="FC58" s="220"/>
      <c r="FD58" s="249">
        <v>20</v>
      </c>
      <c r="FE58" s="250">
        <v>1181219</v>
      </c>
      <c r="FF58" s="250">
        <v>845988</v>
      </c>
      <c r="FG58" s="250">
        <v>516015</v>
      </c>
      <c r="FH58" s="250">
        <v>723424</v>
      </c>
      <c r="FI58" s="250">
        <v>711373</v>
      </c>
      <c r="FJ58" s="250">
        <v>656353</v>
      </c>
      <c r="FK58" s="250">
        <v>1157776</v>
      </c>
      <c r="FL58" s="250">
        <v>851996</v>
      </c>
      <c r="FM58" s="250">
        <v>547179</v>
      </c>
      <c r="FZ58" s="64"/>
    </row>
    <row r="59" spans="2:182">
      <c r="FC59" s="220"/>
      <c r="FD59" s="249">
        <v>21</v>
      </c>
      <c r="FE59" s="250">
        <v>1181279</v>
      </c>
      <c r="FF59" s="250">
        <v>846479</v>
      </c>
      <c r="FG59" s="250">
        <v>517009</v>
      </c>
      <c r="FH59" s="250">
        <v>725195</v>
      </c>
      <c r="FI59" s="250">
        <v>711641</v>
      </c>
      <c r="FJ59" s="250">
        <v>656353</v>
      </c>
      <c r="FK59" s="250">
        <v>1158431</v>
      </c>
      <c r="FL59" s="250">
        <v>853464</v>
      </c>
      <c r="FM59" s="250">
        <v>547531</v>
      </c>
      <c r="FZ59" s="64"/>
    </row>
    <row r="60" spans="2:182">
      <c r="FC60" s="220"/>
      <c r="FD60" s="249">
        <v>22</v>
      </c>
      <c r="FE60" s="250">
        <v>1181279</v>
      </c>
      <c r="FF60" s="250">
        <v>846990</v>
      </c>
      <c r="FG60" s="250">
        <v>517649</v>
      </c>
      <c r="FH60" s="250">
        <v>726805</v>
      </c>
      <c r="FI60" s="250">
        <v>712252</v>
      </c>
      <c r="FJ60" s="250">
        <v>656353</v>
      </c>
      <c r="FK60" s="250">
        <v>1159195</v>
      </c>
      <c r="FL60" s="250">
        <v>854994</v>
      </c>
      <c r="FM60" s="250">
        <v>547883</v>
      </c>
      <c r="FZ60" s="64"/>
    </row>
    <row r="61" spans="2:182">
      <c r="FD61" s="249">
        <v>23</v>
      </c>
      <c r="FE61" s="250">
        <v>1181279</v>
      </c>
      <c r="FF61" s="250">
        <v>847414</v>
      </c>
      <c r="FG61" s="250">
        <v>517649</v>
      </c>
      <c r="FH61" s="250">
        <v>728046</v>
      </c>
      <c r="FI61" s="250">
        <v>712252</v>
      </c>
      <c r="FJ61" s="250">
        <v>656353</v>
      </c>
      <c r="FK61" s="250">
        <v>1159780</v>
      </c>
      <c r="FL61" s="250">
        <v>856165</v>
      </c>
      <c r="FM61" s="250">
        <v>548231</v>
      </c>
      <c r="FZ61" s="64"/>
    </row>
    <row r="62" spans="2:182">
      <c r="B62" s="220"/>
      <c r="FC62" s="220"/>
      <c r="FD62" s="249">
        <v>24</v>
      </c>
      <c r="FE62" s="250">
        <v>1181282</v>
      </c>
      <c r="FF62" s="250">
        <v>847852</v>
      </c>
      <c r="FG62" s="250">
        <v>517649</v>
      </c>
      <c r="FH62" s="250">
        <v>729608</v>
      </c>
      <c r="FI62" s="250">
        <v>712257</v>
      </c>
      <c r="FJ62" s="250">
        <v>656353</v>
      </c>
      <c r="FK62" s="250">
        <v>1160435</v>
      </c>
      <c r="FL62" s="250">
        <v>856619</v>
      </c>
      <c r="FM62" s="250">
        <v>548584</v>
      </c>
      <c r="FZ62" s="64"/>
    </row>
    <row r="63" spans="2:182">
      <c r="FC63" s="220"/>
      <c r="FD63" s="249">
        <v>25</v>
      </c>
      <c r="FE63" s="250">
        <v>1181282</v>
      </c>
      <c r="FF63" s="250">
        <v>848491</v>
      </c>
      <c r="FG63" s="250">
        <v>517649</v>
      </c>
      <c r="FH63" s="250">
        <v>731456</v>
      </c>
      <c r="FI63" s="250">
        <v>712260</v>
      </c>
      <c r="FJ63" s="250">
        <v>656353</v>
      </c>
      <c r="FK63" s="250">
        <v>1161234</v>
      </c>
      <c r="FL63" s="250">
        <v>858126</v>
      </c>
      <c r="FM63" s="250">
        <v>548938</v>
      </c>
      <c r="FZ63" s="64"/>
    </row>
    <row r="64" spans="2:182">
      <c r="FC64" s="220"/>
      <c r="FD64" s="249">
        <v>26</v>
      </c>
      <c r="FE64" s="250">
        <v>1181282</v>
      </c>
      <c r="FF64" s="250">
        <v>849037</v>
      </c>
      <c r="FG64" s="250">
        <v>517649</v>
      </c>
      <c r="FH64" s="250">
        <v>733008</v>
      </c>
      <c r="FI64" s="250">
        <v>712799</v>
      </c>
      <c r="FJ64" s="250">
        <v>656353</v>
      </c>
      <c r="FK64" s="250">
        <v>1161892</v>
      </c>
      <c r="FL64" s="250">
        <v>859382</v>
      </c>
      <c r="FM64" s="250">
        <v>549274</v>
      </c>
      <c r="FZ64" s="64"/>
    </row>
    <row r="65" spans="159:182">
      <c r="FC65" s="220"/>
      <c r="FD65" s="249">
        <v>27</v>
      </c>
      <c r="FE65" s="250">
        <v>1181282</v>
      </c>
      <c r="FF65" s="250">
        <v>849675</v>
      </c>
      <c r="FG65" s="250">
        <v>517649</v>
      </c>
      <c r="FH65" s="250">
        <v>734954</v>
      </c>
      <c r="FI65" s="250">
        <v>713440</v>
      </c>
      <c r="FJ65" s="250">
        <v>656353</v>
      </c>
      <c r="FK65" s="250">
        <v>1162717</v>
      </c>
      <c r="FL65" s="250">
        <v>860922</v>
      </c>
      <c r="FM65" s="250">
        <v>549627</v>
      </c>
      <c r="FZ65" s="64"/>
    </row>
    <row r="66" spans="159:182">
      <c r="FC66" s="220"/>
      <c r="FD66" s="249">
        <v>28</v>
      </c>
      <c r="FE66" s="250">
        <v>1181282</v>
      </c>
      <c r="FF66" s="250">
        <v>850274</v>
      </c>
      <c r="FG66" s="250">
        <v>518274</v>
      </c>
      <c r="FH66" s="250">
        <v>736595</v>
      </c>
      <c r="FI66" s="250">
        <v>714101</v>
      </c>
      <c r="FJ66" s="250">
        <v>656353</v>
      </c>
      <c r="FK66" s="250">
        <v>1163513</v>
      </c>
      <c r="FL66" s="250">
        <f>FL65+1596</f>
        <v>862518</v>
      </c>
      <c r="FM66" s="250">
        <v>549978</v>
      </c>
      <c r="FZ66" s="64"/>
    </row>
    <row r="67" spans="159:182">
      <c r="FC67" s="220"/>
      <c r="FD67" s="249">
        <v>29</v>
      </c>
      <c r="FE67" s="250">
        <v>1181282</v>
      </c>
      <c r="FF67" s="250">
        <v>850797</v>
      </c>
      <c r="FG67" s="250">
        <v>519594</v>
      </c>
      <c r="FH67" s="250">
        <v>738150</v>
      </c>
      <c r="FI67" s="250">
        <v>714601</v>
      </c>
      <c r="FJ67" s="250">
        <v>656353</v>
      </c>
      <c r="FK67" s="250">
        <v>1164166</v>
      </c>
      <c r="FL67" s="250">
        <v>863883</v>
      </c>
      <c r="FM67" s="250">
        <v>550327</v>
      </c>
    </row>
    <row r="68" spans="159:182">
      <c r="FC68" s="220"/>
      <c r="FD68" s="249">
        <v>30</v>
      </c>
      <c r="FE68" s="250">
        <v>1181282</v>
      </c>
      <c r="FF68" s="267">
        <v>851255</v>
      </c>
      <c r="FG68" s="267">
        <v>521107</v>
      </c>
      <c r="FH68" s="267">
        <v>739700</v>
      </c>
      <c r="FI68" s="267">
        <v>715084</v>
      </c>
      <c r="FJ68" s="250">
        <v>656353</v>
      </c>
      <c r="FK68" s="267">
        <v>1164896</v>
      </c>
      <c r="FL68" s="267">
        <v>865252</v>
      </c>
      <c r="FM68" s="267">
        <v>550678</v>
      </c>
    </row>
    <row r="69" spans="159:182">
      <c r="FC69" s="220"/>
      <c r="FD69" s="249">
        <v>31</v>
      </c>
      <c r="FE69" s="250">
        <v>1181282</v>
      </c>
      <c r="FF69" s="267">
        <v>851616</v>
      </c>
      <c r="FG69" s="267">
        <v>522855</v>
      </c>
      <c r="FH69" s="267">
        <v>740733</v>
      </c>
      <c r="FI69" s="267">
        <v>715286</v>
      </c>
      <c r="FJ69" s="250">
        <v>656353</v>
      </c>
      <c r="FK69" s="267">
        <v>1165155</v>
      </c>
      <c r="FL69" s="267">
        <v>865767</v>
      </c>
      <c r="FM69" s="267">
        <v>551031</v>
      </c>
    </row>
    <row r="70" spans="159:182">
      <c r="FE70" s="79"/>
      <c r="FF70" s="79"/>
      <c r="FG70" s="79"/>
      <c r="FH70" s="79"/>
      <c r="FI70" s="79"/>
      <c r="FJ70" s="79"/>
      <c r="FK70" s="79"/>
      <c r="FL70" s="79"/>
      <c r="FM70" s="79"/>
    </row>
    <row r="72" spans="159:182">
      <c r="FD72" s="306">
        <v>1556</v>
      </c>
      <c r="FE72" s="582" t="s">
        <v>150</v>
      </c>
      <c r="FF72" s="582"/>
    </row>
    <row r="73" spans="159:182">
      <c r="FD73" s="306">
        <f>FD74-FD72</f>
        <v>806.40000000000009</v>
      </c>
      <c r="FE73" s="582" t="s">
        <v>151</v>
      </c>
      <c r="FF73" s="582"/>
    </row>
    <row r="74" spans="159:182">
      <c r="FD74" s="306">
        <v>2362.4</v>
      </c>
      <c r="FE74" s="582" t="s">
        <v>152</v>
      </c>
      <c r="FF74" s="582"/>
    </row>
  </sheetData>
  <sheetProtection formatCells="0" formatColumns="0" formatRows="0" insertColumns="0" insertRows="0" insertHyperlinks="0" deleteColumns="0" deleteRows="0" selectLockedCells="1" sort="0" autoFilter="0" pivotTables="0" selectUnlockedCells="1"/>
  <customSheetViews>
    <customSheetView guid="{CAAAA4EE-AC24-494B-BD01-DBAF6444BECB}" scale="80" showGridLines="0" hiddenColumns="1">
      <pane xSplit="3" ySplit="5" topLeftCell="FA25" activePane="bottomRight" state="frozen"/>
      <selection pane="bottomRight" activeCell="BI23" sqref="BI23"/>
      <pageMargins left="0.7" right="0.7" top="0.75" bottom="0.75" header="0.3" footer="0.3"/>
      <pageSetup orientation="portrait" r:id="rId1"/>
    </customSheetView>
    <customSheetView guid="{34EDC84D-4B3C-44BF-BB1A-7A0DFA8F65E7}" scale="80" showGridLines="0" hiddenColumns="1">
      <pane xSplit="3" ySplit="5" topLeftCell="FA25" activePane="bottomRight" state="frozen"/>
      <selection pane="bottomRight" activeCell="BI23" sqref="BI23"/>
      <pageMargins left="0.7" right="0.7" top="0.75" bottom="0.75" header="0.3" footer="0.3"/>
      <pageSetup orientation="portrait" r:id="rId2"/>
    </customSheetView>
  </customSheetViews>
  <mergeCells count="15">
    <mergeCell ref="CF4:CH4"/>
    <mergeCell ref="CJ4:CL4"/>
    <mergeCell ref="CN4:CP4"/>
    <mergeCell ref="CR4:CT4"/>
    <mergeCell ref="CU4:CW4"/>
    <mergeCell ref="GK4:GL4"/>
    <mergeCell ref="GM4:GN4"/>
    <mergeCell ref="GO4:GP4"/>
    <mergeCell ref="FE37:FM37"/>
    <mergeCell ref="FC3:FC4"/>
    <mergeCell ref="FE72:FF72"/>
    <mergeCell ref="FE73:FF73"/>
    <mergeCell ref="FE74:FF74"/>
    <mergeCell ref="GA4:GD4"/>
    <mergeCell ref="GE4:GJ4"/>
  </mergeCells>
  <conditionalFormatting sqref="DR39 DQ38:DQ39">
    <cfRule type="cellIs" dxfId="1180" priority="65" stopIfTrue="1" operator="lessThanOrEqual">
      <formula>0.145</formula>
    </cfRule>
    <cfRule type="cellIs" dxfId="1179" priority="66" stopIfTrue="1" operator="greaterThan">
      <formula>0.15</formula>
    </cfRule>
  </conditionalFormatting>
  <conditionalFormatting sqref="D6:F7 N15:N36 I7:M8 H7 G15:M21 G6:M6 D23:M36 N6:N9 G10:N14 G22:L22 D10:F22">
    <cfRule type="expression" dxfId="1178" priority="64" stopIfTrue="1">
      <formula>OR($B6=TODAY(),$B6=TODAY()-1)</formula>
    </cfRule>
  </conditionalFormatting>
  <conditionalFormatting sqref="G6 I7:M8 H17 G10:G28">
    <cfRule type="expression" dxfId="1177" priority="63" stopIfTrue="1">
      <formula>OR($B6=TODAY(),$B6=TODAY()-1)</formula>
    </cfRule>
  </conditionalFormatting>
  <conditionalFormatting sqref="D6:F7">
    <cfRule type="expression" dxfId="1176" priority="62" stopIfTrue="1">
      <formula>OR($B6=TODAY(),$B6=TODAY()-1)</formula>
    </cfRule>
  </conditionalFormatting>
  <conditionalFormatting sqref="I7:M8">
    <cfRule type="expression" dxfId="1175" priority="61" stopIfTrue="1">
      <formula>OR($B7=TODAY(),$B7=TODAY()-1)</formula>
    </cfRule>
  </conditionalFormatting>
  <conditionalFormatting sqref="I7:M8">
    <cfRule type="expression" dxfId="1174" priority="60" stopIfTrue="1">
      <formula>OR($B7=TODAY(),$B7=TODAY()-1)</formula>
    </cfRule>
  </conditionalFormatting>
  <conditionalFormatting sqref="D6:F6">
    <cfRule type="expression" dxfId="1173" priority="59" stopIfTrue="1">
      <formula>OR($B6=TODAY(),$B6=TODAY()-1)</formula>
    </cfRule>
  </conditionalFormatting>
  <conditionalFormatting sqref="G20 D6:F7">
    <cfRule type="expression" dxfId="1172" priority="58" stopIfTrue="1">
      <formula>OR($B6=TODAY(),$B6=TODAY()-1)</formula>
    </cfRule>
  </conditionalFormatting>
  <conditionalFormatting sqref="G6 I7:M8 H17 G10:G28">
    <cfRule type="expression" dxfId="1171" priority="57" stopIfTrue="1">
      <formula>OR($B6=TODAY(),$B6=TODAY()-1)</formula>
    </cfRule>
  </conditionalFormatting>
  <conditionalFormatting sqref="G20 D6:F7">
    <cfRule type="expression" dxfId="1170" priority="56" stopIfTrue="1">
      <formula>OR($B6=TODAY(),$B6=TODAY()-1)</formula>
    </cfRule>
  </conditionalFormatting>
  <conditionalFormatting sqref="G6 I7:M8 H17 G10:G28">
    <cfRule type="expression" dxfId="1169" priority="55" stopIfTrue="1">
      <formula>OR($B6=TODAY(),$B6=TODAY()-1)</formula>
    </cfRule>
  </conditionalFormatting>
  <conditionalFormatting sqref="G20 D6:F7">
    <cfRule type="expression" dxfId="1168" priority="54" stopIfTrue="1">
      <formula>OR($B6=TODAY(),$B6=TODAY()-1)</formula>
    </cfRule>
  </conditionalFormatting>
  <conditionalFormatting sqref="G6 I7:M8 H17 G10:G28">
    <cfRule type="expression" dxfId="1167" priority="53" stopIfTrue="1">
      <formula>OR($B6=TODAY(),$B6=TODAY()-1)</formula>
    </cfRule>
  </conditionalFormatting>
  <conditionalFormatting sqref="G20 D6:F7">
    <cfRule type="expression" dxfId="1166" priority="52" stopIfTrue="1">
      <formula>OR($B6=TODAY(),$B6=TODAY()-1)</formula>
    </cfRule>
  </conditionalFormatting>
  <conditionalFormatting sqref="G6 I7:M8 H17 G10:G28">
    <cfRule type="expression" dxfId="1165" priority="51" stopIfTrue="1">
      <formula>OR($B6=TODAY(),$B6=TODAY()-1)</formula>
    </cfRule>
  </conditionalFormatting>
  <conditionalFormatting sqref="G20 D6:F7">
    <cfRule type="expression" dxfId="1164" priority="50" stopIfTrue="1">
      <formula>OR($B6=TODAY(),$B6=TODAY()-1)</formula>
    </cfRule>
  </conditionalFormatting>
  <conditionalFormatting sqref="G6 I7:M8 H17 G10:G28">
    <cfRule type="expression" dxfId="1163" priority="49" stopIfTrue="1">
      <formula>OR($B6=TODAY(),$B6=TODAY()-1)</formula>
    </cfRule>
  </conditionalFormatting>
  <conditionalFormatting sqref="G20 D6:F7">
    <cfRule type="expression" dxfId="1162" priority="48" stopIfTrue="1">
      <formula>OR($B6=TODAY(),$B6=TODAY()-1)</formula>
    </cfRule>
  </conditionalFormatting>
  <conditionalFormatting sqref="G6 I7:M8 H17 G10:G28">
    <cfRule type="expression" dxfId="1161" priority="47" stopIfTrue="1">
      <formula>OR($B6=TODAY(),$B6=TODAY()-1)</formula>
    </cfRule>
  </conditionalFormatting>
  <conditionalFormatting sqref="G20 D6:F7">
    <cfRule type="expression" dxfId="1160" priority="46" stopIfTrue="1">
      <formula>OR($B6=TODAY(),$B6=TODAY()-1)</formula>
    </cfRule>
  </conditionalFormatting>
  <conditionalFormatting sqref="G20 D6:F7">
    <cfRule type="expression" dxfId="1159" priority="45" stopIfTrue="1">
      <formula>OR($B6=TODAY(),$B6=TODAY()-1)</formula>
    </cfRule>
  </conditionalFormatting>
  <conditionalFormatting sqref="G6 I7:M8 H17 G10:G28">
    <cfRule type="expression" dxfId="1158" priority="44" stopIfTrue="1">
      <formula>OR($B6=TODAY(),$B6=TODAY()-1)</formula>
    </cfRule>
  </conditionalFormatting>
  <conditionalFormatting sqref="G20 D6:F7">
    <cfRule type="expression" dxfId="1157" priority="43" stopIfTrue="1">
      <formula>OR($B6=TODAY(),$B6=TODAY()-1)</formula>
    </cfRule>
  </conditionalFormatting>
  <conditionalFormatting sqref="G6 I7:M8 H17 G10:G28">
    <cfRule type="expression" dxfId="1156" priority="42" stopIfTrue="1">
      <formula>OR($B6=TODAY(),$B6=TODAY()-1)</formula>
    </cfRule>
  </conditionalFormatting>
  <conditionalFormatting sqref="D6:F7">
    <cfRule type="expression" dxfId="1155" priority="41" stopIfTrue="1">
      <formula>OR($B6=TODAY(),$B6=TODAY()-1)</formula>
    </cfRule>
  </conditionalFormatting>
  <conditionalFormatting sqref="G6 I7:M8 H17 G10:G28">
    <cfRule type="expression" dxfId="1154" priority="40" stopIfTrue="1">
      <formula>OR($B6=TODAY(),$B6=TODAY()-1)</formula>
    </cfRule>
  </conditionalFormatting>
  <conditionalFormatting sqref="D30:F31 D29">
    <cfRule type="expression" dxfId="1153" priority="39" stopIfTrue="1">
      <formula>OR($B29=TODAY(),$B29=TODAY()-1)</formula>
    </cfRule>
  </conditionalFormatting>
  <conditionalFormatting sqref="D30:F31 D29">
    <cfRule type="expression" dxfId="1152" priority="38" stopIfTrue="1">
      <formula>OR($B29=TODAY(),$B29=TODAY()-1)</formula>
    </cfRule>
  </conditionalFormatting>
  <conditionalFormatting sqref="D30:F31 D29">
    <cfRule type="expression" dxfId="1151" priority="37" stopIfTrue="1">
      <formula>OR($B29=TODAY(),$B29=TODAY()-1)</formula>
    </cfRule>
  </conditionalFormatting>
  <conditionalFormatting sqref="D30:F31 D29">
    <cfRule type="expression" dxfId="1150" priority="36" stopIfTrue="1">
      <formula>OR($B29=TODAY(),$B29=TODAY()-1)</formula>
    </cfRule>
  </conditionalFormatting>
  <conditionalFormatting sqref="D30:F31 D29">
    <cfRule type="expression" dxfId="1149" priority="35" stopIfTrue="1">
      <formula>OR($B29=TODAY(),$B29=TODAY()-1)</formula>
    </cfRule>
  </conditionalFormatting>
  <conditionalFormatting sqref="D30:F31 D29">
    <cfRule type="expression" dxfId="1148" priority="34" stopIfTrue="1">
      <formula>OR($B29=TODAY(),$B29=TODAY()-1)</formula>
    </cfRule>
  </conditionalFormatting>
  <conditionalFormatting sqref="D30:F31 D29">
    <cfRule type="expression" dxfId="1147" priority="33" stopIfTrue="1">
      <formula>OR($B29=TODAY(),$B29=TODAY()-1)</formula>
    </cfRule>
  </conditionalFormatting>
  <conditionalFormatting sqref="D30:F31 D29">
    <cfRule type="expression" dxfId="1146" priority="32" stopIfTrue="1">
      <formula>OR($B29=TODAY(),$B29=TODAY()-1)</formula>
    </cfRule>
  </conditionalFormatting>
  <conditionalFormatting sqref="D30:F31 D29">
    <cfRule type="expression" dxfId="1145" priority="31" stopIfTrue="1">
      <formula>OR($B29=TODAY(),$B29=TODAY()-1)</formula>
    </cfRule>
  </conditionalFormatting>
  <conditionalFormatting sqref="D30:F31 D29">
    <cfRule type="expression" dxfId="1144" priority="30" stopIfTrue="1">
      <formula>OR($B29=TODAY(),$B29=TODAY()-1)</formula>
    </cfRule>
  </conditionalFormatting>
  <conditionalFormatting sqref="D30:F31 D29">
    <cfRule type="expression" dxfId="1143" priority="29" stopIfTrue="1">
      <formula>OR($B29=TODAY(),$B29=TODAY()-1)</formula>
    </cfRule>
  </conditionalFormatting>
  <conditionalFormatting sqref="DP6:DQ37">
    <cfRule type="cellIs" dxfId="1142" priority="27" stopIfTrue="1" operator="lessThanOrEqual">
      <formula>$D$2</formula>
    </cfRule>
    <cfRule type="cellIs" dxfId="1141" priority="28" stopIfTrue="1" operator="greaterThan">
      <formula>$D$2</formula>
    </cfRule>
  </conditionalFormatting>
  <conditionalFormatting sqref="BZ6:BZ37 DH6:DH37 DJ6:DJ37 CS6:CS37">
    <cfRule type="cellIs" dxfId="1140" priority="25" stopIfTrue="1" operator="lessThanOrEqual">
      <formula>#REF!</formula>
    </cfRule>
    <cfRule type="cellIs" dxfId="1139" priority="26" stopIfTrue="1" operator="greaterThan">
      <formula>#REF!</formula>
    </cfRule>
  </conditionalFormatting>
  <conditionalFormatting sqref="DL6:DL37">
    <cfRule type="cellIs" dxfId="1138" priority="23" stopIfTrue="1" operator="greaterThan">
      <formula>$D$3</formula>
    </cfRule>
    <cfRule type="cellIs" dxfId="1137" priority="24" stopIfTrue="1" operator="lessThanOrEqual">
      <formula>$D$3</formula>
    </cfRule>
  </conditionalFormatting>
  <conditionalFormatting sqref="E20:F20">
    <cfRule type="expression" dxfId="1136" priority="22" stopIfTrue="1">
      <formula>OR($B20=TODAY(),$B20=TODAY()-1)</formula>
    </cfRule>
  </conditionalFormatting>
  <conditionalFormatting sqref="E20:F20">
    <cfRule type="expression" dxfId="1135" priority="21" stopIfTrue="1">
      <formula>OR($B20=TODAY(),$B20=TODAY()-1)</formula>
    </cfRule>
  </conditionalFormatting>
  <conditionalFormatting sqref="E20:F20">
    <cfRule type="expression" dxfId="1134" priority="20" stopIfTrue="1">
      <formula>OR($B20=TODAY(),$B20=TODAY()-1)</formula>
    </cfRule>
  </conditionalFormatting>
  <conditionalFormatting sqref="E20:F20">
    <cfRule type="expression" dxfId="1133" priority="19" stopIfTrue="1">
      <formula>OR($B20=TODAY(),$B20=TODAY()-1)</formula>
    </cfRule>
  </conditionalFormatting>
  <conditionalFormatting sqref="E20:F20">
    <cfRule type="expression" dxfId="1132" priority="18" stopIfTrue="1">
      <formula>OR($B20=TODAY(),$B20=TODAY()-1)</formula>
    </cfRule>
  </conditionalFormatting>
  <conditionalFormatting sqref="E20:F20">
    <cfRule type="expression" dxfId="1131" priority="17" stopIfTrue="1">
      <formula>OR($B20=TODAY(),$B20=TODAY()-1)</formula>
    </cfRule>
  </conditionalFormatting>
  <conditionalFormatting sqref="E20:F20">
    <cfRule type="expression" dxfId="1130" priority="16" stopIfTrue="1">
      <formula>OR($B20=TODAY(),$B20=TODAY()-1)</formula>
    </cfRule>
  </conditionalFormatting>
  <conditionalFormatting sqref="E20:F20">
    <cfRule type="expression" dxfId="1129" priority="15" stopIfTrue="1">
      <formula>OR($B20=TODAY(),$B20=TODAY()-1)</formula>
    </cfRule>
  </conditionalFormatting>
  <conditionalFormatting sqref="E20:F20">
    <cfRule type="expression" dxfId="1128" priority="14" stopIfTrue="1">
      <formula>OR($B20=TODAY(),$B20=TODAY()-1)</formula>
    </cfRule>
  </conditionalFormatting>
  <conditionalFormatting sqref="E20:F20">
    <cfRule type="expression" dxfId="1127" priority="13" stopIfTrue="1">
      <formula>OR($B20=TODAY(),$B20=TODAY()-1)</formula>
    </cfRule>
  </conditionalFormatting>
  <conditionalFormatting sqref="D34:F34">
    <cfRule type="expression" dxfId="1126" priority="12" stopIfTrue="1">
      <formula>OR($B34=TODAY(),$B34=TODAY()-1)</formula>
    </cfRule>
  </conditionalFormatting>
  <conditionalFormatting sqref="D34:F34">
    <cfRule type="expression" dxfId="1125" priority="11" stopIfTrue="1">
      <formula>OR($B34=TODAY(),$B34=TODAY()-1)</formula>
    </cfRule>
  </conditionalFormatting>
  <conditionalFormatting sqref="CH6:CH37">
    <cfRule type="cellIs" dxfId="1124" priority="9" stopIfTrue="1" operator="lessThanOrEqual">
      <formula>#REF!</formula>
    </cfRule>
    <cfRule type="cellIs" dxfId="1123" priority="10" stopIfTrue="1" operator="greaterThan">
      <formula>#REF!</formula>
    </cfRule>
  </conditionalFormatting>
  <conditionalFormatting sqref="CL6:CL37 CP6:CP37 CV6:CV37">
    <cfRule type="cellIs" dxfId="1122" priority="7" operator="greaterThan">
      <formula>#REF!</formula>
    </cfRule>
    <cfRule type="cellIs" dxfId="1121" priority="8" operator="lessThanOrEqual">
      <formula>#REF!</formula>
    </cfRule>
  </conditionalFormatting>
  <conditionalFormatting sqref="G14">
    <cfRule type="expression" dxfId="1120" priority="6" stopIfTrue="1">
      <formula>OR($B15=TODAY(),$B15=TODAY()-1)</formula>
    </cfRule>
  </conditionalFormatting>
  <conditionalFormatting sqref="I16:M18">
    <cfRule type="expression" dxfId="1119" priority="5" stopIfTrue="1">
      <formula>OR($B16=TODAY(),$B16=TODAY()-1)</formula>
    </cfRule>
  </conditionalFormatting>
  <conditionalFormatting sqref="I16:M18">
    <cfRule type="expression" dxfId="1118" priority="4" stopIfTrue="1">
      <formula>OR($B16=TODAY(),$B16=TODAY()-1)</formula>
    </cfRule>
  </conditionalFormatting>
  <conditionalFormatting sqref="I16:M18">
    <cfRule type="expression" dxfId="1117" priority="3" stopIfTrue="1">
      <formula>OR($B16=TODAY(),$B16=TODAY()-1)</formula>
    </cfRule>
  </conditionalFormatting>
  <conditionalFormatting sqref="I16:M18">
    <cfRule type="expression" dxfId="1116" priority="2" stopIfTrue="1">
      <formula>OR($B16=TODAY(),$B16=TODAY()-1)</formula>
    </cfRule>
  </conditionalFormatting>
  <conditionalFormatting sqref="D16">
    <cfRule type="expression" dxfId="1115" priority="1" stopIfTrue="1">
      <formula>OR($B16=TODAY(),$B16=TODAY()-1)</formula>
    </cfRule>
  </conditionalFormatting>
  <hyperlinks>
    <hyperlink ref="BA5" r:id="rId3" xr:uid="{00000000-0004-0000-1400-000000000000}"/>
    <hyperlink ref="FZ3" r:id="rId4" xr:uid="{00000000-0004-0000-1400-000001000000}"/>
  </hyperlinks>
  <pageMargins left="0.7" right="0.7" top="0.75" bottom="0.75" header="0.3" footer="0.3"/>
  <pageSetup orientation="portrait" r:id="rId5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GL71"/>
  <sheetViews>
    <sheetView showGridLines="0" zoomScale="80" zoomScaleNormal="80" workbookViewId="0">
      <pane xSplit="3" ySplit="5" topLeftCell="D18" activePane="bottomRight" state="frozen"/>
      <selection activeCell="FE12" sqref="FE12"/>
      <selection pane="topRight" activeCell="FE12" sqref="FE12"/>
      <selection pane="bottomLeft" activeCell="FE12" sqref="FE12"/>
      <selection pane="bottomRight" activeCell="B6" sqref="B6:B33"/>
    </sheetView>
  </sheetViews>
  <sheetFormatPr defaultRowHeight="15" outlineLevelCol="2"/>
  <cols>
    <col min="1" max="1" width="0.7109375" style="64" customWidth="1"/>
    <col min="2" max="2" width="6.5703125" style="64" customWidth="1"/>
    <col min="3" max="3" width="2.140625" style="64" bestFit="1" customWidth="1"/>
    <col min="4" max="4" width="13.85546875" style="64" customWidth="1" outlineLevel="1"/>
    <col min="5" max="5" width="12" style="64" customWidth="1" outlineLevel="1"/>
    <col min="6" max="6" width="10" style="64" customWidth="1" outlineLevel="1"/>
    <col min="7" max="7" width="9.85546875" style="64" customWidth="1" outlineLevel="1"/>
    <col min="8" max="8" width="10.42578125" style="64" customWidth="1" outlineLevel="1"/>
    <col min="9" max="9" width="10.7109375" style="64" customWidth="1" outlineLevel="1"/>
    <col min="10" max="11" width="9.28515625" style="64" customWidth="1" outlineLevel="1"/>
    <col min="12" max="12" width="10.5703125" style="64" customWidth="1" outlineLevel="1"/>
    <col min="13" max="13" width="10.85546875" style="64" customWidth="1" outlineLevel="1"/>
    <col min="14" max="14" width="14.28515625" style="64" customWidth="1" outlineLevel="1"/>
    <col min="15" max="15" width="11" style="64" customWidth="1"/>
    <col min="16" max="16" width="11.85546875" style="64" customWidth="1" outlineLevel="1"/>
    <col min="17" max="17" width="1.42578125" style="64" customWidth="1"/>
    <col min="18" max="18" width="12.28515625" style="64" customWidth="1" outlineLevel="2"/>
    <col min="19" max="19" width="12.85546875" style="64" customWidth="1" outlineLevel="2"/>
    <col min="20" max="20" width="12.5703125" style="64" customWidth="1" outlineLevel="2"/>
    <col min="21" max="21" width="14.140625" style="64" customWidth="1" outlineLevel="2"/>
    <col min="22" max="22" width="9.42578125" style="64" customWidth="1" outlineLevel="2"/>
    <col min="23" max="23" width="10.7109375" style="64" customWidth="1" outlineLevel="2"/>
    <col min="24" max="24" width="11.5703125" style="64" customWidth="1" outlineLevel="2"/>
    <col min="25" max="26" width="10.7109375" style="64" customWidth="1" outlineLevel="2"/>
    <col min="27" max="27" width="11" style="64" customWidth="1" outlineLevel="1"/>
    <col min="28" max="29" width="12" style="64" customWidth="1" outlineLevel="2"/>
    <col min="30" max="31" width="10.85546875" style="64" customWidth="1" outlineLevel="1"/>
    <col min="32" max="32" width="12" style="64" customWidth="1" outlineLevel="2"/>
    <col min="33" max="33" width="8.140625" style="64" customWidth="1" outlineLevel="2"/>
    <col min="34" max="34" width="9.5703125" style="64" customWidth="1" outlineLevel="1"/>
    <col min="35" max="35" width="10.85546875" style="64" customWidth="1" outlineLevel="1"/>
    <col min="36" max="36" width="12" style="64" customWidth="1" outlineLevel="2"/>
    <col min="37" max="37" width="8.140625" style="64" customWidth="1" outlineLevel="2"/>
    <col min="38" max="38" width="9.5703125" style="64" customWidth="1" outlineLevel="1"/>
    <col min="39" max="39" width="10.85546875" style="64" customWidth="1" outlineLevel="1"/>
    <col min="40" max="40" width="9.5703125" style="64" customWidth="1" outlineLevel="2"/>
    <col min="41" max="41" width="9.5703125" style="64" customWidth="1" outlineLevel="1"/>
    <col min="42" max="42" width="9.5703125" style="64" customWidth="1" outlineLevel="2"/>
    <col min="43" max="43" width="9.5703125" style="64" customWidth="1" outlineLevel="1"/>
    <col min="44" max="44" width="11.28515625" style="64" customWidth="1" outlineLevel="2"/>
    <col min="45" max="45" width="9.140625" style="64" customWidth="1" outlineLevel="1"/>
    <col min="46" max="46" width="13.5703125" style="64" customWidth="1" outlineLevel="1"/>
    <col min="47" max="47" width="11.28515625" style="64" customWidth="1" outlineLevel="2"/>
    <col min="48" max="48" width="9.5703125" style="64" customWidth="1" outlineLevel="1"/>
    <col min="49" max="49" width="11.28515625" style="64" customWidth="1" outlineLevel="2"/>
    <col min="50" max="51" width="9.5703125" style="64" customWidth="1" outlineLevel="1"/>
    <col min="52" max="52" width="13.85546875" style="64" customWidth="1" outlineLevel="2"/>
    <col min="53" max="53" width="10.28515625" style="64" customWidth="1" outlineLevel="2"/>
    <col min="54" max="54" width="13.85546875" style="64" customWidth="1" outlineLevel="2"/>
    <col min="55" max="55" width="14.85546875" style="64" customWidth="1" outlineLevel="2"/>
    <col min="56" max="56" width="15.28515625" style="64" customWidth="1" outlineLevel="2"/>
    <col min="57" max="58" width="13.7109375" style="64" customWidth="1" outlineLevel="2"/>
    <col min="59" max="60" width="9.5703125" style="64" customWidth="1" outlineLevel="1"/>
    <col min="61" max="61" width="17" style="64" customWidth="1" outlineLevel="1"/>
    <col min="62" max="62" width="19.140625" style="64" customWidth="1" outlineLevel="1"/>
    <col min="63" max="63" width="2.28515625" style="261" customWidth="1"/>
    <col min="64" max="64" width="19.28515625" style="64" customWidth="1"/>
    <col min="65" max="65" width="14.28515625" style="64" customWidth="1"/>
    <col min="66" max="66" width="0.85546875" style="64" customWidth="1"/>
    <col min="67" max="67" width="12.28515625" style="64" customWidth="1" outlineLevel="2"/>
    <col min="68" max="68" width="12.42578125" style="64" customWidth="1" outlineLevel="2"/>
    <col min="69" max="69" width="12.5703125" style="64" customWidth="1" outlineLevel="2"/>
    <col min="70" max="72" width="9.42578125" style="64" customWidth="1" outlineLevel="2"/>
    <col min="73" max="73" width="21.42578125" style="64" customWidth="1" outlineLevel="1"/>
    <col min="74" max="74" width="12.28515625" style="64" customWidth="1" outlineLevel="2"/>
    <col min="75" max="75" width="12.42578125" style="64" customWidth="1" outlineLevel="2"/>
    <col min="76" max="76" width="12.5703125" style="64" customWidth="1" outlineLevel="2"/>
    <col min="77" max="77" width="9.42578125" style="64" customWidth="1" outlineLevel="2"/>
    <col min="78" max="78" width="13.7109375" style="64" customWidth="1" outlineLevel="1"/>
    <col min="79" max="79" width="0.42578125" style="64" customWidth="1" outlineLevel="1"/>
    <col min="80" max="80" width="11.7109375" style="64" customWidth="1" outlineLevel="2"/>
    <col min="81" max="81" width="9.7109375" style="64" customWidth="1" outlineLevel="1"/>
    <col min="82" max="82" width="11.42578125" style="64" customWidth="1" outlineLevel="1"/>
    <col min="83" max="83" width="12.85546875" style="64" customWidth="1" outlineLevel="1"/>
    <col min="84" max="84" width="13.7109375" style="64" customWidth="1" outlineLevel="2"/>
    <col min="85" max="85" width="11" style="64" customWidth="1" outlineLevel="2"/>
    <col min="86" max="86" width="8.7109375" style="64" customWidth="1" outlineLevel="1"/>
    <col min="87" max="87" width="0.140625" style="64" customWidth="1" outlineLevel="1"/>
    <col min="88" max="89" width="11.7109375" style="64" customWidth="1" outlineLevel="2"/>
    <col min="90" max="90" width="10.28515625" style="64" customWidth="1" outlineLevel="1"/>
    <col min="91" max="91" width="0.5703125" style="64" customWidth="1" outlineLevel="1"/>
    <col min="92" max="93" width="11.7109375" style="64" customWidth="1" outlineLevel="2"/>
    <col min="94" max="94" width="8.7109375" style="64" customWidth="1" outlineLevel="1"/>
    <col min="95" max="95" width="0.28515625" style="64" customWidth="1" outlineLevel="1"/>
    <col min="96" max="96" width="14.42578125" style="64" customWidth="1" outlineLevel="2"/>
    <col min="97" max="97" width="6.7109375" style="64" customWidth="1" outlineLevel="1"/>
    <col min="98" max="98" width="0.28515625" style="64" customWidth="1" outlineLevel="1"/>
    <col min="99" max="99" width="11" style="64" customWidth="1" outlineLevel="2"/>
    <col min="100" max="100" width="7.28515625" style="64" customWidth="1" outlineLevel="1"/>
    <col min="101" max="101" width="0.42578125" style="64" customWidth="1" outlineLevel="1"/>
    <col min="102" max="104" width="8.140625" style="64" customWidth="1" outlineLevel="1"/>
    <col min="105" max="105" width="8.42578125" style="64" customWidth="1" outlineLevel="1"/>
    <col min="106" max="106" width="10.42578125" style="64" customWidth="1" outlineLevel="2"/>
    <col min="107" max="107" width="9.7109375" style="64" customWidth="1" outlineLevel="2"/>
    <col min="108" max="108" width="18.28515625" style="64" customWidth="1" outlineLevel="2"/>
    <col min="109" max="109" width="14.85546875" style="64" customWidth="1" outlineLevel="2"/>
    <col min="110" max="110" width="17" style="64" customWidth="1" outlineLevel="2"/>
    <col min="111" max="111" width="14.85546875" style="64" customWidth="1" outlineLevel="2"/>
    <col min="112" max="112" width="11" style="64" customWidth="1" outlineLevel="1"/>
    <col min="113" max="113" width="0.28515625" style="64" customWidth="1" outlineLevel="1"/>
    <col min="114" max="114" width="9.85546875" style="64" customWidth="1" outlineLevel="1"/>
    <col min="115" max="115" width="0.42578125" style="64" customWidth="1" outlineLevel="1"/>
    <col min="116" max="116" width="9.85546875" style="64" customWidth="1" outlineLevel="1"/>
    <col min="117" max="117" width="0.42578125" style="64" customWidth="1" outlineLevel="1"/>
    <col min="118" max="118" width="13.140625" style="64" customWidth="1" outlineLevel="2"/>
    <col min="119" max="119" width="1.7109375" style="261" customWidth="1"/>
    <col min="120" max="120" width="16.42578125" style="64" customWidth="1"/>
    <col min="121" max="121" width="15.140625" style="64" customWidth="1"/>
    <col min="122" max="122" width="3.42578125" style="64" customWidth="1"/>
    <col min="123" max="123" width="8.42578125" style="64" customWidth="1"/>
    <col min="124" max="124" width="9.140625" style="64" customWidth="1"/>
    <col min="125" max="131" width="15.7109375" style="219" customWidth="1" outlineLevel="1"/>
    <col min="132" max="132" width="15.7109375" style="220" customWidth="1" outlineLevel="1"/>
    <col min="133" max="139" width="15.7109375" style="219" customWidth="1" outlineLevel="1"/>
    <col min="140" max="141" width="15.7109375" style="220" customWidth="1" outlineLevel="1"/>
    <col min="142" max="143" width="15.7109375" style="219" customWidth="1" outlineLevel="1"/>
    <col min="144" max="144" width="15.7109375" style="220" customWidth="1" outlineLevel="1"/>
    <col min="145" max="145" width="15.7109375" style="219" customWidth="1" outlineLevel="1"/>
    <col min="146" max="153" width="15.7109375" style="220" customWidth="1" outlineLevel="1"/>
    <col min="154" max="159" width="15.7109375" style="219" customWidth="1" outlineLevel="1"/>
    <col min="160" max="160" width="20.5703125" style="220" customWidth="1"/>
    <col min="161" max="162" width="11.85546875" style="220" customWidth="1" outlineLevel="1"/>
    <col min="163" max="169" width="10.7109375" style="220" customWidth="1" outlineLevel="1"/>
    <col min="170" max="170" width="15.5703125" style="220" customWidth="1"/>
    <col min="171" max="171" width="20.5703125" style="220" customWidth="1"/>
    <col min="172" max="172" width="77.140625" style="64" hidden="1" customWidth="1"/>
    <col min="173" max="173" width="9.140625" style="9"/>
    <col min="174" max="179" width="9.140625" style="9" hidden="1" customWidth="1"/>
    <col min="180" max="181" width="9.140625" style="9"/>
    <col min="182" max="182" width="12.28515625" style="9" customWidth="1"/>
    <col min="183" max="183" width="12" style="64" customWidth="1"/>
    <col min="184" max="184" width="9.28515625" style="64" bestFit="1" customWidth="1"/>
    <col min="185" max="185" width="9.140625" style="64"/>
    <col min="186" max="187" width="13.5703125" style="64" customWidth="1"/>
    <col min="188" max="188" width="9.7109375" style="64" bestFit="1" customWidth="1"/>
    <col min="189" max="189" width="9.140625" style="64"/>
    <col min="190" max="190" width="10.85546875" style="64" customWidth="1"/>
    <col min="191" max="191" width="15" style="64" customWidth="1"/>
    <col min="192" max="192" width="13.7109375" style="64" customWidth="1"/>
    <col min="193" max="194" width="9.140625" style="10"/>
    <col min="195" max="16384" width="9.140625" style="64"/>
  </cols>
  <sheetData>
    <row r="1" spans="1:194" s="4" customFormat="1">
      <c r="A1" s="1"/>
      <c r="B1" s="2" t="s">
        <v>134</v>
      </c>
      <c r="C1" s="1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AA1" s="5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5"/>
      <c r="AS1" s="5"/>
      <c r="AT1" s="5"/>
      <c r="AU1" s="5"/>
      <c r="AV1" s="6"/>
      <c r="AW1" s="5"/>
      <c r="AX1" s="6"/>
      <c r="AY1" s="6"/>
      <c r="AZ1" s="6"/>
      <c r="BA1" s="6"/>
      <c r="BB1" s="6"/>
      <c r="BD1" s="5"/>
      <c r="BE1" s="5"/>
      <c r="BF1" s="5"/>
      <c r="BG1" s="6"/>
      <c r="BK1" s="7"/>
      <c r="DO1" s="7"/>
      <c r="DU1" s="8"/>
      <c r="DV1" s="8"/>
      <c r="DW1" s="8"/>
      <c r="DX1" s="8"/>
      <c r="DY1" s="8"/>
      <c r="DZ1" s="8"/>
      <c r="EA1" s="8"/>
      <c r="EB1" s="3"/>
      <c r="EC1" s="8"/>
      <c r="ED1" s="8"/>
      <c r="EE1" s="8"/>
      <c r="EF1" s="8"/>
      <c r="EG1" s="8"/>
      <c r="EH1" s="8"/>
      <c r="EI1" s="8"/>
      <c r="EJ1" s="3"/>
      <c r="EK1" s="3"/>
      <c r="EL1" s="8"/>
      <c r="EM1" s="8"/>
      <c r="EN1" s="3"/>
      <c r="EO1" s="8"/>
      <c r="EP1" s="3"/>
      <c r="EQ1" s="3"/>
      <c r="ER1" s="3"/>
      <c r="ES1" s="3"/>
      <c r="ET1" s="3"/>
      <c r="EU1" s="3"/>
      <c r="EV1" s="3"/>
      <c r="EW1" s="3"/>
      <c r="EX1" s="8"/>
      <c r="EY1" s="8"/>
      <c r="EZ1" s="8"/>
      <c r="FA1" s="8"/>
      <c r="FB1" s="8"/>
      <c r="FC1" s="8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Q1" s="9"/>
      <c r="FR1" s="9"/>
      <c r="FS1" s="9"/>
      <c r="FT1" s="9"/>
      <c r="FU1" s="9"/>
      <c r="FV1" s="9"/>
      <c r="FW1" s="9"/>
      <c r="FX1" s="9"/>
      <c r="FY1" s="9"/>
      <c r="FZ1" s="9"/>
      <c r="GK1" s="10"/>
      <c r="GL1" s="10"/>
    </row>
    <row r="2" spans="1:194" s="4" customFormat="1" ht="13.5" customHeight="1">
      <c r="B2" s="11" t="s">
        <v>1</v>
      </c>
      <c r="C2" s="12"/>
      <c r="D2" s="13"/>
      <c r="E2" s="14"/>
      <c r="F2" s="14"/>
      <c r="G2" s="12"/>
      <c r="H2" s="12"/>
      <c r="I2" s="12"/>
      <c r="J2" s="12"/>
      <c r="K2" s="12"/>
      <c r="L2" s="12"/>
      <c r="M2" s="12"/>
      <c r="N2" s="12"/>
      <c r="R2" s="15"/>
      <c r="S2" s="15"/>
      <c r="T2" s="15"/>
      <c r="U2" s="15"/>
      <c r="V2" s="16"/>
      <c r="W2" s="16"/>
      <c r="X2" s="16"/>
      <c r="Y2" s="16"/>
      <c r="Z2" s="16"/>
      <c r="AA2" s="17"/>
      <c r="AB2" s="17"/>
      <c r="AC2" s="17"/>
      <c r="AD2" s="17"/>
      <c r="AE2" s="17"/>
      <c r="AF2" s="5"/>
      <c r="AG2" s="5"/>
      <c r="AH2" s="5"/>
      <c r="AI2" s="17"/>
      <c r="AJ2" s="5"/>
      <c r="AK2" s="5"/>
      <c r="AL2" s="5"/>
      <c r="AM2" s="17"/>
      <c r="AN2" s="5"/>
      <c r="AO2" s="5"/>
      <c r="AP2" s="5"/>
      <c r="AQ2" s="5"/>
      <c r="AR2" s="17"/>
      <c r="AS2" s="17"/>
      <c r="AT2" s="17"/>
      <c r="AU2" s="17"/>
      <c r="AV2" s="5"/>
      <c r="AW2" s="17"/>
      <c r="AX2" s="5"/>
      <c r="AY2" s="5"/>
      <c r="AZ2" s="5"/>
      <c r="BA2" s="5"/>
      <c r="BB2" s="5"/>
      <c r="BC2" s="6"/>
      <c r="BD2" s="18"/>
      <c r="BE2" s="18"/>
      <c r="BF2" s="18"/>
      <c r="BG2" s="5"/>
      <c r="BH2" s="5"/>
      <c r="BI2" s="19"/>
      <c r="BJ2" s="19"/>
      <c r="BK2" s="20"/>
      <c r="BL2" s="19"/>
      <c r="BM2" s="19"/>
      <c r="BN2" s="19"/>
      <c r="CG2" s="21"/>
      <c r="CK2" s="22"/>
      <c r="CO2" s="22"/>
      <c r="CU2" s="22"/>
      <c r="DO2" s="7"/>
      <c r="DU2" s="8"/>
      <c r="DV2" s="8"/>
      <c r="DW2" s="8"/>
      <c r="DX2" s="8"/>
      <c r="DY2" s="8"/>
      <c r="DZ2" s="8"/>
      <c r="EA2" s="8"/>
      <c r="EB2" s="3"/>
      <c r="EC2" s="8"/>
      <c r="ED2" s="8"/>
      <c r="EE2" s="8"/>
      <c r="EF2" s="8"/>
      <c r="EG2" s="8"/>
      <c r="EH2" s="8"/>
      <c r="EI2" s="8"/>
      <c r="EJ2" s="9"/>
      <c r="EK2" s="9"/>
      <c r="EL2" s="8"/>
      <c r="EM2" s="8"/>
      <c r="EN2" s="9"/>
      <c r="EO2" s="8"/>
      <c r="EP2" s="9"/>
      <c r="EQ2" s="9"/>
      <c r="ER2" s="9"/>
      <c r="ES2" s="9"/>
      <c r="ET2" s="9"/>
      <c r="EU2" s="9"/>
      <c r="EV2" s="9"/>
      <c r="EW2" s="3"/>
      <c r="EX2" s="8"/>
      <c r="EY2" s="8"/>
      <c r="EZ2" s="8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GK2" s="10"/>
      <c r="GL2" s="10"/>
    </row>
    <row r="3" spans="1:194" s="4" customFormat="1" ht="30" customHeight="1">
      <c r="D3" s="21"/>
      <c r="E3" s="24"/>
      <c r="F3" s="24"/>
      <c r="G3" s="3"/>
      <c r="H3" s="3"/>
      <c r="I3" s="3"/>
      <c r="J3" s="3"/>
      <c r="K3" s="3"/>
      <c r="L3" s="3"/>
      <c r="M3" s="3"/>
      <c r="N3" s="3"/>
      <c r="P3" s="25"/>
      <c r="R3" s="26"/>
      <c r="S3" s="26"/>
      <c r="T3" s="26"/>
      <c r="U3" s="26"/>
      <c r="V3" s="27"/>
      <c r="W3" s="27"/>
      <c r="X3" s="27"/>
      <c r="Y3" s="27"/>
      <c r="Z3" s="27"/>
      <c r="AA3" s="27"/>
      <c r="AB3" s="27"/>
      <c r="AC3" s="27"/>
      <c r="AD3" s="28"/>
      <c r="AE3" s="28"/>
      <c r="AF3" s="26"/>
      <c r="AG3" s="26"/>
      <c r="AH3" s="28"/>
      <c r="AI3" s="28"/>
      <c r="AJ3" s="26"/>
      <c r="AK3" s="26"/>
      <c r="AL3" s="26"/>
      <c r="AM3" s="28"/>
      <c r="AN3" s="26"/>
      <c r="AO3" s="26"/>
      <c r="AP3" s="26"/>
      <c r="AQ3" s="26"/>
      <c r="AR3" s="27"/>
      <c r="AS3" s="27"/>
      <c r="AT3" s="27"/>
      <c r="AU3" s="27"/>
      <c r="AV3" s="26"/>
      <c r="AW3" s="27"/>
      <c r="AX3" s="26"/>
      <c r="AY3" s="26"/>
      <c r="AZ3" s="26"/>
      <c r="BA3" s="26"/>
      <c r="BB3" s="26"/>
      <c r="BC3" s="29"/>
      <c r="BD3" s="27"/>
      <c r="BE3" s="27"/>
      <c r="BF3" s="27"/>
      <c r="BG3" s="26"/>
      <c r="BH3" s="26"/>
      <c r="BI3" s="30"/>
      <c r="BJ3" s="30"/>
      <c r="BK3" s="31"/>
      <c r="BL3" s="30"/>
      <c r="BM3" s="30"/>
      <c r="BN3" s="30"/>
      <c r="BO3" s="32" t="s">
        <v>4</v>
      </c>
      <c r="DO3" s="7"/>
      <c r="DU3" s="33" t="s">
        <v>5</v>
      </c>
      <c r="DV3" s="34" t="s">
        <v>6</v>
      </c>
      <c r="DW3" s="34" t="s">
        <v>7</v>
      </c>
      <c r="DX3" s="34" t="s">
        <v>8</v>
      </c>
      <c r="DY3" s="34" t="s">
        <v>9</v>
      </c>
      <c r="DZ3" s="34" t="s">
        <v>10</v>
      </c>
      <c r="EA3" s="34" t="s">
        <v>11</v>
      </c>
      <c r="EB3" s="34" t="s">
        <v>12</v>
      </c>
      <c r="EC3" s="34" t="s">
        <v>13</v>
      </c>
      <c r="ED3" s="34" t="s">
        <v>14</v>
      </c>
      <c r="EE3" s="34" t="s">
        <v>15</v>
      </c>
      <c r="EF3" s="34" t="s">
        <v>16</v>
      </c>
      <c r="EG3" s="34" t="s">
        <v>17</v>
      </c>
      <c r="EH3" s="34" t="s">
        <v>18</v>
      </c>
      <c r="EI3" s="34" t="s">
        <v>19</v>
      </c>
      <c r="EJ3" s="34" t="s">
        <v>20</v>
      </c>
      <c r="EK3" s="34" t="s">
        <v>21</v>
      </c>
      <c r="EL3" s="34" t="s">
        <v>22</v>
      </c>
      <c r="EM3" s="34" t="s">
        <v>23</v>
      </c>
      <c r="EN3" s="34" t="s">
        <v>24</v>
      </c>
      <c r="EO3" s="35" t="s">
        <v>25</v>
      </c>
      <c r="EP3" s="35" t="s">
        <v>26</v>
      </c>
      <c r="EQ3" s="34" t="s">
        <v>27</v>
      </c>
      <c r="ER3" s="34" t="s">
        <v>28</v>
      </c>
      <c r="ES3" s="34" t="s">
        <v>29</v>
      </c>
      <c r="ET3" s="34" t="s">
        <v>30</v>
      </c>
      <c r="EU3" s="34" t="s">
        <v>31</v>
      </c>
      <c r="EV3" s="34" t="s">
        <v>32</v>
      </c>
      <c r="EW3" s="34" t="s">
        <v>33</v>
      </c>
      <c r="EX3" s="34" t="s">
        <v>34</v>
      </c>
      <c r="EY3" s="35" t="s">
        <v>35</v>
      </c>
      <c r="EZ3" s="34" t="s">
        <v>36</v>
      </c>
      <c r="FA3" s="35" t="s">
        <v>37</v>
      </c>
      <c r="FB3" s="36" t="s">
        <v>38</v>
      </c>
      <c r="FC3" s="577" t="s">
        <v>39</v>
      </c>
      <c r="FD3" s="268" t="s">
        <v>40</v>
      </c>
      <c r="FE3" s="38" t="s">
        <v>41</v>
      </c>
      <c r="FF3" s="38" t="s">
        <v>42</v>
      </c>
      <c r="FG3" s="38" t="s">
        <v>43</v>
      </c>
      <c r="FH3" s="38" t="s">
        <v>44</v>
      </c>
      <c r="FI3" s="38" t="s">
        <v>45</v>
      </c>
      <c r="FJ3" s="38" t="s">
        <v>46</v>
      </c>
      <c r="FK3" s="38" t="s">
        <v>47</v>
      </c>
      <c r="FL3" s="38" t="s">
        <v>48</v>
      </c>
      <c r="FM3" s="39" t="s">
        <v>49</v>
      </c>
      <c r="FN3" s="38" t="s">
        <v>50</v>
      </c>
      <c r="FO3" s="40" t="s">
        <v>51</v>
      </c>
      <c r="FP3" s="41" t="s">
        <v>52</v>
      </c>
      <c r="FQ3" s="9"/>
      <c r="GK3" s="10"/>
      <c r="GL3" s="10"/>
    </row>
    <row r="4" spans="1:194" s="4" customFormat="1" ht="26.25" customHeight="1">
      <c r="B4" s="33" t="s">
        <v>53</v>
      </c>
      <c r="C4" s="42"/>
      <c r="D4" s="43" t="s">
        <v>54</v>
      </c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2"/>
      <c r="R4" s="45" t="s">
        <v>55</v>
      </c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7"/>
      <c r="BL4" s="48" t="s">
        <v>55</v>
      </c>
      <c r="BM4" s="48"/>
      <c r="BN4" s="47"/>
      <c r="BO4" s="32" t="s">
        <v>56</v>
      </c>
      <c r="BP4" s="32"/>
      <c r="BQ4" s="32"/>
      <c r="BR4" s="32"/>
      <c r="BS4" s="32"/>
      <c r="BT4" s="32"/>
      <c r="BU4" s="32"/>
      <c r="BV4" s="32" t="s">
        <v>57</v>
      </c>
      <c r="BW4" s="32"/>
      <c r="BX4" s="32"/>
      <c r="BY4" s="32"/>
      <c r="BZ4" s="32"/>
      <c r="CA4" s="32"/>
      <c r="CB4" s="32"/>
      <c r="CC4" s="32"/>
      <c r="CD4" s="32"/>
      <c r="CE4" s="32"/>
      <c r="CF4" s="581" t="s">
        <v>56</v>
      </c>
      <c r="CG4" s="581"/>
      <c r="CH4" s="581"/>
      <c r="CI4" s="49"/>
      <c r="CJ4" s="581" t="s">
        <v>56</v>
      </c>
      <c r="CK4" s="581"/>
      <c r="CL4" s="581"/>
      <c r="CM4" s="49"/>
      <c r="CN4" s="581" t="s">
        <v>56</v>
      </c>
      <c r="CO4" s="581"/>
      <c r="CP4" s="581"/>
      <c r="CQ4" s="49"/>
      <c r="CR4" s="581" t="s">
        <v>56</v>
      </c>
      <c r="CS4" s="581"/>
      <c r="CT4" s="581"/>
      <c r="CU4" s="581" t="s">
        <v>56</v>
      </c>
      <c r="CV4" s="581"/>
      <c r="CW4" s="581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50"/>
      <c r="DP4" s="32" t="s">
        <v>58</v>
      </c>
      <c r="DQ4" s="51"/>
      <c r="DR4" s="52"/>
      <c r="DS4" s="53"/>
      <c r="DT4" s="33" t="s">
        <v>53</v>
      </c>
      <c r="DU4" s="34"/>
      <c r="DV4" s="34"/>
      <c r="DW4" s="34"/>
      <c r="DX4" s="34"/>
      <c r="DY4" s="34"/>
      <c r="DZ4" s="34"/>
      <c r="EA4" s="34"/>
      <c r="EB4" s="34"/>
      <c r="EC4" s="34"/>
      <c r="ED4" s="34"/>
      <c r="EE4" s="34"/>
      <c r="EF4" s="34"/>
      <c r="EG4" s="34"/>
      <c r="EH4" s="34"/>
      <c r="EI4" s="34"/>
      <c r="EJ4" s="34"/>
      <c r="EK4" s="34"/>
      <c r="EL4" s="34"/>
      <c r="EM4" s="34"/>
      <c r="EN4" s="34"/>
      <c r="EO4" s="34"/>
      <c r="EP4" s="34"/>
      <c r="EQ4" s="34"/>
      <c r="ER4" s="34"/>
      <c r="ES4" s="34"/>
      <c r="ET4" s="34"/>
      <c r="EU4" s="34"/>
      <c r="EV4" s="34"/>
      <c r="EW4" s="34"/>
      <c r="EX4" s="34"/>
      <c r="EY4" s="34"/>
      <c r="EZ4" s="34"/>
      <c r="FA4" s="34"/>
      <c r="FB4" s="54"/>
      <c r="FC4" s="578"/>
      <c r="FD4" s="55"/>
      <c r="FE4" s="54"/>
      <c r="FF4" s="54"/>
      <c r="FG4" s="54"/>
      <c r="FH4" s="54"/>
      <c r="FI4" s="54"/>
      <c r="FJ4" s="54"/>
      <c r="FK4" s="54"/>
      <c r="FL4" s="54"/>
      <c r="FM4" s="56"/>
      <c r="FN4" s="57"/>
      <c r="FO4" s="58"/>
      <c r="FP4" s="59"/>
      <c r="FZ4" s="60" t="s">
        <v>155</v>
      </c>
      <c r="GA4" s="60"/>
      <c r="GB4" s="60"/>
      <c r="GC4" s="60"/>
      <c r="GD4" s="61" t="s">
        <v>59</v>
      </c>
      <c r="GE4" s="61"/>
      <c r="GF4" s="61"/>
      <c r="GG4" s="62"/>
      <c r="GH4" s="34" t="s">
        <v>60</v>
      </c>
      <c r="GI4" s="63" t="s">
        <v>61</v>
      </c>
      <c r="GJ4" s="63"/>
    </row>
    <row r="5" spans="1:194" ht="24.75" customHeight="1">
      <c r="B5" s="75"/>
      <c r="C5" s="65"/>
      <c r="D5" s="66" t="s">
        <v>62</v>
      </c>
      <c r="E5" s="66" t="s">
        <v>63</v>
      </c>
      <c r="F5" s="66" t="s">
        <v>64</v>
      </c>
      <c r="G5" s="66" t="s">
        <v>65</v>
      </c>
      <c r="H5" s="66" t="s">
        <v>66</v>
      </c>
      <c r="I5" s="66" t="s">
        <v>19</v>
      </c>
      <c r="J5" s="66" t="s">
        <v>20</v>
      </c>
      <c r="K5" s="66" t="s">
        <v>21</v>
      </c>
      <c r="L5" s="67" t="s">
        <v>67</v>
      </c>
      <c r="M5" s="67" t="s">
        <v>68</v>
      </c>
      <c r="N5" s="66" t="s">
        <v>69</v>
      </c>
      <c r="O5" s="66" t="s">
        <v>70</v>
      </c>
      <c r="P5" s="66" t="s">
        <v>71</v>
      </c>
      <c r="Q5" s="65"/>
      <c r="R5" s="66" t="s">
        <v>22</v>
      </c>
      <c r="S5" s="66" t="s">
        <v>72</v>
      </c>
      <c r="T5" s="66" t="s">
        <v>23</v>
      </c>
      <c r="U5" s="66" t="s">
        <v>73</v>
      </c>
      <c r="V5" s="66" t="s">
        <v>74</v>
      </c>
      <c r="W5" s="68" t="s">
        <v>75</v>
      </c>
      <c r="X5" s="66" t="s">
        <v>76</v>
      </c>
      <c r="Y5" s="66" t="s">
        <v>27</v>
      </c>
      <c r="Z5" s="66" t="s">
        <v>28</v>
      </c>
      <c r="AA5" s="67" t="s">
        <v>77</v>
      </c>
      <c r="AB5" s="67" t="s">
        <v>78</v>
      </c>
      <c r="AC5" s="66" t="s">
        <v>6</v>
      </c>
      <c r="AD5" s="67" t="s">
        <v>79</v>
      </c>
      <c r="AE5" s="67" t="s">
        <v>80</v>
      </c>
      <c r="AF5" s="67" t="s">
        <v>8</v>
      </c>
      <c r="AG5" s="66" t="s">
        <v>9</v>
      </c>
      <c r="AH5" s="67" t="s">
        <v>81</v>
      </c>
      <c r="AI5" s="67" t="s">
        <v>82</v>
      </c>
      <c r="AJ5" s="67" t="s">
        <v>11</v>
      </c>
      <c r="AK5" s="66" t="s">
        <v>12</v>
      </c>
      <c r="AL5" s="67" t="s">
        <v>83</v>
      </c>
      <c r="AM5" s="67" t="s">
        <v>84</v>
      </c>
      <c r="AN5" s="66" t="s">
        <v>14</v>
      </c>
      <c r="AO5" s="66" t="s">
        <v>65</v>
      </c>
      <c r="AP5" s="66" t="s">
        <v>17</v>
      </c>
      <c r="AQ5" s="66" t="s">
        <v>66</v>
      </c>
      <c r="AR5" s="67" t="s">
        <v>85</v>
      </c>
      <c r="AS5" s="66" t="s">
        <v>86</v>
      </c>
      <c r="AT5" s="67" t="s">
        <v>87</v>
      </c>
      <c r="AU5" s="67" t="s">
        <v>88</v>
      </c>
      <c r="AV5" s="66">
        <v>561</v>
      </c>
      <c r="AW5" s="67" t="s">
        <v>89</v>
      </c>
      <c r="AX5" s="66">
        <v>562</v>
      </c>
      <c r="AY5" s="66" t="s">
        <v>21</v>
      </c>
      <c r="AZ5" s="66" t="s">
        <v>33</v>
      </c>
      <c r="BA5" s="66" t="s">
        <v>90</v>
      </c>
      <c r="BB5" s="66" t="s">
        <v>34</v>
      </c>
      <c r="BC5" s="66" t="s">
        <v>91</v>
      </c>
      <c r="BD5" s="68" t="s">
        <v>92</v>
      </c>
      <c r="BE5" s="66" t="s">
        <v>113</v>
      </c>
      <c r="BF5" s="66" t="s">
        <v>114</v>
      </c>
      <c r="BG5" s="66" t="s">
        <v>95</v>
      </c>
      <c r="BH5" s="66" t="s">
        <v>96</v>
      </c>
      <c r="BI5" s="66" t="s">
        <v>97</v>
      </c>
      <c r="BJ5" s="66" t="s">
        <v>98</v>
      </c>
      <c r="BK5" s="69"/>
      <c r="BL5" s="66" t="s">
        <v>99</v>
      </c>
      <c r="BM5" s="70" t="s">
        <v>71</v>
      </c>
      <c r="BN5" s="69"/>
      <c r="BO5" s="67" t="s">
        <v>22</v>
      </c>
      <c r="BP5" s="67" t="s">
        <v>100</v>
      </c>
      <c r="BQ5" s="67" t="s">
        <v>23</v>
      </c>
      <c r="BR5" s="67" t="s">
        <v>74</v>
      </c>
      <c r="BS5" s="67" t="s">
        <v>27</v>
      </c>
      <c r="BT5" s="67" t="s">
        <v>28</v>
      </c>
      <c r="BU5" s="67" t="s">
        <v>101</v>
      </c>
      <c r="BV5" s="67" t="s">
        <v>22</v>
      </c>
      <c r="BW5" s="67" t="s">
        <v>100</v>
      </c>
      <c r="BX5" s="67" t="s">
        <v>23</v>
      </c>
      <c r="BY5" s="67" t="s">
        <v>74</v>
      </c>
      <c r="BZ5" s="67" t="s">
        <v>102</v>
      </c>
      <c r="CA5" s="71" t="s">
        <v>1</v>
      </c>
      <c r="CB5" s="66" t="s">
        <v>103</v>
      </c>
      <c r="CC5" s="66" t="s">
        <v>86</v>
      </c>
      <c r="CD5" s="67" t="s">
        <v>104</v>
      </c>
      <c r="CE5" s="67" t="s">
        <v>105</v>
      </c>
      <c r="CF5" s="66" t="s">
        <v>78</v>
      </c>
      <c r="CG5" s="66" t="s">
        <v>6</v>
      </c>
      <c r="CH5" s="67" t="s">
        <v>106</v>
      </c>
      <c r="CI5" s="71" t="s">
        <v>1</v>
      </c>
      <c r="CJ5" s="66" t="s">
        <v>8</v>
      </c>
      <c r="CK5" s="66" t="s">
        <v>9</v>
      </c>
      <c r="CL5" s="67" t="s">
        <v>107</v>
      </c>
      <c r="CM5" s="71" t="s">
        <v>1</v>
      </c>
      <c r="CN5" s="66" t="s">
        <v>11</v>
      </c>
      <c r="CO5" s="66" t="s">
        <v>12</v>
      </c>
      <c r="CP5" s="66" t="s">
        <v>108</v>
      </c>
      <c r="CQ5" s="71" t="s">
        <v>1</v>
      </c>
      <c r="CR5" s="66" t="s">
        <v>109</v>
      </c>
      <c r="CS5" s="66" t="s">
        <v>65</v>
      </c>
      <c r="CT5" s="71" t="s">
        <v>1</v>
      </c>
      <c r="CU5" s="66" t="s">
        <v>17</v>
      </c>
      <c r="CV5" s="66" t="s">
        <v>66</v>
      </c>
      <c r="CW5" s="71" t="s">
        <v>1</v>
      </c>
      <c r="CX5" s="67" t="s">
        <v>110</v>
      </c>
      <c r="CY5" s="66" t="s">
        <v>19</v>
      </c>
      <c r="CZ5" s="67" t="s">
        <v>111</v>
      </c>
      <c r="DA5" s="66" t="s">
        <v>112</v>
      </c>
      <c r="DB5" s="66" t="s">
        <v>33</v>
      </c>
      <c r="DC5" s="66" t="s">
        <v>34</v>
      </c>
      <c r="DD5" s="66" t="s">
        <v>91</v>
      </c>
      <c r="DE5" s="66" t="s">
        <v>92</v>
      </c>
      <c r="DF5" s="66" t="s">
        <v>113</v>
      </c>
      <c r="DG5" s="66" t="s">
        <v>114</v>
      </c>
      <c r="DH5" s="67" t="s">
        <v>115</v>
      </c>
      <c r="DI5" s="71" t="s">
        <v>1</v>
      </c>
      <c r="DJ5" s="66" t="s">
        <v>96</v>
      </c>
      <c r="DK5" s="71" t="s">
        <v>1</v>
      </c>
      <c r="DL5" s="66" t="s">
        <v>97</v>
      </c>
      <c r="DM5" s="71" t="s">
        <v>1</v>
      </c>
      <c r="DN5" s="67" t="s">
        <v>98</v>
      </c>
      <c r="DO5" s="69"/>
      <c r="DP5" s="66" t="s">
        <v>116</v>
      </c>
      <c r="DQ5" s="72" t="s">
        <v>71</v>
      </c>
      <c r="DR5" s="73" t="s">
        <v>1</v>
      </c>
      <c r="DS5" s="74"/>
      <c r="DT5" s="75"/>
      <c r="DU5" s="76">
        <v>602015</v>
      </c>
      <c r="DV5" s="76">
        <v>22262</v>
      </c>
      <c r="DW5" s="76">
        <v>5082756</v>
      </c>
      <c r="DX5" s="76">
        <v>97480</v>
      </c>
      <c r="DY5" s="76">
        <v>79751</v>
      </c>
      <c r="DZ5" s="76">
        <v>357695</v>
      </c>
      <c r="EA5" s="77">
        <v>204266</v>
      </c>
      <c r="EB5" s="77">
        <v>46300</v>
      </c>
      <c r="EC5" s="77">
        <v>359095</v>
      </c>
      <c r="ED5" s="76">
        <v>43382</v>
      </c>
      <c r="EE5" s="77">
        <v>35460</v>
      </c>
      <c r="EF5" s="77">
        <v>37084</v>
      </c>
      <c r="EG5" s="76">
        <v>88179</v>
      </c>
      <c r="EH5" s="76">
        <v>173691</v>
      </c>
      <c r="EI5" s="76">
        <v>27823</v>
      </c>
      <c r="EJ5" s="77">
        <v>36103</v>
      </c>
      <c r="EK5" s="77"/>
      <c r="EL5" s="76">
        <v>672000</v>
      </c>
      <c r="EM5" s="76">
        <v>6926</v>
      </c>
      <c r="EN5" s="77">
        <v>38360</v>
      </c>
      <c r="EO5" s="76">
        <v>2802322</v>
      </c>
      <c r="EP5" s="77">
        <v>3434887</v>
      </c>
      <c r="EQ5" s="77">
        <v>0</v>
      </c>
      <c r="ER5" s="77">
        <v>1469</v>
      </c>
      <c r="ES5" s="77">
        <v>255651</v>
      </c>
      <c r="ET5" s="77">
        <v>8501290</v>
      </c>
      <c r="EU5" s="77">
        <v>361380</v>
      </c>
      <c r="EV5" s="77">
        <v>103561</v>
      </c>
      <c r="EW5" s="77">
        <v>55851</v>
      </c>
      <c r="EX5" s="76">
        <v>193531</v>
      </c>
      <c r="EY5" s="76">
        <v>1540129</v>
      </c>
      <c r="EZ5" s="76">
        <v>678979</v>
      </c>
      <c r="FA5" s="76">
        <v>712413</v>
      </c>
      <c r="FB5" s="77">
        <v>29632</v>
      </c>
      <c r="FC5" s="76">
        <v>6179</v>
      </c>
      <c r="FD5" s="104">
        <v>2325</v>
      </c>
      <c r="FE5" s="77">
        <v>0</v>
      </c>
      <c r="FF5" s="79">
        <v>346</v>
      </c>
      <c r="FG5" s="79">
        <v>0</v>
      </c>
      <c r="FH5" s="77">
        <v>1099</v>
      </c>
      <c r="FI5" s="79">
        <v>172</v>
      </c>
      <c r="FJ5" s="77">
        <v>0</v>
      </c>
      <c r="FK5" s="79">
        <v>172</v>
      </c>
      <c r="FL5" s="79">
        <v>459</v>
      </c>
      <c r="FM5" s="79">
        <v>76</v>
      </c>
      <c r="FN5" s="80">
        <v>633</v>
      </c>
      <c r="FO5" s="77">
        <v>50493</v>
      </c>
      <c r="FP5" s="307"/>
      <c r="FQ5" s="64"/>
      <c r="FR5" s="64"/>
      <c r="FS5" s="64"/>
      <c r="FT5" s="64"/>
      <c r="FU5" s="64"/>
      <c r="FV5" s="64"/>
      <c r="FW5" s="64"/>
      <c r="FX5" s="64"/>
      <c r="FY5" s="64"/>
      <c r="FZ5" s="70" t="s">
        <v>121</v>
      </c>
      <c r="GA5" s="70" t="s">
        <v>122</v>
      </c>
      <c r="GB5" s="70" t="s">
        <v>74</v>
      </c>
      <c r="GC5" s="70" t="s">
        <v>120</v>
      </c>
      <c r="GD5" s="70" t="s">
        <v>121</v>
      </c>
      <c r="GE5" s="70" t="s">
        <v>122</v>
      </c>
      <c r="GF5" s="70" t="s">
        <v>74</v>
      </c>
      <c r="GG5" s="70" t="s">
        <v>120</v>
      </c>
      <c r="GH5" s="70" t="s">
        <v>120</v>
      </c>
      <c r="GI5" s="83" t="s">
        <v>123</v>
      </c>
      <c r="GJ5" s="70" t="s">
        <v>124</v>
      </c>
      <c r="GK5" s="64"/>
      <c r="GL5" s="64"/>
    </row>
    <row r="6" spans="1:194" ht="15" customHeight="1">
      <c r="A6" s="4"/>
      <c r="B6" s="573">
        <v>42767</v>
      </c>
      <c r="C6" s="53"/>
      <c r="D6" s="308">
        <v>4989</v>
      </c>
      <c r="E6" s="308" t="s">
        <v>156</v>
      </c>
      <c r="F6" s="308" t="s">
        <v>156</v>
      </c>
      <c r="G6" s="308">
        <v>3000</v>
      </c>
      <c r="H6" s="308">
        <v>6398</v>
      </c>
      <c r="I6" s="308">
        <v>1604</v>
      </c>
      <c r="J6" s="308">
        <v>5467</v>
      </c>
      <c r="K6" s="86">
        <v>12.566000000000001</v>
      </c>
      <c r="L6" s="86"/>
      <c r="M6" s="87">
        <f>I6+J6</f>
        <v>7071</v>
      </c>
      <c r="N6" s="88">
        <f t="shared" ref="N6:N33" si="0">SUM(D6:H6)</f>
        <v>14387</v>
      </c>
      <c r="O6" s="88">
        <f>N6+L6+((J6+I6)*0.5)</f>
        <v>17922.5</v>
      </c>
      <c r="P6" s="89">
        <f>O6</f>
        <v>17922.5</v>
      </c>
      <c r="Q6" s="74"/>
      <c r="R6" s="90">
        <f>IF(EL6=0,"",(EL6-EL5))</f>
        <v>261</v>
      </c>
      <c r="S6" s="90">
        <f>IF(EZ6=0,"",((EZ6-EZ5)/10))</f>
        <v>193.5</v>
      </c>
      <c r="T6" s="90">
        <f t="shared" ref="T6:T33" si="1">IF(EM6=0,"",((EM6/10)))</f>
        <v>550.9</v>
      </c>
      <c r="U6" s="90">
        <f>IF(FB6=0,"",((EN6-EN5)/10))</f>
        <v>3.2</v>
      </c>
      <c r="V6" s="90">
        <f>IF(EO6=0,"",(EO6-EO5))</f>
        <v>1502</v>
      </c>
      <c r="W6" s="91">
        <f t="shared" ref="W6:W33" si="2">IF(EP6=0,"",(EP6-EP5)/10)</f>
        <v>-98391.5</v>
      </c>
      <c r="X6" s="90">
        <f>IF(V6="","",V6)</f>
        <v>1502</v>
      </c>
      <c r="Y6" s="90" t="str">
        <f>IF(EQ6=0,"0",(EQ6/10))</f>
        <v>0</v>
      </c>
      <c r="Z6" s="90">
        <f t="shared" ref="Z6:Z33" si="3">IF(ER6=0,"",(ER6/10))</f>
        <v>174.3</v>
      </c>
      <c r="AA6" s="90">
        <f>IF(SUM(R6:V6)=0,"",SUM(R6:V6))</f>
        <v>2510.6</v>
      </c>
      <c r="AB6" s="90">
        <f>IF(DU6=0,"",(DU6-DU5))</f>
        <v>264</v>
      </c>
      <c r="AC6" s="90">
        <f>IF(DV6=0,"",(DV6-DV5))</f>
        <v>57</v>
      </c>
      <c r="AD6" s="90">
        <f>(IF(SUM(AB6:AC6)&gt;=(DW6-DW5),(SUM(AB6:AC6)),(DW6-DW5)))</f>
        <v>523</v>
      </c>
      <c r="AE6" s="90">
        <f>IF(AB6="","",(AD6-AC6-AB6))</f>
        <v>202</v>
      </c>
      <c r="AF6" s="90">
        <f>IF(DX6=0,"",(DX6-DX5))</f>
        <v>0</v>
      </c>
      <c r="AG6" s="90">
        <f>IF(DY6=0,"",(DY6-DY5))</f>
        <v>0</v>
      </c>
      <c r="AH6" s="90">
        <f>(IF(SUM(AF6:AG6)&gt;=(DZ6-DZ5),(SUM(AF6:AG6)),(DZ6-DZ5)))</f>
        <v>34</v>
      </c>
      <c r="AI6" s="90">
        <f>IF(AF6="","",(AH6-AG6-AF6))</f>
        <v>34</v>
      </c>
      <c r="AJ6" s="90">
        <f>IF(EA6=0,"",(EA6-EA5))</f>
        <v>101</v>
      </c>
      <c r="AK6" s="90">
        <f>IF(EB6=0,"",(EB6-EB5))</f>
        <v>66</v>
      </c>
      <c r="AL6" s="90">
        <f>(IF(SUM(AJ6:AK6)&gt;=(EC6-EC5),(SUM(AJ6:AK6)),(EC6-EC5)))</f>
        <v>302</v>
      </c>
      <c r="AM6" s="90">
        <f>IF(AJ6="","",(AL6-AK6-AJ6))</f>
        <v>135</v>
      </c>
      <c r="AN6" s="90">
        <f>IF(ED6=0,"",(ED6-ED5))</f>
        <v>3</v>
      </c>
      <c r="AO6" s="90">
        <f t="shared" ref="AO6:AO33" si="4">IF(AN6="","",(EE6-EE5)+(EF6-EF5))</f>
        <v>37</v>
      </c>
      <c r="AP6" s="90">
        <f>IF(EG6=0,"",(EG6-EG5))</f>
        <v>11</v>
      </c>
      <c r="AQ6" s="90">
        <f t="shared" ref="AQ6:AQ33" si="5">IF(AP6=0.1,0,(IF(AP6&gt;=(EH6-EH5),(AP6),(EH6-EH5))))</f>
        <v>39</v>
      </c>
      <c r="AR6" s="90">
        <f>IF(ET6=0,"",(ET6-ET5)/1000)</f>
        <v>94.953999999999994</v>
      </c>
      <c r="AS6" s="90">
        <f>IF(AR6="","",(ES6-ES5)+((ET6-ET5)/1000)-AW6-AU6)</f>
        <v>204.95399999999995</v>
      </c>
      <c r="AT6" s="90">
        <f>IF(AR6="","",ES6-ES5+((ET6-ET5)/1000))</f>
        <v>978.95399999999995</v>
      </c>
      <c r="AU6" s="90">
        <f>IF(EV6="","",(EV6-EV5))</f>
        <v>250</v>
      </c>
      <c r="AV6" s="90">
        <f>IF(EI6=0,"",(EI6-EI5)+AU6)</f>
        <v>290</v>
      </c>
      <c r="AW6" s="90">
        <f>IF(EU6="","",(EU6-EU5))</f>
        <v>524</v>
      </c>
      <c r="AX6" s="90">
        <f>IF(EJ6=0,"",(EJ6-EJ5)+AW6)</f>
        <v>562</v>
      </c>
      <c r="AY6" s="90" t="str">
        <f>IF(EK6=0,"",(EK6-EL5))</f>
        <v/>
      </c>
      <c r="AZ6" s="90">
        <f>IF(EW6=0,"",EW6-EW5)</f>
        <v>461</v>
      </c>
      <c r="BA6" s="90">
        <v>43</v>
      </c>
      <c r="BB6" s="90">
        <f>IF(EX6=0,"",(EX6-EX5))</f>
        <v>80</v>
      </c>
      <c r="BC6" s="90">
        <f>IF(EY6=0,"",(EY6-EY5))</f>
        <v>401</v>
      </c>
      <c r="BD6" s="91">
        <f>IF(FA6=0,"",(FA6-FA5))</f>
        <v>322</v>
      </c>
      <c r="BE6" s="90"/>
      <c r="BF6" s="90"/>
      <c r="BG6" s="90">
        <f t="shared" ref="BG6:BG33" si="6">IFERROR(SUM(BB6:BF6)+AZ6,"")</f>
        <v>1264</v>
      </c>
      <c r="BH6" s="90">
        <f>BL6-FC6</f>
        <v>-11</v>
      </c>
      <c r="BI6" s="90">
        <f>IF(FC6=0,"",(FC6-BJ6))</f>
        <v>1237.4459999999999</v>
      </c>
      <c r="BJ6" s="90">
        <f t="shared" ref="BJ6:BJ33" si="7">IF(BH6=0,"",(AA6+AD6+AO6+BG6+AH6+AL6+AQ6+AS6+AX6+AV6))</f>
        <v>5766.5540000000001</v>
      </c>
      <c r="BK6" s="92"/>
      <c r="BL6" s="93">
        <f>FD6+FN6</f>
        <v>6993</v>
      </c>
      <c r="BM6" s="93">
        <f>BL6</f>
        <v>6993</v>
      </c>
      <c r="BN6" s="92"/>
      <c r="BO6" s="94">
        <f>IF($N6&lt;&gt;0,IF($N6&lt;&gt;0,R6/$N6*10,0)," ")</f>
        <v>0.18141377632584973</v>
      </c>
      <c r="BP6" s="94">
        <f>IF($N6&lt;&gt;0,IF($N6&lt;&gt;0,S6/$N6*10,0)," ")</f>
        <v>0.13449642037950929</v>
      </c>
      <c r="BQ6" s="94">
        <f>IF($N6&lt;&gt;0,IF($N6&lt;&gt;0,T6/$N6*10,0)," ")</f>
        <v>0.38291513171613256</v>
      </c>
      <c r="BR6" s="94">
        <f>IF($N6&lt;&gt;0,IF($N6&lt;&gt;0,(V6)/$N6*10,0)," ")</f>
        <v>1.043998053798568</v>
      </c>
      <c r="BS6" s="94">
        <f t="shared" ref="BS6:BU21" si="8">IF($N6&lt;&gt;0,IF($N6&lt;&gt;0,Y6/$N6*10,0)," ")</f>
        <v>0</v>
      </c>
      <c r="BT6" s="94">
        <f t="shared" si="8"/>
        <v>0.12115103913255022</v>
      </c>
      <c r="BU6" s="95">
        <f>IF($N6&lt;&gt;0,IF($N6&lt;&gt;0,AA6/$N6*10,0)," ")</f>
        <v>1.7450476124278862</v>
      </c>
      <c r="BV6" s="94">
        <f t="shared" ref="BV6:BX33" si="9">IF($O6&lt;&gt;0,IF($O6&lt;&gt;0,R6/$O6*10,0)," ")</f>
        <v>0.14562700516111032</v>
      </c>
      <c r="BW6" s="94">
        <f t="shared" si="9"/>
        <v>0.10796484865392662</v>
      </c>
      <c r="BX6" s="94">
        <f t="shared" si="9"/>
        <v>0.30737899288603709</v>
      </c>
      <c r="BY6" s="94">
        <f>IF($O6&lt;&gt;0,IF($O6&lt;&gt;0,(V6)/$O6*10,0)," ")</f>
        <v>0.83805272701911004</v>
      </c>
      <c r="BZ6" s="95">
        <f t="shared" ref="BZ6:BZ33" si="10">IF($O6&lt;&gt;0,IF($O6&lt;&gt;0,AA6/$O6*10,0)," ")</f>
        <v>1.4008090389175618</v>
      </c>
      <c r="CA6" s="96" t="e">
        <f>#REF!</f>
        <v>#REF!</v>
      </c>
      <c r="CB6" s="94">
        <f t="shared" ref="CB6:CC33" si="11">IF($O6&lt;&gt;0,IF($O6&lt;&gt;0,AR6/$O6*10,0)," ")</f>
        <v>5.2980331984935132E-2</v>
      </c>
      <c r="CC6" s="95">
        <f>IF($O6&lt;&gt;0,IF($O6&lt;&gt;0,AS6/$O6*10,0)," ")</f>
        <v>0.11435569814479005</v>
      </c>
      <c r="CD6" s="97">
        <f t="shared" ref="CD6:CE33" si="12">IFERROR(AR6*10/($I6+$J6),"")</f>
        <v>0.13428652241549993</v>
      </c>
      <c r="CE6" s="98">
        <f>IFERROR(AS6*10/($I6+$J6),"")</f>
        <v>0.28985150615188793</v>
      </c>
      <c r="CF6" s="94">
        <f>IF($D6&lt;&gt;0,IF($D6&lt;&gt;0,AB6/$D6*10,0),"0,00")</f>
        <v>0.52916416115454001</v>
      </c>
      <c r="CG6" s="94">
        <f>IF($D6&lt;&gt;0,IF($D6&lt;&gt;0,AC6/$D6*10,0),"0,00")</f>
        <v>0.11425135297654841</v>
      </c>
      <c r="CH6" s="95">
        <f>IF($D6&lt;&gt;0,IF($O6&lt;&gt;0,AD6/$D6*10,0),"0,00 ")</f>
        <v>1.0483062738023652</v>
      </c>
      <c r="CI6" s="96" t="e">
        <f>#REF!</f>
        <v>#REF!</v>
      </c>
      <c r="CJ6" s="94" t="e">
        <f>IF($E6&lt;&gt;0,IF($E6&lt;&gt;0,AF6/$E6*10,0),"0,00")</f>
        <v>#VALUE!</v>
      </c>
      <c r="CK6" s="94" t="e">
        <f>IF($E6&lt;&gt;0,IF($E6&lt;&gt;0,AG6/$E6*10,0),"0,00")</f>
        <v>#VALUE!</v>
      </c>
      <c r="CL6" s="95" t="e">
        <f>IF($E6&lt;&gt;0,IF($E6&lt;&gt;0,AH6/$E6*10,0),"0,00 ")</f>
        <v>#VALUE!</v>
      </c>
      <c r="CM6" s="95" t="e">
        <f>#REF!</f>
        <v>#REF!</v>
      </c>
      <c r="CN6" s="94" t="e">
        <f>IF($F6&lt;&gt;0,IF($F6&lt;&gt;0,AJ6/$F6*10,0),"0,00")</f>
        <v>#VALUE!</v>
      </c>
      <c r="CO6" s="94" t="e">
        <f>IF($F6&lt;&gt;0,IF($F6&lt;&gt;0,AK6/$F6*10,0),"0,00")</f>
        <v>#VALUE!</v>
      </c>
      <c r="CP6" s="95" t="e">
        <f>IF($F6&lt;&gt;0,IF($F6&lt;&gt;0,AL6/$F6*10,0),"0,00 ")</f>
        <v>#VALUE!</v>
      </c>
      <c r="CQ6" s="95" t="e">
        <f>#REF!</f>
        <v>#REF!</v>
      </c>
      <c r="CR6" s="97">
        <f>IF($G6&lt;&gt;0,IF($G6&lt;&gt;0,AN6/$G6*10,0),"0,00 ")</f>
        <v>0.01</v>
      </c>
      <c r="CS6" s="95">
        <f>IF($G6&lt;&gt;0,IF($G6&lt;&gt;0,AO6/$G6*10,0),"0,00 ")</f>
        <v>0.12333333333333334</v>
      </c>
      <c r="CT6" s="96" t="e">
        <f>#REF!</f>
        <v>#REF!</v>
      </c>
      <c r="CU6" s="97">
        <f>IF($H6&lt;&gt;0,IF($H6&lt;&gt;0,AP6/$H6*10,0),"0,00 ")</f>
        <v>1.7192872772741483E-2</v>
      </c>
      <c r="CV6" s="95">
        <f>IF($H6&lt;&gt;0,IF($H6&lt;&gt;0,AQ6/$H6*10,0),"0,00 ")</f>
        <v>6.0956548921537977E-2</v>
      </c>
      <c r="CW6" s="96" t="e">
        <f>#REF!</f>
        <v>#REF!</v>
      </c>
      <c r="CX6" s="99">
        <f>IF($O6&lt;&gt;0,IF($O6&lt;&gt;0,AU6/$O6*10,0)," ")</f>
        <v>0.13948946854512484</v>
      </c>
      <c r="CY6" s="95">
        <f>IF($O6&lt;&gt;0,IF($O6&lt;&gt;0,AV6/$O6*10,0)," ")</f>
        <v>0.16180778351234482</v>
      </c>
      <c r="CZ6" s="99">
        <f>IF($O6&lt;&gt;0,IF($O6&lt;&gt;0,AW6/$O6*10,0)," ")</f>
        <v>0.29236992607058165</v>
      </c>
      <c r="DA6" s="95">
        <f>IF($O6&lt;&gt;0,IF($O6&lt;&gt;0,AX6/$O6*10,0)," ")</f>
        <v>0.31357232528944068</v>
      </c>
      <c r="DB6" s="94">
        <f t="shared" ref="DB6:DB33" si="13">IF($O6&lt;&gt;0,IF($O6&lt;&gt;0,AZ6/$O6*10,0)," ")</f>
        <v>0.25721857999721021</v>
      </c>
      <c r="DC6" s="94">
        <f t="shared" ref="DC6:DH33" si="14">IF($O6&lt;&gt;0,IF($O6&lt;&gt;0,BB6/$O6*10,0)," ")</f>
        <v>4.4636629934439946E-2</v>
      </c>
      <c r="DD6" s="94">
        <f t="shared" si="14"/>
        <v>0.22374110754638024</v>
      </c>
      <c r="DE6" s="94">
        <f t="shared" si="14"/>
        <v>0.17966243548612079</v>
      </c>
      <c r="DF6" s="94">
        <f t="shared" si="14"/>
        <v>0</v>
      </c>
      <c r="DG6" s="94">
        <f t="shared" si="14"/>
        <v>0</v>
      </c>
      <c r="DH6" s="95">
        <f>IF($O6&lt;&gt;0,IF($O6&lt;&gt;0,BG6/$O6*10,0)," ")</f>
        <v>0.70525875296415119</v>
      </c>
      <c r="DI6" s="96" t="e">
        <f>#REF!</f>
        <v>#REF!</v>
      </c>
      <c r="DJ6" s="95">
        <f>IF($O6&lt;&gt;0,IF($O6&lt;&gt;0,BH6/$O6*10,0)," ")</f>
        <v>-6.1375366159854934E-3</v>
      </c>
      <c r="DK6" s="96" t="e">
        <f>#REF!</f>
        <v>#REF!</v>
      </c>
      <c r="DL6" s="95">
        <f t="shared" ref="DL6:DL33" si="15">IF($O6&lt;&gt;0,BI6/$O6*10," ")</f>
        <v>0.69044273957316216</v>
      </c>
      <c r="DM6" s="96">
        <f t="shared" ref="DM6:DM34" si="16">$D$3</f>
        <v>0</v>
      </c>
      <c r="DN6" s="94">
        <f t="shared" ref="DN6:DN33" si="17">IF($O6&lt;&gt;0,BJ6/$O6*10,"")</f>
        <v>3.2174942111870553</v>
      </c>
      <c r="DO6" s="100">
        <v>3.4</v>
      </c>
      <c r="DP6" s="94">
        <f>IF($O6&lt;&gt;0,IF($O6&lt;&gt;0,BL6/$O6*10,0)," ")</f>
        <v>3.9017994141442318</v>
      </c>
      <c r="DQ6" s="94">
        <f>IF($P6&lt;&gt;0,IF($P6&lt;&gt;0,BM6/$P6*10,0)," ")</f>
        <v>3.9017994141442318</v>
      </c>
      <c r="DR6" s="101">
        <f t="shared" ref="DR6:DR33" si="18">$D$2</f>
        <v>0</v>
      </c>
      <c r="DS6" s="102"/>
      <c r="DT6" s="103">
        <v>1</v>
      </c>
      <c r="DU6" s="76">
        <v>602279</v>
      </c>
      <c r="DV6" s="76">
        <v>22319</v>
      </c>
      <c r="DW6" s="76">
        <v>5083279</v>
      </c>
      <c r="DX6" s="76">
        <v>97480</v>
      </c>
      <c r="DY6" s="76">
        <v>79751</v>
      </c>
      <c r="DZ6" s="76">
        <v>357729</v>
      </c>
      <c r="EA6" s="77">
        <v>204367</v>
      </c>
      <c r="EB6" s="77">
        <v>46366</v>
      </c>
      <c r="EC6" s="77">
        <v>359397</v>
      </c>
      <c r="ED6" s="76">
        <v>43385</v>
      </c>
      <c r="EE6" s="77">
        <v>35485</v>
      </c>
      <c r="EF6" s="77">
        <v>37096</v>
      </c>
      <c r="EG6" s="76">
        <v>88190</v>
      </c>
      <c r="EH6" s="76">
        <v>173730</v>
      </c>
      <c r="EI6" s="76">
        <v>27863</v>
      </c>
      <c r="EJ6" s="77">
        <v>36141</v>
      </c>
      <c r="EK6" s="77"/>
      <c r="EL6" s="76">
        <v>672261</v>
      </c>
      <c r="EM6" s="76">
        <v>5509</v>
      </c>
      <c r="EN6" s="77">
        <v>38392</v>
      </c>
      <c r="EO6" s="76">
        <v>2803824</v>
      </c>
      <c r="EP6" s="77">
        <v>2450972</v>
      </c>
      <c r="EQ6" s="77">
        <v>0</v>
      </c>
      <c r="ER6" s="77">
        <v>1743</v>
      </c>
      <c r="ES6" s="77">
        <v>256535</v>
      </c>
      <c r="ET6" s="77">
        <v>8596244</v>
      </c>
      <c r="EU6" s="77">
        <v>361904</v>
      </c>
      <c r="EV6" s="77">
        <v>103811</v>
      </c>
      <c r="EW6" s="77">
        <v>56312</v>
      </c>
      <c r="EX6" s="76">
        <v>193611</v>
      </c>
      <c r="EY6" s="76">
        <v>1540530</v>
      </c>
      <c r="EZ6" s="76">
        <v>680914</v>
      </c>
      <c r="FA6" s="76">
        <v>712735</v>
      </c>
      <c r="FB6" s="77">
        <v>29695</v>
      </c>
      <c r="FC6" s="76">
        <v>7004</v>
      </c>
      <c r="FD6" s="104">
        <f t="shared" ref="FD6:FD19" si="19">SUM(FE6:FM6)</f>
        <v>5899</v>
      </c>
      <c r="FE6" s="105">
        <f t="shared" ref="FE6:FM21" si="20">FE36-FE35</f>
        <v>0</v>
      </c>
      <c r="FF6" s="105">
        <f t="shared" si="20"/>
        <v>720</v>
      </c>
      <c r="FG6" s="105">
        <f t="shared" si="20"/>
        <v>0</v>
      </c>
      <c r="FH6" s="105">
        <f t="shared" si="20"/>
        <v>1909</v>
      </c>
      <c r="FI6" s="105">
        <f t="shared" si="20"/>
        <v>614</v>
      </c>
      <c r="FJ6" s="105">
        <f t="shared" si="20"/>
        <v>0</v>
      </c>
      <c r="FK6" s="105">
        <f t="shared" si="20"/>
        <v>752</v>
      </c>
      <c r="FL6" s="105">
        <f t="shared" si="20"/>
        <v>1568</v>
      </c>
      <c r="FM6" s="105">
        <f t="shared" si="20"/>
        <v>336</v>
      </c>
      <c r="FN6" s="80">
        <f>IF(FO6="",0,(FO6-FO5))</f>
        <v>1094</v>
      </c>
      <c r="FO6" s="104">
        <v>51587</v>
      </c>
      <c r="FP6" s="309"/>
      <c r="FR6" s="64"/>
      <c r="FS6" s="64"/>
      <c r="FT6" s="64"/>
      <c r="FU6" s="64"/>
      <c r="FV6" s="64"/>
      <c r="FW6" s="64"/>
      <c r="FX6" s="64"/>
      <c r="FY6" s="64">
        <v>1</v>
      </c>
      <c r="FZ6" s="107"/>
      <c r="GA6" s="107"/>
      <c r="GB6" s="108"/>
      <c r="GC6" s="109"/>
      <c r="GD6" s="110"/>
      <c r="GE6" s="110"/>
      <c r="GF6" s="111"/>
      <c r="GG6" s="111"/>
      <c r="GH6" s="111"/>
      <c r="GI6" s="112"/>
      <c r="GJ6" s="111" t="e">
        <f>(SUM(ER5+ES5)/(GB6+GI6))</f>
        <v>#DIV/0!</v>
      </c>
      <c r="GK6" s="113"/>
    </row>
    <row r="7" spans="1:194" ht="15" customHeight="1">
      <c r="B7" s="573">
        <v>42768</v>
      </c>
      <c r="D7" s="86">
        <v>6199.92</v>
      </c>
      <c r="E7" s="86">
        <v>0</v>
      </c>
      <c r="F7" s="86">
        <v>2870.2799999999997</v>
      </c>
      <c r="G7" s="86">
        <v>914.00800000000004</v>
      </c>
      <c r="H7" s="86">
        <v>5710.51</v>
      </c>
      <c r="I7" s="86">
        <v>1439.8609999999999</v>
      </c>
      <c r="J7" s="86">
        <v>4595.6400000000003</v>
      </c>
      <c r="K7" s="86"/>
      <c r="L7" s="86">
        <v>825.44</v>
      </c>
      <c r="M7" s="115">
        <f t="shared" ref="M7:M33" si="21">I7+J7</f>
        <v>6035.5010000000002</v>
      </c>
      <c r="N7" s="88">
        <f t="shared" si="0"/>
        <v>15694.718000000001</v>
      </c>
      <c r="O7" s="88">
        <f t="shared" ref="O7:O33" si="22">N7+L7+((J7+I7)*0.5)</f>
        <v>19537.908499999998</v>
      </c>
      <c r="P7" s="89">
        <f t="shared" ref="P7:P33" si="23">P6+O7</f>
        <v>37460.408499999998</v>
      </c>
      <c r="R7" s="90">
        <f t="shared" ref="R7:R33" si="24">IF(EL7=0,"",(EL7-EL6))</f>
        <v>270</v>
      </c>
      <c r="S7" s="90">
        <f t="shared" ref="S7:S33" si="25">IF(EZ7=0,"",((EZ7-EZ6)/10))</f>
        <v>35.5</v>
      </c>
      <c r="T7" s="90">
        <f t="shared" si="1"/>
        <v>568.79999999999995</v>
      </c>
      <c r="U7" s="90">
        <f>IF(FB7=0,"",((EN7-EN6)/10))</f>
        <v>5.5</v>
      </c>
      <c r="V7" s="90">
        <f t="shared" ref="V7:V33" si="26">IF(EO7=0,"",(EO7-EO6))</f>
        <v>1322</v>
      </c>
      <c r="W7" s="91">
        <f t="shared" si="2"/>
        <v>1613.3</v>
      </c>
      <c r="X7" s="90">
        <f t="shared" ref="X7:X33" si="27">IF(V7="","",V7)</f>
        <v>1322</v>
      </c>
      <c r="Y7" s="90" t="str">
        <f t="shared" ref="Y7:Y33" si="28">IF(EQ7=0,"0",(EQ7/10))</f>
        <v>0</v>
      </c>
      <c r="Z7" s="90">
        <f t="shared" si="3"/>
        <v>120.9</v>
      </c>
      <c r="AA7" s="90">
        <f t="shared" ref="AA7:AA33" si="29">IF(SUM(R7:V7)=0,"",SUM(R7:V7))</f>
        <v>2201.8000000000002</v>
      </c>
      <c r="AB7" s="90">
        <f t="shared" ref="AB7:AC33" si="30">IF(DU7=0,"",(DU7-DU6))</f>
        <v>260</v>
      </c>
      <c r="AC7" s="90">
        <f t="shared" si="30"/>
        <v>30</v>
      </c>
      <c r="AD7" s="90">
        <f t="shared" ref="AD7:AD32" si="31">(IF(SUM(AB7:AC7)&gt;=(DW7-DW6),(SUM(AB7:AC7)),(DW7-DW6)))</f>
        <v>495</v>
      </c>
      <c r="AE7" s="90">
        <f t="shared" ref="AE7:AE33" si="32">IF(AB7="","",(AD7-AC7-AB7))</f>
        <v>205</v>
      </c>
      <c r="AF7" s="90">
        <f t="shared" ref="AF7:AG33" si="33">IF(DX7=0,"",(DX7-DX6))</f>
        <v>0</v>
      </c>
      <c r="AG7" s="90">
        <f t="shared" si="33"/>
        <v>0</v>
      </c>
      <c r="AH7" s="90">
        <f t="shared" ref="AH7:AH33" si="34">(IF(SUM(AF7:AG7)&gt;=(DZ7-DZ6),(SUM(AF7:AG7)),(DZ7-DZ6)))</f>
        <v>3</v>
      </c>
      <c r="AI7" s="90">
        <f t="shared" ref="AI7:AI33" si="35">IF(AF7="","",(AH7-AG7-AF7))</f>
        <v>3</v>
      </c>
      <c r="AJ7" s="90">
        <f t="shared" ref="AJ7:AK33" si="36">IF(EA7=0,"",(EA7-EA6))</f>
        <v>214</v>
      </c>
      <c r="AK7" s="90">
        <f t="shared" si="36"/>
        <v>10</v>
      </c>
      <c r="AL7" s="90">
        <f t="shared" ref="AL7:AL33" si="37">(IF(SUM(AJ7:AK7)&gt;=(EC7-EC6),(SUM(AJ7:AK7)),(EC7-EC6)))</f>
        <v>296</v>
      </c>
      <c r="AM7" s="90">
        <f t="shared" ref="AM7:AM33" si="38">IF(AJ7="","",(AL7-AK7-AJ7))</f>
        <v>72</v>
      </c>
      <c r="AN7" s="90">
        <f t="shared" ref="AN7:AN33" si="39">IF(ED7=0,"",(ED7-ED6))</f>
        <v>57</v>
      </c>
      <c r="AO7" s="90">
        <f t="shared" si="4"/>
        <v>20</v>
      </c>
      <c r="AP7" s="90">
        <f t="shared" ref="AP7:AP33" si="40">IF(EG7=0,"",(EG7-EG6))</f>
        <v>20</v>
      </c>
      <c r="AQ7" s="90">
        <f t="shared" si="5"/>
        <v>76</v>
      </c>
      <c r="AR7" s="90">
        <f t="shared" ref="AR7:AR33" si="41">IF(ET7=0,"",(ET7-ET6)/1000)</f>
        <v>51.96</v>
      </c>
      <c r="AS7" s="90">
        <f t="shared" ref="AS7:AS33" si="42">IF(AR7="","",(ES7-ES6)+((ET7-ET6)/1000)-AW7-AU7)</f>
        <v>178.96000000000004</v>
      </c>
      <c r="AT7" s="90">
        <f t="shared" ref="AT7:AT33" si="43">IF(AR7="","",ES7-ES6+((ET7-ET6)/1000))</f>
        <v>795.96</v>
      </c>
      <c r="AU7" s="90">
        <f t="shared" ref="AU7:AU33" si="44">IF(EV7="","",(EV7-EV6))</f>
        <v>170</v>
      </c>
      <c r="AV7" s="90">
        <f>IF(EI7=0,"",(EI7-EI6)+AU7)</f>
        <v>198</v>
      </c>
      <c r="AW7" s="90">
        <f t="shared" ref="AW7:AW33" si="45">IF(EU7="","",(EU7-EU6))</f>
        <v>447</v>
      </c>
      <c r="AX7" s="90">
        <f>IF(EJ7=0,"",(EJ7-EJ6)+AW7)</f>
        <v>499</v>
      </c>
      <c r="AY7" s="90" t="str">
        <f t="shared" ref="AY7:AY33" si="46">IF(EK7=0,"",(EK7-EK6))</f>
        <v/>
      </c>
      <c r="AZ7" s="90">
        <f t="shared" ref="AZ7:AZ33" si="47">IF(EW7=0,"",EW7-EW6)</f>
        <v>414</v>
      </c>
      <c r="BA7" s="90">
        <v>51</v>
      </c>
      <c r="BB7" s="90">
        <f t="shared" ref="BB7:BC33" si="48">IF(EX7=0,"",(EX7-EX6))</f>
        <v>76</v>
      </c>
      <c r="BC7" s="90">
        <f t="shared" si="48"/>
        <v>1010</v>
      </c>
      <c r="BD7" s="91">
        <f t="shared" ref="BD7:BD33" si="49">IF(FA7=0,"",(FA7-FA6))</f>
        <v>293</v>
      </c>
      <c r="BE7" s="90"/>
      <c r="BF7" s="90"/>
      <c r="BG7" s="90">
        <f t="shared" si="6"/>
        <v>1793</v>
      </c>
      <c r="BH7" s="90">
        <f t="shared" ref="BH7:BH33" si="50">BL7-FC7</f>
        <v>-308</v>
      </c>
      <c r="BI7" s="90">
        <f t="shared" ref="BI7:BI33" si="51">IF(FC7=0,"",(FC7-BJ7))</f>
        <v>1842.2399999999998</v>
      </c>
      <c r="BJ7" s="90">
        <f>IF(BH7=0,"",(AA7+AD7+AO7+BG7+AH7+AL7+AQ7+AS7+AX7+AV7))</f>
        <v>5760.76</v>
      </c>
      <c r="BK7" s="92"/>
      <c r="BL7" s="93">
        <f t="shared" ref="BL7:BL32" si="52">FD7+FN7</f>
        <v>7295</v>
      </c>
      <c r="BM7" s="93">
        <f t="shared" ref="BM7:BM32" si="53">BL7+BM6</f>
        <v>14288</v>
      </c>
      <c r="BN7" s="92"/>
      <c r="BO7" s="94">
        <f t="shared" ref="BO7:BP33" si="54">IF($N7&lt;&gt;0,IF($N7&lt;&gt;0,R7/$N7*10,0)," ")</f>
        <v>0.17203239969013778</v>
      </c>
      <c r="BP7" s="94">
        <f>IF($N7&lt;&gt;0,IF($N7&lt;&gt;0,S7/$N7*10,0)," ")</f>
        <v>2.2619074774073673E-2</v>
      </c>
      <c r="BQ7" s="94">
        <f t="shared" ref="BQ7:BQ33" si="55">IF($N7&lt;&gt;0,IF($N7&lt;&gt;0,T7/$N7*10,0)," ")</f>
        <v>0.36241492201389025</v>
      </c>
      <c r="BR7" s="94">
        <f>IF($N7&lt;&gt;0,IF($N7&lt;&gt;0,(V7)/$N7*10,0)," ")</f>
        <v>0.84232160144578572</v>
      </c>
      <c r="BS7" s="94">
        <f t="shared" si="8"/>
        <v>0</v>
      </c>
      <c r="BT7" s="94">
        <f t="shared" si="8"/>
        <v>7.7032285639028364E-2</v>
      </c>
      <c r="BU7" s="95">
        <f t="shared" si="8"/>
        <v>1.4028923616212794</v>
      </c>
      <c r="BV7" s="94">
        <f t="shared" si="9"/>
        <v>0.13819288794396803</v>
      </c>
      <c r="BW7" s="94">
        <f t="shared" si="9"/>
        <v>1.8169805637077277E-2</v>
      </c>
      <c r="BX7" s="94">
        <f t="shared" si="9"/>
        <v>0.29112635060195924</v>
      </c>
      <c r="BY7" s="94">
        <f t="shared" ref="BY7:BY33" si="56">IF($O7&lt;&gt;0,IF($O7&lt;&gt;0,(V7)/$O7*10,0)," ")</f>
        <v>0.67663332541453969</v>
      </c>
      <c r="BZ7" s="95">
        <f t="shared" si="10"/>
        <v>1.126937409907514</v>
      </c>
      <c r="CA7" s="96" t="e">
        <f>#REF!</f>
        <v>#REF!</v>
      </c>
      <c r="CB7" s="94">
        <f t="shared" si="11"/>
        <v>2.6594453546550292E-2</v>
      </c>
      <c r="CC7" s="95">
        <f t="shared" si="11"/>
        <v>9.1596293431305625E-2</v>
      </c>
      <c r="CD7" s="97">
        <f t="shared" si="12"/>
        <v>8.6090616172543086E-2</v>
      </c>
      <c r="CE7" s="98">
        <f>IFERROR(AS7*10/($I7+$J7),"")</f>
        <v>0.29651225308387824</v>
      </c>
      <c r="CF7" s="94">
        <f t="shared" ref="CF7:CG33" si="57">IF($D7&lt;&gt;0,IF($D7&lt;&gt;0,AB7/$D7*10,0),"0,00")</f>
        <v>0.41936024980967496</v>
      </c>
      <c r="CG7" s="94">
        <f t="shared" si="57"/>
        <v>4.8387721131885574E-2</v>
      </c>
      <c r="CH7" s="95">
        <f t="shared" ref="CH7:CH33" si="58">IF($D7&lt;&gt;0,IF($O7&lt;&gt;0,AD7/$D7*10,0),"0,00 ")</f>
        <v>0.79839739867611192</v>
      </c>
      <c r="CI7" s="96" t="e">
        <f>#REF!</f>
        <v>#REF!</v>
      </c>
      <c r="CJ7" s="94" t="str">
        <f t="shared" ref="CJ7:CK33" si="59">IF($E7&lt;&gt;0,IF($E7&lt;&gt;0,AF7/$E7*10,0),"0,00")</f>
        <v>0,00</v>
      </c>
      <c r="CK7" s="94" t="str">
        <f t="shared" si="59"/>
        <v>0,00</v>
      </c>
      <c r="CL7" s="95" t="str">
        <f>IF($E7&lt;&gt;0,IF($E7&lt;&gt;0,AH7/$E7*10,0),"0,00 ")</f>
        <v xml:space="preserve">0,00 </v>
      </c>
      <c r="CM7" s="95" t="e">
        <f>#REF!</f>
        <v>#REF!</v>
      </c>
      <c r="CN7" s="94">
        <f t="shared" ref="CN7:CO33" si="60">IF($F7&lt;&gt;0,IF($F7&lt;&gt;0,AJ7/$F7*10,0),"0,00")</f>
        <v>0.74557186058503011</v>
      </c>
      <c r="CO7" s="94">
        <f t="shared" si="60"/>
        <v>3.4839806569393929E-2</v>
      </c>
      <c r="CP7" s="95">
        <f t="shared" ref="CP7:CP33" si="61">IF($F7&lt;&gt;0,IF($F7&lt;&gt;0,AL7/$F7*10,0),"0,00 ")</f>
        <v>1.0312582744540604</v>
      </c>
      <c r="CQ7" s="95" t="e">
        <f>#REF!</f>
        <v>#REF!</v>
      </c>
      <c r="CR7" s="97">
        <f>IF($G7&lt;&gt;0,IF($G7&lt;&gt;0,AN7/$G7*10,0),"0,00 ")</f>
        <v>0.62362692667897868</v>
      </c>
      <c r="CS7" s="95">
        <f>IF($G7&lt;&gt;0,IF($G7&lt;&gt;0,AO7/$G7*10,0),"0,00 ")</f>
        <v>0.21881646550139605</v>
      </c>
      <c r="CT7" s="96" t="e">
        <f>#REF!</f>
        <v>#REF!</v>
      </c>
      <c r="CU7" s="97">
        <f>IF($H7&lt;&gt;0,IF($H7&lt;&gt;0,AP7/$H7*10,0),"0,00 ")</f>
        <v>3.5023141540773066E-2</v>
      </c>
      <c r="CV7" s="95">
        <f t="shared" ref="CV7:CV33" si="62">IF($H7&lt;&gt;0,IF($H7&lt;&gt;0,AQ7/$H7*10,0),"0,00 ")</f>
        <v>0.13308793785493764</v>
      </c>
      <c r="CW7" s="96" t="e">
        <f>#REF!</f>
        <v>#REF!</v>
      </c>
      <c r="CX7" s="99">
        <f t="shared" ref="CX7:DA34" si="63">IF($O7&lt;&gt;0,IF($O7&lt;&gt;0,AU7/$O7*10,0)," ")</f>
        <v>8.7010336853609482E-2</v>
      </c>
      <c r="CY7" s="95">
        <f t="shared" si="63"/>
        <v>0.10134145115890988</v>
      </c>
      <c r="CZ7" s="99">
        <f t="shared" si="63"/>
        <v>0.22878600337390259</v>
      </c>
      <c r="DA7" s="95">
        <f t="shared" si="63"/>
        <v>0.25540092994088903</v>
      </c>
      <c r="DB7" s="94">
        <f t="shared" si="13"/>
        <v>0.21189576151408429</v>
      </c>
      <c r="DC7" s="94">
        <f t="shared" si="14"/>
        <v>3.889873882867248E-2</v>
      </c>
      <c r="DD7" s="94">
        <f t="shared" si="14"/>
        <v>0.51694376601262104</v>
      </c>
      <c r="DE7" s="94">
        <f t="shared" si="14"/>
        <v>0.14996487469475048</v>
      </c>
      <c r="DF7" s="94">
        <f t="shared" si="14"/>
        <v>0</v>
      </c>
      <c r="DG7" s="94">
        <f t="shared" si="14"/>
        <v>0</v>
      </c>
      <c r="DH7" s="95">
        <f t="shared" si="14"/>
        <v>0.9177031410501284</v>
      </c>
      <c r="DI7" s="96" t="e">
        <f>#REF!</f>
        <v>#REF!</v>
      </c>
      <c r="DJ7" s="95">
        <f t="shared" ref="DJ7:DJ33" si="64">IF($O7&lt;&gt;0,IF($O7&lt;&gt;0,BH7/$O7*10,0)," ")</f>
        <v>-0.15764225735830428</v>
      </c>
      <c r="DK7" s="96" t="e">
        <f>#REF!</f>
        <v>#REF!</v>
      </c>
      <c r="DL7" s="95">
        <f t="shared" si="15"/>
        <v>0.9429054292070207</v>
      </c>
      <c r="DM7" s="96">
        <f t="shared" si="16"/>
        <v>0</v>
      </c>
      <c r="DN7" s="94">
        <f t="shared" si="17"/>
        <v>2.9485039301929379</v>
      </c>
      <c r="DO7" s="100">
        <v>3.4</v>
      </c>
      <c r="DP7" s="94">
        <f>IF($O7&lt;&gt;0,IF($O7&lt;&gt;0,BL7/$O7*10,0)," ")</f>
        <v>3.7337671020416545</v>
      </c>
      <c r="DQ7" s="94">
        <f>IF($P7&lt;&gt;0,IF($P7&lt;&gt;0,BM7/$P7*10,0)," ")</f>
        <v>3.8141602219847659</v>
      </c>
      <c r="DR7" s="101">
        <f t="shared" si="18"/>
        <v>0</v>
      </c>
      <c r="DS7" s="116"/>
      <c r="DT7" s="103">
        <v>2</v>
      </c>
      <c r="DU7" s="76">
        <v>602539</v>
      </c>
      <c r="DV7" s="76">
        <v>22349</v>
      </c>
      <c r="DW7" s="77">
        <v>5083774</v>
      </c>
      <c r="DX7" s="76">
        <v>97480</v>
      </c>
      <c r="DY7" s="76">
        <v>79751</v>
      </c>
      <c r="DZ7" s="76">
        <v>357732</v>
      </c>
      <c r="EA7" s="76">
        <v>204581</v>
      </c>
      <c r="EB7" s="77">
        <v>46376</v>
      </c>
      <c r="EC7" s="77">
        <v>359693</v>
      </c>
      <c r="ED7" s="77">
        <v>43442</v>
      </c>
      <c r="EE7" s="77">
        <v>35502</v>
      </c>
      <c r="EF7" s="77">
        <v>37099</v>
      </c>
      <c r="EG7" s="76">
        <v>88210</v>
      </c>
      <c r="EH7" s="76">
        <v>173806</v>
      </c>
      <c r="EI7" s="76">
        <v>27891</v>
      </c>
      <c r="EJ7" s="77">
        <v>36193</v>
      </c>
      <c r="EK7" s="77"/>
      <c r="EL7" s="76">
        <v>672531</v>
      </c>
      <c r="EM7" s="76">
        <v>5688</v>
      </c>
      <c r="EN7" s="77">
        <v>38447</v>
      </c>
      <c r="EO7" s="76">
        <v>2805146</v>
      </c>
      <c r="EP7" s="77">
        <v>2467105</v>
      </c>
      <c r="EQ7" s="77">
        <v>0</v>
      </c>
      <c r="ER7" s="77">
        <v>1209</v>
      </c>
      <c r="ES7" s="77">
        <v>257279</v>
      </c>
      <c r="ET7" s="77">
        <v>8648204</v>
      </c>
      <c r="EU7" s="77">
        <v>362351</v>
      </c>
      <c r="EV7" s="77">
        <v>103981</v>
      </c>
      <c r="EW7" s="77">
        <v>56726</v>
      </c>
      <c r="EX7" s="76">
        <v>193687</v>
      </c>
      <c r="EY7" s="117">
        <v>1541540</v>
      </c>
      <c r="EZ7" s="76">
        <v>681269</v>
      </c>
      <c r="FA7" s="76">
        <v>713028</v>
      </c>
      <c r="FB7" s="77">
        <v>29739</v>
      </c>
      <c r="FC7" s="76">
        <v>7603</v>
      </c>
      <c r="FD7" s="104">
        <f t="shared" si="19"/>
        <v>7295</v>
      </c>
      <c r="FE7" s="105">
        <f t="shared" si="20"/>
        <v>0</v>
      </c>
      <c r="FF7" s="105">
        <f t="shared" si="20"/>
        <v>838</v>
      </c>
      <c r="FG7" s="105">
        <f t="shared" si="20"/>
        <v>968</v>
      </c>
      <c r="FH7" s="105">
        <f t="shared" si="20"/>
        <v>1622</v>
      </c>
      <c r="FI7" s="105">
        <f t="shared" si="20"/>
        <v>777</v>
      </c>
      <c r="FJ7" s="105">
        <f t="shared" si="20"/>
        <v>0</v>
      </c>
      <c r="FK7" s="105">
        <f t="shared" si="20"/>
        <v>892</v>
      </c>
      <c r="FL7" s="105">
        <f t="shared" si="20"/>
        <v>1844</v>
      </c>
      <c r="FM7" s="105">
        <f t="shared" si="20"/>
        <v>354</v>
      </c>
      <c r="FN7" s="80">
        <f>IF(FO7="",0,(FO7-FO6))</f>
        <v>0</v>
      </c>
      <c r="FO7" s="104">
        <v>51587</v>
      </c>
      <c r="FP7" s="310"/>
      <c r="FR7" s="64"/>
      <c r="FS7" s="64"/>
      <c r="FT7" s="64"/>
      <c r="FU7" s="64"/>
      <c r="FV7" s="64"/>
      <c r="FW7" s="64"/>
      <c r="FX7" s="64"/>
      <c r="FY7" s="64">
        <v>2</v>
      </c>
      <c r="FZ7" s="107"/>
      <c r="GA7" s="107"/>
      <c r="GB7" s="108"/>
      <c r="GC7" s="109"/>
      <c r="GD7" s="110"/>
      <c r="GE7" s="110"/>
      <c r="GF7" s="111"/>
      <c r="GG7" s="111"/>
      <c r="GH7" s="111"/>
      <c r="GI7" s="112"/>
      <c r="GJ7" s="111" t="e">
        <f t="shared" ref="GJ7:GJ33" si="65">(SUM(EQ6+ER6)/(GB7+GI7))</f>
        <v>#DIV/0!</v>
      </c>
      <c r="GK7" s="118"/>
    </row>
    <row r="8" spans="1:194" s="119" customFormat="1" ht="15" customHeight="1">
      <c r="B8" s="573">
        <v>42769</v>
      </c>
      <c r="D8" s="86">
        <v>6551.6399999999994</v>
      </c>
      <c r="E8" s="86">
        <v>0</v>
      </c>
      <c r="F8" s="86">
        <v>2931.9120000000003</v>
      </c>
      <c r="G8" s="86">
        <v>3481.1959999999999</v>
      </c>
      <c r="H8" s="86">
        <v>6174.6939999999995</v>
      </c>
      <c r="I8" s="86">
        <v>884.05799999999999</v>
      </c>
      <c r="J8" s="284">
        <v>7735.56</v>
      </c>
      <c r="K8" s="86"/>
      <c r="L8" s="86">
        <v>164.36</v>
      </c>
      <c r="M8" s="115">
        <f t="shared" si="21"/>
        <v>8619.6180000000004</v>
      </c>
      <c r="N8" s="88">
        <f t="shared" si="0"/>
        <v>19139.441999999999</v>
      </c>
      <c r="O8" s="88">
        <f t="shared" si="22"/>
        <v>23613.611000000001</v>
      </c>
      <c r="P8" s="89">
        <f t="shared" si="23"/>
        <v>61074.019499999995</v>
      </c>
      <c r="R8" s="90">
        <f t="shared" si="24"/>
        <v>321</v>
      </c>
      <c r="S8" s="90">
        <f t="shared" si="25"/>
        <v>69.7</v>
      </c>
      <c r="T8" s="90">
        <f t="shared" si="1"/>
        <v>400.5</v>
      </c>
      <c r="U8" s="90">
        <f>IF(FB8=0,"",((EN8-EN7)/10))</f>
        <v>5.5</v>
      </c>
      <c r="V8" s="90">
        <f t="shared" si="26"/>
        <v>1325</v>
      </c>
      <c r="W8" s="91">
        <f t="shared" si="2"/>
        <v>254.1</v>
      </c>
      <c r="X8" s="90">
        <f t="shared" si="27"/>
        <v>1325</v>
      </c>
      <c r="Y8" s="90" t="str">
        <f t="shared" si="28"/>
        <v>0</v>
      </c>
      <c r="Z8" s="90">
        <f t="shared" si="3"/>
        <v>153.19999999999999</v>
      </c>
      <c r="AA8" s="90">
        <f t="shared" si="29"/>
        <v>2121.6999999999998</v>
      </c>
      <c r="AB8" s="90">
        <f t="shared" si="30"/>
        <v>301</v>
      </c>
      <c r="AC8" s="90">
        <f t="shared" si="30"/>
        <v>17</v>
      </c>
      <c r="AD8" s="90">
        <f t="shared" si="31"/>
        <v>482</v>
      </c>
      <c r="AE8" s="90">
        <f t="shared" si="32"/>
        <v>164</v>
      </c>
      <c r="AF8" s="90">
        <f t="shared" si="33"/>
        <v>0</v>
      </c>
      <c r="AG8" s="90">
        <f t="shared" si="33"/>
        <v>0</v>
      </c>
      <c r="AH8" s="90">
        <f t="shared" si="34"/>
        <v>103</v>
      </c>
      <c r="AI8" s="90">
        <f t="shared" si="35"/>
        <v>103</v>
      </c>
      <c r="AJ8" s="90">
        <f t="shared" si="36"/>
        <v>243</v>
      </c>
      <c r="AK8" s="90">
        <f t="shared" si="36"/>
        <v>14</v>
      </c>
      <c r="AL8" s="90">
        <f t="shared" si="37"/>
        <v>327</v>
      </c>
      <c r="AM8" s="90">
        <f t="shared" si="38"/>
        <v>70</v>
      </c>
      <c r="AN8" s="90">
        <f t="shared" si="39"/>
        <v>4</v>
      </c>
      <c r="AO8" s="90">
        <f t="shared" si="4"/>
        <v>56</v>
      </c>
      <c r="AP8" s="90">
        <f t="shared" si="40"/>
        <v>17</v>
      </c>
      <c r="AQ8" s="90">
        <f t="shared" si="5"/>
        <v>34</v>
      </c>
      <c r="AR8" s="90">
        <f t="shared" si="41"/>
        <v>67.968000000000004</v>
      </c>
      <c r="AS8" s="90">
        <f t="shared" si="42"/>
        <v>220.96799999999996</v>
      </c>
      <c r="AT8" s="90">
        <f t="shared" si="43"/>
        <v>973.96799999999996</v>
      </c>
      <c r="AU8" s="90">
        <f t="shared" si="44"/>
        <v>132</v>
      </c>
      <c r="AV8" s="90">
        <f t="shared" ref="AV8:AV33" si="66">IF(EI8=0,"",(EI8-EI7))</f>
        <v>44</v>
      </c>
      <c r="AW8" s="90">
        <f t="shared" si="45"/>
        <v>621</v>
      </c>
      <c r="AX8" s="90">
        <f t="shared" ref="AX8:AX33" si="67">IF(EJ8=0,"",(EJ8-EJ7))</f>
        <v>43</v>
      </c>
      <c r="AY8" s="90" t="str">
        <f t="shared" si="46"/>
        <v/>
      </c>
      <c r="AZ8" s="90">
        <f t="shared" si="47"/>
        <v>396</v>
      </c>
      <c r="BA8" s="90">
        <v>43</v>
      </c>
      <c r="BB8" s="90">
        <f t="shared" si="48"/>
        <v>91</v>
      </c>
      <c r="BC8" s="90">
        <f t="shared" si="48"/>
        <v>1008</v>
      </c>
      <c r="BD8" s="91">
        <f t="shared" si="49"/>
        <v>131</v>
      </c>
      <c r="BE8" s="90"/>
      <c r="BF8" s="90"/>
      <c r="BG8" s="90">
        <f t="shared" si="6"/>
        <v>1626</v>
      </c>
      <c r="BH8" s="90">
        <f t="shared" si="50"/>
        <v>44</v>
      </c>
      <c r="BI8" s="90">
        <f t="shared" si="51"/>
        <v>1616.3320000000003</v>
      </c>
      <c r="BJ8" s="90">
        <f t="shared" si="7"/>
        <v>5057.6679999999997</v>
      </c>
      <c r="BK8" s="92"/>
      <c r="BL8" s="93">
        <f t="shared" si="52"/>
        <v>6718</v>
      </c>
      <c r="BM8" s="93">
        <f t="shared" si="53"/>
        <v>21006</v>
      </c>
      <c r="BN8" s="92" t="s">
        <v>125</v>
      </c>
      <c r="BO8" s="94">
        <f t="shared" si="54"/>
        <v>0.16771648828633562</v>
      </c>
      <c r="BP8" s="94">
        <f t="shared" si="54"/>
        <v>3.6416944652827396E-2</v>
      </c>
      <c r="BQ8" s="94">
        <f t="shared" si="55"/>
        <v>0.20925374940397951</v>
      </c>
      <c r="BR8" s="94">
        <f t="shared" ref="BR8:BR33" si="68">IF($N8&lt;&gt;0,IF($N8&lt;&gt;0,(V8)/$N8*10,0)," ")</f>
        <v>0.69228768529406448</v>
      </c>
      <c r="BS8" s="94">
        <f t="shared" si="8"/>
        <v>0</v>
      </c>
      <c r="BT8" s="94">
        <f t="shared" si="8"/>
        <v>8.0044130858151458E-2</v>
      </c>
      <c r="BU8" s="95">
        <f t="shared" si="8"/>
        <v>1.1085485146327674</v>
      </c>
      <c r="BV8" s="94">
        <f t="shared" si="9"/>
        <v>0.13593854832282956</v>
      </c>
      <c r="BW8" s="94">
        <f t="shared" si="9"/>
        <v>2.9516874822745238E-2</v>
      </c>
      <c r="BX8" s="94">
        <f t="shared" si="9"/>
        <v>0.16960557197287615</v>
      </c>
      <c r="BY8" s="94">
        <f t="shared" si="56"/>
        <v>0.56111706083410962</v>
      </c>
      <c r="BZ8" s="95">
        <f t="shared" si="10"/>
        <v>0.89850722111073977</v>
      </c>
      <c r="CA8" s="96" t="e">
        <f>#REF!</f>
        <v>#REF!</v>
      </c>
      <c r="CB8" s="94">
        <f t="shared" si="11"/>
        <v>2.8783399540205857E-2</v>
      </c>
      <c r="CC8" s="95">
        <f t="shared" si="11"/>
        <v>9.3576539395012467E-2</v>
      </c>
      <c r="CD8" s="97">
        <f t="shared" si="12"/>
        <v>7.8852682334646387E-2</v>
      </c>
      <c r="CE8" s="98">
        <f t="shared" si="12"/>
        <v>0.25635474797142976</v>
      </c>
      <c r="CF8" s="94">
        <f t="shared" si="57"/>
        <v>0.45942695264086558</v>
      </c>
      <c r="CG8" s="94">
        <f t="shared" si="57"/>
        <v>2.5947701644168483E-2</v>
      </c>
      <c r="CH8" s="95">
        <f t="shared" si="58"/>
        <v>0.73569365838171819</v>
      </c>
      <c r="CI8" s="96" t="e">
        <f>#REF!</f>
        <v>#REF!</v>
      </c>
      <c r="CJ8" s="94" t="str">
        <f t="shared" si="59"/>
        <v>0,00</v>
      </c>
      <c r="CK8" s="94" t="str">
        <f t="shared" si="59"/>
        <v>0,00</v>
      </c>
      <c r="CL8" s="95" t="str">
        <f t="shared" ref="CL8:CL33" si="69">IF($E8&lt;&gt;0,IF($E8&lt;&gt;0,AH8/$E8*10,0),"0,00 ")</f>
        <v xml:space="preserve">0,00 </v>
      </c>
      <c r="CM8" s="95" t="e">
        <f>#REF!</f>
        <v>#REF!</v>
      </c>
      <c r="CN8" s="94">
        <f t="shared" si="60"/>
        <v>0.82881068736033003</v>
      </c>
      <c r="CO8" s="94">
        <f t="shared" si="60"/>
        <v>4.7750409971377035E-2</v>
      </c>
      <c r="CP8" s="95">
        <f t="shared" si="61"/>
        <v>1.1153131471885922</v>
      </c>
      <c r="CQ8" s="95" t="e">
        <f>#REF!</f>
        <v>#REF!</v>
      </c>
      <c r="CR8" s="97">
        <f t="shared" ref="CR8:CS33" si="70">IF($G8&lt;&gt;0,IF($G8&lt;&gt;0,AN8/$G8*10,0),"0,00 ")</f>
        <v>1.1490303907048038E-2</v>
      </c>
      <c r="CS8" s="95">
        <f t="shared" si="70"/>
        <v>0.16086425469867255</v>
      </c>
      <c r="CT8" s="96" t="e">
        <f>#REF!</f>
        <v>#REF!</v>
      </c>
      <c r="CU8" s="97">
        <f t="shared" ref="CU8:CU33" si="71">IF($H8&lt;&gt;0,IF($H8&lt;&gt;0,AP8/$H8*10,0),"0,00 ")</f>
        <v>2.753172869781078E-2</v>
      </c>
      <c r="CV8" s="95">
        <f t="shared" si="62"/>
        <v>5.5063457395621559E-2</v>
      </c>
      <c r="CW8" s="96" t="e">
        <f>#REF!</f>
        <v>#REF!</v>
      </c>
      <c r="CX8" s="99">
        <f t="shared" si="63"/>
        <v>5.5899963796303749E-2</v>
      </c>
      <c r="CY8" s="95">
        <f t="shared" si="63"/>
        <v>1.8633321265434582E-2</v>
      </c>
      <c r="CZ8" s="99">
        <f t="shared" si="63"/>
        <v>0.26298392058715625</v>
      </c>
      <c r="DA8" s="95">
        <f t="shared" si="63"/>
        <v>1.8209836691220161E-2</v>
      </c>
      <c r="DB8" s="94">
        <f t="shared" si="13"/>
        <v>0.16769989138891123</v>
      </c>
      <c r="DC8" s="94">
        <f t="shared" si="14"/>
        <v>3.8537096253512433E-2</v>
      </c>
      <c r="DD8" s="94">
        <f t="shared" si="14"/>
        <v>0.42687245080813774</v>
      </c>
      <c r="DE8" s="94">
        <f t="shared" si="14"/>
        <v>5.5476479222089328E-2</v>
      </c>
      <c r="DF8" s="94">
        <f t="shared" si="14"/>
        <v>0</v>
      </c>
      <c r="DG8" s="94">
        <f t="shared" si="14"/>
        <v>0</v>
      </c>
      <c r="DH8" s="95">
        <f t="shared" si="14"/>
        <v>0.68858591767265065</v>
      </c>
      <c r="DI8" s="96" t="e">
        <f>#REF!</f>
        <v>#REF!</v>
      </c>
      <c r="DJ8" s="95">
        <f t="shared" si="64"/>
        <v>1.8633321265434582E-2</v>
      </c>
      <c r="DK8" s="96" t="e">
        <f>#REF!</f>
        <v>#REF!</v>
      </c>
      <c r="DL8" s="95">
        <f t="shared" si="15"/>
        <v>0.6844916688091458</v>
      </c>
      <c r="DM8" s="96">
        <f t="shared" si="16"/>
        <v>0</v>
      </c>
      <c r="DN8" s="94">
        <f t="shared" si="17"/>
        <v>2.141844379497909</v>
      </c>
      <c r="DO8" s="100">
        <v>3.4</v>
      </c>
      <c r="DP8" s="94">
        <f>IF($O8&lt;&gt;0,IF($O8&lt;&gt;0,BL8/$O8*10,0)," ")</f>
        <v>2.8449693695724894</v>
      </c>
      <c r="DQ8" s="94">
        <f>IF($P8&lt;&gt;0,IF($P8&lt;&gt;0,BM8/$P8*10,0)," ")</f>
        <v>3.4394330309306076</v>
      </c>
      <c r="DR8" s="101">
        <f t="shared" si="18"/>
        <v>0</v>
      </c>
      <c r="DS8" s="116"/>
      <c r="DT8" s="103">
        <v>3</v>
      </c>
      <c r="DU8" s="120">
        <v>602840</v>
      </c>
      <c r="DV8" s="120">
        <v>22366</v>
      </c>
      <c r="DW8" s="120">
        <v>5084256</v>
      </c>
      <c r="DX8" s="120">
        <v>97480</v>
      </c>
      <c r="DY8" s="120">
        <v>79751</v>
      </c>
      <c r="DZ8" s="120">
        <v>357835</v>
      </c>
      <c r="EA8" s="120">
        <v>204824</v>
      </c>
      <c r="EB8" s="121">
        <v>46390</v>
      </c>
      <c r="EC8" s="120">
        <v>360020</v>
      </c>
      <c r="ED8" s="120">
        <v>43446</v>
      </c>
      <c r="EE8" s="122">
        <v>35551</v>
      </c>
      <c r="EF8" s="121">
        <v>37106</v>
      </c>
      <c r="EG8" s="120">
        <v>88227</v>
      </c>
      <c r="EH8" s="120">
        <v>173840</v>
      </c>
      <c r="EI8" s="120">
        <v>27935</v>
      </c>
      <c r="EJ8" s="121">
        <v>36236</v>
      </c>
      <c r="EK8" s="121"/>
      <c r="EL8" s="120">
        <v>672852</v>
      </c>
      <c r="EM8" s="121">
        <v>4005</v>
      </c>
      <c r="EN8" s="121">
        <v>38502</v>
      </c>
      <c r="EO8" s="120">
        <v>2806471</v>
      </c>
      <c r="EP8" s="121">
        <v>2469646</v>
      </c>
      <c r="EQ8" s="121">
        <v>0</v>
      </c>
      <c r="ER8" s="121">
        <v>1532</v>
      </c>
      <c r="ES8" s="121">
        <v>258185</v>
      </c>
      <c r="ET8" s="121">
        <v>8716172</v>
      </c>
      <c r="EU8" s="121">
        <v>362972</v>
      </c>
      <c r="EV8" s="121">
        <v>104113</v>
      </c>
      <c r="EW8" s="121">
        <v>57122</v>
      </c>
      <c r="EX8" s="120">
        <v>193778</v>
      </c>
      <c r="EY8" s="120">
        <v>1542548</v>
      </c>
      <c r="EZ8" s="120">
        <v>681966</v>
      </c>
      <c r="FA8" s="120">
        <v>713159</v>
      </c>
      <c r="FB8" s="77">
        <v>29793</v>
      </c>
      <c r="FC8" s="77">
        <v>6674</v>
      </c>
      <c r="FD8" s="104">
        <f t="shared" si="19"/>
        <v>6718</v>
      </c>
      <c r="FE8" s="105">
        <f t="shared" si="20"/>
        <v>0</v>
      </c>
      <c r="FF8" s="105">
        <f t="shared" si="20"/>
        <v>371</v>
      </c>
      <c r="FG8" s="105">
        <f t="shared" si="20"/>
        <v>2166</v>
      </c>
      <c r="FH8" s="105">
        <f t="shared" si="20"/>
        <v>1691</v>
      </c>
      <c r="FI8" s="105">
        <f t="shared" si="20"/>
        <v>77</v>
      </c>
      <c r="FJ8" s="105">
        <f t="shared" si="20"/>
        <v>0</v>
      </c>
      <c r="FK8" s="105">
        <f t="shared" si="20"/>
        <v>668</v>
      </c>
      <c r="FL8" s="105">
        <f t="shared" si="20"/>
        <v>1394</v>
      </c>
      <c r="FM8" s="105">
        <f t="shared" si="20"/>
        <v>351</v>
      </c>
      <c r="FN8" s="80">
        <f>IF(FO8="",0,(FO8-FO7))</f>
        <v>0</v>
      </c>
      <c r="FO8" s="104">
        <v>51587</v>
      </c>
      <c r="FP8" s="311"/>
      <c r="FY8" s="119">
        <v>3</v>
      </c>
      <c r="FZ8" s="107"/>
      <c r="GA8" s="107"/>
      <c r="GB8" s="108"/>
      <c r="GC8" s="109"/>
      <c r="GD8" s="110"/>
      <c r="GE8" s="110"/>
      <c r="GF8" s="111"/>
      <c r="GG8" s="111"/>
      <c r="GH8" s="111"/>
      <c r="GI8" s="112"/>
      <c r="GJ8" s="111" t="e">
        <f t="shared" si="65"/>
        <v>#DIV/0!</v>
      </c>
      <c r="GK8" s="113"/>
    </row>
    <row r="9" spans="1:194" s="119" customFormat="1" ht="15" customHeight="1">
      <c r="B9" s="573">
        <v>42770</v>
      </c>
      <c r="D9" s="86">
        <v>6375.12</v>
      </c>
      <c r="E9" s="86">
        <v>0</v>
      </c>
      <c r="F9" s="86">
        <v>3007.8</v>
      </c>
      <c r="G9" s="86">
        <v>4009.7809999999999</v>
      </c>
      <c r="H9" s="86">
        <v>8941.630000000001</v>
      </c>
      <c r="I9" s="86">
        <v>1315.9760000000001</v>
      </c>
      <c r="J9" s="86">
        <v>3595.2</v>
      </c>
      <c r="K9" s="86"/>
      <c r="L9" s="86">
        <v>206.72</v>
      </c>
      <c r="M9" s="115">
        <f t="shared" si="21"/>
        <v>4911.1759999999995</v>
      </c>
      <c r="N9" s="88">
        <f t="shared" si="0"/>
        <v>22334.331000000002</v>
      </c>
      <c r="O9" s="88">
        <f t="shared" si="22"/>
        <v>24996.639000000003</v>
      </c>
      <c r="P9" s="89">
        <f t="shared" si="23"/>
        <v>86070.65849999999</v>
      </c>
      <c r="R9" s="90">
        <f t="shared" si="24"/>
        <v>282</v>
      </c>
      <c r="S9" s="90">
        <f t="shared" si="25"/>
        <v>16.7</v>
      </c>
      <c r="T9" s="90">
        <f t="shared" si="1"/>
        <v>870.1</v>
      </c>
      <c r="U9" s="90">
        <f>IF(FB9=0,"",((EN9-EN8)/10))</f>
        <v>4.8</v>
      </c>
      <c r="V9" s="90">
        <f t="shared" si="26"/>
        <v>1337</v>
      </c>
      <c r="W9" s="91">
        <f t="shared" si="2"/>
        <v>120.8</v>
      </c>
      <c r="X9" s="90">
        <f t="shared" si="27"/>
        <v>1337</v>
      </c>
      <c r="Y9" s="90" t="str">
        <f t="shared" si="28"/>
        <v>0</v>
      </c>
      <c r="Z9" s="90">
        <f t="shared" si="3"/>
        <v>151.1</v>
      </c>
      <c r="AA9" s="90">
        <f t="shared" si="29"/>
        <v>2510.6</v>
      </c>
      <c r="AB9" s="90">
        <f t="shared" si="30"/>
        <v>158</v>
      </c>
      <c r="AC9" s="90">
        <f t="shared" si="30"/>
        <v>0</v>
      </c>
      <c r="AD9" s="90">
        <f t="shared" si="31"/>
        <v>408</v>
      </c>
      <c r="AE9" s="90">
        <f t="shared" si="32"/>
        <v>250</v>
      </c>
      <c r="AF9" s="90">
        <f t="shared" si="33"/>
        <v>0</v>
      </c>
      <c r="AG9" s="90">
        <f t="shared" si="33"/>
        <v>0</v>
      </c>
      <c r="AH9" s="90">
        <f t="shared" si="34"/>
        <v>0</v>
      </c>
      <c r="AI9" s="90">
        <f t="shared" si="35"/>
        <v>0</v>
      </c>
      <c r="AJ9" s="90">
        <f t="shared" si="36"/>
        <v>231</v>
      </c>
      <c r="AK9" s="90">
        <f t="shared" si="36"/>
        <v>10</v>
      </c>
      <c r="AL9" s="90">
        <f t="shared" si="37"/>
        <v>313</v>
      </c>
      <c r="AM9" s="90">
        <f t="shared" si="38"/>
        <v>72</v>
      </c>
      <c r="AN9" s="90">
        <f t="shared" si="39"/>
        <v>54</v>
      </c>
      <c r="AO9" s="90">
        <f t="shared" si="4"/>
        <v>19</v>
      </c>
      <c r="AP9" s="90">
        <f t="shared" si="40"/>
        <v>10</v>
      </c>
      <c r="AQ9" s="90">
        <f t="shared" si="5"/>
        <v>24</v>
      </c>
      <c r="AR9" s="90">
        <f t="shared" si="41"/>
        <v>71.122</v>
      </c>
      <c r="AS9" s="90">
        <f t="shared" si="42"/>
        <v>73.121999999999957</v>
      </c>
      <c r="AT9" s="90">
        <f t="shared" si="43"/>
        <v>516.12199999999996</v>
      </c>
      <c r="AU9" s="90">
        <f t="shared" si="44"/>
        <v>167</v>
      </c>
      <c r="AV9" s="90">
        <f t="shared" si="66"/>
        <v>63</v>
      </c>
      <c r="AW9" s="90">
        <f t="shared" si="45"/>
        <v>276</v>
      </c>
      <c r="AX9" s="90">
        <f t="shared" si="67"/>
        <v>68</v>
      </c>
      <c r="AY9" s="90" t="str">
        <f t="shared" si="46"/>
        <v/>
      </c>
      <c r="AZ9" s="90">
        <f t="shared" si="47"/>
        <v>376</v>
      </c>
      <c r="BA9" s="90">
        <v>53</v>
      </c>
      <c r="BB9" s="90">
        <f t="shared" si="48"/>
        <v>41</v>
      </c>
      <c r="BC9" s="90">
        <f t="shared" si="48"/>
        <v>979</v>
      </c>
      <c r="BD9" s="91">
        <f t="shared" si="49"/>
        <v>56</v>
      </c>
      <c r="BE9" s="90"/>
      <c r="BF9" s="90"/>
      <c r="BG9" s="90">
        <f t="shared" si="6"/>
        <v>1452</v>
      </c>
      <c r="BH9" s="90">
        <f t="shared" si="50"/>
        <v>358</v>
      </c>
      <c r="BI9" s="90">
        <f t="shared" si="51"/>
        <v>1307.2779999999993</v>
      </c>
      <c r="BJ9" s="90">
        <f t="shared" si="7"/>
        <v>4930.7220000000007</v>
      </c>
      <c r="BK9" s="92"/>
      <c r="BL9" s="93">
        <f t="shared" si="52"/>
        <v>6596</v>
      </c>
      <c r="BM9" s="93">
        <f t="shared" si="53"/>
        <v>27602</v>
      </c>
      <c r="BN9" s="92"/>
      <c r="BO9" s="94">
        <f t="shared" si="54"/>
        <v>0.1262630163401805</v>
      </c>
      <c r="BP9" s="94">
        <f t="shared" si="54"/>
        <v>7.4772779180177808E-3</v>
      </c>
      <c r="BQ9" s="94">
        <f t="shared" si="55"/>
        <v>0.38957961176450728</v>
      </c>
      <c r="BR9" s="94">
        <f t="shared" si="68"/>
        <v>0.59862997463411816</v>
      </c>
      <c r="BS9" s="94">
        <f t="shared" si="8"/>
        <v>0</v>
      </c>
      <c r="BT9" s="94">
        <f t="shared" si="8"/>
        <v>6.7653694216316562E-2</v>
      </c>
      <c r="BU9" s="95">
        <f t="shared" si="8"/>
        <v>1.1240990383817628</v>
      </c>
      <c r="BV9" s="94">
        <f t="shared" si="9"/>
        <v>0.11281516687103413</v>
      </c>
      <c r="BW9" s="94">
        <f t="shared" si="9"/>
        <v>6.680898179951311E-3</v>
      </c>
      <c r="BX9" s="94">
        <f t="shared" si="9"/>
        <v>0.34808679678896026</v>
      </c>
      <c r="BY9" s="94">
        <f t="shared" si="56"/>
        <v>0.53487190817933561</v>
      </c>
      <c r="BZ9" s="95">
        <f t="shared" si="10"/>
        <v>1.0043750281787882</v>
      </c>
      <c r="CA9" s="96" t="e">
        <f>#REF!</f>
        <v>#REF!</v>
      </c>
      <c r="CB9" s="94">
        <f t="shared" si="11"/>
        <v>2.8452625170927975E-2</v>
      </c>
      <c r="CC9" s="95">
        <f t="shared" si="11"/>
        <v>2.9252732737389195E-2</v>
      </c>
      <c r="CD9" s="97">
        <f t="shared" si="12"/>
        <v>0.14481663862178837</v>
      </c>
      <c r="CE9" s="98">
        <f t="shared" si="12"/>
        <v>0.14888898300529235</v>
      </c>
      <c r="CF9" s="94">
        <f t="shared" si="57"/>
        <v>0.24783847206013376</v>
      </c>
      <c r="CG9" s="94">
        <f t="shared" si="57"/>
        <v>0</v>
      </c>
      <c r="CH9" s="95">
        <f t="shared" si="58"/>
        <v>0.63998795316794033</v>
      </c>
      <c r="CI9" s="96" t="e">
        <f>#REF!</f>
        <v>#REF!</v>
      </c>
      <c r="CJ9" s="94" t="str">
        <f t="shared" si="59"/>
        <v>0,00</v>
      </c>
      <c r="CK9" s="94" t="str">
        <f t="shared" si="59"/>
        <v>0,00</v>
      </c>
      <c r="CL9" s="95" t="str">
        <f t="shared" si="69"/>
        <v xml:space="preserve">0,00 </v>
      </c>
      <c r="CM9" s="95" t="e">
        <f>#REF!</f>
        <v>#REF!</v>
      </c>
      <c r="CN9" s="94">
        <f t="shared" si="60"/>
        <v>0.76800319170157594</v>
      </c>
      <c r="CO9" s="94">
        <f t="shared" si="60"/>
        <v>3.3246891415652638E-2</v>
      </c>
      <c r="CP9" s="95">
        <f t="shared" si="61"/>
        <v>1.0406277013099274</v>
      </c>
      <c r="CQ9" s="95" t="e">
        <f>#REF!</f>
        <v>#REF!</v>
      </c>
      <c r="CR9" s="97">
        <f t="shared" si="70"/>
        <v>0.13467069647943367</v>
      </c>
      <c r="CS9" s="95">
        <f t="shared" si="70"/>
        <v>4.7384133946467399E-2</v>
      </c>
      <c r="CT9" s="96" t="e">
        <f>#REF!</f>
        <v>#REF!</v>
      </c>
      <c r="CU9" s="97">
        <f t="shared" si="71"/>
        <v>1.1183643250727215E-2</v>
      </c>
      <c r="CV9" s="95">
        <f t="shared" si="62"/>
        <v>2.6840743801745316E-2</v>
      </c>
      <c r="CW9" s="96" t="e">
        <f>#REF!</f>
        <v>#REF!</v>
      </c>
      <c r="CX9" s="99">
        <f t="shared" si="63"/>
        <v>6.6808981799513112E-2</v>
      </c>
      <c r="CY9" s="95">
        <f t="shared" si="63"/>
        <v>2.52033883435289E-2</v>
      </c>
      <c r="CZ9" s="99">
        <f t="shared" si="63"/>
        <v>0.11041484417165043</v>
      </c>
      <c r="DA9" s="95">
        <f t="shared" si="63"/>
        <v>2.720365725968199E-2</v>
      </c>
      <c r="DB9" s="94">
        <f t="shared" si="13"/>
        <v>0.15042022249471215</v>
      </c>
      <c r="DC9" s="94">
        <f t="shared" si="14"/>
        <v>1.6402205112455319E-2</v>
      </c>
      <c r="DD9" s="94">
        <f t="shared" si="14"/>
        <v>0.39165265378277447</v>
      </c>
      <c r="DE9" s="94">
        <f t="shared" si="14"/>
        <v>2.240301186091458E-2</v>
      </c>
      <c r="DF9" s="94">
        <f t="shared" si="14"/>
        <v>0</v>
      </c>
      <c r="DG9" s="94">
        <f t="shared" si="14"/>
        <v>0</v>
      </c>
      <c r="DH9" s="95">
        <f t="shared" si="14"/>
        <v>0.5808780932508566</v>
      </c>
      <c r="DI9" s="96" t="e">
        <f>#REF!</f>
        <v>#REF!</v>
      </c>
      <c r="DJ9" s="95">
        <f t="shared" si="64"/>
        <v>0.14321925439656105</v>
      </c>
      <c r="DK9" s="96" t="e">
        <f>#REF!</f>
        <v>#REF!</v>
      </c>
      <c r="DL9" s="95">
        <f t="shared" si="15"/>
        <v>0.52298150963415491</v>
      </c>
      <c r="DM9" s="96">
        <f t="shared" si="16"/>
        <v>0</v>
      </c>
      <c r="DN9" s="94">
        <f t="shared" si="17"/>
        <v>1.9725539901584368</v>
      </c>
      <c r="DO9" s="100">
        <v>3.4</v>
      </c>
      <c r="DP9" s="94">
        <f t="shared" ref="DP9:DP33" si="72">IF($O9&lt;&gt;0,IF($O9&lt;&gt;0,BL9/$O9*10,0)," ")</f>
        <v>2.6387547541891525</v>
      </c>
      <c r="DQ9" s="94">
        <f t="shared" ref="DQ9:DQ33" si="73">IF($P9&lt;&gt;0,IF($P9&lt;&gt;0,BM9/$P9*10,0)," ")</f>
        <v>3.206900061070173</v>
      </c>
      <c r="DR9" s="101">
        <f t="shared" si="18"/>
        <v>0</v>
      </c>
      <c r="DS9" s="116"/>
      <c r="DT9" s="103">
        <v>4</v>
      </c>
      <c r="DU9" s="76">
        <v>602998</v>
      </c>
      <c r="DV9" s="76">
        <v>22366</v>
      </c>
      <c r="DW9" s="77">
        <v>5084664</v>
      </c>
      <c r="DX9" s="124">
        <v>97480</v>
      </c>
      <c r="DY9" s="77">
        <v>79751</v>
      </c>
      <c r="DZ9" s="77">
        <v>357835</v>
      </c>
      <c r="EA9" s="76">
        <v>205055</v>
      </c>
      <c r="EB9" s="77">
        <v>46400</v>
      </c>
      <c r="EC9" s="77">
        <v>360333</v>
      </c>
      <c r="ED9" s="76">
        <v>43500</v>
      </c>
      <c r="EE9" s="125">
        <v>35570</v>
      </c>
      <c r="EF9" s="77">
        <v>37106</v>
      </c>
      <c r="EG9" s="76">
        <v>88237</v>
      </c>
      <c r="EH9" s="76">
        <v>173864</v>
      </c>
      <c r="EI9" s="76">
        <v>27998</v>
      </c>
      <c r="EJ9" s="77">
        <v>36304</v>
      </c>
      <c r="EK9" s="77"/>
      <c r="EL9" s="76">
        <v>673134</v>
      </c>
      <c r="EM9" s="77">
        <v>8701</v>
      </c>
      <c r="EN9" s="77">
        <v>38550</v>
      </c>
      <c r="EO9" s="76">
        <v>2807808</v>
      </c>
      <c r="EP9" s="77">
        <v>2470854</v>
      </c>
      <c r="EQ9" s="77">
        <v>0</v>
      </c>
      <c r="ER9" s="77">
        <v>1511</v>
      </c>
      <c r="ES9" s="124">
        <v>258630</v>
      </c>
      <c r="ET9" s="77">
        <v>8787294</v>
      </c>
      <c r="EU9" s="77">
        <v>363248</v>
      </c>
      <c r="EV9" s="77">
        <v>104280</v>
      </c>
      <c r="EW9" s="77">
        <v>57498</v>
      </c>
      <c r="EX9" s="76">
        <v>193819</v>
      </c>
      <c r="EY9" s="76">
        <v>1543527</v>
      </c>
      <c r="EZ9" s="126">
        <v>682133</v>
      </c>
      <c r="FA9" s="127">
        <v>713215</v>
      </c>
      <c r="FB9" s="125">
        <v>29845</v>
      </c>
      <c r="FC9" s="77">
        <v>6238</v>
      </c>
      <c r="FD9" s="104">
        <f t="shared" si="19"/>
        <v>6596</v>
      </c>
      <c r="FE9" s="105">
        <f t="shared" si="20"/>
        <v>0</v>
      </c>
      <c r="FF9" s="105">
        <f t="shared" si="20"/>
        <v>587</v>
      </c>
      <c r="FG9" s="105">
        <f t="shared" si="20"/>
        <v>978</v>
      </c>
      <c r="FH9" s="105">
        <f t="shared" si="20"/>
        <v>1855</v>
      </c>
      <c r="FI9" s="105">
        <f t="shared" si="20"/>
        <v>663</v>
      </c>
      <c r="FJ9" s="105">
        <f t="shared" si="20"/>
        <v>0</v>
      </c>
      <c r="FK9" s="105">
        <f t="shared" si="20"/>
        <v>741</v>
      </c>
      <c r="FL9" s="105">
        <f t="shared" si="20"/>
        <v>1421</v>
      </c>
      <c r="FM9" s="105">
        <f t="shared" si="20"/>
        <v>351</v>
      </c>
      <c r="FN9" s="80">
        <f t="shared" ref="FN9:FN28" si="74">IF(FO9="",0,(FO9-FO8))</f>
        <v>0</v>
      </c>
      <c r="FO9" s="104">
        <v>51587</v>
      </c>
      <c r="FP9" s="309"/>
      <c r="FY9" s="119">
        <v>4</v>
      </c>
      <c r="FZ9" s="107"/>
      <c r="GA9" s="107"/>
      <c r="GB9" s="108"/>
      <c r="GC9" s="109"/>
      <c r="GD9" s="110"/>
      <c r="GE9" s="110"/>
      <c r="GF9" s="111"/>
      <c r="GG9" s="111"/>
      <c r="GH9" s="111"/>
      <c r="GI9" s="112"/>
      <c r="GJ9" s="111" t="e">
        <f t="shared" si="65"/>
        <v>#DIV/0!</v>
      </c>
      <c r="GK9" s="113"/>
    </row>
    <row r="10" spans="1:194" s="119" customFormat="1" ht="15" customHeight="1">
      <c r="B10" s="573">
        <v>42771</v>
      </c>
      <c r="D10" s="128">
        <v>0</v>
      </c>
      <c r="E10" s="128">
        <v>0</v>
      </c>
      <c r="F10" s="128">
        <v>3512.4479999999999</v>
      </c>
      <c r="G10" s="128">
        <v>0</v>
      </c>
      <c r="H10" s="128">
        <v>7218.85</v>
      </c>
      <c r="I10" s="128">
        <v>0</v>
      </c>
      <c r="J10" s="128">
        <v>0</v>
      </c>
      <c r="K10" s="86"/>
      <c r="L10" s="86"/>
      <c r="M10" s="115">
        <f t="shared" si="21"/>
        <v>0</v>
      </c>
      <c r="N10" s="88">
        <f t="shared" si="0"/>
        <v>10731.298000000001</v>
      </c>
      <c r="O10" s="88">
        <f t="shared" si="22"/>
        <v>10731.298000000001</v>
      </c>
      <c r="P10" s="89">
        <f t="shared" si="23"/>
        <v>96801.956499999986</v>
      </c>
      <c r="R10" s="90">
        <f t="shared" si="24"/>
        <v>50</v>
      </c>
      <c r="S10" s="90">
        <f t="shared" si="25"/>
        <v>96.3</v>
      </c>
      <c r="T10" s="90">
        <f t="shared" si="1"/>
        <v>627.5</v>
      </c>
      <c r="U10" s="90">
        <f>IF(FB10=0,"",((EN10-EN9)/10))</f>
        <v>0.6</v>
      </c>
      <c r="V10" s="90">
        <f t="shared" si="26"/>
        <v>1548</v>
      </c>
      <c r="W10" s="91">
        <f t="shared" si="2"/>
        <v>140.4</v>
      </c>
      <c r="X10" s="90">
        <f t="shared" si="27"/>
        <v>1548</v>
      </c>
      <c r="Y10" s="90" t="str">
        <f t="shared" si="28"/>
        <v>0</v>
      </c>
      <c r="Z10" s="90">
        <f t="shared" si="3"/>
        <v>144.4</v>
      </c>
      <c r="AA10" s="90">
        <f t="shared" si="29"/>
        <v>2322.4</v>
      </c>
      <c r="AB10" s="90">
        <f t="shared" si="30"/>
        <v>23</v>
      </c>
      <c r="AC10" s="90">
        <f t="shared" si="30"/>
        <v>35</v>
      </c>
      <c r="AD10" s="90">
        <f t="shared" si="31"/>
        <v>58</v>
      </c>
      <c r="AE10" s="90">
        <f t="shared" si="32"/>
        <v>0</v>
      </c>
      <c r="AF10" s="90">
        <f t="shared" si="33"/>
        <v>0</v>
      </c>
      <c r="AG10" s="90">
        <f t="shared" si="33"/>
        <v>0</v>
      </c>
      <c r="AH10" s="90">
        <f t="shared" si="34"/>
        <v>0</v>
      </c>
      <c r="AI10" s="90">
        <f t="shared" si="35"/>
        <v>0</v>
      </c>
      <c r="AJ10" s="90">
        <f t="shared" si="36"/>
        <v>252</v>
      </c>
      <c r="AK10" s="90">
        <f t="shared" si="36"/>
        <v>14</v>
      </c>
      <c r="AL10" s="90">
        <f t="shared" si="37"/>
        <v>329</v>
      </c>
      <c r="AM10" s="90">
        <f t="shared" si="38"/>
        <v>63</v>
      </c>
      <c r="AN10" s="90">
        <f t="shared" si="39"/>
        <v>0</v>
      </c>
      <c r="AO10" s="90">
        <f t="shared" si="4"/>
        <v>0</v>
      </c>
      <c r="AP10" s="90">
        <f t="shared" si="40"/>
        <v>0</v>
      </c>
      <c r="AQ10" s="90">
        <f t="shared" si="5"/>
        <v>10</v>
      </c>
      <c r="AR10" s="90">
        <f t="shared" si="41"/>
        <v>164.93600000000001</v>
      </c>
      <c r="AS10" s="90">
        <f t="shared" si="42"/>
        <v>-92.063999999999993</v>
      </c>
      <c r="AT10" s="90">
        <f t="shared" si="43"/>
        <v>252.93600000000001</v>
      </c>
      <c r="AU10" s="90">
        <f t="shared" si="44"/>
        <v>204</v>
      </c>
      <c r="AV10" s="90">
        <f t="shared" si="66"/>
        <v>78</v>
      </c>
      <c r="AW10" s="90">
        <f t="shared" si="45"/>
        <v>141</v>
      </c>
      <c r="AX10" s="90">
        <f t="shared" si="67"/>
        <v>86</v>
      </c>
      <c r="AY10" s="90" t="str">
        <f t="shared" si="46"/>
        <v/>
      </c>
      <c r="AZ10" s="90">
        <f t="shared" si="47"/>
        <v>357</v>
      </c>
      <c r="BA10" s="90">
        <v>0</v>
      </c>
      <c r="BB10" s="90">
        <f t="shared" si="48"/>
        <v>43</v>
      </c>
      <c r="BC10" s="90">
        <f t="shared" si="48"/>
        <v>232</v>
      </c>
      <c r="BD10" s="91">
        <f t="shared" si="49"/>
        <v>351</v>
      </c>
      <c r="BE10" s="90"/>
      <c r="BF10" s="90"/>
      <c r="BG10" s="90">
        <f t="shared" si="6"/>
        <v>983</v>
      </c>
      <c r="BH10" s="90">
        <f t="shared" si="50"/>
        <v>590</v>
      </c>
      <c r="BI10" s="90">
        <f t="shared" si="51"/>
        <v>1785.6639999999998</v>
      </c>
      <c r="BJ10" s="90">
        <f t="shared" si="7"/>
        <v>3774.3360000000002</v>
      </c>
      <c r="BK10" s="92"/>
      <c r="BL10" s="93">
        <f t="shared" si="52"/>
        <v>6150</v>
      </c>
      <c r="BM10" s="93">
        <f t="shared" si="53"/>
        <v>33752</v>
      </c>
      <c r="BN10" s="92"/>
      <c r="BO10" s="94">
        <f t="shared" si="54"/>
        <v>4.6592686178316911E-2</v>
      </c>
      <c r="BP10" s="94">
        <f t="shared" si="54"/>
        <v>8.9737513579438377E-2</v>
      </c>
      <c r="BQ10" s="94">
        <f t="shared" si="55"/>
        <v>0.58473821153787731</v>
      </c>
      <c r="BR10" s="94">
        <f t="shared" si="68"/>
        <v>1.4425095640806918</v>
      </c>
      <c r="BS10" s="94">
        <f t="shared" si="8"/>
        <v>0</v>
      </c>
      <c r="BT10" s="94">
        <f t="shared" si="8"/>
        <v>0.13455967768297927</v>
      </c>
      <c r="BU10" s="95">
        <f t="shared" si="8"/>
        <v>2.1641370876104644</v>
      </c>
      <c r="BV10" s="94">
        <f t="shared" si="9"/>
        <v>4.6592686178316911E-2</v>
      </c>
      <c r="BW10" s="94">
        <f t="shared" si="9"/>
        <v>8.9737513579438377E-2</v>
      </c>
      <c r="BX10" s="94">
        <f t="shared" si="9"/>
        <v>0.58473821153787731</v>
      </c>
      <c r="BY10" s="94">
        <f t="shared" si="56"/>
        <v>1.4425095640806918</v>
      </c>
      <c r="BZ10" s="95">
        <f t="shared" si="10"/>
        <v>2.1641370876104644</v>
      </c>
      <c r="CA10" s="96" t="e">
        <f>#REF!</f>
        <v>#REF!</v>
      </c>
      <c r="CB10" s="94">
        <f t="shared" si="11"/>
        <v>0.15369622575013758</v>
      </c>
      <c r="CC10" s="95">
        <f t="shared" si="11"/>
        <v>-8.5790181206411367E-2</v>
      </c>
      <c r="CD10" s="97" t="str">
        <f t="shared" si="12"/>
        <v/>
      </c>
      <c r="CE10" s="98" t="str">
        <f t="shared" si="12"/>
        <v/>
      </c>
      <c r="CF10" s="94" t="str">
        <f t="shared" si="57"/>
        <v>0,00</v>
      </c>
      <c r="CG10" s="94" t="str">
        <f t="shared" si="57"/>
        <v>0,00</v>
      </c>
      <c r="CH10" s="95" t="str">
        <f t="shared" si="58"/>
        <v xml:space="preserve">0,00 </v>
      </c>
      <c r="CI10" s="96" t="e">
        <f>#REF!</f>
        <v>#REF!</v>
      </c>
      <c r="CJ10" s="94" t="str">
        <f t="shared" si="59"/>
        <v>0,00</v>
      </c>
      <c r="CK10" s="94" t="str">
        <f t="shared" si="59"/>
        <v>0,00</v>
      </c>
      <c r="CL10" s="95" t="str">
        <f t="shared" si="69"/>
        <v xml:space="preserve">0,00 </v>
      </c>
      <c r="CM10" s="95" t="e">
        <f>#REF!</f>
        <v>#REF!</v>
      </c>
      <c r="CN10" s="94">
        <f t="shared" si="60"/>
        <v>0.71744834371925226</v>
      </c>
      <c r="CO10" s="94">
        <f t="shared" si="60"/>
        <v>3.9858241317736243E-2</v>
      </c>
      <c r="CP10" s="95">
        <f t="shared" si="61"/>
        <v>0.93666867096680151</v>
      </c>
      <c r="CQ10" s="95" t="e">
        <f>#REF!</f>
        <v>#REF!</v>
      </c>
      <c r="CR10" s="97" t="str">
        <f t="shared" si="70"/>
        <v xml:space="preserve">0,00 </v>
      </c>
      <c r="CS10" s="95" t="str">
        <f t="shared" si="70"/>
        <v xml:space="preserve">0,00 </v>
      </c>
      <c r="CT10" s="96" t="e">
        <f>#REF!</f>
        <v>#REF!</v>
      </c>
      <c r="CU10" s="97">
        <f t="shared" si="71"/>
        <v>0</v>
      </c>
      <c r="CV10" s="95">
        <f t="shared" si="62"/>
        <v>1.3852621955020536E-2</v>
      </c>
      <c r="CW10" s="96" t="e">
        <f>#REF!</f>
        <v>#REF!</v>
      </c>
      <c r="CX10" s="99">
        <f t="shared" si="63"/>
        <v>0.19009815960753301</v>
      </c>
      <c r="CY10" s="95">
        <f t="shared" si="63"/>
        <v>7.2684590438174393E-2</v>
      </c>
      <c r="CZ10" s="99">
        <f t="shared" si="63"/>
        <v>0.1313913750228537</v>
      </c>
      <c r="DA10" s="95">
        <f t="shared" si="63"/>
        <v>8.0139420226705088E-2</v>
      </c>
      <c r="DB10" s="94">
        <f t="shared" si="13"/>
        <v>0.33267177931318281</v>
      </c>
      <c r="DC10" s="94">
        <f t="shared" si="14"/>
        <v>4.0069710113352544E-2</v>
      </c>
      <c r="DD10" s="94">
        <f t="shared" si="14"/>
        <v>0.21619006386739051</v>
      </c>
      <c r="DE10" s="94">
        <f t="shared" si="14"/>
        <v>0.32708065697178479</v>
      </c>
      <c r="DF10" s="94">
        <f t="shared" si="14"/>
        <v>0</v>
      </c>
      <c r="DG10" s="94">
        <f t="shared" si="14"/>
        <v>0</v>
      </c>
      <c r="DH10" s="95">
        <f t="shared" si="14"/>
        <v>0.91601221026571067</v>
      </c>
      <c r="DI10" s="96" t="e">
        <f>#REF!</f>
        <v>#REF!</v>
      </c>
      <c r="DJ10" s="95">
        <f t="shared" si="64"/>
        <v>0.54979369690413959</v>
      </c>
      <c r="DK10" s="96" t="e">
        <f>#REF!</f>
        <v>#REF!</v>
      </c>
      <c r="DL10" s="95">
        <f t="shared" si="15"/>
        <v>1.6639776474383616</v>
      </c>
      <c r="DM10" s="96">
        <f t="shared" si="16"/>
        <v>0</v>
      </c>
      <c r="DN10" s="94">
        <f t="shared" si="17"/>
        <v>3.5171290555904795</v>
      </c>
      <c r="DO10" s="100">
        <v>3.4</v>
      </c>
      <c r="DP10" s="94">
        <f>IF($O10&lt;&gt;0,IF($O10&lt;&gt;0,BL10/$O10*10,0)," ")</f>
        <v>5.7309003999329811</v>
      </c>
      <c r="DQ10" s="94">
        <f>IF($P10&lt;&gt;0,IF($P10&lt;&gt;0,BM10/$P10*10,0)," ")</f>
        <v>3.4867063869726644</v>
      </c>
      <c r="DR10" s="101">
        <f t="shared" si="18"/>
        <v>0</v>
      </c>
      <c r="DS10" s="116"/>
      <c r="DT10" s="103">
        <v>5</v>
      </c>
      <c r="DU10" s="76">
        <v>603021</v>
      </c>
      <c r="DV10" s="76">
        <v>22401</v>
      </c>
      <c r="DW10" s="76">
        <v>5084681</v>
      </c>
      <c r="DX10" s="129">
        <v>97480</v>
      </c>
      <c r="DY10" s="76">
        <v>79751</v>
      </c>
      <c r="DZ10" s="76">
        <v>357835</v>
      </c>
      <c r="EA10" s="76">
        <v>205307</v>
      </c>
      <c r="EB10" s="77">
        <v>46414</v>
      </c>
      <c r="EC10" s="76">
        <v>360662</v>
      </c>
      <c r="ED10" s="76">
        <v>43500</v>
      </c>
      <c r="EE10" s="77">
        <v>35570</v>
      </c>
      <c r="EF10" s="77">
        <v>37106</v>
      </c>
      <c r="EG10" s="76">
        <v>88237</v>
      </c>
      <c r="EH10" s="76">
        <v>173874</v>
      </c>
      <c r="EI10" s="76">
        <v>28076</v>
      </c>
      <c r="EJ10" s="77">
        <v>36390</v>
      </c>
      <c r="EK10" s="77"/>
      <c r="EL10" s="76">
        <v>673184</v>
      </c>
      <c r="EM10" s="77">
        <v>6275</v>
      </c>
      <c r="EN10" s="77">
        <v>38556</v>
      </c>
      <c r="EO10" s="76">
        <v>2809356</v>
      </c>
      <c r="EP10" s="77">
        <v>2472258</v>
      </c>
      <c r="EQ10" s="77">
        <v>0</v>
      </c>
      <c r="ER10" s="77">
        <v>1444</v>
      </c>
      <c r="ES10" s="124">
        <v>258718</v>
      </c>
      <c r="ET10" s="77">
        <v>8952230</v>
      </c>
      <c r="EU10" s="77">
        <v>363389</v>
      </c>
      <c r="EV10" s="77">
        <v>104484</v>
      </c>
      <c r="EW10" s="77">
        <v>57855</v>
      </c>
      <c r="EX10" s="76">
        <v>193862</v>
      </c>
      <c r="EY10" s="76">
        <v>1543759</v>
      </c>
      <c r="EZ10" s="76">
        <v>683096</v>
      </c>
      <c r="FA10" s="130">
        <v>713566</v>
      </c>
      <c r="FB10" s="77">
        <v>29845</v>
      </c>
      <c r="FC10" s="77">
        <v>5560</v>
      </c>
      <c r="FD10" s="104">
        <f t="shared" si="19"/>
        <v>6150</v>
      </c>
      <c r="FE10" s="105">
        <f t="shared" si="20"/>
        <v>0</v>
      </c>
      <c r="FF10" s="105">
        <f t="shared" si="20"/>
        <v>520</v>
      </c>
      <c r="FG10" s="105">
        <f t="shared" si="20"/>
        <v>1962</v>
      </c>
      <c r="FH10" s="105">
        <f t="shared" si="20"/>
        <v>766</v>
      </c>
      <c r="FI10" s="105">
        <f t="shared" si="20"/>
        <v>546</v>
      </c>
      <c r="FJ10" s="105">
        <f t="shared" si="20"/>
        <v>0</v>
      </c>
      <c r="FK10" s="105">
        <f t="shared" si="20"/>
        <v>616</v>
      </c>
      <c r="FL10" s="105">
        <f t="shared" si="20"/>
        <v>1386</v>
      </c>
      <c r="FM10" s="105">
        <f t="shared" si="20"/>
        <v>354</v>
      </c>
      <c r="FN10" s="80">
        <f t="shared" si="74"/>
        <v>0</v>
      </c>
      <c r="FO10" s="104">
        <v>51587</v>
      </c>
      <c r="FP10" s="309"/>
      <c r="FY10" s="119">
        <v>5</v>
      </c>
      <c r="FZ10" s="107"/>
      <c r="GA10" s="107"/>
      <c r="GB10" s="108"/>
      <c r="GC10" s="109"/>
      <c r="GD10" s="110"/>
      <c r="GE10" s="110"/>
      <c r="GF10" s="111"/>
      <c r="GG10" s="111"/>
      <c r="GH10" s="111"/>
      <c r="GI10" s="112"/>
      <c r="GJ10" s="111" t="e">
        <f t="shared" si="65"/>
        <v>#DIV/0!</v>
      </c>
      <c r="GK10" s="113"/>
    </row>
    <row r="11" spans="1:194" s="119" customFormat="1" ht="15.75" customHeight="1">
      <c r="B11" s="573">
        <v>42772</v>
      </c>
      <c r="D11" s="131">
        <v>0</v>
      </c>
      <c r="E11" s="131">
        <v>0</v>
      </c>
      <c r="F11" s="131">
        <v>1987.7760000000001</v>
      </c>
      <c r="G11" s="131">
        <v>1719.556</v>
      </c>
      <c r="H11" s="131">
        <v>8669.7489999999998</v>
      </c>
      <c r="I11" s="131">
        <v>786.30899999999997</v>
      </c>
      <c r="J11" s="131">
        <v>3127.92</v>
      </c>
      <c r="K11" s="86"/>
      <c r="L11" s="86">
        <v>16</v>
      </c>
      <c r="M11" s="115">
        <f t="shared" si="21"/>
        <v>3914.2290000000003</v>
      </c>
      <c r="N11" s="88">
        <f t="shared" si="0"/>
        <v>12377.081</v>
      </c>
      <c r="O11" s="88">
        <f>N11+L11+K11+((J11+I11)*0.5)</f>
        <v>14350.1955</v>
      </c>
      <c r="P11" s="89">
        <f t="shared" si="23"/>
        <v>111152.15199999999</v>
      </c>
      <c r="R11" s="90">
        <f t="shared" si="24"/>
        <v>56</v>
      </c>
      <c r="S11" s="90">
        <f t="shared" si="25"/>
        <v>158</v>
      </c>
      <c r="T11" s="90">
        <f t="shared" si="1"/>
        <v>595.4</v>
      </c>
      <c r="U11" s="90"/>
      <c r="V11" s="90">
        <f t="shared" si="26"/>
        <v>1362</v>
      </c>
      <c r="W11" s="91">
        <f t="shared" si="2"/>
        <v>125.9</v>
      </c>
      <c r="X11" s="90">
        <f t="shared" si="27"/>
        <v>1362</v>
      </c>
      <c r="Y11" s="90">
        <f t="shared" si="28"/>
        <v>54.2</v>
      </c>
      <c r="Z11" s="90">
        <f t="shared" si="3"/>
        <v>154.1</v>
      </c>
      <c r="AA11" s="90">
        <f t="shared" si="29"/>
        <v>2171.4</v>
      </c>
      <c r="AB11" s="90">
        <f t="shared" si="30"/>
        <v>171</v>
      </c>
      <c r="AC11" s="90">
        <f t="shared" si="30"/>
        <v>37</v>
      </c>
      <c r="AD11" s="90">
        <f t="shared" si="31"/>
        <v>309</v>
      </c>
      <c r="AE11" s="90">
        <f t="shared" si="32"/>
        <v>101</v>
      </c>
      <c r="AF11" s="90">
        <f t="shared" si="33"/>
        <v>0</v>
      </c>
      <c r="AG11" s="90">
        <f t="shared" si="33"/>
        <v>52</v>
      </c>
      <c r="AH11" s="90">
        <f t="shared" si="34"/>
        <v>192</v>
      </c>
      <c r="AI11" s="90">
        <f t="shared" si="35"/>
        <v>140</v>
      </c>
      <c r="AJ11" s="90">
        <f t="shared" si="36"/>
        <v>179</v>
      </c>
      <c r="AK11" s="90">
        <f t="shared" si="36"/>
        <v>31</v>
      </c>
      <c r="AL11" s="90">
        <f t="shared" si="37"/>
        <v>276</v>
      </c>
      <c r="AM11" s="90">
        <f t="shared" si="38"/>
        <v>66</v>
      </c>
      <c r="AN11" s="90">
        <f t="shared" si="39"/>
        <v>44</v>
      </c>
      <c r="AO11" s="90">
        <f t="shared" si="4"/>
        <v>102</v>
      </c>
      <c r="AP11" s="90">
        <f t="shared" si="40"/>
        <v>1</v>
      </c>
      <c r="AQ11" s="90">
        <f t="shared" si="5"/>
        <v>18</v>
      </c>
      <c r="AR11" s="90">
        <f t="shared" si="41"/>
        <v>68.936000000000007</v>
      </c>
      <c r="AS11" s="90">
        <f t="shared" si="42"/>
        <v>179.93600000000004</v>
      </c>
      <c r="AT11" s="90">
        <f t="shared" si="43"/>
        <v>582.93600000000004</v>
      </c>
      <c r="AU11" s="90">
        <f t="shared" si="44"/>
        <v>120</v>
      </c>
      <c r="AV11" s="90">
        <f t="shared" si="66"/>
        <v>6</v>
      </c>
      <c r="AW11" s="90">
        <f t="shared" si="45"/>
        <v>283</v>
      </c>
      <c r="AX11" s="90">
        <f t="shared" si="67"/>
        <v>26</v>
      </c>
      <c r="AY11" s="90" t="str">
        <f t="shared" si="46"/>
        <v/>
      </c>
      <c r="AZ11" s="90">
        <f t="shared" si="47"/>
        <v>391</v>
      </c>
      <c r="BA11" s="90">
        <v>46</v>
      </c>
      <c r="BB11" s="90">
        <f t="shared" si="48"/>
        <v>57</v>
      </c>
      <c r="BC11" s="90">
        <f t="shared" si="48"/>
        <v>0</v>
      </c>
      <c r="BD11" s="91">
        <f t="shared" si="49"/>
        <v>298</v>
      </c>
      <c r="BE11" s="90"/>
      <c r="BF11" s="90"/>
      <c r="BG11" s="90">
        <f t="shared" si="6"/>
        <v>746</v>
      </c>
      <c r="BH11" s="90">
        <f t="shared" si="50"/>
        <v>-691</v>
      </c>
      <c r="BI11" s="90">
        <f t="shared" si="51"/>
        <v>1719.6639999999998</v>
      </c>
      <c r="BJ11" s="90">
        <f t="shared" si="7"/>
        <v>4026.3360000000002</v>
      </c>
      <c r="BK11" s="92"/>
      <c r="BL11" s="93">
        <f t="shared" si="52"/>
        <v>5055</v>
      </c>
      <c r="BM11" s="93">
        <f t="shared" si="53"/>
        <v>38807</v>
      </c>
      <c r="BN11" s="92"/>
      <c r="BO11" s="94">
        <f t="shared" si="54"/>
        <v>4.524491679419404E-2</v>
      </c>
      <c r="BP11" s="94">
        <f t="shared" si="54"/>
        <v>0.12765530095504746</v>
      </c>
      <c r="BQ11" s="94">
        <f t="shared" si="55"/>
        <v>0.48105041891541306</v>
      </c>
      <c r="BR11" s="94">
        <f t="shared" si="68"/>
        <v>1.1004210120302194</v>
      </c>
      <c r="BS11" s="94">
        <f t="shared" si="8"/>
        <v>4.379061589723781E-2</v>
      </c>
      <c r="BT11" s="94">
        <f t="shared" si="8"/>
        <v>0.12450431567830897</v>
      </c>
      <c r="BU11" s="95">
        <f t="shared" si="8"/>
        <v>1.7543716486948742</v>
      </c>
      <c r="BV11" s="94">
        <f t="shared" si="9"/>
        <v>3.9023858594818446E-2</v>
      </c>
      <c r="BW11" s="94">
        <f t="shared" si="9"/>
        <v>0.11010302960680921</v>
      </c>
      <c r="BX11" s="94">
        <f t="shared" si="9"/>
        <v>0.41490723941705188</v>
      </c>
      <c r="BY11" s="94">
        <f t="shared" si="56"/>
        <v>0.94911598939540587</v>
      </c>
      <c r="BZ11" s="95">
        <f t="shared" si="10"/>
        <v>1.5131501170140855</v>
      </c>
      <c r="CA11" s="96" t="e">
        <f>#REF!</f>
        <v>#REF!</v>
      </c>
      <c r="CB11" s="94">
        <f t="shared" si="11"/>
        <v>4.8038369930221508E-2</v>
      </c>
      <c r="CC11" s="95">
        <f t="shared" si="11"/>
        <v>0.12538923250209383</v>
      </c>
      <c r="CD11" s="97">
        <f t="shared" si="12"/>
        <v>0.17611642037295214</v>
      </c>
      <c r="CE11" s="98">
        <f t="shared" si="12"/>
        <v>0.45969717152471157</v>
      </c>
      <c r="CF11" s="94" t="str">
        <f t="shared" si="57"/>
        <v>0,00</v>
      </c>
      <c r="CG11" s="94" t="str">
        <f t="shared" si="57"/>
        <v>0,00</v>
      </c>
      <c r="CH11" s="95" t="str">
        <f t="shared" si="58"/>
        <v xml:space="preserve">0,00 </v>
      </c>
      <c r="CI11" s="96" t="e">
        <f>#REF!</f>
        <v>#REF!</v>
      </c>
      <c r="CJ11" s="94" t="str">
        <f t="shared" si="59"/>
        <v>0,00</v>
      </c>
      <c r="CK11" s="94" t="str">
        <f t="shared" si="59"/>
        <v>0,00</v>
      </c>
      <c r="CL11" s="95" t="str">
        <f t="shared" si="69"/>
        <v xml:space="preserve">0,00 </v>
      </c>
      <c r="CM11" s="95" t="e">
        <f>#REF!</f>
        <v>#REF!</v>
      </c>
      <c r="CN11" s="94">
        <f t="shared" si="60"/>
        <v>0.90050387971280466</v>
      </c>
      <c r="CO11" s="94">
        <f t="shared" si="60"/>
        <v>0.15595318587204998</v>
      </c>
      <c r="CP11" s="95">
        <f t="shared" si="61"/>
        <v>1.3884864290543804</v>
      </c>
      <c r="CQ11" s="95" t="e">
        <f>#REF!</f>
        <v>#REF!</v>
      </c>
      <c r="CR11" s="97">
        <f t="shared" si="70"/>
        <v>0.2558800062341674</v>
      </c>
      <c r="CS11" s="95">
        <f t="shared" si="70"/>
        <v>0.59317637808829715</v>
      </c>
      <c r="CT11" s="96" t="e">
        <f>#REF!</f>
        <v>#REF!</v>
      </c>
      <c r="CU11" s="97">
        <f t="shared" si="71"/>
        <v>1.1534359299213853E-3</v>
      </c>
      <c r="CV11" s="95">
        <f t="shared" si="62"/>
        <v>2.0761846738584933E-2</v>
      </c>
      <c r="CW11" s="96" t="e">
        <f>#REF!</f>
        <v>#REF!</v>
      </c>
      <c r="CX11" s="99">
        <f t="shared" si="63"/>
        <v>8.3622554131753818E-2</v>
      </c>
      <c r="CY11" s="95">
        <f t="shared" si="63"/>
        <v>4.1811277065876909E-3</v>
      </c>
      <c r="CZ11" s="99">
        <f t="shared" si="63"/>
        <v>0.19720985682738609</v>
      </c>
      <c r="DA11" s="95">
        <f t="shared" si="63"/>
        <v>1.8118220061879995E-2</v>
      </c>
      <c r="DB11" s="94">
        <f t="shared" si="13"/>
        <v>0.27247015554596454</v>
      </c>
      <c r="DC11" s="94">
        <f t="shared" si="14"/>
        <v>3.972071321258306E-2</v>
      </c>
      <c r="DD11" s="94">
        <f t="shared" si="14"/>
        <v>0</v>
      </c>
      <c r="DE11" s="94">
        <f t="shared" si="14"/>
        <v>0.2076626760938553</v>
      </c>
      <c r="DF11" s="94">
        <f t="shared" si="14"/>
        <v>0</v>
      </c>
      <c r="DG11" s="94">
        <f t="shared" si="14"/>
        <v>0</v>
      </c>
      <c r="DH11" s="95">
        <f t="shared" si="14"/>
        <v>0.51985354485240287</v>
      </c>
      <c r="DI11" s="96" t="e">
        <f>#REF!</f>
        <v>#REF!</v>
      </c>
      <c r="DJ11" s="95">
        <f t="shared" si="64"/>
        <v>-0.48152654087534907</v>
      </c>
      <c r="DK11" s="96" t="e">
        <f>#REF!</f>
        <v>#REF!</v>
      </c>
      <c r="DL11" s="95">
        <f t="shared" si="15"/>
        <v>1.198355799403569</v>
      </c>
      <c r="DM11" s="96">
        <f t="shared" si="16"/>
        <v>0</v>
      </c>
      <c r="DN11" s="94">
        <f t="shared" si="17"/>
        <v>2.8057708342719097</v>
      </c>
      <c r="DO11" s="100">
        <v>3.4</v>
      </c>
      <c r="DP11" s="94">
        <f>IF($O11&lt;&gt;0,IF($O11&lt;&gt;0,BL11/$O11*10,0)," ")</f>
        <v>3.5226000928001295</v>
      </c>
      <c r="DQ11" s="94">
        <f t="shared" si="73"/>
        <v>3.4913404105752273</v>
      </c>
      <c r="DR11" s="101">
        <f t="shared" si="18"/>
        <v>0</v>
      </c>
      <c r="DS11" s="116"/>
      <c r="DT11" s="103">
        <v>6</v>
      </c>
      <c r="DU11" s="76">
        <v>603192</v>
      </c>
      <c r="DV11" s="76">
        <v>22438</v>
      </c>
      <c r="DW11" s="77">
        <v>5084990</v>
      </c>
      <c r="DX11" s="129">
        <v>97480</v>
      </c>
      <c r="DY11" s="76">
        <v>79803</v>
      </c>
      <c r="DZ11" s="76">
        <v>358027</v>
      </c>
      <c r="EA11" s="76">
        <v>205486</v>
      </c>
      <c r="EB11" s="77">
        <v>46445</v>
      </c>
      <c r="EC11" s="76">
        <v>360938</v>
      </c>
      <c r="ED11" s="76">
        <v>43544</v>
      </c>
      <c r="EE11" s="77">
        <v>35589</v>
      </c>
      <c r="EF11" s="77">
        <v>37189</v>
      </c>
      <c r="EG11" s="76">
        <v>88238</v>
      </c>
      <c r="EH11" s="76">
        <v>173892</v>
      </c>
      <c r="EI11" s="76">
        <v>28082</v>
      </c>
      <c r="EJ11" s="77">
        <v>36416</v>
      </c>
      <c r="EK11" s="77"/>
      <c r="EL11" s="76">
        <v>673240</v>
      </c>
      <c r="EM11" s="77">
        <v>5954</v>
      </c>
      <c r="EN11" s="77">
        <v>38558</v>
      </c>
      <c r="EO11" s="76">
        <v>2810718</v>
      </c>
      <c r="EP11" s="77">
        <v>2473517</v>
      </c>
      <c r="EQ11" s="77">
        <v>542</v>
      </c>
      <c r="ER11" s="77">
        <v>1541</v>
      </c>
      <c r="ES11" s="124">
        <v>259232</v>
      </c>
      <c r="ET11" s="77">
        <v>9021166</v>
      </c>
      <c r="EU11" s="77">
        <v>363672</v>
      </c>
      <c r="EV11" s="77">
        <v>104604</v>
      </c>
      <c r="EW11" s="77">
        <v>58246</v>
      </c>
      <c r="EX11" s="76">
        <v>193919</v>
      </c>
      <c r="EY11" s="76">
        <v>1543759</v>
      </c>
      <c r="EZ11" s="76">
        <v>684676</v>
      </c>
      <c r="FA11" s="76">
        <v>713864</v>
      </c>
      <c r="FB11" s="77">
        <v>29900</v>
      </c>
      <c r="FC11" s="77">
        <v>5746</v>
      </c>
      <c r="FD11" s="104">
        <f t="shared" si="19"/>
        <v>5055</v>
      </c>
      <c r="FE11" s="105">
        <f t="shared" si="20"/>
        <v>0</v>
      </c>
      <c r="FF11" s="105">
        <f t="shared" si="20"/>
        <v>649</v>
      </c>
      <c r="FG11" s="105">
        <f t="shared" si="20"/>
        <v>1276</v>
      </c>
      <c r="FH11" s="105">
        <f t="shared" si="20"/>
        <v>0</v>
      </c>
      <c r="FI11" s="105">
        <f t="shared" si="20"/>
        <v>579</v>
      </c>
      <c r="FJ11" s="105">
        <f t="shared" si="20"/>
        <v>0</v>
      </c>
      <c r="FK11" s="105">
        <f t="shared" si="20"/>
        <v>737</v>
      </c>
      <c r="FL11" s="105">
        <f t="shared" si="20"/>
        <v>1461</v>
      </c>
      <c r="FM11" s="105">
        <f t="shared" si="20"/>
        <v>353</v>
      </c>
      <c r="FN11" s="80">
        <f t="shared" si="74"/>
        <v>0</v>
      </c>
      <c r="FO11" s="104">
        <v>51587</v>
      </c>
      <c r="FP11" s="307"/>
      <c r="FY11" s="119">
        <v>6</v>
      </c>
      <c r="FZ11" s="107"/>
      <c r="GA11" s="107"/>
      <c r="GB11" s="108"/>
      <c r="GC11" s="109"/>
      <c r="GD11" s="110"/>
      <c r="GE11" s="110"/>
      <c r="GF11" s="111"/>
      <c r="GG11" s="111"/>
      <c r="GH11" s="111"/>
      <c r="GI11" s="112"/>
      <c r="GJ11" s="111" t="e">
        <f t="shared" si="65"/>
        <v>#DIV/0!</v>
      </c>
      <c r="GK11" s="113"/>
    </row>
    <row r="12" spans="1:194" s="119" customFormat="1" ht="15" customHeight="1">
      <c r="B12" s="573">
        <v>42773</v>
      </c>
      <c r="D12" s="131">
        <v>4668</v>
      </c>
      <c r="E12" s="131">
        <v>988.32</v>
      </c>
      <c r="F12" s="131">
        <v>2739.4560000000001</v>
      </c>
      <c r="G12" s="131">
        <v>3498.7489999999998</v>
      </c>
      <c r="H12" s="131">
        <v>3849.2930000000001</v>
      </c>
      <c r="I12" s="131">
        <v>1634.105</v>
      </c>
      <c r="J12" s="131">
        <v>5365.92</v>
      </c>
      <c r="K12" s="86"/>
      <c r="L12" s="86"/>
      <c r="M12" s="115">
        <f t="shared" si="21"/>
        <v>7000.0249999999996</v>
      </c>
      <c r="N12" s="88">
        <f t="shared" si="0"/>
        <v>15743.817999999999</v>
      </c>
      <c r="O12" s="88">
        <f>N12+L12+K12+((J12+I12)*0.5)</f>
        <v>19243.8305</v>
      </c>
      <c r="P12" s="89">
        <f t="shared" si="23"/>
        <v>130395.98249999998</v>
      </c>
      <c r="R12" s="90">
        <f t="shared" si="24"/>
        <v>265</v>
      </c>
      <c r="S12" s="90">
        <f t="shared" si="25"/>
        <v>61.3</v>
      </c>
      <c r="T12" s="90">
        <f t="shared" si="1"/>
        <v>552.79999999999995</v>
      </c>
      <c r="U12" s="90"/>
      <c r="V12" s="90">
        <f t="shared" si="26"/>
        <v>1539</v>
      </c>
      <c r="W12" s="91">
        <f t="shared" si="2"/>
        <v>-222491.9</v>
      </c>
      <c r="X12" s="90">
        <f t="shared" si="27"/>
        <v>1539</v>
      </c>
      <c r="Y12" s="90" t="str">
        <f t="shared" si="28"/>
        <v>0</v>
      </c>
      <c r="Z12" s="90">
        <f t="shared" si="3"/>
        <v>151.9</v>
      </c>
      <c r="AA12" s="90">
        <f t="shared" si="29"/>
        <v>2418.1</v>
      </c>
      <c r="AB12" s="90">
        <f t="shared" si="30"/>
        <v>235</v>
      </c>
      <c r="AC12" s="90">
        <f t="shared" si="30"/>
        <v>20</v>
      </c>
      <c r="AD12" s="90">
        <f t="shared" si="31"/>
        <v>424</v>
      </c>
      <c r="AE12" s="90">
        <f t="shared" si="32"/>
        <v>169</v>
      </c>
      <c r="AF12" s="90">
        <f t="shared" si="33"/>
        <v>0</v>
      </c>
      <c r="AG12" s="90">
        <f t="shared" si="33"/>
        <v>9</v>
      </c>
      <c r="AH12" s="90">
        <f t="shared" si="34"/>
        <v>164</v>
      </c>
      <c r="AI12" s="90">
        <f t="shared" si="35"/>
        <v>155</v>
      </c>
      <c r="AJ12" s="90">
        <f t="shared" si="36"/>
        <v>178</v>
      </c>
      <c r="AK12" s="90">
        <f t="shared" si="36"/>
        <v>34</v>
      </c>
      <c r="AL12" s="90">
        <f t="shared" si="37"/>
        <v>272</v>
      </c>
      <c r="AM12" s="90">
        <f t="shared" si="38"/>
        <v>60</v>
      </c>
      <c r="AN12" s="90">
        <f t="shared" si="39"/>
        <v>0</v>
      </c>
      <c r="AO12" s="90">
        <f t="shared" si="4"/>
        <v>31</v>
      </c>
      <c r="AP12" s="90">
        <f t="shared" si="40"/>
        <v>181</v>
      </c>
      <c r="AQ12" s="90">
        <f t="shared" si="5"/>
        <v>254</v>
      </c>
      <c r="AR12" s="90">
        <f t="shared" si="41"/>
        <v>123.636</v>
      </c>
      <c r="AS12" s="90">
        <f t="shared" si="42"/>
        <v>182.63599999999997</v>
      </c>
      <c r="AT12" s="90">
        <f t="shared" si="43"/>
        <v>1010.636</v>
      </c>
      <c r="AU12" s="90">
        <f t="shared" si="44"/>
        <v>262</v>
      </c>
      <c r="AV12" s="90">
        <f t="shared" si="66"/>
        <v>26</v>
      </c>
      <c r="AW12" s="90">
        <f t="shared" si="45"/>
        <v>566</v>
      </c>
      <c r="AX12" s="90">
        <f t="shared" si="67"/>
        <v>18</v>
      </c>
      <c r="AY12" s="90" t="str">
        <f t="shared" si="46"/>
        <v/>
      </c>
      <c r="AZ12" s="90">
        <f t="shared" si="47"/>
        <v>427</v>
      </c>
      <c r="BA12" s="90">
        <v>46</v>
      </c>
      <c r="BB12" s="90">
        <f t="shared" si="48"/>
        <v>112</v>
      </c>
      <c r="BC12" s="90">
        <f t="shared" si="48"/>
        <v>836</v>
      </c>
      <c r="BD12" s="91">
        <f t="shared" si="49"/>
        <v>338</v>
      </c>
      <c r="BE12" s="90"/>
      <c r="BF12" s="90"/>
      <c r="BG12" s="90">
        <f t="shared" si="6"/>
        <v>1713</v>
      </c>
      <c r="BH12" s="90">
        <f t="shared" si="50"/>
        <v>-472</v>
      </c>
      <c r="BI12" s="90">
        <f t="shared" si="51"/>
        <v>2057.2639999999992</v>
      </c>
      <c r="BJ12" s="90">
        <f t="shared" si="7"/>
        <v>5502.7360000000008</v>
      </c>
      <c r="BK12" s="92"/>
      <c r="BL12" s="93">
        <f t="shared" si="52"/>
        <v>7088</v>
      </c>
      <c r="BM12" s="93">
        <f t="shared" si="53"/>
        <v>45895</v>
      </c>
      <c r="BN12" s="92"/>
      <c r="BO12" s="94">
        <f t="shared" si="54"/>
        <v>0.16832003520365899</v>
      </c>
      <c r="BP12" s="94">
        <f t="shared" si="54"/>
        <v>3.893591757729923E-2</v>
      </c>
      <c r="BQ12" s="94">
        <f t="shared" si="55"/>
        <v>0.35112194513427425</v>
      </c>
      <c r="BR12" s="94">
        <f t="shared" si="68"/>
        <v>0.97752654406955175</v>
      </c>
      <c r="BS12" s="94">
        <f t="shared" si="8"/>
        <v>0</v>
      </c>
      <c r="BT12" s="94">
        <f t="shared" si="8"/>
        <v>9.648231451862567E-2</v>
      </c>
      <c r="BU12" s="95">
        <f t="shared" si="8"/>
        <v>1.5359044419847843</v>
      </c>
      <c r="BV12" s="94">
        <f t="shared" si="9"/>
        <v>0.13770647169231717</v>
      </c>
      <c r="BW12" s="94">
        <f t="shared" si="9"/>
        <v>3.1854364961279406E-2</v>
      </c>
      <c r="BX12" s="94">
        <f t="shared" si="9"/>
        <v>0.28726089642080349</v>
      </c>
      <c r="BY12" s="94">
        <f t="shared" si="56"/>
        <v>0.79973682994141937</v>
      </c>
      <c r="BZ12" s="95">
        <f t="shared" si="10"/>
        <v>1.2565585630158194</v>
      </c>
      <c r="CA12" s="96" t="e">
        <f>#REF!</f>
        <v>#REF!</v>
      </c>
      <c r="CB12" s="94">
        <f t="shared" si="11"/>
        <v>6.4247084279816319E-2</v>
      </c>
      <c r="CC12" s="95">
        <f t="shared" si="11"/>
        <v>9.4906260996219016E-2</v>
      </c>
      <c r="CD12" s="97">
        <f t="shared" si="12"/>
        <v>0.17662222634919161</v>
      </c>
      <c r="CE12" s="98">
        <f t="shared" si="12"/>
        <v>0.26090763961557278</v>
      </c>
      <c r="CF12" s="94">
        <f t="shared" si="57"/>
        <v>0.50342759211653809</v>
      </c>
      <c r="CG12" s="94">
        <f t="shared" si="57"/>
        <v>4.2844901456726647E-2</v>
      </c>
      <c r="CH12" s="95">
        <f t="shared" si="58"/>
        <v>0.90831191088260499</v>
      </c>
      <c r="CI12" s="96" t="e">
        <f>#REF!</f>
        <v>#REF!</v>
      </c>
      <c r="CJ12" s="94">
        <f t="shared" si="59"/>
        <v>0</v>
      </c>
      <c r="CK12" s="94">
        <f t="shared" si="59"/>
        <v>9.1063623118018439E-2</v>
      </c>
      <c r="CL12" s="95">
        <f t="shared" si="69"/>
        <v>1.6593815768172251</v>
      </c>
      <c r="CM12" s="95" t="e">
        <f>#REF!</f>
        <v>#REF!</v>
      </c>
      <c r="CN12" s="94">
        <f t="shared" si="60"/>
        <v>0.64976404074385563</v>
      </c>
      <c r="CO12" s="94">
        <f t="shared" si="60"/>
        <v>0.12411223250163535</v>
      </c>
      <c r="CP12" s="95">
        <f t="shared" si="61"/>
        <v>0.99289786001308278</v>
      </c>
      <c r="CQ12" s="95" t="e">
        <f>#REF!</f>
        <v>#REF!</v>
      </c>
      <c r="CR12" s="97">
        <f t="shared" si="70"/>
        <v>0</v>
      </c>
      <c r="CS12" s="95">
        <f t="shared" si="70"/>
        <v>8.8603097850117302E-2</v>
      </c>
      <c r="CT12" s="96" t="e">
        <f>#REF!</f>
        <v>#REF!</v>
      </c>
      <c r="CU12" s="97">
        <f t="shared" si="71"/>
        <v>0.47021621892643661</v>
      </c>
      <c r="CV12" s="95">
        <f t="shared" si="62"/>
        <v>0.65986143429455746</v>
      </c>
      <c r="CW12" s="96" t="e">
        <f>#REF!</f>
        <v>#REF!</v>
      </c>
      <c r="CX12" s="99">
        <f t="shared" si="63"/>
        <v>0.13614753050334755</v>
      </c>
      <c r="CY12" s="95">
        <f t="shared" si="63"/>
        <v>1.351082363773678E-2</v>
      </c>
      <c r="CZ12" s="99">
        <f t="shared" si="63"/>
        <v>0.29412023765226991</v>
      </c>
      <c r="DA12" s="95">
        <f t="shared" si="63"/>
        <v>9.3536471338177708E-3</v>
      </c>
      <c r="DB12" s="94">
        <f t="shared" si="13"/>
        <v>0.22188929589667714</v>
      </c>
      <c r="DC12" s="94">
        <f t="shared" si="14"/>
        <v>5.8200471054866129E-2</v>
      </c>
      <c r="DD12" s="94">
        <f t="shared" si="14"/>
        <v>0.43442494465953652</v>
      </c>
      <c r="DE12" s="94">
        <f t="shared" si="14"/>
        <v>0.17564070729057815</v>
      </c>
      <c r="DF12" s="94">
        <f t="shared" si="14"/>
        <v>0</v>
      </c>
      <c r="DG12" s="94">
        <f t="shared" si="14"/>
        <v>0</v>
      </c>
      <c r="DH12" s="95">
        <f t="shared" si="14"/>
        <v>0.89015541890165795</v>
      </c>
      <c r="DI12" s="96" t="e">
        <f>#REF!</f>
        <v>#REF!</v>
      </c>
      <c r="DJ12" s="95">
        <f t="shared" si="64"/>
        <v>-0.24527341373122155</v>
      </c>
      <c r="DK12" s="96" t="e">
        <f>#REF!</f>
        <v>#REF!</v>
      </c>
      <c r="DL12" s="95">
        <f t="shared" si="15"/>
        <v>1.0690511953948041</v>
      </c>
      <c r="DM12" s="96">
        <f t="shared" si="16"/>
        <v>0</v>
      </c>
      <c r="DN12" s="94">
        <f t="shared" si="17"/>
        <v>2.8594806008086597</v>
      </c>
      <c r="DO12" s="100">
        <v>3.4</v>
      </c>
      <c r="DP12" s="94">
        <f>IF($O12&lt;&gt;0,IF($O12&lt;&gt;0,BL12/$O12*10,0)," ")</f>
        <v>3.6832583824722418</v>
      </c>
      <c r="DQ12" s="94">
        <f t="shared" si="73"/>
        <v>3.519663652214132</v>
      </c>
      <c r="DR12" s="101">
        <f t="shared" si="18"/>
        <v>0</v>
      </c>
      <c r="DS12" s="116"/>
      <c r="DT12" s="134">
        <v>7</v>
      </c>
      <c r="DU12" s="76">
        <v>603427</v>
      </c>
      <c r="DV12" s="76">
        <v>22458</v>
      </c>
      <c r="DW12" s="76">
        <v>5085414</v>
      </c>
      <c r="DX12" s="77">
        <v>97480</v>
      </c>
      <c r="DY12" s="77">
        <v>79812</v>
      </c>
      <c r="DZ12" s="77">
        <v>358191</v>
      </c>
      <c r="EA12" s="77">
        <v>205664</v>
      </c>
      <c r="EB12" s="77">
        <v>46479</v>
      </c>
      <c r="EC12" s="77">
        <v>361210</v>
      </c>
      <c r="ED12" s="296">
        <v>43544</v>
      </c>
      <c r="EE12" s="77">
        <v>35613</v>
      </c>
      <c r="EF12" s="77">
        <v>37196</v>
      </c>
      <c r="EG12" s="76">
        <v>88419</v>
      </c>
      <c r="EH12" s="76">
        <v>174146</v>
      </c>
      <c r="EI12" s="76">
        <v>28108</v>
      </c>
      <c r="EJ12" s="77">
        <v>36434</v>
      </c>
      <c r="EK12" s="77"/>
      <c r="EL12" s="76">
        <v>673505</v>
      </c>
      <c r="EM12" s="77">
        <v>5528</v>
      </c>
      <c r="EN12" s="77">
        <v>38605</v>
      </c>
      <c r="EO12" s="76">
        <v>2812257</v>
      </c>
      <c r="EP12" s="77">
        <v>248598</v>
      </c>
      <c r="EQ12" s="77">
        <v>0</v>
      </c>
      <c r="ER12" s="77">
        <v>1519</v>
      </c>
      <c r="ES12" s="77">
        <v>260119</v>
      </c>
      <c r="ET12" s="77">
        <v>9144802</v>
      </c>
      <c r="EU12" s="77">
        <v>364238</v>
      </c>
      <c r="EV12" s="77">
        <v>104866</v>
      </c>
      <c r="EW12" s="77">
        <v>58673</v>
      </c>
      <c r="EX12" s="76">
        <v>194031</v>
      </c>
      <c r="EY12" s="76">
        <v>1544595</v>
      </c>
      <c r="EZ12" s="76">
        <v>685289</v>
      </c>
      <c r="FA12" s="76">
        <v>714202</v>
      </c>
      <c r="FB12" s="77">
        <v>29954</v>
      </c>
      <c r="FC12" s="77">
        <v>7560</v>
      </c>
      <c r="FD12" s="104">
        <f t="shared" si="19"/>
        <v>7088</v>
      </c>
      <c r="FE12" s="105">
        <f t="shared" si="20"/>
        <v>0</v>
      </c>
      <c r="FF12" s="105">
        <f t="shared" si="20"/>
        <v>724</v>
      </c>
      <c r="FG12" s="105">
        <f t="shared" si="20"/>
        <v>1741</v>
      </c>
      <c r="FH12" s="105">
        <f t="shared" si="20"/>
        <v>1215</v>
      </c>
      <c r="FI12" s="105">
        <f t="shared" si="20"/>
        <v>827</v>
      </c>
      <c r="FJ12" s="105">
        <f t="shared" si="20"/>
        <v>0</v>
      </c>
      <c r="FK12" s="105">
        <f t="shared" si="20"/>
        <v>718</v>
      </c>
      <c r="FL12" s="105">
        <f t="shared" si="20"/>
        <v>1510</v>
      </c>
      <c r="FM12" s="105">
        <f t="shared" si="20"/>
        <v>353</v>
      </c>
      <c r="FN12" s="80">
        <f t="shared" si="74"/>
        <v>0</v>
      </c>
      <c r="FO12" s="104">
        <v>51587</v>
      </c>
      <c r="FP12" s="132" t="s">
        <v>157</v>
      </c>
      <c r="FY12" s="119">
        <v>7</v>
      </c>
      <c r="FZ12" s="107"/>
      <c r="GA12" s="107"/>
      <c r="GB12" s="108"/>
      <c r="GC12" s="109"/>
      <c r="GD12" s="110"/>
      <c r="GE12" s="110"/>
      <c r="GF12" s="111"/>
      <c r="GG12" s="111"/>
      <c r="GH12" s="111"/>
      <c r="GI12" s="112"/>
      <c r="GJ12" s="111" t="e">
        <f t="shared" si="65"/>
        <v>#DIV/0!</v>
      </c>
      <c r="GK12" s="113"/>
    </row>
    <row r="13" spans="1:194" s="119" customFormat="1" ht="15" customHeight="1">
      <c r="B13" s="573">
        <v>42774</v>
      </c>
      <c r="D13" s="131">
        <v>6813.84</v>
      </c>
      <c r="E13" s="131">
        <v>876.96</v>
      </c>
      <c r="F13" s="131">
        <v>0</v>
      </c>
      <c r="G13" s="131">
        <v>6086.5389999999998</v>
      </c>
      <c r="H13" s="131">
        <v>7134.3950000000004</v>
      </c>
      <c r="I13" s="131">
        <v>1827.0989999999999</v>
      </c>
      <c r="J13" s="131">
        <v>5652.48</v>
      </c>
      <c r="K13" s="86">
        <v>10.349</v>
      </c>
      <c r="L13" s="86">
        <v>8</v>
      </c>
      <c r="M13" s="115">
        <f t="shared" si="21"/>
        <v>7479.5789999999997</v>
      </c>
      <c r="N13" s="88">
        <f t="shared" si="0"/>
        <v>20911.734</v>
      </c>
      <c r="O13" s="88">
        <f>N13+L13+K13+((J13+I13)*0.5)</f>
        <v>24669.872499999998</v>
      </c>
      <c r="P13" s="89">
        <f t="shared" si="23"/>
        <v>155065.85499999998</v>
      </c>
      <c r="R13" s="90">
        <f t="shared" si="24"/>
        <v>285</v>
      </c>
      <c r="S13" s="90">
        <f t="shared" si="25"/>
        <v>1.4</v>
      </c>
      <c r="T13" s="90">
        <f t="shared" si="1"/>
        <v>792.4</v>
      </c>
      <c r="U13" s="90"/>
      <c r="V13" s="90">
        <f t="shared" si="26"/>
        <v>1499</v>
      </c>
      <c r="W13" s="91">
        <f t="shared" si="2"/>
        <v>225050.3</v>
      </c>
      <c r="X13" s="90">
        <f t="shared" si="27"/>
        <v>1499</v>
      </c>
      <c r="Y13" s="90" t="str">
        <f t="shared" si="28"/>
        <v>0</v>
      </c>
      <c r="Z13" s="90">
        <f t="shared" si="3"/>
        <v>145.1</v>
      </c>
      <c r="AA13" s="90">
        <f t="shared" si="29"/>
        <v>2577.8000000000002</v>
      </c>
      <c r="AB13" s="90">
        <f t="shared" si="30"/>
        <v>253</v>
      </c>
      <c r="AC13" s="90">
        <f t="shared" si="30"/>
        <v>19</v>
      </c>
      <c r="AD13" s="90">
        <f t="shared" si="31"/>
        <v>449</v>
      </c>
      <c r="AE13" s="90">
        <f t="shared" si="32"/>
        <v>177</v>
      </c>
      <c r="AF13" s="90">
        <f t="shared" si="33"/>
        <v>344</v>
      </c>
      <c r="AG13" s="90">
        <f t="shared" si="33"/>
        <v>17</v>
      </c>
      <c r="AH13" s="90">
        <f t="shared" si="34"/>
        <v>361</v>
      </c>
      <c r="AI13" s="90">
        <f t="shared" si="35"/>
        <v>0</v>
      </c>
      <c r="AJ13" s="90">
        <f t="shared" si="36"/>
        <v>148</v>
      </c>
      <c r="AK13" s="90">
        <f t="shared" si="36"/>
        <v>70</v>
      </c>
      <c r="AL13" s="90">
        <f t="shared" si="37"/>
        <v>344</v>
      </c>
      <c r="AM13" s="90">
        <f t="shared" si="38"/>
        <v>126</v>
      </c>
      <c r="AN13" s="90">
        <f t="shared" si="39"/>
        <v>3</v>
      </c>
      <c r="AO13" s="90">
        <f t="shared" si="4"/>
        <v>28</v>
      </c>
      <c r="AP13" s="90">
        <f t="shared" si="40"/>
        <v>43</v>
      </c>
      <c r="AQ13" s="90">
        <f t="shared" si="5"/>
        <v>72</v>
      </c>
      <c r="AR13" s="90">
        <f t="shared" si="41"/>
        <v>31.542000000000002</v>
      </c>
      <c r="AS13" s="90">
        <f t="shared" si="42"/>
        <v>92.54200000000003</v>
      </c>
      <c r="AT13" s="90">
        <f t="shared" si="43"/>
        <v>718.54200000000003</v>
      </c>
      <c r="AU13" s="90">
        <f t="shared" si="44"/>
        <v>219</v>
      </c>
      <c r="AV13" s="90">
        <f t="shared" si="66"/>
        <v>11</v>
      </c>
      <c r="AW13" s="90">
        <f t="shared" si="45"/>
        <v>407</v>
      </c>
      <c r="AX13" s="90">
        <f t="shared" si="67"/>
        <v>58</v>
      </c>
      <c r="AY13" s="90" t="str">
        <f t="shared" si="46"/>
        <v/>
      </c>
      <c r="AZ13" s="90">
        <f t="shared" si="47"/>
        <v>460</v>
      </c>
      <c r="BA13" s="90">
        <v>45</v>
      </c>
      <c r="BB13" s="90">
        <f t="shared" si="48"/>
        <v>94</v>
      </c>
      <c r="BC13" s="90">
        <f t="shared" si="48"/>
        <v>1031</v>
      </c>
      <c r="BD13" s="91">
        <f t="shared" si="49"/>
        <v>342</v>
      </c>
      <c r="BE13" s="90"/>
      <c r="BF13" s="90"/>
      <c r="BG13" s="90">
        <f t="shared" si="6"/>
        <v>1927</v>
      </c>
      <c r="BH13" s="90">
        <f t="shared" si="50"/>
        <v>-1702</v>
      </c>
      <c r="BI13" s="90">
        <f t="shared" si="51"/>
        <v>1544.6579999999994</v>
      </c>
      <c r="BJ13" s="90">
        <f t="shared" si="7"/>
        <v>5920.3420000000006</v>
      </c>
      <c r="BK13" s="92"/>
      <c r="BL13" s="93">
        <f t="shared" si="52"/>
        <v>5763</v>
      </c>
      <c r="BM13" s="93">
        <f t="shared" si="53"/>
        <v>51658</v>
      </c>
      <c r="BN13" s="92"/>
      <c r="BO13" s="94">
        <f t="shared" si="54"/>
        <v>0.13628711994902001</v>
      </c>
      <c r="BP13" s="94">
        <f t="shared" si="54"/>
        <v>6.694805892232562E-4</v>
      </c>
      <c r="BQ13" s="94">
        <f t="shared" si="55"/>
        <v>0.37892601350036298</v>
      </c>
      <c r="BR13" s="94">
        <f t="shared" si="68"/>
        <v>0.71682243088975794</v>
      </c>
      <c r="BS13" s="94">
        <f t="shared" si="8"/>
        <v>0</v>
      </c>
      <c r="BT13" s="94">
        <f t="shared" si="8"/>
        <v>6.9386881068781769E-2</v>
      </c>
      <c r="BU13" s="95">
        <f t="shared" si="8"/>
        <v>1.2327050449283643</v>
      </c>
      <c r="BV13" s="94">
        <f t="shared" si="9"/>
        <v>0.1155255261250337</v>
      </c>
      <c r="BW13" s="94">
        <f t="shared" si="9"/>
        <v>5.674938125440252E-4</v>
      </c>
      <c r="BX13" s="94">
        <f t="shared" si="9"/>
        <v>0.32120149789991825</v>
      </c>
      <c r="BY13" s="94">
        <f t="shared" si="56"/>
        <v>0.6076237321453527</v>
      </c>
      <c r="BZ13" s="95">
        <f t="shared" si="10"/>
        <v>1.0449182499828487</v>
      </c>
      <c r="CA13" s="96" t="e">
        <f>#REF!</f>
        <v>#REF!</v>
      </c>
      <c r="CB13" s="94">
        <f t="shared" si="11"/>
        <v>1.2785635596616886E-2</v>
      </c>
      <c r="CC13" s="95">
        <f t="shared" si="11"/>
        <v>3.7512151714606562E-2</v>
      </c>
      <c r="CD13" s="97">
        <f t="shared" si="12"/>
        <v>4.2170822716091377E-2</v>
      </c>
      <c r="CE13" s="98">
        <f t="shared" si="12"/>
        <v>0.12372621507173069</v>
      </c>
      <c r="CF13" s="94">
        <f t="shared" si="57"/>
        <v>0.37130311248869946</v>
      </c>
      <c r="CG13" s="94">
        <f t="shared" si="57"/>
        <v>2.788442346753079E-2</v>
      </c>
      <c r="CH13" s="95">
        <f t="shared" si="58"/>
        <v>0.65895295457480652</v>
      </c>
      <c r="CI13" s="96" t="e">
        <f>#REF!</f>
        <v>#REF!</v>
      </c>
      <c r="CJ13" s="94">
        <f t="shared" si="59"/>
        <v>3.9226418536763363</v>
      </c>
      <c r="CK13" s="94">
        <f t="shared" si="59"/>
        <v>0.1938514869549352</v>
      </c>
      <c r="CL13" s="95">
        <f t="shared" si="69"/>
        <v>4.1164933406312718</v>
      </c>
      <c r="CM13" s="95" t="e">
        <f>#REF!</f>
        <v>#REF!</v>
      </c>
      <c r="CN13" s="94" t="str">
        <f t="shared" si="60"/>
        <v>0,00</v>
      </c>
      <c r="CO13" s="94" t="str">
        <f t="shared" si="60"/>
        <v>0,00</v>
      </c>
      <c r="CP13" s="95" t="str">
        <f t="shared" si="61"/>
        <v xml:space="preserve">0,00 </v>
      </c>
      <c r="CQ13" s="95" t="e">
        <f>#REF!</f>
        <v>#REF!</v>
      </c>
      <c r="CR13" s="97">
        <f t="shared" si="70"/>
        <v>4.9289095165577683E-3</v>
      </c>
      <c r="CS13" s="95">
        <f t="shared" si="70"/>
        <v>4.6003155487872496E-2</v>
      </c>
      <c r="CT13" s="96" t="e">
        <f>#REF!</f>
        <v>#REF!</v>
      </c>
      <c r="CU13" s="97">
        <f t="shared" si="71"/>
        <v>6.0271403531764078E-2</v>
      </c>
      <c r="CV13" s="95">
        <f t="shared" si="62"/>
        <v>0.10091955940202357</v>
      </c>
      <c r="CW13" s="96" t="e">
        <f>#REF!</f>
        <v>#REF!</v>
      </c>
      <c r="CX13" s="99">
        <f t="shared" si="63"/>
        <v>8.8772246390815379E-2</v>
      </c>
      <c r="CY13" s="95">
        <f t="shared" si="63"/>
        <v>4.4588799557030547E-3</v>
      </c>
      <c r="CZ13" s="99">
        <f t="shared" si="63"/>
        <v>0.16497855836101302</v>
      </c>
      <c r="DA13" s="95">
        <f t="shared" si="63"/>
        <v>2.3510457948252472E-2</v>
      </c>
      <c r="DB13" s="94">
        <f t="shared" si="13"/>
        <v>0.18646225269303682</v>
      </c>
      <c r="DC13" s="94">
        <f t="shared" si="14"/>
        <v>3.8103155985098829E-2</v>
      </c>
      <c r="DD13" s="94">
        <f t="shared" si="14"/>
        <v>0.41791865766634995</v>
      </c>
      <c r="DE13" s="94">
        <f t="shared" si="14"/>
        <v>0.13863063135004042</v>
      </c>
      <c r="DF13" s="94">
        <f t="shared" si="14"/>
        <v>0</v>
      </c>
      <c r="DG13" s="94">
        <f t="shared" si="14"/>
        <v>0</v>
      </c>
      <c r="DH13" s="95">
        <f t="shared" si="14"/>
        <v>0.78111469769452602</v>
      </c>
      <c r="DI13" s="96" t="e">
        <f>#REF!</f>
        <v>#REF!</v>
      </c>
      <c r="DJ13" s="95">
        <f t="shared" si="64"/>
        <v>-0.68991033496423637</v>
      </c>
      <c r="DK13" s="96" t="e">
        <f>#REF!</f>
        <v>#REF!</v>
      </c>
      <c r="DL13" s="95">
        <f t="shared" si="15"/>
        <v>0.62613132678330596</v>
      </c>
      <c r="DM13" s="96">
        <f t="shared" si="16"/>
        <v>0</v>
      </c>
      <c r="DN13" s="94">
        <f t="shared" si="17"/>
        <v>2.3998267522460854</v>
      </c>
      <c r="DO13" s="100">
        <v>3.4</v>
      </c>
      <c r="DP13" s="94">
        <f t="shared" si="72"/>
        <v>2.336047744065155</v>
      </c>
      <c r="DQ13" s="94">
        <f t="shared" si="73"/>
        <v>3.3313587959128728</v>
      </c>
      <c r="DR13" s="101">
        <f t="shared" si="18"/>
        <v>0</v>
      </c>
      <c r="DS13" s="116"/>
      <c r="DT13" s="134">
        <v>8</v>
      </c>
      <c r="DU13" s="76">
        <v>603680</v>
      </c>
      <c r="DV13" s="76">
        <v>22477</v>
      </c>
      <c r="DW13" s="76">
        <v>5085863</v>
      </c>
      <c r="DX13" s="77">
        <v>97824</v>
      </c>
      <c r="DY13" s="77">
        <v>79829</v>
      </c>
      <c r="DZ13" s="77">
        <v>358340</v>
      </c>
      <c r="EA13" s="77">
        <v>205812</v>
      </c>
      <c r="EB13" s="77">
        <v>46549</v>
      </c>
      <c r="EC13" s="77">
        <v>361554</v>
      </c>
      <c r="ED13" s="76">
        <v>43547</v>
      </c>
      <c r="EE13" s="77">
        <v>35630</v>
      </c>
      <c r="EF13" s="77">
        <v>37207</v>
      </c>
      <c r="EG13" s="76">
        <v>88462</v>
      </c>
      <c r="EH13" s="76">
        <v>174218</v>
      </c>
      <c r="EI13" s="76">
        <v>28119</v>
      </c>
      <c r="EJ13" s="77">
        <v>36492</v>
      </c>
      <c r="EK13" s="77"/>
      <c r="EL13" s="76">
        <v>673790</v>
      </c>
      <c r="EM13" s="76">
        <v>7924</v>
      </c>
      <c r="EN13" s="77">
        <v>38660</v>
      </c>
      <c r="EO13" s="76">
        <v>2813756</v>
      </c>
      <c r="EP13" s="77">
        <v>2499101</v>
      </c>
      <c r="EQ13" s="77">
        <v>0</v>
      </c>
      <c r="ER13" s="77">
        <v>1451</v>
      </c>
      <c r="ES13" s="121">
        <v>260806</v>
      </c>
      <c r="ET13" s="77">
        <v>9176344</v>
      </c>
      <c r="EU13" s="77">
        <v>364645</v>
      </c>
      <c r="EV13" s="77">
        <v>105085</v>
      </c>
      <c r="EW13" s="77">
        <v>59133</v>
      </c>
      <c r="EX13" s="76">
        <v>194125</v>
      </c>
      <c r="EY13" s="76">
        <v>1545626</v>
      </c>
      <c r="EZ13" s="149">
        <v>685303</v>
      </c>
      <c r="FA13" s="149">
        <v>714544</v>
      </c>
      <c r="FB13" s="77">
        <v>30008</v>
      </c>
      <c r="FC13" s="76">
        <v>7465</v>
      </c>
      <c r="FD13" s="104">
        <f t="shared" si="19"/>
        <v>5763</v>
      </c>
      <c r="FE13" s="105">
        <f t="shared" si="20"/>
        <v>0</v>
      </c>
      <c r="FF13" s="105">
        <f t="shared" si="20"/>
        <v>381</v>
      </c>
      <c r="FG13" s="105">
        <f t="shared" si="20"/>
        <v>1905</v>
      </c>
      <c r="FH13" s="105">
        <f t="shared" si="20"/>
        <v>839</v>
      </c>
      <c r="FI13" s="105">
        <f t="shared" si="20"/>
        <v>521</v>
      </c>
      <c r="FJ13" s="105">
        <f t="shared" si="20"/>
        <v>0</v>
      </c>
      <c r="FK13" s="105">
        <f t="shared" si="20"/>
        <v>396</v>
      </c>
      <c r="FL13" s="105">
        <f t="shared" si="20"/>
        <v>1464</v>
      </c>
      <c r="FM13" s="105">
        <f t="shared" si="20"/>
        <v>257</v>
      </c>
      <c r="FN13" s="80">
        <f t="shared" si="74"/>
        <v>0</v>
      </c>
      <c r="FO13" s="104">
        <v>51587</v>
      </c>
      <c r="FP13" s="132" t="s">
        <v>158</v>
      </c>
      <c r="FY13" s="119">
        <v>8</v>
      </c>
      <c r="FZ13" s="107"/>
      <c r="GA13" s="107"/>
      <c r="GB13" s="108"/>
      <c r="GC13" s="109"/>
      <c r="GD13" s="110"/>
      <c r="GE13" s="110"/>
      <c r="GF13" s="111"/>
      <c r="GG13" s="111"/>
      <c r="GH13" s="111"/>
      <c r="GI13" s="112"/>
      <c r="GJ13" s="111" t="e">
        <f t="shared" si="65"/>
        <v>#DIV/0!</v>
      </c>
      <c r="GK13" s="113"/>
    </row>
    <row r="14" spans="1:194" s="141" customFormat="1" ht="15" customHeight="1">
      <c r="B14" s="573">
        <v>42775</v>
      </c>
      <c r="D14" s="131">
        <v>5137.32</v>
      </c>
      <c r="E14" s="131">
        <v>2849.28</v>
      </c>
      <c r="F14" s="131">
        <v>3115.5839999999998</v>
      </c>
      <c r="G14" s="131">
        <v>0</v>
      </c>
      <c r="H14" s="131">
        <v>8780.375</v>
      </c>
      <c r="I14" s="131">
        <v>922.28</v>
      </c>
      <c r="J14" s="131">
        <v>5960.76</v>
      </c>
      <c r="K14" s="86">
        <v>8.6780000000000008</v>
      </c>
      <c r="L14" s="86">
        <v>8</v>
      </c>
      <c r="M14" s="115">
        <f t="shared" si="21"/>
        <v>6883.04</v>
      </c>
      <c r="N14" s="88">
        <f t="shared" si="0"/>
        <v>19882.559000000001</v>
      </c>
      <c r="O14" s="88">
        <f>N14+L14+K14+((J14+I14)*0.5)</f>
        <v>23340.757000000001</v>
      </c>
      <c r="P14" s="89">
        <f t="shared" si="23"/>
        <v>178406.61199999999</v>
      </c>
      <c r="R14" s="90">
        <f t="shared" si="24"/>
        <v>271</v>
      </c>
      <c r="S14" s="90">
        <f t="shared" si="25"/>
        <v>72.2</v>
      </c>
      <c r="T14" s="90">
        <f t="shared" si="1"/>
        <v>644.9</v>
      </c>
      <c r="U14" s="90"/>
      <c r="V14" s="90">
        <f t="shared" si="26"/>
        <v>1055</v>
      </c>
      <c r="W14" s="91">
        <f t="shared" si="2"/>
        <v>2114</v>
      </c>
      <c r="X14" s="90">
        <f t="shared" si="27"/>
        <v>1055</v>
      </c>
      <c r="Y14" s="90" t="str">
        <f t="shared" si="28"/>
        <v>0</v>
      </c>
      <c r="Z14" s="90">
        <f t="shared" si="3"/>
        <v>110.3</v>
      </c>
      <c r="AA14" s="90">
        <f t="shared" si="29"/>
        <v>2043.1</v>
      </c>
      <c r="AB14" s="90">
        <f t="shared" si="30"/>
        <v>268</v>
      </c>
      <c r="AC14" s="90">
        <f t="shared" si="30"/>
        <v>33</v>
      </c>
      <c r="AD14" s="90">
        <f t="shared" si="31"/>
        <v>501</v>
      </c>
      <c r="AE14" s="90">
        <f t="shared" si="32"/>
        <v>200</v>
      </c>
      <c r="AF14" s="90">
        <f t="shared" si="33"/>
        <v>0</v>
      </c>
      <c r="AG14" s="90">
        <f t="shared" si="33"/>
        <v>12</v>
      </c>
      <c r="AH14" s="90">
        <f t="shared" si="34"/>
        <v>186</v>
      </c>
      <c r="AI14" s="90">
        <f t="shared" si="35"/>
        <v>174</v>
      </c>
      <c r="AJ14" s="90">
        <f t="shared" si="36"/>
        <v>251</v>
      </c>
      <c r="AK14" s="90">
        <f t="shared" si="36"/>
        <v>7</v>
      </c>
      <c r="AL14" s="90">
        <f t="shared" si="37"/>
        <v>306</v>
      </c>
      <c r="AM14" s="90">
        <f t="shared" si="38"/>
        <v>48</v>
      </c>
      <c r="AN14" s="90">
        <f t="shared" si="39"/>
        <v>5</v>
      </c>
      <c r="AO14" s="90">
        <f t="shared" si="4"/>
        <v>32</v>
      </c>
      <c r="AP14" s="90">
        <f t="shared" si="40"/>
        <v>3</v>
      </c>
      <c r="AQ14" s="90">
        <f t="shared" si="5"/>
        <v>15</v>
      </c>
      <c r="AR14" s="90">
        <f t="shared" si="41"/>
        <v>110.94199999999999</v>
      </c>
      <c r="AS14" s="90">
        <f t="shared" si="42"/>
        <v>192.94200000000001</v>
      </c>
      <c r="AT14" s="90">
        <f t="shared" si="43"/>
        <v>853.94200000000001</v>
      </c>
      <c r="AU14" s="90">
        <f t="shared" si="44"/>
        <v>139</v>
      </c>
      <c r="AV14" s="90">
        <f t="shared" si="66"/>
        <v>34</v>
      </c>
      <c r="AW14" s="90">
        <f t="shared" si="45"/>
        <v>522</v>
      </c>
      <c r="AX14" s="90">
        <f t="shared" si="67"/>
        <v>29</v>
      </c>
      <c r="AY14" s="90" t="str">
        <f t="shared" si="46"/>
        <v/>
      </c>
      <c r="AZ14" s="90">
        <f t="shared" si="47"/>
        <v>476</v>
      </c>
      <c r="BA14" s="90">
        <v>0</v>
      </c>
      <c r="BB14" s="90">
        <f t="shared" si="48"/>
        <v>104</v>
      </c>
      <c r="BC14" s="90">
        <f t="shared" si="48"/>
        <v>917</v>
      </c>
      <c r="BD14" s="91">
        <f t="shared" si="49"/>
        <v>109</v>
      </c>
      <c r="BE14" s="90"/>
      <c r="BF14" s="90"/>
      <c r="BG14" s="90">
        <f t="shared" si="6"/>
        <v>1606</v>
      </c>
      <c r="BH14" s="90">
        <f t="shared" si="50"/>
        <v>542</v>
      </c>
      <c r="BI14" s="90">
        <f t="shared" si="51"/>
        <v>1655.9579999999996</v>
      </c>
      <c r="BJ14" s="90">
        <f t="shared" si="7"/>
        <v>4945.0420000000004</v>
      </c>
      <c r="BK14" s="92"/>
      <c r="BL14" s="93">
        <f>FD14+FN14</f>
        <v>7143</v>
      </c>
      <c r="BM14" s="93">
        <f t="shared" si="53"/>
        <v>58801</v>
      </c>
      <c r="BN14" s="92"/>
      <c r="BO14" s="94">
        <f t="shared" si="54"/>
        <v>0.13630036254387576</v>
      </c>
      <c r="BP14" s="94">
        <f t="shared" si="54"/>
        <v>3.6313233120545498E-2</v>
      </c>
      <c r="BQ14" s="94">
        <f t="shared" si="55"/>
        <v>0.32435462658503866</v>
      </c>
      <c r="BR14" s="94">
        <f t="shared" si="68"/>
        <v>0.53061580252320639</v>
      </c>
      <c r="BS14" s="94">
        <f t="shared" si="8"/>
        <v>0</v>
      </c>
      <c r="BT14" s="94">
        <f t="shared" si="8"/>
        <v>5.5475756415459397E-2</v>
      </c>
      <c r="BU14" s="95">
        <f t="shared" si="8"/>
        <v>1.0275840247726662</v>
      </c>
      <c r="BV14" s="94">
        <f t="shared" si="9"/>
        <v>0.1161059172159669</v>
      </c>
      <c r="BW14" s="94">
        <f t="shared" si="9"/>
        <v>3.0933015582999299E-2</v>
      </c>
      <c r="BX14" s="94">
        <f t="shared" si="9"/>
        <v>0.27629780816449095</v>
      </c>
      <c r="BY14" s="94">
        <f t="shared" si="56"/>
        <v>0.45199905041640254</v>
      </c>
      <c r="BZ14" s="95">
        <f t="shared" si="10"/>
        <v>0.87533579137985962</v>
      </c>
      <c r="CA14" s="96" t="e">
        <f>#REF!</f>
        <v>#REF!</v>
      </c>
      <c r="CB14" s="94">
        <f t="shared" si="11"/>
        <v>4.7531448958574904E-2</v>
      </c>
      <c r="CC14" s="95">
        <f t="shared" si="11"/>
        <v>8.2663128706579658E-2</v>
      </c>
      <c r="CD14" s="97">
        <f t="shared" si="12"/>
        <v>0.16118168716148676</v>
      </c>
      <c r="CE14" s="98">
        <f t="shared" si="12"/>
        <v>0.2803150933308538</v>
      </c>
      <c r="CF14" s="94">
        <f t="shared" si="57"/>
        <v>0.52167277880295559</v>
      </c>
      <c r="CG14" s="94">
        <f t="shared" si="57"/>
        <v>6.4235827240662458E-2</v>
      </c>
      <c r="CH14" s="95">
        <f t="shared" si="58"/>
        <v>0.97521664992642088</v>
      </c>
      <c r="CI14" s="96" t="e">
        <f>#REF!</f>
        <v>#REF!</v>
      </c>
      <c r="CJ14" s="94">
        <f t="shared" si="59"/>
        <v>0</v>
      </c>
      <c r="CK14" s="94">
        <f t="shared" si="59"/>
        <v>4.2115902964959567E-2</v>
      </c>
      <c r="CL14" s="95">
        <f t="shared" si="69"/>
        <v>0.65279649595687328</v>
      </c>
      <c r="CM14" s="95" t="e">
        <f>#REF!</f>
        <v>#REF!</v>
      </c>
      <c r="CN14" s="94">
        <f t="shared" si="60"/>
        <v>0.80562745218873899</v>
      </c>
      <c r="CO14" s="94">
        <f t="shared" si="60"/>
        <v>2.2467697869805472E-2</v>
      </c>
      <c r="CP14" s="95">
        <f t="shared" si="61"/>
        <v>0.98215936402292481</v>
      </c>
      <c r="CQ14" s="95" t="e">
        <f>#REF!</f>
        <v>#REF!</v>
      </c>
      <c r="CR14" s="97" t="str">
        <f t="shared" si="70"/>
        <v xml:space="preserve">0,00 </v>
      </c>
      <c r="CS14" s="95" t="str">
        <f t="shared" si="70"/>
        <v xml:space="preserve">0,00 </v>
      </c>
      <c r="CT14" s="96" t="e">
        <f>#REF!</f>
        <v>#REF!</v>
      </c>
      <c r="CU14" s="97">
        <f t="shared" si="71"/>
        <v>3.4167105619065242E-3</v>
      </c>
      <c r="CV14" s="95">
        <f t="shared" si="62"/>
        <v>1.7083552809532623E-2</v>
      </c>
      <c r="CW14" s="96" t="e">
        <f>#REF!</f>
        <v>#REF!</v>
      </c>
      <c r="CX14" s="99">
        <f t="shared" si="63"/>
        <v>5.9552481524056823E-2</v>
      </c>
      <c r="CY14" s="95">
        <f t="shared" si="63"/>
        <v>1.4566794041855626E-2</v>
      </c>
      <c r="CZ14" s="99">
        <f t="shared" si="63"/>
        <v>0.22364313205437167</v>
      </c>
      <c r="DA14" s="95">
        <f t="shared" si="63"/>
        <v>1.2424618447465091E-2</v>
      </c>
      <c r="DB14" s="94">
        <f t="shared" si="13"/>
        <v>0.20393511658597874</v>
      </c>
      <c r="DC14" s="94">
        <f t="shared" si="14"/>
        <v>4.4557252363323085E-2</v>
      </c>
      <c r="DD14" s="94">
        <f t="shared" si="14"/>
        <v>0.39287500401122377</v>
      </c>
      <c r="DE14" s="94">
        <f t="shared" si="14"/>
        <v>4.6699427957713618E-2</v>
      </c>
      <c r="DF14" s="94">
        <f t="shared" si="14"/>
        <v>0</v>
      </c>
      <c r="DG14" s="94">
        <f t="shared" si="14"/>
        <v>0</v>
      </c>
      <c r="DH14" s="95">
        <f t="shared" si="14"/>
        <v>0.68806680091823913</v>
      </c>
      <c r="DI14" s="96" t="e">
        <f>#REF!</f>
        <v>#REF!</v>
      </c>
      <c r="DJ14" s="95">
        <f t="shared" si="64"/>
        <v>0.2322118344319338</v>
      </c>
      <c r="DK14" s="96" t="e">
        <f>#REF!</f>
        <v>#REF!</v>
      </c>
      <c r="DL14" s="95">
        <f t="shared" si="15"/>
        <v>0.70947056258715158</v>
      </c>
      <c r="DM14" s="96">
        <f t="shared" si="16"/>
        <v>0</v>
      </c>
      <c r="DN14" s="94">
        <f t="shared" si="17"/>
        <v>2.1186296571272303</v>
      </c>
      <c r="DO14" s="100">
        <v>3.4</v>
      </c>
      <c r="DP14" s="94">
        <f t="shared" si="72"/>
        <v>3.0603120541463156</v>
      </c>
      <c r="DQ14" s="94">
        <f t="shared" si="73"/>
        <v>3.2958980242279363</v>
      </c>
      <c r="DR14" s="101">
        <f t="shared" si="18"/>
        <v>0</v>
      </c>
      <c r="DT14" s="142">
        <v>9</v>
      </c>
      <c r="DU14" s="76">
        <v>603948</v>
      </c>
      <c r="DV14" s="76">
        <v>22510</v>
      </c>
      <c r="DW14" s="76">
        <v>5086364</v>
      </c>
      <c r="DX14" s="77">
        <v>97824</v>
      </c>
      <c r="DY14" s="77">
        <v>79841</v>
      </c>
      <c r="DZ14" s="77">
        <v>358526</v>
      </c>
      <c r="EA14" s="77">
        <v>206063</v>
      </c>
      <c r="EB14" s="77">
        <v>46556</v>
      </c>
      <c r="EC14" s="77">
        <v>361860</v>
      </c>
      <c r="ED14" s="76">
        <v>43552</v>
      </c>
      <c r="EE14" s="77">
        <v>35653</v>
      </c>
      <c r="EF14" s="77">
        <v>37216</v>
      </c>
      <c r="EG14" s="76">
        <v>88465</v>
      </c>
      <c r="EH14" s="76">
        <v>174233</v>
      </c>
      <c r="EI14" s="76">
        <v>28153</v>
      </c>
      <c r="EJ14" s="77">
        <v>36521</v>
      </c>
      <c r="EK14" s="77"/>
      <c r="EL14" s="76">
        <v>674061</v>
      </c>
      <c r="EM14" s="77">
        <v>6449</v>
      </c>
      <c r="EN14" s="77">
        <v>38709</v>
      </c>
      <c r="EO14" s="76">
        <v>2814811</v>
      </c>
      <c r="EP14" s="77">
        <v>2520241</v>
      </c>
      <c r="EQ14" s="77">
        <v>0</v>
      </c>
      <c r="ER14" s="77">
        <v>1103</v>
      </c>
      <c r="ES14" s="124">
        <v>261549</v>
      </c>
      <c r="ET14" s="77">
        <v>9287286</v>
      </c>
      <c r="EU14" s="77">
        <v>365167</v>
      </c>
      <c r="EV14" s="77">
        <v>105224</v>
      </c>
      <c r="EW14" s="77">
        <v>59609</v>
      </c>
      <c r="EX14" s="76">
        <v>194229</v>
      </c>
      <c r="EY14" s="76">
        <v>1546543</v>
      </c>
      <c r="EZ14" s="149">
        <v>686025</v>
      </c>
      <c r="FA14" s="149">
        <v>714653</v>
      </c>
      <c r="FB14" s="151">
        <v>30026</v>
      </c>
      <c r="FC14" s="127">
        <v>6601</v>
      </c>
      <c r="FD14" s="104">
        <f t="shared" si="19"/>
        <v>7143</v>
      </c>
      <c r="FE14" s="105">
        <f t="shared" si="20"/>
        <v>0</v>
      </c>
      <c r="FF14" s="105">
        <f t="shared" si="20"/>
        <v>551</v>
      </c>
      <c r="FG14" s="105">
        <f t="shared" si="20"/>
        <v>2163</v>
      </c>
      <c r="FH14" s="105">
        <f t="shared" si="20"/>
        <v>1997</v>
      </c>
      <c r="FI14" s="105">
        <f t="shared" si="20"/>
        <v>640</v>
      </c>
      <c r="FJ14" s="105">
        <f t="shared" si="20"/>
        <v>0</v>
      </c>
      <c r="FK14" s="105">
        <f t="shared" si="20"/>
        <v>0</v>
      </c>
      <c r="FL14" s="105">
        <f t="shared" si="20"/>
        <v>1441</v>
      </c>
      <c r="FM14" s="105">
        <f t="shared" si="20"/>
        <v>351</v>
      </c>
      <c r="FN14" s="80">
        <f t="shared" si="74"/>
        <v>0</v>
      </c>
      <c r="FO14" s="104">
        <v>51587</v>
      </c>
      <c r="FP14" s="132">
        <f>961908-961349</f>
        <v>559</v>
      </c>
      <c r="FY14" s="141">
        <v>9</v>
      </c>
      <c r="FZ14" s="107"/>
      <c r="GA14" s="107"/>
      <c r="GB14" s="108"/>
      <c r="GC14" s="109"/>
      <c r="GD14" s="110"/>
      <c r="GE14" s="110"/>
      <c r="GF14" s="111"/>
      <c r="GG14" s="111"/>
      <c r="GH14" s="111"/>
      <c r="GI14" s="112"/>
      <c r="GJ14" s="111" t="e">
        <f t="shared" si="65"/>
        <v>#DIV/0!</v>
      </c>
      <c r="GK14" s="113"/>
    </row>
    <row r="15" spans="1:194" s="119" customFormat="1" ht="15" customHeight="1">
      <c r="A15" s="119" t="s">
        <v>125</v>
      </c>
      <c r="B15" s="573">
        <v>42776</v>
      </c>
      <c r="D15" s="128">
        <v>5926.2</v>
      </c>
      <c r="E15" s="128">
        <v>0</v>
      </c>
      <c r="F15" s="128">
        <v>3139.3440000000001</v>
      </c>
      <c r="G15" s="128">
        <v>4646.7219999999998</v>
      </c>
      <c r="H15" s="312">
        <v>8087.7330000000002</v>
      </c>
      <c r="I15" s="128">
        <v>1832.673</v>
      </c>
      <c r="J15" s="128">
        <v>4279.8</v>
      </c>
      <c r="K15" s="86"/>
      <c r="L15" s="86"/>
      <c r="M15" s="115">
        <f t="shared" si="21"/>
        <v>6112.473</v>
      </c>
      <c r="N15" s="88">
        <f t="shared" si="0"/>
        <v>21799.999</v>
      </c>
      <c r="O15" s="88">
        <f t="shared" si="22"/>
        <v>24856.235499999999</v>
      </c>
      <c r="P15" s="89">
        <f t="shared" si="23"/>
        <v>203262.8475</v>
      </c>
      <c r="R15" s="90">
        <f t="shared" si="24"/>
        <v>282</v>
      </c>
      <c r="S15" s="90">
        <f t="shared" si="25"/>
        <v>52.9</v>
      </c>
      <c r="T15" s="90">
        <f t="shared" si="1"/>
        <v>493.1</v>
      </c>
      <c r="U15" s="90"/>
      <c r="V15" s="90">
        <f t="shared" si="26"/>
        <v>1265</v>
      </c>
      <c r="W15" s="91">
        <f t="shared" si="2"/>
        <v>1503.2</v>
      </c>
      <c r="X15" s="90">
        <f t="shared" si="27"/>
        <v>1265</v>
      </c>
      <c r="Y15" s="90" t="str">
        <f t="shared" si="28"/>
        <v>0</v>
      </c>
      <c r="Z15" s="90">
        <f t="shared" si="3"/>
        <v>156.80000000000001</v>
      </c>
      <c r="AA15" s="90">
        <f t="shared" si="29"/>
        <v>2093</v>
      </c>
      <c r="AB15" s="90">
        <f t="shared" si="30"/>
        <v>274</v>
      </c>
      <c r="AC15" s="90">
        <f t="shared" si="30"/>
        <v>22</v>
      </c>
      <c r="AD15" s="90">
        <f t="shared" si="31"/>
        <v>494</v>
      </c>
      <c r="AE15" s="90">
        <f t="shared" si="32"/>
        <v>198</v>
      </c>
      <c r="AF15" s="90">
        <f t="shared" si="33"/>
        <v>123</v>
      </c>
      <c r="AG15" s="90">
        <f t="shared" si="33"/>
        <v>0</v>
      </c>
      <c r="AH15" s="90">
        <f t="shared" si="34"/>
        <v>123</v>
      </c>
      <c r="AI15" s="90">
        <f t="shared" si="35"/>
        <v>0</v>
      </c>
      <c r="AJ15" s="90">
        <f t="shared" si="36"/>
        <v>217</v>
      </c>
      <c r="AK15" s="90">
        <f t="shared" si="36"/>
        <v>10</v>
      </c>
      <c r="AL15" s="90">
        <f t="shared" si="37"/>
        <v>300</v>
      </c>
      <c r="AM15" s="90">
        <f t="shared" si="38"/>
        <v>73</v>
      </c>
      <c r="AN15" s="90">
        <f t="shared" si="39"/>
        <v>12</v>
      </c>
      <c r="AO15" s="90">
        <f t="shared" si="4"/>
        <v>37</v>
      </c>
      <c r="AP15" s="90">
        <f t="shared" si="40"/>
        <v>11</v>
      </c>
      <c r="AQ15" s="90">
        <f t="shared" si="5"/>
        <v>22</v>
      </c>
      <c r="AR15" s="90">
        <f t="shared" si="41"/>
        <v>55.88</v>
      </c>
      <c r="AS15" s="90">
        <f t="shared" si="42"/>
        <v>110.88</v>
      </c>
      <c r="AT15" s="90">
        <f t="shared" si="43"/>
        <v>774.88</v>
      </c>
      <c r="AU15" s="90">
        <f t="shared" si="44"/>
        <v>238</v>
      </c>
      <c r="AV15" s="90">
        <f t="shared" si="66"/>
        <v>37</v>
      </c>
      <c r="AW15" s="90">
        <f t="shared" si="45"/>
        <v>426</v>
      </c>
      <c r="AX15" s="90">
        <f t="shared" si="67"/>
        <v>32</v>
      </c>
      <c r="AY15" s="90" t="str">
        <f t="shared" si="46"/>
        <v/>
      </c>
      <c r="AZ15" s="90">
        <f t="shared" si="47"/>
        <v>428</v>
      </c>
      <c r="BA15" s="90">
        <v>53</v>
      </c>
      <c r="BB15" s="90">
        <f t="shared" si="48"/>
        <v>94</v>
      </c>
      <c r="BC15" s="90">
        <f t="shared" si="48"/>
        <v>892</v>
      </c>
      <c r="BD15" s="91">
        <f t="shared" si="49"/>
        <v>0</v>
      </c>
      <c r="BE15" s="90"/>
      <c r="BF15" s="90"/>
      <c r="BG15" s="90">
        <f t="shared" si="6"/>
        <v>1414</v>
      </c>
      <c r="BH15" s="90">
        <f t="shared" si="50"/>
        <v>936</v>
      </c>
      <c r="BI15" s="90">
        <f>IF(FC15=0,"",(FC15-BJ15))</f>
        <v>1277.1199999999999</v>
      </c>
      <c r="BJ15" s="90">
        <f t="shared" si="7"/>
        <v>4662.88</v>
      </c>
      <c r="BK15" s="92"/>
      <c r="BL15" s="93">
        <f>FD15+FN15</f>
        <v>6876</v>
      </c>
      <c r="BM15" s="93">
        <f t="shared" si="53"/>
        <v>65677</v>
      </c>
      <c r="BN15" s="92"/>
      <c r="BO15" s="94">
        <f t="shared" si="54"/>
        <v>0.12935780409898184</v>
      </c>
      <c r="BP15" s="94">
        <f t="shared" si="54"/>
        <v>2.4266056158993403E-2</v>
      </c>
      <c r="BQ15" s="94">
        <f t="shared" si="55"/>
        <v>0.22619267092626932</v>
      </c>
      <c r="BR15" s="94">
        <f t="shared" si="68"/>
        <v>0.58027525597592922</v>
      </c>
      <c r="BS15" s="94">
        <f t="shared" si="8"/>
        <v>0</v>
      </c>
      <c r="BT15" s="94">
        <f t="shared" si="8"/>
        <v>7.1926608803972891E-2</v>
      </c>
      <c r="BU15" s="95">
        <f t="shared" si="8"/>
        <v>0.96009178716017374</v>
      </c>
      <c r="BV15" s="94">
        <f t="shared" si="9"/>
        <v>0.1134524172013095</v>
      </c>
      <c r="BW15" s="94">
        <f t="shared" si="9"/>
        <v>2.1282386063649905E-2</v>
      </c>
      <c r="BX15" s="94">
        <f t="shared" si="9"/>
        <v>0.19838080468782171</v>
      </c>
      <c r="BY15" s="94">
        <f t="shared" si="56"/>
        <v>0.50892662326119342</v>
      </c>
      <c r="BZ15" s="95">
        <f t="shared" si="10"/>
        <v>0.84204223121397459</v>
      </c>
      <c r="CA15" s="96" t="e">
        <f>#REF!</f>
        <v>#REF!</v>
      </c>
      <c r="CB15" s="94">
        <f t="shared" si="11"/>
        <v>2.2481280401450976E-2</v>
      </c>
      <c r="CC15" s="95">
        <f t="shared" si="11"/>
        <v>4.4608524891068077E-2</v>
      </c>
      <c r="CD15" s="97">
        <f t="shared" si="12"/>
        <v>9.1419626720641564E-2</v>
      </c>
      <c r="CE15" s="98">
        <f t="shared" si="12"/>
        <v>0.1813995742803281</v>
      </c>
      <c r="CF15" s="94">
        <f t="shared" si="57"/>
        <v>0.46235361614525328</v>
      </c>
      <c r="CG15" s="94">
        <f t="shared" si="57"/>
        <v>3.7123283048159025E-2</v>
      </c>
      <c r="CH15" s="95">
        <f t="shared" si="58"/>
        <v>0.83358644662684345</v>
      </c>
      <c r="CI15" s="96" t="e">
        <f>#REF!</f>
        <v>#REF!</v>
      </c>
      <c r="CJ15" s="94" t="str">
        <f t="shared" si="59"/>
        <v>0,00</v>
      </c>
      <c r="CK15" s="94" t="str">
        <f t="shared" si="59"/>
        <v>0,00</v>
      </c>
      <c r="CL15" s="95" t="str">
        <f t="shared" si="69"/>
        <v xml:space="preserve">0,00 </v>
      </c>
      <c r="CM15" s="95" t="e">
        <f>#REF!</f>
        <v>#REF!</v>
      </c>
      <c r="CN15" s="94">
        <f t="shared" si="60"/>
        <v>0.69122721179966262</v>
      </c>
      <c r="CO15" s="94">
        <f t="shared" si="60"/>
        <v>3.1853788562196436E-2</v>
      </c>
      <c r="CP15" s="95">
        <f t="shared" si="61"/>
        <v>0.95561365686589295</v>
      </c>
      <c r="CQ15" s="95" t="e">
        <f>#REF!</f>
        <v>#REF!</v>
      </c>
      <c r="CR15" s="97">
        <f t="shared" si="70"/>
        <v>2.5824656607389036E-2</v>
      </c>
      <c r="CS15" s="95">
        <f t="shared" si="70"/>
        <v>7.962602453944953E-2</v>
      </c>
      <c r="CT15" s="96" t="e">
        <f>#REF!</f>
        <v>#REF!</v>
      </c>
      <c r="CU15" s="97">
        <f t="shared" si="71"/>
        <v>1.3600844637180778E-2</v>
      </c>
      <c r="CV15" s="95">
        <f t="shared" si="62"/>
        <v>2.7201689274361555E-2</v>
      </c>
      <c r="CW15" s="96" t="e">
        <f>#REF!</f>
        <v>#REF!</v>
      </c>
      <c r="CX15" s="99">
        <f t="shared" si="63"/>
        <v>9.5750621609615838E-2</v>
      </c>
      <c r="CY15" s="95">
        <f t="shared" si="63"/>
        <v>1.4885600838469688E-2</v>
      </c>
      <c r="CZ15" s="99">
        <f t="shared" si="63"/>
        <v>0.17138556641048883</v>
      </c>
      <c r="DA15" s="95">
        <f t="shared" si="63"/>
        <v>1.2874033157595405E-2</v>
      </c>
      <c r="DB15" s="94">
        <f t="shared" si="13"/>
        <v>0.17219019348283854</v>
      </c>
      <c r="DC15" s="94">
        <f t="shared" si="14"/>
        <v>3.7817472400436508E-2</v>
      </c>
      <c r="DD15" s="94">
        <f t="shared" si="14"/>
        <v>0.35886367426797189</v>
      </c>
      <c r="DE15" s="94">
        <f t="shared" si="14"/>
        <v>0</v>
      </c>
      <c r="DF15" s="94">
        <f t="shared" si="14"/>
        <v>0</v>
      </c>
      <c r="DG15" s="94">
        <f t="shared" si="14"/>
        <v>0</v>
      </c>
      <c r="DH15" s="95">
        <f t="shared" si="14"/>
        <v>0.56887134015124696</v>
      </c>
      <c r="DI15" s="96" t="e">
        <f>#REF!</f>
        <v>#REF!</v>
      </c>
      <c r="DJ15" s="95">
        <f t="shared" si="64"/>
        <v>0.37656546985966566</v>
      </c>
      <c r="DK15" s="96" t="e">
        <f>#REF!</f>
        <v>#REF!</v>
      </c>
      <c r="DL15" s="95">
        <f t="shared" si="15"/>
        <v>0.51380266331963254</v>
      </c>
      <c r="DM15" s="96">
        <f t="shared" si="16"/>
        <v>0</v>
      </c>
      <c r="DN15" s="94">
        <f t="shared" si="17"/>
        <v>1.8759397415590144</v>
      </c>
      <c r="DO15" s="100">
        <v>3.4</v>
      </c>
      <c r="DP15" s="94">
        <f t="shared" si="72"/>
        <v>2.7663078747383132</v>
      </c>
      <c r="DQ15" s="94">
        <f t="shared" si="73"/>
        <v>3.2311364721976554</v>
      </c>
      <c r="DR15" s="101">
        <f t="shared" si="18"/>
        <v>0</v>
      </c>
      <c r="DS15" s="147"/>
      <c r="DT15" s="134">
        <v>10</v>
      </c>
      <c r="DU15" s="76">
        <v>604222</v>
      </c>
      <c r="DV15" s="76">
        <v>22532</v>
      </c>
      <c r="DW15" s="76">
        <v>5086858</v>
      </c>
      <c r="DX15" s="77">
        <v>97947</v>
      </c>
      <c r="DY15" s="77">
        <v>79841</v>
      </c>
      <c r="DZ15" s="77">
        <v>358587</v>
      </c>
      <c r="EA15" s="77">
        <v>206280</v>
      </c>
      <c r="EB15" s="77">
        <v>46566</v>
      </c>
      <c r="EC15" s="77">
        <v>362160</v>
      </c>
      <c r="ED15" s="76">
        <v>43564</v>
      </c>
      <c r="EE15" s="77">
        <v>35676</v>
      </c>
      <c r="EF15" s="77">
        <v>37230</v>
      </c>
      <c r="EG15" s="76">
        <v>88476</v>
      </c>
      <c r="EH15" s="76">
        <v>174255</v>
      </c>
      <c r="EI15" s="76">
        <v>28190</v>
      </c>
      <c r="EJ15" s="77">
        <v>36553</v>
      </c>
      <c r="EK15" s="77"/>
      <c r="EL15" s="76">
        <v>674343</v>
      </c>
      <c r="EM15" s="77">
        <v>4931</v>
      </c>
      <c r="EN15" s="77">
        <v>38758</v>
      </c>
      <c r="EO15" s="76">
        <v>2816076</v>
      </c>
      <c r="EP15" s="77">
        <v>2535273</v>
      </c>
      <c r="EQ15" s="77">
        <v>0</v>
      </c>
      <c r="ER15" s="77">
        <v>1568</v>
      </c>
      <c r="ES15" s="124">
        <v>262268</v>
      </c>
      <c r="ET15" s="77">
        <v>9343166</v>
      </c>
      <c r="EU15" s="77">
        <v>365593</v>
      </c>
      <c r="EV15" s="77">
        <v>105462</v>
      </c>
      <c r="EW15" s="77">
        <v>60037</v>
      </c>
      <c r="EX15" s="76">
        <v>194323</v>
      </c>
      <c r="EY15" s="76">
        <v>1547435</v>
      </c>
      <c r="EZ15" s="149">
        <v>686554</v>
      </c>
      <c r="FA15" s="150">
        <v>714653</v>
      </c>
      <c r="FB15" s="151">
        <v>30068</v>
      </c>
      <c r="FC15" s="127">
        <v>5940</v>
      </c>
      <c r="FD15" s="104">
        <f t="shared" si="19"/>
        <v>6526</v>
      </c>
      <c r="FE15" s="105">
        <f t="shared" si="20"/>
        <v>0</v>
      </c>
      <c r="FF15" s="105">
        <f t="shared" si="20"/>
        <v>299</v>
      </c>
      <c r="FG15" s="105">
        <f t="shared" si="20"/>
        <v>2055</v>
      </c>
      <c r="FH15" s="105">
        <f t="shared" si="20"/>
        <v>1741</v>
      </c>
      <c r="FI15" s="105">
        <f t="shared" si="20"/>
        <v>569</v>
      </c>
      <c r="FJ15" s="105">
        <f t="shared" si="20"/>
        <v>0</v>
      </c>
      <c r="FK15" s="105">
        <f t="shared" si="20"/>
        <v>0</v>
      </c>
      <c r="FL15" s="105">
        <f t="shared" si="20"/>
        <v>1509</v>
      </c>
      <c r="FM15" s="105">
        <f t="shared" si="20"/>
        <v>353</v>
      </c>
      <c r="FN15" s="80">
        <f>IF(FO15="",0,(FO15-FO14))</f>
        <v>350</v>
      </c>
      <c r="FO15" s="77">
        <f>FO14+350</f>
        <v>51937</v>
      </c>
      <c r="FP15" s="132" t="s">
        <v>159</v>
      </c>
      <c r="FY15" s="119">
        <v>10</v>
      </c>
      <c r="FZ15" s="107"/>
      <c r="GA15" s="107"/>
      <c r="GB15" s="108"/>
      <c r="GC15" s="109"/>
      <c r="GD15" s="110"/>
      <c r="GE15" s="110"/>
      <c r="GF15" s="111"/>
      <c r="GG15" s="111"/>
      <c r="GH15" s="111"/>
      <c r="GI15" s="112"/>
      <c r="GJ15" s="111" t="e">
        <f t="shared" si="65"/>
        <v>#DIV/0!</v>
      </c>
      <c r="GK15" s="113"/>
    </row>
    <row r="16" spans="1:194" s="141" customFormat="1" ht="15" customHeight="1">
      <c r="A16" s="141">
        <v>0</v>
      </c>
      <c r="B16" s="573">
        <v>42777</v>
      </c>
      <c r="D16" s="128">
        <v>5978.5199999999995</v>
      </c>
      <c r="E16" s="128">
        <v>0</v>
      </c>
      <c r="F16" s="128">
        <v>2942.4960000000001</v>
      </c>
      <c r="G16" s="128">
        <v>5129.6149999999998</v>
      </c>
      <c r="H16" s="128">
        <v>7716.8059999999996</v>
      </c>
      <c r="I16" s="128">
        <v>1262.1959999999999</v>
      </c>
      <c r="J16" s="128">
        <v>5764.44</v>
      </c>
      <c r="K16" s="294"/>
      <c r="L16" s="294"/>
      <c r="M16" s="115">
        <f t="shared" si="21"/>
        <v>7026.6359999999995</v>
      </c>
      <c r="N16" s="88">
        <f t="shared" si="0"/>
        <v>21767.436999999998</v>
      </c>
      <c r="O16" s="88">
        <f t="shared" si="22"/>
        <v>25280.754999999997</v>
      </c>
      <c r="P16" s="89">
        <f t="shared" si="23"/>
        <v>228543.60250000001</v>
      </c>
      <c r="Q16" s="152"/>
      <c r="R16" s="90">
        <f t="shared" si="24"/>
        <v>161</v>
      </c>
      <c r="S16" s="90">
        <f t="shared" si="25"/>
        <v>70.099999999999994</v>
      </c>
      <c r="T16" s="90">
        <f t="shared" si="1"/>
        <v>491.1</v>
      </c>
      <c r="U16" s="90"/>
      <c r="V16" s="90">
        <f t="shared" si="26"/>
        <v>1520</v>
      </c>
      <c r="W16" s="91">
        <f t="shared" si="2"/>
        <v>506.3</v>
      </c>
      <c r="X16" s="90">
        <f t="shared" si="27"/>
        <v>1520</v>
      </c>
      <c r="Y16" s="90" t="str">
        <f t="shared" si="28"/>
        <v>0</v>
      </c>
      <c r="Z16" s="90">
        <f t="shared" si="3"/>
        <v>168.5</v>
      </c>
      <c r="AA16" s="90">
        <f t="shared" si="29"/>
        <v>2242.1999999999998</v>
      </c>
      <c r="AB16" s="90">
        <f t="shared" si="30"/>
        <v>0</v>
      </c>
      <c r="AC16" s="90">
        <f t="shared" si="30"/>
        <v>0</v>
      </c>
      <c r="AD16" s="90">
        <f t="shared" si="31"/>
        <v>421</v>
      </c>
      <c r="AE16" s="90">
        <f t="shared" si="32"/>
        <v>421</v>
      </c>
      <c r="AF16" s="90">
        <f t="shared" si="33"/>
        <v>0</v>
      </c>
      <c r="AG16" s="90">
        <f t="shared" si="33"/>
        <v>0</v>
      </c>
      <c r="AH16" s="90">
        <f t="shared" si="34"/>
        <v>95</v>
      </c>
      <c r="AI16" s="90">
        <f t="shared" si="35"/>
        <v>95</v>
      </c>
      <c r="AJ16" s="90">
        <f t="shared" si="36"/>
        <v>206</v>
      </c>
      <c r="AK16" s="90">
        <f t="shared" si="36"/>
        <v>28</v>
      </c>
      <c r="AL16" s="90">
        <f t="shared" si="37"/>
        <v>306</v>
      </c>
      <c r="AM16" s="90">
        <f t="shared" si="38"/>
        <v>72</v>
      </c>
      <c r="AN16" s="90">
        <f t="shared" si="39"/>
        <v>23</v>
      </c>
      <c r="AO16" s="90">
        <f t="shared" si="4"/>
        <v>30</v>
      </c>
      <c r="AP16" s="90">
        <f t="shared" si="40"/>
        <v>5</v>
      </c>
      <c r="AQ16" s="90">
        <f t="shared" si="5"/>
        <v>15</v>
      </c>
      <c r="AR16" s="90">
        <f t="shared" si="41"/>
        <v>145.328</v>
      </c>
      <c r="AS16" s="90">
        <f t="shared" si="42"/>
        <v>232.32799999999997</v>
      </c>
      <c r="AT16" s="90">
        <f t="shared" si="43"/>
        <v>937.32799999999997</v>
      </c>
      <c r="AU16" s="90">
        <f t="shared" si="44"/>
        <v>243</v>
      </c>
      <c r="AV16" s="90">
        <f t="shared" si="66"/>
        <v>38</v>
      </c>
      <c r="AW16" s="90">
        <f t="shared" si="45"/>
        <v>462</v>
      </c>
      <c r="AX16" s="90">
        <f t="shared" si="67"/>
        <v>41</v>
      </c>
      <c r="AY16" s="90" t="str">
        <f t="shared" si="46"/>
        <v/>
      </c>
      <c r="AZ16" s="90">
        <f t="shared" si="47"/>
        <v>390</v>
      </c>
      <c r="BA16" s="90">
        <v>44</v>
      </c>
      <c r="BB16" s="90">
        <f t="shared" si="48"/>
        <v>90</v>
      </c>
      <c r="BC16" s="90">
        <f t="shared" si="48"/>
        <v>716</v>
      </c>
      <c r="BD16" s="91">
        <f t="shared" si="49"/>
        <v>64</v>
      </c>
      <c r="BE16" s="90"/>
      <c r="BF16" s="90"/>
      <c r="BG16" s="90">
        <f t="shared" si="6"/>
        <v>1260</v>
      </c>
      <c r="BH16" s="90">
        <f t="shared" si="50"/>
        <v>-706</v>
      </c>
      <c r="BI16" s="90">
        <f t="shared" si="51"/>
        <v>1397.4719999999998</v>
      </c>
      <c r="BJ16" s="90">
        <f t="shared" si="7"/>
        <v>4680.5280000000002</v>
      </c>
      <c r="BK16" s="92"/>
      <c r="BL16" s="93">
        <f>FD16+FN16</f>
        <v>5372</v>
      </c>
      <c r="BM16" s="93">
        <f t="shared" si="53"/>
        <v>71049</v>
      </c>
      <c r="BN16" s="92"/>
      <c r="BO16" s="94">
        <f t="shared" si="54"/>
        <v>7.396369172907219E-2</v>
      </c>
      <c r="BP16" s="94">
        <f t="shared" si="54"/>
        <v>3.2204067019925224E-2</v>
      </c>
      <c r="BQ16" s="94">
        <f t="shared" si="55"/>
        <v>0.22561222986426932</v>
      </c>
      <c r="BR16" s="94">
        <f t="shared" si="68"/>
        <v>0.69829075421235864</v>
      </c>
      <c r="BS16" s="94">
        <f t="shared" si="8"/>
        <v>0</v>
      </c>
      <c r="BT16" s="94">
        <f t="shared" si="8"/>
        <v>7.7409205318935817E-2</v>
      </c>
      <c r="BU16" s="95">
        <f t="shared" si="8"/>
        <v>1.0300707428256253</v>
      </c>
      <c r="BV16" s="94">
        <f t="shared" si="9"/>
        <v>6.3684806881756498E-2</v>
      </c>
      <c r="BW16" s="94">
        <f t="shared" si="9"/>
        <v>2.7728602251000812E-2</v>
      </c>
      <c r="BX16" s="94">
        <f t="shared" si="9"/>
        <v>0.1942584388796933</v>
      </c>
      <c r="BY16" s="94">
        <f t="shared" si="56"/>
        <v>0.60124786621285642</v>
      </c>
      <c r="BZ16" s="95">
        <f t="shared" si="10"/>
        <v>0.88691971422530702</v>
      </c>
      <c r="CA16" s="96" t="e">
        <f>#REF!</f>
        <v>#REF!</v>
      </c>
      <c r="CB16" s="94">
        <f t="shared" si="11"/>
        <v>5.748562493485658E-2</v>
      </c>
      <c r="CC16" s="95">
        <f t="shared" si="11"/>
        <v>9.1899154119408216E-2</v>
      </c>
      <c r="CD16" s="97">
        <f t="shared" si="12"/>
        <v>0.20682443206108869</v>
      </c>
      <c r="CE16" s="98">
        <f t="shared" si="12"/>
        <v>0.33063901417406566</v>
      </c>
      <c r="CF16" s="94">
        <f t="shared" si="57"/>
        <v>0</v>
      </c>
      <c r="CG16" s="94">
        <f t="shared" si="57"/>
        <v>0</v>
      </c>
      <c r="CH16" s="95">
        <f t="shared" si="58"/>
        <v>0.70418765848403952</v>
      </c>
      <c r="CI16" s="96" t="e">
        <f>#REF!</f>
        <v>#REF!</v>
      </c>
      <c r="CJ16" s="94" t="str">
        <f t="shared" si="59"/>
        <v>0,00</v>
      </c>
      <c r="CK16" s="94" t="str">
        <f t="shared" si="59"/>
        <v>0,00</v>
      </c>
      <c r="CL16" s="95" t="str">
        <f t="shared" si="69"/>
        <v xml:space="preserve">0,00 </v>
      </c>
      <c r="CM16" s="95" t="e">
        <f>#REF!</f>
        <v>#REF!</v>
      </c>
      <c r="CN16" s="94">
        <f t="shared" si="60"/>
        <v>0.70008591345578708</v>
      </c>
      <c r="CO16" s="94">
        <f t="shared" si="60"/>
        <v>9.5157308625058445E-2</v>
      </c>
      <c r="CP16" s="95">
        <f t="shared" si="61"/>
        <v>1.0399334442595674</v>
      </c>
      <c r="CQ16" s="95" t="e">
        <f>#REF!</f>
        <v>#REF!</v>
      </c>
      <c r="CR16" s="97">
        <f t="shared" si="70"/>
        <v>4.4837673002749719E-2</v>
      </c>
      <c r="CS16" s="95">
        <f t="shared" si="70"/>
        <v>5.8483921307934422E-2</v>
      </c>
      <c r="CT16" s="96" t="e">
        <f>#REF!</f>
        <v>#REF!</v>
      </c>
      <c r="CU16" s="97">
        <f t="shared" si="71"/>
        <v>6.4793646490529898E-3</v>
      </c>
      <c r="CV16" s="95">
        <f t="shared" si="62"/>
        <v>1.9438093947158969E-2</v>
      </c>
      <c r="CW16" s="96" t="e">
        <f>#REF!</f>
        <v>#REF!</v>
      </c>
      <c r="CX16" s="99">
        <f t="shared" si="63"/>
        <v>9.6120547032713236E-2</v>
      </c>
      <c r="CY16" s="95">
        <f t="shared" si="63"/>
        <v>1.5031196655321412E-2</v>
      </c>
      <c r="CZ16" s="99">
        <f t="shared" si="63"/>
        <v>0.18274770670417084</v>
      </c>
      <c r="DA16" s="95">
        <f t="shared" si="63"/>
        <v>1.6217870075478365E-2</v>
      </c>
      <c r="DB16" s="94">
        <f t="shared" si="13"/>
        <v>0.15426754462040396</v>
      </c>
      <c r="DC16" s="94">
        <f t="shared" si="14"/>
        <v>3.5600202604708607E-2</v>
      </c>
      <c r="DD16" s="94">
        <f t="shared" si="14"/>
        <v>0.2832193896107929</v>
      </c>
      <c r="DE16" s="94">
        <f t="shared" si="14"/>
        <v>2.5315699630015006E-2</v>
      </c>
      <c r="DF16" s="94">
        <f t="shared" si="14"/>
        <v>0</v>
      </c>
      <c r="DG16" s="94">
        <f t="shared" si="14"/>
        <v>0</v>
      </c>
      <c r="DH16" s="95">
        <f t="shared" si="14"/>
        <v>0.49840283646592048</v>
      </c>
      <c r="DI16" s="96" t="e">
        <f>#REF!</f>
        <v>#REF!</v>
      </c>
      <c r="DJ16" s="95">
        <f t="shared" si="64"/>
        <v>-0.27926381154360308</v>
      </c>
      <c r="DK16" s="96" t="e">
        <f>#REF!</f>
        <v>#REF!</v>
      </c>
      <c r="DL16" s="95">
        <f t="shared" si="15"/>
        <v>0.55278095927119264</v>
      </c>
      <c r="DM16" s="96">
        <f t="shared" si="16"/>
        <v>0</v>
      </c>
      <c r="DN16" s="94">
        <f t="shared" si="17"/>
        <v>1.8514193899667952</v>
      </c>
      <c r="DO16" s="100">
        <v>3.4</v>
      </c>
      <c r="DP16" s="94">
        <f>IF($O16&lt;&gt;0,IF($O16&lt;&gt;0,BL16/$O16*10,0)," ")</f>
        <v>2.1249365376943845</v>
      </c>
      <c r="DQ16" s="94">
        <f>IF($P16&lt;&gt;0,IF($P16&lt;&gt;0,BM16/$P16*10,0)," ")</f>
        <v>3.1087722090142513</v>
      </c>
      <c r="DR16" s="101"/>
      <c r="DS16" s="153"/>
      <c r="DT16" s="142">
        <v>11</v>
      </c>
      <c r="DU16" s="313">
        <v>604222</v>
      </c>
      <c r="DV16" s="313">
        <v>22532</v>
      </c>
      <c r="DW16" s="77">
        <v>5087279</v>
      </c>
      <c r="DX16" s="77">
        <v>97947</v>
      </c>
      <c r="DY16" s="77">
        <v>79841</v>
      </c>
      <c r="DZ16" s="77">
        <v>358682</v>
      </c>
      <c r="EA16" s="77">
        <v>206486</v>
      </c>
      <c r="EB16" s="77">
        <v>46594</v>
      </c>
      <c r="EC16" s="77">
        <v>362466</v>
      </c>
      <c r="ED16" s="77">
        <v>43587</v>
      </c>
      <c r="EE16" s="77">
        <v>35695</v>
      </c>
      <c r="EF16" s="77">
        <v>37241</v>
      </c>
      <c r="EG16" s="77">
        <v>88481</v>
      </c>
      <c r="EH16" s="76">
        <v>174270</v>
      </c>
      <c r="EI16" s="76">
        <v>28228</v>
      </c>
      <c r="EJ16" s="77">
        <v>36594</v>
      </c>
      <c r="EK16" s="77"/>
      <c r="EL16" s="76">
        <v>674504</v>
      </c>
      <c r="EM16" s="76">
        <v>4911</v>
      </c>
      <c r="EN16" s="77">
        <v>38794</v>
      </c>
      <c r="EO16" s="76">
        <v>2817596</v>
      </c>
      <c r="EP16" s="77">
        <v>2540336</v>
      </c>
      <c r="EQ16" s="77">
        <v>0</v>
      </c>
      <c r="ER16" s="77">
        <v>1685</v>
      </c>
      <c r="ES16" s="77">
        <v>263060</v>
      </c>
      <c r="ET16" s="77">
        <v>9488494</v>
      </c>
      <c r="EU16" s="77">
        <v>366055</v>
      </c>
      <c r="EV16" s="77">
        <v>105705</v>
      </c>
      <c r="EW16" s="77">
        <v>60427</v>
      </c>
      <c r="EX16" s="77">
        <v>194413</v>
      </c>
      <c r="EY16" s="76">
        <v>1548151</v>
      </c>
      <c r="EZ16" s="149">
        <v>687255</v>
      </c>
      <c r="FA16" s="149">
        <v>714717</v>
      </c>
      <c r="FB16" s="151">
        <v>30121</v>
      </c>
      <c r="FC16" s="127">
        <v>6078</v>
      </c>
      <c r="FD16" s="104">
        <f t="shared" si="19"/>
        <v>4813</v>
      </c>
      <c r="FE16" s="105">
        <f t="shared" si="20"/>
        <v>0</v>
      </c>
      <c r="FF16" s="105">
        <f t="shared" si="20"/>
        <v>338</v>
      </c>
      <c r="FG16" s="105">
        <f t="shared" si="20"/>
        <v>1908</v>
      </c>
      <c r="FH16" s="105">
        <f t="shared" si="20"/>
        <v>1179</v>
      </c>
      <c r="FI16" s="105">
        <f t="shared" si="20"/>
        <v>386</v>
      </c>
      <c r="FJ16" s="105">
        <f t="shared" si="20"/>
        <v>0</v>
      </c>
      <c r="FK16" s="105">
        <f t="shared" si="20"/>
        <v>0</v>
      </c>
      <c r="FL16" s="105">
        <f t="shared" si="20"/>
        <v>648</v>
      </c>
      <c r="FM16" s="105">
        <f t="shared" si="20"/>
        <v>354</v>
      </c>
      <c r="FN16" s="80">
        <f>IF(FO16="",0,(FO16-FO15))</f>
        <v>559</v>
      </c>
      <c r="FO16" s="77">
        <f>FO15+559</f>
        <v>52496</v>
      </c>
      <c r="FP16" s="132">
        <f>962560-961908</f>
        <v>652</v>
      </c>
      <c r="FY16" s="141">
        <v>11</v>
      </c>
      <c r="FZ16" s="107"/>
      <c r="GA16" s="107"/>
      <c r="GB16" s="107"/>
      <c r="GC16" s="109"/>
      <c r="GD16" s="110"/>
      <c r="GE16" s="110"/>
      <c r="GF16" s="111"/>
      <c r="GG16" s="111"/>
      <c r="GH16" s="111"/>
      <c r="GI16" s="112"/>
      <c r="GJ16" s="111" t="e">
        <f t="shared" si="65"/>
        <v>#DIV/0!</v>
      </c>
      <c r="GK16" s="113"/>
    </row>
    <row r="17" spans="1:193" s="119" customFormat="1" ht="15" customHeight="1">
      <c r="A17" s="119" t="s">
        <v>126</v>
      </c>
      <c r="B17" s="573">
        <v>42778</v>
      </c>
      <c r="D17" s="314">
        <v>0</v>
      </c>
      <c r="E17" s="128">
        <v>0</v>
      </c>
      <c r="F17" s="86">
        <v>3030.9839999999999</v>
      </c>
      <c r="G17" s="128">
        <v>4508.3370000000004</v>
      </c>
      <c r="H17" s="128">
        <v>7063.442</v>
      </c>
      <c r="I17" s="128">
        <v>1975.954</v>
      </c>
      <c r="J17" s="128">
        <v>0</v>
      </c>
      <c r="K17" s="294">
        <v>0</v>
      </c>
      <c r="L17" s="294"/>
      <c r="M17" s="115">
        <f t="shared" si="21"/>
        <v>1975.954</v>
      </c>
      <c r="N17" s="88">
        <f t="shared" si="0"/>
        <v>14602.762999999999</v>
      </c>
      <c r="O17" s="88">
        <f t="shared" si="22"/>
        <v>15590.74</v>
      </c>
      <c r="P17" s="89">
        <f t="shared" si="23"/>
        <v>244134.3425</v>
      </c>
      <c r="Q17" s="155"/>
      <c r="R17" s="90">
        <f t="shared" si="24"/>
        <v>304</v>
      </c>
      <c r="S17" s="90">
        <f t="shared" si="25"/>
        <v>104.4</v>
      </c>
      <c r="T17" s="90">
        <f t="shared" si="1"/>
        <v>597.5</v>
      </c>
      <c r="U17" s="90"/>
      <c r="V17" s="90">
        <f t="shared" si="26"/>
        <v>1375</v>
      </c>
      <c r="W17" s="91">
        <f t="shared" si="2"/>
        <v>375.1</v>
      </c>
      <c r="X17" s="90">
        <f t="shared" si="27"/>
        <v>1375</v>
      </c>
      <c r="Y17" s="90" t="str">
        <f t="shared" si="28"/>
        <v>0</v>
      </c>
      <c r="Z17" s="90">
        <f t="shared" si="3"/>
        <v>145.80000000000001</v>
      </c>
      <c r="AA17" s="90">
        <f t="shared" si="29"/>
        <v>2380.9</v>
      </c>
      <c r="AB17" s="90">
        <f t="shared" si="30"/>
        <v>193</v>
      </c>
      <c r="AC17" s="90">
        <f t="shared" si="30"/>
        <v>20</v>
      </c>
      <c r="AD17" s="90">
        <f t="shared" si="31"/>
        <v>213</v>
      </c>
      <c r="AE17" s="90">
        <f t="shared" si="32"/>
        <v>0</v>
      </c>
      <c r="AF17" s="90">
        <f t="shared" si="33"/>
        <v>150</v>
      </c>
      <c r="AG17" s="90">
        <f t="shared" si="33"/>
        <v>53</v>
      </c>
      <c r="AH17" s="90">
        <f t="shared" si="34"/>
        <v>203</v>
      </c>
      <c r="AI17" s="90">
        <f t="shared" si="35"/>
        <v>0</v>
      </c>
      <c r="AJ17" s="90">
        <f t="shared" si="36"/>
        <v>209</v>
      </c>
      <c r="AK17" s="90">
        <f t="shared" si="36"/>
        <v>194</v>
      </c>
      <c r="AL17" s="90">
        <f t="shared" si="37"/>
        <v>478</v>
      </c>
      <c r="AM17" s="90">
        <f t="shared" si="38"/>
        <v>75</v>
      </c>
      <c r="AN17" s="90">
        <f t="shared" si="39"/>
        <v>33</v>
      </c>
      <c r="AO17" s="90">
        <f t="shared" si="4"/>
        <v>48</v>
      </c>
      <c r="AP17" s="90">
        <f t="shared" si="40"/>
        <v>14</v>
      </c>
      <c r="AQ17" s="90">
        <f t="shared" si="5"/>
        <v>28</v>
      </c>
      <c r="AR17" s="90">
        <f t="shared" si="41"/>
        <v>120.926</v>
      </c>
      <c r="AS17" s="90">
        <f t="shared" si="42"/>
        <v>120.92599999999999</v>
      </c>
      <c r="AT17" s="90">
        <f t="shared" si="43"/>
        <v>481.92599999999999</v>
      </c>
      <c r="AU17" s="90">
        <f t="shared" si="44"/>
        <v>283</v>
      </c>
      <c r="AV17" s="90">
        <f t="shared" si="66"/>
        <v>10</v>
      </c>
      <c r="AW17" s="90">
        <f t="shared" si="45"/>
        <v>78</v>
      </c>
      <c r="AX17" s="90">
        <f t="shared" si="67"/>
        <v>25</v>
      </c>
      <c r="AY17" s="90" t="str">
        <f t="shared" si="46"/>
        <v/>
      </c>
      <c r="AZ17" s="90">
        <f t="shared" si="47"/>
        <v>510</v>
      </c>
      <c r="BA17" s="90">
        <v>101</v>
      </c>
      <c r="BB17" s="90">
        <f t="shared" si="48"/>
        <v>89</v>
      </c>
      <c r="BC17" s="90">
        <f t="shared" si="48"/>
        <v>955</v>
      </c>
      <c r="BD17" s="91">
        <f t="shared" si="49"/>
        <v>314</v>
      </c>
      <c r="BE17" s="90"/>
      <c r="BF17" s="90"/>
      <c r="BG17" s="90">
        <f t="shared" si="6"/>
        <v>1868</v>
      </c>
      <c r="BH17" s="90">
        <f t="shared" si="50"/>
        <v>122</v>
      </c>
      <c r="BI17" s="90">
        <f t="shared" si="51"/>
        <v>1439.174</v>
      </c>
      <c r="BJ17" s="90">
        <f t="shared" si="7"/>
        <v>5374.826</v>
      </c>
      <c r="BK17" s="92"/>
      <c r="BL17" s="93">
        <f>FD17+FN17</f>
        <v>6936</v>
      </c>
      <c r="BM17" s="93">
        <f t="shared" si="53"/>
        <v>77985</v>
      </c>
      <c r="BN17" s="92"/>
      <c r="BO17" s="94">
        <f t="shared" si="54"/>
        <v>0.20817978077162519</v>
      </c>
      <c r="BP17" s="94">
        <f t="shared" si="54"/>
        <v>7.1493319449202883E-2</v>
      </c>
      <c r="BQ17" s="94">
        <f t="shared" si="55"/>
        <v>0.4091691414837042</v>
      </c>
      <c r="BR17" s="94">
        <f t="shared" si="68"/>
        <v>0.94160262684534435</v>
      </c>
      <c r="BS17" s="94">
        <f t="shared" si="8"/>
        <v>0</v>
      </c>
      <c r="BT17" s="94">
        <f t="shared" si="8"/>
        <v>9.9844118541128152E-2</v>
      </c>
      <c r="BU17" s="95">
        <f t="shared" si="8"/>
        <v>1.6304448685498765</v>
      </c>
      <c r="BV17" s="94">
        <f t="shared" si="9"/>
        <v>0.19498753747416736</v>
      </c>
      <c r="BW17" s="94">
        <f t="shared" si="9"/>
        <v>6.6962825369418E-2</v>
      </c>
      <c r="BX17" s="94">
        <f t="shared" si="9"/>
        <v>0.38324030802899672</v>
      </c>
      <c r="BY17" s="94">
        <f t="shared" si="56"/>
        <v>0.88193376324664507</v>
      </c>
      <c r="BZ17" s="95">
        <f t="shared" si="10"/>
        <v>1.5271244341192272</v>
      </c>
      <c r="CA17" s="96" t="e">
        <f>#REF!</f>
        <v>#REF!</v>
      </c>
      <c r="CB17" s="94">
        <f t="shared" si="11"/>
        <v>7.7562707094082764E-2</v>
      </c>
      <c r="CC17" s="95">
        <f t="shared" si="11"/>
        <v>7.7562707094082764E-2</v>
      </c>
      <c r="CD17" s="97">
        <f t="shared" si="12"/>
        <v>0.61198793089312808</v>
      </c>
      <c r="CE17" s="98">
        <f t="shared" si="12"/>
        <v>0.61198793089312797</v>
      </c>
      <c r="CF17" s="94" t="str">
        <f t="shared" si="57"/>
        <v>0,00</v>
      </c>
      <c r="CG17" s="94" t="str">
        <f t="shared" si="57"/>
        <v>0,00</v>
      </c>
      <c r="CH17" s="95" t="str">
        <f t="shared" si="58"/>
        <v xml:space="preserve">0,00 </v>
      </c>
      <c r="CI17" s="96" t="e">
        <f>#REF!</f>
        <v>#REF!</v>
      </c>
      <c r="CJ17" s="94" t="str">
        <f t="shared" si="59"/>
        <v>0,00</v>
      </c>
      <c r="CK17" s="94" t="str">
        <f t="shared" si="59"/>
        <v>0,00</v>
      </c>
      <c r="CL17" s="95" t="str">
        <f t="shared" si="69"/>
        <v xml:space="preserve">0,00 </v>
      </c>
      <c r="CM17" s="95" t="e">
        <f>#REF!</f>
        <v>#REF!</v>
      </c>
      <c r="CN17" s="94">
        <f t="shared" si="60"/>
        <v>0.68954504543738926</v>
      </c>
      <c r="CO17" s="94">
        <f t="shared" si="60"/>
        <v>0.6400561665782466</v>
      </c>
      <c r="CP17" s="95">
        <f t="shared" si="61"/>
        <v>1.5770456063113496</v>
      </c>
      <c r="CQ17" s="95" t="e">
        <f>#REF!</f>
        <v>#REF!</v>
      </c>
      <c r="CR17" s="97">
        <f t="shared" si="70"/>
        <v>7.3197722353053898E-2</v>
      </c>
      <c r="CS17" s="95">
        <f t="shared" si="70"/>
        <v>0.10646941433171477</v>
      </c>
      <c r="CT17" s="96" t="e">
        <f>#REF!</f>
        <v>#REF!</v>
      </c>
      <c r="CU17" s="97">
        <f t="shared" si="71"/>
        <v>1.9820365198723225E-2</v>
      </c>
      <c r="CV17" s="95">
        <f t="shared" si="62"/>
        <v>3.964073039744645E-2</v>
      </c>
      <c r="CW17" s="96" t="e">
        <f>#REF!</f>
        <v>#REF!</v>
      </c>
      <c r="CX17" s="99">
        <f t="shared" si="63"/>
        <v>0.18151800363549131</v>
      </c>
      <c r="CY17" s="95">
        <f t="shared" si="63"/>
        <v>6.4140637327028734E-3</v>
      </c>
      <c r="CZ17" s="99">
        <f t="shared" si="63"/>
        <v>5.0029697115082414E-2</v>
      </c>
      <c r="DA17" s="95">
        <f t="shared" si="63"/>
        <v>1.6035159331757184E-2</v>
      </c>
      <c r="DB17" s="94">
        <f t="shared" si="13"/>
        <v>0.32711725036784656</v>
      </c>
      <c r="DC17" s="94">
        <f t="shared" si="14"/>
        <v>5.7085167221055583E-2</v>
      </c>
      <c r="DD17" s="94">
        <f t="shared" si="14"/>
        <v>0.6125430864731245</v>
      </c>
      <c r="DE17" s="94">
        <f t="shared" si="14"/>
        <v>0.20140160120687023</v>
      </c>
      <c r="DF17" s="94">
        <f t="shared" si="14"/>
        <v>0</v>
      </c>
      <c r="DG17" s="94">
        <f t="shared" si="14"/>
        <v>0</v>
      </c>
      <c r="DH17" s="95">
        <f t="shared" si="14"/>
        <v>1.1981471052688968</v>
      </c>
      <c r="DI17" s="96" t="e">
        <f>#REF!</f>
        <v>#REF!</v>
      </c>
      <c r="DJ17" s="95">
        <f t="shared" si="64"/>
        <v>7.8251577538975062E-2</v>
      </c>
      <c r="DK17" s="96" t="e">
        <f>#REF!</f>
        <v>#REF!</v>
      </c>
      <c r="DL17" s="95">
        <f t="shared" si="15"/>
        <v>0.92309537584489254</v>
      </c>
      <c r="DM17" s="96">
        <f t="shared" si="16"/>
        <v>0</v>
      </c>
      <c r="DN17" s="94">
        <f t="shared" si="17"/>
        <v>3.4474476516188455</v>
      </c>
      <c r="DO17" s="100">
        <v>3.4</v>
      </c>
      <c r="DP17" s="94">
        <f>IF($O17&lt;&gt;0,IF($O17&lt;&gt;0,BL17/$O17*10,0)," ")</f>
        <v>4.4487946050027132</v>
      </c>
      <c r="DQ17" s="94">
        <f>IF($P17&lt;&gt;0,IF($P17&lt;&gt;0,BM17/$P17*10,0)," ")</f>
        <v>3.1943478005352728</v>
      </c>
      <c r="DR17" s="101">
        <f t="shared" si="18"/>
        <v>0</v>
      </c>
      <c r="DS17" s="147"/>
      <c r="DT17" s="134">
        <v>12</v>
      </c>
      <c r="DU17" s="76">
        <v>604415</v>
      </c>
      <c r="DV17" s="76">
        <v>22552</v>
      </c>
      <c r="DW17" s="76">
        <v>5087282</v>
      </c>
      <c r="DX17" s="77">
        <v>98097</v>
      </c>
      <c r="DY17" s="76">
        <v>79894</v>
      </c>
      <c r="DZ17" s="76">
        <v>358823</v>
      </c>
      <c r="EA17" s="77">
        <v>206695</v>
      </c>
      <c r="EB17" s="77">
        <v>46788</v>
      </c>
      <c r="EC17" s="77">
        <v>362944</v>
      </c>
      <c r="ED17" s="76">
        <v>43620</v>
      </c>
      <c r="EE17" s="77">
        <v>35717</v>
      </c>
      <c r="EF17" s="77">
        <v>37267</v>
      </c>
      <c r="EG17" s="76">
        <v>88495</v>
      </c>
      <c r="EH17" s="76">
        <v>174298</v>
      </c>
      <c r="EI17" s="76">
        <v>28238</v>
      </c>
      <c r="EJ17" s="77">
        <v>36619</v>
      </c>
      <c r="EK17" s="77"/>
      <c r="EL17" s="120">
        <v>674808</v>
      </c>
      <c r="EM17" s="120">
        <v>5975</v>
      </c>
      <c r="EN17" s="77">
        <v>38849</v>
      </c>
      <c r="EO17" s="76">
        <v>2818971</v>
      </c>
      <c r="EP17" s="77">
        <v>2544087</v>
      </c>
      <c r="EQ17" s="77">
        <v>0</v>
      </c>
      <c r="ER17" s="77">
        <v>1458</v>
      </c>
      <c r="ES17" s="77">
        <v>263421</v>
      </c>
      <c r="ET17" s="77">
        <v>9609420</v>
      </c>
      <c r="EU17" s="77">
        <v>366133</v>
      </c>
      <c r="EV17" s="77">
        <v>105988</v>
      </c>
      <c r="EW17" s="77">
        <v>60937</v>
      </c>
      <c r="EX17" s="77">
        <v>194502</v>
      </c>
      <c r="EY17" s="77">
        <v>1549106</v>
      </c>
      <c r="EZ17" s="77">
        <v>688299</v>
      </c>
      <c r="FA17" s="77">
        <v>715031</v>
      </c>
      <c r="FB17" s="77">
        <v>30121</v>
      </c>
      <c r="FC17" s="77">
        <v>6814</v>
      </c>
      <c r="FD17" s="104">
        <f t="shared" si="19"/>
        <v>6284</v>
      </c>
      <c r="FE17" s="105">
        <f t="shared" si="20"/>
        <v>0</v>
      </c>
      <c r="FF17" s="105">
        <f t="shared" si="20"/>
        <v>219</v>
      </c>
      <c r="FG17" s="105">
        <f t="shared" si="20"/>
        <v>1884</v>
      </c>
      <c r="FH17" s="105">
        <f t="shared" si="20"/>
        <v>1703</v>
      </c>
      <c r="FI17" s="105">
        <f t="shared" si="20"/>
        <v>553</v>
      </c>
      <c r="FJ17" s="105">
        <f t="shared" si="20"/>
        <v>0</v>
      </c>
      <c r="FK17" s="105">
        <f t="shared" si="20"/>
        <v>0</v>
      </c>
      <c r="FL17" s="105">
        <f t="shared" si="20"/>
        <v>1575</v>
      </c>
      <c r="FM17" s="105">
        <f t="shared" si="20"/>
        <v>350</v>
      </c>
      <c r="FN17" s="80">
        <f>IF(FO17="",0,(FO17-FO16))</f>
        <v>652</v>
      </c>
      <c r="FO17" s="77">
        <f>FO16+652</f>
        <v>53148</v>
      </c>
      <c r="FP17" s="132" t="s">
        <v>160</v>
      </c>
      <c r="FY17" s="119">
        <v>12</v>
      </c>
      <c r="FZ17" s="107"/>
      <c r="GA17" s="107"/>
      <c r="GB17" s="107"/>
      <c r="GC17" s="109"/>
      <c r="GD17" s="110"/>
      <c r="GE17" s="110"/>
      <c r="GF17" s="111"/>
      <c r="GG17" s="111"/>
      <c r="GH17" s="111"/>
      <c r="GI17" s="112"/>
      <c r="GJ17" s="111" t="e">
        <f t="shared" si="65"/>
        <v>#DIV/0!</v>
      </c>
      <c r="GK17" s="113"/>
    </row>
    <row r="18" spans="1:193" s="119" customFormat="1" ht="15" customHeight="1">
      <c r="B18" s="573">
        <v>42779</v>
      </c>
      <c r="D18" s="315">
        <v>0</v>
      </c>
      <c r="E18" s="128">
        <v>917.88</v>
      </c>
      <c r="F18" s="128">
        <v>3463.848</v>
      </c>
      <c r="G18" s="128">
        <v>3971.5339999999997</v>
      </c>
      <c r="H18" s="128">
        <v>8307.5069999999996</v>
      </c>
      <c r="I18" s="128">
        <v>1847.462</v>
      </c>
      <c r="J18" s="128">
        <v>5696.5919999999996</v>
      </c>
      <c r="K18" s="294"/>
      <c r="L18" s="294"/>
      <c r="M18" s="115">
        <f t="shared" si="21"/>
        <v>7544.0540000000001</v>
      </c>
      <c r="N18" s="88">
        <f t="shared" si="0"/>
        <v>16660.769</v>
      </c>
      <c r="O18" s="88">
        <f t="shared" si="22"/>
        <v>20432.796000000002</v>
      </c>
      <c r="P18" s="89">
        <f t="shared" si="23"/>
        <v>264567.1385</v>
      </c>
      <c r="R18" s="90">
        <f t="shared" si="24"/>
        <v>212</v>
      </c>
      <c r="S18" s="90">
        <f t="shared" si="25"/>
        <v>13.4</v>
      </c>
      <c r="T18" s="90">
        <f t="shared" si="1"/>
        <v>650.5</v>
      </c>
      <c r="U18" s="90"/>
      <c r="V18" s="90">
        <f t="shared" si="26"/>
        <v>1557</v>
      </c>
      <c r="W18" s="91">
        <f t="shared" si="2"/>
        <v>475.8</v>
      </c>
      <c r="X18" s="90">
        <f t="shared" si="27"/>
        <v>1557</v>
      </c>
      <c r="Y18" s="90" t="str">
        <f t="shared" si="28"/>
        <v>0</v>
      </c>
      <c r="Z18" s="90">
        <f t="shared" si="3"/>
        <v>159.80000000000001</v>
      </c>
      <c r="AA18" s="90">
        <f t="shared" si="29"/>
        <v>2432.9</v>
      </c>
      <c r="AB18" s="90">
        <f t="shared" si="30"/>
        <v>167</v>
      </c>
      <c r="AC18" s="90">
        <f t="shared" si="30"/>
        <v>114</v>
      </c>
      <c r="AD18" s="90">
        <f t="shared" si="31"/>
        <v>517</v>
      </c>
      <c r="AE18" s="90">
        <f t="shared" si="32"/>
        <v>236</v>
      </c>
      <c r="AF18" s="90">
        <f t="shared" si="33"/>
        <v>114</v>
      </c>
      <c r="AG18" s="90">
        <f t="shared" si="33"/>
        <v>9</v>
      </c>
      <c r="AH18" s="90">
        <f t="shared" si="34"/>
        <v>174</v>
      </c>
      <c r="AI18" s="90">
        <f t="shared" si="35"/>
        <v>51</v>
      </c>
      <c r="AJ18" s="90">
        <f t="shared" si="36"/>
        <v>235</v>
      </c>
      <c r="AK18" s="90">
        <f t="shared" si="36"/>
        <v>214</v>
      </c>
      <c r="AL18" s="90">
        <f t="shared" si="37"/>
        <v>528</v>
      </c>
      <c r="AM18" s="90">
        <f t="shared" si="38"/>
        <v>79</v>
      </c>
      <c r="AN18" s="90">
        <f t="shared" si="39"/>
        <v>53</v>
      </c>
      <c r="AO18" s="90">
        <f t="shared" si="4"/>
        <v>86</v>
      </c>
      <c r="AP18" s="90">
        <f t="shared" si="40"/>
        <v>2</v>
      </c>
      <c r="AQ18" s="90">
        <f>IF(AP18=0.1,0,(IF(AP18&gt;=(EH18-EH17),(AP18),(EH18-EH17))))</f>
        <v>27</v>
      </c>
      <c r="AR18" s="90">
        <f t="shared" si="41"/>
        <v>79.522000000000006</v>
      </c>
      <c r="AS18" s="90">
        <f t="shared" si="42"/>
        <v>-157.47800000000007</v>
      </c>
      <c r="AT18" s="90">
        <f t="shared" si="43"/>
        <v>1052.5219999999999</v>
      </c>
      <c r="AU18" s="90">
        <f t="shared" si="44"/>
        <v>637</v>
      </c>
      <c r="AV18" s="90">
        <f t="shared" si="66"/>
        <v>11</v>
      </c>
      <c r="AW18" s="90">
        <f t="shared" si="45"/>
        <v>573</v>
      </c>
      <c r="AX18" s="90">
        <f t="shared" si="67"/>
        <v>36</v>
      </c>
      <c r="AY18" s="90" t="str">
        <f t="shared" si="46"/>
        <v/>
      </c>
      <c r="AZ18" s="90">
        <f t="shared" si="47"/>
        <v>453</v>
      </c>
      <c r="BA18" s="90">
        <v>0</v>
      </c>
      <c r="BB18" s="90">
        <f t="shared" si="48"/>
        <v>76</v>
      </c>
      <c r="BC18" s="90">
        <f t="shared" si="48"/>
        <v>951</v>
      </c>
      <c r="BD18" s="91">
        <f t="shared" si="49"/>
        <v>278</v>
      </c>
      <c r="BE18" s="90"/>
      <c r="BF18" s="90"/>
      <c r="BG18" s="90">
        <f t="shared" si="6"/>
        <v>1758</v>
      </c>
      <c r="BH18" s="90">
        <f t="shared" si="50"/>
        <v>-457</v>
      </c>
      <c r="BI18" s="90">
        <f t="shared" si="51"/>
        <v>2287.5780000000004</v>
      </c>
      <c r="BJ18" s="90">
        <f t="shared" si="7"/>
        <v>5412.4219999999996</v>
      </c>
      <c r="BK18" s="92"/>
      <c r="BL18" s="93">
        <f>FD18+FN18</f>
        <v>7243</v>
      </c>
      <c r="BM18" s="93">
        <f t="shared" si="53"/>
        <v>85228</v>
      </c>
      <c r="BN18" s="92"/>
      <c r="BO18" s="94">
        <f t="shared" si="54"/>
        <v>0.12724502692522777</v>
      </c>
      <c r="BP18" s="94">
        <f t="shared" si="54"/>
        <v>8.0428460415002453E-3</v>
      </c>
      <c r="BQ18" s="94">
        <f t="shared" si="55"/>
        <v>0.39043816044745594</v>
      </c>
      <c r="BR18" s="94">
        <f t="shared" si="68"/>
        <v>0.93453069303103597</v>
      </c>
      <c r="BS18" s="94">
        <f t="shared" si="8"/>
        <v>0</v>
      </c>
      <c r="BT18" s="94">
        <f t="shared" si="8"/>
        <v>9.5913940106846216E-2</v>
      </c>
      <c r="BU18" s="95">
        <f t="shared" si="8"/>
        <v>1.4602567264452198</v>
      </c>
      <c r="BV18" s="94">
        <f t="shared" si="9"/>
        <v>0.10375476758051123</v>
      </c>
      <c r="BW18" s="94">
        <f t="shared" si="9"/>
        <v>6.5580843659379748E-3</v>
      </c>
      <c r="BX18" s="94">
        <f t="shared" si="9"/>
        <v>0.31836073731661585</v>
      </c>
      <c r="BY18" s="94">
        <f t="shared" si="56"/>
        <v>0.76201025057950944</v>
      </c>
      <c r="BZ18" s="95">
        <f t="shared" si="10"/>
        <v>1.1906838398425745</v>
      </c>
      <c r="CA18" s="96" t="e">
        <f>#REF!</f>
        <v>#REF!</v>
      </c>
      <c r="CB18" s="94">
        <f t="shared" si="11"/>
        <v>3.89188048468746E-2</v>
      </c>
      <c r="CC18" s="95">
        <f t="shared" si="11"/>
        <v>-7.707119475964036E-2</v>
      </c>
      <c r="CD18" s="97">
        <f t="shared" si="12"/>
        <v>0.10541016806083307</v>
      </c>
      <c r="CE18" s="98">
        <f t="shared" si="12"/>
        <v>-0.20874452913513089</v>
      </c>
      <c r="CF18" s="94" t="str">
        <f t="shared" si="57"/>
        <v>0,00</v>
      </c>
      <c r="CG18" s="94" t="str">
        <f t="shared" si="57"/>
        <v>0,00</v>
      </c>
      <c r="CH18" s="95" t="str">
        <f t="shared" si="58"/>
        <v xml:space="preserve">0,00 </v>
      </c>
      <c r="CI18" s="96" t="e">
        <f>#REF!</f>
        <v>#REF!</v>
      </c>
      <c r="CJ18" s="94">
        <f t="shared" si="59"/>
        <v>1.2419924173094523</v>
      </c>
      <c r="CK18" s="94">
        <f t="shared" si="59"/>
        <v>9.8052032945483078E-2</v>
      </c>
      <c r="CL18" s="95">
        <f t="shared" si="69"/>
        <v>1.8956726369460062</v>
      </c>
      <c r="CM18" s="95" t="e">
        <f>#REF!</f>
        <v>#REF!</v>
      </c>
      <c r="CN18" s="94">
        <f t="shared" si="60"/>
        <v>0.67843623623207494</v>
      </c>
      <c r="CO18" s="94">
        <f t="shared" si="60"/>
        <v>0.61781001937729374</v>
      </c>
      <c r="CP18" s="95">
        <f t="shared" si="61"/>
        <v>1.5243163094916405</v>
      </c>
      <c r="CQ18" s="95" t="e">
        <f>#REF!</f>
        <v>#REF!</v>
      </c>
      <c r="CR18" s="97">
        <f t="shared" si="70"/>
        <v>0.13344969475270765</v>
      </c>
      <c r="CS18" s="95">
        <f t="shared" si="70"/>
        <v>0.21654101412703505</v>
      </c>
      <c r="CT18" s="96" t="e">
        <f>#REF!</f>
        <v>#REF!</v>
      </c>
      <c r="CU18" s="97">
        <f t="shared" si="71"/>
        <v>2.4074611071648812E-3</v>
      </c>
      <c r="CV18" s="95">
        <f t="shared" si="62"/>
        <v>3.2500724946725894E-2</v>
      </c>
      <c r="CW18" s="96" t="e">
        <f>#REF!</f>
        <v>#REF!</v>
      </c>
      <c r="CX18" s="99">
        <f t="shared" si="63"/>
        <v>0.3117537120225739</v>
      </c>
      <c r="CY18" s="95">
        <f t="shared" si="63"/>
        <v>5.3835020914416208E-3</v>
      </c>
      <c r="CZ18" s="99">
        <f t="shared" si="63"/>
        <v>0.28043151803600447</v>
      </c>
      <c r="DA18" s="95">
        <f t="shared" si="63"/>
        <v>1.7618734117445307E-2</v>
      </c>
      <c r="DB18" s="94">
        <f t="shared" si="13"/>
        <v>0.22170240431118676</v>
      </c>
      <c r="DC18" s="94">
        <f t="shared" si="14"/>
        <v>3.7195105359051198E-2</v>
      </c>
      <c r="DD18" s="94">
        <f t="shared" si="14"/>
        <v>0.46542822626918012</v>
      </c>
      <c r="DE18" s="94">
        <f t="shared" si="14"/>
        <v>0.13605578012916097</v>
      </c>
      <c r="DF18" s="94">
        <f t="shared" si="14"/>
        <v>0</v>
      </c>
      <c r="DG18" s="94">
        <f t="shared" si="14"/>
        <v>0</v>
      </c>
      <c r="DH18" s="95">
        <f t="shared" si="14"/>
        <v>0.86038151606857904</v>
      </c>
      <c r="DI18" s="96" t="e">
        <f>#REF!</f>
        <v>#REF!</v>
      </c>
      <c r="DJ18" s="95">
        <f t="shared" si="64"/>
        <v>-0.22366004143534735</v>
      </c>
      <c r="DK18" s="96" t="e">
        <f>#REF!</f>
        <v>#REF!</v>
      </c>
      <c r="DL18" s="95">
        <f t="shared" si="15"/>
        <v>1.1195619043032585</v>
      </c>
      <c r="DM18" s="96">
        <f t="shared" si="16"/>
        <v>0</v>
      </c>
      <c r="DN18" s="94">
        <f t="shared" si="17"/>
        <v>2.6488895597058764</v>
      </c>
      <c r="DO18" s="100">
        <v>3.4</v>
      </c>
      <c r="DP18" s="94">
        <f>IF($O18&lt;&gt;0,IF($O18&lt;&gt;0,BL18/$O18*10,0)," ")</f>
        <v>3.5447914225737875</v>
      </c>
      <c r="DQ18" s="94">
        <f t="shared" si="73"/>
        <v>3.2214129269119338</v>
      </c>
      <c r="DR18" s="101">
        <f t="shared" si="18"/>
        <v>0</v>
      </c>
      <c r="DS18" s="147"/>
      <c r="DT18" s="134">
        <v>13</v>
      </c>
      <c r="DU18" s="76">
        <v>604582</v>
      </c>
      <c r="DV18" s="76">
        <v>22666</v>
      </c>
      <c r="DW18" s="76">
        <v>5087799</v>
      </c>
      <c r="DX18" s="298">
        <v>98211</v>
      </c>
      <c r="DY18" s="76">
        <v>79903</v>
      </c>
      <c r="DZ18" s="76">
        <v>358997</v>
      </c>
      <c r="EA18" s="77">
        <v>206930</v>
      </c>
      <c r="EB18" s="77">
        <v>47002</v>
      </c>
      <c r="EC18" s="77">
        <v>363472</v>
      </c>
      <c r="ED18" s="77">
        <v>43673</v>
      </c>
      <c r="EE18" s="77">
        <v>35740</v>
      </c>
      <c r="EF18" s="77">
        <v>37330</v>
      </c>
      <c r="EG18" s="76">
        <v>88497</v>
      </c>
      <c r="EH18" s="76">
        <v>174325</v>
      </c>
      <c r="EI18" s="76">
        <v>28249</v>
      </c>
      <c r="EJ18" s="77">
        <v>36655</v>
      </c>
      <c r="EK18" s="77"/>
      <c r="EL18" s="76">
        <v>675020</v>
      </c>
      <c r="EM18" s="77">
        <v>6505</v>
      </c>
      <c r="EN18" s="77">
        <v>38898</v>
      </c>
      <c r="EO18" s="76">
        <v>2820528</v>
      </c>
      <c r="EP18" s="77">
        <v>2548845</v>
      </c>
      <c r="EQ18" s="77">
        <v>0</v>
      </c>
      <c r="ER18" s="77">
        <v>1598</v>
      </c>
      <c r="ES18" s="77">
        <v>264394</v>
      </c>
      <c r="ET18" s="77">
        <v>9688942</v>
      </c>
      <c r="EU18" s="77">
        <v>366706</v>
      </c>
      <c r="EV18" s="77">
        <v>106625</v>
      </c>
      <c r="EW18" s="77">
        <v>61390</v>
      </c>
      <c r="EX18" s="77">
        <v>194578</v>
      </c>
      <c r="EY18" s="77">
        <v>1550057</v>
      </c>
      <c r="EZ18" s="77">
        <v>688433</v>
      </c>
      <c r="FA18" s="151">
        <v>715309</v>
      </c>
      <c r="FB18" s="77">
        <v>30235</v>
      </c>
      <c r="FC18" s="77">
        <v>7700</v>
      </c>
      <c r="FD18" s="104">
        <f t="shared" si="19"/>
        <v>6688</v>
      </c>
      <c r="FE18" s="105">
        <f t="shared" si="20"/>
        <v>0</v>
      </c>
      <c r="FF18" s="105">
        <f t="shared" si="20"/>
        <v>549</v>
      </c>
      <c r="FG18" s="105">
        <f t="shared" si="20"/>
        <v>2041</v>
      </c>
      <c r="FH18" s="105">
        <f t="shared" si="20"/>
        <v>1716</v>
      </c>
      <c r="FI18" s="105">
        <f t="shared" si="20"/>
        <v>556</v>
      </c>
      <c r="FJ18" s="105">
        <f t="shared" si="20"/>
        <v>0</v>
      </c>
      <c r="FK18" s="105">
        <f t="shared" si="20"/>
        <v>0</v>
      </c>
      <c r="FL18" s="105">
        <f t="shared" si="20"/>
        <v>1474</v>
      </c>
      <c r="FM18" s="105">
        <f t="shared" si="20"/>
        <v>352</v>
      </c>
      <c r="FN18" s="80">
        <f t="shared" si="74"/>
        <v>555</v>
      </c>
      <c r="FO18" s="77">
        <f>FO17+555</f>
        <v>53703</v>
      </c>
      <c r="FP18" s="132">
        <f>963115-962560</f>
        <v>555</v>
      </c>
      <c r="FY18" s="119">
        <v>13</v>
      </c>
      <c r="FZ18" s="107"/>
      <c r="GA18" s="107"/>
      <c r="GB18" s="107"/>
      <c r="GC18" s="109"/>
      <c r="GD18" s="110"/>
      <c r="GE18" s="110"/>
      <c r="GF18" s="111"/>
      <c r="GG18" s="111"/>
      <c r="GH18" s="111"/>
      <c r="GI18" s="112"/>
      <c r="GJ18" s="111" t="e">
        <f t="shared" si="65"/>
        <v>#DIV/0!</v>
      </c>
      <c r="GK18" s="113"/>
    </row>
    <row r="19" spans="1:193" s="119" customFormat="1" ht="15" customHeight="1">
      <c r="B19" s="573">
        <v>42780</v>
      </c>
      <c r="D19" s="316">
        <v>5065.08</v>
      </c>
      <c r="E19" s="128">
        <v>3049.68</v>
      </c>
      <c r="F19" s="128">
        <v>2729.808</v>
      </c>
      <c r="G19" s="128">
        <v>5346.7690000000002</v>
      </c>
      <c r="H19" s="128">
        <v>5808.5919999999996</v>
      </c>
      <c r="I19" s="128">
        <v>2216.0169999999998</v>
      </c>
      <c r="J19" s="128">
        <v>2892.12</v>
      </c>
      <c r="K19" s="294"/>
      <c r="L19" s="294">
        <v>16</v>
      </c>
      <c r="M19" s="115">
        <f t="shared" si="21"/>
        <v>5108.1369999999997</v>
      </c>
      <c r="N19" s="88">
        <f t="shared" si="0"/>
        <v>21999.929</v>
      </c>
      <c r="O19" s="88">
        <f t="shared" si="22"/>
        <v>24569.997500000001</v>
      </c>
      <c r="P19" s="89">
        <f t="shared" si="23"/>
        <v>289137.136</v>
      </c>
      <c r="R19" s="90">
        <f t="shared" si="24"/>
        <v>1</v>
      </c>
      <c r="S19" s="90">
        <f t="shared" si="25"/>
        <v>0</v>
      </c>
      <c r="T19" s="90">
        <f t="shared" si="1"/>
        <v>292.7</v>
      </c>
      <c r="U19" s="90"/>
      <c r="V19" s="90">
        <f t="shared" si="26"/>
        <v>1510</v>
      </c>
      <c r="W19" s="91">
        <f t="shared" si="2"/>
        <v>265.8</v>
      </c>
      <c r="X19" s="90">
        <f t="shared" si="27"/>
        <v>1510</v>
      </c>
      <c r="Y19" s="90" t="str">
        <f t="shared" si="28"/>
        <v>0</v>
      </c>
      <c r="Z19" s="90">
        <f t="shared" si="3"/>
        <v>173</v>
      </c>
      <c r="AA19" s="90">
        <f t="shared" si="29"/>
        <v>1803.7</v>
      </c>
      <c r="AB19" s="90">
        <f t="shared" si="30"/>
        <v>222</v>
      </c>
      <c r="AC19" s="90">
        <f t="shared" si="30"/>
        <v>16</v>
      </c>
      <c r="AD19" s="90">
        <f t="shared" si="31"/>
        <v>420</v>
      </c>
      <c r="AE19" s="90">
        <f t="shared" si="32"/>
        <v>182</v>
      </c>
      <c r="AF19" s="90">
        <f t="shared" si="33"/>
        <v>148</v>
      </c>
      <c r="AG19" s="90">
        <f t="shared" si="33"/>
        <v>33</v>
      </c>
      <c r="AH19" s="90">
        <f t="shared" si="34"/>
        <v>215</v>
      </c>
      <c r="AI19" s="90">
        <f t="shared" si="35"/>
        <v>34</v>
      </c>
      <c r="AJ19" s="90">
        <f t="shared" si="36"/>
        <v>242</v>
      </c>
      <c r="AK19" s="90">
        <f t="shared" si="36"/>
        <v>58</v>
      </c>
      <c r="AL19" s="90">
        <f t="shared" si="37"/>
        <v>365</v>
      </c>
      <c r="AM19" s="90">
        <f t="shared" si="38"/>
        <v>65</v>
      </c>
      <c r="AN19" s="90">
        <f t="shared" si="39"/>
        <v>7</v>
      </c>
      <c r="AO19" s="90">
        <f t="shared" si="4"/>
        <v>38</v>
      </c>
      <c r="AP19" s="90">
        <f t="shared" si="40"/>
        <v>26</v>
      </c>
      <c r="AQ19" s="90">
        <f t="shared" si="5"/>
        <v>79</v>
      </c>
      <c r="AR19" s="90">
        <f t="shared" si="41"/>
        <v>30.032</v>
      </c>
      <c r="AS19" s="90">
        <f t="shared" si="42"/>
        <v>457.03200000000004</v>
      </c>
      <c r="AT19" s="90">
        <f t="shared" si="43"/>
        <v>535.03200000000004</v>
      </c>
      <c r="AU19" s="90">
        <f t="shared" si="44"/>
        <v>-88</v>
      </c>
      <c r="AV19" s="90">
        <f t="shared" si="66"/>
        <v>37</v>
      </c>
      <c r="AW19" s="90">
        <f t="shared" si="45"/>
        <v>166</v>
      </c>
      <c r="AX19" s="90">
        <f t="shared" si="67"/>
        <v>22</v>
      </c>
      <c r="AY19" s="90" t="str">
        <f t="shared" si="46"/>
        <v/>
      </c>
      <c r="AZ19" s="90">
        <f t="shared" si="47"/>
        <v>360</v>
      </c>
      <c r="BA19" s="90">
        <v>64</v>
      </c>
      <c r="BB19" s="90">
        <f t="shared" si="48"/>
        <v>95</v>
      </c>
      <c r="BC19" s="90">
        <f t="shared" si="48"/>
        <v>145</v>
      </c>
      <c r="BD19" s="91">
        <f t="shared" si="49"/>
        <v>232</v>
      </c>
      <c r="BE19" s="90"/>
      <c r="BF19" s="90"/>
      <c r="BG19" s="90">
        <f t="shared" si="6"/>
        <v>832</v>
      </c>
      <c r="BH19" s="90">
        <f t="shared" si="50"/>
        <v>910</v>
      </c>
      <c r="BI19" s="90">
        <f t="shared" si="51"/>
        <v>1422.268</v>
      </c>
      <c r="BJ19" s="90">
        <f t="shared" si="7"/>
        <v>4268.732</v>
      </c>
      <c r="BK19" s="92"/>
      <c r="BL19" s="93">
        <f t="shared" si="52"/>
        <v>6601</v>
      </c>
      <c r="BM19" s="93">
        <f t="shared" si="53"/>
        <v>91829</v>
      </c>
      <c r="BN19" s="92"/>
      <c r="BO19" s="94">
        <f t="shared" si="54"/>
        <v>4.5454692149233758E-4</v>
      </c>
      <c r="BP19" s="94">
        <f t="shared" si="54"/>
        <v>0</v>
      </c>
      <c r="BQ19" s="94">
        <f t="shared" si="55"/>
        <v>0.13304588392080718</v>
      </c>
      <c r="BR19" s="94">
        <f t="shared" si="68"/>
        <v>0.68636585145342976</v>
      </c>
      <c r="BS19" s="94">
        <f t="shared" si="8"/>
        <v>0</v>
      </c>
      <c r="BT19" s="94">
        <f t="shared" si="8"/>
        <v>7.8636617418174404E-2</v>
      </c>
      <c r="BU19" s="95">
        <f t="shared" si="8"/>
        <v>0.81986628229572922</v>
      </c>
      <c r="BV19" s="94">
        <f t="shared" si="9"/>
        <v>4.0700044841274403E-4</v>
      </c>
      <c r="BW19" s="94">
        <f t="shared" si="9"/>
        <v>0</v>
      </c>
      <c r="BX19" s="94">
        <f t="shared" si="9"/>
        <v>0.11912903125041016</v>
      </c>
      <c r="BY19" s="94">
        <f t="shared" si="56"/>
        <v>0.61457067710324342</v>
      </c>
      <c r="BZ19" s="95">
        <f t="shared" si="10"/>
        <v>0.73410670880206641</v>
      </c>
      <c r="CA19" s="96" t="e">
        <f>#REF!</f>
        <v>#REF!</v>
      </c>
      <c r="CB19" s="94">
        <f t="shared" si="11"/>
        <v>1.2223037466731529E-2</v>
      </c>
      <c r="CC19" s="95">
        <f t="shared" si="11"/>
        <v>0.18601222893897323</v>
      </c>
      <c r="CD19" s="97">
        <f t="shared" si="12"/>
        <v>5.8792471697607172E-2</v>
      </c>
      <c r="CE19" s="98">
        <f t="shared" si="12"/>
        <v>0.89471366958247223</v>
      </c>
      <c r="CF19" s="94">
        <f t="shared" si="57"/>
        <v>0.43829515032339073</v>
      </c>
      <c r="CG19" s="94">
        <f t="shared" si="57"/>
        <v>3.158883966294708E-2</v>
      </c>
      <c r="CH19" s="95">
        <f t="shared" si="58"/>
        <v>0.82920704115236088</v>
      </c>
      <c r="CI19" s="96" t="e">
        <f>#REF!</f>
        <v>#REF!</v>
      </c>
      <c r="CJ19" s="94">
        <f t="shared" si="59"/>
        <v>0.48529681802680941</v>
      </c>
      <c r="CK19" s="94">
        <f t="shared" si="59"/>
        <v>0.10820807428976155</v>
      </c>
      <c r="CL19" s="95">
        <f t="shared" si="69"/>
        <v>0.70499199916056776</v>
      </c>
      <c r="CM19" s="95" t="e">
        <f>#REF!</f>
        <v>#REF!</v>
      </c>
      <c r="CN19" s="94">
        <f t="shared" si="60"/>
        <v>0.88650923434908235</v>
      </c>
      <c r="CO19" s="94">
        <f t="shared" si="60"/>
        <v>0.21246915533986274</v>
      </c>
      <c r="CP19" s="95">
        <f t="shared" si="61"/>
        <v>1.3370903741215501</v>
      </c>
      <c r="CQ19" s="95" t="e">
        <f>#REF!</f>
        <v>#REF!</v>
      </c>
      <c r="CR19" s="97">
        <f t="shared" si="70"/>
        <v>1.3092018750015194E-2</v>
      </c>
      <c r="CS19" s="95">
        <f t="shared" si="70"/>
        <v>7.1070958928653921E-2</v>
      </c>
      <c r="CT19" s="96" t="e">
        <f>#REF!</f>
        <v>#REF!</v>
      </c>
      <c r="CU19" s="97">
        <f t="shared" si="71"/>
        <v>4.4761277776094455E-2</v>
      </c>
      <c r="CV19" s="95">
        <f t="shared" si="62"/>
        <v>0.13600542093505621</v>
      </c>
      <c r="CW19" s="96" t="e">
        <f>#REF!</f>
        <v>#REF!</v>
      </c>
      <c r="CX19" s="99">
        <f t="shared" si="63"/>
        <v>-3.5816039460321469E-2</v>
      </c>
      <c r="CY19" s="95">
        <f t="shared" si="63"/>
        <v>1.5059016591271528E-2</v>
      </c>
      <c r="CZ19" s="99">
        <f t="shared" si="63"/>
        <v>6.7562074436515504E-2</v>
      </c>
      <c r="DA19" s="95">
        <f t="shared" si="63"/>
        <v>8.9540098650803673E-3</v>
      </c>
      <c r="DB19" s="94">
        <f t="shared" si="13"/>
        <v>0.14652016142858784</v>
      </c>
      <c r="DC19" s="94">
        <f t="shared" si="14"/>
        <v>3.8665042599210678E-2</v>
      </c>
      <c r="DD19" s="94">
        <f t="shared" si="14"/>
        <v>5.9015065019847879E-2</v>
      </c>
      <c r="DE19" s="94">
        <f t="shared" si="14"/>
        <v>9.4424104031756606E-2</v>
      </c>
      <c r="DF19" s="94">
        <f t="shared" si="14"/>
        <v>0</v>
      </c>
      <c r="DG19" s="94">
        <f t="shared" si="14"/>
        <v>0</v>
      </c>
      <c r="DH19" s="95">
        <f t="shared" si="14"/>
        <v>0.33862437307940302</v>
      </c>
      <c r="DI19" s="96" t="e">
        <f>#REF!</f>
        <v>#REF!</v>
      </c>
      <c r="DJ19" s="95">
        <f t="shared" si="64"/>
        <v>0.37037040805559701</v>
      </c>
      <c r="DK19" s="96" t="e">
        <f>#REF!</f>
        <v>#REF!</v>
      </c>
      <c r="DL19" s="95">
        <f t="shared" si="15"/>
        <v>0.57886371376309664</v>
      </c>
      <c r="DM19" s="96">
        <f t="shared" si="16"/>
        <v>0</v>
      </c>
      <c r="DN19" s="94">
        <f t="shared" si="17"/>
        <v>1.7373758381538296</v>
      </c>
      <c r="DO19" s="100">
        <v>3.4</v>
      </c>
      <c r="DP19" s="94">
        <f>IF($O19&lt;&gt;0,IF($O19&lt;&gt;0,BL19/$O19*10,0)," ")</f>
        <v>2.6866099599725235</v>
      </c>
      <c r="DQ19" s="94">
        <f t="shared" si="73"/>
        <v>3.1759669916630839</v>
      </c>
      <c r="DR19" s="101">
        <f t="shared" si="18"/>
        <v>0</v>
      </c>
      <c r="DS19" s="147"/>
      <c r="DT19" s="103">
        <v>14</v>
      </c>
      <c r="DU19" s="76">
        <v>604804</v>
      </c>
      <c r="DV19" s="76">
        <v>22682</v>
      </c>
      <c r="DW19" s="76">
        <v>5088219</v>
      </c>
      <c r="DX19" s="298">
        <v>98359</v>
      </c>
      <c r="DY19" s="76">
        <v>79936</v>
      </c>
      <c r="DZ19" s="76">
        <v>359212</v>
      </c>
      <c r="EA19" s="76">
        <v>207172</v>
      </c>
      <c r="EB19" s="77">
        <v>47060</v>
      </c>
      <c r="EC19" s="76">
        <v>363837</v>
      </c>
      <c r="ED19" s="76">
        <v>43680</v>
      </c>
      <c r="EE19" s="77">
        <v>35765</v>
      </c>
      <c r="EF19" s="77">
        <v>37343</v>
      </c>
      <c r="EG19" s="76">
        <v>88523</v>
      </c>
      <c r="EH19" s="76">
        <v>174404</v>
      </c>
      <c r="EI19" s="76">
        <v>28286</v>
      </c>
      <c r="EJ19" s="77">
        <v>36677</v>
      </c>
      <c r="EK19" s="77"/>
      <c r="EL19" s="76">
        <v>675021</v>
      </c>
      <c r="EM19" s="77">
        <v>2927</v>
      </c>
      <c r="EN19" s="77">
        <v>38898</v>
      </c>
      <c r="EO19" s="76">
        <v>2822038</v>
      </c>
      <c r="EP19" s="77">
        <v>2551503</v>
      </c>
      <c r="EQ19" s="77">
        <v>0</v>
      </c>
      <c r="ER19" s="77">
        <v>1730</v>
      </c>
      <c r="ES19" s="77">
        <v>264899</v>
      </c>
      <c r="ET19" s="77">
        <v>9718974</v>
      </c>
      <c r="EU19" s="77">
        <v>366872</v>
      </c>
      <c r="EV19" s="77">
        <v>106537</v>
      </c>
      <c r="EW19" s="77">
        <v>61750</v>
      </c>
      <c r="EX19" s="77">
        <v>194673</v>
      </c>
      <c r="EY19" s="77">
        <v>1550202</v>
      </c>
      <c r="EZ19" s="77">
        <v>688433</v>
      </c>
      <c r="FA19" s="151">
        <v>715541</v>
      </c>
      <c r="FB19" s="77">
        <v>30315</v>
      </c>
      <c r="FC19" s="77">
        <v>5691</v>
      </c>
      <c r="FD19" s="104">
        <f t="shared" si="19"/>
        <v>5949</v>
      </c>
      <c r="FE19" s="105">
        <f t="shared" si="20"/>
        <v>0</v>
      </c>
      <c r="FF19" s="105">
        <f t="shared" si="20"/>
        <v>527</v>
      </c>
      <c r="FG19" s="105">
        <f t="shared" si="20"/>
        <v>1781</v>
      </c>
      <c r="FH19" s="105">
        <f t="shared" si="20"/>
        <v>1542</v>
      </c>
      <c r="FI19" s="105">
        <f t="shared" si="20"/>
        <v>500</v>
      </c>
      <c r="FJ19" s="105">
        <f t="shared" si="20"/>
        <v>0</v>
      </c>
      <c r="FK19" s="105">
        <f t="shared" si="20"/>
        <v>0</v>
      </c>
      <c r="FL19" s="105">
        <f t="shared" si="20"/>
        <v>1249</v>
      </c>
      <c r="FM19" s="105">
        <f t="shared" si="20"/>
        <v>350</v>
      </c>
      <c r="FN19" s="80">
        <f>IF(FO19="",0,(FO19-FO18))</f>
        <v>652</v>
      </c>
      <c r="FO19" s="77">
        <f>FO18+652</f>
        <v>54355</v>
      </c>
      <c r="FP19" s="132" t="s">
        <v>161</v>
      </c>
      <c r="FY19" s="119">
        <v>14</v>
      </c>
      <c r="FZ19" s="107"/>
      <c r="GA19" s="107"/>
      <c r="GB19" s="107"/>
      <c r="GC19" s="109"/>
      <c r="GD19" s="110"/>
      <c r="GE19" s="110"/>
      <c r="GF19" s="111"/>
      <c r="GG19" s="111"/>
      <c r="GH19" s="111"/>
      <c r="GI19" s="112"/>
      <c r="GJ19" s="111" t="e">
        <f t="shared" si="65"/>
        <v>#DIV/0!</v>
      </c>
      <c r="GK19" s="113"/>
    </row>
    <row r="20" spans="1:193" s="119" customFormat="1" ht="15" customHeight="1">
      <c r="B20" s="573">
        <v>42781</v>
      </c>
      <c r="D20" s="317">
        <v>6187.32</v>
      </c>
      <c r="E20" s="128">
        <v>2549.52</v>
      </c>
      <c r="F20" s="86">
        <v>739.58399999999995</v>
      </c>
      <c r="G20" s="86">
        <v>5203.143</v>
      </c>
      <c r="H20" s="86">
        <v>7659.4780000000001</v>
      </c>
      <c r="I20" s="318">
        <v>2361.259</v>
      </c>
      <c r="J20" s="86">
        <v>5154.3360000000002</v>
      </c>
      <c r="K20" s="284">
        <v>0</v>
      </c>
      <c r="L20" s="294">
        <v>0</v>
      </c>
      <c r="M20" s="115">
        <f t="shared" si="21"/>
        <v>7515.5950000000003</v>
      </c>
      <c r="N20" s="88">
        <f t="shared" si="0"/>
        <v>22339.045000000002</v>
      </c>
      <c r="O20" s="88">
        <f t="shared" si="22"/>
        <v>26096.842500000002</v>
      </c>
      <c r="P20" s="89">
        <f t="shared" si="23"/>
        <v>315233.97850000003</v>
      </c>
      <c r="R20" s="90">
        <f t="shared" si="24"/>
        <v>80</v>
      </c>
      <c r="S20" s="90">
        <f t="shared" si="25"/>
        <v>134.4</v>
      </c>
      <c r="T20" s="90">
        <f t="shared" si="1"/>
        <v>506.2</v>
      </c>
      <c r="U20" s="90"/>
      <c r="V20" s="90">
        <f t="shared" si="26"/>
        <v>1625</v>
      </c>
      <c r="W20" s="91">
        <f t="shared" si="2"/>
        <v>916.5</v>
      </c>
      <c r="X20" s="90">
        <f t="shared" si="27"/>
        <v>1625</v>
      </c>
      <c r="Y20" s="90" t="str">
        <f t="shared" si="28"/>
        <v>0</v>
      </c>
      <c r="Z20" s="90">
        <f t="shared" si="3"/>
        <v>182.6</v>
      </c>
      <c r="AA20" s="90">
        <f t="shared" si="29"/>
        <v>2345.6</v>
      </c>
      <c r="AB20" s="90">
        <f t="shared" si="30"/>
        <v>279</v>
      </c>
      <c r="AC20" s="90">
        <f t="shared" si="30"/>
        <v>19</v>
      </c>
      <c r="AD20" s="90">
        <f t="shared" si="31"/>
        <v>459</v>
      </c>
      <c r="AE20" s="90">
        <f t="shared" si="32"/>
        <v>161</v>
      </c>
      <c r="AF20" s="90">
        <f t="shared" si="33"/>
        <v>93</v>
      </c>
      <c r="AG20" s="90">
        <f t="shared" si="33"/>
        <v>21</v>
      </c>
      <c r="AH20" s="90">
        <f t="shared" si="34"/>
        <v>189</v>
      </c>
      <c r="AI20" s="90">
        <f t="shared" si="35"/>
        <v>75</v>
      </c>
      <c r="AJ20" s="90">
        <f t="shared" si="36"/>
        <v>80</v>
      </c>
      <c r="AK20" s="90">
        <f t="shared" si="36"/>
        <v>65</v>
      </c>
      <c r="AL20" s="90">
        <f t="shared" si="37"/>
        <v>269</v>
      </c>
      <c r="AM20" s="90">
        <f t="shared" si="38"/>
        <v>124</v>
      </c>
      <c r="AN20" s="90">
        <f t="shared" si="39"/>
        <v>12</v>
      </c>
      <c r="AO20" s="90">
        <f t="shared" si="4"/>
        <v>40</v>
      </c>
      <c r="AP20" s="90">
        <f t="shared" si="40"/>
        <v>2</v>
      </c>
      <c r="AQ20" s="90">
        <f t="shared" si="5"/>
        <v>35</v>
      </c>
      <c r="AR20" s="90">
        <f t="shared" si="41"/>
        <v>33.613999999999997</v>
      </c>
      <c r="AS20" s="90">
        <f t="shared" si="42"/>
        <v>31.614000000000033</v>
      </c>
      <c r="AT20" s="90">
        <f t="shared" si="43"/>
        <v>830.61400000000003</v>
      </c>
      <c r="AU20" s="90">
        <f t="shared" si="44"/>
        <v>308</v>
      </c>
      <c r="AV20" s="90">
        <f t="shared" si="66"/>
        <v>13</v>
      </c>
      <c r="AW20" s="90">
        <f t="shared" si="45"/>
        <v>491</v>
      </c>
      <c r="AX20" s="90">
        <f t="shared" si="67"/>
        <v>6</v>
      </c>
      <c r="AY20" s="90" t="str">
        <f t="shared" si="46"/>
        <v/>
      </c>
      <c r="AZ20" s="90">
        <f t="shared" si="47"/>
        <v>393</v>
      </c>
      <c r="BA20" s="90">
        <v>35</v>
      </c>
      <c r="BB20" s="90">
        <f t="shared" si="48"/>
        <v>99</v>
      </c>
      <c r="BC20" s="90">
        <f t="shared" si="48"/>
        <v>7</v>
      </c>
      <c r="BD20" s="91">
        <f t="shared" si="49"/>
        <v>3</v>
      </c>
      <c r="BE20" s="90"/>
      <c r="BF20" s="90"/>
      <c r="BG20" s="90">
        <f t="shared" si="6"/>
        <v>502</v>
      </c>
      <c r="BH20" s="90">
        <f t="shared" si="50"/>
        <v>244</v>
      </c>
      <c r="BI20" s="90">
        <f t="shared" si="51"/>
        <v>1581.7860000000001</v>
      </c>
      <c r="BJ20" s="90">
        <f t="shared" si="7"/>
        <v>3890.2139999999999</v>
      </c>
      <c r="BK20" s="92"/>
      <c r="BL20" s="93">
        <f t="shared" si="52"/>
        <v>5716</v>
      </c>
      <c r="BM20" s="93">
        <f t="shared" si="53"/>
        <v>97545</v>
      </c>
      <c r="BN20" s="92"/>
      <c r="BO20" s="94">
        <f t="shared" si="54"/>
        <v>3.5811736804326234E-2</v>
      </c>
      <c r="BP20" s="94">
        <f t="shared" si="54"/>
        <v>6.0163717831268074E-2</v>
      </c>
      <c r="BQ20" s="94">
        <f t="shared" si="55"/>
        <v>0.22659876462937423</v>
      </c>
      <c r="BR20" s="94">
        <f t="shared" si="68"/>
        <v>0.72742590383787664</v>
      </c>
      <c r="BS20" s="94">
        <f t="shared" si="8"/>
        <v>0</v>
      </c>
      <c r="BT20" s="94">
        <f t="shared" si="8"/>
        <v>8.1740289255874621E-2</v>
      </c>
      <c r="BU20" s="95">
        <f t="shared" si="8"/>
        <v>1.0500001231028451</v>
      </c>
      <c r="BV20" s="94">
        <f t="shared" si="9"/>
        <v>3.0655049552450641E-2</v>
      </c>
      <c r="BW20" s="94">
        <f t="shared" si="9"/>
        <v>5.1500483248117082E-2</v>
      </c>
      <c r="BX20" s="94">
        <f t="shared" si="9"/>
        <v>0.19396982604313145</v>
      </c>
      <c r="BY20" s="94">
        <f t="shared" si="56"/>
        <v>0.6226806940341536</v>
      </c>
      <c r="BZ20" s="95">
        <f t="shared" si="10"/>
        <v>0.89880605287785287</v>
      </c>
      <c r="CA20" s="96" t="e">
        <f>#REF!</f>
        <v>#REF!</v>
      </c>
      <c r="CB20" s="94">
        <f t="shared" si="11"/>
        <v>1.2880485445700947E-2</v>
      </c>
      <c r="CC20" s="95">
        <f t="shared" si="11"/>
        <v>1.2114109206889694E-2</v>
      </c>
      <c r="CD20" s="97">
        <f t="shared" si="12"/>
        <v>4.4725667096217926E-2</v>
      </c>
      <c r="CE20" s="98">
        <f t="shared" si="12"/>
        <v>4.2064533812692186E-2</v>
      </c>
      <c r="CF20" s="94">
        <f t="shared" si="57"/>
        <v>0.45092220864606969</v>
      </c>
      <c r="CG20" s="94">
        <f t="shared" si="57"/>
        <v>3.070796402966066E-2</v>
      </c>
      <c r="CH20" s="95">
        <f t="shared" si="58"/>
        <v>0.74183976261127604</v>
      </c>
      <c r="CI20" s="96" t="e">
        <f>#REF!</f>
        <v>#REF!</v>
      </c>
      <c r="CJ20" s="94">
        <f t="shared" si="59"/>
        <v>0.36477454579685592</v>
      </c>
      <c r="CK20" s="94">
        <f t="shared" si="59"/>
        <v>8.2368445825096476E-2</v>
      </c>
      <c r="CL20" s="95">
        <f t="shared" si="69"/>
        <v>0.74131601242586842</v>
      </c>
      <c r="CM20" s="95" t="e">
        <f>#REF!</f>
        <v>#REF!</v>
      </c>
      <c r="CN20" s="94">
        <f t="shared" si="60"/>
        <v>1.0816891658013155</v>
      </c>
      <c r="CO20" s="94">
        <f t="shared" si="60"/>
        <v>0.87887244721356883</v>
      </c>
      <c r="CP20" s="95">
        <f t="shared" si="61"/>
        <v>3.6371798200069234</v>
      </c>
      <c r="CQ20" s="95" t="e">
        <f>#REF!</f>
        <v>#REF!</v>
      </c>
      <c r="CR20" s="97">
        <f t="shared" si="70"/>
        <v>2.3062983277607401E-2</v>
      </c>
      <c r="CS20" s="95">
        <f t="shared" si="70"/>
        <v>7.6876610925357997E-2</v>
      </c>
      <c r="CT20" s="96" t="e">
        <f>#REF!</f>
        <v>#REF!</v>
      </c>
      <c r="CU20" s="97">
        <f t="shared" si="71"/>
        <v>2.6111439970191181E-3</v>
      </c>
      <c r="CV20" s="95">
        <f t="shared" si="62"/>
        <v>4.5695019947834564E-2</v>
      </c>
      <c r="CW20" s="96" t="e">
        <f>#REF!</f>
        <v>#REF!</v>
      </c>
      <c r="CX20" s="99">
        <f t="shared" si="63"/>
        <v>0.11802194077693498</v>
      </c>
      <c r="CY20" s="95">
        <f t="shared" si="63"/>
        <v>4.9814455522732299E-3</v>
      </c>
      <c r="CZ20" s="99">
        <f t="shared" si="63"/>
        <v>0.18814536662816583</v>
      </c>
      <c r="DA20" s="95">
        <f t="shared" si="63"/>
        <v>2.2991287164337982E-3</v>
      </c>
      <c r="DB20" s="94">
        <f t="shared" si="13"/>
        <v>0.15059293092641379</v>
      </c>
      <c r="DC20" s="94">
        <f t="shared" si="14"/>
        <v>3.7935623821157671E-2</v>
      </c>
      <c r="DD20" s="94">
        <f t="shared" si="14"/>
        <v>2.6823168358394316E-3</v>
      </c>
      <c r="DE20" s="94">
        <f t="shared" si="14"/>
        <v>1.1495643582168991E-3</v>
      </c>
      <c r="DF20" s="94">
        <f t="shared" si="14"/>
        <v>0</v>
      </c>
      <c r="DG20" s="94">
        <f t="shared" si="14"/>
        <v>0</v>
      </c>
      <c r="DH20" s="95">
        <f t="shared" si="14"/>
        <v>0.1923604359416278</v>
      </c>
      <c r="DI20" s="96" t="e">
        <f>#REF!</f>
        <v>#REF!</v>
      </c>
      <c r="DJ20" s="95">
        <f t="shared" si="64"/>
        <v>9.3497901134974457E-2</v>
      </c>
      <c r="DK20" s="96" t="e">
        <f>#REF!</f>
        <v>#REF!</v>
      </c>
      <c r="DL20" s="95">
        <f t="shared" si="15"/>
        <v>0.60612160264215875</v>
      </c>
      <c r="DM20" s="96">
        <f t="shared" si="16"/>
        <v>0</v>
      </c>
      <c r="DN20" s="94">
        <f t="shared" si="17"/>
        <v>1.4906837867454654</v>
      </c>
      <c r="DO20" s="100">
        <v>3.4</v>
      </c>
      <c r="DP20" s="94">
        <f>IF($O20&lt;&gt;0,IF($O20&lt;&gt;0,BL20/$O20*10,0)," ")</f>
        <v>2.1903032905225985</v>
      </c>
      <c r="DQ20" s="94">
        <f>IF($P20&lt;&gt;0,IF($P20&lt;&gt;0,BM20/$P20*10,0)," ")</f>
        <v>3.0943682043463467</v>
      </c>
      <c r="DR20" s="101">
        <f t="shared" si="18"/>
        <v>0</v>
      </c>
      <c r="DS20" s="147"/>
      <c r="DT20" s="103">
        <v>15</v>
      </c>
      <c r="DU20" s="76">
        <v>605083</v>
      </c>
      <c r="DV20" s="76">
        <v>22701</v>
      </c>
      <c r="DW20" s="76">
        <v>5088678</v>
      </c>
      <c r="DX20" s="298">
        <v>98452</v>
      </c>
      <c r="DY20" s="76">
        <v>79957</v>
      </c>
      <c r="DZ20" s="76">
        <v>359401</v>
      </c>
      <c r="EA20" s="76">
        <v>207252</v>
      </c>
      <c r="EB20" s="77">
        <v>47125</v>
      </c>
      <c r="EC20" s="76">
        <v>364106</v>
      </c>
      <c r="ED20" s="76">
        <v>43692</v>
      </c>
      <c r="EE20" s="77">
        <v>35793</v>
      </c>
      <c r="EF20" s="77">
        <v>37355</v>
      </c>
      <c r="EG20" s="76">
        <v>88525</v>
      </c>
      <c r="EH20" s="76">
        <v>174439</v>
      </c>
      <c r="EI20" s="76">
        <v>28299</v>
      </c>
      <c r="EJ20" s="77">
        <v>36683</v>
      </c>
      <c r="EK20" s="77"/>
      <c r="EL20" s="76">
        <v>675101</v>
      </c>
      <c r="EM20" s="77">
        <v>5062</v>
      </c>
      <c r="EN20" s="77">
        <v>38899</v>
      </c>
      <c r="EO20" s="76">
        <v>2823663</v>
      </c>
      <c r="EP20" s="77">
        <v>2560668</v>
      </c>
      <c r="EQ20" s="77">
        <v>0</v>
      </c>
      <c r="ER20" s="77">
        <v>1826</v>
      </c>
      <c r="ES20" s="77">
        <v>265696</v>
      </c>
      <c r="ET20" s="77">
        <v>9752588</v>
      </c>
      <c r="EU20" s="77">
        <v>367363</v>
      </c>
      <c r="EV20" s="77">
        <v>106845</v>
      </c>
      <c r="EW20" s="77">
        <v>62143</v>
      </c>
      <c r="EX20" s="77">
        <v>194772</v>
      </c>
      <c r="EY20" s="77">
        <v>1550209</v>
      </c>
      <c r="EZ20" s="77">
        <v>689777</v>
      </c>
      <c r="FA20" s="151">
        <v>715544</v>
      </c>
      <c r="FB20" s="77">
        <v>29409</v>
      </c>
      <c r="FC20" s="77">
        <v>5472</v>
      </c>
      <c r="FD20" s="104">
        <f t="shared" ref="FD20:FD32" si="75">SUM(FE20:FM20)</f>
        <v>5716</v>
      </c>
      <c r="FE20" s="105">
        <f t="shared" si="20"/>
        <v>0</v>
      </c>
      <c r="FF20" s="105">
        <f t="shared" si="20"/>
        <v>503</v>
      </c>
      <c r="FG20" s="105">
        <f t="shared" si="20"/>
        <v>1971</v>
      </c>
      <c r="FH20" s="105">
        <f t="shared" si="20"/>
        <v>1054</v>
      </c>
      <c r="FI20" s="105">
        <f t="shared" si="20"/>
        <v>346</v>
      </c>
      <c r="FJ20" s="105">
        <f t="shared" si="20"/>
        <v>0</v>
      </c>
      <c r="FK20" s="105">
        <f t="shared" si="20"/>
        <v>0</v>
      </c>
      <c r="FL20" s="105">
        <f t="shared" si="20"/>
        <v>1492</v>
      </c>
      <c r="FM20" s="105">
        <f t="shared" si="20"/>
        <v>350</v>
      </c>
      <c r="FN20" s="80">
        <v>0</v>
      </c>
      <c r="FO20" s="77">
        <v>51587</v>
      </c>
      <c r="FP20" s="132">
        <f>963767-963115</f>
        <v>652</v>
      </c>
      <c r="FY20" s="119">
        <v>15</v>
      </c>
      <c r="FZ20" s="107"/>
      <c r="GA20" s="107"/>
      <c r="GB20" s="107"/>
      <c r="GC20" s="109"/>
      <c r="GD20" s="110"/>
      <c r="GE20" s="110"/>
      <c r="GF20" s="111"/>
      <c r="GG20" s="111"/>
      <c r="GH20" s="111"/>
      <c r="GI20" s="112"/>
      <c r="GJ20" s="111" t="e">
        <f t="shared" si="65"/>
        <v>#DIV/0!</v>
      </c>
      <c r="GK20" s="113"/>
    </row>
    <row r="21" spans="1:193" s="119" customFormat="1" ht="15" customHeight="1">
      <c r="B21" s="573">
        <v>42782</v>
      </c>
      <c r="D21" s="317">
        <v>5769.96</v>
      </c>
      <c r="E21" s="128">
        <v>0</v>
      </c>
      <c r="F21" s="86">
        <v>2516.2559999999999</v>
      </c>
      <c r="G21" s="86">
        <v>2599.1329999999998</v>
      </c>
      <c r="H21" s="86">
        <v>6853.4870000000001</v>
      </c>
      <c r="I21" s="86">
        <v>2279.125</v>
      </c>
      <c r="J21" s="86">
        <v>4536.7800000000007</v>
      </c>
      <c r="K21" s="284"/>
      <c r="L21" s="294"/>
      <c r="M21" s="115">
        <f t="shared" si="21"/>
        <v>6815.9050000000007</v>
      </c>
      <c r="N21" s="88">
        <f t="shared" si="0"/>
        <v>17738.835999999999</v>
      </c>
      <c r="O21" s="88">
        <f t="shared" si="22"/>
        <v>21146.788499999999</v>
      </c>
      <c r="P21" s="89">
        <f t="shared" si="23"/>
        <v>336380.76700000005</v>
      </c>
      <c r="R21" s="90">
        <f t="shared" si="24"/>
        <v>247</v>
      </c>
      <c r="S21" s="90">
        <f t="shared" si="25"/>
        <v>94.1</v>
      </c>
      <c r="T21" s="90">
        <f t="shared" si="1"/>
        <v>589.9</v>
      </c>
      <c r="U21" s="90"/>
      <c r="V21" s="90">
        <f t="shared" si="26"/>
        <v>1512</v>
      </c>
      <c r="W21" s="91">
        <f t="shared" si="2"/>
        <v>194</v>
      </c>
      <c r="X21" s="90">
        <f t="shared" si="27"/>
        <v>1512</v>
      </c>
      <c r="Y21" s="90" t="str">
        <f t="shared" si="28"/>
        <v>0</v>
      </c>
      <c r="Z21" s="90">
        <f t="shared" si="3"/>
        <v>146.30000000000001</v>
      </c>
      <c r="AA21" s="90">
        <f t="shared" si="29"/>
        <v>2443</v>
      </c>
      <c r="AB21" s="90">
        <f t="shared" si="30"/>
        <v>248</v>
      </c>
      <c r="AC21" s="90">
        <f t="shared" si="30"/>
        <v>18</v>
      </c>
      <c r="AD21" s="90">
        <f t="shared" si="31"/>
        <v>444</v>
      </c>
      <c r="AE21" s="90">
        <f t="shared" si="32"/>
        <v>178</v>
      </c>
      <c r="AF21" s="90">
        <f t="shared" si="33"/>
        <v>0</v>
      </c>
      <c r="AG21" s="90">
        <f t="shared" si="33"/>
        <v>0</v>
      </c>
      <c r="AH21" s="90">
        <f t="shared" si="34"/>
        <v>43</v>
      </c>
      <c r="AI21" s="90">
        <f t="shared" si="35"/>
        <v>43</v>
      </c>
      <c r="AJ21" s="90">
        <f t="shared" si="36"/>
        <v>211</v>
      </c>
      <c r="AK21" s="90">
        <f>IF(EB21=0,"",(EB21-EB20))</f>
        <v>17</v>
      </c>
      <c r="AL21" s="90">
        <f t="shared" si="37"/>
        <v>293</v>
      </c>
      <c r="AM21" s="90">
        <f t="shared" si="38"/>
        <v>65</v>
      </c>
      <c r="AN21" s="90">
        <f t="shared" si="39"/>
        <v>25</v>
      </c>
      <c r="AO21" s="90">
        <f t="shared" si="4"/>
        <v>31</v>
      </c>
      <c r="AP21" s="90">
        <f t="shared" si="40"/>
        <v>18</v>
      </c>
      <c r="AQ21" s="90">
        <f t="shared" si="5"/>
        <v>52</v>
      </c>
      <c r="AR21" s="90">
        <f t="shared" si="41"/>
        <v>94.052000000000007</v>
      </c>
      <c r="AS21" s="90">
        <f t="shared" si="42"/>
        <v>204.05200000000002</v>
      </c>
      <c r="AT21" s="90">
        <f t="shared" si="43"/>
        <v>888.05200000000002</v>
      </c>
      <c r="AU21" s="90">
        <f t="shared" si="44"/>
        <v>294</v>
      </c>
      <c r="AV21" s="90">
        <f t="shared" si="66"/>
        <v>36</v>
      </c>
      <c r="AW21" s="90">
        <f t="shared" si="45"/>
        <v>390</v>
      </c>
      <c r="AX21" s="90">
        <f t="shared" si="67"/>
        <v>16</v>
      </c>
      <c r="AY21" s="90" t="str">
        <f t="shared" si="46"/>
        <v/>
      </c>
      <c r="AZ21" s="90">
        <f t="shared" si="47"/>
        <v>376</v>
      </c>
      <c r="BA21" s="90">
        <v>53</v>
      </c>
      <c r="BB21" s="90">
        <f t="shared" si="48"/>
        <v>123</v>
      </c>
      <c r="BC21" s="90">
        <f t="shared" si="48"/>
        <v>928</v>
      </c>
      <c r="BD21" s="91">
        <f t="shared" si="49"/>
        <v>0</v>
      </c>
      <c r="BE21" s="90"/>
      <c r="BF21" s="90"/>
      <c r="BG21" s="90">
        <f t="shared" si="6"/>
        <v>1427</v>
      </c>
      <c r="BH21" s="90">
        <f t="shared" si="50"/>
        <v>833</v>
      </c>
      <c r="BI21" s="90">
        <f t="shared" si="51"/>
        <v>1329.9480000000003</v>
      </c>
      <c r="BJ21" s="90">
        <f t="shared" si="7"/>
        <v>4989.0519999999997</v>
      </c>
      <c r="BK21" s="92"/>
      <c r="BL21" s="93">
        <f t="shared" si="52"/>
        <v>7152</v>
      </c>
      <c r="BM21" s="93">
        <f t="shared" si="53"/>
        <v>104697</v>
      </c>
      <c r="BN21" s="92"/>
      <c r="BO21" s="94">
        <f t="shared" si="54"/>
        <v>0.13924250723102691</v>
      </c>
      <c r="BP21" s="94">
        <f t="shared" si="54"/>
        <v>5.3047449111091612E-2</v>
      </c>
      <c r="BQ21" s="94">
        <f t="shared" si="55"/>
        <v>0.33254718629790592</v>
      </c>
      <c r="BR21" s="94">
        <f t="shared" si="68"/>
        <v>0.8523670887988366</v>
      </c>
      <c r="BS21" s="94">
        <f t="shared" si="8"/>
        <v>0</v>
      </c>
      <c r="BT21" s="94">
        <f t="shared" si="8"/>
        <v>8.2474408129146692E-2</v>
      </c>
      <c r="BU21" s="95">
        <f t="shared" si="8"/>
        <v>1.3772042314388611</v>
      </c>
      <c r="BV21" s="94">
        <f t="shared" si="9"/>
        <v>0.11680260574791297</v>
      </c>
      <c r="BW21" s="94">
        <f t="shared" si="9"/>
        <v>4.4498482594650245E-2</v>
      </c>
      <c r="BX21" s="94">
        <f t="shared" si="9"/>
        <v>0.27895488716880107</v>
      </c>
      <c r="BY21" s="94">
        <f t="shared" si="56"/>
        <v>0.71500218579289243</v>
      </c>
      <c r="BZ21" s="95">
        <f t="shared" si="10"/>
        <v>1.1552581613042567</v>
      </c>
      <c r="CA21" s="96" t="e">
        <f>#REF!</f>
        <v>#REF!</v>
      </c>
      <c r="CB21" s="94">
        <f t="shared" si="11"/>
        <v>4.4475784112561589E-2</v>
      </c>
      <c r="CC21" s="95">
        <f t="shared" si="11"/>
        <v>9.6493138899081551E-2</v>
      </c>
      <c r="CD21" s="97">
        <f t="shared" si="12"/>
        <v>0.1379890124642289</v>
      </c>
      <c r="CE21" s="98">
        <f t="shared" si="12"/>
        <v>0.299376238371867</v>
      </c>
      <c r="CF21" s="94">
        <f t="shared" si="57"/>
        <v>0.42981233838709454</v>
      </c>
      <c r="CG21" s="94">
        <f t="shared" si="57"/>
        <v>3.1196056818418152E-2</v>
      </c>
      <c r="CH21" s="95">
        <f t="shared" si="58"/>
        <v>0.76950273485431442</v>
      </c>
      <c r="CI21" s="96" t="e">
        <f>#REF!</f>
        <v>#REF!</v>
      </c>
      <c r="CJ21" s="94" t="str">
        <f t="shared" si="59"/>
        <v>0,00</v>
      </c>
      <c r="CK21" s="94" t="str">
        <f t="shared" si="59"/>
        <v>0,00</v>
      </c>
      <c r="CL21" s="95" t="str">
        <f t="shared" si="69"/>
        <v xml:space="preserve">0,00 </v>
      </c>
      <c r="CM21" s="95" t="e">
        <f>#REF!</f>
        <v>#REF!</v>
      </c>
      <c r="CN21" s="94">
        <f t="shared" si="60"/>
        <v>0.83854742919639347</v>
      </c>
      <c r="CO21" s="94">
        <f t="shared" si="60"/>
        <v>6.7560693347576722E-2</v>
      </c>
      <c r="CP21" s="95">
        <f t="shared" si="61"/>
        <v>1.1644284206376458</v>
      </c>
      <c r="CQ21" s="95" t="e">
        <f>#REF!</f>
        <v>#REF!</v>
      </c>
      <c r="CR21" s="97">
        <f t="shared" si="70"/>
        <v>9.6185920458860708E-2</v>
      </c>
      <c r="CS21" s="95">
        <f t="shared" si="70"/>
        <v>0.11927054136898728</v>
      </c>
      <c r="CT21" s="96" t="e">
        <f>#REF!</f>
        <v>#REF!</v>
      </c>
      <c r="CU21" s="97">
        <f t="shared" si="71"/>
        <v>2.6264002543522735E-2</v>
      </c>
      <c r="CV21" s="95">
        <f t="shared" si="62"/>
        <v>7.587378512573234E-2</v>
      </c>
      <c r="CW21" s="96" t="e">
        <f>#REF!</f>
        <v>#REF!</v>
      </c>
      <c r="CX21" s="99">
        <f t="shared" si="63"/>
        <v>0.13902820279306241</v>
      </c>
      <c r="CY21" s="95">
        <f t="shared" si="63"/>
        <v>1.702386156649744E-2</v>
      </c>
      <c r="CZ21" s="99">
        <f t="shared" si="63"/>
        <v>0.18442516697038891</v>
      </c>
      <c r="DA21" s="95">
        <f t="shared" si="63"/>
        <v>7.566160696221084E-3</v>
      </c>
      <c r="DB21" s="94">
        <f t="shared" si="13"/>
        <v>0.17780477636119546</v>
      </c>
      <c r="DC21" s="94">
        <f t="shared" si="14"/>
        <v>5.8164860352199581E-2</v>
      </c>
      <c r="DD21" s="94">
        <f t="shared" si="14"/>
        <v>0.4388373203808229</v>
      </c>
      <c r="DE21" s="94">
        <f t="shared" si="14"/>
        <v>0</v>
      </c>
      <c r="DF21" s="94">
        <f t="shared" si="14"/>
        <v>0</v>
      </c>
      <c r="DG21" s="94">
        <f t="shared" si="14"/>
        <v>0</v>
      </c>
      <c r="DH21" s="95">
        <f t="shared" si="14"/>
        <v>0.6748069570942179</v>
      </c>
      <c r="DI21" s="96" t="e">
        <f>#REF!</f>
        <v>#REF!</v>
      </c>
      <c r="DJ21" s="95">
        <f t="shared" si="64"/>
        <v>0.39391324124701022</v>
      </c>
      <c r="DK21" s="96" t="e">
        <f>#REF!</f>
        <v>#REF!</v>
      </c>
      <c r="DL21" s="95">
        <f t="shared" si="15"/>
        <v>0.62891251785111502</v>
      </c>
      <c r="DM21" s="96">
        <f t="shared" si="16"/>
        <v>0</v>
      </c>
      <c r="DN21" s="94">
        <f t="shared" si="17"/>
        <v>2.3592480721126994</v>
      </c>
      <c r="DO21" s="100">
        <v>3.4</v>
      </c>
      <c r="DP21" s="94">
        <f t="shared" si="72"/>
        <v>3.3820738312108247</v>
      </c>
      <c r="DQ21" s="94">
        <f t="shared" si="73"/>
        <v>3.1124549995452022</v>
      </c>
      <c r="DR21" s="101">
        <f t="shared" si="18"/>
        <v>0</v>
      </c>
      <c r="DS21" s="147"/>
      <c r="DT21" s="103">
        <v>16</v>
      </c>
      <c r="DU21" s="76">
        <v>605331</v>
      </c>
      <c r="DV21" s="76">
        <v>22719</v>
      </c>
      <c r="DW21" s="300">
        <v>5089122</v>
      </c>
      <c r="DX21" s="298">
        <v>98452</v>
      </c>
      <c r="DY21" s="76">
        <v>79957</v>
      </c>
      <c r="DZ21" s="300">
        <v>359444</v>
      </c>
      <c r="EA21" s="174">
        <v>207463</v>
      </c>
      <c r="EB21" s="174">
        <v>47142</v>
      </c>
      <c r="EC21" s="300">
        <v>364399</v>
      </c>
      <c r="ED21" s="300">
        <v>43717</v>
      </c>
      <c r="EE21" s="77">
        <v>35802</v>
      </c>
      <c r="EF21" s="77">
        <v>37377</v>
      </c>
      <c r="EG21" s="300">
        <v>88543</v>
      </c>
      <c r="EH21" s="300">
        <v>174491</v>
      </c>
      <c r="EI21" s="300">
        <v>28335</v>
      </c>
      <c r="EJ21" s="77">
        <v>36699</v>
      </c>
      <c r="EK21" s="77"/>
      <c r="EL21" s="300">
        <v>675348</v>
      </c>
      <c r="EM21" s="174">
        <v>5899</v>
      </c>
      <c r="EN21" s="174">
        <v>38953</v>
      </c>
      <c r="EO21" s="300">
        <v>2825175</v>
      </c>
      <c r="EP21" s="77">
        <v>2562608</v>
      </c>
      <c r="EQ21" s="77">
        <v>0</v>
      </c>
      <c r="ER21" s="77">
        <v>1463</v>
      </c>
      <c r="ES21" s="77">
        <v>266490</v>
      </c>
      <c r="ET21" s="77">
        <v>9846640</v>
      </c>
      <c r="EU21" s="77">
        <v>367753</v>
      </c>
      <c r="EV21" s="77">
        <v>107139</v>
      </c>
      <c r="EW21" s="77">
        <v>62519</v>
      </c>
      <c r="EX21" s="77">
        <v>194895</v>
      </c>
      <c r="EY21" s="77">
        <v>1551137</v>
      </c>
      <c r="EZ21" s="77">
        <v>690718</v>
      </c>
      <c r="FA21" s="151">
        <v>715544</v>
      </c>
      <c r="FB21" s="77">
        <v>29466</v>
      </c>
      <c r="FC21" s="77">
        <v>6319</v>
      </c>
      <c r="FD21" s="104">
        <f t="shared" si="75"/>
        <v>6555</v>
      </c>
      <c r="FE21" s="105">
        <f t="shared" si="20"/>
        <v>0</v>
      </c>
      <c r="FF21" s="105">
        <f t="shared" si="20"/>
        <v>515</v>
      </c>
      <c r="FG21" s="105">
        <f t="shared" si="20"/>
        <v>1359</v>
      </c>
      <c r="FH21" s="105">
        <f t="shared" si="20"/>
        <v>1839</v>
      </c>
      <c r="FI21" s="105">
        <f t="shared" si="20"/>
        <v>596</v>
      </c>
      <c r="FJ21" s="105">
        <f t="shared" si="20"/>
        <v>0</v>
      </c>
      <c r="FK21" s="105">
        <f t="shared" si="20"/>
        <v>645</v>
      </c>
      <c r="FL21" s="105">
        <f t="shared" si="20"/>
        <v>1601</v>
      </c>
      <c r="FM21" s="105">
        <f t="shared" si="20"/>
        <v>0</v>
      </c>
      <c r="FN21" s="80">
        <f t="shared" si="74"/>
        <v>597</v>
      </c>
      <c r="FO21" s="174">
        <f>FO20+597</f>
        <v>52184</v>
      </c>
      <c r="FP21" s="132" t="s">
        <v>162</v>
      </c>
      <c r="FY21" s="119">
        <v>16</v>
      </c>
      <c r="FZ21" s="107"/>
      <c r="GA21" s="163"/>
      <c r="GB21" s="107"/>
      <c r="GC21" s="109"/>
      <c r="GD21" s="110"/>
      <c r="GE21" s="110"/>
      <c r="GF21" s="111"/>
      <c r="GG21" s="111"/>
      <c r="GH21" s="111"/>
      <c r="GI21" s="164"/>
      <c r="GJ21" s="111" t="e">
        <f t="shared" si="65"/>
        <v>#DIV/0!</v>
      </c>
      <c r="GK21" s="113"/>
    </row>
    <row r="22" spans="1:193" ht="15" customHeight="1">
      <c r="B22" s="573">
        <v>42783</v>
      </c>
      <c r="D22" s="317">
        <v>6212.5199999999995</v>
      </c>
      <c r="E22" s="128">
        <v>0</v>
      </c>
      <c r="F22" s="86">
        <v>2754.0720000000001</v>
      </c>
      <c r="G22" s="86">
        <v>4007.4889999999996</v>
      </c>
      <c r="H22" s="86">
        <v>8443.277</v>
      </c>
      <c r="I22" s="86">
        <v>1846.837</v>
      </c>
      <c r="J22" s="86">
        <v>3020.1</v>
      </c>
      <c r="K22" s="284"/>
      <c r="L22" s="284"/>
      <c r="M22" s="115">
        <f t="shared" si="21"/>
        <v>4866.9369999999999</v>
      </c>
      <c r="N22" s="88">
        <f t="shared" si="0"/>
        <v>21417.358</v>
      </c>
      <c r="O22" s="88">
        <f t="shared" si="22"/>
        <v>23850.826499999999</v>
      </c>
      <c r="P22" s="89">
        <f t="shared" si="23"/>
        <v>360231.59350000008</v>
      </c>
      <c r="Q22" s="168"/>
      <c r="R22" s="90">
        <f t="shared" si="24"/>
        <v>261</v>
      </c>
      <c r="S22" s="90">
        <f t="shared" si="25"/>
        <v>47.7</v>
      </c>
      <c r="T22" s="90">
        <f t="shared" si="1"/>
        <v>655.29999999999995</v>
      </c>
      <c r="U22" s="90"/>
      <c r="V22" s="90">
        <f t="shared" si="26"/>
        <v>1407</v>
      </c>
      <c r="W22" s="91">
        <f t="shared" si="2"/>
        <v>863.6</v>
      </c>
      <c r="X22" s="90">
        <f t="shared" si="27"/>
        <v>1407</v>
      </c>
      <c r="Y22" s="90" t="str">
        <f t="shared" si="28"/>
        <v>0</v>
      </c>
      <c r="Z22" s="90">
        <f t="shared" si="3"/>
        <v>161.19999999999999</v>
      </c>
      <c r="AA22" s="90">
        <f t="shared" si="29"/>
        <v>2371</v>
      </c>
      <c r="AB22" s="90">
        <f t="shared" si="30"/>
        <v>267</v>
      </c>
      <c r="AC22" s="90">
        <f t="shared" si="30"/>
        <v>33</v>
      </c>
      <c r="AD22" s="90">
        <f t="shared" si="31"/>
        <v>527</v>
      </c>
      <c r="AE22" s="90">
        <f t="shared" si="32"/>
        <v>227</v>
      </c>
      <c r="AF22" s="90">
        <f t="shared" si="33"/>
        <v>0</v>
      </c>
      <c r="AG22" s="90">
        <f t="shared" si="33"/>
        <v>45</v>
      </c>
      <c r="AH22" s="90">
        <f t="shared" si="34"/>
        <v>275</v>
      </c>
      <c r="AI22" s="90">
        <f t="shared" si="35"/>
        <v>230</v>
      </c>
      <c r="AJ22" s="90">
        <f t="shared" si="36"/>
        <v>194</v>
      </c>
      <c r="AK22" s="90">
        <f t="shared" si="36"/>
        <v>13</v>
      </c>
      <c r="AL22" s="90">
        <f t="shared" si="37"/>
        <v>271</v>
      </c>
      <c r="AM22" s="90">
        <f t="shared" si="38"/>
        <v>64</v>
      </c>
      <c r="AN22" s="90">
        <f t="shared" si="39"/>
        <v>15</v>
      </c>
      <c r="AO22" s="90">
        <f t="shared" si="4"/>
        <v>37</v>
      </c>
      <c r="AP22" s="90">
        <f t="shared" si="40"/>
        <v>7</v>
      </c>
      <c r="AQ22" s="90">
        <f t="shared" si="5"/>
        <v>33</v>
      </c>
      <c r="AR22" s="90">
        <f t="shared" si="41"/>
        <v>62.985999999999997</v>
      </c>
      <c r="AS22" s="90">
        <f t="shared" si="42"/>
        <v>115.98599999999999</v>
      </c>
      <c r="AT22" s="90">
        <f t="shared" si="43"/>
        <v>776.98599999999999</v>
      </c>
      <c r="AU22" s="90">
        <f t="shared" si="44"/>
        <v>251</v>
      </c>
      <c r="AV22" s="90">
        <f t="shared" si="66"/>
        <v>21</v>
      </c>
      <c r="AW22" s="90">
        <f t="shared" si="45"/>
        <v>410</v>
      </c>
      <c r="AX22" s="90">
        <f t="shared" si="67"/>
        <v>19</v>
      </c>
      <c r="AY22" s="90" t="str">
        <f t="shared" si="46"/>
        <v/>
      </c>
      <c r="AZ22" s="90">
        <f t="shared" si="47"/>
        <v>412</v>
      </c>
      <c r="BA22" s="90">
        <v>57</v>
      </c>
      <c r="BB22" s="90">
        <f t="shared" si="48"/>
        <v>116</v>
      </c>
      <c r="BC22" s="90">
        <f t="shared" si="48"/>
        <v>1072</v>
      </c>
      <c r="BD22" s="91">
        <f t="shared" si="49"/>
        <v>251</v>
      </c>
      <c r="BE22" s="90"/>
      <c r="BF22" s="90"/>
      <c r="BG22" s="90">
        <f t="shared" si="6"/>
        <v>1851</v>
      </c>
      <c r="BH22" s="90">
        <f t="shared" si="50"/>
        <v>-560</v>
      </c>
      <c r="BI22" s="90">
        <f t="shared" si="51"/>
        <v>1846.0140000000001</v>
      </c>
      <c r="BJ22" s="90">
        <f t="shared" si="7"/>
        <v>5520.9859999999999</v>
      </c>
      <c r="BK22" s="92"/>
      <c r="BL22" s="93">
        <f t="shared" si="52"/>
        <v>6807</v>
      </c>
      <c r="BM22" s="93">
        <f t="shared" si="53"/>
        <v>111504</v>
      </c>
      <c r="BN22" s="92"/>
      <c r="BO22" s="94">
        <f t="shared" si="54"/>
        <v>0.1218637704986768</v>
      </c>
      <c r="BP22" s="94">
        <f t="shared" si="54"/>
        <v>2.2271654608378866E-2</v>
      </c>
      <c r="BQ22" s="94">
        <f t="shared" si="55"/>
        <v>0.30596677704131386</v>
      </c>
      <c r="BR22" s="94">
        <f t="shared" si="68"/>
        <v>0.65694377429746476</v>
      </c>
      <c r="BS22" s="94">
        <f t="shared" ref="BS22:BU33" si="76">IF($N22&lt;&gt;0,IF($N22&lt;&gt;0,Y22/$N22*10,0)," ")</f>
        <v>0</v>
      </c>
      <c r="BT22" s="94">
        <f t="shared" si="76"/>
        <v>7.5266052890370513E-2</v>
      </c>
      <c r="BU22" s="95">
        <f t="shared" si="76"/>
        <v>1.1070459764458342</v>
      </c>
      <c r="BV22" s="94">
        <f t="shared" si="9"/>
        <v>0.10943017006140228</v>
      </c>
      <c r="BW22" s="94">
        <f t="shared" si="9"/>
        <v>1.9999306942256281E-2</v>
      </c>
      <c r="BX22" s="94">
        <f t="shared" si="9"/>
        <v>0.27474938866374293</v>
      </c>
      <c r="BY22" s="94">
        <f t="shared" si="56"/>
        <v>0.58991666389422615</v>
      </c>
      <c r="BZ22" s="95">
        <f t="shared" si="10"/>
        <v>0.99409552956162761</v>
      </c>
      <c r="CA22" s="96" t="e">
        <f>#REF!</f>
        <v>#REF!</v>
      </c>
      <c r="CB22" s="94">
        <f t="shared" si="11"/>
        <v>2.6408309162787295E-2</v>
      </c>
      <c r="CC22" s="95">
        <f t="shared" si="11"/>
        <v>4.8629761320849826E-2</v>
      </c>
      <c r="CD22" s="97">
        <f t="shared" si="12"/>
        <v>0.12941609887286398</v>
      </c>
      <c r="CE22" s="98">
        <f t="shared" si="12"/>
        <v>0.238314159398406</v>
      </c>
      <c r="CF22" s="94">
        <f t="shared" si="57"/>
        <v>0.42977728844333707</v>
      </c>
      <c r="CG22" s="94">
        <f t="shared" si="57"/>
        <v>5.3118541268277614E-2</v>
      </c>
      <c r="CH22" s="95">
        <f t="shared" si="58"/>
        <v>0.84828700752673636</v>
      </c>
      <c r="CI22" s="96" t="e">
        <f>#REF!</f>
        <v>#REF!</v>
      </c>
      <c r="CJ22" s="94" t="str">
        <f t="shared" si="59"/>
        <v>0,00</v>
      </c>
      <c r="CK22" s="94" t="str">
        <f t="shared" si="59"/>
        <v>0,00</v>
      </c>
      <c r="CL22" s="95" t="str">
        <f t="shared" si="69"/>
        <v xml:space="preserve">0,00 </v>
      </c>
      <c r="CM22" s="95" t="e">
        <f>#REF!</f>
        <v>#REF!</v>
      </c>
      <c r="CN22" s="94">
        <f t="shared" si="60"/>
        <v>0.70441150412915854</v>
      </c>
      <c r="CO22" s="94">
        <f t="shared" si="60"/>
        <v>4.7202832750922991E-2</v>
      </c>
      <c r="CP22" s="95">
        <f t="shared" si="61"/>
        <v>0.98399751350001008</v>
      </c>
      <c r="CQ22" s="95" t="e">
        <f>#REF!</f>
        <v>#REF!</v>
      </c>
      <c r="CR22" s="97">
        <f t="shared" si="70"/>
        <v>3.7429921828855926E-2</v>
      </c>
      <c r="CS22" s="95">
        <f t="shared" si="70"/>
        <v>9.2327140511177949E-2</v>
      </c>
      <c r="CT22" s="96" t="e">
        <f>#REF!</f>
        <v>#REF!</v>
      </c>
      <c r="CU22" s="97">
        <f t="shared" si="71"/>
        <v>8.2906198624065047E-3</v>
      </c>
      <c r="CV22" s="95">
        <f t="shared" si="62"/>
        <v>3.9084350779916371E-2</v>
      </c>
      <c r="CW22" s="96" t="e">
        <f>#REF!</f>
        <v>#REF!</v>
      </c>
      <c r="CX22" s="99">
        <f t="shared" si="63"/>
        <v>0.10523744323912633</v>
      </c>
      <c r="CY22" s="95">
        <f t="shared" si="63"/>
        <v>8.8047263267794947E-3</v>
      </c>
      <c r="CZ22" s="99">
        <f t="shared" si="63"/>
        <v>0.17190179971331393</v>
      </c>
      <c r="DA22" s="95">
        <f t="shared" si="63"/>
        <v>7.9661809623243034E-3</v>
      </c>
      <c r="DB22" s="94">
        <f t="shared" si="13"/>
        <v>0.17274034507776911</v>
      </c>
      <c r="DC22" s="94">
        <f t="shared" si="14"/>
        <v>4.8635631138401011E-2</v>
      </c>
      <c r="DD22" s="94">
        <f t="shared" si="14"/>
        <v>0.44946031534798175</v>
      </c>
      <c r="DE22" s="94">
        <f t="shared" si="14"/>
        <v>0.10523744323912633</v>
      </c>
      <c r="DF22" s="94">
        <f t="shared" si="14"/>
        <v>0</v>
      </c>
      <c r="DG22" s="94">
        <f t="shared" si="14"/>
        <v>0</v>
      </c>
      <c r="DH22" s="95">
        <f t="shared" si="14"/>
        <v>0.77607373480327824</v>
      </c>
      <c r="DI22" s="96" t="e">
        <f>#REF!</f>
        <v>#REF!</v>
      </c>
      <c r="DJ22" s="95">
        <f t="shared" si="64"/>
        <v>-0.23479270204745317</v>
      </c>
      <c r="DK22" s="96" t="e">
        <f>#REF!</f>
        <v>#REF!</v>
      </c>
      <c r="DL22" s="95">
        <f t="shared" si="15"/>
        <v>0.77398324120969153</v>
      </c>
      <c r="DM22" s="96">
        <f t="shared" si="16"/>
        <v>0</v>
      </c>
      <c r="DN22" s="94">
        <f t="shared" si="17"/>
        <v>2.3147986087610004</v>
      </c>
      <c r="DO22" s="100">
        <v>3.4</v>
      </c>
      <c r="DP22" s="94">
        <f t="shared" si="72"/>
        <v>2.8539891479232389</v>
      </c>
      <c r="DQ22" s="94">
        <f t="shared" si="73"/>
        <v>3.0953420525010107</v>
      </c>
      <c r="DR22" s="101">
        <f t="shared" si="18"/>
        <v>0</v>
      </c>
      <c r="DS22" s="116"/>
      <c r="DT22" s="103">
        <v>17</v>
      </c>
      <c r="DU22" s="76">
        <v>605598</v>
      </c>
      <c r="DV22" s="76">
        <v>22752</v>
      </c>
      <c r="DW22" s="300">
        <v>5089649</v>
      </c>
      <c r="DX22" s="298">
        <v>98452</v>
      </c>
      <c r="DY22" s="300">
        <v>80002</v>
      </c>
      <c r="DZ22" s="300">
        <v>359719</v>
      </c>
      <c r="EA22" s="174">
        <v>207657</v>
      </c>
      <c r="EB22" s="174">
        <v>47155</v>
      </c>
      <c r="EC22" s="300">
        <v>364670</v>
      </c>
      <c r="ED22" s="300">
        <v>43732</v>
      </c>
      <c r="EE22" s="174">
        <v>35825</v>
      </c>
      <c r="EF22" s="77">
        <v>37391</v>
      </c>
      <c r="EG22" s="300">
        <v>88550</v>
      </c>
      <c r="EH22" s="300">
        <v>174524</v>
      </c>
      <c r="EI22" s="300">
        <v>28356</v>
      </c>
      <c r="EJ22" s="77">
        <v>36718</v>
      </c>
      <c r="EK22" s="77"/>
      <c r="EL22" s="300">
        <v>675609</v>
      </c>
      <c r="EM22" s="174">
        <v>6553</v>
      </c>
      <c r="EN22" s="174">
        <v>39008</v>
      </c>
      <c r="EO22" s="300">
        <v>2826582</v>
      </c>
      <c r="EP22" s="77">
        <v>2571244</v>
      </c>
      <c r="EQ22" s="77">
        <v>0</v>
      </c>
      <c r="ER22" s="77">
        <v>1612</v>
      </c>
      <c r="ES22" s="77">
        <v>267204</v>
      </c>
      <c r="ET22" s="77">
        <v>9909626</v>
      </c>
      <c r="EU22" s="77">
        <v>368163</v>
      </c>
      <c r="EV22" s="77">
        <v>107390</v>
      </c>
      <c r="EW22" s="77">
        <v>62931</v>
      </c>
      <c r="EX22" s="77">
        <v>195011</v>
      </c>
      <c r="EY22" s="77">
        <v>1552209</v>
      </c>
      <c r="EZ22" s="77">
        <v>691195</v>
      </c>
      <c r="FA22" s="151">
        <v>715795</v>
      </c>
      <c r="FB22" s="77">
        <v>29551</v>
      </c>
      <c r="FC22" s="77">
        <v>7367</v>
      </c>
      <c r="FD22" s="104">
        <f t="shared" si="75"/>
        <v>6807</v>
      </c>
      <c r="FE22" s="105">
        <f t="shared" ref="FE22:FM33" si="77">FE52-FE51</f>
        <v>0</v>
      </c>
      <c r="FF22" s="105">
        <f t="shared" si="77"/>
        <v>566</v>
      </c>
      <c r="FG22" s="105">
        <f t="shared" si="77"/>
        <v>1420</v>
      </c>
      <c r="FH22" s="105">
        <f t="shared" si="77"/>
        <v>1894</v>
      </c>
      <c r="FI22" s="105">
        <f t="shared" si="77"/>
        <v>650</v>
      </c>
      <c r="FJ22" s="105">
        <f t="shared" si="77"/>
        <v>0</v>
      </c>
      <c r="FK22" s="105">
        <f t="shared" si="77"/>
        <v>674</v>
      </c>
      <c r="FL22" s="105">
        <f t="shared" si="77"/>
        <v>1603</v>
      </c>
      <c r="FM22" s="105">
        <f t="shared" si="77"/>
        <v>0</v>
      </c>
      <c r="FN22" s="80">
        <f t="shared" si="74"/>
        <v>0</v>
      </c>
      <c r="FO22" s="174">
        <v>52184</v>
      </c>
      <c r="FP22" s="132">
        <f>964364-963767</f>
        <v>597</v>
      </c>
      <c r="FR22" s="64"/>
      <c r="FS22" s="64"/>
      <c r="FT22" s="64"/>
      <c r="FU22" s="64"/>
      <c r="FV22" s="64"/>
      <c r="FW22" s="64"/>
      <c r="FX22" s="64"/>
      <c r="FY22" s="64">
        <v>17</v>
      </c>
      <c r="FZ22" s="107"/>
      <c r="GA22" s="107"/>
      <c r="GB22" s="107"/>
      <c r="GC22" s="109"/>
      <c r="GD22" s="110"/>
      <c r="GE22" s="110"/>
      <c r="GF22" s="111"/>
      <c r="GG22" s="111"/>
      <c r="GH22" s="111"/>
      <c r="GI22" s="164"/>
      <c r="GJ22" s="111" t="e">
        <f t="shared" si="65"/>
        <v>#DIV/0!</v>
      </c>
      <c r="GK22" s="118"/>
    </row>
    <row r="23" spans="1:193" s="119" customFormat="1" ht="15" customHeight="1">
      <c r="B23" s="573">
        <v>42784</v>
      </c>
      <c r="D23" s="317">
        <v>5101.32</v>
      </c>
      <c r="E23" s="128">
        <v>1671.84</v>
      </c>
      <c r="F23" s="86">
        <v>3100.0320000000002</v>
      </c>
      <c r="G23" s="86">
        <v>4560.9259999999995</v>
      </c>
      <c r="H23" s="86">
        <v>8415.8619999999992</v>
      </c>
      <c r="I23" s="86">
        <v>1386.5349999999999</v>
      </c>
      <c r="J23" s="86">
        <v>5155.8</v>
      </c>
      <c r="K23" s="284"/>
      <c r="L23" s="284"/>
      <c r="M23" s="115">
        <f t="shared" si="21"/>
        <v>6542.335</v>
      </c>
      <c r="N23" s="88">
        <f t="shared" si="0"/>
        <v>22849.979999999996</v>
      </c>
      <c r="O23" s="88">
        <f t="shared" si="22"/>
        <v>26121.147499999995</v>
      </c>
      <c r="P23" s="89">
        <f t="shared" si="23"/>
        <v>386352.7410000001</v>
      </c>
      <c r="R23" s="90">
        <f t="shared" si="24"/>
        <v>237</v>
      </c>
      <c r="S23" s="90">
        <f t="shared" si="25"/>
        <v>62.4</v>
      </c>
      <c r="T23" s="90">
        <f t="shared" si="1"/>
        <v>645.29999999999995</v>
      </c>
      <c r="U23" s="90"/>
      <c r="V23" s="90">
        <f t="shared" si="26"/>
        <v>1478</v>
      </c>
      <c r="W23" s="91">
        <f t="shared" si="2"/>
        <v>714.6</v>
      </c>
      <c r="X23" s="90">
        <f t="shared" si="27"/>
        <v>1478</v>
      </c>
      <c r="Y23" s="90" t="str">
        <f t="shared" si="28"/>
        <v>0</v>
      </c>
      <c r="Z23" s="90">
        <f t="shared" si="3"/>
        <v>156.69999999999999</v>
      </c>
      <c r="AA23" s="90">
        <f t="shared" si="29"/>
        <v>2422.6999999999998</v>
      </c>
      <c r="AB23" s="90">
        <f t="shared" si="30"/>
        <v>0</v>
      </c>
      <c r="AC23" s="90">
        <f t="shared" si="30"/>
        <v>0</v>
      </c>
      <c r="AD23" s="90">
        <f t="shared" si="31"/>
        <v>356</v>
      </c>
      <c r="AE23" s="90">
        <f t="shared" si="32"/>
        <v>356</v>
      </c>
      <c r="AF23" s="90">
        <f t="shared" si="33"/>
        <v>0</v>
      </c>
      <c r="AG23" s="90">
        <f t="shared" si="33"/>
        <v>0</v>
      </c>
      <c r="AH23" s="90">
        <f t="shared" si="34"/>
        <v>136</v>
      </c>
      <c r="AI23" s="90">
        <f t="shared" si="35"/>
        <v>136</v>
      </c>
      <c r="AJ23" s="90">
        <f t="shared" si="36"/>
        <v>232</v>
      </c>
      <c r="AK23" s="90">
        <f t="shared" si="36"/>
        <v>7</v>
      </c>
      <c r="AL23" s="90">
        <f t="shared" si="37"/>
        <v>299</v>
      </c>
      <c r="AM23" s="90">
        <f t="shared" si="38"/>
        <v>60</v>
      </c>
      <c r="AN23" s="90">
        <f t="shared" si="39"/>
        <v>8</v>
      </c>
      <c r="AO23" s="90">
        <f t="shared" si="4"/>
        <v>15</v>
      </c>
      <c r="AP23" s="90">
        <f t="shared" si="40"/>
        <v>11</v>
      </c>
      <c r="AQ23" s="90">
        <f t="shared" si="5"/>
        <v>22</v>
      </c>
      <c r="AR23" s="90">
        <f t="shared" si="41"/>
        <v>86.457999999999998</v>
      </c>
      <c r="AS23" s="90">
        <f t="shared" si="42"/>
        <v>-73.54200000000003</v>
      </c>
      <c r="AT23" s="90">
        <f t="shared" si="43"/>
        <v>496.45799999999997</v>
      </c>
      <c r="AU23" s="90">
        <f t="shared" si="44"/>
        <v>179</v>
      </c>
      <c r="AV23" s="90">
        <f t="shared" si="66"/>
        <v>59</v>
      </c>
      <c r="AW23" s="90">
        <f t="shared" si="45"/>
        <v>391</v>
      </c>
      <c r="AX23" s="90">
        <f t="shared" si="67"/>
        <v>68</v>
      </c>
      <c r="AY23" s="90" t="str">
        <f t="shared" si="46"/>
        <v/>
      </c>
      <c r="AZ23" s="90">
        <f t="shared" si="47"/>
        <v>429</v>
      </c>
      <c r="BA23" s="90">
        <v>57</v>
      </c>
      <c r="BB23" s="90">
        <f t="shared" si="48"/>
        <v>130</v>
      </c>
      <c r="BC23" s="90">
        <f t="shared" si="48"/>
        <v>1070</v>
      </c>
      <c r="BD23" s="91">
        <f t="shared" si="49"/>
        <v>338</v>
      </c>
      <c r="BE23" s="90"/>
      <c r="BF23" s="90"/>
      <c r="BG23" s="90">
        <f t="shared" si="6"/>
        <v>1967</v>
      </c>
      <c r="BH23" s="90">
        <f t="shared" si="50"/>
        <v>850</v>
      </c>
      <c r="BI23" s="90">
        <f t="shared" si="51"/>
        <v>1928.8420000000006</v>
      </c>
      <c r="BJ23" s="90">
        <f t="shared" si="7"/>
        <v>5271.1579999999994</v>
      </c>
      <c r="BK23" s="92"/>
      <c r="BL23" s="93">
        <f t="shared" si="52"/>
        <v>8050</v>
      </c>
      <c r="BM23" s="93">
        <f t="shared" si="53"/>
        <v>119554</v>
      </c>
      <c r="BN23" s="92"/>
      <c r="BO23" s="94">
        <f t="shared" si="54"/>
        <v>0.10372000325602038</v>
      </c>
      <c r="BP23" s="94">
        <f t="shared" si="54"/>
        <v>2.730855781930663E-2</v>
      </c>
      <c r="BQ23" s="94">
        <f t="shared" si="55"/>
        <v>0.28240724937177192</v>
      </c>
      <c r="BR23" s="94">
        <f t="shared" si="68"/>
        <v>0.64682769963037179</v>
      </c>
      <c r="BS23" s="94">
        <f t="shared" si="76"/>
        <v>0</v>
      </c>
      <c r="BT23" s="94">
        <f>IF($N23&lt;&gt;0,IF($N23&lt;&gt;0,Z23/$N23*10,0)," ")</f>
        <v>6.8577740549444682E-2</v>
      </c>
      <c r="BU23" s="95">
        <f t="shared" si="76"/>
        <v>1.0602635100774707</v>
      </c>
      <c r="BV23" s="94">
        <f t="shared" si="9"/>
        <v>9.0731082928114104E-2</v>
      </c>
      <c r="BW23" s="94">
        <f t="shared" si="9"/>
        <v>2.3888690188668019E-2</v>
      </c>
      <c r="BX23" s="94">
        <f t="shared" si="9"/>
        <v>0.24704121440300433</v>
      </c>
      <c r="BY23" s="94">
        <f t="shared" si="56"/>
        <v>0.56582506568672009</v>
      </c>
      <c r="BZ23" s="95">
        <f t="shared" si="10"/>
        <v>0.92748605320650646</v>
      </c>
      <c r="CA23" s="96" t="e">
        <f>#REF!</f>
        <v>#REF!</v>
      </c>
      <c r="CB23" s="94">
        <f t="shared" si="11"/>
        <v>3.309885218480544E-2</v>
      </c>
      <c r="CC23" s="95">
        <f t="shared" si="11"/>
        <v>-2.8154199581010002E-2</v>
      </c>
      <c r="CD23" s="97">
        <f t="shared" si="12"/>
        <v>0.13215159419381611</v>
      </c>
      <c r="CE23" s="98">
        <f t="shared" si="12"/>
        <v>-0.11240940734462547</v>
      </c>
      <c r="CF23" s="94">
        <f t="shared" si="57"/>
        <v>0</v>
      </c>
      <c r="CG23" s="94">
        <f t="shared" si="57"/>
        <v>0</v>
      </c>
      <c r="CH23" s="95">
        <f t="shared" si="58"/>
        <v>0.69785859346208445</v>
      </c>
      <c r="CI23" s="96" t="e">
        <f>#REF!</f>
        <v>#REF!</v>
      </c>
      <c r="CJ23" s="94">
        <f t="shared" si="59"/>
        <v>0</v>
      </c>
      <c r="CK23" s="94">
        <f t="shared" si="59"/>
        <v>0</v>
      </c>
      <c r="CL23" s="95">
        <f t="shared" si="69"/>
        <v>0.81347497368169208</v>
      </c>
      <c r="CM23" s="95" t="e">
        <f>#REF!</f>
        <v>#REF!</v>
      </c>
      <c r="CN23" s="94">
        <f t="shared" si="60"/>
        <v>0.74837937156777734</v>
      </c>
      <c r="CO23" s="94">
        <f t="shared" si="60"/>
        <v>2.2580412073165693E-2</v>
      </c>
      <c r="CP23" s="95">
        <f t="shared" si="61"/>
        <v>0.96450617283950613</v>
      </c>
      <c r="CQ23" s="95" t="e">
        <f>#REF!</f>
        <v>#REF!</v>
      </c>
      <c r="CR23" s="97">
        <f t="shared" si="70"/>
        <v>1.7540297737783952E-2</v>
      </c>
      <c r="CS23" s="95">
        <f t="shared" si="70"/>
        <v>3.2888058258344913E-2</v>
      </c>
      <c r="CT23" s="96" t="e">
        <f>#REF!</f>
        <v>#REF!</v>
      </c>
      <c r="CU23" s="97">
        <f t="shared" si="71"/>
        <v>1.3070556527661696E-2</v>
      </c>
      <c r="CV23" s="95">
        <f t="shared" si="62"/>
        <v>2.6141113055323392E-2</v>
      </c>
      <c r="CW23" s="96" t="e">
        <f>#REF!</f>
        <v>#REF!</v>
      </c>
      <c r="CX23" s="99">
        <f t="shared" si="63"/>
        <v>6.8526851663006011E-2</v>
      </c>
      <c r="CY23" s="95">
        <f t="shared" si="63"/>
        <v>2.2587062838644437E-2</v>
      </c>
      <c r="CZ23" s="99">
        <f t="shared" si="63"/>
        <v>0.14968714525271146</v>
      </c>
      <c r="DA23" s="95">
        <f t="shared" si="63"/>
        <v>2.6032547000471556E-2</v>
      </c>
      <c r="DB23" s="94">
        <f t="shared" si="13"/>
        <v>0.16423474504709262</v>
      </c>
      <c r="DC23" s="94">
        <f t="shared" si="14"/>
        <v>4.9768104559725038E-2</v>
      </c>
      <c r="DD23" s="94">
        <f t="shared" si="14"/>
        <v>0.40962978368389069</v>
      </c>
      <c r="DE23" s="94">
        <f t="shared" si="14"/>
        <v>0.1293970718552851</v>
      </c>
      <c r="DF23" s="94">
        <f t="shared" si="14"/>
        <v>0</v>
      </c>
      <c r="DG23" s="94">
        <f t="shared" si="14"/>
        <v>0</v>
      </c>
      <c r="DH23" s="95">
        <f t="shared" si="14"/>
        <v>0.75302970514599343</v>
      </c>
      <c r="DI23" s="96" t="e">
        <f>#REF!</f>
        <v>#REF!</v>
      </c>
      <c r="DJ23" s="95">
        <f t="shared" si="64"/>
        <v>0.32540683750589444</v>
      </c>
      <c r="DK23" s="96" t="e">
        <f>#REF!</f>
        <v>#REF!</v>
      </c>
      <c r="DL23" s="95">
        <f t="shared" si="15"/>
        <v>0.73842161796299377</v>
      </c>
      <c r="DM23" s="96">
        <f t="shared" si="16"/>
        <v>0</v>
      </c>
      <c r="DN23" s="94">
        <f t="shared" si="17"/>
        <v>2.0179657114987006</v>
      </c>
      <c r="DO23" s="100">
        <v>3.4</v>
      </c>
      <c r="DP23" s="94">
        <f>IF($O23&lt;&gt;0,IF($O23&lt;&gt;0,BL23/$O23*10,0)," ")</f>
        <v>3.0817941669675886</v>
      </c>
      <c r="DQ23" s="94">
        <f>IF($P23&lt;&gt;0,IF($P23&lt;&gt;0,BM23/$P23*10,0)," ")</f>
        <v>3.0944260856169254</v>
      </c>
      <c r="DR23" s="101">
        <f t="shared" si="18"/>
        <v>0</v>
      </c>
      <c r="DS23" s="171"/>
      <c r="DT23" s="103">
        <v>18</v>
      </c>
      <c r="DU23" s="300">
        <v>605598</v>
      </c>
      <c r="DV23" s="300">
        <v>22752</v>
      </c>
      <c r="DW23" s="300">
        <v>5090005</v>
      </c>
      <c r="DX23" s="298">
        <v>98452</v>
      </c>
      <c r="DY23" s="300">
        <v>80002</v>
      </c>
      <c r="DZ23" s="300">
        <v>359855</v>
      </c>
      <c r="EA23" s="121">
        <v>207889</v>
      </c>
      <c r="EB23" s="174">
        <v>47162</v>
      </c>
      <c r="EC23" s="300">
        <v>364969</v>
      </c>
      <c r="ED23" s="300">
        <v>43740</v>
      </c>
      <c r="EE23" s="174">
        <v>35840</v>
      </c>
      <c r="EF23" s="77">
        <v>37391</v>
      </c>
      <c r="EG23" s="298">
        <v>88561</v>
      </c>
      <c r="EH23" s="76">
        <v>174546</v>
      </c>
      <c r="EI23" s="76">
        <v>28415</v>
      </c>
      <c r="EJ23" s="77">
        <v>36786</v>
      </c>
      <c r="EK23" s="77"/>
      <c r="EL23" s="76">
        <v>675846</v>
      </c>
      <c r="EM23" s="76">
        <v>6453</v>
      </c>
      <c r="EN23" s="77">
        <v>39057</v>
      </c>
      <c r="EO23" s="76">
        <v>2828060</v>
      </c>
      <c r="EP23" s="77">
        <v>2578390</v>
      </c>
      <c r="EQ23" s="77">
        <v>0</v>
      </c>
      <c r="ER23" s="77">
        <v>1567</v>
      </c>
      <c r="ES23" s="77">
        <v>267614</v>
      </c>
      <c r="ET23" s="77">
        <v>9996084</v>
      </c>
      <c r="EU23" s="77">
        <v>368554</v>
      </c>
      <c r="EV23" s="77">
        <v>107569</v>
      </c>
      <c r="EW23" s="77">
        <v>63360</v>
      </c>
      <c r="EX23" s="77">
        <v>195141</v>
      </c>
      <c r="EY23" s="77">
        <v>1553279</v>
      </c>
      <c r="EZ23" s="77">
        <v>691819</v>
      </c>
      <c r="FA23" s="151">
        <v>716133</v>
      </c>
      <c r="FB23" s="77">
        <v>29588</v>
      </c>
      <c r="FC23" s="77">
        <v>7200</v>
      </c>
      <c r="FD23" s="104">
        <f t="shared" si="75"/>
        <v>7423</v>
      </c>
      <c r="FE23" s="105">
        <f t="shared" si="77"/>
        <v>0</v>
      </c>
      <c r="FF23" s="105">
        <f t="shared" si="77"/>
        <v>540</v>
      </c>
      <c r="FG23" s="105">
        <f t="shared" si="77"/>
        <v>1707</v>
      </c>
      <c r="FH23" s="105">
        <f t="shared" si="77"/>
        <v>2190</v>
      </c>
      <c r="FI23" s="105">
        <f t="shared" si="77"/>
        <v>694</v>
      </c>
      <c r="FJ23" s="105">
        <f t="shared" si="77"/>
        <v>0</v>
      </c>
      <c r="FK23" s="105">
        <f t="shared" si="77"/>
        <v>656</v>
      </c>
      <c r="FL23" s="105">
        <f t="shared" si="77"/>
        <v>1636</v>
      </c>
      <c r="FM23" s="105">
        <f t="shared" si="77"/>
        <v>0</v>
      </c>
      <c r="FN23" s="80">
        <f t="shared" si="74"/>
        <v>627</v>
      </c>
      <c r="FO23" s="174">
        <f>FO22+627</f>
        <v>52811</v>
      </c>
      <c r="FP23" s="132" t="s">
        <v>163</v>
      </c>
      <c r="FY23" s="119">
        <v>18</v>
      </c>
      <c r="FZ23" s="107"/>
      <c r="GA23" s="107"/>
      <c r="GB23" s="107"/>
      <c r="GC23" s="109"/>
      <c r="GD23" s="110"/>
      <c r="GE23" s="110"/>
      <c r="GF23" s="111"/>
      <c r="GG23" s="111"/>
      <c r="GH23" s="111"/>
      <c r="GI23" s="164"/>
      <c r="GJ23" s="111" t="e">
        <f t="shared" si="65"/>
        <v>#DIV/0!</v>
      </c>
    </row>
    <row r="24" spans="1:193" s="119" customFormat="1" ht="15" customHeight="1">
      <c r="B24" s="573">
        <v>42785</v>
      </c>
      <c r="D24" s="317">
        <v>0</v>
      </c>
      <c r="E24" s="128">
        <v>0</v>
      </c>
      <c r="F24" s="86">
        <v>3129.192</v>
      </c>
      <c r="G24" s="86">
        <v>0</v>
      </c>
      <c r="H24" s="86">
        <v>7922.732</v>
      </c>
      <c r="I24" s="86">
        <v>1168.912</v>
      </c>
      <c r="J24" s="86"/>
      <c r="K24" s="284"/>
      <c r="L24" s="284"/>
      <c r="M24" s="115">
        <f t="shared" si="21"/>
        <v>1168.912</v>
      </c>
      <c r="N24" s="88">
        <f t="shared" si="0"/>
        <v>11051.923999999999</v>
      </c>
      <c r="O24" s="88">
        <f t="shared" si="22"/>
        <v>11636.38</v>
      </c>
      <c r="P24" s="89">
        <f t="shared" si="23"/>
        <v>397989.1210000001</v>
      </c>
      <c r="R24" s="90">
        <f t="shared" si="24"/>
        <v>254</v>
      </c>
      <c r="S24" s="90">
        <f t="shared" si="25"/>
        <v>78.900000000000006</v>
      </c>
      <c r="T24" s="90">
        <f t="shared" si="1"/>
        <v>390.4</v>
      </c>
      <c r="U24" s="90"/>
      <c r="V24" s="90">
        <f t="shared" si="26"/>
        <v>1598</v>
      </c>
      <c r="W24" s="91">
        <f t="shared" si="2"/>
        <v>1389.8</v>
      </c>
      <c r="X24" s="90">
        <f t="shared" si="27"/>
        <v>1598</v>
      </c>
      <c r="Y24" s="90" t="str">
        <f t="shared" si="28"/>
        <v>0</v>
      </c>
      <c r="Z24" s="90">
        <f t="shared" si="3"/>
        <v>132.6</v>
      </c>
      <c r="AA24" s="90">
        <f t="shared" si="29"/>
        <v>2321.3000000000002</v>
      </c>
      <c r="AB24" s="90">
        <f t="shared" si="30"/>
        <v>252</v>
      </c>
      <c r="AC24" s="90">
        <f t="shared" si="30"/>
        <v>27</v>
      </c>
      <c r="AD24" s="90">
        <f>(IF(SUM(AB24:AC24)&gt;=(DW24-DW23),(SUM(AB24:AC24)),(DW24-DW23)))</f>
        <v>279</v>
      </c>
      <c r="AE24" s="90">
        <f t="shared" si="32"/>
        <v>0</v>
      </c>
      <c r="AF24" s="90">
        <f t="shared" si="33"/>
        <v>255</v>
      </c>
      <c r="AG24" s="90">
        <f t="shared" si="33"/>
        <v>18</v>
      </c>
      <c r="AH24" s="90">
        <f t="shared" si="34"/>
        <v>273</v>
      </c>
      <c r="AI24" s="90">
        <f>IF(AF24="","",(AH24-AG24-AF24))</f>
        <v>0</v>
      </c>
      <c r="AJ24" s="90">
        <f t="shared" si="36"/>
        <v>213</v>
      </c>
      <c r="AK24" s="90">
        <f t="shared" si="36"/>
        <v>33</v>
      </c>
      <c r="AL24" s="90">
        <f t="shared" si="37"/>
        <v>326</v>
      </c>
      <c r="AM24" s="90">
        <f t="shared" si="38"/>
        <v>80</v>
      </c>
      <c r="AN24" s="90">
        <f t="shared" si="39"/>
        <v>0</v>
      </c>
      <c r="AO24" s="90">
        <f t="shared" si="4"/>
        <v>17</v>
      </c>
      <c r="AP24" s="90">
        <f t="shared" si="40"/>
        <v>15</v>
      </c>
      <c r="AQ24" s="90">
        <f t="shared" si="5"/>
        <v>26</v>
      </c>
      <c r="AR24" s="169"/>
      <c r="AS24" s="169"/>
      <c r="AT24" s="169"/>
      <c r="AU24" s="90">
        <f t="shared" si="44"/>
        <v>222</v>
      </c>
      <c r="AV24" s="90">
        <f t="shared" si="66"/>
        <v>23</v>
      </c>
      <c r="AW24" s="90">
        <f t="shared" si="45"/>
        <v>68</v>
      </c>
      <c r="AX24" s="90">
        <f t="shared" si="67"/>
        <v>29</v>
      </c>
      <c r="AY24" s="90" t="str">
        <f t="shared" si="46"/>
        <v/>
      </c>
      <c r="AZ24" s="90">
        <f t="shared" si="47"/>
        <v>512</v>
      </c>
      <c r="BA24" s="90">
        <v>0</v>
      </c>
      <c r="BB24" s="90">
        <f t="shared" si="48"/>
        <v>77</v>
      </c>
      <c r="BC24" s="90">
        <f t="shared" si="48"/>
        <v>1130</v>
      </c>
      <c r="BD24" s="91">
        <f t="shared" si="49"/>
        <v>338</v>
      </c>
      <c r="BE24" s="90"/>
      <c r="BF24" s="90"/>
      <c r="BG24" s="90">
        <f t="shared" si="6"/>
        <v>2057</v>
      </c>
      <c r="BH24" s="90">
        <f t="shared" si="50"/>
        <v>408</v>
      </c>
      <c r="BI24" s="90">
        <f t="shared" si="51"/>
        <v>1259.6999999999998</v>
      </c>
      <c r="BJ24" s="90">
        <f t="shared" si="7"/>
        <v>5351.3</v>
      </c>
      <c r="BK24" s="92"/>
      <c r="BL24" s="93">
        <f t="shared" si="52"/>
        <v>7019</v>
      </c>
      <c r="BM24" s="93">
        <f t="shared" si="53"/>
        <v>126573</v>
      </c>
      <c r="BN24" s="92"/>
      <c r="BO24" s="94">
        <f t="shared" si="54"/>
        <v>0.2298242369382924</v>
      </c>
      <c r="BP24" s="94">
        <f t="shared" si="54"/>
        <v>7.1390284623745165E-2</v>
      </c>
      <c r="BQ24" s="94">
        <f t="shared" si="55"/>
        <v>0.35324166181381628</v>
      </c>
      <c r="BR24" s="94">
        <f t="shared" si="68"/>
        <v>1.4459020890842176</v>
      </c>
      <c r="BS24" s="94">
        <f t="shared" si="76"/>
        <v>0</v>
      </c>
      <c r="BT24" s="94">
        <f t="shared" si="76"/>
        <v>0.11997910951975421</v>
      </c>
      <c r="BU24" s="95">
        <f t="shared" si="76"/>
        <v>2.1003582724600718</v>
      </c>
      <c r="BV24" s="94">
        <f t="shared" si="9"/>
        <v>0.21828094304242388</v>
      </c>
      <c r="BW24" s="94">
        <f t="shared" si="9"/>
        <v>6.78045921497923E-2</v>
      </c>
      <c r="BX24" s="94">
        <f t="shared" si="9"/>
        <v>0.33549952820378848</v>
      </c>
      <c r="BY24" s="94">
        <f t="shared" si="56"/>
        <v>1.3732793188259578</v>
      </c>
      <c r="BZ24" s="95">
        <f t="shared" si="10"/>
        <v>1.9948643822219627</v>
      </c>
      <c r="CA24" s="96" t="e">
        <f>#REF!</f>
        <v>#REF!</v>
      </c>
      <c r="CB24" s="94">
        <f t="shared" si="11"/>
        <v>0</v>
      </c>
      <c r="CC24" s="95">
        <f t="shared" si="11"/>
        <v>0</v>
      </c>
      <c r="CD24" s="97">
        <f t="shared" si="12"/>
        <v>0</v>
      </c>
      <c r="CE24" s="98">
        <f t="shared" si="12"/>
        <v>0</v>
      </c>
      <c r="CF24" s="94" t="str">
        <f t="shared" si="57"/>
        <v>0,00</v>
      </c>
      <c r="CG24" s="94" t="str">
        <f t="shared" si="57"/>
        <v>0,00</v>
      </c>
      <c r="CH24" s="95" t="str">
        <f t="shared" si="58"/>
        <v xml:space="preserve">0,00 </v>
      </c>
      <c r="CI24" s="96" t="e">
        <f>#REF!</f>
        <v>#REF!</v>
      </c>
      <c r="CJ24" s="94" t="str">
        <f t="shared" si="59"/>
        <v>0,00</v>
      </c>
      <c r="CK24" s="94" t="str">
        <f t="shared" si="59"/>
        <v>0,00</v>
      </c>
      <c r="CL24" s="95" t="str">
        <f t="shared" si="69"/>
        <v xml:space="preserve">0,00 </v>
      </c>
      <c r="CM24" s="95" t="e">
        <f>#REF!</f>
        <v>#REF!</v>
      </c>
      <c r="CN24" s="94">
        <f t="shared" si="60"/>
        <v>0.68068689936571491</v>
      </c>
      <c r="CO24" s="94">
        <f t="shared" si="60"/>
        <v>0.10545853370454737</v>
      </c>
      <c r="CP24" s="95">
        <f t="shared" si="61"/>
        <v>1.0418024844752254</v>
      </c>
      <c r="CQ24" s="95" t="e">
        <f>#REF!</f>
        <v>#REF!</v>
      </c>
      <c r="CR24" s="97" t="str">
        <f t="shared" si="70"/>
        <v xml:space="preserve">0,00 </v>
      </c>
      <c r="CS24" s="95" t="str">
        <f t="shared" si="70"/>
        <v xml:space="preserve">0,00 </v>
      </c>
      <c r="CT24" s="96" t="e">
        <f>#REF!</f>
        <v>#REF!</v>
      </c>
      <c r="CU24" s="97">
        <f t="shared" si="71"/>
        <v>1.8932863057844189E-2</v>
      </c>
      <c r="CV24" s="95">
        <f t="shared" si="62"/>
        <v>3.2816962633596597E-2</v>
      </c>
      <c r="CW24" s="96" t="e">
        <f>#REF!</f>
        <v>#REF!</v>
      </c>
      <c r="CX24" s="99">
        <f t="shared" si="63"/>
        <v>0.19078098171424449</v>
      </c>
      <c r="CY24" s="95">
        <f t="shared" si="63"/>
        <v>1.9765597204628931E-2</v>
      </c>
      <c r="CZ24" s="99">
        <f t="shared" si="63"/>
        <v>5.8437417822381196E-2</v>
      </c>
      <c r="DA24" s="95">
        <f t="shared" si="63"/>
        <v>2.4921839953662567E-2</v>
      </c>
      <c r="DB24" s="94">
        <f t="shared" si="13"/>
        <v>0.43999938125087013</v>
      </c>
      <c r="DC24" s="94">
        <f t="shared" si="14"/>
        <v>6.6171781945931638E-2</v>
      </c>
      <c r="DD24" s="94">
        <f t="shared" si="14"/>
        <v>0.97109238440133439</v>
      </c>
      <c r="DE24" s="94">
        <f t="shared" si="14"/>
        <v>0.29046834152889478</v>
      </c>
      <c r="DF24" s="94">
        <f t="shared" si="14"/>
        <v>0</v>
      </c>
      <c r="DG24" s="94">
        <f t="shared" si="14"/>
        <v>0</v>
      </c>
      <c r="DH24" s="95">
        <f t="shared" si="14"/>
        <v>1.7677318891270311</v>
      </c>
      <c r="DI24" s="96" t="e">
        <f>#REF!</f>
        <v>#REF!</v>
      </c>
      <c r="DJ24" s="95">
        <f t="shared" si="64"/>
        <v>0.35062450693428715</v>
      </c>
      <c r="DK24" s="96" t="e">
        <f>#REF!</f>
        <v>#REF!</v>
      </c>
      <c r="DL24" s="95">
        <f t="shared" si="15"/>
        <v>1.0825531651596114</v>
      </c>
      <c r="DM24" s="96">
        <f t="shared" si="16"/>
        <v>0</v>
      </c>
      <c r="DN24" s="94">
        <f t="shared" si="17"/>
        <v>4.5987669704839487</v>
      </c>
      <c r="DO24" s="100">
        <v>3.4</v>
      </c>
      <c r="DP24" s="94">
        <f t="shared" si="72"/>
        <v>6.0319446425778462</v>
      </c>
      <c r="DQ24" s="94">
        <f t="shared" si="73"/>
        <v>3.1803130618738691</v>
      </c>
      <c r="DR24" s="101">
        <f t="shared" si="18"/>
        <v>0</v>
      </c>
      <c r="DT24" s="103">
        <v>19</v>
      </c>
      <c r="DU24" s="300">
        <v>605850</v>
      </c>
      <c r="DV24" s="300">
        <v>22779</v>
      </c>
      <c r="DW24" s="76">
        <v>5090114</v>
      </c>
      <c r="DX24" s="76">
        <v>98707</v>
      </c>
      <c r="DY24" s="76">
        <v>80020</v>
      </c>
      <c r="DZ24" s="76">
        <v>360071</v>
      </c>
      <c r="EA24" s="121">
        <v>208102</v>
      </c>
      <c r="EB24" s="174">
        <v>47195</v>
      </c>
      <c r="EC24" s="120">
        <v>365295</v>
      </c>
      <c r="ED24" s="76">
        <v>43740</v>
      </c>
      <c r="EE24" s="77">
        <v>35840</v>
      </c>
      <c r="EF24" s="77">
        <v>37408</v>
      </c>
      <c r="EG24" s="76">
        <v>88576</v>
      </c>
      <c r="EH24" s="76">
        <v>174572</v>
      </c>
      <c r="EI24" s="76">
        <v>28438</v>
      </c>
      <c r="EJ24" s="77">
        <v>36815</v>
      </c>
      <c r="EK24" s="77"/>
      <c r="EL24" s="76">
        <v>676100</v>
      </c>
      <c r="EM24" s="76">
        <v>3904</v>
      </c>
      <c r="EN24" s="77">
        <v>39118</v>
      </c>
      <c r="EO24" s="76">
        <v>2829658</v>
      </c>
      <c r="EP24" s="77">
        <v>2592288</v>
      </c>
      <c r="EQ24" s="77">
        <v>0</v>
      </c>
      <c r="ER24" s="77">
        <v>1326</v>
      </c>
      <c r="ES24" s="77">
        <v>267905</v>
      </c>
      <c r="ET24" s="319">
        <v>30638</v>
      </c>
      <c r="EU24" s="77">
        <v>368622</v>
      </c>
      <c r="EV24" s="77">
        <v>107791</v>
      </c>
      <c r="EW24" s="77">
        <v>63872</v>
      </c>
      <c r="EX24" s="77">
        <v>195218</v>
      </c>
      <c r="EY24" s="77">
        <v>1554409</v>
      </c>
      <c r="EZ24" s="77">
        <v>692608</v>
      </c>
      <c r="FA24" s="151">
        <v>716471</v>
      </c>
      <c r="FB24" s="77">
        <v>29588</v>
      </c>
      <c r="FC24" s="77">
        <v>6611</v>
      </c>
      <c r="FD24" s="104">
        <f t="shared" si="75"/>
        <v>7019</v>
      </c>
      <c r="FE24" s="105">
        <f t="shared" si="77"/>
        <v>0</v>
      </c>
      <c r="FF24" s="105">
        <f t="shared" si="77"/>
        <v>636</v>
      </c>
      <c r="FG24" s="105">
        <f t="shared" si="77"/>
        <v>2516</v>
      </c>
      <c r="FH24" s="105">
        <f t="shared" si="77"/>
        <v>1183</v>
      </c>
      <c r="FI24" s="105">
        <f t="shared" si="77"/>
        <v>610</v>
      </c>
      <c r="FJ24" s="105">
        <f t="shared" si="77"/>
        <v>0</v>
      </c>
      <c r="FK24" s="105">
        <f t="shared" si="77"/>
        <v>422</v>
      </c>
      <c r="FL24" s="105">
        <f t="shared" si="77"/>
        <v>1652</v>
      </c>
      <c r="FM24" s="105">
        <f t="shared" si="77"/>
        <v>0</v>
      </c>
      <c r="FN24" s="80">
        <f t="shared" si="74"/>
        <v>0</v>
      </c>
      <c r="FO24" s="302">
        <v>52811</v>
      </c>
      <c r="FP24" s="132">
        <f>964991-964364</f>
        <v>627</v>
      </c>
      <c r="FY24" s="119">
        <v>19</v>
      </c>
      <c r="FZ24" s="107"/>
      <c r="GA24" s="107"/>
      <c r="GB24" s="107"/>
      <c r="GC24" s="109"/>
      <c r="GD24" s="110"/>
      <c r="GE24" s="110"/>
      <c r="GF24" s="111"/>
      <c r="GG24" s="111"/>
      <c r="GH24" s="111"/>
      <c r="GI24" s="164"/>
      <c r="GJ24" s="111" t="e">
        <f t="shared" si="65"/>
        <v>#DIV/0!</v>
      </c>
    </row>
    <row r="25" spans="1:193" ht="15" customHeight="1">
      <c r="B25" s="573">
        <v>42786</v>
      </c>
      <c r="D25" s="317">
        <v>2282.4</v>
      </c>
      <c r="E25" s="128">
        <v>1380.12</v>
      </c>
      <c r="F25" s="86">
        <v>2209.5360000000001</v>
      </c>
      <c r="G25" s="86">
        <v>2881.634</v>
      </c>
      <c r="H25" s="86">
        <v>7747.7970000000005</v>
      </c>
      <c r="I25" s="86">
        <v>2126.857</v>
      </c>
      <c r="J25" s="86">
        <v>4402.08</v>
      </c>
      <c r="K25" s="284"/>
      <c r="L25" s="284"/>
      <c r="M25" s="115">
        <f t="shared" si="21"/>
        <v>6528.9369999999999</v>
      </c>
      <c r="N25" s="88">
        <f t="shared" si="0"/>
        <v>16501.487000000001</v>
      </c>
      <c r="O25" s="88">
        <f t="shared" si="22"/>
        <v>19765.9555</v>
      </c>
      <c r="P25" s="89">
        <f t="shared" si="23"/>
        <v>417755.07650000008</v>
      </c>
      <c r="R25" s="90">
        <f t="shared" si="24"/>
        <v>173</v>
      </c>
      <c r="S25" s="90">
        <f t="shared" si="25"/>
        <v>38.799999999999997</v>
      </c>
      <c r="T25" s="90">
        <f t="shared" si="1"/>
        <v>692.9</v>
      </c>
      <c r="U25" s="90"/>
      <c r="V25" s="90">
        <f t="shared" si="26"/>
        <v>1725</v>
      </c>
      <c r="W25" s="91">
        <f t="shared" si="2"/>
        <v>535</v>
      </c>
      <c r="X25" s="90">
        <f t="shared" si="27"/>
        <v>1725</v>
      </c>
      <c r="Y25" s="90" t="str">
        <f t="shared" si="28"/>
        <v>0</v>
      </c>
      <c r="Z25" s="90">
        <f t="shared" si="3"/>
        <v>183.6</v>
      </c>
      <c r="AA25" s="90">
        <f t="shared" si="29"/>
        <v>2629.7</v>
      </c>
      <c r="AB25" s="90">
        <f t="shared" si="30"/>
        <v>253</v>
      </c>
      <c r="AC25" s="90">
        <f t="shared" si="30"/>
        <v>55</v>
      </c>
      <c r="AD25" s="90">
        <f t="shared" si="31"/>
        <v>500</v>
      </c>
      <c r="AE25" s="90">
        <f t="shared" si="32"/>
        <v>192</v>
      </c>
      <c r="AF25" s="90">
        <f t="shared" si="33"/>
        <v>180</v>
      </c>
      <c r="AG25" s="90">
        <f t="shared" si="33"/>
        <v>67</v>
      </c>
      <c r="AH25" s="90">
        <f t="shared" si="34"/>
        <v>312</v>
      </c>
      <c r="AI25" s="90">
        <f t="shared" si="35"/>
        <v>65</v>
      </c>
      <c r="AJ25" s="90">
        <f t="shared" si="36"/>
        <v>183</v>
      </c>
      <c r="AK25" s="90">
        <f t="shared" si="36"/>
        <v>80</v>
      </c>
      <c r="AL25" s="90">
        <f t="shared" si="37"/>
        <v>336</v>
      </c>
      <c r="AM25" s="90">
        <f t="shared" si="38"/>
        <v>73</v>
      </c>
      <c r="AN25" s="90">
        <f t="shared" si="39"/>
        <v>18</v>
      </c>
      <c r="AO25" s="90">
        <f t="shared" si="4"/>
        <v>37</v>
      </c>
      <c r="AP25" s="90">
        <f t="shared" si="40"/>
        <v>31</v>
      </c>
      <c r="AQ25" s="90">
        <f t="shared" si="5"/>
        <v>31</v>
      </c>
      <c r="AR25" s="169"/>
      <c r="AS25" s="169"/>
      <c r="AT25" s="169"/>
      <c r="AU25" s="90">
        <f t="shared" si="44"/>
        <v>320</v>
      </c>
      <c r="AV25" s="90">
        <f t="shared" si="66"/>
        <v>16</v>
      </c>
      <c r="AW25" s="90">
        <f t="shared" si="45"/>
        <v>524</v>
      </c>
      <c r="AX25" s="90">
        <f t="shared" si="67"/>
        <v>49</v>
      </c>
      <c r="AY25" s="90" t="str">
        <f t="shared" si="46"/>
        <v/>
      </c>
      <c r="AZ25" s="90">
        <f t="shared" si="47"/>
        <v>482</v>
      </c>
      <c r="BA25" s="90">
        <v>47</v>
      </c>
      <c r="BB25" s="90">
        <f t="shared" si="48"/>
        <v>123</v>
      </c>
      <c r="BC25" s="90">
        <f t="shared" si="48"/>
        <v>830</v>
      </c>
      <c r="BD25" s="91">
        <f t="shared" si="49"/>
        <v>347</v>
      </c>
      <c r="BE25" s="90"/>
      <c r="BF25" s="90"/>
      <c r="BG25" s="90">
        <f t="shared" si="6"/>
        <v>1782</v>
      </c>
      <c r="BH25" s="90">
        <f t="shared" si="50"/>
        <v>819</v>
      </c>
      <c r="BI25" s="90">
        <f t="shared" si="51"/>
        <v>2179.3000000000002</v>
      </c>
      <c r="BJ25" s="90">
        <f t="shared" si="7"/>
        <v>5692.7</v>
      </c>
      <c r="BK25" s="92"/>
      <c r="BL25" s="93">
        <f t="shared" si="52"/>
        <v>8691</v>
      </c>
      <c r="BM25" s="93">
        <f t="shared" si="53"/>
        <v>135264</v>
      </c>
      <c r="BN25" s="92"/>
      <c r="BO25" s="94">
        <f t="shared" si="54"/>
        <v>0.10483903662742636</v>
      </c>
      <c r="BP25" s="94">
        <f t="shared" si="54"/>
        <v>2.3513032492162675E-2</v>
      </c>
      <c r="BQ25" s="94">
        <f t="shared" si="55"/>
        <v>0.41990155190256484</v>
      </c>
      <c r="BR25" s="94">
        <f t="shared" si="68"/>
        <v>1.0453603363139334</v>
      </c>
      <c r="BS25" s="94">
        <f t="shared" si="76"/>
        <v>0</v>
      </c>
      <c r="BT25" s="94">
        <f t="shared" si="76"/>
        <v>0.11126270014332647</v>
      </c>
      <c r="BU25" s="95">
        <f t="shared" si="76"/>
        <v>1.5936139573360872</v>
      </c>
      <c r="BV25" s="94">
        <f t="shared" si="9"/>
        <v>8.7524228211482119E-2</v>
      </c>
      <c r="BW25" s="94">
        <f t="shared" si="9"/>
        <v>1.9629711298297721E-2</v>
      </c>
      <c r="BX25" s="94">
        <f t="shared" si="9"/>
        <v>0.35055224120078587</v>
      </c>
      <c r="BY25" s="94">
        <f t="shared" si="56"/>
        <v>0.87271268014339098</v>
      </c>
      <c r="BZ25" s="95">
        <f t="shared" si="10"/>
        <v>1.3304188608539567</v>
      </c>
      <c r="CA25" s="96" t="e">
        <f>#REF!</f>
        <v>#REF!</v>
      </c>
      <c r="CB25" s="94">
        <f t="shared" si="11"/>
        <v>0</v>
      </c>
      <c r="CC25" s="95">
        <f t="shared" si="11"/>
        <v>0</v>
      </c>
      <c r="CD25" s="97">
        <f t="shared" si="12"/>
        <v>0</v>
      </c>
      <c r="CE25" s="98">
        <f t="shared" si="12"/>
        <v>0</v>
      </c>
      <c r="CF25" s="94">
        <f t="shared" si="57"/>
        <v>1.1084822993340344</v>
      </c>
      <c r="CG25" s="94">
        <f t="shared" si="57"/>
        <v>0.24097441289870314</v>
      </c>
      <c r="CH25" s="95">
        <f t="shared" si="58"/>
        <v>2.1906764808973009</v>
      </c>
      <c r="CI25" s="96" t="e">
        <f>#REF!</f>
        <v>#REF!</v>
      </c>
      <c r="CJ25" s="94">
        <f t="shared" si="59"/>
        <v>1.3042344143987481</v>
      </c>
      <c r="CK25" s="94">
        <f t="shared" si="59"/>
        <v>0.48546503202620062</v>
      </c>
      <c r="CL25" s="95">
        <f t="shared" si="69"/>
        <v>2.26067298495783</v>
      </c>
      <c r="CM25" s="95" t="e">
        <f>#REF!</f>
        <v>#REF!</v>
      </c>
      <c r="CN25" s="94">
        <f t="shared" si="60"/>
        <v>0.82822818908585327</v>
      </c>
      <c r="CO25" s="94">
        <f t="shared" si="60"/>
        <v>0.36206696790638399</v>
      </c>
      <c r="CP25" s="95">
        <f t="shared" si="61"/>
        <v>1.5206812652068127</v>
      </c>
      <c r="CQ25" s="95" t="e">
        <f>#REF!</f>
        <v>#REF!</v>
      </c>
      <c r="CR25" s="97">
        <f t="shared" si="70"/>
        <v>6.2464560037811881E-2</v>
      </c>
      <c r="CS25" s="95">
        <f t="shared" si="70"/>
        <v>0.12839937341105775</v>
      </c>
      <c r="CT25" s="96" t="e">
        <f>#REF!</f>
        <v>#REF!</v>
      </c>
      <c r="CU25" s="97">
        <f t="shared" si="71"/>
        <v>4.0011373555605544E-2</v>
      </c>
      <c r="CV25" s="95">
        <f t="shared" si="62"/>
        <v>4.0011373555605544E-2</v>
      </c>
      <c r="CW25" s="96" t="e">
        <f>#REF!</f>
        <v>#REF!</v>
      </c>
      <c r="CX25" s="99">
        <f t="shared" si="63"/>
        <v>0.16189452617152761</v>
      </c>
      <c r="CY25" s="95">
        <f t="shared" si="63"/>
        <v>8.0947263085763797E-3</v>
      </c>
      <c r="CZ25" s="99">
        <f t="shared" si="63"/>
        <v>0.26510228660587642</v>
      </c>
      <c r="DA25" s="95">
        <f t="shared" si="63"/>
        <v>2.4790099320015163E-2</v>
      </c>
      <c r="DB25" s="94">
        <f t="shared" si="13"/>
        <v>0.24385363004586347</v>
      </c>
      <c r="DC25" s="94">
        <f t="shared" si="14"/>
        <v>6.2228208497180922E-2</v>
      </c>
      <c r="DD25" s="94">
        <f t="shared" si="14"/>
        <v>0.41991392725739973</v>
      </c>
      <c r="DE25" s="94">
        <f t="shared" si="14"/>
        <v>0.17555437681725022</v>
      </c>
      <c r="DF25" s="94">
        <f t="shared" si="14"/>
        <v>0</v>
      </c>
      <c r="DG25" s="94">
        <f t="shared" si="14"/>
        <v>0</v>
      </c>
      <c r="DH25" s="95">
        <f t="shared" si="14"/>
        <v>0.90155014261769428</v>
      </c>
      <c r="DI25" s="96" t="e">
        <f>#REF!</f>
        <v>#REF!</v>
      </c>
      <c r="DJ25" s="95">
        <f t="shared" si="64"/>
        <v>0.4143488029202535</v>
      </c>
      <c r="DK25" s="96" t="e">
        <f>#REF!</f>
        <v>#REF!</v>
      </c>
      <c r="DL25" s="95">
        <f t="shared" si="15"/>
        <v>1.1025523152675316</v>
      </c>
      <c r="DM25" s="96">
        <f t="shared" si="16"/>
        <v>0</v>
      </c>
      <c r="DN25" s="94">
        <f t="shared" si="17"/>
        <v>2.8800530285520476</v>
      </c>
      <c r="DO25" s="100">
        <v>3.4</v>
      </c>
      <c r="DP25" s="94">
        <f t="shared" si="72"/>
        <v>4.3969541467398328</v>
      </c>
      <c r="DQ25" s="94">
        <f t="shared" si="73"/>
        <v>3.237878068011939</v>
      </c>
      <c r="DR25" s="101">
        <f t="shared" si="18"/>
        <v>0</v>
      </c>
      <c r="DS25" s="173"/>
      <c r="DT25" s="103">
        <v>20</v>
      </c>
      <c r="DU25" s="300">
        <v>606103</v>
      </c>
      <c r="DV25" s="300">
        <v>22834</v>
      </c>
      <c r="DW25" s="76">
        <v>5090614</v>
      </c>
      <c r="DX25" s="76">
        <v>98887</v>
      </c>
      <c r="DY25" s="120">
        <v>80087</v>
      </c>
      <c r="DZ25" s="120">
        <v>360383</v>
      </c>
      <c r="EA25" s="121">
        <v>208285</v>
      </c>
      <c r="EB25" s="174">
        <v>47275</v>
      </c>
      <c r="EC25" s="120">
        <v>365631</v>
      </c>
      <c r="ED25" s="76">
        <v>43758</v>
      </c>
      <c r="EE25" s="77">
        <v>35862</v>
      </c>
      <c r="EF25" s="77">
        <v>37423</v>
      </c>
      <c r="EG25" s="76">
        <v>88607</v>
      </c>
      <c r="EH25" s="76">
        <v>174589</v>
      </c>
      <c r="EI25" s="76">
        <v>28454</v>
      </c>
      <c r="EJ25" s="77">
        <v>36864</v>
      </c>
      <c r="EK25" s="77"/>
      <c r="EL25" s="76">
        <v>676273</v>
      </c>
      <c r="EM25" s="77">
        <v>6929</v>
      </c>
      <c r="EN25" s="77">
        <v>39167</v>
      </c>
      <c r="EO25" s="76">
        <v>2831383</v>
      </c>
      <c r="EP25" s="77">
        <v>2597638</v>
      </c>
      <c r="EQ25" s="77">
        <v>0</v>
      </c>
      <c r="ER25" s="77">
        <v>1836</v>
      </c>
      <c r="ES25" s="77">
        <v>268728</v>
      </c>
      <c r="ET25" s="319">
        <v>129638</v>
      </c>
      <c r="EU25" s="77">
        <v>369146</v>
      </c>
      <c r="EV25" s="77">
        <v>108111</v>
      </c>
      <c r="EW25" s="77">
        <v>64354</v>
      </c>
      <c r="EX25" s="77">
        <v>195341</v>
      </c>
      <c r="EY25" s="77">
        <v>1555239</v>
      </c>
      <c r="EZ25" s="77">
        <v>692996</v>
      </c>
      <c r="FA25" s="151">
        <v>716818</v>
      </c>
      <c r="FB25" s="77">
        <v>29638</v>
      </c>
      <c r="FC25" s="77">
        <v>7872</v>
      </c>
      <c r="FD25" s="104">
        <f t="shared" si="75"/>
        <v>7986</v>
      </c>
      <c r="FE25" s="105">
        <f t="shared" si="77"/>
        <v>0</v>
      </c>
      <c r="FF25" s="105">
        <f t="shared" si="77"/>
        <v>783</v>
      </c>
      <c r="FG25" s="105">
        <f t="shared" si="77"/>
        <v>1599</v>
      </c>
      <c r="FH25" s="105">
        <f t="shared" si="77"/>
        <v>2461</v>
      </c>
      <c r="FI25" s="105">
        <f t="shared" si="77"/>
        <v>744</v>
      </c>
      <c r="FJ25" s="105">
        <f t="shared" si="77"/>
        <v>0</v>
      </c>
      <c r="FK25" s="105">
        <f t="shared" si="77"/>
        <v>804</v>
      </c>
      <c r="FL25" s="105">
        <f t="shared" si="77"/>
        <v>1595</v>
      </c>
      <c r="FM25" s="105">
        <f t="shared" si="77"/>
        <v>0</v>
      </c>
      <c r="FN25" s="80">
        <f t="shared" si="74"/>
        <v>705</v>
      </c>
      <c r="FO25" s="174">
        <f>52811+705</f>
        <v>53516</v>
      </c>
      <c r="FP25" s="132" t="s">
        <v>164</v>
      </c>
      <c r="FQ25" s="175"/>
      <c r="FR25" s="64"/>
      <c r="FS25" s="64"/>
      <c r="FT25" s="64"/>
      <c r="FU25" s="64"/>
      <c r="FV25" s="64"/>
      <c r="FW25" s="64"/>
      <c r="FX25" s="64"/>
      <c r="FY25" s="64">
        <v>20</v>
      </c>
      <c r="FZ25" s="107"/>
      <c r="GA25" s="107"/>
      <c r="GB25" s="107"/>
      <c r="GC25" s="109"/>
      <c r="GD25" s="110"/>
      <c r="GE25" s="110"/>
      <c r="GF25" s="111"/>
      <c r="GG25" s="111"/>
      <c r="GH25" s="111"/>
      <c r="GI25" s="164"/>
      <c r="GJ25" s="111" t="e">
        <f t="shared" si="65"/>
        <v>#DIV/0!</v>
      </c>
      <c r="GK25" s="118"/>
    </row>
    <row r="26" spans="1:193" s="119" customFormat="1" ht="15" customHeight="1">
      <c r="B26" s="573">
        <v>42787</v>
      </c>
      <c r="D26" s="317">
        <v>5030.76</v>
      </c>
      <c r="E26" s="128">
        <v>1896</v>
      </c>
      <c r="F26" s="86">
        <v>2871.9360000000001</v>
      </c>
      <c r="G26" s="86">
        <v>6149.6080000000002</v>
      </c>
      <c r="H26" s="86">
        <v>3195.4749999999999</v>
      </c>
      <c r="I26" s="86">
        <v>1852.212</v>
      </c>
      <c r="J26" s="86">
        <v>6481.92</v>
      </c>
      <c r="K26" s="284"/>
      <c r="L26" s="284"/>
      <c r="M26" s="115">
        <f t="shared" si="21"/>
        <v>8334.1319999999996</v>
      </c>
      <c r="N26" s="88">
        <f t="shared" si="0"/>
        <v>19143.778999999999</v>
      </c>
      <c r="O26" s="88">
        <f t="shared" si="22"/>
        <v>23310.844999999998</v>
      </c>
      <c r="P26" s="89">
        <f t="shared" si="23"/>
        <v>441065.92150000005</v>
      </c>
      <c r="R26" s="90">
        <f t="shared" si="24"/>
        <v>65</v>
      </c>
      <c r="S26" s="90">
        <f t="shared" si="25"/>
        <v>104.3</v>
      </c>
      <c r="T26" s="90">
        <f t="shared" si="1"/>
        <v>647.9</v>
      </c>
      <c r="U26" s="90"/>
      <c r="V26" s="90">
        <f t="shared" si="26"/>
        <v>1552</v>
      </c>
      <c r="W26" s="91">
        <f t="shared" si="2"/>
        <v>298.60000000000002</v>
      </c>
      <c r="X26" s="90">
        <f t="shared" si="27"/>
        <v>1552</v>
      </c>
      <c r="Y26" s="90" t="str">
        <f t="shared" si="28"/>
        <v>0</v>
      </c>
      <c r="Z26" s="90">
        <f t="shared" si="3"/>
        <v>158</v>
      </c>
      <c r="AA26" s="90">
        <f t="shared" si="29"/>
        <v>2369.1999999999998</v>
      </c>
      <c r="AB26" s="90">
        <f t="shared" si="30"/>
        <v>172</v>
      </c>
      <c r="AC26" s="90">
        <f t="shared" si="30"/>
        <v>48</v>
      </c>
      <c r="AD26" s="90">
        <f t="shared" si="31"/>
        <v>397</v>
      </c>
      <c r="AE26" s="90">
        <f t="shared" si="32"/>
        <v>177</v>
      </c>
      <c r="AF26" s="90">
        <f t="shared" si="33"/>
        <v>114</v>
      </c>
      <c r="AG26" s="90">
        <f t="shared" si="33"/>
        <v>9</v>
      </c>
      <c r="AH26" s="90">
        <f t="shared" si="34"/>
        <v>192</v>
      </c>
      <c r="AI26" s="90">
        <f t="shared" si="35"/>
        <v>69</v>
      </c>
      <c r="AJ26" s="90">
        <f t="shared" si="36"/>
        <v>226</v>
      </c>
      <c r="AK26" s="90">
        <f t="shared" si="36"/>
        <v>43</v>
      </c>
      <c r="AL26" s="90">
        <f t="shared" si="37"/>
        <v>318</v>
      </c>
      <c r="AM26" s="90">
        <f t="shared" si="38"/>
        <v>49</v>
      </c>
      <c r="AN26" s="90">
        <f t="shared" si="39"/>
        <v>13</v>
      </c>
      <c r="AO26" s="90">
        <f t="shared" si="4"/>
        <v>50</v>
      </c>
      <c r="AP26" s="90">
        <f t="shared" si="40"/>
        <v>32</v>
      </c>
      <c r="AQ26" s="90">
        <f t="shared" si="5"/>
        <v>108</v>
      </c>
      <c r="AR26" s="90">
        <f t="shared" si="41"/>
        <v>109.51600000000001</v>
      </c>
      <c r="AS26" s="90">
        <f t="shared" si="42"/>
        <v>215.51599999999996</v>
      </c>
      <c r="AT26" s="90">
        <f t="shared" si="43"/>
        <v>880.51599999999996</v>
      </c>
      <c r="AU26" s="90">
        <f t="shared" si="44"/>
        <v>221</v>
      </c>
      <c r="AV26" s="90">
        <f t="shared" si="66"/>
        <v>42</v>
      </c>
      <c r="AW26" s="90">
        <f t="shared" si="45"/>
        <v>444</v>
      </c>
      <c r="AX26" s="90">
        <f t="shared" si="67"/>
        <v>51</v>
      </c>
      <c r="AY26" s="90" t="str">
        <f t="shared" si="46"/>
        <v/>
      </c>
      <c r="AZ26" s="90">
        <f t="shared" si="47"/>
        <v>516</v>
      </c>
      <c r="BA26" s="90">
        <v>0</v>
      </c>
      <c r="BB26" s="90">
        <f t="shared" si="48"/>
        <v>107</v>
      </c>
      <c r="BC26" s="90">
        <f t="shared" si="48"/>
        <v>179</v>
      </c>
      <c r="BD26" s="91">
        <f t="shared" si="49"/>
        <v>282</v>
      </c>
      <c r="BE26" s="90"/>
      <c r="BF26" s="90"/>
      <c r="BG26" s="90">
        <f t="shared" si="6"/>
        <v>1084</v>
      </c>
      <c r="BH26" s="90">
        <f t="shared" si="50"/>
        <v>29</v>
      </c>
      <c r="BI26" s="90">
        <f t="shared" si="51"/>
        <v>2201.2840000000006</v>
      </c>
      <c r="BJ26" s="90">
        <f t="shared" si="7"/>
        <v>4826.7159999999994</v>
      </c>
      <c r="BK26" s="92"/>
      <c r="BL26" s="93">
        <f t="shared" si="52"/>
        <v>7057</v>
      </c>
      <c r="BM26" s="93">
        <f t="shared" si="53"/>
        <v>142321</v>
      </c>
      <c r="BN26" s="92"/>
      <c r="BO26" s="94">
        <f t="shared" si="54"/>
        <v>3.3953588787250417E-2</v>
      </c>
      <c r="BP26" s="94">
        <f t="shared" si="54"/>
        <v>5.4482450930926435E-2</v>
      </c>
      <c r="BQ26" s="94">
        <f t="shared" si="55"/>
        <v>0.33843892577322376</v>
      </c>
      <c r="BR26" s="94">
        <f t="shared" si="68"/>
        <v>0.81070722765865622</v>
      </c>
      <c r="BS26" s="94">
        <f t="shared" si="76"/>
        <v>0</v>
      </c>
      <c r="BT26" s="94">
        <f t="shared" si="76"/>
        <v>8.2533338898239494E-2</v>
      </c>
      <c r="BU26" s="95">
        <f t="shared" si="76"/>
        <v>1.2375821931500568</v>
      </c>
      <c r="BV26" s="94">
        <f t="shared" si="9"/>
        <v>2.7884017074456119E-2</v>
      </c>
      <c r="BW26" s="94">
        <f t="shared" si="9"/>
        <v>4.4743122782550354E-2</v>
      </c>
      <c r="BX26" s="94">
        <f t="shared" si="9"/>
        <v>0.27793930250061721</v>
      </c>
      <c r="BY26" s="94">
        <f t="shared" si="56"/>
        <v>0.66578453076239841</v>
      </c>
      <c r="BZ26" s="95">
        <f t="shared" si="10"/>
        <v>1.016350973120022</v>
      </c>
      <c r="CA26" s="96" t="e">
        <f>#REF!</f>
        <v>#REF!</v>
      </c>
      <c r="CB26" s="94">
        <f t="shared" si="11"/>
        <v>4.6980707906555945E-2</v>
      </c>
      <c r="CC26" s="95">
        <f t="shared" si="11"/>
        <v>9.2453104981822826E-2</v>
      </c>
      <c r="CD26" s="97">
        <f t="shared" si="12"/>
        <v>0.13140660599088186</v>
      </c>
      <c r="CE26" s="98">
        <f t="shared" si="12"/>
        <v>0.25859441631114072</v>
      </c>
      <c r="CF26" s="94">
        <f t="shared" si="57"/>
        <v>0.34189665179813783</v>
      </c>
      <c r="CG26" s="94">
        <f t="shared" si="57"/>
        <v>9.5413019106457067E-2</v>
      </c>
      <c r="CH26" s="95">
        <f t="shared" si="58"/>
        <v>0.78914517885965541</v>
      </c>
      <c r="CI26" s="96" t="e">
        <f>#REF!</f>
        <v>#REF!</v>
      </c>
      <c r="CJ26" s="94">
        <f t="shared" si="59"/>
        <v>0.60126582278481011</v>
      </c>
      <c r="CK26" s="94">
        <f t="shared" si="59"/>
        <v>4.746835443037975E-2</v>
      </c>
      <c r="CL26" s="95">
        <f t="shared" si="69"/>
        <v>1.0126582278481013</v>
      </c>
      <c r="CM26" s="95" t="e">
        <f>#REF!</f>
        <v>#REF!</v>
      </c>
      <c r="CN26" s="94">
        <f t="shared" si="60"/>
        <v>0.78692561394125771</v>
      </c>
      <c r="CO26" s="94">
        <f t="shared" si="60"/>
        <v>0.14972478495342514</v>
      </c>
      <c r="CP26" s="95">
        <f t="shared" si="61"/>
        <v>1.1072670143067256</v>
      </c>
      <c r="CQ26" s="95" t="e">
        <f>#REF!</f>
        <v>#REF!</v>
      </c>
      <c r="CR26" s="97">
        <f t="shared" si="70"/>
        <v>2.1139558814155308E-2</v>
      </c>
      <c r="CS26" s="95">
        <f t="shared" si="70"/>
        <v>8.1305995439058878E-2</v>
      </c>
      <c r="CT26" s="96" t="e">
        <f>#REF!</f>
        <v>#REF!</v>
      </c>
      <c r="CU26" s="97">
        <f t="shared" si="71"/>
        <v>0.10014160649042787</v>
      </c>
      <c r="CV26" s="95">
        <f t="shared" si="62"/>
        <v>0.33797792190519405</v>
      </c>
      <c r="CW26" s="96" t="e">
        <f>#REF!</f>
        <v>#REF!</v>
      </c>
      <c r="CX26" s="99">
        <f t="shared" si="63"/>
        <v>9.4805658053150804E-2</v>
      </c>
      <c r="CY26" s="95">
        <f t="shared" si="63"/>
        <v>1.8017364878879338E-2</v>
      </c>
      <c r="CZ26" s="99">
        <f t="shared" si="63"/>
        <v>0.19046928586243875</v>
      </c>
      <c r="DA26" s="95">
        <f t="shared" si="63"/>
        <v>2.1878228781496339E-2</v>
      </c>
      <c r="DB26" s="94">
        <f t="shared" si="13"/>
        <v>0.22135619708337473</v>
      </c>
      <c r="DC26" s="94">
        <f t="shared" si="14"/>
        <v>4.5901381953335457E-2</v>
      </c>
      <c r="DD26" s="94">
        <f t="shared" si="14"/>
        <v>7.6788293174271466E-2</v>
      </c>
      <c r="DE26" s="94">
        <f t="shared" si="14"/>
        <v>0.12097373561533271</v>
      </c>
      <c r="DF26" s="94">
        <f t="shared" si="14"/>
        <v>0</v>
      </c>
      <c r="DG26" s="94">
        <f t="shared" si="14"/>
        <v>0</v>
      </c>
      <c r="DH26" s="95">
        <f t="shared" si="14"/>
        <v>0.46501960782631435</v>
      </c>
      <c r="DI26" s="96" t="e">
        <f>#REF!</f>
        <v>#REF!</v>
      </c>
      <c r="DJ26" s="95">
        <f t="shared" si="64"/>
        <v>1.2440561463988116E-2</v>
      </c>
      <c r="DK26" s="96" t="e">
        <f>#REF!</f>
        <v>#REF!</v>
      </c>
      <c r="DL26" s="95">
        <f t="shared" si="15"/>
        <v>0.94431754833426274</v>
      </c>
      <c r="DM26" s="96">
        <f t="shared" si="16"/>
        <v>0</v>
      </c>
      <c r="DN26" s="94">
        <f t="shared" si="17"/>
        <v>2.0705881747315464</v>
      </c>
      <c r="DO26" s="100">
        <v>3.4</v>
      </c>
      <c r="DP26" s="94">
        <f>IF($O26&lt;&gt;0,IF($O26&lt;&gt;0,BL26/$O26*10,0)," ")</f>
        <v>3.0273462845297976</v>
      </c>
      <c r="DQ26" s="94">
        <f>IF($P26&lt;&gt;0,IF($P26&lt;&gt;0,BM26/$P26*10,0)," ")</f>
        <v>3.2267512193185839</v>
      </c>
      <c r="DR26" s="101">
        <f t="shared" si="18"/>
        <v>0</v>
      </c>
      <c r="DS26" s="173"/>
      <c r="DT26" s="103">
        <v>21</v>
      </c>
      <c r="DU26" s="160">
        <v>606275</v>
      </c>
      <c r="DV26" s="160">
        <v>22882</v>
      </c>
      <c r="DW26" s="135">
        <v>5091011</v>
      </c>
      <c r="DX26" s="183">
        <v>99001</v>
      </c>
      <c r="DY26" s="183">
        <v>80096</v>
      </c>
      <c r="DZ26" s="183">
        <v>360575</v>
      </c>
      <c r="EA26" s="139">
        <v>208511</v>
      </c>
      <c r="EB26" s="161">
        <v>47318</v>
      </c>
      <c r="EC26" s="139">
        <v>365949</v>
      </c>
      <c r="ED26" s="135">
        <v>43771</v>
      </c>
      <c r="EE26" s="136">
        <v>35887</v>
      </c>
      <c r="EF26" s="136">
        <v>37448</v>
      </c>
      <c r="EG26" s="135">
        <v>88639</v>
      </c>
      <c r="EH26" s="135">
        <v>174697</v>
      </c>
      <c r="EI26" s="135">
        <v>28496</v>
      </c>
      <c r="EJ26" s="136">
        <v>36915</v>
      </c>
      <c r="EK26" s="136"/>
      <c r="EL26" s="135">
        <v>676338</v>
      </c>
      <c r="EM26" s="135">
        <v>6479</v>
      </c>
      <c r="EN26" s="136">
        <v>39169</v>
      </c>
      <c r="EO26" s="135">
        <v>2832935</v>
      </c>
      <c r="EP26" s="136">
        <v>2600624</v>
      </c>
      <c r="EQ26" s="136">
        <v>0</v>
      </c>
      <c r="ER26" s="136">
        <v>1580</v>
      </c>
      <c r="ES26" s="136">
        <v>269499</v>
      </c>
      <c r="ET26" s="136">
        <v>239154</v>
      </c>
      <c r="EU26" s="136">
        <v>369590</v>
      </c>
      <c r="EV26" s="136">
        <v>108332</v>
      </c>
      <c r="EW26" s="136">
        <v>64870</v>
      </c>
      <c r="EX26" s="136">
        <v>195448</v>
      </c>
      <c r="EY26" s="136">
        <v>1555418</v>
      </c>
      <c r="EZ26" s="136">
        <v>694039</v>
      </c>
      <c r="FA26" s="145">
        <v>717100</v>
      </c>
      <c r="FB26" s="136">
        <v>29409</v>
      </c>
      <c r="FC26" s="136">
        <v>7028</v>
      </c>
      <c r="FD26" s="104">
        <f t="shared" si="75"/>
        <v>6011</v>
      </c>
      <c r="FE26" s="105">
        <f t="shared" si="77"/>
        <v>0</v>
      </c>
      <c r="FF26" s="105">
        <f t="shared" si="77"/>
        <v>176</v>
      </c>
      <c r="FG26" s="105">
        <f t="shared" si="77"/>
        <v>823</v>
      </c>
      <c r="FH26" s="105">
        <f t="shared" si="77"/>
        <v>2370</v>
      </c>
      <c r="FI26" s="105">
        <f t="shared" si="77"/>
        <v>749</v>
      </c>
      <c r="FJ26" s="105">
        <f t="shared" si="77"/>
        <v>0</v>
      </c>
      <c r="FK26" s="105">
        <f t="shared" si="77"/>
        <v>476</v>
      </c>
      <c r="FL26" s="105">
        <f t="shared" si="77"/>
        <v>1417</v>
      </c>
      <c r="FM26" s="105">
        <f t="shared" si="77"/>
        <v>0</v>
      </c>
      <c r="FN26" s="80">
        <f t="shared" si="74"/>
        <v>1046</v>
      </c>
      <c r="FO26" s="174">
        <f>FO25+1046</f>
        <v>54562</v>
      </c>
      <c r="FP26" s="132">
        <f>965696-964991</f>
        <v>705</v>
      </c>
      <c r="FY26" s="119">
        <v>21</v>
      </c>
      <c r="FZ26" s="107"/>
      <c r="GA26" s="107"/>
      <c r="GB26" s="107"/>
      <c r="GC26" s="109"/>
      <c r="GD26" s="110"/>
      <c r="GE26" s="110"/>
      <c r="GF26" s="111"/>
      <c r="GG26" s="111"/>
      <c r="GH26" s="111"/>
      <c r="GI26" s="164"/>
      <c r="GJ26" s="111" t="e">
        <f t="shared" si="65"/>
        <v>#DIV/0!</v>
      </c>
      <c r="GK26" s="113"/>
    </row>
    <row r="27" spans="1:193" s="119" customFormat="1" ht="15" customHeight="1">
      <c r="B27" s="573">
        <v>42788</v>
      </c>
      <c r="D27" s="317">
        <v>718.56</v>
      </c>
      <c r="E27" s="128">
        <v>2772.12</v>
      </c>
      <c r="F27" s="86">
        <v>689.976</v>
      </c>
      <c r="G27" s="86">
        <v>5048.9309999999996</v>
      </c>
      <c r="H27" s="86">
        <v>6417.0020000000004</v>
      </c>
      <c r="I27" s="86">
        <v>1686.4349999999999</v>
      </c>
      <c r="J27" s="86">
        <v>4624.8</v>
      </c>
      <c r="K27" s="284"/>
      <c r="L27" s="284"/>
      <c r="M27" s="115">
        <f t="shared" si="21"/>
        <v>6311.2350000000006</v>
      </c>
      <c r="N27" s="88">
        <f t="shared" si="0"/>
        <v>15646.589</v>
      </c>
      <c r="O27" s="88">
        <f t="shared" si="22"/>
        <v>18802.2065</v>
      </c>
      <c r="P27" s="89">
        <f t="shared" si="23"/>
        <v>459868.12800000003</v>
      </c>
      <c r="R27" s="90">
        <f t="shared" si="24"/>
        <v>226</v>
      </c>
      <c r="S27" s="90">
        <f t="shared" si="25"/>
        <v>76.5</v>
      </c>
      <c r="T27" s="90">
        <f t="shared" si="1"/>
        <v>556.70000000000005</v>
      </c>
      <c r="U27" s="90"/>
      <c r="V27" s="90">
        <f t="shared" si="26"/>
        <v>1545</v>
      </c>
      <c r="W27" s="91">
        <f t="shared" si="2"/>
        <v>149.80000000000001</v>
      </c>
      <c r="X27" s="90">
        <f t="shared" si="27"/>
        <v>1545</v>
      </c>
      <c r="Y27" s="90" t="str">
        <f t="shared" si="28"/>
        <v>0</v>
      </c>
      <c r="Z27" s="90">
        <f t="shared" si="3"/>
        <v>158.9</v>
      </c>
      <c r="AA27" s="90">
        <f t="shared" si="29"/>
        <v>2404.1999999999998</v>
      </c>
      <c r="AB27" s="90">
        <f t="shared" si="30"/>
        <v>0</v>
      </c>
      <c r="AC27" s="90">
        <f t="shared" si="30"/>
        <v>7</v>
      </c>
      <c r="AD27" s="90">
        <f t="shared" si="31"/>
        <v>94</v>
      </c>
      <c r="AE27" s="90">
        <f t="shared" si="32"/>
        <v>87</v>
      </c>
      <c r="AF27" s="90">
        <f t="shared" si="33"/>
        <v>153</v>
      </c>
      <c r="AG27" s="90">
        <f t="shared" si="33"/>
        <v>22</v>
      </c>
      <c r="AH27" s="90">
        <f t="shared" si="34"/>
        <v>246</v>
      </c>
      <c r="AI27" s="90">
        <f t="shared" si="35"/>
        <v>71</v>
      </c>
      <c r="AJ27" s="90">
        <f t="shared" si="36"/>
        <v>104</v>
      </c>
      <c r="AK27" s="90">
        <f t="shared" si="36"/>
        <v>85</v>
      </c>
      <c r="AL27" s="90">
        <f t="shared" si="37"/>
        <v>304</v>
      </c>
      <c r="AM27" s="90">
        <f t="shared" si="38"/>
        <v>115</v>
      </c>
      <c r="AN27" s="90">
        <f t="shared" si="39"/>
        <v>34</v>
      </c>
      <c r="AO27" s="90">
        <f t="shared" si="4"/>
        <v>50</v>
      </c>
      <c r="AP27" s="90">
        <f t="shared" si="40"/>
        <v>16</v>
      </c>
      <c r="AQ27" s="90">
        <f t="shared" si="5"/>
        <v>30</v>
      </c>
      <c r="AR27" s="90">
        <f t="shared" si="41"/>
        <v>59.170999999999999</v>
      </c>
      <c r="AS27" s="90">
        <f t="shared" si="42"/>
        <v>159.17100000000005</v>
      </c>
      <c r="AT27" s="90">
        <f t="shared" si="43"/>
        <v>833.17100000000005</v>
      </c>
      <c r="AU27" s="90">
        <f t="shared" si="44"/>
        <v>238</v>
      </c>
      <c r="AV27" s="90">
        <f t="shared" si="66"/>
        <v>33</v>
      </c>
      <c r="AW27" s="90">
        <f t="shared" si="45"/>
        <v>436</v>
      </c>
      <c r="AX27" s="90">
        <f t="shared" si="67"/>
        <v>13</v>
      </c>
      <c r="AY27" s="90" t="str">
        <f t="shared" si="46"/>
        <v/>
      </c>
      <c r="AZ27" s="90">
        <f t="shared" si="47"/>
        <v>375</v>
      </c>
      <c r="BA27" s="90">
        <v>66</v>
      </c>
      <c r="BB27" s="90">
        <f t="shared" si="48"/>
        <v>78</v>
      </c>
      <c r="BC27" s="90">
        <f t="shared" si="48"/>
        <v>1083</v>
      </c>
      <c r="BD27" s="91">
        <f t="shared" si="49"/>
        <v>277</v>
      </c>
      <c r="BE27" s="90"/>
      <c r="BF27" s="90"/>
      <c r="BG27" s="90">
        <f t="shared" si="6"/>
        <v>1813</v>
      </c>
      <c r="BH27" s="90">
        <f t="shared" si="50"/>
        <v>701</v>
      </c>
      <c r="BI27" s="90">
        <f t="shared" si="51"/>
        <v>1912.6289999999999</v>
      </c>
      <c r="BJ27" s="90">
        <f t="shared" si="7"/>
        <v>5146.3710000000001</v>
      </c>
      <c r="BK27" s="92"/>
      <c r="BL27" s="93">
        <f t="shared" si="52"/>
        <v>7760</v>
      </c>
      <c r="BM27" s="93">
        <f t="shared" si="53"/>
        <v>150081</v>
      </c>
      <c r="BN27" s="92"/>
      <c r="BO27" s="94">
        <f t="shared" si="54"/>
        <v>0.14444042723944497</v>
      </c>
      <c r="BP27" s="94">
        <f t="shared" si="54"/>
        <v>4.8892445503617432E-2</v>
      </c>
      <c r="BQ27" s="94">
        <f t="shared" si="55"/>
        <v>0.35579639754070363</v>
      </c>
      <c r="BR27" s="94">
        <f t="shared" si="68"/>
        <v>0.98743566409266581</v>
      </c>
      <c r="BS27" s="94">
        <f t="shared" si="76"/>
        <v>0</v>
      </c>
      <c r="BT27" s="94">
        <f t="shared" si="76"/>
        <v>0.10155568092189295</v>
      </c>
      <c r="BU27" s="95">
        <f t="shared" si="76"/>
        <v>1.5365649343764318</v>
      </c>
      <c r="BV27" s="94">
        <f t="shared" si="9"/>
        <v>0.12019865859892562</v>
      </c>
      <c r="BW27" s="94">
        <f t="shared" si="9"/>
        <v>4.0686714083264644E-2</v>
      </c>
      <c r="BX27" s="94">
        <f t="shared" si="9"/>
        <v>0.29608227098239775</v>
      </c>
      <c r="BY27" s="94">
        <f t="shared" si="56"/>
        <v>0.82171206874044278</v>
      </c>
      <c r="BZ27" s="95">
        <f t="shared" si="10"/>
        <v>1.2786797124050306</v>
      </c>
      <c r="CA27" s="96" t="e">
        <f>#REF!</f>
        <v>#REF!</v>
      </c>
      <c r="CB27" s="94">
        <f t="shared" si="11"/>
        <v>3.1470242601579768E-2</v>
      </c>
      <c r="CC27" s="95">
        <f t="shared" si="11"/>
        <v>8.4655489769245987E-2</v>
      </c>
      <c r="CD27" s="97">
        <f t="shared" si="12"/>
        <v>9.3755025759617569E-2</v>
      </c>
      <c r="CE27" s="98">
        <f t="shared" si="12"/>
        <v>0.25220261961406926</v>
      </c>
      <c r="CF27" s="94">
        <f t="shared" si="57"/>
        <v>0</v>
      </c>
      <c r="CG27" s="94">
        <f t="shared" si="57"/>
        <v>9.7417056334892019E-2</v>
      </c>
      <c r="CH27" s="95">
        <f t="shared" si="58"/>
        <v>1.3081718993542644</v>
      </c>
      <c r="CI27" s="96" t="e">
        <f>#REF!</f>
        <v>#REF!</v>
      </c>
      <c r="CJ27" s="94">
        <f t="shared" si="59"/>
        <v>0.55192415912731052</v>
      </c>
      <c r="CK27" s="94">
        <f t="shared" si="59"/>
        <v>7.9361643796083875E-2</v>
      </c>
      <c r="CL27" s="95">
        <f t="shared" si="69"/>
        <v>0.88740747153802868</v>
      </c>
      <c r="CM27" s="95" t="e">
        <f>#REF!</f>
        <v>#REF!</v>
      </c>
      <c r="CN27" s="94">
        <f t="shared" si="60"/>
        <v>1.507298804596102</v>
      </c>
      <c r="CO27" s="94">
        <f t="shared" si="60"/>
        <v>1.2319269076025832</v>
      </c>
      <c r="CP27" s="95">
        <f t="shared" si="61"/>
        <v>4.4059503518962977</v>
      </c>
      <c r="CQ27" s="95" t="e">
        <f>#REF!</f>
        <v>#REF!</v>
      </c>
      <c r="CR27" s="97">
        <f t="shared" si="70"/>
        <v>6.734098762688577E-2</v>
      </c>
      <c r="CS27" s="95">
        <f t="shared" si="70"/>
        <v>9.9030864157184956E-2</v>
      </c>
      <c r="CT27" s="96" t="e">
        <f>#REF!</f>
        <v>#REF!</v>
      </c>
      <c r="CU27" s="97">
        <f t="shared" si="71"/>
        <v>2.4933761903144176E-2</v>
      </c>
      <c r="CV27" s="95">
        <f t="shared" si="62"/>
        <v>4.6750803568395338E-2</v>
      </c>
      <c r="CW27" s="96" t="e">
        <f>#REF!</f>
        <v>#REF!</v>
      </c>
      <c r="CX27" s="99">
        <f t="shared" si="63"/>
        <v>0.12658088825904554</v>
      </c>
      <c r="CY27" s="95">
        <f t="shared" si="63"/>
        <v>1.7551131565329843E-2</v>
      </c>
      <c r="CZ27" s="99">
        <f t="shared" si="63"/>
        <v>0.23188767765102464</v>
      </c>
      <c r="DA27" s="95">
        <f t="shared" si="63"/>
        <v>6.914082131796606E-3</v>
      </c>
      <c r="DB27" s="94">
        <f t="shared" si="13"/>
        <v>0.19944467687874823</v>
      </c>
      <c r="DC27" s="94">
        <f t="shared" si="14"/>
        <v>4.1484492790779634E-2</v>
      </c>
      <c r="DD27" s="94">
        <f t="shared" si="14"/>
        <v>0.57599622682582496</v>
      </c>
      <c r="DE27" s="94">
        <f t="shared" si="14"/>
        <v>0.14732313465443536</v>
      </c>
      <c r="DF27" s="94">
        <f t="shared" si="14"/>
        <v>0</v>
      </c>
      <c r="DG27" s="94">
        <f t="shared" si="14"/>
        <v>0</v>
      </c>
      <c r="DH27" s="95">
        <f t="shared" si="14"/>
        <v>0.96424853114978826</v>
      </c>
      <c r="DI27" s="96" t="e">
        <f>#REF!</f>
        <v>#REF!</v>
      </c>
      <c r="DJ27" s="95">
        <f t="shared" si="64"/>
        <v>0.37282858264534008</v>
      </c>
      <c r="DK27" s="96" t="e">
        <f>#REF!</f>
        <v>#REF!</v>
      </c>
      <c r="DL27" s="95">
        <f t="shared" si="15"/>
        <v>1.0172364610504623</v>
      </c>
      <c r="DM27" s="96">
        <f t="shared" si="16"/>
        <v>0</v>
      </c>
      <c r="DN27" s="94">
        <f t="shared" si="17"/>
        <v>2.7371101365150947</v>
      </c>
      <c r="DO27" s="100">
        <v>3.4</v>
      </c>
      <c r="DP27" s="94">
        <f t="shared" si="72"/>
        <v>4.1271751802108971</v>
      </c>
      <c r="DQ27" s="94">
        <f t="shared" si="73"/>
        <v>3.2635660282158101</v>
      </c>
      <c r="DR27" s="101">
        <f t="shared" si="18"/>
        <v>0</v>
      </c>
      <c r="DS27" s="173"/>
      <c r="DT27" s="103">
        <v>22</v>
      </c>
      <c r="DU27" s="300">
        <v>606275</v>
      </c>
      <c r="DV27" s="76">
        <v>22889</v>
      </c>
      <c r="DW27" s="76">
        <v>5091105</v>
      </c>
      <c r="DX27" s="120">
        <v>99154</v>
      </c>
      <c r="DY27" s="120">
        <v>80118</v>
      </c>
      <c r="DZ27" s="120">
        <v>360821</v>
      </c>
      <c r="EA27" s="121">
        <v>208615</v>
      </c>
      <c r="EB27" s="174">
        <v>47403</v>
      </c>
      <c r="EC27" s="121">
        <v>366253</v>
      </c>
      <c r="ED27" s="76">
        <v>43805</v>
      </c>
      <c r="EE27" s="77">
        <v>35912</v>
      </c>
      <c r="EF27" s="77">
        <v>37473</v>
      </c>
      <c r="EG27" s="76">
        <v>88655</v>
      </c>
      <c r="EH27" s="76">
        <v>174727</v>
      </c>
      <c r="EI27" s="76">
        <v>28529</v>
      </c>
      <c r="EJ27" s="77">
        <v>36928</v>
      </c>
      <c r="EK27" s="77"/>
      <c r="EL27" s="76">
        <v>676564</v>
      </c>
      <c r="EM27" s="76">
        <v>5567</v>
      </c>
      <c r="EN27" s="77">
        <v>39229</v>
      </c>
      <c r="EO27" s="76">
        <v>2834480</v>
      </c>
      <c r="EP27" s="77">
        <v>2602122</v>
      </c>
      <c r="EQ27" s="77">
        <v>0</v>
      </c>
      <c r="ER27" s="77">
        <v>1589</v>
      </c>
      <c r="ES27" s="77">
        <v>270273</v>
      </c>
      <c r="ET27" s="77">
        <v>298325</v>
      </c>
      <c r="EU27" s="77">
        <v>370026</v>
      </c>
      <c r="EV27" s="77">
        <v>108570</v>
      </c>
      <c r="EW27" s="77">
        <v>65245</v>
      </c>
      <c r="EX27" s="77">
        <v>195526</v>
      </c>
      <c r="EY27" s="77">
        <v>1556501</v>
      </c>
      <c r="EZ27" s="77">
        <v>694804</v>
      </c>
      <c r="FA27" s="151">
        <v>717377</v>
      </c>
      <c r="FB27" s="77">
        <v>29409</v>
      </c>
      <c r="FC27" s="176">
        <v>7059</v>
      </c>
      <c r="FD27" s="104">
        <f t="shared" si="75"/>
        <v>7087</v>
      </c>
      <c r="FE27" s="105">
        <f t="shared" si="77"/>
        <v>0</v>
      </c>
      <c r="FF27" s="105">
        <f t="shared" si="77"/>
        <v>692</v>
      </c>
      <c r="FG27" s="105">
        <f t="shared" si="77"/>
        <v>1591</v>
      </c>
      <c r="FH27" s="105">
        <f t="shared" si="77"/>
        <v>1752</v>
      </c>
      <c r="FI27" s="105">
        <f t="shared" si="77"/>
        <v>613</v>
      </c>
      <c r="FJ27" s="105">
        <f t="shared" si="77"/>
        <v>0</v>
      </c>
      <c r="FK27" s="105">
        <f t="shared" si="77"/>
        <v>336</v>
      </c>
      <c r="FL27" s="105">
        <f t="shared" si="77"/>
        <v>2103</v>
      </c>
      <c r="FM27" s="105">
        <f t="shared" si="77"/>
        <v>0</v>
      </c>
      <c r="FN27" s="80">
        <f t="shared" si="74"/>
        <v>673</v>
      </c>
      <c r="FO27" s="174">
        <f>FO26+673</f>
        <v>55235</v>
      </c>
      <c r="FP27" s="132" t="s">
        <v>165</v>
      </c>
      <c r="FY27" s="119">
        <v>22</v>
      </c>
      <c r="FZ27" s="107"/>
      <c r="GA27" s="107"/>
      <c r="GB27" s="107"/>
      <c r="GC27" s="109"/>
      <c r="GD27" s="110"/>
      <c r="GE27" s="110"/>
      <c r="GF27" s="111"/>
      <c r="GG27" s="111"/>
      <c r="GH27" s="111"/>
      <c r="GI27" s="112"/>
      <c r="GJ27" s="111" t="e">
        <f t="shared" si="65"/>
        <v>#DIV/0!</v>
      </c>
      <c r="GK27" s="113"/>
    </row>
    <row r="28" spans="1:193" ht="15" customHeight="1">
      <c r="B28" s="573">
        <v>42789</v>
      </c>
      <c r="D28" s="317">
        <v>2340</v>
      </c>
      <c r="E28" s="128">
        <v>4343.5200000000004</v>
      </c>
      <c r="F28" s="86">
        <v>2270.5920000000001</v>
      </c>
      <c r="G28" s="86">
        <v>4169.7520000000004</v>
      </c>
      <c r="H28" s="86">
        <v>6966.2120000000004</v>
      </c>
      <c r="I28" s="86">
        <v>1544.69</v>
      </c>
      <c r="J28" s="86">
        <v>5778.72</v>
      </c>
      <c r="K28" s="284"/>
      <c r="L28" s="167"/>
      <c r="M28" s="115">
        <f t="shared" si="21"/>
        <v>7323.41</v>
      </c>
      <c r="N28" s="88">
        <f t="shared" si="0"/>
        <v>20090.076000000001</v>
      </c>
      <c r="O28" s="88">
        <f t="shared" si="22"/>
        <v>23751.781000000003</v>
      </c>
      <c r="P28" s="89">
        <f t="shared" si="23"/>
        <v>483619.90900000004</v>
      </c>
      <c r="R28" s="90">
        <f t="shared" si="24"/>
        <v>160</v>
      </c>
      <c r="S28" s="90">
        <f t="shared" si="25"/>
        <v>122.7</v>
      </c>
      <c r="T28" s="90">
        <f t="shared" si="1"/>
        <v>336.3</v>
      </c>
      <c r="U28" s="90"/>
      <c r="V28" s="90">
        <f t="shared" si="26"/>
        <v>1321</v>
      </c>
      <c r="W28" s="91">
        <f t="shared" si="2"/>
        <v>699.9</v>
      </c>
      <c r="X28" s="90">
        <f t="shared" si="27"/>
        <v>1321</v>
      </c>
      <c r="Y28" s="90" t="str">
        <f t="shared" si="28"/>
        <v>0</v>
      </c>
      <c r="Z28" s="90">
        <f t="shared" si="3"/>
        <v>133.1</v>
      </c>
      <c r="AA28" s="90">
        <f t="shared" si="29"/>
        <v>1940</v>
      </c>
      <c r="AB28" s="90">
        <f t="shared" si="30"/>
        <v>197</v>
      </c>
      <c r="AC28" s="90">
        <f t="shared" si="30"/>
        <v>27</v>
      </c>
      <c r="AD28" s="90">
        <f t="shared" si="31"/>
        <v>346</v>
      </c>
      <c r="AE28" s="90">
        <f t="shared" si="32"/>
        <v>122</v>
      </c>
      <c r="AF28" s="90">
        <f t="shared" si="33"/>
        <v>226</v>
      </c>
      <c r="AG28" s="90">
        <f t="shared" si="33"/>
        <v>29</v>
      </c>
      <c r="AH28" s="90">
        <f t="shared" si="34"/>
        <v>332</v>
      </c>
      <c r="AI28" s="90">
        <f t="shared" si="35"/>
        <v>77</v>
      </c>
      <c r="AJ28" s="90">
        <f t="shared" si="36"/>
        <v>185</v>
      </c>
      <c r="AK28" s="90">
        <f t="shared" si="36"/>
        <v>42</v>
      </c>
      <c r="AL28" s="90">
        <f t="shared" si="37"/>
        <v>295</v>
      </c>
      <c r="AM28" s="90">
        <f t="shared" si="38"/>
        <v>68</v>
      </c>
      <c r="AN28" s="90">
        <f t="shared" si="39"/>
        <v>65</v>
      </c>
      <c r="AO28" s="90">
        <f t="shared" si="4"/>
        <v>16</v>
      </c>
      <c r="AP28" s="90">
        <f t="shared" si="40"/>
        <v>14</v>
      </c>
      <c r="AQ28" s="90">
        <f t="shared" si="5"/>
        <v>28</v>
      </c>
      <c r="AR28" s="90">
        <f t="shared" si="41"/>
        <v>58.616999999999997</v>
      </c>
      <c r="AS28" s="90">
        <f t="shared" si="42"/>
        <v>125.61699999999996</v>
      </c>
      <c r="AT28" s="90">
        <f t="shared" si="43"/>
        <v>901.61699999999996</v>
      </c>
      <c r="AU28" s="90">
        <f t="shared" si="44"/>
        <v>252</v>
      </c>
      <c r="AV28" s="90">
        <f t="shared" si="66"/>
        <v>32</v>
      </c>
      <c r="AW28" s="90">
        <f t="shared" si="45"/>
        <v>524</v>
      </c>
      <c r="AX28" s="90">
        <f t="shared" si="67"/>
        <v>36</v>
      </c>
      <c r="AY28" s="90" t="str">
        <f t="shared" si="46"/>
        <v/>
      </c>
      <c r="AZ28" s="90">
        <f t="shared" si="47"/>
        <v>411</v>
      </c>
      <c r="BA28" s="90">
        <v>37</v>
      </c>
      <c r="BB28" s="90">
        <f t="shared" si="48"/>
        <v>114</v>
      </c>
      <c r="BC28" s="90">
        <f t="shared" si="48"/>
        <v>589</v>
      </c>
      <c r="BD28" s="91">
        <f t="shared" si="49"/>
        <v>223</v>
      </c>
      <c r="BE28" s="90"/>
      <c r="BF28" s="90"/>
      <c r="BG28" s="90">
        <f t="shared" si="6"/>
        <v>1337</v>
      </c>
      <c r="BH28" s="90">
        <f t="shared" si="50"/>
        <v>1091</v>
      </c>
      <c r="BI28" s="90">
        <f t="shared" si="51"/>
        <v>2164.3829999999998</v>
      </c>
      <c r="BJ28" s="90">
        <f t="shared" si="7"/>
        <v>4487.6170000000002</v>
      </c>
      <c r="BK28" s="92"/>
      <c r="BL28" s="93">
        <f t="shared" si="52"/>
        <v>7743</v>
      </c>
      <c r="BM28" s="93">
        <f t="shared" si="53"/>
        <v>157824</v>
      </c>
      <c r="BN28" s="92"/>
      <c r="BO28" s="94">
        <f t="shared" si="54"/>
        <v>7.9641311461439962E-2</v>
      </c>
      <c r="BP28" s="94">
        <f t="shared" si="54"/>
        <v>6.1074930726991779E-2</v>
      </c>
      <c r="BQ28" s="94">
        <f t="shared" si="55"/>
        <v>0.16739608152801413</v>
      </c>
      <c r="BR28" s="94">
        <f t="shared" si="68"/>
        <v>0.65753857775351365</v>
      </c>
      <c r="BS28" s="94">
        <f t="shared" si="76"/>
        <v>0</v>
      </c>
      <c r="BT28" s="94">
        <f t="shared" si="76"/>
        <v>6.6251615971985367E-2</v>
      </c>
      <c r="BU28" s="95">
        <f t="shared" si="76"/>
        <v>0.96565090146995947</v>
      </c>
      <c r="BV28" s="94">
        <f t="shared" si="9"/>
        <v>6.7363369509006496E-2</v>
      </c>
      <c r="BW28" s="94">
        <f t="shared" si="9"/>
        <v>5.1659283992219363E-2</v>
      </c>
      <c r="BX28" s="94">
        <f t="shared" si="9"/>
        <v>0.14158938228674303</v>
      </c>
      <c r="BY28" s="94">
        <f t="shared" si="56"/>
        <v>0.55616881950873487</v>
      </c>
      <c r="BZ28" s="95">
        <f t="shared" si="10"/>
        <v>0.81678085529670374</v>
      </c>
      <c r="CA28" s="96" t="e">
        <f>#REF!</f>
        <v>#REF!</v>
      </c>
      <c r="CB28" s="94">
        <f t="shared" si="11"/>
        <v>2.4678991440683959E-2</v>
      </c>
      <c r="CC28" s="95">
        <f t="shared" si="11"/>
        <v>5.2887402422580415E-2</v>
      </c>
      <c r="CD28" s="97">
        <f t="shared" si="12"/>
        <v>8.004058218780595E-2</v>
      </c>
      <c r="CE28" s="98">
        <f t="shared" si="12"/>
        <v>0.17152801768575016</v>
      </c>
      <c r="CF28" s="94">
        <f t="shared" si="57"/>
        <v>0.841880341880342</v>
      </c>
      <c r="CG28" s="94">
        <f t="shared" si="57"/>
        <v>0.11538461538461539</v>
      </c>
      <c r="CH28" s="95">
        <f t="shared" si="58"/>
        <v>1.4786324786324787</v>
      </c>
      <c r="CI28" s="96" t="e">
        <f>#REF!</f>
        <v>#REF!</v>
      </c>
      <c r="CJ28" s="94">
        <f t="shared" si="59"/>
        <v>0.52031532029321836</v>
      </c>
      <c r="CK28" s="94">
        <f t="shared" si="59"/>
        <v>6.6766125170368729E-2</v>
      </c>
      <c r="CL28" s="95">
        <f t="shared" si="69"/>
        <v>0.76435701919180754</v>
      </c>
      <c r="CM28" s="95" t="e">
        <f>#REF!</f>
        <v>#REF!</v>
      </c>
      <c r="CN28" s="94">
        <f t="shared" si="60"/>
        <v>0.81476548847172903</v>
      </c>
      <c r="CO28" s="94">
        <f t="shared" si="60"/>
        <v>0.18497378657196006</v>
      </c>
      <c r="CP28" s="95">
        <f t="shared" si="61"/>
        <v>1.2992206437792433</v>
      </c>
      <c r="CQ28" s="95" t="e">
        <f>#REF!</f>
        <v>#REF!</v>
      </c>
      <c r="CR28" s="97">
        <f t="shared" si="70"/>
        <v>0.15588457059316715</v>
      </c>
      <c r="CS28" s="95">
        <f t="shared" si="70"/>
        <v>3.8371586607548837E-2</v>
      </c>
      <c r="CT28" s="96" t="e">
        <f>#REF!</f>
        <v>#REF!</v>
      </c>
      <c r="CU28" s="97">
        <f t="shared" si="71"/>
        <v>2.0097005373939238E-2</v>
      </c>
      <c r="CV28" s="95">
        <f t="shared" si="62"/>
        <v>4.0194010747878477E-2</v>
      </c>
      <c r="CW28" s="96" t="e">
        <f>#REF!</f>
        <v>#REF!</v>
      </c>
      <c r="CX28" s="99">
        <f t="shared" si="63"/>
        <v>0.10609730697668524</v>
      </c>
      <c r="CY28" s="95">
        <f t="shared" si="63"/>
        <v>1.3472673901801298E-2</v>
      </c>
      <c r="CZ28" s="99">
        <f t="shared" si="63"/>
        <v>0.22061503514199626</v>
      </c>
      <c r="DA28" s="95">
        <f t="shared" si="63"/>
        <v>1.5156758139526461E-2</v>
      </c>
      <c r="DB28" s="94">
        <f t="shared" si="13"/>
        <v>0.17303965542626043</v>
      </c>
      <c r="DC28" s="94">
        <f t="shared" si="14"/>
        <v>4.7996400775167126E-2</v>
      </c>
      <c r="DD28" s="94">
        <f t="shared" si="14"/>
        <v>0.24798140400503016</v>
      </c>
      <c r="DE28" s="94">
        <f t="shared" si="14"/>
        <v>9.3887696253177805E-2</v>
      </c>
      <c r="DF28" s="94">
        <f t="shared" si="14"/>
        <v>0</v>
      </c>
      <c r="DG28" s="94">
        <f t="shared" si="14"/>
        <v>0</v>
      </c>
      <c r="DH28" s="95">
        <f t="shared" si="14"/>
        <v>0.56290515645963557</v>
      </c>
      <c r="DI28" s="96" t="e">
        <f>#REF!</f>
        <v>#REF!</v>
      </c>
      <c r="DJ28" s="95">
        <f t="shared" si="64"/>
        <v>0.45933397583953806</v>
      </c>
      <c r="DK28" s="96" t="e">
        <f>#REF!</f>
        <v>#REF!</v>
      </c>
      <c r="DL28" s="95">
        <f t="shared" si="15"/>
        <v>0.91125082367507493</v>
      </c>
      <c r="DM28" s="96">
        <f t="shared" si="16"/>
        <v>0</v>
      </c>
      <c r="DN28" s="94">
        <f t="shared" si="17"/>
        <v>1.8893812636618701</v>
      </c>
      <c r="DO28" s="100">
        <v>3.4</v>
      </c>
      <c r="DP28" s="94">
        <f>IF($O28&lt;&gt;0,IF($O28&lt;&gt;0,BL28/$O28*10,0)," ")</f>
        <v>3.2599660631764831</v>
      </c>
      <c r="DQ28" s="94">
        <f t="shared" si="73"/>
        <v>3.2633892249460721</v>
      </c>
      <c r="DR28" s="101">
        <f t="shared" si="18"/>
        <v>0</v>
      </c>
      <c r="DS28" s="173"/>
      <c r="DT28" s="103">
        <v>23</v>
      </c>
      <c r="DU28" s="160">
        <v>606472</v>
      </c>
      <c r="DV28" s="135">
        <v>22916</v>
      </c>
      <c r="DW28" s="120">
        <v>5091451</v>
      </c>
      <c r="DX28" s="183">
        <v>99380</v>
      </c>
      <c r="DY28" s="120">
        <v>80147</v>
      </c>
      <c r="DZ28" s="120">
        <v>361153</v>
      </c>
      <c r="EA28" s="139">
        <v>208800</v>
      </c>
      <c r="EB28" s="161">
        <v>47445</v>
      </c>
      <c r="EC28" s="77">
        <v>366548</v>
      </c>
      <c r="ED28" s="135">
        <v>43870</v>
      </c>
      <c r="EE28" s="136">
        <v>35928</v>
      </c>
      <c r="EF28" s="121">
        <v>37473</v>
      </c>
      <c r="EG28" s="120">
        <v>88669</v>
      </c>
      <c r="EH28" s="120">
        <v>174755</v>
      </c>
      <c r="EI28" s="120">
        <v>28561</v>
      </c>
      <c r="EJ28" s="77">
        <v>36964</v>
      </c>
      <c r="EK28" s="77"/>
      <c r="EL28" s="120">
        <v>676724</v>
      </c>
      <c r="EM28" s="120">
        <v>3363</v>
      </c>
      <c r="EN28" s="121">
        <v>39260</v>
      </c>
      <c r="EO28" s="120">
        <v>2835801</v>
      </c>
      <c r="EP28" s="121">
        <v>2609121</v>
      </c>
      <c r="EQ28" s="121">
        <v>0</v>
      </c>
      <c r="ER28" s="121">
        <v>1331</v>
      </c>
      <c r="ES28" s="77">
        <v>271116</v>
      </c>
      <c r="ET28" s="77">
        <v>356942</v>
      </c>
      <c r="EU28" s="77">
        <v>370550</v>
      </c>
      <c r="EV28" s="77">
        <v>108822</v>
      </c>
      <c r="EW28" s="121">
        <v>65656</v>
      </c>
      <c r="EX28" s="120">
        <v>195640</v>
      </c>
      <c r="EY28" s="120">
        <v>1557090</v>
      </c>
      <c r="EZ28" s="136">
        <v>696031</v>
      </c>
      <c r="FA28" s="151">
        <v>717600</v>
      </c>
      <c r="FB28" s="150">
        <v>29527</v>
      </c>
      <c r="FC28" s="177">
        <v>6652</v>
      </c>
      <c r="FD28" s="104">
        <f t="shared" si="75"/>
        <v>6203</v>
      </c>
      <c r="FE28" s="105">
        <f t="shared" si="77"/>
        <v>0</v>
      </c>
      <c r="FF28" s="105">
        <f t="shared" si="77"/>
        <v>715</v>
      </c>
      <c r="FG28" s="105">
        <f t="shared" si="77"/>
        <v>909</v>
      </c>
      <c r="FH28" s="105">
        <f t="shared" si="77"/>
        <v>2142</v>
      </c>
      <c r="FI28" s="105">
        <f t="shared" si="77"/>
        <v>679</v>
      </c>
      <c r="FJ28" s="105">
        <f t="shared" si="77"/>
        <v>0</v>
      </c>
      <c r="FK28" s="105">
        <f t="shared" si="77"/>
        <v>395</v>
      </c>
      <c r="FL28" s="105">
        <f t="shared" si="77"/>
        <v>1363</v>
      </c>
      <c r="FM28" s="105">
        <f t="shared" si="77"/>
        <v>0</v>
      </c>
      <c r="FN28" s="80">
        <f t="shared" si="74"/>
        <v>1540</v>
      </c>
      <c r="FO28" s="174">
        <f>FO27+1540</f>
        <v>56775</v>
      </c>
      <c r="FP28" s="132">
        <f>966742-965696</f>
        <v>1046</v>
      </c>
      <c r="FR28" s="64"/>
      <c r="FS28" s="64"/>
      <c r="FT28" s="64"/>
      <c r="FU28" s="64"/>
      <c r="FV28" s="64"/>
      <c r="FW28" s="64"/>
      <c r="FX28" s="64"/>
      <c r="FY28" s="64">
        <v>23</v>
      </c>
      <c r="FZ28" s="107"/>
      <c r="GA28" s="107"/>
      <c r="GB28" s="107"/>
      <c r="GC28" s="109"/>
      <c r="GD28" s="110"/>
      <c r="GE28" s="110"/>
      <c r="GF28" s="111"/>
      <c r="GG28" s="111"/>
      <c r="GH28" s="111"/>
      <c r="GI28" s="112"/>
      <c r="GJ28" s="111" t="e">
        <f t="shared" si="65"/>
        <v>#DIV/0!</v>
      </c>
      <c r="GK28" s="118"/>
    </row>
    <row r="29" spans="1:193" ht="15" customHeight="1">
      <c r="B29" s="573">
        <v>42790</v>
      </c>
      <c r="D29" s="317">
        <v>5532.6</v>
      </c>
      <c r="E29" s="128">
        <v>3684</v>
      </c>
      <c r="F29" s="86">
        <v>2820.096</v>
      </c>
      <c r="G29" s="86">
        <v>0</v>
      </c>
      <c r="H29" s="86">
        <v>6480.4029999999993</v>
      </c>
      <c r="I29" s="86">
        <v>1375.8989999999999</v>
      </c>
      <c r="J29" s="86">
        <v>4917.6000000000004</v>
      </c>
      <c r="K29" s="284">
        <v>0</v>
      </c>
      <c r="L29" s="167"/>
      <c r="M29" s="115">
        <f t="shared" si="21"/>
        <v>6293.4989999999998</v>
      </c>
      <c r="N29" s="88">
        <f t="shared" si="0"/>
        <v>18517.098999999998</v>
      </c>
      <c r="O29" s="88">
        <f t="shared" si="22"/>
        <v>21663.8485</v>
      </c>
      <c r="P29" s="89">
        <f t="shared" si="23"/>
        <v>505283.75750000007</v>
      </c>
      <c r="R29" s="90">
        <f t="shared" si="24"/>
        <v>228</v>
      </c>
      <c r="S29" s="90">
        <f t="shared" si="25"/>
        <v>21.8</v>
      </c>
      <c r="T29" s="90">
        <f t="shared" si="1"/>
        <v>1219</v>
      </c>
      <c r="U29" s="90"/>
      <c r="V29" s="90">
        <f t="shared" si="26"/>
        <v>1293</v>
      </c>
      <c r="W29" s="91">
        <f t="shared" si="2"/>
        <v>346.5</v>
      </c>
      <c r="X29" s="90">
        <f t="shared" si="27"/>
        <v>1293</v>
      </c>
      <c r="Y29" s="90" t="str">
        <f t="shared" si="28"/>
        <v>0</v>
      </c>
      <c r="Z29" s="90">
        <f t="shared" si="3"/>
        <v>144.5</v>
      </c>
      <c r="AA29" s="90">
        <f t="shared" si="29"/>
        <v>2761.8</v>
      </c>
      <c r="AB29" s="90">
        <f t="shared" si="30"/>
        <v>238</v>
      </c>
      <c r="AC29" s="90">
        <f t="shared" si="30"/>
        <v>24</v>
      </c>
      <c r="AD29" s="90">
        <f t="shared" si="31"/>
        <v>439</v>
      </c>
      <c r="AE29" s="90">
        <f t="shared" si="32"/>
        <v>177</v>
      </c>
      <c r="AF29" s="90">
        <f t="shared" si="33"/>
        <v>196</v>
      </c>
      <c r="AG29" s="90">
        <f t="shared" si="33"/>
        <v>19</v>
      </c>
      <c r="AH29" s="90">
        <f t="shared" si="34"/>
        <v>294</v>
      </c>
      <c r="AI29" s="90">
        <f t="shared" si="35"/>
        <v>79</v>
      </c>
      <c r="AJ29" s="90">
        <f t="shared" si="36"/>
        <v>180</v>
      </c>
      <c r="AK29" s="90">
        <f t="shared" si="36"/>
        <v>24</v>
      </c>
      <c r="AL29" s="90">
        <f t="shared" si="37"/>
        <v>271</v>
      </c>
      <c r="AM29" s="90">
        <f t="shared" si="38"/>
        <v>67</v>
      </c>
      <c r="AN29" s="90">
        <f t="shared" si="39"/>
        <v>0</v>
      </c>
      <c r="AO29" s="90">
        <f t="shared" si="4"/>
        <v>0</v>
      </c>
      <c r="AP29" s="90">
        <f t="shared" si="40"/>
        <v>20</v>
      </c>
      <c r="AQ29" s="90">
        <f t="shared" si="5"/>
        <v>35</v>
      </c>
      <c r="AR29" s="90">
        <f t="shared" si="41"/>
        <v>55.238999999999997</v>
      </c>
      <c r="AS29" s="90">
        <f t="shared" si="42"/>
        <v>121.23900000000003</v>
      </c>
      <c r="AT29" s="90">
        <f t="shared" si="43"/>
        <v>617.23900000000003</v>
      </c>
      <c r="AU29" s="90">
        <f t="shared" si="44"/>
        <v>145</v>
      </c>
      <c r="AV29" s="90">
        <f t="shared" si="66"/>
        <v>12</v>
      </c>
      <c r="AW29" s="90">
        <f t="shared" si="45"/>
        <v>351</v>
      </c>
      <c r="AX29" s="90">
        <f t="shared" si="67"/>
        <v>26</v>
      </c>
      <c r="AY29" s="90" t="str">
        <f t="shared" si="46"/>
        <v/>
      </c>
      <c r="AZ29" s="90">
        <f t="shared" si="47"/>
        <v>353</v>
      </c>
      <c r="BA29" s="90">
        <v>46</v>
      </c>
      <c r="BB29" s="90">
        <f t="shared" si="48"/>
        <v>151</v>
      </c>
      <c r="BC29" s="90">
        <f t="shared" si="48"/>
        <v>953</v>
      </c>
      <c r="BD29" s="91">
        <f t="shared" si="49"/>
        <v>0</v>
      </c>
      <c r="BE29" s="90"/>
      <c r="BF29" s="90"/>
      <c r="BG29" s="90">
        <f t="shared" si="6"/>
        <v>1457</v>
      </c>
      <c r="BH29" s="90">
        <f t="shared" si="50"/>
        <v>1433</v>
      </c>
      <c r="BI29" s="90">
        <f t="shared" si="51"/>
        <v>1126.9609999999993</v>
      </c>
      <c r="BJ29" s="90">
        <f>IF(BH29=0,"",(AA29+AD29+AO29+BG29+AH29+AL29+AQ29+AS29+AX29+AV29))</f>
        <v>5417.0390000000007</v>
      </c>
      <c r="BK29" s="92"/>
      <c r="BL29" s="93">
        <f t="shared" si="52"/>
        <v>7977</v>
      </c>
      <c r="BM29" s="93">
        <f t="shared" si="53"/>
        <v>165801</v>
      </c>
      <c r="BN29" s="92"/>
      <c r="BO29" s="94">
        <f t="shared" si="54"/>
        <v>0.12312943836396836</v>
      </c>
      <c r="BP29" s="94">
        <f t="shared" si="54"/>
        <v>1.1772902440063644E-2</v>
      </c>
      <c r="BQ29" s="94">
        <f t="shared" si="55"/>
        <v>0.65831046213016409</v>
      </c>
      <c r="BR29" s="94">
        <f t="shared" si="68"/>
        <v>0.6982735254588206</v>
      </c>
      <c r="BS29" s="94">
        <f t="shared" si="76"/>
        <v>0</v>
      </c>
      <c r="BT29" s="94">
        <f t="shared" si="76"/>
        <v>7.8035981770146617E-2</v>
      </c>
      <c r="BU29" s="95">
        <f t="shared" si="76"/>
        <v>1.4914863283930169</v>
      </c>
      <c r="BV29" s="94">
        <f t="shared" si="9"/>
        <v>0.10524445829650259</v>
      </c>
      <c r="BW29" s="94">
        <f t="shared" si="9"/>
        <v>1.0062847328349809E-2</v>
      </c>
      <c r="BX29" s="94">
        <f t="shared" si="9"/>
        <v>0.56268857308524844</v>
      </c>
      <c r="BY29" s="94">
        <f t="shared" si="56"/>
        <v>0.59684686218148175</v>
      </c>
      <c r="BZ29" s="95">
        <f t="shared" si="10"/>
        <v>1.2748427408915828</v>
      </c>
      <c r="CA29" s="96" t="e">
        <f>#REF!</f>
        <v>#REF!</v>
      </c>
      <c r="CB29" s="94">
        <f t="shared" si="11"/>
        <v>2.5498239613335548E-2</v>
      </c>
      <c r="CC29" s="95">
        <f t="shared" si="11"/>
        <v>5.5963740699165258E-2</v>
      </c>
      <c r="CD29" s="97">
        <f t="shared" si="12"/>
        <v>8.7771524234769874E-2</v>
      </c>
      <c r="CE29" s="98">
        <f t="shared" si="12"/>
        <v>0.19264164497364666</v>
      </c>
      <c r="CF29" s="94">
        <f t="shared" si="57"/>
        <v>0.43017749340274014</v>
      </c>
      <c r="CG29" s="94">
        <f t="shared" si="57"/>
        <v>4.3379243032209081E-2</v>
      </c>
      <c r="CH29" s="95">
        <f t="shared" si="58"/>
        <v>0.79347865379749127</v>
      </c>
      <c r="CI29" s="96" t="e">
        <f>#REF!</f>
        <v>#REF!</v>
      </c>
      <c r="CJ29" s="94">
        <f t="shared" si="59"/>
        <v>0.53203040173724214</v>
      </c>
      <c r="CK29" s="94">
        <f t="shared" si="59"/>
        <v>5.1574375678610201E-2</v>
      </c>
      <c r="CL29" s="95">
        <f t="shared" si="69"/>
        <v>0.7980456026058631</v>
      </c>
      <c r="CM29" s="95" t="e">
        <f>#REF!</f>
        <v>#REF!</v>
      </c>
      <c r="CN29" s="94">
        <f t="shared" si="60"/>
        <v>0.63827614379084963</v>
      </c>
      <c r="CO29" s="94">
        <f t="shared" si="60"/>
        <v>8.5103485838779955E-2</v>
      </c>
      <c r="CP29" s="95">
        <f t="shared" si="61"/>
        <v>0.96096019426289037</v>
      </c>
      <c r="CQ29" s="95" t="e">
        <f>#REF!</f>
        <v>#REF!</v>
      </c>
      <c r="CR29" s="97" t="str">
        <f t="shared" si="70"/>
        <v xml:space="preserve">0,00 </v>
      </c>
      <c r="CS29" s="95" t="str">
        <f t="shared" si="70"/>
        <v xml:space="preserve">0,00 </v>
      </c>
      <c r="CT29" s="96" t="e">
        <f>#REF!</f>
        <v>#REF!</v>
      </c>
      <c r="CU29" s="97">
        <f t="shared" si="71"/>
        <v>3.0862278163873453E-2</v>
      </c>
      <c r="CV29" s="95">
        <f t="shared" si="62"/>
        <v>5.4008986786778547E-2</v>
      </c>
      <c r="CW29" s="96" t="e">
        <f>#REF!</f>
        <v>#REF!</v>
      </c>
      <c r="CX29" s="99">
        <f t="shared" si="63"/>
        <v>6.6931782688565242E-2</v>
      </c>
      <c r="CY29" s="95">
        <f t="shared" si="63"/>
        <v>5.5391820156053991E-3</v>
      </c>
      <c r="CZ29" s="99">
        <f t="shared" si="63"/>
        <v>0.1620210739564579</v>
      </c>
      <c r="DA29" s="95">
        <f t="shared" si="63"/>
        <v>1.2001561033811697E-2</v>
      </c>
      <c r="DB29" s="94">
        <f t="shared" si="13"/>
        <v>0.16294427095905881</v>
      </c>
      <c r="DC29" s="94">
        <f t="shared" si="14"/>
        <v>6.9701373696367933E-2</v>
      </c>
      <c r="DD29" s="94">
        <f t="shared" si="14"/>
        <v>0.43990337173932881</v>
      </c>
      <c r="DE29" s="94">
        <f t="shared" si="14"/>
        <v>0</v>
      </c>
      <c r="DF29" s="94">
        <f t="shared" si="14"/>
        <v>0</v>
      </c>
      <c r="DG29" s="94">
        <f t="shared" si="14"/>
        <v>0</v>
      </c>
      <c r="DH29" s="95">
        <f t="shared" si="14"/>
        <v>0.67254901639475551</v>
      </c>
      <c r="DI29" s="96" t="e">
        <f>#REF!</f>
        <v>#REF!</v>
      </c>
      <c r="DJ29" s="95">
        <f t="shared" si="64"/>
        <v>0.66147065236354474</v>
      </c>
      <c r="DK29" s="96" t="e">
        <f>#REF!</f>
        <v>#REF!</v>
      </c>
      <c r="DL29" s="95">
        <f t="shared" si="15"/>
        <v>0.52020350862405607</v>
      </c>
      <c r="DM29" s="96">
        <f t="shared" si="16"/>
        <v>0</v>
      </c>
      <c r="DN29" s="94">
        <f t="shared" si="17"/>
        <v>2.5004970838860885</v>
      </c>
      <c r="DO29" s="100">
        <v>3.4</v>
      </c>
      <c r="DP29" s="94">
        <f t="shared" si="72"/>
        <v>3.6821712448736887</v>
      </c>
      <c r="DQ29" s="94">
        <f t="shared" si="73"/>
        <v>3.281344344420174</v>
      </c>
      <c r="DR29" s="101">
        <f t="shared" si="18"/>
        <v>0</v>
      </c>
      <c r="DS29" s="178"/>
      <c r="DT29" s="103">
        <v>24</v>
      </c>
      <c r="DU29" s="120">
        <v>606710</v>
      </c>
      <c r="DV29" s="76">
        <v>22940</v>
      </c>
      <c r="DW29" s="120">
        <v>5091890</v>
      </c>
      <c r="DX29" s="120">
        <v>99576</v>
      </c>
      <c r="DY29" s="120">
        <v>80166</v>
      </c>
      <c r="DZ29" s="120">
        <v>361447</v>
      </c>
      <c r="EA29" s="77">
        <v>208980</v>
      </c>
      <c r="EB29" s="174">
        <v>47469</v>
      </c>
      <c r="EC29" s="77">
        <v>366819</v>
      </c>
      <c r="ED29" s="76">
        <v>43870</v>
      </c>
      <c r="EE29" s="77">
        <v>35928</v>
      </c>
      <c r="EF29" s="77">
        <v>37473</v>
      </c>
      <c r="EG29" s="76">
        <v>88689</v>
      </c>
      <c r="EH29" s="76">
        <v>174790</v>
      </c>
      <c r="EI29" s="76">
        <v>28573</v>
      </c>
      <c r="EJ29" s="77">
        <v>36990</v>
      </c>
      <c r="EK29" s="77"/>
      <c r="EL29" s="76">
        <v>676952</v>
      </c>
      <c r="EM29" s="76">
        <v>12190</v>
      </c>
      <c r="EN29" s="121">
        <v>39308</v>
      </c>
      <c r="EO29" s="76">
        <v>2837094</v>
      </c>
      <c r="EP29" s="77">
        <v>2612586</v>
      </c>
      <c r="EQ29" s="77">
        <v>0</v>
      </c>
      <c r="ER29" s="77">
        <v>1445</v>
      </c>
      <c r="ES29" s="77">
        <v>271678</v>
      </c>
      <c r="ET29" s="77">
        <v>412181</v>
      </c>
      <c r="EU29" s="77">
        <v>370901</v>
      </c>
      <c r="EV29" s="77">
        <v>108967</v>
      </c>
      <c r="EW29" s="77">
        <v>66009</v>
      </c>
      <c r="EX29" s="76">
        <v>195791</v>
      </c>
      <c r="EY29" s="76">
        <v>1558043</v>
      </c>
      <c r="EZ29" s="77">
        <v>696249</v>
      </c>
      <c r="FA29" s="151">
        <v>717600</v>
      </c>
      <c r="FB29" s="151">
        <v>29576</v>
      </c>
      <c r="FC29" s="149">
        <v>6544</v>
      </c>
      <c r="FD29" s="104">
        <f t="shared" si="75"/>
        <v>7367</v>
      </c>
      <c r="FE29" s="105">
        <f t="shared" si="77"/>
        <v>0</v>
      </c>
      <c r="FF29" s="105">
        <f t="shared" si="77"/>
        <v>527</v>
      </c>
      <c r="FG29" s="105">
        <f t="shared" si="77"/>
        <v>2185</v>
      </c>
      <c r="FH29" s="105">
        <f t="shared" si="77"/>
        <v>1534</v>
      </c>
      <c r="FI29" s="105">
        <f t="shared" si="77"/>
        <v>516</v>
      </c>
      <c r="FJ29" s="105">
        <f t="shared" si="77"/>
        <v>0</v>
      </c>
      <c r="FK29" s="105">
        <f t="shared" si="77"/>
        <v>242</v>
      </c>
      <c r="FL29" s="105">
        <f t="shared" si="77"/>
        <v>2363</v>
      </c>
      <c r="FM29" s="105">
        <f t="shared" si="77"/>
        <v>0</v>
      </c>
      <c r="FN29" s="80">
        <v>610</v>
      </c>
      <c r="FO29" s="77">
        <v>51587</v>
      </c>
      <c r="FP29" s="132" t="s">
        <v>166</v>
      </c>
      <c r="FR29" s="64"/>
      <c r="FS29" s="64"/>
      <c r="FT29" s="64"/>
      <c r="FU29" s="64"/>
      <c r="FV29" s="64"/>
      <c r="FW29" s="64"/>
      <c r="FX29" s="64"/>
      <c r="FY29" s="64">
        <v>24</v>
      </c>
      <c r="FZ29" s="107"/>
      <c r="GA29" s="107"/>
      <c r="GB29" s="107"/>
      <c r="GC29" s="109"/>
      <c r="GD29" s="110"/>
      <c r="GE29" s="110"/>
      <c r="GF29" s="111"/>
      <c r="GG29" s="111"/>
      <c r="GH29" s="111"/>
      <c r="GI29" s="179"/>
      <c r="GJ29" s="111" t="e">
        <f t="shared" si="65"/>
        <v>#DIV/0!</v>
      </c>
      <c r="GK29" s="113"/>
    </row>
    <row r="30" spans="1:193" ht="15" customHeight="1">
      <c r="B30" s="573">
        <v>42791</v>
      </c>
      <c r="D30" s="317">
        <v>5106.24</v>
      </c>
      <c r="E30" s="128">
        <v>4836</v>
      </c>
      <c r="F30" s="86">
        <v>2728.7280000000001</v>
      </c>
      <c r="G30" s="86">
        <v>0</v>
      </c>
      <c r="H30" s="86">
        <v>6457.9260000000004</v>
      </c>
      <c r="I30" s="86">
        <v>1908.096</v>
      </c>
      <c r="J30" s="86">
        <v>3195.36</v>
      </c>
      <c r="K30" s="284">
        <v>0</v>
      </c>
      <c r="L30" s="167"/>
      <c r="M30" s="115">
        <f t="shared" si="21"/>
        <v>5103.4560000000001</v>
      </c>
      <c r="N30" s="88">
        <f t="shared" si="0"/>
        <v>19128.894</v>
      </c>
      <c r="O30" s="88">
        <f t="shared" si="22"/>
        <v>21680.621999999999</v>
      </c>
      <c r="P30" s="89">
        <f t="shared" si="23"/>
        <v>526964.37950000004</v>
      </c>
      <c r="R30" s="90">
        <f t="shared" si="24"/>
        <v>232</v>
      </c>
      <c r="S30" s="90">
        <f t="shared" si="25"/>
        <v>73.5</v>
      </c>
      <c r="T30" s="90">
        <f t="shared" si="1"/>
        <v>330.5</v>
      </c>
      <c r="U30" s="90"/>
      <c r="V30" s="90">
        <f t="shared" si="26"/>
        <v>1517</v>
      </c>
      <c r="W30" s="91">
        <f>IF(EP30=0,"",(EP30-EP29)/10)</f>
        <v>138.1</v>
      </c>
      <c r="X30" s="90">
        <f t="shared" si="27"/>
        <v>1517</v>
      </c>
      <c r="Y30" s="90" t="str">
        <f t="shared" si="28"/>
        <v>0</v>
      </c>
      <c r="Z30" s="90">
        <f t="shared" si="3"/>
        <v>161.30000000000001</v>
      </c>
      <c r="AA30" s="90">
        <f t="shared" si="29"/>
        <v>2153</v>
      </c>
      <c r="AB30" s="90">
        <f t="shared" si="30"/>
        <v>0</v>
      </c>
      <c r="AC30" s="90">
        <f t="shared" si="30"/>
        <v>0</v>
      </c>
      <c r="AD30" s="90">
        <f t="shared" si="31"/>
        <v>383</v>
      </c>
      <c r="AE30" s="90">
        <f t="shared" si="32"/>
        <v>383</v>
      </c>
      <c r="AF30" s="90">
        <f t="shared" si="33"/>
        <v>205</v>
      </c>
      <c r="AG30" s="90">
        <f t="shared" si="33"/>
        <v>11</v>
      </c>
      <c r="AH30" s="90">
        <f t="shared" si="34"/>
        <v>302</v>
      </c>
      <c r="AI30" s="90">
        <f t="shared" si="35"/>
        <v>86</v>
      </c>
      <c r="AJ30" s="90">
        <f>IF(EA30=0,"",(EA30-EA29))</f>
        <v>220</v>
      </c>
      <c r="AK30" s="90">
        <f>IF(EB30=0,"",(EB30-EB29))</f>
        <v>33</v>
      </c>
      <c r="AL30" s="90">
        <f t="shared" si="37"/>
        <v>320</v>
      </c>
      <c r="AM30" s="90">
        <f t="shared" si="38"/>
        <v>67</v>
      </c>
      <c r="AN30" s="90">
        <f t="shared" si="39"/>
        <v>0</v>
      </c>
      <c r="AO30" s="90">
        <f t="shared" si="4"/>
        <v>0</v>
      </c>
      <c r="AP30" s="90">
        <f t="shared" si="40"/>
        <v>12</v>
      </c>
      <c r="AQ30" s="90">
        <f>IF(AP30=0.1,0,(IF(AP30&gt;=(EH30-EH29),(AP30),(EH30-EH29))))</f>
        <v>36</v>
      </c>
      <c r="AR30" s="90">
        <f t="shared" si="41"/>
        <v>109.087</v>
      </c>
      <c r="AS30" s="90">
        <f t="shared" si="42"/>
        <v>216.08699999999999</v>
      </c>
      <c r="AT30" s="90">
        <f t="shared" si="43"/>
        <v>758.08699999999999</v>
      </c>
      <c r="AU30" s="90">
        <f t="shared" si="44"/>
        <v>281</v>
      </c>
      <c r="AV30" s="90">
        <f t="shared" si="66"/>
        <v>14</v>
      </c>
      <c r="AW30" s="90">
        <f t="shared" si="45"/>
        <v>261</v>
      </c>
      <c r="AX30" s="90">
        <f t="shared" si="67"/>
        <v>37</v>
      </c>
      <c r="AY30" s="90" t="str">
        <f t="shared" si="46"/>
        <v/>
      </c>
      <c r="AZ30" s="90">
        <f t="shared" si="47"/>
        <v>389</v>
      </c>
      <c r="BA30" s="90">
        <v>33</v>
      </c>
      <c r="BB30" s="90">
        <f t="shared" si="48"/>
        <v>100</v>
      </c>
      <c r="BC30" s="90">
        <f t="shared" si="48"/>
        <v>1079</v>
      </c>
      <c r="BD30" s="91">
        <f t="shared" si="49"/>
        <v>171</v>
      </c>
      <c r="BE30" s="90"/>
      <c r="BF30" s="90"/>
      <c r="BG30" s="90">
        <f t="shared" si="6"/>
        <v>1739</v>
      </c>
      <c r="BH30" s="90">
        <f t="shared" si="50"/>
        <v>261</v>
      </c>
      <c r="BI30" s="90">
        <f t="shared" si="51"/>
        <v>1690.9130000000005</v>
      </c>
      <c r="BJ30" s="90">
        <f t="shared" si="7"/>
        <v>5200.0869999999995</v>
      </c>
      <c r="BK30" s="92"/>
      <c r="BL30" s="93">
        <f t="shared" si="52"/>
        <v>7152</v>
      </c>
      <c r="BM30" s="93">
        <f t="shared" si="53"/>
        <v>172953</v>
      </c>
      <c r="BN30" s="92"/>
      <c r="BO30" s="94">
        <f t="shared" si="54"/>
        <v>0.12128249547516964</v>
      </c>
      <c r="BP30" s="94">
        <f t="shared" si="54"/>
        <v>3.8423549213038664E-2</v>
      </c>
      <c r="BQ30" s="94">
        <f t="shared" si="55"/>
        <v>0.17277527911441193</v>
      </c>
      <c r="BR30" s="94">
        <f t="shared" si="68"/>
        <v>0.79304114498203615</v>
      </c>
      <c r="BS30" s="94">
        <f t="shared" si="76"/>
        <v>0</v>
      </c>
      <c r="BT30" s="94">
        <f t="shared" si="76"/>
        <v>8.4322700517865806E-2</v>
      </c>
      <c r="BU30" s="95">
        <f t="shared" si="76"/>
        <v>1.1255224687846563</v>
      </c>
      <c r="BV30" s="94">
        <f t="shared" si="9"/>
        <v>0.10700800004723113</v>
      </c>
      <c r="BW30" s="94">
        <f t="shared" si="9"/>
        <v>3.3901241394273654E-2</v>
      </c>
      <c r="BX30" s="94">
        <f t="shared" si="9"/>
        <v>0.15244027592935294</v>
      </c>
      <c r="BY30" s="94">
        <f t="shared" si="56"/>
        <v>0.69970317272262761</v>
      </c>
      <c r="BZ30" s="95">
        <f t="shared" si="10"/>
        <v>0.9930526900934854</v>
      </c>
      <c r="CA30" s="96" t="e">
        <f>#REF!</f>
        <v>#REF!</v>
      </c>
      <c r="CB30" s="94">
        <f t="shared" si="11"/>
        <v>5.0315438367035781E-2</v>
      </c>
      <c r="CC30" s="95">
        <f t="shared" si="11"/>
        <v>9.9668265975025996E-2</v>
      </c>
      <c r="CD30" s="97">
        <f t="shared" si="12"/>
        <v>0.21375123053867812</v>
      </c>
      <c r="CE30" s="98">
        <f t="shared" si="12"/>
        <v>0.42341307537480483</v>
      </c>
      <c r="CF30" s="94">
        <f t="shared" si="57"/>
        <v>0</v>
      </c>
      <c r="CG30" s="94">
        <f t="shared" si="57"/>
        <v>0</v>
      </c>
      <c r="CH30" s="95">
        <f t="shared" si="58"/>
        <v>0.75006266842138247</v>
      </c>
      <c r="CI30" s="96" t="e">
        <f>#REF!</f>
        <v>#REF!</v>
      </c>
      <c r="CJ30" s="94">
        <f t="shared" si="59"/>
        <v>0.42390405293631095</v>
      </c>
      <c r="CK30" s="94">
        <f t="shared" si="59"/>
        <v>2.274607113316791E-2</v>
      </c>
      <c r="CL30" s="95">
        <f t="shared" si="69"/>
        <v>0.62448304383788256</v>
      </c>
      <c r="CM30" s="95" t="e">
        <f>#REF!</f>
        <v>#REF!</v>
      </c>
      <c r="CN30" s="94">
        <f t="shared" si="60"/>
        <v>0.80623645889220175</v>
      </c>
      <c r="CO30" s="94">
        <f t="shared" si="60"/>
        <v>0.12093546883383027</v>
      </c>
      <c r="CP30" s="95">
        <f t="shared" si="61"/>
        <v>1.1727075765704753</v>
      </c>
      <c r="CQ30" s="95" t="e">
        <f>#REF!</f>
        <v>#REF!</v>
      </c>
      <c r="CR30" s="97" t="str">
        <f t="shared" si="70"/>
        <v xml:space="preserve">0,00 </v>
      </c>
      <c r="CS30" s="95" t="str">
        <f t="shared" si="70"/>
        <v xml:space="preserve">0,00 </v>
      </c>
      <c r="CT30" s="96" t="e">
        <f>#REF!</f>
        <v>#REF!</v>
      </c>
      <c r="CU30" s="97">
        <f t="shared" si="71"/>
        <v>1.8581817134479397E-2</v>
      </c>
      <c r="CV30" s="95">
        <f t="shared" si="62"/>
        <v>5.5745451403438194E-2</v>
      </c>
      <c r="CW30" s="96" t="e">
        <f>#REF!</f>
        <v>#REF!</v>
      </c>
      <c r="CX30" s="99">
        <f t="shared" si="63"/>
        <v>0.12960882764341355</v>
      </c>
      <c r="CY30" s="95">
        <f t="shared" si="63"/>
        <v>6.4573793131949813E-3</v>
      </c>
      <c r="CZ30" s="99">
        <f t="shared" si="63"/>
        <v>0.12038400005313502</v>
      </c>
      <c r="DA30" s="95">
        <f t="shared" si="63"/>
        <v>1.7065931042015307E-2</v>
      </c>
      <c r="DB30" s="94">
        <f t="shared" si="13"/>
        <v>0.17942289663091771</v>
      </c>
      <c r="DC30" s="94">
        <f t="shared" si="14"/>
        <v>4.6124137951392724E-2</v>
      </c>
      <c r="DD30" s="94">
        <f t="shared" si="14"/>
        <v>0.49767944849552748</v>
      </c>
      <c r="DE30" s="94">
        <f t="shared" si="14"/>
        <v>7.8872275896881561E-2</v>
      </c>
      <c r="DF30" s="94">
        <f t="shared" si="14"/>
        <v>0</v>
      </c>
      <c r="DG30" s="94">
        <f t="shared" si="14"/>
        <v>0</v>
      </c>
      <c r="DH30" s="95">
        <f t="shared" si="14"/>
        <v>0.80209875897471949</v>
      </c>
      <c r="DI30" s="96" t="e">
        <f>#REF!</f>
        <v>#REF!</v>
      </c>
      <c r="DJ30" s="95">
        <f t="shared" si="64"/>
        <v>0.12038400005313502</v>
      </c>
      <c r="DK30" s="96" t="e">
        <f>#REF!</f>
        <v>#REF!</v>
      </c>
      <c r="DL30" s="95">
        <f t="shared" si="15"/>
        <v>0.77991904475803342</v>
      </c>
      <c r="DM30" s="96">
        <f t="shared" si="16"/>
        <v>0</v>
      </c>
      <c r="DN30" s="94">
        <f t="shared" si="17"/>
        <v>2.3984953014724391</v>
      </c>
      <c r="DO30" s="100">
        <v>3.4</v>
      </c>
      <c r="DP30" s="94">
        <f>IF($O30&lt;&gt;0,IF($O30&lt;&gt;0,BL30/$O30*10,0)," ")</f>
        <v>3.2987983462836077</v>
      </c>
      <c r="DQ30" s="94">
        <f>IF($P30&lt;&gt;0,IF($P30&lt;&gt;0,BM30/$P30*10,0)," ")</f>
        <v>3.2820624453611669</v>
      </c>
      <c r="DR30" s="101">
        <f t="shared" si="18"/>
        <v>0</v>
      </c>
      <c r="DT30" s="103">
        <v>25</v>
      </c>
      <c r="DU30" s="120">
        <v>606710</v>
      </c>
      <c r="DV30" s="76">
        <v>22940</v>
      </c>
      <c r="DW30" s="120">
        <v>5092273</v>
      </c>
      <c r="DX30" s="120">
        <v>99781</v>
      </c>
      <c r="DY30" s="120">
        <v>80177</v>
      </c>
      <c r="DZ30" s="76">
        <v>361749</v>
      </c>
      <c r="EA30" s="77">
        <v>209200</v>
      </c>
      <c r="EB30" s="174">
        <v>47502</v>
      </c>
      <c r="EC30" s="77">
        <v>367139</v>
      </c>
      <c r="ED30" s="76">
        <v>43870</v>
      </c>
      <c r="EE30" s="77">
        <v>35928</v>
      </c>
      <c r="EF30" s="77">
        <v>37473</v>
      </c>
      <c r="EG30" s="76">
        <v>88701</v>
      </c>
      <c r="EH30" s="76">
        <v>174826</v>
      </c>
      <c r="EI30" s="76">
        <v>28587</v>
      </c>
      <c r="EJ30" s="77">
        <v>37027</v>
      </c>
      <c r="EK30" s="77"/>
      <c r="EL30" s="76">
        <v>677184</v>
      </c>
      <c r="EM30" s="76">
        <v>3305</v>
      </c>
      <c r="EN30" s="77">
        <v>39363</v>
      </c>
      <c r="EO30" s="76">
        <v>2838611</v>
      </c>
      <c r="EP30" s="77">
        <v>2613967</v>
      </c>
      <c r="EQ30" s="77">
        <v>0</v>
      </c>
      <c r="ER30" s="77">
        <v>1613</v>
      </c>
      <c r="ES30" s="77">
        <v>272327</v>
      </c>
      <c r="ET30" s="77">
        <v>521268</v>
      </c>
      <c r="EU30" s="77">
        <v>371162</v>
      </c>
      <c r="EV30" s="77">
        <v>109248</v>
      </c>
      <c r="EW30" s="77">
        <v>66398</v>
      </c>
      <c r="EX30" s="76">
        <v>195891</v>
      </c>
      <c r="EY30" s="76">
        <v>1559122</v>
      </c>
      <c r="EZ30" s="77">
        <v>696984</v>
      </c>
      <c r="FA30" s="149">
        <v>717771</v>
      </c>
      <c r="FB30" s="151">
        <v>29610</v>
      </c>
      <c r="FC30" s="127">
        <v>6891</v>
      </c>
      <c r="FD30" s="104">
        <f t="shared" si="75"/>
        <v>7152</v>
      </c>
      <c r="FE30" s="105">
        <f t="shared" si="77"/>
        <v>0</v>
      </c>
      <c r="FF30" s="105">
        <f t="shared" si="77"/>
        <v>578</v>
      </c>
      <c r="FG30" s="105">
        <f t="shared" si="77"/>
        <v>2159</v>
      </c>
      <c r="FH30" s="105">
        <f t="shared" si="77"/>
        <v>2005</v>
      </c>
      <c r="FI30" s="105">
        <f t="shared" si="77"/>
        <v>637</v>
      </c>
      <c r="FJ30" s="105">
        <f t="shared" si="77"/>
        <v>0</v>
      </c>
      <c r="FK30" s="105">
        <f t="shared" si="77"/>
        <v>113</v>
      </c>
      <c r="FL30" s="105">
        <f t="shared" si="77"/>
        <v>1660</v>
      </c>
      <c r="FM30" s="105">
        <f t="shared" si="77"/>
        <v>0</v>
      </c>
      <c r="FN30" s="80">
        <v>0</v>
      </c>
      <c r="FO30" s="77">
        <v>51587</v>
      </c>
      <c r="FP30" s="132">
        <f>967415-966742</f>
        <v>673</v>
      </c>
      <c r="FR30" s="64"/>
      <c r="FS30" s="64"/>
      <c r="FT30" s="64"/>
      <c r="FU30" s="64"/>
      <c r="FV30" s="64"/>
      <c r="FW30" s="64"/>
      <c r="FX30" s="64"/>
      <c r="FY30" s="64">
        <v>25</v>
      </c>
      <c r="FZ30" s="107"/>
      <c r="GA30" s="107"/>
      <c r="GB30" s="180"/>
      <c r="GC30" s="109"/>
      <c r="GD30" s="110"/>
      <c r="GE30" s="110"/>
      <c r="GF30" s="111"/>
      <c r="GG30" s="111"/>
      <c r="GH30" s="111"/>
      <c r="GI30" s="164"/>
      <c r="GJ30" s="111" t="e">
        <f t="shared" si="65"/>
        <v>#DIV/0!</v>
      </c>
    </row>
    <row r="31" spans="1:193" ht="15" customHeight="1">
      <c r="B31" s="573">
        <v>42792</v>
      </c>
      <c r="D31" s="317">
        <v>0</v>
      </c>
      <c r="E31" s="128">
        <v>0</v>
      </c>
      <c r="F31" s="86">
        <v>2619.36</v>
      </c>
      <c r="G31" s="86">
        <v>0</v>
      </c>
      <c r="H31" s="86">
        <v>6464.6799999999994</v>
      </c>
      <c r="I31" s="86">
        <v>970.6</v>
      </c>
      <c r="J31" s="86">
        <v>3624.72</v>
      </c>
      <c r="K31" s="284">
        <v>0</v>
      </c>
      <c r="L31" s="167"/>
      <c r="M31" s="115">
        <f t="shared" si="21"/>
        <v>4595.32</v>
      </c>
      <c r="N31" s="88">
        <f t="shared" si="0"/>
        <v>9084.0399999999991</v>
      </c>
      <c r="O31" s="88">
        <f t="shared" si="22"/>
        <v>11381.699999999999</v>
      </c>
      <c r="P31" s="89">
        <f t="shared" si="23"/>
        <v>538346.07949999999</v>
      </c>
      <c r="R31" s="90">
        <f t="shared" si="24"/>
        <v>248</v>
      </c>
      <c r="S31" s="90">
        <f t="shared" si="25"/>
        <v>37.200000000000003</v>
      </c>
      <c r="T31" s="90">
        <f t="shared" si="1"/>
        <v>489.9</v>
      </c>
      <c r="U31" s="90"/>
      <c r="V31" s="90">
        <f t="shared" si="26"/>
        <v>1209</v>
      </c>
      <c r="W31" s="91">
        <f t="shared" si="2"/>
        <v>111.2</v>
      </c>
      <c r="X31" s="90">
        <f t="shared" si="27"/>
        <v>1209</v>
      </c>
      <c r="Y31" s="90" t="str">
        <f t="shared" si="28"/>
        <v>0</v>
      </c>
      <c r="Z31" s="90">
        <f t="shared" si="3"/>
        <v>109</v>
      </c>
      <c r="AA31" s="90">
        <f t="shared" si="29"/>
        <v>1984.1</v>
      </c>
      <c r="AB31" s="90">
        <f t="shared" si="30"/>
        <v>0</v>
      </c>
      <c r="AC31" s="90">
        <f t="shared" si="30"/>
        <v>0</v>
      </c>
      <c r="AD31" s="90">
        <f t="shared" si="31"/>
        <v>0</v>
      </c>
      <c r="AE31" s="90">
        <f t="shared" si="32"/>
        <v>0</v>
      </c>
      <c r="AF31" s="90">
        <f t="shared" si="33"/>
        <v>0</v>
      </c>
      <c r="AG31" s="90">
        <f t="shared" si="33"/>
        <v>22</v>
      </c>
      <c r="AH31" s="90">
        <f t="shared" si="34"/>
        <v>49</v>
      </c>
      <c r="AI31" s="90">
        <f t="shared" si="35"/>
        <v>27</v>
      </c>
      <c r="AJ31" s="90">
        <f t="shared" si="36"/>
        <v>248</v>
      </c>
      <c r="AK31" s="90">
        <f t="shared" si="36"/>
        <v>35</v>
      </c>
      <c r="AL31" s="90">
        <f t="shared" si="37"/>
        <v>348</v>
      </c>
      <c r="AM31" s="90">
        <f t="shared" si="38"/>
        <v>65</v>
      </c>
      <c r="AN31" s="90">
        <f t="shared" si="39"/>
        <v>0</v>
      </c>
      <c r="AO31" s="90">
        <f t="shared" si="4"/>
        <v>59</v>
      </c>
      <c r="AP31" s="90">
        <f t="shared" si="40"/>
        <v>26</v>
      </c>
      <c r="AQ31" s="90">
        <f t="shared" si="5"/>
        <v>35</v>
      </c>
      <c r="AR31" s="90">
        <f t="shared" si="41"/>
        <v>73.215000000000003</v>
      </c>
      <c r="AS31" s="90">
        <f t="shared" si="42"/>
        <v>115.21500000000003</v>
      </c>
      <c r="AT31" s="90">
        <f t="shared" si="43"/>
        <v>656.21500000000003</v>
      </c>
      <c r="AU31" s="90">
        <f t="shared" si="44"/>
        <v>196</v>
      </c>
      <c r="AV31" s="90">
        <f t="shared" si="66"/>
        <v>54</v>
      </c>
      <c r="AW31" s="90">
        <f t="shared" si="45"/>
        <v>345</v>
      </c>
      <c r="AX31" s="90">
        <f t="shared" si="67"/>
        <v>38</v>
      </c>
      <c r="AY31" s="90" t="str">
        <f t="shared" si="46"/>
        <v/>
      </c>
      <c r="AZ31" s="90">
        <f t="shared" si="47"/>
        <v>382</v>
      </c>
      <c r="BA31" s="90">
        <v>0</v>
      </c>
      <c r="BB31" s="90">
        <f t="shared" si="48"/>
        <v>80</v>
      </c>
      <c r="BC31" s="90">
        <f t="shared" si="48"/>
        <v>1175</v>
      </c>
      <c r="BD31" s="91">
        <f t="shared" si="49"/>
        <v>369</v>
      </c>
      <c r="BE31" s="90"/>
      <c r="BF31" s="90"/>
      <c r="BG31" s="90">
        <f t="shared" si="6"/>
        <v>2006</v>
      </c>
      <c r="BH31" s="90">
        <f t="shared" si="50"/>
        <v>-55</v>
      </c>
      <c r="BI31" s="90">
        <f t="shared" si="51"/>
        <v>1736.6849999999995</v>
      </c>
      <c r="BJ31" s="90">
        <f t="shared" si="7"/>
        <v>4688.3150000000005</v>
      </c>
      <c r="BK31" s="92"/>
      <c r="BL31" s="93">
        <f t="shared" si="52"/>
        <v>6370</v>
      </c>
      <c r="BM31" s="93">
        <f t="shared" si="53"/>
        <v>179323</v>
      </c>
      <c r="BN31" s="92"/>
      <c r="BO31" s="94">
        <f t="shared" si="54"/>
        <v>0.27300628354784878</v>
      </c>
      <c r="BP31" s="94">
        <f t="shared" si="54"/>
        <v>4.095094253217732E-2</v>
      </c>
      <c r="BQ31" s="94">
        <f t="shared" si="55"/>
        <v>0.53929749318585118</v>
      </c>
      <c r="BR31" s="94">
        <f t="shared" si="68"/>
        <v>1.3309056322957626</v>
      </c>
      <c r="BS31" s="94">
        <f t="shared" si="76"/>
        <v>0</v>
      </c>
      <c r="BT31" s="94">
        <f t="shared" si="76"/>
        <v>0.11999066494643354</v>
      </c>
      <c r="BU31" s="95">
        <f t="shared" si="76"/>
        <v>2.1841603515616401</v>
      </c>
      <c r="BV31" s="94">
        <f t="shared" si="9"/>
        <v>0.21789363627577604</v>
      </c>
      <c r="BW31" s="94">
        <f t="shared" si="9"/>
        <v>3.2684045441366411E-2</v>
      </c>
      <c r="BX31" s="94">
        <f t="shared" si="9"/>
        <v>0.43042779198186565</v>
      </c>
      <c r="BY31" s="94">
        <f t="shared" si="56"/>
        <v>1.0622314768444083</v>
      </c>
      <c r="BZ31" s="95">
        <f t="shared" si="10"/>
        <v>1.7432369505434162</v>
      </c>
      <c r="CA31" s="96" t="e">
        <f>#REF!</f>
        <v>#REF!</v>
      </c>
      <c r="CB31" s="94">
        <f t="shared" si="11"/>
        <v>6.4326945886818324E-2</v>
      </c>
      <c r="CC31" s="95">
        <f t="shared" si="11"/>
        <v>0.10122828751416751</v>
      </c>
      <c r="CD31" s="97">
        <f t="shared" si="12"/>
        <v>0.15932513948974178</v>
      </c>
      <c r="CE31" s="98">
        <f t="shared" si="12"/>
        <v>0.25072247416937238</v>
      </c>
      <c r="CF31" s="94" t="str">
        <f t="shared" si="57"/>
        <v>0,00</v>
      </c>
      <c r="CG31" s="94" t="str">
        <f>IF($D31&lt;&gt;0,IF($D31&lt;&gt;0,AC31/$D31*10,0),"0,00")</f>
        <v>0,00</v>
      </c>
      <c r="CH31" s="95" t="str">
        <f t="shared" si="58"/>
        <v xml:space="preserve">0,00 </v>
      </c>
      <c r="CI31" s="96" t="e">
        <f>#REF!</f>
        <v>#REF!</v>
      </c>
      <c r="CJ31" s="94" t="str">
        <f t="shared" si="59"/>
        <v>0,00</v>
      </c>
      <c r="CK31" s="94" t="str">
        <f t="shared" si="59"/>
        <v>0,00</v>
      </c>
      <c r="CL31" s="95" t="str">
        <f t="shared" si="69"/>
        <v xml:space="preserve">0,00 </v>
      </c>
      <c r="CM31" s="95" t="e">
        <f>#REF!</f>
        <v>#REF!</v>
      </c>
      <c r="CN31" s="94">
        <f t="shared" si="60"/>
        <v>0.94679616394844546</v>
      </c>
      <c r="CO31" s="94">
        <f t="shared" si="60"/>
        <v>0.1336204263636919</v>
      </c>
      <c r="CP31" s="95">
        <f t="shared" si="61"/>
        <v>1.328568810701851</v>
      </c>
      <c r="CQ31" s="95" t="e">
        <f>#REF!</f>
        <v>#REF!</v>
      </c>
      <c r="CR31" s="97" t="str">
        <f t="shared" si="70"/>
        <v xml:space="preserve">0,00 </v>
      </c>
      <c r="CS31" s="95" t="str">
        <f t="shared" si="70"/>
        <v xml:space="preserve">0,00 </v>
      </c>
      <c r="CT31" s="96" t="e">
        <f>#REF!</f>
        <v>#REF!</v>
      </c>
      <c r="CU31" s="97">
        <f t="shared" si="71"/>
        <v>4.0218541366316668E-2</v>
      </c>
      <c r="CV31" s="95">
        <f t="shared" si="62"/>
        <v>5.4140344146964739E-2</v>
      </c>
      <c r="CW31" s="96" t="e">
        <f>#REF!</f>
        <v>#REF!</v>
      </c>
      <c r="CX31" s="99">
        <f t="shared" si="63"/>
        <v>0.17220626092762947</v>
      </c>
      <c r="CY31" s="95">
        <f t="shared" si="63"/>
        <v>4.7444582092306078E-2</v>
      </c>
      <c r="CZ31" s="99">
        <f t="shared" si="63"/>
        <v>0.30311816336751107</v>
      </c>
      <c r="DA31" s="95">
        <f t="shared" si="63"/>
        <v>3.33869281390302E-2</v>
      </c>
      <c r="DB31" s="94">
        <f t="shared" si="13"/>
        <v>0.3356264881344615</v>
      </c>
      <c r="DC31" s="94">
        <f t="shared" si="14"/>
        <v>7.0288269766379377E-2</v>
      </c>
      <c r="DD31" s="94">
        <f t="shared" si="14"/>
        <v>1.032358962193697</v>
      </c>
      <c r="DE31" s="94">
        <f t="shared" si="14"/>
        <v>0.3242046442974249</v>
      </c>
      <c r="DF31" s="94">
        <f t="shared" si="14"/>
        <v>0</v>
      </c>
      <c r="DG31" s="94">
        <f t="shared" si="14"/>
        <v>0</v>
      </c>
      <c r="DH31" s="95">
        <f t="shared" si="14"/>
        <v>1.7624783643919628</v>
      </c>
      <c r="DI31" s="96" t="e">
        <f>#REF!</f>
        <v>#REF!</v>
      </c>
      <c r="DJ31" s="95">
        <f t="shared" si="64"/>
        <v>-4.8323185464385812E-2</v>
      </c>
      <c r="DK31" s="96" t="e">
        <f>#REF!</f>
        <v>#REF!</v>
      </c>
      <c r="DL31" s="95">
        <f t="shared" si="15"/>
        <v>1.5258572972403064</v>
      </c>
      <c r="DM31" s="96">
        <f t="shared" si="16"/>
        <v>0</v>
      </c>
      <c r="DN31" s="94">
        <f t="shared" si="17"/>
        <v>4.1191693683720363</v>
      </c>
      <c r="DO31" s="100">
        <v>3.4</v>
      </c>
      <c r="DP31" s="94">
        <f t="shared" si="72"/>
        <v>5.5967034801479576</v>
      </c>
      <c r="DQ31" s="94">
        <f t="shared" si="73"/>
        <v>3.3309985310295174</v>
      </c>
      <c r="DR31" s="101">
        <f t="shared" si="18"/>
        <v>0</v>
      </c>
      <c r="DT31" s="182">
        <v>26</v>
      </c>
      <c r="DU31" s="76">
        <v>606710</v>
      </c>
      <c r="DV31" s="76">
        <v>22940</v>
      </c>
      <c r="DW31" s="76">
        <v>5092273</v>
      </c>
      <c r="DX31" s="76">
        <v>99781</v>
      </c>
      <c r="DY31" s="76">
        <v>80199</v>
      </c>
      <c r="DZ31" s="76">
        <v>361798</v>
      </c>
      <c r="EA31" s="77">
        <v>209448</v>
      </c>
      <c r="EB31" s="77">
        <v>47537</v>
      </c>
      <c r="EC31" s="77">
        <v>367487</v>
      </c>
      <c r="ED31" s="77">
        <v>43870</v>
      </c>
      <c r="EE31" s="77">
        <v>35932</v>
      </c>
      <c r="EF31" s="77">
        <v>37528</v>
      </c>
      <c r="EG31" s="76">
        <v>88727</v>
      </c>
      <c r="EH31" s="76">
        <v>174861</v>
      </c>
      <c r="EI31" s="76">
        <v>28641</v>
      </c>
      <c r="EJ31" s="77">
        <v>37065</v>
      </c>
      <c r="EK31" s="77"/>
      <c r="EL31" s="76">
        <v>677432</v>
      </c>
      <c r="EM31" s="76">
        <v>4899</v>
      </c>
      <c r="EN31" s="77">
        <v>39423</v>
      </c>
      <c r="EO31" s="76">
        <v>2839820</v>
      </c>
      <c r="EP31" s="121">
        <v>2615079</v>
      </c>
      <c r="EQ31" s="121">
        <v>0</v>
      </c>
      <c r="ER31" s="121">
        <v>1090</v>
      </c>
      <c r="ES31" s="77">
        <v>272910</v>
      </c>
      <c r="ET31" s="77">
        <v>594483</v>
      </c>
      <c r="EU31" s="77">
        <v>371507</v>
      </c>
      <c r="EV31" s="77">
        <v>109444</v>
      </c>
      <c r="EW31" s="77">
        <v>66780</v>
      </c>
      <c r="EX31" s="76">
        <v>195971</v>
      </c>
      <c r="EY31" s="76">
        <v>1560297</v>
      </c>
      <c r="EZ31" s="77">
        <v>697356</v>
      </c>
      <c r="FA31" s="151">
        <v>718140</v>
      </c>
      <c r="FB31" s="151">
        <v>29610</v>
      </c>
      <c r="FC31" s="149">
        <v>6425</v>
      </c>
      <c r="FD31" s="104">
        <f t="shared" si="75"/>
        <v>6370</v>
      </c>
      <c r="FE31" s="105">
        <f t="shared" si="77"/>
        <v>0</v>
      </c>
      <c r="FF31" s="105">
        <f t="shared" si="77"/>
        <v>537</v>
      </c>
      <c r="FG31" s="105">
        <f t="shared" si="77"/>
        <v>1998</v>
      </c>
      <c r="FH31" s="105">
        <f t="shared" si="77"/>
        <v>1856</v>
      </c>
      <c r="FI31" s="105">
        <f t="shared" si="77"/>
        <v>576</v>
      </c>
      <c r="FJ31" s="105">
        <f t="shared" si="77"/>
        <v>0</v>
      </c>
      <c r="FK31" s="105">
        <f t="shared" si="77"/>
        <v>0</v>
      </c>
      <c r="FL31" s="105">
        <f t="shared" si="77"/>
        <v>1403</v>
      </c>
      <c r="FM31" s="105">
        <f t="shared" si="77"/>
        <v>0</v>
      </c>
      <c r="FN31" s="80">
        <v>0</v>
      </c>
      <c r="FO31" s="77">
        <v>51587</v>
      </c>
      <c r="FP31" s="132" t="s">
        <v>167</v>
      </c>
      <c r="FQ31" s="185"/>
      <c r="FR31" s="64"/>
      <c r="FS31" s="64"/>
      <c r="FT31" s="64"/>
      <c r="FU31" s="64"/>
      <c r="FV31" s="64"/>
      <c r="FW31" s="64"/>
      <c r="FX31" s="64"/>
      <c r="FY31" s="64">
        <v>26</v>
      </c>
      <c r="FZ31" s="107"/>
      <c r="GA31" s="107"/>
      <c r="GB31" s="180"/>
      <c r="GC31" s="109"/>
      <c r="GD31" s="110"/>
      <c r="GE31" s="110"/>
      <c r="GF31" s="111"/>
      <c r="GG31" s="111"/>
      <c r="GH31" s="111"/>
      <c r="GI31" s="112"/>
      <c r="GJ31" s="111" t="e">
        <f t="shared" si="65"/>
        <v>#DIV/0!</v>
      </c>
      <c r="GK31" s="118"/>
    </row>
    <row r="32" spans="1:193" s="119" customFormat="1" ht="15" customHeight="1">
      <c r="B32" s="573">
        <v>42793</v>
      </c>
      <c r="D32" s="317">
        <v>0</v>
      </c>
      <c r="E32" s="128">
        <v>3776.4</v>
      </c>
      <c r="F32" s="86">
        <v>2809.7280000000001</v>
      </c>
      <c r="G32" s="86">
        <v>2968.73</v>
      </c>
      <c r="H32" s="86">
        <v>7596.5309999999999</v>
      </c>
      <c r="I32" s="86">
        <v>1303.547</v>
      </c>
      <c r="J32" s="86">
        <v>5904.36</v>
      </c>
      <c r="K32" s="284">
        <v>0</v>
      </c>
      <c r="L32" s="167"/>
      <c r="M32" s="115">
        <f t="shared" si="21"/>
        <v>7207.9069999999992</v>
      </c>
      <c r="N32" s="88">
        <f t="shared" si="0"/>
        <v>17151.388999999999</v>
      </c>
      <c r="O32" s="88">
        <f t="shared" si="22"/>
        <v>20755.342499999999</v>
      </c>
      <c r="P32" s="89">
        <f t="shared" si="23"/>
        <v>559101.42200000002</v>
      </c>
      <c r="R32" s="90">
        <f t="shared" si="24"/>
        <v>155</v>
      </c>
      <c r="S32" s="90">
        <f t="shared" si="25"/>
        <v>17.399999999999999</v>
      </c>
      <c r="T32" s="90">
        <f t="shared" si="1"/>
        <v>619.9</v>
      </c>
      <c r="U32" s="90"/>
      <c r="V32" s="90">
        <f t="shared" si="26"/>
        <v>1352</v>
      </c>
      <c r="W32" s="91">
        <f t="shared" si="2"/>
        <v>208.3</v>
      </c>
      <c r="X32" s="90">
        <f t="shared" si="27"/>
        <v>1352</v>
      </c>
      <c r="Y32" s="90" t="str">
        <f t="shared" si="28"/>
        <v>0</v>
      </c>
      <c r="Z32" s="90">
        <f t="shared" si="3"/>
        <v>156</v>
      </c>
      <c r="AA32" s="90">
        <f t="shared" si="29"/>
        <v>2144.3000000000002</v>
      </c>
      <c r="AB32" s="90">
        <f t="shared" si="30"/>
        <v>0</v>
      </c>
      <c r="AC32" s="90">
        <f t="shared" si="30"/>
        <v>39</v>
      </c>
      <c r="AD32" s="90">
        <f t="shared" si="31"/>
        <v>178</v>
      </c>
      <c r="AE32" s="90">
        <f t="shared" si="32"/>
        <v>139</v>
      </c>
      <c r="AF32" s="90">
        <f t="shared" si="33"/>
        <v>218</v>
      </c>
      <c r="AG32" s="90">
        <f t="shared" si="33"/>
        <v>12</v>
      </c>
      <c r="AH32" s="90">
        <f t="shared" si="34"/>
        <v>288</v>
      </c>
      <c r="AI32" s="90">
        <f t="shared" si="35"/>
        <v>58</v>
      </c>
      <c r="AJ32" s="90">
        <f>IF(EA32=0,"",(EA32-EA31))</f>
        <v>202</v>
      </c>
      <c r="AK32" s="90">
        <f t="shared" si="36"/>
        <v>31</v>
      </c>
      <c r="AL32" s="90">
        <f t="shared" si="37"/>
        <v>299</v>
      </c>
      <c r="AM32" s="90">
        <f t="shared" si="38"/>
        <v>66</v>
      </c>
      <c r="AN32" s="90">
        <f t="shared" si="39"/>
        <v>32</v>
      </c>
      <c r="AO32" s="90">
        <f t="shared" si="4"/>
        <v>50</v>
      </c>
      <c r="AP32" s="90">
        <f t="shared" si="40"/>
        <v>12</v>
      </c>
      <c r="AQ32" s="90">
        <f t="shared" si="5"/>
        <v>26</v>
      </c>
      <c r="AR32" s="90">
        <f t="shared" si="41"/>
        <v>80.186999999999998</v>
      </c>
      <c r="AS32" s="90">
        <f t="shared" si="42"/>
        <v>151.18700000000001</v>
      </c>
      <c r="AT32" s="90">
        <f t="shared" si="43"/>
        <v>920.18700000000001</v>
      </c>
      <c r="AU32" s="90">
        <f t="shared" si="44"/>
        <v>247</v>
      </c>
      <c r="AV32" s="90">
        <f t="shared" si="66"/>
        <v>12</v>
      </c>
      <c r="AW32" s="90">
        <f t="shared" si="45"/>
        <v>522</v>
      </c>
      <c r="AX32" s="90">
        <f t="shared" si="67"/>
        <v>24</v>
      </c>
      <c r="AY32" s="90" t="str">
        <f t="shared" si="46"/>
        <v/>
      </c>
      <c r="AZ32" s="90">
        <f t="shared" si="47"/>
        <v>366</v>
      </c>
      <c r="BA32" s="90">
        <v>0</v>
      </c>
      <c r="BB32" s="90">
        <f t="shared" si="48"/>
        <v>85</v>
      </c>
      <c r="BC32" s="90">
        <f t="shared" si="48"/>
        <v>715</v>
      </c>
      <c r="BD32" s="91">
        <f t="shared" si="49"/>
        <v>352</v>
      </c>
      <c r="BE32" s="90"/>
      <c r="BF32" s="90"/>
      <c r="BG32" s="90">
        <f t="shared" si="6"/>
        <v>1518</v>
      </c>
      <c r="BH32" s="90">
        <f t="shared" si="50"/>
        <v>578</v>
      </c>
      <c r="BI32" s="90">
        <f t="shared" si="51"/>
        <v>1994.5129999999999</v>
      </c>
      <c r="BJ32" s="90">
        <f t="shared" si="7"/>
        <v>4690.4870000000001</v>
      </c>
      <c r="BK32" s="92"/>
      <c r="BL32" s="93">
        <f t="shared" si="52"/>
        <v>7263</v>
      </c>
      <c r="BM32" s="93">
        <f t="shared" si="53"/>
        <v>186586</v>
      </c>
      <c r="BN32" s="92"/>
      <c r="BO32" s="94">
        <f t="shared" si="54"/>
        <v>9.0371689429934801E-2</v>
      </c>
      <c r="BP32" s="94">
        <f t="shared" si="54"/>
        <v>1.0144950942457197E-2</v>
      </c>
      <c r="BQ32" s="94">
        <f t="shared" si="55"/>
        <v>0.36142845340397795</v>
      </c>
      <c r="BR32" s="94">
        <f t="shared" si="68"/>
        <v>0.7882743490920765</v>
      </c>
      <c r="BS32" s="94">
        <f t="shared" si="76"/>
        <v>0</v>
      </c>
      <c r="BT32" s="94">
        <f t="shared" si="76"/>
        <v>9.0954732587547299E-2</v>
      </c>
      <c r="BU32" s="95">
        <f t="shared" si="76"/>
        <v>1.2502194428684466</v>
      </c>
      <c r="BV32" s="94">
        <f t="shared" si="9"/>
        <v>7.4679567441491276E-2</v>
      </c>
      <c r="BW32" s="94">
        <f t="shared" si="9"/>
        <v>8.383383699883536E-3</v>
      </c>
      <c r="BX32" s="94">
        <f t="shared" si="9"/>
        <v>0.29867008939987383</v>
      </c>
      <c r="BY32" s="94">
        <f t="shared" si="56"/>
        <v>0.65139854955416909</v>
      </c>
      <c r="BZ32" s="95">
        <f t="shared" si="10"/>
        <v>1.0331315900954177</v>
      </c>
      <c r="CA32" s="96" t="e">
        <f>#REF!</f>
        <v>#REF!</v>
      </c>
      <c r="CB32" s="94">
        <f t="shared" si="11"/>
        <v>3.8634390157618458E-2</v>
      </c>
      <c r="CC32" s="95">
        <f t="shared" si="11"/>
        <v>7.2842450082430593E-2</v>
      </c>
      <c r="CD32" s="97">
        <f t="shared" si="12"/>
        <v>0.11124866067223121</v>
      </c>
      <c r="CE32" s="98">
        <f t="shared" si="12"/>
        <v>0.20975159640655744</v>
      </c>
      <c r="CF32" s="94" t="str">
        <f t="shared" si="57"/>
        <v>0,00</v>
      </c>
      <c r="CG32" s="94" t="str">
        <f t="shared" si="57"/>
        <v>0,00</v>
      </c>
      <c r="CH32" s="95" t="str">
        <f t="shared" si="58"/>
        <v xml:space="preserve">0,00 </v>
      </c>
      <c r="CI32" s="96" t="e">
        <f>#REF!</f>
        <v>#REF!</v>
      </c>
      <c r="CJ32" s="94">
        <f t="shared" si="59"/>
        <v>0.57726935705963345</v>
      </c>
      <c r="CK32" s="94">
        <f t="shared" si="59"/>
        <v>3.1776294884016523E-2</v>
      </c>
      <c r="CL32" s="95">
        <f t="shared" si="69"/>
        <v>0.76263107721639667</v>
      </c>
      <c r="CM32" s="95" t="e">
        <f>#REF!</f>
        <v>#REF!</v>
      </c>
      <c r="CN32" s="94">
        <f t="shared" si="60"/>
        <v>0.71893080041911528</v>
      </c>
      <c r="CO32" s="94">
        <f t="shared" si="60"/>
        <v>0.11033096442075532</v>
      </c>
      <c r="CP32" s="95">
        <f t="shared" si="61"/>
        <v>1.0641599471550272</v>
      </c>
      <c r="CQ32" s="95" t="e">
        <f>#REF!</f>
        <v>#REF!</v>
      </c>
      <c r="CR32" s="97">
        <f t="shared" si="70"/>
        <v>0.10779019984976741</v>
      </c>
      <c r="CS32" s="95">
        <f t="shared" si="70"/>
        <v>0.16842218726526159</v>
      </c>
      <c r="CT32" s="96" t="e">
        <f>#REF!</f>
        <v>#REF!</v>
      </c>
      <c r="CU32" s="97">
        <f t="shared" si="71"/>
        <v>1.5796684039069937E-2</v>
      </c>
      <c r="CV32" s="95">
        <f t="shared" si="62"/>
        <v>3.42261487513182E-2</v>
      </c>
      <c r="CW32" s="96" t="e">
        <f>#REF!</f>
        <v>#REF!</v>
      </c>
      <c r="CX32" s="99">
        <f t="shared" si="63"/>
        <v>0.11900550424547318</v>
      </c>
      <c r="CY32" s="95">
        <f t="shared" si="63"/>
        <v>5.7816439309541631E-3</v>
      </c>
      <c r="CZ32" s="99">
        <f t="shared" si="63"/>
        <v>0.25150151099650608</v>
      </c>
      <c r="DA32" s="95">
        <f t="shared" si="63"/>
        <v>1.1563287861908326E-2</v>
      </c>
      <c r="DB32" s="94">
        <f t="shared" si="13"/>
        <v>0.17634013989410197</v>
      </c>
      <c r="DC32" s="94">
        <f t="shared" si="14"/>
        <v>4.0953311177591989E-2</v>
      </c>
      <c r="DD32" s="94">
        <f t="shared" si="14"/>
        <v>0.34448961755268559</v>
      </c>
      <c r="DE32" s="94">
        <f t="shared" si="14"/>
        <v>0.16959488864132211</v>
      </c>
      <c r="DF32" s="94">
        <f t="shared" si="14"/>
        <v>0</v>
      </c>
      <c r="DG32" s="94">
        <f t="shared" si="14"/>
        <v>0</v>
      </c>
      <c r="DH32" s="95">
        <f t="shared" si="14"/>
        <v>0.73137795726570154</v>
      </c>
      <c r="DI32" s="96" t="e">
        <f>#REF!</f>
        <v>#REF!</v>
      </c>
      <c r="DJ32" s="95">
        <f t="shared" si="64"/>
        <v>0.27848251600762552</v>
      </c>
      <c r="DK32" s="96" t="e">
        <f>#REF!</f>
        <v>#REF!</v>
      </c>
      <c r="DL32" s="95">
        <f t="shared" si="15"/>
        <v>0.96096366513826492</v>
      </c>
      <c r="DM32" s="96">
        <f t="shared" si="16"/>
        <v>0</v>
      </c>
      <c r="DN32" s="94">
        <f>IF($O32&lt;&gt;0,BJ32/$O32*10,"")</f>
        <v>2.2598938080641169</v>
      </c>
      <c r="DO32" s="100">
        <v>3.4</v>
      </c>
      <c r="DP32" s="94">
        <f t="shared" si="72"/>
        <v>3.4993399892100072</v>
      </c>
      <c r="DQ32" s="94">
        <f t="shared" si="73"/>
        <v>3.3372478169086106</v>
      </c>
      <c r="DR32" s="101"/>
      <c r="DS32" s="173"/>
      <c r="DT32" s="134">
        <v>27</v>
      </c>
      <c r="DU32" s="76">
        <v>606710</v>
      </c>
      <c r="DV32" s="76">
        <v>22979</v>
      </c>
      <c r="DW32" s="76">
        <v>5092451</v>
      </c>
      <c r="DX32" s="76">
        <v>99999</v>
      </c>
      <c r="DY32" s="76">
        <v>80211</v>
      </c>
      <c r="DZ32" s="296">
        <v>362086</v>
      </c>
      <c r="EA32" s="77">
        <v>209650</v>
      </c>
      <c r="EB32" s="77">
        <v>47568</v>
      </c>
      <c r="EC32" s="77">
        <v>367786</v>
      </c>
      <c r="ED32" s="77">
        <v>43902</v>
      </c>
      <c r="EE32" s="77">
        <v>35955</v>
      </c>
      <c r="EF32" s="77">
        <v>37555</v>
      </c>
      <c r="EG32" s="76">
        <v>88739</v>
      </c>
      <c r="EH32" s="76">
        <v>174887</v>
      </c>
      <c r="EI32" s="76">
        <v>28653</v>
      </c>
      <c r="EJ32" s="77">
        <v>37089</v>
      </c>
      <c r="EK32" s="77"/>
      <c r="EL32" s="76">
        <v>677587</v>
      </c>
      <c r="EM32" s="76">
        <v>6199</v>
      </c>
      <c r="EN32" s="77">
        <v>39454</v>
      </c>
      <c r="EO32" s="76">
        <v>2841172</v>
      </c>
      <c r="EP32" s="124">
        <v>2617162</v>
      </c>
      <c r="EQ32" s="77">
        <v>0</v>
      </c>
      <c r="ER32" s="77">
        <v>1560</v>
      </c>
      <c r="ES32" s="77">
        <v>273750</v>
      </c>
      <c r="ET32" s="77">
        <v>674670</v>
      </c>
      <c r="EU32" s="77">
        <v>372029</v>
      </c>
      <c r="EV32" s="77">
        <v>109691</v>
      </c>
      <c r="EW32" s="77">
        <v>67146</v>
      </c>
      <c r="EX32" s="76">
        <v>196056</v>
      </c>
      <c r="EY32" s="76">
        <v>1561012</v>
      </c>
      <c r="EZ32" s="77">
        <v>697530</v>
      </c>
      <c r="FA32" s="151">
        <v>718492</v>
      </c>
      <c r="FB32" s="151">
        <v>29610</v>
      </c>
      <c r="FC32" s="149">
        <v>6685</v>
      </c>
      <c r="FD32" s="104">
        <f t="shared" si="75"/>
        <v>7263</v>
      </c>
      <c r="FE32" s="105">
        <f t="shared" si="77"/>
        <v>0</v>
      </c>
      <c r="FF32" s="105">
        <f t="shared" si="77"/>
        <v>590</v>
      </c>
      <c r="FG32" s="105">
        <f t="shared" si="77"/>
        <v>2203</v>
      </c>
      <c r="FH32" s="105">
        <f t="shared" si="77"/>
        <v>2272</v>
      </c>
      <c r="FI32" s="105">
        <f t="shared" si="77"/>
        <v>716</v>
      </c>
      <c r="FJ32" s="105">
        <f t="shared" si="77"/>
        <v>0</v>
      </c>
      <c r="FK32" s="105">
        <f t="shared" si="77"/>
        <v>0</v>
      </c>
      <c r="FL32" s="105">
        <f t="shared" si="77"/>
        <v>1482</v>
      </c>
      <c r="FM32" s="105">
        <f t="shared" si="77"/>
        <v>0</v>
      </c>
      <c r="FN32" s="80">
        <v>0</v>
      </c>
      <c r="FO32" s="77">
        <v>51587</v>
      </c>
      <c r="FP32" s="132">
        <f>968955-967415</f>
        <v>1540</v>
      </c>
      <c r="FQ32" s="186"/>
      <c r="FY32" s="119">
        <v>27</v>
      </c>
      <c r="FZ32" s="107"/>
      <c r="GA32" s="107"/>
      <c r="GB32" s="180"/>
      <c r="GC32" s="109"/>
      <c r="GD32" s="110"/>
      <c r="GE32" s="110"/>
      <c r="GF32" s="111"/>
      <c r="GG32" s="111"/>
      <c r="GH32" s="111"/>
      <c r="GI32" s="164"/>
      <c r="GJ32" s="111" t="e">
        <f t="shared" si="65"/>
        <v>#DIV/0!</v>
      </c>
    </row>
    <row r="33" spans="1:193" s="119" customFormat="1" ht="15" customHeight="1">
      <c r="A33" s="119">
        <v>0</v>
      </c>
      <c r="B33" s="573">
        <v>42794</v>
      </c>
      <c r="D33" s="317">
        <v>0</v>
      </c>
      <c r="E33" s="128">
        <v>5445.12</v>
      </c>
      <c r="F33" s="86">
        <v>2426.1120000000001</v>
      </c>
      <c r="G33" s="86">
        <v>5324.4679999999998</v>
      </c>
      <c r="H33" s="86">
        <v>8865.4009999999998</v>
      </c>
      <c r="I33" s="86">
        <v>2370.1610000000001</v>
      </c>
      <c r="J33" s="86">
        <v>2457.48</v>
      </c>
      <c r="K33" s="284">
        <v>0</v>
      </c>
      <c r="L33" s="167"/>
      <c r="M33" s="115">
        <f t="shared" si="21"/>
        <v>4827.6409999999996</v>
      </c>
      <c r="N33" s="88">
        <f t="shared" si="0"/>
        <v>22061.101000000002</v>
      </c>
      <c r="O33" s="88">
        <f t="shared" si="22"/>
        <v>24474.921500000004</v>
      </c>
      <c r="P33" s="89">
        <f t="shared" si="23"/>
        <v>583576.34350000008</v>
      </c>
      <c r="R33" s="90">
        <f t="shared" si="24"/>
        <v>28</v>
      </c>
      <c r="S33" s="90">
        <f t="shared" si="25"/>
        <v>72.7</v>
      </c>
      <c r="T33" s="90">
        <f t="shared" si="1"/>
        <v>80.7</v>
      </c>
      <c r="U33" s="90"/>
      <c r="V33" s="90">
        <f t="shared" si="26"/>
        <v>1532</v>
      </c>
      <c r="W33" s="91">
        <f t="shared" si="2"/>
        <v>185.3</v>
      </c>
      <c r="X33" s="90">
        <f t="shared" si="27"/>
        <v>1532</v>
      </c>
      <c r="Y33" s="90" t="str">
        <f t="shared" si="28"/>
        <v>0</v>
      </c>
      <c r="Z33" s="90">
        <f t="shared" si="3"/>
        <v>178.7</v>
      </c>
      <c r="AA33" s="90">
        <f t="shared" si="29"/>
        <v>1713.4</v>
      </c>
      <c r="AB33" s="90">
        <f t="shared" si="30"/>
        <v>0</v>
      </c>
      <c r="AC33" s="90">
        <f t="shared" si="30"/>
        <v>0</v>
      </c>
      <c r="AD33" s="90">
        <f>(IF(SUM(AB33:AC33)&gt;=(DW33-DW32),(SUM(AB33:AC33)),(DW33-DW32)))</f>
        <v>0</v>
      </c>
      <c r="AE33" s="90">
        <f t="shared" si="32"/>
        <v>0</v>
      </c>
      <c r="AF33" s="90">
        <f t="shared" si="33"/>
        <v>236</v>
      </c>
      <c r="AG33" s="90">
        <f t="shared" si="33"/>
        <v>27</v>
      </c>
      <c r="AH33" s="90">
        <f t="shared" si="34"/>
        <v>348</v>
      </c>
      <c r="AI33" s="90">
        <f t="shared" si="35"/>
        <v>85</v>
      </c>
      <c r="AJ33" s="90">
        <f>IF(EA33=0,"",(EA33-EA32))</f>
        <v>226</v>
      </c>
      <c r="AK33" s="90">
        <f t="shared" si="36"/>
        <v>47</v>
      </c>
      <c r="AL33" s="90">
        <f t="shared" si="37"/>
        <v>355</v>
      </c>
      <c r="AM33" s="90">
        <f t="shared" si="38"/>
        <v>82</v>
      </c>
      <c r="AN33" s="90">
        <f t="shared" si="39"/>
        <v>23</v>
      </c>
      <c r="AO33" s="90">
        <f t="shared" si="4"/>
        <v>51</v>
      </c>
      <c r="AP33" s="90">
        <f t="shared" si="40"/>
        <v>17</v>
      </c>
      <c r="AQ33" s="90">
        <f t="shared" si="5"/>
        <v>51</v>
      </c>
      <c r="AR33" s="90">
        <f t="shared" si="41"/>
        <v>54.265000000000001</v>
      </c>
      <c r="AS33" s="90">
        <f t="shared" si="42"/>
        <v>122.26499999999999</v>
      </c>
      <c r="AT33" s="90">
        <f t="shared" si="43"/>
        <v>635.26499999999999</v>
      </c>
      <c r="AU33" s="90">
        <f t="shared" si="44"/>
        <v>288</v>
      </c>
      <c r="AV33" s="90">
        <f t="shared" si="66"/>
        <v>31</v>
      </c>
      <c r="AW33" s="90">
        <f t="shared" si="45"/>
        <v>225</v>
      </c>
      <c r="AX33" s="90">
        <f t="shared" si="67"/>
        <v>46</v>
      </c>
      <c r="AY33" s="90" t="str">
        <f t="shared" si="46"/>
        <v/>
      </c>
      <c r="AZ33" s="90">
        <f t="shared" si="47"/>
        <v>268</v>
      </c>
      <c r="BA33" s="90">
        <v>48</v>
      </c>
      <c r="BB33" s="90">
        <f t="shared" si="48"/>
        <v>83</v>
      </c>
      <c r="BC33" s="90">
        <f t="shared" si="48"/>
        <v>69</v>
      </c>
      <c r="BD33" s="91">
        <f t="shared" si="49"/>
        <v>22</v>
      </c>
      <c r="BE33" s="90"/>
      <c r="BF33" s="90"/>
      <c r="BG33" s="90">
        <f t="shared" si="6"/>
        <v>442</v>
      </c>
      <c r="BH33" s="90">
        <f t="shared" si="50"/>
        <v>-2145</v>
      </c>
      <c r="BI33" s="90">
        <f t="shared" si="51"/>
        <v>1322.335</v>
      </c>
      <c r="BJ33" s="90">
        <f t="shared" si="7"/>
        <v>3159.665</v>
      </c>
      <c r="BK33" s="92"/>
      <c r="BL33" s="93">
        <f>FD33+FN33</f>
        <v>2337</v>
      </c>
      <c r="BM33" s="93">
        <f>BL33+BM32</f>
        <v>188923</v>
      </c>
      <c r="BN33" s="92"/>
      <c r="BO33" s="94">
        <f t="shared" si="54"/>
        <v>1.2692022941194096E-2</v>
      </c>
      <c r="BP33" s="94">
        <f t="shared" si="54"/>
        <v>3.2953930993743233E-2</v>
      </c>
      <c r="BQ33" s="94">
        <f t="shared" si="55"/>
        <v>3.6580223262655837E-2</v>
      </c>
      <c r="BR33" s="94">
        <f t="shared" si="68"/>
        <v>0.69443496949676264</v>
      </c>
      <c r="BS33" s="94">
        <f t="shared" si="76"/>
        <v>0</v>
      </c>
      <c r="BT33" s="94">
        <f t="shared" si="76"/>
        <v>8.1002303556835159E-2</v>
      </c>
      <c r="BU33" s="95">
        <f t="shared" si="76"/>
        <v>0.77666114669435582</v>
      </c>
      <c r="BV33" s="94">
        <f t="shared" si="9"/>
        <v>1.144028184114911E-2</v>
      </c>
      <c r="BW33" s="94">
        <f t="shared" si="9"/>
        <v>2.9703874637555014E-2</v>
      </c>
      <c r="BX33" s="94">
        <f t="shared" si="9"/>
        <v>3.2972526592169045E-2</v>
      </c>
      <c r="BY33" s="94">
        <f t="shared" si="56"/>
        <v>0.62594684930858713</v>
      </c>
      <c r="BZ33" s="95">
        <f t="shared" si="10"/>
        <v>0.70006353237946028</v>
      </c>
      <c r="CA33" s="96" t="e">
        <f>#REF!</f>
        <v>#REF!</v>
      </c>
      <c r="CB33" s="94">
        <f t="shared" si="11"/>
        <v>2.2171674789641306E-2</v>
      </c>
      <c r="CC33" s="95">
        <f t="shared" si="11"/>
        <v>4.9955216403860567E-2</v>
      </c>
      <c r="CD33" s="97">
        <f t="shared" si="12"/>
        <v>0.11240479563414099</v>
      </c>
      <c r="CE33" s="98">
        <f t="shared" si="12"/>
        <v>0.25326033978085777</v>
      </c>
      <c r="CF33" s="94" t="str">
        <f t="shared" si="57"/>
        <v>0,00</v>
      </c>
      <c r="CG33" s="94" t="str">
        <f t="shared" si="57"/>
        <v>0,00</v>
      </c>
      <c r="CH33" s="95" t="str">
        <f t="shared" si="58"/>
        <v xml:space="preserve">0,00 </v>
      </c>
      <c r="CI33" s="96" t="e">
        <f>#REF!</f>
        <v>#REF!</v>
      </c>
      <c r="CJ33" s="94">
        <f t="shared" si="59"/>
        <v>0.43341560883874003</v>
      </c>
      <c r="CK33" s="94">
        <f t="shared" si="59"/>
        <v>4.9585684062059238E-2</v>
      </c>
      <c r="CL33" s="95">
        <f t="shared" si="69"/>
        <v>0.63910437235543016</v>
      </c>
      <c r="CM33" s="95" t="e">
        <f>#REF!</f>
        <v>#REF!</v>
      </c>
      <c r="CN33" s="94">
        <f t="shared" si="60"/>
        <v>0.93153160282789915</v>
      </c>
      <c r="CO33" s="94">
        <f t="shared" si="60"/>
        <v>0.1937255988181914</v>
      </c>
      <c r="CP33" s="95">
        <f t="shared" si="61"/>
        <v>1.4632465442650626</v>
      </c>
      <c r="CQ33" s="95" t="e">
        <f>#REF!</f>
        <v>#REF!</v>
      </c>
      <c r="CR33" s="97">
        <f t="shared" si="70"/>
        <v>4.3196803887261603E-2</v>
      </c>
      <c r="CS33" s="95">
        <f t="shared" si="70"/>
        <v>9.5784217315232234E-2</v>
      </c>
      <c r="CT33" s="96" t="e">
        <f>#REF!</f>
        <v>#REF!</v>
      </c>
      <c r="CU33" s="97">
        <f t="shared" si="71"/>
        <v>1.9175669549521785E-2</v>
      </c>
      <c r="CV33" s="95">
        <f t="shared" si="62"/>
        <v>5.7527008648565366E-2</v>
      </c>
      <c r="CW33" s="96" t="e">
        <f>#REF!</f>
        <v>#REF!</v>
      </c>
      <c r="CX33" s="99">
        <f t="shared" si="63"/>
        <v>0.11767147036610513</v>
      </c>
      <c r="CY33" s="95">
        <f t="shared" si="63"/>
        <v>1.2666026324129373E-2</v>
      </c>
      <c r="CZ33" s="99">
        <f t="shared" si="63"/>
        <v>9.1930836223519649E-2</v>
      </c>
      <c r="DA33" s="95">
        <f t="shared" si="63"/>
        <v>1.879474873903068E-2</v>
      </c>
      <c r="DB33" s="94">
        <f t="shared" si="13"/>
        <v>0.10949984047957007</v>
      </c>
      <c r="DC33" s="94">
        <f t="shared" si="14"/>
        <v>3.3912264029120578E-2</v>
      </c>
      <c r="DD33" s="94">
        <f t="shared" si="14"/>
        <v>2.8192123108546022E-2</v>
      </c>
      <c r="DE33" s="94">
        <f t="shared" si="14"/>
        <v>8.9887928751885872E-3</v>
      </c>
      <c r="DF33" s="94">
        <f t="shared" si="14"/>
        <v>0</v>
      </c>
      <c r="DG33" s="94">
        <f t="shared" si="14"/>
        <v>0</v>
      </c>
      <c r="DH33" s="95">
        <f t="shared" si="14"/>
        <v>0.18059302049242526</v>
      </c>
      <c r="DI33" s="96" t="e">
        <f>#REF!</f>
        <v>#REF!</v>
      </c>
      <c r="DJ33" s="95">
        <f t="shared" si="64"/>
        <v>-0.87640730533088729</v>
      </c>
      <c r="DK33" s="96" t="e">
        <f>#REF!</f>
        <v>#REF!</v>
      </c>
      <c r="DL33" s="95">
        <f t="shared" si="15"/>
        <v>0.5402816103005682</v>
      </c>
      <c r="DM33" s="96">
        <f t="shared" si="16"/>
        <v>0</v>
      </c>
      <c r="DN33" s="94">
        <f t="shared" si="17"/>
        <v>1.2909806472719429</v>
      </c>
      <c r="DO33" s="100">
        <v>3.4</v>
      </c>
      <c r="DP33" s="94">
        <f t="shared" si="72"/>
        <v>0.95485495224162398</v>
      </c>
      <c r="DQ33" s="94">
        <f t="shared" si="73"/>
        <v>3.2373313638269501</v>
      </c>
      <c r="DR33" s="101">
        <f t="shared" si="18"/>
        <v>0</v>
      </c>
      <c r="DT33" s="134">
        <v>28</v>
      </c>
      <c r="DU33" s="76">
        <v>606710</v>
      </c>
      <c r="DV33" s="76">
        <v>22979</v>
      </c>
      <c r="DW33" s="76">
        <v>5092451</v>
      </c>
      <c r="DX33" s="76">
        <v>100235</v>
      </c>
      <c r="DY33" s="76">
        <v>80238</v>
      </c>
      <c r="DZ33" s="76">
        <v>362434</v>
      </c>
      <c r="EA33" s="77">
        <v>209876</v>
      </c>
      <c r="EB33" s="77">
        <v>47615</v>
      </c>
      <c r="EC33" s="77">
        <v>368141</v>
      </c>
      <c r="ED33" s="76">
        <v>43925</v>
      </c>
      <c r="EE33" s="77">
        <v>35977</v>
      </c>
      <c r="EF33" s="77">
        <v>37584</v>
      </c>
      <c r="EG33" s="76">
        <v>88756</v>
      </c>
      <c r="EH33" s="76">
        <v>174938</v>
      </c>
      <c r="EI33" s="76">
        <v>28684</v>
      </c>
      <c r="EJ33" s="77">
        <v>37135</v>
      </c>
      <c r="EK33" s="77"/>
      <c r="EL33" s="76">
        <v>677615</v>
      </c>
      <c r="EM33" s="76">
        <v>807</v>
      </c>
      <c r="EN33" s="77">
        <v>39454</v>
      </c>
      <c r="EO33" s="76">
        <v>2842704</v>
      </c>
      <c r="EP33" s="77">
        <v>2619015</v>
      </c>
      <c r="EQ33" s="77">
        <v>0</v>
      </c>
      <c r="ER33" s="77">
        <v>1787</v>
      </c>
      <c r="ES33" s="77">
        <v>274331</v>
      </c>
      <c r="ET33" s="77">
        <v>728935</v>
      </c>
      <c r="EU33" s="77">
        <v>372254</v>
      </c>
      <c r="EV33" s="77">
        <v>109979</v>
      </c>
      <c r="EW33" s="77">
        <v>67414</v>
      </c>
      <c r="EX33" s="76">
        <v>196139</v>
      </c>
      <c r="EY33" s="76">
        <v>1561081</v>
      </c>
      <c r="EZ33" s="149">
        <v>698257</v>
      </c>
      <c r="FA33" s="151">
        <v>718514</v>
      </c>
      <c r="FB33" s="151">
        <v>29663</v>
      </c>
      <c r="FC33" s="151">
        <v>4482</v>
      </c>
      <c r="FD33" s="77">
        <f>SUM(FE33:FM33)</f>
        <v>2337</v>
      </c>
      <c r="FE33" s="105">
        <f t="shared" si="77"/>
        <v>0</v>
      </c>
      <c r="FF33" s="105">
        <f t="shared" si="77"/>
        <v>420</v>
      </c>
      <c r="FG33" s="105">
        <f t="shared" si="77"/>
        <v>624</v>
      </c>
      <c r="FH33" s="105">
        <f t="shared" si="77"/>
        <v>512</v>
      </c>
      <c r="FI33" s="105">
        <f t="shared" si="77"/>
        <v>446</v>
      </c>
      <c r="FJ33" s="105">
        <f t="shared" si="77"/>
        <v>0</v>
      </c>
      <c r="FK33" s="105">
        <f t="shared" si="77"/>
        <v>0</v>
      </c>
      <c r="FL33" s="105">
        <f t="shared" si="77"/>
        <v>335</v>
      </c>
      <c r="FM33" s="105">
        <f t="shared" si="77"/>
        <v>0</v>
      </c>
      <c r="FN33" s="80">
        <v>0</v>
      </c>
      <c r="FO33" s="77">
        <v>51587</v>
      </c>
      <c r="FP33" s="307"/>
      <c r="FY33" s="119">
        <v>28</v>
      </c>
      <c r="FZ33" s="107"/>
      <c r="GA33" s="107"/>
      <c r="GB33" s="180"/>
      <c r="GC33" s="109"/>
      <c r="GD33" s="110"/>
      <c r="GE33" s="110"/>
      <c r="GF33" s="111"/>
      <c r="GG33" s="111"/>
      <c r="GH33" s="111"/>
      <c r="GI33" s="164"/>
      <c r="GJ33" s="111" t="e">
        <f t="shared" si="65"/>
        <v>#DIV/0!</v>
      </c>
      <c r="GK33" s="113"/>
    </row>
    <row r="34" spans="1:193" s="10" customFormat="1" ht="15" customHeight="1">
      <c r="A34" s="64" t="s">
        <v>127</v>
      </c>
      <c r="B34" s="193" t="s">
        <v>128</v>
      </c>
      <c r="C34" s="194"/>
      <c r="D34" s="196">
        <f t="shared" ref="D34:O34" si="78">SUM(D6:D33)</f>
        <v>101986.32</v>
      </c>
      <c r="E34" s="196">
        <f t="shared" si="78"/>
        <v>41036.76</v>
      </c>
      <c r="F34" s="196">
        <f t="shared" si="78"/>
        <v>69156.936000000002</v>
      </c>
      <c r="G34" s="196">
        <f t="shared" si="78"/>
        <v>89226.619999999981</v>
      </c>
      <c r="H34" s="196">
        <f t="shared" si="78"/>
        <v>199347.83899999998</v>
      </c>
      <c r="I34" s="196">
        <f t="shared" si="78"/>
        <v>43729.154999999999</v>
      </c>
      <c r="J34" s="196">
        <f t="shared" si="78"/>
        <v>119387.48800000003</v>
      </c>
      <c r="K34" s="196">
        <f t="shared" si="78"/>
        <v>31.593</v>
      </c>
      <c r="L34" s="196">
        <f t="shared" si="78"/>
        <v>1244.52</v>
      </c>
      <c r="M34" s="197">
        <f t="shared" si="78"/>
        <v>163116.64300000004</v>
      </c>
      <c r="N34" s="198">
        <f t="shared" si="78"/>
        <v>500754.47500000009</v>
      </c>
      <c r="O34" s="199">
        <f t="shared" si="78"/>
        <v>583576.34350000008</v>
      </c>
      <c r="P34" s="199">
        <f>P33</f>
        <v>583576.34350000008</v>
      </c>
      <c r="Q34" s="201">
        <f t="shared" ref="Q34:Z34" si="79">SUM(Q6:Q33)</f>
        <v>0</v>
      </c>
      <c r="R34" s="196">
        <f t="shared" si="79"/>
        <v>5615</v>
      </c>
      <c r="S34" s="196">
        <f t="shared" si="79"/>
        <v>1927.8000000000002</v>
      </c>
      <c r="T34" s="196">
        <f t="shared" si="79"/>
        <v>15889.099999999997</v>
      </c>
      <c r="U34" s="196">
        <f t="shared" si="79"/>
        <v>19.600000000000001</v>
      </c>
      <c r="V34" s="196">
        <f t="shared" si="79"/>
        <v>40382</v>
      </c>
      <c r="W34" s="202">
        <f t="shared" si="79"/>
        <v>-81587.199999999997</v>
      </c>
      <c r="X34" s="196">
        <f t="shared" si="79"/>
        <v>40382</v>
      </c>
      <c r="Y34" s="196">
        <f t="shared" si="79"/>
        <v>54.2</v>
      </c>
      <c r="Z34" s="196">
        <f t="shared" si="79"/>
        <v>4271.7</v>
      </c>
      <c r="AA34" s="203">
        <f>SUM(R34:V34)</f>
        <v>63833.5</v>
      </c>
      <c r="AB34" s="196">
        <f t="shared" ref="AB34:BJ34" si="80">SUM(AB6:AB33)</f>
        <v>4695</v>
      </c>
      <c r="AC34" s="196">
        <f t="shared" si="80"/>
        <v>717</v>
      </c>
      <c r="AD34" s="203">
        <f t="shared" si="80"/>
        <v>10116</v>
      </c>
      <c r="AE34" s="203">
        <f t="shared" si="80"/>
        <v>4704</v>
      </c>
      <c r="AF34" s="196">
        <f t="shared" si="80"/>
        <v>2755</v>
      </c>
      <c r="AG34" s="196">
        <f t="shared" si="80"/>
        <v>487</v>
      </c>
      <c r="AH34" s="203">
        <f t="shared" si="80"/>
        <v>5132</v>
      </c>
      <c r="AI34" s="203">
        <f t="shared" si="80"/>
        <v>1890</v>
      </c>
      <c r="AJ34" s="196">
        <f t="shared" si="80"/>
        <v>5610</v>
      </c>
      <c r="AK34" s="196">
        <f t="shared" si="80"/>
        <v>1315</v>
      </c>
      <c r="AL34" s="203">
        <f t="shared" si="80"/>
        <v>9046</v>
      </c>
      <c r="AM34" s="203">
        <f t="shared" si="80"/>
        <v>2121</v>
      </c>
      <c r="AN34" s="196">
        <f t="shared" si="80"/>
        <v>543</v>
      </c>
      <c r="AO34" s="203">
        <f t="shared" si="80"/>
        <v>1017</v>
      </c>
      <c r="AP34" s="196">
        <f t="shared" si="80"/>
        <v>577</v>
      </c>
      <c r="AQ34" s="203">
        <f t="shared" si="80"/>
        <v>1261</v>
      </c>
      <c r="AR34" s="196">
        <f t="shared" si="80"/>
        <v>2094.0909999999999</v>
      </c>
      <c r="AS34" s="203">
        <f t="shared" si="80"/>
        <v>3502.0910000000008</v>
      </c>
      <c r="AT34" s="203">
        <f t="shared" si="80"/>
        <v>19660.091000000004</v>
      </c>
      <c r="AU34" s="204">
        <f t="shared" si="80"/>
        <v>6418</v>
      </c>
      <c r="AV34" s="203">
        <f t="shared" si="80"/>
        <v>1281</v>
      </c>
      <c r="AW34" s="204">
        <f t="shared" si="80"/>
        <v>10874</v>
      </c>
      <c r="AX34" s="203">
        <f t="shared" si="80"/>
        <v>2003</v>
      </c>
      <c r="AY34" s="203">
        <f t="shared" si="80"/>
        <v>0</v>
      </c>
      <c r="AZ34" s="196">
        <f t="shared" si="80"/>
        <v>11563</v>
      </c>
      <c r="BA34" s="196">
        <f t="shared" si="80"/>
        <v>1068</v>
      </c>
      <c r="BB34" s="196">
        <f t="shared" si="80"/>
        <v>2608</v>
      </c>
      <c r="BC34" s="196">
        <f t="shared" si="80"/>
        <v>20952</v>
      </c>
      <c r="BD34" s="202">
        <f t="shared" si="80"/>
        <v>6101</v>
      </c>
      <c r="BE34" s="196">
        <f t="shared" si="80"/>
        <v>0</v>
      </c>
      <c r="BF34" s="196">
        <f t="shared" si="80"/>
        <v>0</v>
      </c>
      <c r="BG34" s="203">
        <f t="shared" si="80"/>
        <v>41224</v>
      </c>
      <c r="BH34" s="203">
        <f t="shared" si="80"/>
        <v>3642</v>
      </c>
      <c r="BI34" s="196">
        <f t="shared" si="80"/>
        <v>46865.409</v>
      </c>
      <c r="BJ34" s="196">
        <f t="shared" si="80"/>
        <v>138415.59100000001</v>
      </c>
      <c r="BK34" s="205"/>
      <c r="BL34" s="196">
        <f>SUM(BL6:BL33)</f>
        <v>188923</v>
      </c>
      <c r="BM34" s="196">
        <f>BM33</f>
        <v>188923</v>
      </c>
      <c r="BN34" s="205"/>
      <c r="BO34" s="94">
        <f>IF($N34&lt;&gt;0,IF($N34&lt;&gt;0,R34/$N34*10,0)," ")</f>
        <v>0.11213080022899444</v>
      </c>
      <c r="BP34" s="206">
        <f>S34/$N$34/0.1</f>
        <v>3.8497908580846923E-2</v>
      </c>
      <c r="BQ34" s="94">
        <f>IF($N34&lt;&gt;0,IF($N34&lt;&gt;0,T34/$N34*10,0)," ")</f>
        <v>0.31730320532831974</v>
      </c>
      <c r="BR34" s="94">
        <f>IF($N34&lt;&gt;0,IF($N34&lt;&gt;0,(V34)/$N34*10,0)," ")</f>
        <v>0.80642314779114044</v>
      </c>
      <c r="BS34" s="206">
        <f>IF($N34&lt;&gt;0,IF($N34&lt;&gt;0,Y34/$N34*10,0)," ")</f>
        <v>1.0823667626734639E-3</v>
      </c>
      <c r="BT34" s="206">
        <f>IF($N34&lt;&gt;0,IF($N34&lt;&gt;0,Z34/$N34*10,0)," ")</f>
        <v>8.5305278599856732E-2</v>
      </c>
      <c r="BU34" s="207">
        <f>IF($N34&lt;&gt;0,IF($N34&lt;&gt;0,AA34/$N34*10,0)," ")</f>
        <v>1.2747464713121135</v>
      </c>
      <c r="BV34" s="206">
        <f>R34/$O$34/0.1</f>
        <v>9.6217059902120566E-2</v>
      </c>
      <c r="BW34" s="206">
        <f>S34/$O$34/0.1</f>
        <v>3.3034238304418172E-2</v>
      </c>
      <c r="BX34" s="206">
        <f>(T34+U34)/$O$34/0.1</f>
        <v>0.27260700638733132</v>
      </c>
      <c r="BY34" s="206">
        <f>(V34)/$O$34/0.1</f>
        <v>0.69197458823997027</v>
      </c>
      <c r="BZ34" s="198">
        <f>AA34/$O$34/0.1</f>
        <v>1.0938328928338403</v>
      </c>
      <c r="CA34" s="208" t="e">
        <f>#REF!</f>
        <v>#REF!</v>
      </c>
      <c r="CB34" s="209">
        <f>IF($O34&lt;&gt;0,IF($O34&lt;&gt;0,AR34/$O34*10,0)," ")</f>
        <v>3.588375408503857E-2</v>
      </c>
      <c r="CC34" s="210">
        <f>IF($O34&lt;&gt;0,IF($O34&lt;&gt;0,AS34/$O34*10,0)," ")</f>
        <v>6.0010845864590809E-2</v>
      </c>
      <c r="CD34" s="211">
        <f>IFERROR(AR34*10/($I34+$J34),"")</f>
        <v>0.12837997162558082</v>
      </c>
      <c r="CE34" s="212">
        <f>IFERROR(AS34*10/(($I34+$J34)),"")</f>
        <v>0.21469857002881063</v>
      </c>
      <c r="CF34" s="206">
        <f>AB34/$D$34/0.1</f>
        <v>0.46035585949174351</v>
      </c>
      <c r="CG34" s="206">
        <f>AC34/$D$34/0.1</f>
        <v>7.03035465933078E-2</v>
      </c>
      <c r="CH34" s="198">
        <f>AD34/$D$34/0.1</f>
        <v>0.99189773687294513</v>
      </c>
      <c r="CI34" s="208" t="e">
        <f>#REF!</f>
        <v>#REF!</v>
      </c>
      <c r="CJ34" s="206">
        <f>AF34/$E$34/0.1</f>
        <v>0.67134929755662964</v>
      </c>
      <c r="CK34" s="206">
        <f>AG34/$E$34/0.1</f>
        <v>0.11867408635574542</v>
      </c>
      <c r="CL34" s="198">
        <f>AH34/$E$34/0.1</f>
        <v>1.2505860599131118</v>
      </c>
      <c r="CM34" s="95" t="e">
        <f>#REF!</f>
        <v>#REF!</v>
      </c>
      <c r="CN34" s="206">
        <f>AJ34/$F$34/0.1</f>
        <v>0.81119846026723907</v>
      </c>
      <c r="CO34" s="206">
        <f>AK34/$F$34/0.1</f>
        <v>0.19014723266513714</v>
      </c>
      <c r="CP34" s="198">
        <f>AL34/$F$34/0.1</f>
        <v>1.3080394423489206</v>
      </c>
      <c r="CQ34" s="213" t="e">
        <f>#REF!</f>
        <v>#REF!</v>
      </c>
      <c r="CR34" s="214">
        <f>AN34/$G$34/0.1</f>
        <v>6.0856278092793391E-2</v>
      </c>
      <c r="CS34" s="198">
        <f>AO34/$G$34/0.1</f>
        <v>0.11397943797490034</v>
      </c>
      <c r="CT34" s="208" t="e">
        <f>#REF!</f>
        <v>#REF!</v>
      </c>
      <c r="CU34" s="214">
        <f>AP34/$H$34/0.1</f>
        <v>2.8944381985500232E-2</v>
      </c>
      <c r="CV34" s="198">
        <f>AQ34/$H$34/0.1</f>
        <v>6.3256266349594095E-2</v>
      </c>
      <c r="CW34" s="96" t="e">
        <f>#REF!</f>
        <v>#REF!</v>
      </c>
      <c r="CX34" s="99">
        <f t="shared" si="63"/>
        <v>0.10997704193264646</v>
      </c>
      <c r="CY34" s="95">
        <f t="shared" si="63"/>
        <v>2.1950855518186367E-2</v>
      </c>
      <c r="CZ34" s="99">
        <f t="shared" si="63"/>
        <v>0.18633380398497937</v>
      </c>
      <c r="DA34" s="198">
        <f>IF($O34&lt;&gt;0,IF($O34&lt;&gt;0,AX34/$O34*10,0)," ")</f>
        <v>3.4322844342644258E-2</v>
      </c>
      <c r="DB34" s="206">
        <f>AZ34/$O$34/0.1</f>
        <v>0.19814031409585398</v>
      </c>
      <c r="DC34" s="206">
        <f t="shared" ref="DC34:DH34" si="81">BB34/$O$34/0.1</f>
        <v>4.4689954091670599E-2</v>
      </c>
      <c r="DD34" s="215">
        <f t="shared" si="81"/>
        <v>0.35902757596958684</v>
      </c>
      <c r="DE34" s="215">
        <f t="shared" si="81"/>
        <v>0.10454501913852852</v>
      </c>
      <c r="DF34" s="215">
        <f t="shared" si="81"/>
        <v>0</v>
      </c>
      <c r="DG34" s="215">
        <f t="shared" si="81"/>
        <v>0</v>
      </c>
      <c r="DH34" s="216">
        <f t="shared" si="81"/>
        <v>0.70640286329563995</v>
      </c>
      <c r="DI34" s="217" t="e">
        <f>#REF!</f>
        <v>#REF!</v>
      </c>
      <c r="DJ34" s="216">
        <f>BH34/$O$34/0.1</f>
        <v>6.2408287117279276E-2</v>
      </c>
      <c r="DK34" s="217" t="e">
        <f>#REF!</f>
        <v>#REF!</v>
      </c>
      <c r="DL34" s="213">
        <f>BI34/$O$34/0.1</f>
        <v>0.80307246039009439</v>
      </c>
      <c r="DM34" s="96">
        <f t="shared" si="16"/>
        <v>0</v>
      </c>
      <c r="DN34" s="206">
        <f>BJ34/$O$34/0.1</f>
        <v>2.3718506163195765</v>
      </c>
      <c r="DO34" s="100">
        <v>3.4</v>
      </c>
      <c r="DP34" s="206">
        <f>BL34/$O$34/0.1</f>
        <v>3.2373313638269501</v>
      </c>
      <c r="DQ34" s="218" t="str">
        <f>IF($Q34&lt;&gt;0,IF($Q34&lt;&gt;0,BM34/$Q34*10,0)," ")</f>
        <v xml:space="preserve"> </v>
      </c>
      <c r="DR34" s="101" t="e">
        <f>#REF!</f>
        <v>#REF!</v>
      </c>
      <c r="DS34" s="64"/>
      <c r="DT34" s="64"/>
      <c r="DU34" s="219"/>
      <c r="DV34" s="219"/>
      <c r="DW34" s="219"/>
      <c r="DX34" s="219"/>
      <c r="DY34" s="219"/>
      <c r="DZ34" s="219"/>
      <c r="EA34" s="219"/>
      <c r="EB34" s="220"/>
      <c r="EC34" s="219"/>
      <c r="ED34" s="219"/>
      <c r="EE34" s="219"/>
      <c r="EF34" s="219"/>
      <c r="EG34" s="219"/>
      <c r="EH34" s="219"/>
      <c r="EI34" s="219"/>
      <c r="EJ34" s="220"/>
      <c r="EK34" s="220"/>
      <c r="EL34" s="219"/>
      <c r="EM34" s="219"/>
      <c r="EN34" s="220"/>
      <c r="EO34" s="219"/>
      <c r="EP34" s="220"/>
      <c r="EQ34" s="220"/>
      <c r="ER34" s="220"/>
      <c r="ES34" s="220"/>
      <c r="ET34" s="220"/>
      <c r="EU34" s="220"/>
      <c r="EV34" s="220"/>
      <c r="EW34" s="220"/>
      <c r="EX34" s="219"/>
      <c r="EY34" s="219"/>
      <c r="EZ34" s="219"/>
      <c r="FA34" s="219"/>
      <c r="FB34" s="219"/>
      <c r="FC34" s="219"/>
      <c r="FD34" s="220"/>
      <c r="FE34" s="574" t="s">
        <v>129</v>
      </c>
      <c r="FF34" s="575"/>
      <c r="FG34" s="575"/>
      <c r="FH34" s="575"/>
      <c r="FI34" s="575"/>
      <c r="FJ34" s="575"/>
      <c r="FK34" s="575"/>
      <c r="FL34" s="575"/>
      <c r="FM34" s="576"/>
      <c r="FN34" s="220"/>
      <c r="FO34" s="220"/>
      <c r="FP34" s="64"/>
      <c r="FQ34" s="64"/>
      <c r="FR34" s="64"/>
      <c r="FS34" s="64"/>
      <c r="FT34" s="64"/>
      <c r="FU34" s="64"/>
      <c r="FV34" s="64"/>
      <c r="FW34" s="64"/>
      <c r="FX34" s="64"/>
      <c r="FY34" s="64"/>
      <c r="FZ34" s="221">
        <f t="shared" ref="FZ34:GI34" si="82">SUM(FZ6:FZ33)</f>
        <v>0</v>
      </c>
      <c r="GA34" s="221">
        <f t="shared" si="82"/>
        <v>0</v>
      </c>
      <c r="GB34" s="221">
        <f t="shared" si="82"/>
        <v>0</v>
      </c>
      <c r="GC34" s="221">
        <f t="shared" si="82"/>
        <v>0</v>
      </c>
      <c r="GD34" s="221">
        <f t="shared" si="82"/>
        <v>0</v>
      </c>
      <c r="GE34" s="221">
        <f t="shared" si="82"/>
        <v>0</v>
      </c>
      <c r="GF34" s="221">
        <f t="shared" si="82"/>
        <v>0</v>
      </c>
      <c r="GG34" s="221">
        <f t="shared" si="82"/>
        <v>0</v>
      </c>
      <c r="GH34" s="221">
        <f t="shared" si="82"/>
        <v>0</v>
      </c>
      <c r="GI34" s="221">
        <f t="shared" si="82"/>
        <v>0</v>
      </c>
      <c r="GJ34" s="111" t="e">
        <f>(SUM(#REF!+#REF!)/(GB34+GI34))</f>
        <v>#REF!</v>
      </c>
      <c r="GK34" s="222"/>
    </row>
    <row r="35" spans="1:193" s="10" customFormat="1">
      <c r="A35" s="64"/>
      <c r="B35" s="223" t="s">
        <v>130</v>
      </c>
      <c r="C35" s="64"/>
      <c r="F35" s="224"/>
      <c r="G35" s="224"/>
      <c r="M35" s="226"/>
      <c r="N35" s="227"/>
      <c r="O35" s="227"/>
      <c r="P35" s="102">
        <v>583812.52</v>
      </c>
      <c r="Q35" s="64"/>
      <c r="R35" s="228"/>
      <c r="S35" s="228"/>
      <c r="T35" s="228"/>
      <c r="U35" s="228"/>
      <c r="V35" s="229"/>
      <c r="W35" s="229"/>
      <c r="X35" s="229"/>
      <c r="Y35" s="229"/>
      <c r="Z35" s="229"/>
      <c r="AA35" s="230"/>
      <c r="AB35" s="152"/>
      <c r="AC35" s="152"/>
      <c r="AD35" s="153"/>
      <c r="AE35" s="231"/>
      <c r="AF35" s="152"/>
      <c r="AG35" s="152"/>
      <c r="AH35" s="152"/>
      <c r="AI35" s="231"/>
      <c r="AJ35" s="152"/>
      <c r="AK35" s="152"/>
      <c r="AL35" s="152"/>
      <c r="AM35" s="231"/>
      <c r="AN35" s="152"/>
      <c r="AO35" s="231"/>
      <c r="AP35" s="152"/>
      <c r="AQ35" s="231"/>
      <c r="AR35" s="232"/>
      <c r="AS35" s="230"/>
      <c r="AT35" s="230"/>
      <c r="AU35" s="232"/>
      <c r="AV35" s="152"/>
      <c r="AW35" s="232"/>
      <c r="AX35" s="152"/>
      <c r="AY35" s="152"/>
      <c r="AZ35" s="152"/>
      <c r="BA35" s="152"/>
      <c r="BB35" s="152"/>
      <c r="BC35" s="152"/>
      <c r="BD35" s="228"/>
      <c r="BE35" s="228"/>
      <c r="BF35" s="228"/>
      <c r="BG35" s="152"/>
      <c r="BH35" s="152"/>
      <c r="BI35" s="233"/>
      <c r="BJ35" s="233"/>
      <c r="BK35" s="234"/>
      <c r="BL35" s="235"/>
      <c r="BM35" s="233"/>
      <c r="BN35" s="234"/>
      <c r="BO35" s="178"/>
      <c r="BP35" s="178"/>
      <c r="BQ35" s="178"/>
      <c r="BR35" s="178"/>
      <c r="BS35" s="178"/>
      <c r="BT35" s="178"/>
      <c r="BU35" s="178"/>
      <c r="BV35" s="178"/>
      <c r="BW35" s="178"/>
      <c r="BX35" s="178"/>
      <c r="BY35" s="178"/>
      <c r="BZ35" s="64"/>
      <c r="CA35" s="236"/>
      <c r="CB35" s="236"/>
      <c r="CC35" s="236"/>
      <c r="CD35" s="236"/>
      <c r="CE35" s="236"/>
      <c r="CF35" s="237"/>
      <c r="CG35" s="237"/>
      <c r="CH35" s="64"/>
      <c r="CI35" s="236"/>
      <c r="CJ35" s="236"/>
      <c r="CK35" s="236"/>
      <c r="CL35" s="236"/>
      <c r="CM35" s="236"/>
      <c r="CN35" s="236"/>
      <c r="CO35" s="236"/>
      <c r="CP35" s="236"/>
      <c r="CQ35" s="236"/>
      <c r="CR35" s="64"/>
      <c r="CS35" s="238"/>
      <c r="CT35" s="236"/>
      <c r="CU35" s="236"/>
      <c r="CV35" s="239"/>
      <c r="CW35" s="236"/>
      <c r="CX35" s="236"/>
      <c r="CY35" s="236"/>
      <c r="CZ35" s="236"/>
      <c r="DA35" s="236"/>
      <c r="DB35" s="64"/>
      <c r="DC35" s="64"/>
      <c r="DD35" s="64"/>
      <c r="DE35" s="64"/>
      <c r="DF35" s="64"/>
      <c r="DG35" s="64"/>
      <c r="DH35" s="240"/>
      <c r="DI35" s="236"/>
      <c r="DJ35" s="241"/>
      <c r="DK35" s="242"/>
      <c r="DL35" s="243"/>
      <c r="DM35" s="242"/>
      <c r="DN35" s="64"/>
      <c r="DO35" s="100"/>
      <c r="DP35" s="240"/>
      <c r="DQ35" s="244"/>
      <c r="DR35" s="245"/>
      <c r="DS35" s="64"/>
      <c r="DT35" s="64"/>
      <c r="DU35" s="246"/>
      <c r="DV35" s="246"/>
      <c r="DW35" s="246"/>
      <c r="DX35" s="219"/>
      <c r="DY35" s="219"/>
      <c r="DZ35" s="219"/>
      <c r="EA35" s="246"/>
      <c r="EB35" s="246"/>
      <c r="EC35" s="9"/>
      <c r="ED35" s="9"/>
      <c r="EE35" s="246"/>
      <c r="EF35" s="246"/>
      <c r="EG35" s="9"/>
      <c r="EH35" s="9"/>
      <c r="EI35" s="9"/>
      <c r="EJ35" s="64"/>
      <c r="EK35" s="64"/>
      <c r="EL35" s="9"/>
      <c r="EM35" s="9"/>
      <c r="EN35" s="64"/>
      <c r="EO35" s="9"/>
      <c r="EP35" s="220"/>
      <c r="EQ35" s="64"/>
      <c r="ER35" s="64"/>
      <c r="ES35" s="247"/>
      <c r="ET35" s="248"/>
      <c r="EU35" s="220"/>
      <c r="EV35" s="220"/>
      <c r="EW35" s="246"/>
      <c r="EX35" s="64"/>
      <c r="EY35" s="64"/>
      <c r="EZ35" s="64"/>
      <c r="FA35" s="64"/>
      <c r="FB35" s="64"/>
      <c r="FC35" s="141"/>
      <c r="FD35" s="249" t="s">
        <v>53</v>
      </c>
      <c r="FE35" s="250">
        <v>1181282</v>
      </c>
      <c r="FF35" s="250">
        <v>851616</v>
      </c>
      <c r="FG35" s="250">
        <v>522855</v>
      </c>
      <c r="FH35" s="250">
        <v>740733</v>
      </c>
      <c r="FI35" s="250">
        <v>715286</v>
      </c>
      <c r="FJ35" s="250">
        <v>656353</v>
      </c>
      <c r="FK35" s="250">
        <v>1165155</v>
      </c>
      <c r="FL35" s="250">
        <v>865767</v>
      </c>
      <c r="FM35" s="250">
        <v>551031</v>
      </c>
      <c r="FN35" s="141"/>
      <c r="FO35" s="152"/>
      <c r="FP35" s="220"/>
      <c r="FQ35" s="9"/>
      <c r="FR35" s="64"/>
      <c r="FS35" s="64"/>
      <c r="FT35" s="64"/>
      <c r="FU35" s="64"/>
      <c r="FV35" s="64"/>
      <c r="FW35" s="64"/>
      <c r="FX35" s="64"/>
      <c r="FY35" s="64"/>
      <c r="FZ35" s="9"/>
      <c r="GA35" s="64"/>
      <c r="GB35" s="64"/>
      <c r="GC35" s="64"/>
      <c r="GD35" s="64"/>
      <c r="GE35" s="64"/>
      <c r="GF35" s="64"/>
      <c r="GG35" s="64"/>
      <c r="GH35" s="64"/>
      <c r="GI35" s="64"/>
      <c r="GJ35" s="64"/>
    </row>
    <row r="36" spans="1:193" s="10" customFormat="1">
      <c r="A36" s="64"/>
      <c r="B36" s="64"/>
      <c r="C36" s="64"/>
      <c r="F36" s="224">
        <v>501</v>
      </c>
      <c r="G36" s="10">
        <v>502</v>
      </c>
      <c r="H36" s="10">
        <v>503</v>
      </c>
      <c r="I36" s="10">
        <v>511</v>
      </c>
      <c r="J36" s="10">
        <v>512</v>
      </c>
      <c r="K36" s="10">
        <v>561</v>
      </c>
      <c r="L36" s="10">
        <v>562</v>
      </c>
      <c r="M36" s="254">
        <v>563</v>
      </c>
      <c r="N36" s="255"/>
      <c r="O36" s="256"/>
      <c r="P36" s="320">
        <f>P35-P34</f>
        <v>236.17649999994319</v>
      </c>
      <c r="Q36" s="64"/>
      <c r="R36" s="258"/>
      <c r="S36" s="258"/>
      <c r="T36" s="258"/>
      <c r="U36" s="258"/>
      <c r="V36" s="258"/>
      <c r="W36" s="258"/>
      <c r="X36" s="258"/>
      <c r="Y36" s="258"/>
      <c r="Z36" s="258"/>
      <c r="AA36" s="258"/>
      <c r="AB36" s="152"/>
      <c r="AC36" s="152"/>
      <c r="AD36" s="231"/>
      <c r="AE36" s="152"/>
      <c r="AF36" s="152"/>
      <c r="AG36" s="152"/>
      <c r="AH36" s="152"/>
      <c r="AI36" s="152"/>
      <c r="AJ36" s="152"/>
      <c r="AK36" s="152"/>
      <c r="AL36" s="152"/>
      <c r="AM36" s="152"/>
      <c r="AN36" s="152"/>
      <c r="AO36" s="152"/>
      <c r="AP36" s="152"/>
      <c r="AQ36" s="152"/>
      <c r="AR36" s="258"/>
      <c r="AS36" s="258"/>
      <c r="AT36" s="258"/>
      <c r="AU36" s="258"/>
      <c r="AV36" s="152"/>
      <c r="AW36" s="258"/>
      <c r="AX36" s="152"/>
      <c r="AY36" s="152"/>
      <c r="AZ36" s="152"/>
      <c r="BA36" s="152"/>
      <c r="BB36" s="152"/>
      <c r="BC36" s="231"/>
      <c r="BD36" s="231"/>
      <c r="BE36" s="231"/>
      <c r="BF36" s="231"/>
      <c r="BG36" s="152"/>
      <c r="BH36" s="231"/>
      <c r="BI36" s="116"/>
      <c r="BJ36" s="116"/>
      <c r="BK36" s="259"/>
      <c r="BL36" s="260"/>
      <c r="BM36" s="165"/>
      <c r="BN36" s="259"/>
      <c r="BO36" s="64"/>
      <c r="BP36" s="64"/>
      <c r="BQ36" s="64"/>
      <c r="BR36" s="116"/>
      <c r="BS36" s="116"/>
      <c r="BT36" s="116"/>
      <c r="BU36" s="116"/>
      <c r="BV36" s="64"/>
      <c r="BW36" s="64"/>
      <c r="BX36" s="64"/>
      <c r="BY36" s="116"/>
      <c r="BZ36" s="243"/>
      <c r="CA36" s="243"/>
      <c r="CB36" s="243"/>
      <c r="CC36" s="243"/>
      <c r="CD36" s="243"/>
      <c r="CE36" s="243"/>
      <c r="CF36" s="141"/>
      <c r="CG36" s="237"/>
      <c r="CH36" s="243"/>
      <c r="CI36" s="243"/>
      <c r="CJ36" s="243"/>
      <c r="CK36" s="243"/>
      <c r="CL36" s="243"/>
      <c r="CM36" s="243"/>
      <c r="CN36" s="243"/>
      <c r="CO36" s="243"/>
      <c r="CP36" s="243"/>
      <c r="CQ36" s="243"/>
      <c r="CR36" s="243"/>
      <c r="CS36" s="243"/>
      <c r="CT36" s="243"/>
      <c r="CU36" s="243"/>
      <c r="CV36" s="243"/>
      <c r="CW36" s="243"/>
      <c r="CX36" s="243"/>
      <c r="CY36" s="116"/>
      <c r="CZ36" s="243"/>
      <c r="DA36" s="243"/>
      <c r="DB36" s="243"/>
      <c r="DC36" s="243"/>
      <c r="DD36" s="116"/>
      <c r="DE36" s="116"/>
      <c r="DF36" s="116"/>
      <c r="DG36" s="116"/>
      <c r="DH36" s="243"/>
      <c r="DI36" s="243"/>
      <c r="DJ36" s="64"/>
      <c r="DK36" s="64"/>
      <c r="DL36" s="74"/>
      <c r="DM36" s="64"/>
      <c r="DN36" s="74"/>
      <c r="DO36" s="261"/>
      <c r="DP36" s="262"/>
      <c r="DQ36" s="263"/>
      <c r="DR36" s="244"/>
      <c r="DS36" s="64"/>
      <c r="DT36" s="64"/>
      <c r="DU36" s="246"/>
      <c r="DV36" s="246"/>
      <c r="DW36" s="246"/>
      <c r="DX36" s="219"/>
      <c r="DY36" s="219"/>
      <c r="DZ36" s="219"/>
      <c r="EA36" s="246"/>
      <c r="EB36" s="246"/>
      <c r="EC36" s="9"/>
      <c r="ED36" s="9"/>
      <c r="EE36" s="246"/>
      <c r="EF36" s="246"/>
      <c r="EG36" s="9"/>
      <c r="EH36" s="9"/>
      <c r="EI36" s="9"/>
      <c r="EJ36" s="64"/>
      <c r="EK36" s="64"/>
      <c r="EL36" s="9"/>
      <c r="EM36" s="9"/>
      <c r="EN36" s="64"/>
      <c r="EO36" s="9"/>
      <c r="EP36" s="220"/>
      <c r="EQ36" s="64"/>
      <c r="ER36" s="64"/>
      <c r="ES36" s="257"/>
      <c r="ET36" s="74"/>
      <c r="EU36" s="64"/>
      <c r="EV36" s="64"/>
      <c r="EW36" s="246"/>
      <c r="EX36" s="64"/>
      <c r="EY36" s="64"/>
      <c r="EZ36" s="64"/>
      <c r="FA36" s="64"/>
      <c r="FB36" s="64">
        <f>1920*28</f>
        <v>53760</v>
      </c>
      <c r="FC36" s="141"/>
      <c r="FD36" s="249">
        <v>1</v>
      </c>
      <c r="FE36" s="250">
        <v>1181282</v>
      </c>
      <c r="FF36" s="250">
        <v>852336</v>
      </c>
      <c r="FG36" s="250">
        <v>522855</v>
      </c>
      <c r="FH36" s="250">
        <v>742642</v>
      </c>
      <c r="FI36" s="250">
        <v>715900</v>
      </c>
      <c r="FJ36" s="250">
        <v>656353</v>
      </c>
      <c r="FK36" s="250">
        <v>1165907</v>
      </c>
      <c r="FL36" s="250">
        <v>867335</v>
      </c>
      <c r="FM36" s="250">
        <v>551367</v>
      </c>
      <c r="FN36" s="152"/>
      <c r="FO36" s="152"/>
      <c r="FP36" s="64"/>
      <c r="FQ36" s="9"/>
      <c r="FR36" s="9"/>
      <c r="FS36" s="9"/>
      <c r="FT36" s="9"/>
      <c r="FU36" s="9"/>
      <c r="FV36" s="9"/>
      <c r="FW36" s="9"/>
      <c r="FX36" s="9"/>
      <c r="FY36" s="9"/>
      <c r="FZ36" s="246"/>
      <c r="GA36" s="64"/>
      <c r="GB36" s="64"/>
      <c r="GC36" s="64"/>
      <c r="GD36" s="64"/>
      <c r="GE36" s="64"/>
      <c r="GF36" s="64"/>
      <c r="GG36" s="64"/>
      <c r="GH36" s="64"/>
      <c r="GI36" s="64"/>
      <c r="GJ36" s="64"/>
    </row>
    <row r="37" spans="1:193">
      <c r="FC37" s="220"/>
      <c r="FD37" s="249">
        <v>2</v>
      </c>
      <c r="FE37" s="250">
        <v>1181282</v>
      </c>
      <c r="FF37" s="250">
        <v>853174</v>
      </c>
      <c r="FG37" s="250">
        <v>523823</v>
      </c>
      <c r="FH37" s="250">
        <v>744264</v>
      </c>
      <c r="FI37" s="250">
        <v>716677</v>
      </c>
      <c r="FJ37" s="250">
        <v>656353</v>
      </c>
      <c r="FK37" s="250">
        <v>1166799</v>
      </c>
      <c r="FL37" s="250">
        <v>869179</v>
      </c>
      <c r="FM37" s="250">
        <v>551721</v>
      </c>
    </row>
    <row r="38" spans="1:193">
      <c r="B38" s="220"/>
      <c r="CH38" s="178"/>
      <c r="CP38" s="178"/>
      <c r="FC38" s="220"/>
      <c r="FD38" s="249">
        <v>3</v>
      </c>
      <c r="FE38" s="250">
        <v>1181282</v>
      </c>
      <c r="FF38" s="250">
        <v>853545</v>
      </c>
      <c r="FG38" s="250">
        <v>525989</v>
      </c>
      <c r="FH38" s="250">
        <v>745955</v>
      </c>
      <c r="FI38" s="250">
        <v>716754</v>
      </c>
      <c r="FJ38" s="250">
        <v>656353</v>
      </c>
      <c r="FK38" s="250">
        <v>1167467</v>
      </c>
      <c r="FL38" s="250">
        <v>870573</v>
      </c>
      <c r="FM38" s="250">
        <v>552072</v>
      </c>
    </row>
    <row r="39" spans="1:193">
      <c r="FB39" s="572"/>
      <c r="FC39" s="220"/>
      <c r="FD39" s="249">
        <v>4</v>
      </c>
      <c r="FE39" s="250">
        <v>1181282</v>
      </c>
      <c r="FF39" s="250">
        <v>854132</v>
      </c>
      <c r="FG39" s="250">
        <v>526967</v>
      </c>
      <c r="FH39" s="250">
        <v>747810</v>
      </c>
      <c r="FI39" s="250">
        <v>717417</v>
      </c>
      <c r="FJ39" s="250">
        <v>656353</v>
      </c>
      <c r="FK39" s="250">
        <v>1168208</v>
      </c>
      <c r="FL39" s="250">
        <v>871994</v>
      </c>
      <c r="FM39" s="250">
        <v>552423</v>
      </c>
    </row>
    <row r="40" spans="1:193">
      <c r="FC40" s="220"/>
      <c r="FD40" s="249">
        <v>5</v>
      </c>
      <c r="FE40" s="250">
        <v>1181282</v>
      </c>
      <c r="FF40" s="250">
        <v>854652</v>
      </c>
      <c r="FG40" s="250">
        <v>528929</v>
      </c>
      <c r="FH40" s="250">
        <v>748576</v>
      </c>
      <c r="FI40" s="250">
        <v>717963</v>
      </c>
      <c r="FJ40" s="250">
        <v>656353</v>
      </c>
      <c r="FK40" s="250">
        <v>1168824</v>
      </c>
      <c r="FL40" s="250">
        <v>873380</v>
      </c>
      <c r="FM40" s="250">
        <v>552777</v>
      </c>
    </row>
    <row r="41" spans="1:193">
      <c r="B41" s="220"/>
      <c r="FC41" s="220"/>
      <c r="FD41" s="249">
        <v>6</v>
      </c>
      <c r="FE41" s="250">
        <v>1181282</v>
      </c>
      <c r="FF41" s="250">
        <v>855301</v>
      </c>
      <c r="FG41" s="250">
        <v>530205</v>
      </c>
      <c r="FH41" s="250">
        <v>748576</v>
      </c>
      <c r="FI41" s="250">
        <v>718542</v>
      </c>
      <c r="FJ41" s="250">
        <v>656353</v>
      </c>
      <c r="FK41" s="250">
        <v>1169561</v>
      </c>
      <c r="FL41" s="250">
        <v>874841</v>
      </c>
      <c r="FM41" s="250">
        <v>553130</v>
      </c>
    </row>
    <row r="42" spans="1:193">
      <c r="B42" s="220"/>
      <c r="FC42" s="220"/>
      <c r="FD42" s="249">
        <v>7</v>
      </c>
      <c r="FE42" s="250">
        <v>1181282</v>
      </c>
      <c r="FF42" s="250">
        <v>856025</v>
      </c>
      <c r="FG42" s="250">
        <v>531946</v>
      </c>
      <c r="FH42" s="250">
        <v>749791</v>
      </c>
      <c r="FI42" s="250">
        <v>719369</v>
      </c>
      <c r="FJ42" s="250">
        <v>656353</v>
      </c>
      <c r="FK42" s="250">
        <v>1170279</v>
      </c>
      <c r="FL42" s="250">
        <v>876351</v>
      </c>
      <c r="FM42" s="250">
        <v>553483</v>
      </c>
    </row>
    <row r="43" spans="1:193">
      <c r="B43" s="220"/>
      <c r="FC43" s="220"/>
      <c r="FD43" s="249">
        <v>8</v>
      </c>
      <c r="FE43" s="250">
        <v>1181282</v>
      </c>
      <c r="FF43" s="250">
        <v>856406</v>
      </c>
      <c r="FG43" s="250">
        <v>533851</v>
      </c>
      <c r="FH43" s="250">
        <v>750630</v>
      </c>
      <c r="FI43" s="250">
        <v>719890</v>
      </c>
      <c r="FJ43" s="250">
        <v>656353</v>
      </c>
      <c r="FK43" s="250">
        <v>1170675</v>
      </c>
      <c r="FL43" s="250">
        <v>877815</v>
      </c>
      <c r="FM43" s="250">
        <v>553740</v>
      </c>
    </row>
    <row r="44" spans="1:193">
      <c r="B44" s="220"/>
      <c r="FC44" s="220"/>
      <c r="FD44" s="249">
        <v>9</v>
      </c>
      <c r="FE44" s="250">
        <v>1181282</v>
      </c>
      <c r="FF44" s="250">
        <v>856957</v>
      </c>
      <c r="FG44" s="250">
        <v>536014</v>
      </c>
      <c r="FH44" s="250">
        <v>752627</v>
      </c>
      <c r="FI44" s="250">
        <v>720530</v>
      </c>
      <c r="FJ44" s="250">
        <v>656353</v>
      </c>
      <c r="FK44" s="250">
        <v>1170675</v>
      </c>
      <c r="FL44" s="250">
        <v>879256</v>
      </c>
      <c r="FM44" s="250">
        <v>554091</v>
      </c>
    </row>
    <row r="45" spans="1:193">
      <c r="B45" s="220"/>
      <c r="FC45" s="220"/>
      <c r="FD45" s="249">
        <v>10</v>
      </c>
      <c r="FE45" s="250">
        <v>1181282</v>
      </c>
      <c r="FF45" s="250">
        <v>857256</v>
      </c>
      <c r="FG45" s="250">
        <v>538069</v>
      </c>
      <c r="FH45" s="250">
        <v>754368</v>
      </c>
      <c r="FI45" s="250">
        <v>721099</v>
      </c>
      <c r="FJ45" s="250">
        <v>656353</v>
      </c>
      <c r="FK45" s="250">
        <v>1170675</v>
      </c>
      <c r="FL45" s="250">
        <v>880765</v>
      </c>
      <c r="FM45" s="250">
        <v>554444</v>
      </c>
    </row>
    <row r="46" spans="1:193">
      <c r="B46" s="220"/>
      <c r="FC46" s="220"/>
      <c r="FD46" s="249">
        <v>11</v>
      </c>
      <c r="FE46" s="250">
        <v>1181282</v>
      </c>
      <c r="FF46" s="250">
        <v>857594</v>
      </c>
      <c r="FG46" s="250">
        <v>539977</v>
      </c>
      <c r="FH46" s="250">
        <v>755547</v>
      </c>
      <c r="FI46" s="250">
        <v>721485</v>
      </c>
      <c r="FJ46" s="250">
        <v>656353</v>
      </c>
      <c r="FK46" s="250">
        <v>1170675</v>
      </c>
      <c r="FL46" s="250">
        <v>881413</v>
      </c>
      <c r="FM46" s="250">
        <v>554798</v>
      </c>
    </row>
    <row r="47" spans="1:193">
      <c r="B47" s="220"/>
      <c r="FC47" s="220"/>
      <c r="FD47" s="249">
        <v>12</v>
      </c>
      <c r="FE47" s="250">
        <v>1181282</v>
      </c>
      <c r="FF47" s="250">
        <v>857813</v>
      </c>
      <c r="FG47" s="250">
        <v>541861</v>
      </c>
      <c r="FH47" s="250">
        <v>757250</v>
      </c>
      <c r="FI47" s="250">
        <v>722038</v>
      </c>
      <c r="FJ47" s="250">
        <v>656353</v>
      </c>
      <c r="FK47" s="250">
        <v>1170675</v>
      </c>
      <c r="FL47" s="250">
        <v>882988</v>
      </c>
      <c r="FM47" s="250">
        <v>555148</v>
      </c>
    </row>
    <row r="48" spans="1:193">
      <c r="B48" s="220"/>
      <c r="FD48" s="249">
        <v>13</v>
      </c>
      <c r="FE48" s="250">
        <v>1181282</v>
      </c>
      <c r="FF48" s="250">
        <v>858362</v>
      </c>
      <c r="FG48" s="250">
        <v>543902</v>
      </c>
      <c r="FH48" s="250">
        <v>758966</v>
      </c>
      <c r="FI48" s="250">
        <v>722594</v>
      </c>
      <c r="FJ48" s="250">
        <v>656353</v>
      </c>
      <c r="FK48" s="250">
        <v>1170675</v>
      </c>
      <c r="FL48" s="250">
        <v>884462</v>
      </c>
      <c r="FM48" s="250">
        <v>555500</v>
      </c>
    </row>
    <row r="49" spans="2:169">
      <c r="B49" s="220"/>
      <c r="FC49" s="220"/>
      <c r="FD49" s="249">
        <v>14</v>
      </c>
      <c r="FE49" s="250">
        <v>1181282</v>
      </c>
      <c r="FF49" s="250">
        <v>858889</v>
      </c>
      <c r="FG49" s="250">
        <v>545683</v>
      </c>
      <c r="FH49" s="250">
        <v>760508</v>
      </c>
      <c r="FI49" s="250">
        <v>723094</v>
      </c>
      <c r="FJ49" s="250">
        <v>656353</v>
      </c>
      <c r="FK49" s="250">
        <v>1170675</v>
      </c>
      <c r="FL49" s="250">
        <v>885711</v>
      </c>
      <c r="FM49" s="250">
        <v>555850</v>
      </c>
    </row>
    <row r="50" spans="2:169">
      <c r="FC50" s="220"/>
      <c r="FD50" s="249">
        <v>15</v>
      </c>
      <c r="FE50" s="250">
        <v>1181282</v>
      </c>
      <c r="FF50" s="250">
        <v>859392</v>
      </c>
      <c r="FG50" s="250">
        <v>547654</v>
      </c>
      <c r="FH50" s="250">
        <v>761562</v>
      </c>
      <c r="FI50" s="250">
        <v>723440</v>
      </c>
      <c r="FJ50" s="250">
        <v>656353</v>
      </c>
      <c r="FK50" s="250">
        <v>1170675</v>
      </c>
      <c r="FL50" s="250">
        <v>887203</v>
      </c>
      <c r="FM50" s="250">
        <v>556200</v>
      </c>
    </row>
    <row r="51" spans="2:169">
      <c r="B51" s="220"/>
      <c r="FC51" s="220"/>
      <c r="FD51" s="249">
        <v>16</v>
      </c>
      <c r="FE51" s="250">
        <v>1181282</v>
      </c>
      <c r="FF51" s="250">
        <v>859907</v>
      </c>
      <c r="FG51" s="250">
        <v>549013</v>
      </c>
      <c r="FH51" s="250">
        <v>763401</v>
      </c>
      <c r="FI51" s="250">
        <v>724036</v>
      </c>
      <c r="FJ51" s="250">
        <v>656353</v>
      </c>
      <c r="FK51" s="250">
        <v>1171320</v>
      </c>
      <c r="FL51" s="250">
        <v>888804</v>
      </c>
      <c r="FM51" s="250">
        <v>556200</v>
      </c>
    </row>
    <row r="52" spans="2:169">
      <c r="B52" s="220"/>
      <c r="FC52" s="220"/>
      <c r="FD52" s="249">
        <v>17</v>
      </c>
      <c r="FE52" s="250">
        <v>1181282</v>
      </c>
      <c r="FF52" s="250">
        <v>860473</v>
      </c>
      <c r="FG52" s="250">
        <v>550433</v>
      </c>
      <c r="FH52" s="250">
        <v>765295</v>
      </c>
      <c r="FI52" s="250">
        <v>724686</v>
      </c>
      <c r="FJ52" s="250">
        <v>656353</v>
      </c>
      <c r="FK52" s="250">
        <v>1171994</v>
      </c>
      <c r="FL52" s="250">
        <v>890407</v>
      </c>
      <c r="FM52" s="250">
        <v>556200</v>
      </c>
    </row>
    <row r="53" spans="2:169">
      <c r="B53" s="220"/>
      <c r="FC53" s="220"/>
      <c r="FD53" s="249">
        <v>18</v>
      </c>
      <c r="FE53" s="250">
        <v>1181282</v>
      </c>
      <c r="FF53" s="250">
        <v>861013</v>
      </c>
      <c r="FG53" s="250">
        <v>552140</v>
      </c>
      <c r="FH53" s="250">
        <v>767485</v>
      </c>
      <c r="FI53" s="250">
        <v>725380</v>
      </c>
      <c r="FJ53" s="250">
        <v>656353</v>
      </c>
      <c r="FK53" s="250">
        <v>1172650</v>
      </c>
      <c r="FL53" s="250">
        <v>892043</v>
      </c>
      <c r="FM53" s="250">
        <v>556200</v>
      </c>
    </row>
    <row r="54" spans="2:169">
      <c r="B54" s="220"/>
      <c r="FC54" s="220"/>
      <c r="FD54" s="249">
        <v>19</v>
      </c>
      <c r="FE54" s="250">
        <v>1181282</v>
      </c>
      <c r="FF54" s="250">
        <v>861649</v>
      </c>
      <c r="FG54" s="250">
        <v>554656</v>
      </c>
      <c r="FH54" s="250">
        <v>768668</v>
      </c>
      <c r="FI54" s="250">
        <v>725990</v>
      </c>
      <c r="FJ54" s="250">
        <v>656353</v>
      </c>
      <c r="FK54" s="250">
        <v>1173072</v>
      </c>
      <c r="FL54" s="250">
        <v>893695</v>
      </c>
      <c r="FM54" s="250">
        <v>556200</v>
      </c>
    </row>
    <row r="55" spans="2:169">
      <c r="FC55" s="220"/>
      <c r="FD55" s="249">
        <v>20</v>
      </c>
      <c r="FE55" s="250">
        <v>1181282</v>
      </c>
      <c r="FF55" s="250">
        <v>862432</v>
      </c>
      <c r="FG55" s="250">
        <v>556255</v>
      </c>
      <c r="FH55" s="250">
        <v>771129</v>
      </c>
      <c r="FI55" s="250">
        <v>726734</v>
      </c>
      <c r="FJ55" s="250">
        <v>656353</v>
      </c>
      <c r="FK55" s="250">
        <v>1173876</v>
      </c>
      <c r="FL55" s="250">
        <v>895290</v>
      </c>
      <c r="FM55" s="250">
        <v>556200</v>
      </c>
    </row>
    <row r="56" spans="2:169">
      <c r="FC56" s="220"/>
      <c r="FD56" s="249">
        <v>21</v>
      </c>
      <c r="FE56" s="250">
        <v>1181282</v>
      </c>
      <c r="FF56" s="250">
        <v>862608</v>
      </c>
      <c r="FG56" s="250">
        <v>557078</v>
      </c>
      <c r="FH56" s="250">
        <v>773499</v>
      </c>
      <c r="FI56" s="250">
        <v>727483</v>
      </c>
      <c r="FJ56" s="250">
        <v>656353</v>
      </c>
      <c r="FK56" s="250">
        <v>1174352</v>
      </c>
      <c r="FL56" s="250">
        <v>896707</v>
      </c>
      <c r="FM56" s="250">
        <v>556200</v>
      </c>
    </row>
    <row r="57" spans="2:169">
      <c r="FC57" s="220"/>
      <c r="FD57" s="249">
        <v>22</v>
      </c>
      <c r="FE57" s="250">
        <v>1181282</v>
      </c>
      <c r="FF57" s="250">
        <v>863300</v>
      </c>
      <c r="FG57" s="250">
        <v>558669</v>
      </c>
      <c r="FH57" s="250">
        <v>775251</v>
      </c>
      <c r="FI57" s="250">
        <v>728096</v>
      </c>
      <c r="FJ57" s="250">
        <v>656353</v>
      </c>
      <c r="FK57" s="250">
        <v>1174688</v>
      </c>
      <c r="FL57" s="250">
        <v>898810</v>
      </c>
      <c r="FM57" s="250">
        <v>556200</v>
      </c>
    </row>
    <row r="58" spans="2:169">
      <c r="FC58" s="220"/>
      <c r="FD58" s="249">
        <v>23</v>
      </c>
      <c r="FE58" s="250">
        <v>1181282</v>
      </c>
      <c r="FF58" s="250">
        <v>864015</v>
      </c>
      <c r="FG58" s="250">
        <v>559578</v>
      </c>
      <c r="FH58" s="250">
        <v>777393</v>
      </c>
      <c r="FI58" s="250">
        <v>728775</v>
      </c>
      <c r="FJ58" s="250">
        <v>656353</v>
      </c>
      <c r="FK58" s="250">
        <v>1175083</v>
      </c>
      <c r="FL58" s="250">
        <v>900173</v>
      </c>
      <c r="FM58" s="250">
        <v>556200</v>
      </c>
    </row>
    <row r="59" spans="2:169">
      <c r="FD59" s="249">
        <v>24</v>
      </c>
      <c r="FE59" s="250">
        <v>1181282</v>
      </c>
      <c r="FF59" s="250">
        <v>864542</v>
      </c>
      <c r="FG59" s="250">
        <v>561763</v>
      </c>
      <c r="FH59" s="250">
        <v>778927</v>
      </c>
      <c r="FI59" s="250">
        <v>729291</v>
      </c>
      <c r="FJ59" s="250">
        <v>656353</v>
      </c>
      <c r="FK59" s="250">
        <v>1175325</v>
      </c>
      <c r="FL59" s="250">
        <v>902536</v>
      </c>
      <c r="FM59" s="250">
        <v>556200</v>
      </c>
    </row>
    <row r="60" spans="2:169">
      <c r="FD60" s="249">
        <v>25</v>
      </c>
      <c r="FE60" s="250">
        <v>1181282</v>
      </c>
      <c r="FF60" s="250">
        <v>865120</v>
      </c>
      <c r="FG60" s="250">
        <v>563922</v>
      </c>
      <c r="FH60" s="250">
        <v>780932</v>
      </c>
      <c r="FI60" s="250">
        <v>729928</v>
      </c>
      <c r="FJ60" s="250">
        <v>656353</v>
      </c>
      <c r="FK60" s="250">
        <v>1175438</v>
      </c>
      <c r="FL60" s="250">
        <v>904196</v>
      </c>
      <c r="FM60" s="250">
        <v>556200</v>
      </c>
    </row>
    <row r="61" spans="2:169">
      <c r="FD61" s="249">
        <v>26</v>
      </c>
      <c r="FE61" s="250">
        <v>1181282</v>
      </c>
      <c r="FF61" s="250">
        <v>865657</v>
      </c>
      <c r="FG61" s="250">
        <v>565920</v>
      </c>
      <c r="FH61" s="250">
        <v>782788</v>
      </c>
      <c r="FI61" s="250">
        <v>730504</v>
      </c>
      <c r="FJ61" s="250">
        <v>656353</v>
      </c>
      <c r="FK61" s="250">
        <v>1175438</v>
      </c>
      <c r="FL61" s="250">
        <v>905599</v>
      </c>
      <c r="FM61" s="250">
        <v>556200</v>
      </c>
    </row>
    <row r="62" spans="2:169">
      <c r="FD62" s="249">
        <v>27</v>
      </c>
      <c r="FE62" s="250">
        <v>1181282</v>
      </c>
      <c r="FF62" s="250">
        <v>866247</v>
      </c>
      <c r="FG62" s="250">
        <v>568123</v>
      </c>
      <c r="FH62" s="250">
        <v>785060</v>
      </c>
      <c r="FI62" s="250">
        <v>731220</v>
      </c>
      <c r="FJ62" s="250">
        <v>656353</v>
      </c>
      <c r="FK62" s="250">
        <v>1175438</v>
      </c>
      <c r="FL62" s="250">
        <v>907081</v>
      </c>
      <c r="FM62" s="250">
        <v>556200</v>
      </c>
    </row>
    <row r="63" spans="2:169">
      <c r="FD63" s="249">
        <v>28</v>
      </c>
      <c r="FE63" s="250">
        <v>1181282</v>
      </c>
      <c r="FF63" s="250">
        <v>866667</v>
      </c>
      <c r="FG63" s="250">
        <v>568747</v>
      </c>
      <c r="FH63" s="250">
        <v>785572</v>
      </c>
      <c r="FI63" s="250">
        <v>731666</v>
      </c>
      <c r="FJ63" s="250">
        <v>656353</v>
      </c>
      <c r="FK63" s="250">
        <v>1175438</v>
      </c>
      <c r="FL63" s="250">
        <v>907416</v>
      </c>
      <c r="FM63" s="250">
        <v>556200</v>
      </c>
    </row>
    <row r="64" spans="2:169">
      <c r="FE64" s="79"/>
      <c r="FF64" s="250"/>
      <c r="FG64" s="250"/>
      <c r="FH64" s="250"/>
      <c r="FI64" s="250"/>
      <c r="FJ64" s="250"/>
      <c r="FK64" s="250"/>
      <c r="FL64" s="250"/>
      <c r="FM64" s="79"/>
    </row>
    <row r="65" spans="160:194">
      <c r="FD65" s="306">
        <v>2362.4</v>
      </c>
      <c r="FE65" s="582" t="s">
        <v>168</v>
      </c>
      <c r="FF65" s="582"/>
      <c r="FG65" s="589"/>
      <c r="FH65" s="590"/>
    </row>
    <row r="66" spans="160:194">
      <c r="FD66" s="306">
        <v>806.4</v>
      </c>
      <c r="FE66" s="582" t="s">
        <v>151</v>
      </c>
      <c r="FF66" s="582"/>
      <c r="FG66" s="591"/>
      <c r="FH66" s="592"/>
    </row>
    <row r="67" spans="160:194">
      <c r="FD67" s="306">
        <v>2610.8000000000002</v>
      </c>
      <c r="FE67" s="582" t="s">
        <v>169</v>
      </c>
      <c r="FF67" s="582"/>
      <c r="FG67" s="591"/>
      <c r="FH67" s="592"/>
    </row>
    <row r="68" spans="160:194">
      <c r="FD68" s="306">
        <f>FD67-FD65</f>
        <v>248.40000000000009</v>
      </c>
      <c r="FE68" s="582" t="s">
        <v>170</v>
      </c>
      <c r="FF68" s="582"/>
      <c r="FG68" s="591"/>
      <c r="FH68" s="592"/>
    </row>
    <row r="69" spans="160:194">
      <c r="FK69" s="64"/>
      <c r="FL69" s="9"/>
      <c r="FM69" s="9"/>
      <c r="FN69" s="9"/>
      <c r="FO69" s="9"/>
      <c r="FP69" s="9"/>
      <c r="FV69" s="64"/>
      <c r="FW69" s="64"/>
      <c r="FX69" s="64"/>
      <c r="FY69" s="64"/>
      <c r="FZ69" s="64"/>
      <c r="GF69" s="10"/>
      <c r="GG69" s="10"/>
      <c r="GK69" s="64"/>
      <c r="GL69" s="64"/>
    </row>
    <row r="70" spans="160:194" hidden="1">
      <c r="FD70" s="220">
        <v>4</v>
      </c>
      <c r="FE70" s="220">
        <v>5</v>
      </c>
      <c r="FF70" s="220">
        <v>6</v>
      </c>
      <c r="FK70" s="64"/>
      <c r="FL70" s="9"/>
      <c r="FM70" s="9"/>
      <c r="FN70" s="9"/>
      <c r="FO70" s="9"/>
      <c r="FP70" s="9"/>
      <c r="FV70" s="64"/>
      <c r="FW70" s="64"/>
      <c r="FX70" s="64"/>
      <c r="FY70" s="64"/>
      <c r="FZ70" s="64"/>
      <c r="GF70" s="10"/>
      <c r="GG70" s="10"/>
      <c r="GK70" s="64"/>
      <c r="GL70" s="64"/>
    </row>
    <row r="71" spans="160:194" hidden="1">
      <c r="FD71" s="250">
        <v>569648</v>
      </c>
      <c r="FE71" s="250">
        <v>786473</v>
      </c>
      <c r="FF71" s="250">
        <v>908317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customSheetViews>
    <customSheetView guid="{CAAAA4EE-AC24-494B-BD01-DBAF6444BECB}" scale="80" showGridLines="0" hiddenRows="1" hiddenColumns="1">
      <pane xSplit="3" ySplit="5" topLeftCell="FA19" activePane="bottomRight" state="frozen"/>
      <selection pane="bottomRight" activeCell="BI23" sqref="BI23"/>
      <pageMargins left="0.7" right="0.7" top="0.75" bottom="0.75" header="0.3" footer="0.3"/>
      <pageSetup orientation="portrait" r:id="rId1"/>
    </customSheetView>
    <customSheetView guid="{34EDC84D-4B3C-44BF-BB1A-7A0DFA8F65E7}" scale="80" showGridLines="0" hiddenRows="1" hiddenColumns="1">
      <pane xSplit="3" ySplit="5" topLeftCell="FA19" activePane="bottomRight" state="frozen"/>
      <selection pane="bottomRight" activeCell="BI23" sqref="BI23"/>
      <pageMargins left="0.7" right="0.7" top="0.75" bottom="0.75" header="0.3" footer="0.3"/>
      <pageSetup orientation="portrait" r:id="rId2"/>
    </customSheetView>
  </customSheetViews>
  <mergeCells count="12">
    <mergeCell ref="FC3:FC4"/>
    <mergeCell ref="CF4:CH4"/>
    <mergeCell ref="CJ4:CL4"/>
    <mergeCell ref="CN4:CP4"/>
    <mergeCell ref="CR4:CT4"/>
    <mergeCell ref="CU4:CW4"/>
    <mergeCell ref="FE34:FM34"/>
    <mergeCell ref="FE65:FF65"/>
    <mergeCell ref="FG65:FH68"/>
    <mergeCell ref="FE66:FF66"/>
    <mergeCell ref="FE67:FF67"/>
    <mergeCell ref="FE68:FF68"/>
  </mergeCells>
  <conditionalFormatting sqref="DR36 DQ35:DQ36">
    <cfRule type="cellIs" dxfId="1114" priority="52" stopIfTrue="1" operator="lessThanOrEqual">
      <formula>0.145</formula>
    </cfRule>
    <cfRule type="cellIs" dxfId="1113" priority="53" stopIfTrue="1" operator="greaterThan">
      <formula>0.15</formula>
    </cfRule>
  </conditionalFormatting>
  <conditionalFormatting sqref="G10:G13 D6:F7 E10:F21 D10:D15 H7 M10:N14 K23:M33 N6:N9 N15:N33 G6:J6 H10:J14 G15:J21 M15:M21 I7:J8 M6:M8 K16:L21">
    <cfRule type="expression" dxfId="1112" priority="51" stopIfTrue="1">
      <formula>OR($B6=TODAY(),$B6=TODAY()-1)</formula>
    </cfRule>
  </conditionalFormatting>
  <conditionalFormatting sqref="G15:G21 G10:G13 G6 H17 I7:J8 M7:M8">
    <cfRule type="expression" dxfId="1111" priority="50" stopIfTrue="1">
      <formula>OR($B6=TODAY(),$B6=TODAY()-1)</formula>
    </cfRule>
  </conditionalFormatting>
  <conditionalFormatting sqref="D6:F7">
    <cfRule type="expression" dxfId="1110" priority="49" stopIfTrue="1">
      <formula>OR($B6=TODAY(),$B6=TODAY()-1)</formula>
    </cfRule>
  </conditionalFormatting>
  <conditionalFormatting sqref="I7:J8 M7:M8">
    <cfRule type="expression" dxfId="1109" priority="48" stopIfTrue="1">
      <formula>OR($B7=TODAY(),$B7=TODAY()-1)</formula>
    </cfRule>
  </conditionalFormatting>
  <conditionalFormatting sqref="I7:J8 M7:M8">
    <cfRule type="expression" dxfId="1108" priority="47" stopIfTrue="1">
      <formula>OR($B7=TODAY(),$B7=TODAY()-1)</formula>
    </cfRule>
  </conditionalFormatting>
  <conditionalFormatting sqref="D6:F6">
    <cfRule type="expression" dxfId="1107" priority="46" stopIfTrue="1">
      <formula>OR($B6=TODAY(),$B6=TODAY()-1)</formula>
    </cfRule>
  </conditionalFormatting>
  <conditionalFormatting sqref="G20 D6:F7">
    <cfRule type="expression" dxfId="1106" priority="45" stopIfTrue="1">
      <formula>OR($B6=TODAY(),$B6=TODAY()-1)</formula>
    </cfRule>
  </conditionalFormatting>
  <conditionalFormatting sqref="G15:G21 G10:G13 G6 H17 I7:J8 M7:M8">
    <cfRule type="expression" dxfId="1105" priority="44" stopIfTrue="1">
      <formula>OR($B6=TODAY(),$B6=TODAY()-1)</formula>
    </cfRule>
  </conditionalFormatting>
  <conditionalFormatting sqref="G20 D6:F7">
    <cfRule type="expression" dxfId="1104" priority="43" stopIfTrue="1">
      <formula>OR($B6=TODAY(),$B6=TODAY()-1)</formula>
    </cfRule>
  </conditionalFormatting>
  <conditionalFormatting sqref="G15:G21 G10:G13 G6 H17 I7:J8 M7:M8">
    <cfRule type="expression" dxfId="1103" priority="42" stopIfTrue="1">
      <formula>OR($B6=TODAY(),$B6=TODAY()-1)</formula>
    </cfRule>
  </conditionalFormatting>
  <conditionalFormatting sqref="G20 D6:F7">
    <cfRule type="expression" dxfId="1102" priority="41" stopIfTrue="1">
      <formula>OR($B6=TODAY(),$B6=TODAY()-1)</formula>
    </cfRule>
  </conditionalFormatting>
  <conditionalFormatting sqref="G15:G21 G10:G13 G6 H17 I7:J8 M7:M8">
    <cfRule type="expression" dxfId="1101" priority="40" stopIfTrue="1">
      <formula>OR($B6=TODAY(),$B6=TODAY()-1)</formula>
    </cfRule>
  </conditionalFormatting>
  <conditionalFormatting sqref="G20 D6:F7">
    <cfRule type="expression" dxfId="1100" priority="39" stopIfTrue="1">
      <formula>OR($B6=TODAY(),$B6=TODAY()-1)</formula>
    </cfRule>
  </conditionalFormatting>
  <conditionalFormatting sqref="G15:G21 G10:G13 G6 H17 I7:J8 M7:M8">
    <cfRule type="expression" dxfId="1099" priority="38" stopIfTrue="1">
      <formula>OR($B6=TODAY(),$B6=TODAY()-1)</formula>
    </cfRule>
  </conditionalFormatting>
  <conditionalFormatting sqref="G20 D6:F7">
    <cfRule type="expression" dxfId="1098" priority="37" stopIfTrue="1">
      <formula>OR($B6=TODAY(),$B6=TODAY()-1)</formula>
    </cfRule>
  </conditionalFormatting>
  <conditionalFormatting sqref="G15:G21 G10:G13 G6 H17 I7:J8 M7:M8">
    <cfRule type="expression" dxfId="1097" priority="36" stopIfTrue="1">
      <formula>OR($B6=TODAY(),$B6=TODAY()-1)</formula>
    </cfRule>
  </conditionalFormatting>
  <conditionalFormatting sqref="G20 D6:F7">
    <cfRule type="expression" dxfId="1096" priority="35" stopIfTrue="1">
      <formula>OR($B6=TODAY(),$B6=TODAY()-1)</formula>
    </cfRule>
  </conditionalFormatting>
  <conditionalFormatting sqref="G15:G21 G10:G13 G6 H17 I7:J8 M7:M8">
    <cfRule type="expression" dxfId="1095" priority="34" stopIfTrue="1">
      <formula>OR($B6=TODAY(),$B6=TODAY()-1)</formula>
    </cfRule>
  </conditionalFormatting>
  <conditionalFormatting sqref="G20 D6:F7">
    <cfRule type="expression" dxfId="1094" priority="33" stopIfTrue="1">
      <formula>OR($B6=TODAY(),$B6=TODAY()-1)</formula>
    </cfRule>
  </conditionalFormatting>
  <conditionalFormatting sqref="G20 D6:F7">
    <cfRule type="expression" dxfId="1093" priority="32" stopIfTrue="1">
      <formula>OR($B6=TODAY(),$B6=TODAY()-1)</formula>
    </cfRule>
  </conditionalFormatting>
  <conditionalFormatting sqref="G15:G21 G10:G13 G6 H17 I7:J8 M7:M8">
    <cfRule type="expression" dxfId="1092" priority="31" stopIfTrue="1">
      <formula>OR($B6=TODAY(),$B6=TODAY()-1)</formula>
    </cfRule>
  </conditionalFormatting>
  <conditionalFormatting sqref="G20 D6:F7">
    <cfRule type="expression" dxfId="1091" priority="30" stopIfTrue="1">
      <formula>OR($B6=TODAY(),$B6=TODAY()-1)</formula>
    </cfRule>
  </conditionalFormatting>
  <conditionalFormatting sqref="G15:G21 G10:G13 G6 H17 I7:J8 M7:M8">
    <cfRule type="expression" dxfId="1090" priority="29" stopIfTrue="1">
      <formula>OR($B6=TODAY(),$B6=TODAY()-1)</formula>
    </cfRule>
  </conditionalFormatting>
  <conditionalFormatting sqref="D6:F7">
    <cfRule type="expression" dxfId="1089" priority="28" stopIfTrue="1">
      <formula>OR($B6=TODAY(),$B6=TODAY()-1)</formula>
    </cfRule>
  </conditionalFormatting>
  <conditionalFormatting sqref="G15:G21 G10:G13 G6 H17 I7:J8 M7:M8">
    <cfRule type="expression" dxfId="1088" priority="27" stopIfTrue="1">
      <formula>OR($B6=TODAY(),$B6=TODAY()-1)</formula>
    </cfRule>
  </conditionalFormatting>
  <conditionalFormatting sqref="DP6:DQ34">
    <cfRule type="cellIs" dxfId="1087" priority="25" stopIfTrue="1" operator="lessThanOrEqual">
      <formula>$D$2</formula>
    </cfRule>
    <cfRule type="cellIs" dxfId="1086" priority="26" stopIfTrue="1" operator="greaterThan">
      <formula>$D$2</formula>
    </cfRule>
  </conditionalFormatting>
  <conditionalFormatting sqref="BZ6:BZ34 DH6:DH34 DJ6:DJ34 CS6:CS34">
    <cfRule type="cellIs" dxfId="1085" priority="23" stopIfTrue="1" operator="lessThanOrEqual">
      <formula>#REF!</formula>
    </cfRule>
    <cfRule type="cellIs" dxfId="1084" priority="24" stopIfTrue="1" operator="greaterThan">
      <formula>#REF!</formula>
    </cfRule>
  </conditionalFormatting>
  <conditionalFormatting sqref="DL6:DL34">
    <cfRule type="cellIs" dxfId="1083" priority="21" stopIfTrue="1" operator="greaterThan">
      <formula>$D$3</formula>
    </cfRule>
    <cfRule type="cellIs" dxfId="1082" priority="22" stopIfTrue="1" operator="lessThanOrEqual">
      <formula>$D$3</formula>
    </cfRule>
  </conditionalFormatting>
  <conditionalFormatting sqref="E20:F20">
    <cfRule type="expression" dxfId="1081" priority="20" stopIfTrue="1">
      <formula>OR($B20=TODAY(),$B20=TODAY()-1)</formula>
    </cfRule>
  </conditionalFormatting>
  <conditionalFormatting sqref="E20:F20">
    <cfRule type="expression" dxfId="1080" priority="19" stopIfTrue="1">
      <formula>OR($B20=TODAY(),$B20=TODAY()-1)</formula>
    </cfRule>
  </conditionalFormatting>
  <conditionalFormatting sqref="E20:F20">
    <cfRule type="expression" dxfId="1079" priority="18" stopIfTrue="1">
      <formula>OR($B20=TODAY(),$B20=TODAY()-1)</formula>
    </cfRule>
  </conditionalFormatting>
  <conditionalFormatting sqref="E20:F20">
    <cfRule type="expression" dxfId="1078" priority="17" stopIfTrue="1">
      <formula>OR($B20=TODAY(),$B20=TODAY()-1)</formula>
    </cfRule>
  </conditionalFormatting>
  <conditionalFormatting sqref="E20:F20">
    <cfRule type="expression" dxfId="1077" priority="16" stopIfTrue="1">
      <formula>OR($B20=TODAY(),$B20=TODAY()-1)</formula>
    </cfRule>
  </conditionalFormatting>
  <conditionalFormatting sqref="E20:F20">
    <cfRule type="expression" dxfId="1076" priority="15" stopIfTrue="1">
      <formula>OR($B20=TODAY(),$B20=TODAY()-1)</formula>
    </cfRule>
  </conditionalFormatting>
  <conditionalFormatting sqref="E20:F20">
    <cfRule type="expression" dxfId="1075" priority="14" stopIfTrue="1">
      <formula>OR($B20=TODAY(),$B20=TODAY()-1)</formula>
    </cfRule>
  </conditionalFormatting>
  <conditionalFormatting sqref="E20:F20">
    <cfRule type="expression" dxfId="1074" priority="13" stopIfTrue="1">
      <formula>OR($B20=TODAY(),$B20=TODAY()-1)</formula>
    </cfRule>
  </conditionalFormatting>
  <conditionalFormatting sqref="E20:F20">
    <cfRule type="expression" dxfId="1073" priority="12" stopIfTrue="1">
      <formula>OR($B20=TODAY(),$B20=TODAY()-1)</formula>
    </cfRule>
  </conditionalFormatting>
  <conditionalFormatting sqref="E20:F20">
    <cfRule type="expression" dxfId="1072" priority="11" stopIfTrue="1">
      <formula>OR($B20=TODAY(),$B20=TODAY()-1)</formula>
    </cfRule>
  </conditionalFormatting>
  <conditionalFormatting sqref="CH6:CH34">
    <cfRule type="cellIs" dxfId="1071" priority="9" stopIfTrue="1" operator="lessThanOrEqual">
      <formula>#REF!</formula>
    </cfRule>
    <cfRule type="cellIs" dxfId="1070" priority="10" stopIfTrue="1" operator="greaterThan">
      <formula>#REF!</formula>
    </cfRule>
  </conditionalFormatting>
  <conditionalFormatting sqref="CL6:CL34 CP6:CP34 CV6:CV34">
    <cfRule type="cellIs" dxfId="1069" priority="7" operator="greaterThan">
      <formula>#REF!</formula>
    </cfRule>
    <cfRule type="cellIs" dxfId="1068" priority="8" operator="lessThanOrEqual">
      <formula>#REF!</formula>
    </cfRule>
  </conditionalFormatting>
  <conditionalFormatting sqref="G14">
    <cfRule type="expression" dxfId="1067" priority="6" stopIfTrue="1">
      <formula>OR($B15=TODAY(),$B15=TODAY()-1)</formula>
    </cfRule>
  </conditionalFormatting>
  <conditionalFormatting sqref="I16:M18 L19:L21">
    <cfRule type="expression" dxfId="1066" priority="5" stopIfTrue="1">
      <formula>OR($B16=TODAY(),$B16=TODAY()-1)</formula>
    </cfRule>
  </conditionalFormatting>
  <conditionalFormatting sqref="I16:M18 L19:L21">
    <cfRule type="expression" dxfId="1065" priority="4" stopIfTrue="1">
      <formula>OR($B16=TODAY(),$B16=TODAY()-1)</formula>
    </cfRule>
  </conditionalFormatting>
  <conditionalFormatting sqref="I16:M18 L19:L21">
    <cfRule type="expression" dxfId="1064" priority="3" stopIfTrue="1">
      <formula>OR($B16=TODAY(),$B16=TODAY()-1)</formula>
    </cfRule>
  </conditionalFormatting>
  <conditionalFormatting sqref="I16:M18 L19:L21">
    <cfRule type="expression" dxfId="1063" priority="2" stopIfTrue="1">
      <formula>OR($B16=TODAY(),$B16=TODAY()-1)</formula>
    </cfRule>
  </conditionalFormatting>
  <conditionalFormatting sqref="D16">
    <cfRule type="expression" dxfId="1062" priority="1" stopIfTrue="1">
      <formula>OR($B16=TODAY(),$B16=TODAY()-1)</formula>
    </cfRule>
  </conditionalFormatting>
  <hyperlinks>
    <hyperlink ref="BA5" r:id="rId3" xr:uid="{00000000-0004-0000-1500-000000000000}"/>
  </hyperlinks>
  <pageMargins left="0.7" right="0.7" top="0.75" bottom="0.75" header="0.3" footer="0.3"/>
  <pageSetup orientation="portrait" r:id="rId4"/>
  <legacy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GL76"/>
  <sheetViews>
    <sheetView showGridLines="0" zoomScale="80" zoomScaleNormal="80" workbookViewId="0">
      <pane xSplit="3" ySplit="5" topLeftCell="D20" activePane="bottomRight" state="frozen"/>
      <selection activeCell="FE12" sqref="FE12"/>
      <selection pane="topRight" activeCell="FE12" sqref="FE12"/>
      <selection pane="bottomLeft" activeCell="FE12" sqref="FE12"/>
      <selection pane="bottomRight" activeCell="B6" sqref="B6:B36"/>
    </sheetView>
  </sheetViews>
  <sheetFormatPr defaultRowHeight="15" outlineLevelCol="2"/>
  <cols>
    <col min="1" max="1" width="0.7109375" style="64" customWidth="1"/>
    <col min="2" max="2" width="6.5703125" style="64" customWidth="1"/>
    <col min="3" max="3" width="6.85546875" style="64" bestFit="1" customWidth="1"/>
    <col min="4" max="4" width="13.85546875" style="64" customWidth="1" outlineLevel="1"/>
    <col min="5" max="5" width="12" style="64" customWidth="1" outlineLevel="1"/>
    <col min="6" max="6" width="10" style="64" customWidth="1" outlineLevel="1"/>
    <col min="7" max="7" width="9.85546875" style="64" customWidth="1" outlineLevel="1"/>
    <col min="8" max="8" width="10.42578125" style="64" customWidth="1" outlineLevel="1"/>
    <col min="9" max="9" width="10.7109375" style="64" customWidth="1" outlineLevel="1"/>
    <col min="10" max="11" width="9.28515625" style="64" customWidth="1" outlineLevel="1"/>
    <col min="12" max="12" width="10.5703125" style="64" customWidth="1" outlineLevel="1"/>
    <col min="13" max="13" width="10.85546875" style="64" customWidth="1" outlineLevel="1"/>
    <col min="14" max="14" width="14.28515625" style="64" customWidth="1" outlineLevel="1"/>
    <col min="15" max="15" width="11" style="64" customWidth="1"/>
    <col min="16" max="16" width="11.85546875" style="64" customWidth="1" outlineLevel="1"/>
    <col min="17" max="17" width="1.42578125" style="64" customWidth="1"/>
    <col min="18" max="18" width="12.28515625" style="64" customWidth="1" outlineLevel="2"/>
    <col min="19" max="19" width="12.85546875" style="64" customWidth="1" outlineLevel="2"/>
    <col min="20" max="20" width="12.5703125" style="64" customWidth="1" outlineLevel="2"/>
    <col min="21" max="21" width="14.140625" style="64" customWidth="1" outlineLevel="2"/>
    <col min="22" max="22" width="9.42578125" style="64" customWidth="1" outlineLevel="2"/>
    <col min="23" max="23" width="10.7109375" style="64" customWidth="1" outlineLevel="2"/>
    <col min="24" max="24" width="11.5703125" style="64" customWidth="1" outlineLevel="2"/>
    <col min="25" max="26" width="10.7109375" style="64" customWidth="1" outlineLevel="2"/>
    <col min="27" max="27" width="11" style="64" customWidth="1" outlineLevel="1"/>
    <col min="28" max="29" width="12" style="64" customWidth="1" outlineLevel="2"/>
    <col min="30" max="31" width="10.85546875" style="64" customWidth="1" outlineLevel="1"/>
    <col min="32" max="32" width="12" style="64" customWidth="1" outlineLevel="2"/>
    <col min="33" max="33" width="8.140625" style="64" customWidth="1" outlineLevel="2"/>
    <col min="34" max="34" width="9.5703125" style="64" customWidth="1" outlineLevel="1"/>
    <col min="35" max="35" width="10.85546875" style="64" customWidth="1" outlineLevel="1"/>
    <col min="36" max="36" width="12" style="64" customWidth="1" outlineLevel="2"/>
    <col min="37" max="37" width="8.140625" style="64" customWidth="1" outlineLevel="2"/>
    <col min="38" max="38" width="9.5703125" style="64" customWidth="1" outlineLevel="1"/>
    <col min="39" max="39" width="10.85546875" style="64" customWidth="1" outlineLevel="1"/>
    <col min="40" max="40" width="9.5703125" style="64" customWidth="1" outlineLevel="2"/>
    <col min="41" max="41" width="9.5703125" style="64" customWidth="1" outlineLevel="1"/>
    <col min="42" max="42" width="9.5703125" style="64" customWidth="1" outlineLevel="2"/>
    <col min="43" max="43" width="9.5703125" style="64" customWidth="1" outlineLevel="1"/>
    <col min="44" max="44" width="11.28515625" style="64" customWidth="1" outlineLevel="2"/>
    <col min="45" max="45" width="9.140625" style="64" customWidth="1" outlineLevel="1"/>
    <col min="46" max="46" width="13.5703125" style="64" customWidth="1" outlineLevel="1"/>
    <col min="47" max="47" width="11.28515625" style="64" customWidth="1" outlineLevel="2"/>
    <col min="48" max="48" width="9.5703125" style="64" customWidth="1" outlineLevel="1"/>
    <col min="49" max="49" width="11.28515625" style="64" customWidth="1" outlineLevel="2"/>
    <col min="50" max="51" width="9.5703125" style="64" customWidth="1" outlineLevel="1"/>
    <col min="52" max="52" width="13.85546875" style="64" customWidth="1" outlineLevel="2"/>
    <col min="53" max="53" width="10.28515625" style="64" customWidth="1" outlineLevel="2"/>
    <col min="54" max="54" width="13.85546875" style="64" customWidth="1" outlineLevel="2"/>
    <col min="55" max="55" width="14.85546875" style="64" customWidth="1" outlineLevel="2"/>
    <col min="56" max="56" width="15.28515625" style="64" customWidth="1" outlineLevel="2"/>
    <col min="57" max="58" width="13.7109375" style="64" customWidth="1" outlineLevel="2"/>
    <col min="59" max="60" width="9.5703125" style="64" customWidth="1" outlineLevel="1"/>
    <col min="61" max="61" width="17" style="64" customWidth="1" outlineLevel="1"/>
    <col min="62" max="62" width="19.140625" style="64" customWidth="1" outlineLevel="1"/>
    <col min="63" max="63" width="2.28515625" style="261" customWidth="1"/>
    <col min="64" max="64" width="19.28515625" style="64" customWidth="1"/>
    <col min="65" max="65" width="14.28515625" style="64" customWidth="1"/>
    <col min="66" max="66" width="0.85546875" style="64" customWidth="1"/>
    <col min="67" max="67" width="12.28515625" style="64" customWidth="1" outlineLevel="2"/>
    <col min="68" max="68" width="12.42578125" style="64" customWidth="1" outlineLevel="2"/>
    <col min="69" max="69" width="12.5703125" style="64" customWidth="1" outlineLevel="2"/>
    <col min="70" max="72" width="9.42578125" style="64" customWidth="1" outlineLevel="2"/>
    <col min="73" max="73" width="21.42578125" style="64" customWidth="1" outlineLevel="1"/>
    <col min="74" max="74" width="12.28515625" style="64" customWidth="1" outlineLevel="2"/>
    <col min="75" max="75" width="12.42578125" style="64" customWidth="1" outlineLevel="2"/>
    <col min="76" max="76" width="12.5703125" style="64" customWidth="1" outlineLevel="2"/>
    <col min="77" max="77" width="9.42578125" style="64" customWidth="1" outlineLevel="2"/>
    <col min="78" max="78" width="13.7109375" style="64" customWidth="1" outlineLevel="1"/>
    <col min="79" max="79" width="0.42578125" style="64" customWidth="1" outlineLevel="1"/>
    <col min="80" max="80" width="11.7109375" style="64" customWidth="1" outlineLevel="2"/>
    <col min="81" max="81" width="9.7109375" style="64" customWidth="1" outlineLevel="1"/>
    <col min="82" max="82" width="11.42578125" style="64" customWidth="1" outlineLevel="1"/>
    <col min="83" max="83" width="12.85546875" style="64" customWidth="1" outlineLevel="1"/>
    <col min="84" max="84" width="13.7109375" style="64" customWidth="1" outlineLevel="2"/>
    <col min="85" max="85" width="11" style="64" customWidth="1" outlineLevel="2"/>
    <col min="86" max="86" width="8.7109375" style="64" customWidth="1" outlineLevel="1"/>
    <col min="87" max="87" width="0.140625" style="64" customWidth="1" outlineLevel="1"/>
    <col min="88" max="89" width="11.7109375" style="64" customWidth="1" outlineLevel="2"/>
    <col min="90" max="90" width="10.28515625" style="64" customWidth="1" outlineLevel="1"/>
    <col min="91" max="91" width="0.5703125" style="64" customWidth="1" outlineLevel="1"/>
    <col min="92" max="93" width="11.7109375" style="64" customWidth="1" outlineLevel="2"/>
    <col min="94" max="94" width="8.7109375" style="64" customWidth="1" outlineLevel="1"/>
    <col min="95" max="95" width="0.28515625" style="64" customWidth="1" outlineLevel="1"/>
    <col min="96" max="96" width="14.42578125" style="64" customWidth="1" outlineLevel="2"/>
    <col min="97" max="97" width="6.7109375" style="64" customWidth="1" outlineLevel="1"/>
    <col min="98" max="98" width="0.28515625" style="64" customWidth="1" outlineLevel="1"/>
    <col min="99" max="99" width="11" style="64" customWidth="1" outlineLevel="2"/>
    <col min="100" max="100" width="7.28515625" style="64" customWidth="1" outlineLevel="1"/>
    <col min="101" max="101" width="0.42578125" style="64" customWidth="1" outlineLevel="1"/>
    <col min="102" max="104" width="8.140625" style="64" customWidth="1" outlineLevel="1"/>
    <col min="105" max="105" width="8.42578125" style="64" customWidth="1" outlineLevel="1"/>
    <col min="106" max="106" width="10.42578125" style="64" customWidth="1" outlineLevel="2"/>
    <col min="107" max="107" width="9.7109375" style="64" customWidth="1" outlineLevel="2"/>
    <col min="108" max="108" width="18.28515625" style="64" customWidth="1" outlineLevel="2"/>
    <col min="109" max="109" width="14.85546875" style="64" customWidth="1" outlineLevel="2"/>
    <col min="110" max="110" width="17" style="64" customWidth="1" outlineLevel="2"/>
    <col min="111" max="111" width="14.85546875" style="64" customWidth="1" outlineLevel="2"/>
    <col min="112" max="112" width="11" style="64" customWidth="1" outlineLevel="1"/>
    <col min="113" max="113" width="0.28515625" style="64" customWidth="1" outlineLevel="1"/>
    <col min="114" max="114" width="9.85546875" style="64" customWidth="1" outlineLevel="1"/>
    <col min="115" max="115" width="0.42578125" style="64" customWidth="1" outlineLevel="1"/>
    <col min="116" max="116" width="9.85546875" style="64" customWidth="1" outlineLevel="1"/>
    <col min="117" max="117" width="0.42578125" style="64" customWidth="1" outlineLevel="1"/>
    <col min="118" max="118" width="13.140625" style="64" customWidth="1" outlineLevel="2"/>
    <col min="119" max="119" width="1.7109375" style="261" customWidth="1"/>
    <col min="120" max="120" width="16.42578125" style="64" customWidth="1"/>
    <col min="121" max="121" width="15.140625" style="64" customWidth="1"/>
    <col min="122" max="122" width="3.42578125" style="64" customWidth="1"/>
    <col min="123" max="123" width="8.42578125" style="64" customWidth="1"/>
    <col min="124" max="124" width="9.140625" style="64" customWidth="1"/>
    <col min="125" max="131" width="15.7109375" style="219" customWidth="1" outlineLevel="1"/>
    <col min="132" max="132" width="15.7109375" style="220" customWidth="1" outlineLevel="1"/>
    <col min="133" max="139" width="15.7109375" style="219" customWidth="1" outlineLevel="1"/>
    <col min="140" max="141" width="15.7109375" style="220" customWidth="1" outlineLevel="1"/>
    <col min="142" max="143" width="15.7109375" style="219" customWidth="1" outlineLevel="1"/>
    <col min="144" max="144" width="15.7109375" style="220" customWidth="1" outlineLevel="1"/>
    <col min="145" max="145" width="15.7109375" style="219" customWidth="1" outlineLevel="1"/>
    <col min="146" max="153" width="15.7109375" style="220" customWidth="1" outlineLevel="1"/>
    <col min="154" max="159" width="15.7109375" style="219" customWidth="1" outlineLevel="1"/>
    <col min="160" max="160" width="20.5703125" style="220" customWidth="1"/>
    <col min="161" max="162" width="11.85546875" style="220" customWidth="1" outlineLevel="1"/>
    <col min="163" max="169" width="10.7109375" style="220" customWidth="1" outlineLevel="1"/>
    <col min="170" max="170" width="15.5703125" style="220" customWidth="1"/>
    <col min="171" max="171" width="20.5703125" style="220" customWidth="1"/>
    <col min="172" max="172" width="54.42578125" style="64" customWidth="1"/>
    <col min="173" max="173" width="9.140625" style="9"/>
    <col min="174" max="179" width="9.140625" style="9" hidden="1" customWidth="1"/>
    <col min="180" max="181" width="9.140625" style="9"/>
    <col min="182" max="182" width="12.28515625" style="9" customWidth="1"/>
    <col min="183" max="183" width="12" style="64" customWidth="1"/>
    <col min="184" max="184" width="9.28515625" style="64" bestFit="1" customWidth="1"/>
    <col min="185" max="185" width="9.140625" style="64"/>
    <col min="186" max="187" width="13.5703125" style="64" customWidth="1"/>
    <col min="188" max="188" width="9.7109375" style="64" bestFit="1" customWidth="1"/>
    <col min="189" max="189" width="9.140625" style="64"/>
    <col min="190" max="190" width="10.85546875" style="64" customWidth="1"/>
    <col min="191" max="191" width="15" style="64" customWidth="1"/>
    <col min="192" max="192" width="13.7109375" style="64" customWidth="1"/>
    <col min="193" max="194" width="9.140625" style="10"/>
    <col min="195" max="16384" width="9.140625" style="64"/>
  </cols>
  <sheetData>
    <row r="1" spans="1:194" s="4" customFormat="1">
      <c r="A1" s="1"/>
      <c r="B1" s="2" t="s">
        <v>171</v>
      </c>
      <c r="C1" s="1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AA1" s="5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5"/>
      <c r="AS1" s="5"/>
      <c r="AT1" s="5"/>
      <c r="AU1" s="5"/>
      <c r="AV1" s="6"/>
      <c r="AW1" s="5"/>
      <c r="AX1" s="6"/>
      <c r="AY1" s="6"/>
      <c r="AZ1" s="6"/>
      <c r="BA1" s="6"/>
      <c r="BB1" s="6"/>
      <c r="BD1" s="5"/>
      <c r="BE1" s="5"/>
      <c r="BF1" s="5"/>
      <c r="BG1" s="6"/>
      <c r="BK1" s="7"/>
      <c r="DO1" s="7"/>
      <c r="DU1" s="8"/>
      <c r="DV1" s="8"/>
      <c r="DW1" s="8"/>
      <c r="DX1" s="8"/>
      <c r="DY1" s="8"/>
      <c r="DZ1" s="8"/>
      <c r="EA1" s="8"/>
      <c r="EB1" s="3"/>
      <c r="EC1" s="8"/>
      <c r="ED1" s="8"/>
      <c r="EE1" s="8"/>
      <c r="EF1" s="8"/>
      <c r="EG1" s="8"/>
      <c r="EH1" s="8"/>
      <c r="EI1" s="8"/>
      <c r="EJ1" s="3"/>
      <c r="EK1" s="3"/>
      <c r="EL1" s="8"/>
      <c r="EM1" s="8"/>
      <c r="EN1" s="3"/>
      <c r="EO1" s="8"/>
      <c r="EP1" s="3"/>
      <c r="EQ1" s="3"/>
      <c r="ER1" s="3"/>
      <c r="ES1" s="3"/>
      <c r="ET1" s="3"/>
      <c r="EU1" s="3"/>
      <c r="EV1" s="3"/>
      <c r="EW1" s="3"/>
      <c r="EX1" s="8"/>
      <c r="EY1" s="8"/>
      <c r="EZ1" s="8"/>
      <c r="FA1" s="8"/>
      <c r="FB1" s="8"/>
      <c r="FC1" s="8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Q1" s="9"/>
      <c r="FR1" s="9"/>
      <c r="FS1" s="9"/>
      <c r="FT1" s="9"/>
      <c r="FU1" s="9"/>
      <c r="FV1" s="9"/>
      <c r="FW1" s="9"/>
      <c r="FX1" s="9"/>
      <c r="FY1" s="9"/>
      <c r="FZ1" s="9"/>
      <c r="GK1" s="10"/>
      <c r="GL1" s="10"/>
    </row>
    <row r="2" spans="1:194" s="4" customFormat="1" ht="13.5" customHeight="1">
      <c r="B2" s="11" t="s">
        <v>1</v>
      </c>
      <c r="C2" s="12"/>
      <c r="D2" s="13" t="s">
        <v>172</v>
      </c>
      <c r="E2" s="14"/>
      <c r="F2" s="14"/>
      <c r="G2" s="3"/>
      <c r="H2" s="12"/>
      <c r="I2" s="12"/>
      <c r="J2" s="12"/>
      <c r="K2" s="12"/>
      <c r="L2" s="12"/>
      <c r="M2" s="12"/>
      <c r="N2" s="12"/>
      <c r="R2" s="15"/>
      <c r="S2" s="15"/>
      <c r="T2" s="15"/>
      <c r="U2" s="15"/>
      <c r="V2" s="16"/>
      <c r="W2" s="16"/>
      <c r="X2" s="16"/>
      <c r="Y2" s="16"/>
      <c r="Z2" s="16"/>
      <c r="AA2" s="17"/>
      <c r="AB2" s="17"/>
      <c r="AC2" s="17"/>
      <c r="AD2" s="17"/>
      <c r="AE2" s="17"/>
      <c r="AF2" s="5"/>
      <c r="AG2" s="5"/>
      <c r="AH2" s="5"/>
      <c r="AI2" s="17"/>
      <c r="AJ2" s="5"/>
      <c r="AK2" s="5"/>
      <c r="AL2" s="5"/>
      <c r="AM2" s="17"/>
      <c r="AN2" s="5"/>
      <c r="AO2" s="5"/>
      <c r="AP2" s="5"/>
      <c r="AQ2" s="5"/>
      <c r="AR2" s="17"/>
      <c r="AS2" s="17"/>
      <c r="AT2" s="17"/>
      <c r="AU2" s="17"/>
      <c r="AV2" s="5"/>
      <c r="AW2" s="17"/>
      <c r="AX2" s="5"/>
      <c r="AY2" s="5"/>
      <c r="AZ2" s="5"/>
      <c r="BA2" s="5"/>
      <c r="BB2" s="5"/>
      <c r="BC2" s="6"/>
      <c r="BD2" s="18"/>
      <c r="BE2" s="18"/>
      <c r="BF2" s="18"/>
      <c r="BG2" s="5"/>
      <c r="BH2" s="5"/>
      <c r="BI2" s="19"/>
      <c r="BJ2" s="19"/>
      <c r="BK2" s="20"/>
      <c r="BL2" s="19"/>
      <c r="BM2" s="19"/>
      <c r="BN2" s="19"/>
      <c r="CG2" s="21"/>
      <c r="CK2" s="22"/>
      <c r="CO2" s="22"/>
      <c r="CU2" s="22"/>
      <c r="DO2" s="7"/>
      <c r="DU2" s="8"/>
      <c r="DV2" s="8"/>
      <c r="DW2" s="8"/>
      <c r="DX2" s="8"/>
      <c r="DY2" s="8"/>
      <c r="DZ2" s="8"/>
      <c r="EA2" s="8"/>
      <c r="EB2" s="3"/>
      <c r="EC2" s="8"/>
      <c r="ED2" s="8"/>
      <c r="EE2" s="8"/>
      <c r="EF2" s="8"/>
      <c r="EG2" s="8"/>
      <c r="EH2" s="8"/>
      <c r="EI2" s="8"/>
      <c r="EJ2" s="9"/>
      <c r="EK2" s="9"/>
      <c r="EL2" s="8"/>
      <c r="EM2" s="8"/>
      <c r="EN2" s="9"/>
      <c r="EO2" s="8"/>
      <c r="EP2" s="9"/>
      <c r="EQ2" s="9"/>
      <c r="ER2" s="9"/>
      <c r="ES2" s="9"/>
      <c r="ET2" s="9"/>
      <c r="EU2" s="9"/>
      <c r="EV2" s="9"/>
      <c r="EW2" s="3"/>
      <c r="EX2" s="8"/>
      <c r="EY2" s="8"/>
      <c r="EZ2" s="8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23"/>
      <c r="FQ2" s="9"/>
      <c r="FR2" s="9"/>
      <c r="GK2" s="10"/>
      <c r="GL2" s="10"/>
    </row>
    <row r="3" spans="1:194" s="4" customFormat="1" ht="30" customHeight="1">
      <c r="D3" s="21"/>
      <c r="E3" s="24"/>
      <c r="F3" s="24"/>
      <c r="G3" s="3"/>
      <c r="H3" s="3"/>
      <c r="I3" s="3"/>
      <c r="J3" s="3"/>
      <c r="K3" s="3"/>
      <c r="L3" s="3"/>
      <c r="M3" s="3"/>
      <c r="N3" s="3"/>
      <c r="P3" s="25"/>
      <c r="R3" s="26"/>
      <c r="S3" s="26"/>
      <c r="T3" s="26"/>
      <c r="U3" s="26"/>
      <c r="V3" s="27"/>
      <c r="W3" s="27"/>
      <c r="X3" s="27"/>
      <c r="Y3" s="27"/>
      <c r="Z3" s="27"/>
      <c r="AA3" s="27"/>
      <c r="AB3" s="27"/>
      <c r="AC3" s="27"/>
      <c r="AD3" s="28"/>
      <c r="AE3" s="28"/>
      <c r="AF3" s="26"/>
      <c r="AG3" s="26"/>
      <c r="AH3" s="28"/>
      <c r="AI3" s="28"/>
      <c r="AJ3" s="26"/>
      <c r="AK3" s="26"/>
      <c r="AL3" s="26"/>
      <c r="AM3" s="28"/>
      <c r="AN3" s="26"/>
      <c r="AO3" s="26"/>
      <c r="AP3" s="26"/>
      <c r="AQ3" s="26"/>
      <c r="AR3" s="27"/>
      <c r="AS3" s="27"/>
      <c r="AT3" s="27"/>
      <c r="AU3" s="27"/>
      <c r="AV3" s="26"/>
      <c r="AW3" s="27"/>
      <c r="AX3" s="26"/>
      <c r="AY3" s="26"/>
      <c r="AZ3" s="26"/>
      <c r="BA3" s="26"/>
      <c r="BB3" s="26"/>
      <c r="BC3" s="29"/>
      <c r="BD3" s="27"/>
      <c r="BE3" s="27"/>
      <c r="BF3" s="27"/>
      <c r="BG3" s="26"/>
      <c r="BH3" s="26"/>
      <c r="BI3" s="30"/>
      <c r="BJ3" s="30"/>
      <c r="BK3" s="31"/>
      <c r="BL3" s="30"/>
      <c r="BM3" s="30"/>
      <c r="BN3" s="30"/>
      <c r="BO3" s="32" t="s">
        <v>4</v>
      </c>
      <c r="DO3" s="7"/>
      <c r="DU3" s="33" t="s">
        <v>5</v>
      </c>
      <c r="DV3" s="34" t="s">
        <v>6</v>
      </c>
      <c r="DW3" s="34" t="s">
        <v>7</v>
      </c>
      <c r="DX3" s="34" t="s">
        <v>8</v>
      </c>
      <c r="DY3" s="34" t="s">
        <v>9</v>
      </c>
      <c r="DZ3" s="34" t="s">
        <v>10</v>
      </c>
      <c r="EA3" s="34" t="s">
        <v>11</v>
      </c>
      <c r="EB3" s="34" t="s">
        <v>12</v>
      </c>
      <c r="EC3" s="34" t="s">
        <v>13</v>
      </c>
      <c r="ED3" s="34" t="s">
        <v>14</v>
      </c>
      <c r="EE3" s="34" t="s">
        <v>15</v>
      </c>
      <c r="EF3" s="34" t="s">
        <v>16</v>
      </c>
      <c r="EG3" s="34" t="s">
        <v>17</v>
      </c>
      <c r="EH3" s="34" t="s">
        <v>18</v>
      </c>
      <c r="EI3" s="34" t="s">
        <v>19</v>
      </c>
      <c r="EJ3" s="34" t="s">
        <v>20</v>
      </c>
      <c r="EK3" s="34" t="s">
        <v>21</v>
      </c>
      <c r="EL3" s="34" t="s">
        <v>22</v>
      </c>
      <c r="EM3" s="34" t="s">
        <v>23</v>
      </c>
      <c r="EN3" s="34" t="s">
        <v>24</v>
      </c>
      <c r="EO3" s="35" t="s">
        <v>25</v>
      </c>
      <c r="EP3" s="35" t="s">
        <v>26</v>
      </c>
      <c r="EQ3" s="34" t="s">
        <v>27</v>
      </c>
      <c r="ER3" s="34" t="s">
        <v>28</v>
      </c>
      <c r="ES3" s="34" t="s">
        <v>29</v>
      </c>
      <c r="ET3" s="34" t="s">
        <v>30</v>
      </c>
      <c r="EU3" s="34" t="s">
        <v>31</v>
      </c>
      <c r="EV3" s="34" t="s">
        <v>32</v>
      </c>
      <c r="EW3" s="34" t="s">
        <v>33</v>
      </c>
      <c r="EX3" s="34" t="s">
        <v>34</v>
      </c>
      <c r="EY3" s="35" t="s">
        <v>35</v>
      </c>
      <c r="EZ3" s="34" t="s">
        <v>36</v>
      </c>
      <c r="FA3" s="35" t="s">
        <v>37</v>
      </c>
      <c r="FB3" s="36" t="s">
        <v>38</v>
      </c>
      <c r="FC3" s="577" t="s">
        <v>39</v>
      </c>
      <c r="FD3" s="37" t="s">
        <v>40</v>
      </c>
      <c r="FE3" s="38" t="s">
        <v>41</v>
      </c>
      <c r="FF3" s="38" t="s">
        <v>42</v>
      </c>
      <c r="FG3" s="38" t="s">
        <v>43</v>
      </c>
      <c r="FH3" s="38" t="s">
        <v>44</v>
      </c>
      <c r="FI3" s="38" t="s">
        <v>45</v>
      </c>
      <c r="FJ3" s="38" t="s">
        <v>46</v>
      </c>
      <c r="FK3" s="38" t="s">
        <v>47</v>
      </c>
      <c r="FL3" s="38" t="s">
        <v>48</v>
      </c>
      <c r="FM3" s="39" t="s">
        <v>49</v>
      </c>
      <c r="FN3" s="38" t="s">
        <v>50</v>
      </c>
      <c r="FO3" s="40" t="s">
        <v>51</v>
      </c>
      <c r="FP3" s="41" t="s">
        <v>52</v>
      </c>
      <c r="FQ3" s="9"/>
      <c r="GK3" s="10"/>
      <c r="GL3" s="10"/>
    </row>
    <row r="4" spans="1:194" s="4" customFormat="1" ht="26.25" customHeight="1">
      <c r="B4" s="33" t="s">
        <v>53</v>
      </c>
      <c r="C4" s="42"/>
      <c r="D4" s="43" t="s">
        <v>54</v>
      </c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2"/>
      <c r="R4" s="45" t="s">
        <v>55</v>
      </c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7"/>
      <c r="BL4" s="48" t="s">
        <v>55</v>
      </c>
      <c r="BM4" s="48"/>
      <c r="BN4" s="47"/>
      <c r="BO4" s="32" t="s">
        <v>56</v>
      </c>
      <c r="BP4" s="32"/>
      <c r="BQ4" s="32"/>
      <c r="BR4" s="32"/>
      <c r="BS4" s="32"/>
      <c r="BT4" s="32"/>
      <c r="BU4" s="32"/>
      <c r="BV4" s="32" t="s">
        <v>57</v>
      </c>
      <c r="BW4" s="32"/>
      <c r="BX4" s="32"/>
      <c r="BY4" s="32"/>
      <c r="BZ4" s="32"/>
      <c r="CA4" s="32"/>
      <c r="CB4" s="32"/>
      <c r="CC4" s="32"/>
      <c r="CD4" s="32"/>
      <c r="CE4" s="32"/>
      <c r="CF4" s="581" t="s">
        <v>56</v>
      </c>
      <c r="CG4" s="581"/>
      <c r="CH4" s="581"/>
      <c r="CI4" s="49"/>
      <c r="CJ4" s="581" t="s">
        <v>56</v>
      </c>
      <c r="CK4" s="581"/>
      <c r="CL4" s="581"/>
      <c r="CM4" s="49"/>
      <c r="CN4" s="581" t="s">
        <v>56</v>
      </c>
      <c r="CO4" s="581"/>
      <c r="CP4" s="581"/>
      <c r="CQ4" s="49"/>
      <c r="CR4" s="581" t="s">
        <v>56</v>
      </c>
      <c r="CS4" s="581"/>
      <c r="CT4" s="581"/>
      <c r="CU4" s="581" t="s">
        <v>56</v>
      </c>
      <c r="CV4" s="581"/>
      <c r="CW4" s="581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50"/>
      <c r="DP4" s="32" t="s">
        <v>58</v>
      </c>
      <c r="DQ4" s="51"/>
      <c r="DR4" s="52"/>
      <c r="DS4" s="53"/>
      <c r="DT4" s="33" t="s">
        <v>53</v>
      </c>
      <c r="DU4" s="34"/>
      <c r="DV4" s="34"/>
      <c r="DW4" s="34"/>
      <c r="DX4" s="34"/>
      <c r="DY4" s="34"/>
      <c r="DZ4" s="34"/>
      <c r="EA4" s="34"/>
      <c r="EB4" s="34"/>
      <c r="EC4" s="34"/>
      <c r="ED4" s="34"/>
      <c r="EE4" s="34"/>
      <c r="EF4" s="34"/>
      <c r="EG4" s="34"/>
      <c r="EH4" s="34"/>
      <c r="EI4" s="34"/>
      <c r="EJ4" s="34"/>
      <c r="EK4" s="34"/>
      <c r="EL4" s="34"/>
      <c r="EM4" s="34"/>
      <c r="EN4" s="34"/>
      <c r="EO4" s="34"/>
      <c r="EP4" s="34"/>
      <c r="EQ4" s="34"/>
      <c r="ER4" s="34"/>
      <c r="ES4" s="34"/>
      <c r="ET4" s="34"/>
      <c r="EU4" s="34"/>
      <c r="EV4" s="34"/>
      <c r="EW4" s="34"/>
      <c r="EX4" s="34"/>
      <c r="EY4" s="34"/>
      <c r="EZ4" s="34"/>
      <c r="FA4" s="34"/>
      <c r="FB4" s="54"/>
      <c r="FC4" s="578"/>
      <c r="FD4" s="55"/>
      <c r="FE4" s="54"/>
      <c r="FF4" s="54"/>
      <c r="FG4" s="54"/>
      <c r="FH4" s="54"/>
      <c r="FI4" s="54"/>
      <c r="FJ4" s="54"/>
      <c r="FK4" s="54"/>
      <c r="FL4" s="54"/>
      <c r="FM4" s="56"/>
      <c r="FN4" s="57"/>
      <c r="FO4" s="58"/>
      <c r="FP4" s="59"/>
      <c r="FZ4" s="60" t="s">
        <v>155</v>
      </c>
      <c r="GA4" s="60"/>
      <c r="GB4" s="60"/>
      <c r="GC4" s="60"/>
      <c r="GD4" s="61" t="s">
        <v>59</v>
      </c>
      <c r="GE4" s="61"/>
      <c r="GF4" s="61"/>
      <c r="GG4" s="62"/>
      <c r="GH4" s="34" t="s">
        <v>60</v>
      </c>
      <c r="GI4" s="63" t="s">
        <v>61</v>
      </c>
      <c r="GJ4" s="63"/>
    </row>
    <row r="5" spans="1:194" ht="24.75" customHeight="1">
      <c r="B5" s="75"/>
      <c r="C5" s="65"/>
      <c r="D5" s="66" t="s">
        <v>62</v>
      </c>
      <c r="E5" s="66" t="s">
        <v>63</v>
      </c>
      <c r="F5" s="66" t="s">
        <v>64</v>
      </c>
      <c r="G5" s="66" t="s">
        <v>65</v>
      </c>
      <c r="H5" s="66" t="s">
        <v>66</v>
      </c>
      <c r="I5" s="66" t="s">
        <v>19</v>
      </c>
      <c r="J5" s="66" t="s">
        <v>20</v>
      </c>
      <c r="K5" s="66" t="s">
        <v>21</v>
      </c>
      <c r="L5" s="67" t="s">
        <v>67</v>
      </c>
      <c r="M5" s="67" t="s">
        <v>68</v>
      </c>
      <c r="N5" s="66" t="s">
        <v>69</v>
      </c>
      <c r="O5" s="66" t="s">
        <v>70</v>
      </c>
      <c r="P5" s="66" t="s">
        <v>71</v>
      </c>
      <c r="Q5" s="65"/>
      <c r="R5" s="66" t="s">
        <v>22</v>
      </c>
      <c r="S5" s="66" t="s">
        <v>72</v>
      </c>
      <c r="T5" s="66" t="s">
        <v>23</v>
      </c>
      <c r="U5" s="66" t="s">
        <v>73</v>
      </c>
      <c r="V5" s="66" t="s">
        <v>74</v>
      </c>
      <c r="W5" s="68" t="s">
        <v>75</v>
      </c>
      <c r="X5" s="66" t="s">
        <v>76</v>
      </c>
      <c r="Y5" s="66" t="s">
        <v>27</v>
      </c>
      <c r="Z5" s="66" t="s">
        <v>28</v>
      </c>
      <c r="AA5" s="67" t="s">
        <v>77</v>
      </c>
      <c r="AB5" s="67" t="s">
        <v>78</v>
      </c>
      <c r="AC5" s="66" t="s">
        <v>6</v>
      </c>
      <c r="AD5" s="67" t="s">
        <v>79</v>
      </c>
      <c r="AE5" s="67" t="s">
        <v>80</v>
      </c>
      <c r="AF5" s="67" t="s">
        <v>8</v>
      </c>
      <c r="AG5" s="66" t="s">
        <v>9</v>
      </c>
      <c r="AH5" s="67" t="s">
        <v>81</v>
      </c>
      <c r="AI5" s="67" t="s">
        <v>82</v>
      </c>
      <c r="AJ5" s="67" t="s">
        <v>11</v>
      </c>
      <c r="AK5" s="66" t="s">
        <v>12</v>
      </c>
      <c r="AL5" s="67" t="s">
        <v>83</v>
      </c>
      <c r="AM5" s="67" t="s">
        <v>84</v>
      </c>
      <c r="AN5" s="66" t="s">
        <v>14</v>
      </c>
      <c r="AO5" s="66" t="s">
        <v>65</v>
      </c>
      <c r="AP5" s="66" t="s">
        <v>17</v>
      </c>
      <c r="AQ5" s="66" t="s">
        <v>66</v>
      </c>
      <c r="AR5" s="67" t="s">
        <v>85</v>
      </c>
      <c r="AS5" s="66" t="s">
        <v>86</v>
      </c>
      <c r="AT5" s="67" t="s">
        <v>87</v>
      </c>
      <c r="AU5" s="67" t="s">
        <v>88</v>
      </c>
      <c r="AV5" s="66">
        <v>561</v>
      </c>
      <c r="AW5" s="67" t="s">
        <v>89</v>
      </c>
      <c r="AX5" s="66">
        <v>562</v>
      </c>
      <c r="AY5" s="66" t="s">
        <v>21</v>
      </c>
      <c r="AZ5" s="66" t="s">
        <v>33</v>
      </c>
      <c r="BA5" s="66" t="s">
        <v>90</v>
      </c>
      <c r="BB5" s="66" t="s">
        <v>34</v>
      </c>
      <c r="BC5" s="66" t="s">
        <v>91</v>
      </c>
      <c r="BD5" s="68" t="s">
        <v>92</v>
      </c>
      <c r="BE5" s="66" t="s">
        <v>113</v>
      </c>
      <c r="BF5" s="66" t="s">
        <v>114</v>
      </c>
      <c r="BG5" s="66" t="s">
        <v>95</v>
      </c>
      <c r="BH5" s="66" t="s">
        <v>96</v>
      </c>
      <c r="BI5" s="66" t="s">
        <v>97</v>
      </c>
      <c r="BJ5" s="66" t="s">
        <v>98</v>
      </c>
      <c r="BK5" s="69"/>
      <c r="BL5" s="66" t="s">
        <v>99</v>
      </c>
      <c r="BM5" s="70" t="s">
        <v>71</v>
      </c>
      <c r="BN5" s="69"/>
      <c r="BO5" s="67" t="s">
        <v>22</v>
      </c>
      <c r="BP5" s="67" t="s">
        <v>100</v>
      </c>
      <c r="BQ5" s="67" t="s">
        <v>23</v>
      </c>
      <c r="BR5" s="67" t="s">
        <v>74</v>
      </c>
      <c r="BS5" s="67" t="s">
        <v>27</v>
      </c>
      <c r="BT5" s="67" t="s">
        <v>28</v>
      </c>
      <c r="BU5" s="67" t="s">
        <v>101</v>
      </c>
      <c r="BV5" s="67" t="s">
        <v>22</v>
      </c>
      <c r="BW5" s="67" t="s">
        <v>100</v>
      </c>
      <c r="BX5" s="67" t="s">
        <v>23</v>
      </c>
      <c r="BY5" s="67" t="s">
        <v>74</v>
      </c>
      <c r="BZ5" s="67" t="s">
        <v>102</v>
      </c>
      <c r="CA5" s="71" t="s">
        <v>1</v>
      </c>
      <c r="CB5" s="66" t="s">
        <v>103</v>
      </c>
      <c r="CC5" s="66" t="s">
        <v>86</v>
      </c>
      <c r="CD5" s="67" t="s">
        <v>104</v>
      </c>
      <c r="CE5" s="67" t="s">
        <v>105</v>
      </c>
      <c r="CF5" s="66" t="s">
        <v>78</v>
      </c>
      <c r="CG5" s="66" t="s">
        <v>6</v>
      </c>
      <c r="CH5" s="67" t="s">
        <v>106</v>
      </c>
      <c r="CI5" s="71" t="s">
        <v>1</v>
      </c>
      <c r="CJ5" s="66" t="s">
        <v>8</v>
      </c>
      <c r="CK5" s="66" t="s">
        <v>9</v>
      </c>
      <c r="CL5" s="67" t="s">
        <v>107</v>
      </c>
      <c r="CM5" s="71" t="s">
        <v>1</v>
      </c>
      <c r="CN5" s="66" t="s">
        <v>11</v>
      </c>
      <c r="CO5" s="66" t="s">
        <v>12</v>
      </c>
      <c r="CP5" s="66" t="s">
        <v>108</v>
      </c>
      <c r="CQ5" s="71" t="s">
        <v>1</v>
      </c>
      <c r="CR5" s="66" t="s">
        <v>109</v>
      </c>
      <c r="CS5" s="66" t="s">
        <v>65</v>
      </c>
      <c r="CT5" s="71" t="s">
        <v>1</v>
      </c>
      <c r="CU5" s="66" t="s">
        <v>17</v>
      </c>
      <c r="CV5" s="66" t="s">
        <v>66</v>
      </c>
      <c r="CW5" s="71" t="s">
        <v>1</v>
      </c>
      <c r="CX5" s="67" t="s">
        <v>110</v>
      </c>
      <c r="CY5" s="66" t="s">
        <v>19</v>
      </c>
      <c r="CZ5" s="67" t="s">
        <v>111</v>
      </c>
      <c r="DA5" s="66" t="s">
        <v>112</v>
      </c>
      <c r="DB5" s="66" t="s">
        <v>33</v>
      </c>
      <c r="DC5" s="66" t="s">
        <v>34</v>
      </c>
      <c r="DD5" s="66" t="s">
        <v>91</v>
      </c>
      <c r="DE5" s="66" t="s">
        <v>92</v>
      </c>
      <c r="DF5" s="66" t="s">
        <v>113</v>
      </c>
      <c r="DG5" s="66" t="s">
        <v>114</v>
      </c>
      <c r="DH5" s="67" t="s">
        <v>115</v>
      </c>
      <c r="DI5" s="71" t="s">
        <v>1</v>
      </c>
      <c r="DJ5" s="66" t="s">
        <v>96</v>
      </c>
      <c r="DK5" s="71" t="s">
        <v>1</v>
      </c>
      <c r="DL5" s="66" t="s">
        <v>97</v>
      </c>
      <c r="DM5" s="71" t="s">
        <v>1</v>
      </c>
      <c r="DN5" s="67" t="s">
        <v>98</v>
      </c>
      <c r="DO5" s="69"/>
      <c r="DP5" s="66" t="s">
        <v>116</v>
      </c>
      <c r="DQ5" s="72" t="s">
        <v>71</v>
      </c>
      <c r="DR5" s="73" t="s">
        <v>1</v>
      </c>
      <c r="DS5" s="74"/>
      <c r="DT5" s="75"/>
      <c r="DU5" s="76">
        <v>606710</v>
      </c>
      <c r="DV5" s="76">
        <v>22979</v>
      </c>
      <c r="DW5" s="76">
        <v>5092451</v>
      </c>
      <c r="DX5" s="76">
        <v>100235</v>
      </c>
      <c r="DY5" s="76">
        <v>80238</v>
      </c>
      <c r="DZ5" s="76">
        <v>362434</v>
      </c>
      <c r="EA5" s="77">
        <v>209876</v>
      </c>
      <c r="EB5" s="77">
        <v>47615</v>
      </c>
      <c r="EC5" s="77">
        <v>368141</v>
      </c>
      <c r="ED5" s="76">
        <v>43925</v>
      </c>
      <c r="EE5" s="77">
        <v>35977</v>
      </c>
      <c r="EF5" s="77">
        <v>37584</v>
      </c>
      <c r="EG5" s="76">
        <v>88756</v>
      </c>
      <c r="EH5" s="76">
        <v>174938</v>
      </c>
      <c r="EI5" s="76">
        <v>28684</v>
      </c>
      <c r="EJ5" s="77">
        <v>37135</v>
      </c>
      <c r="EK5" s="77"/>
      <c r="EL5" s="76">
        <v>677615</v>
      </c>
      <c r="EM5" s="76">
        <v>807</v>
      </c>
      <c r="EN5" s="77">
        <v>39454</v>
      </c>
      <c r="EO5" s="76">
        <v>2842704</v>
      </c>
      <c r="EP5" s="77">
        <v>2619015</v>
      </c>
      <c r="EQ5" s="77">
        <v>0</v>
      </c>
      <c r="ER5" s="77">
        <v>1787</v>
      </c>
      <c r="ES5" s="77">
        <v>274331</v>
      </c>
      <c r="ET5" s="77">
        <v>728935</v>
      </c>
      <c r="EU5" s="77">
        <v>372254</v>
      </c>
      <c r="EV5" s="77">
        <v>109979</v>
      </c>
      <c r="EW5" s="77">
        <v>67414</v>
      </c>
      <c r="EX5" s="76">
        <v>196139</v>
      </c>
      <c r="EY5" s="76">
        <v>1561081</v>
      </c>
      <c r="EZ5" s="76">
        <v>698257</v>
      </c>
      <c r="FA5" s="76">
        <v>718514</v>
      </c>
      <c r="FB5" s="77">
        <v>29663</v>
      </c>
      <c r="FC5" s="76">
        <v>4482</v>
      </c>
      <c r="FD5" s="78">
        <v>2337</v>
      </c>
      <c r="FE5" s="77"/>
      <c r="FF5" s="79"/>
      <c r="FG5" s="79"/>
      <c r="FH5" s="77"/>
      <c r="FI5" s="79"/>
      <c r="FJ5" s="77"/>
      <c r="FK5" s="79"/>
      <c r="FL5" s="79"/>
      <c r="FM5" s="79"/>
      <c r="FN5" s="80">
        <v>0</v>
      </c>
      <c r="FO5" s="77">
        <v>51587</v>
      </c>
      <c r="FP5" s="132" t="s">
        <v>167</v>
      </c>
      <c r="FQ5" s="64"/>
      <c r="FR5" s="64"/>
      <c r="FS5" s="64"/>
      <c r="FT5" s="64"/>
      <c r="FU5" s="64"/>
      <c r="FV5" s="64"/>
      <c r="FW5" s="64"/>
      <c r="FX5" s="64"/>
      <c r="FY5" s="64"/>
      <c r="FZ5" s="70" t="s">
        <v>121</v>
      </c>
      <c r="GA5" s="70" t="s">
        <v>122</v>
      </c>
      <c r="GB5" s="70" t="s">
        <v>74</v>
      </c>
      <c r="GC5" s="70" t="s">
        <v>120</v>
      </c>
      <c r="GD5" s="70" t="s">
        <v>121</v>
      </c>
      <c r="GE5" s="70" t="s">
        <v>122</v>
      </c>
      <c r="GF5" s="70" t="s">
        <v>74</v>
      </c>
      <c r="GG5" s="70" t="s">
        <v>120</v>
      </c>
      <c r="GH5" s="70" t="s">
        <v>120</v>
      </c>
      <c r="GI5" s="83" t="s">
        <v>123</v>
      </c>
      <c r="GJ5" s="70" t="s">
        <v>124</v>
      </c>
      <c r="GK5" s="64"/>
      <c r="GL5" s="64"/>
    </row>
    <row r="6" spans="1:194" ht="15" customHeight="1">
      <c r="A6" s="4"/>
      <c r="B6" s="573">
        <v>42795</v>
      </c>
      <c r="C6" s="53"/>
      <c r="D6" s="308">
        <v>0</v>
      </c>
      <c r="E6" s="308">
        <v>3917.52</v>
      </c>
      <c r="F6" s="308">
        <v>0</v>
      </c>
      <c r="G6" s="308">
        <v>4364.4979999999996</v>
      </c>
      <c r="H6" s="308">
        <v>4754.558</v>
      </c>
      <c r="I6" s="308">
        <v>1138.3679999999999</v>
      </c>
      <c r="J6" s="308">
        <v>4986.84</v>
      </c>
      <c r="K6" s="308"/>
      <c r="L6" s="308">
        <v>413.44</v>
      </c>
      <c r="M6" s="87">
        <f>I6+J6</f>
        <v>6125.2080000000005</v>
      </c>
      <c r="N6" s="88">
        <f t="shared" ref="N6:N36" si="0">SUM(D6:H6)</f>
        <v>13036.576000000001</v>
      </c>
      <c r="O6" s="88">
        <f>N6+L6+((J6+I6)*0.5)</f>
        <v>16512.620000000003</v>
      </c>
      <c r="P6" s="89">
        <f>O6</f>
        <v>16512.620000000003</v>
      </c>
      <c r="Q6" s="74"/>
      <c r="R6" s="90">
        <f>IF(EL6=0,"",(EL6-EL5))</f>
        <v>202</v>
      </c>
      <c r="S6" s="90">
        <f>IF(EZ6=0,"",((EZ6-EZ5)/10))</f>
        <v>121.6</v>
      </c>
      <c r="T6" s="90">
        <f t="shared" ref="T6:T36" si="1">IF(EM6=0,"",((EM6/10)))</f>
        <v>710.9</v>
      </c>
      <c r="U6" s="90">
        <f>IF(FB6=0,"",((EN6-EN5)/10))</f>
        <v>4.3</v>
      </c>
      <c r="V6" s="90">
        <f>IF(EO6=0,"",(EO6-EO5))</f>
        <v>1572</v>
      </c>
      <c r="W6" s="91">
        <f t="shared" ref="W6:W36" si="2">IF(EP6=0,"",(EP6-EP5)/10)</f>
        <v>394.4</v>
      </c>
      <c r="X6" s="90">
        <f>IF(V6="","",V6)</f>
        <v>1572</v>
      </c>
      <c r="Y6" s="90" t="str">
        <f>IF(EQ6=0,"0",(EQ6/10))</f>
        <v>0</v>
      </c>
      <c r="Z6" s="90">
        <f t="shared" ref="Z6:Z36" si="3">IF(ER6=0,"",(ER6/10))</f>
        <v>151.69999999999999</v>
      </c>
      <c r="AA6" s="90">
        <f>IF(SUM(R6:V6)=0,"",SUM(R6:V6))</f>
        <v>2610.8000000000002</v>
      </c>
      <c r="AB6" s="90">
        <f>IF(DU6=0,"",(DU6-DU5))</f>
        <v>369</v>
      </c>
      <c r="AC6" s="90">
        <f>IF(DV6=0,"",(DV6-DV5))</f>
        <v>37</v>
      </c>
      <c r="AD6" s="90">
        <f>(IF(SUM(AB6:AC6)&gt;=(DW6-DW5),(SUM(AB6:AC6)),(DW6-DW5)))</f>
        <v>406</v>
      </c>
      <c r="AE6" s="90">
        <f>IF(AB6="","",(AD6-AC6-AB6))</f>
        <v>0</v>
      </c>
      <c r="AF6" s="90">
        <f>IF(DX6=0,"",(DX6-DX5))</f>
        <v>205</v>
      </c>
      <c r="AG6" s="90">
        <f>IF(DY6=0,"",(DY6-DY5))</f>
        <v>20</v>
      </c>
      <c r="AH6" s="90">
        <f>(IF(SUM(AF6:AG6)&gt;=(DZ6-DZ5),(SUM(AF6:AG6)),(DZ6-DZ5)))</f>
        <v>270</v>
      </c>
      <c r="AI6" s="90">
        <f>IF(AF6="","",(AH6-AG6-AF6))</f>
        <v>45</v>
      </c>
      <c r="AJ6" s="90">
        <f>IF(EA6=0,"",(EA6-EA5))</f>
        <v>108</v>
      </c>
      <c r="AK6" s="90">
        <f>IF(EB6=0,"",(EB6-EB5))</f>
        <v>123</v>
      </c>
      <c r="AL6" s="90">
        <f>(IF(SUM(AJ6:AK6)&gt;=(EC6-EC5),(SUM(AJ6:AK6)),(EC6-EC5)))</f>
        <v>368</v>
      </c>
      <c r="AM6" s="90">
        <f>IF(AJ6="","",(AL6-AK6-AJ6))</f>
        <v>137</v>
      </c>
      <c r="AN6" s="90">
        <f>IF(ED6=0,"",(ED6-ED5))</f>
        <v>32</v>
      </c>
      <c r="AO6" s="90">
        <f t="shared" ref="AO6:AO36" si="4">IF(AN6="","",(EE6-EE5)+(EF6-EF5))</f>
        <v>54</v>
      </c>
      <c r="AP6" s="90">
        <f>IF(EG6=0,"",(EG6-EG5))</f>
        <v>12</v>
      </c>
      <c r="AQ6" s="90">
        <f t="shared" ref="AQ6:AQ36" si="5">IF(AP6=0.1,0,(IF(AP6&gt;=(EH6-EH5),(AP6),(EH6-EH5))))</f>
        <v>66</v>
      </c>
      <c r="AR6" s="90">
        <f>IF(ET6=0,"",(ET6-ET5)/1000)</f>
        <v>86.772999999999996</v>
      </c>
      <c r="AS6" s="90">
        <f>IF(AR6="","",(ES6-ES5)+((ET6-ET5)/1000)-AW6-AU6)</f>
        <v>269.77300000000002</v>
      </c>
      <c r="AT6" s="90">
        <f>IF(AR6="","",ES6-ES5+((ET6-ET5)/1000))</f>
        <v>1014.773</v>
      </c>
      <c r="AU6" s="90">
        <f>IF(EV6="","",(EV6-EV5))</f>
        <v>196</v>
      </c>
      <c r="AV6" s="90">
        <f>IF(EI6=0,"",(EI6-EI5)+AU6)</f>
        <v>235</v>
      </c>
      <c r="AW6" s="90">
        <f>IF(EU6="","",(EU6-EU5))</f>
        <v>549</v>
      </c>
      <c r="AX6" s="90">
        <f>IF(EJ6=0,"",(EJ6-EJ5)+AW6)</f>
        <v>583</v>
      </c>
      <c r="AY6" s="90" t="str">
        <f>IF(EK6=0,"",(EK6-EL5))</f>
        <v/>
      </c>
      <c r="AZ6" s="90">
        <f>IF(EW6=0,"",EW6-EW5)</f>
        <v>341</v>
      </c>
      <c r="BA6" s="90">
        <v>31</v>
      </c>
      <c r="BB6" s="90">
        <f>IF(EX6=0,"",(EX6-EX5))</f>
        <v>116</v>
      </c>
      <c r="BC6" s="90">
        <f>IF(EY6=0,"",(EY6-EY5))</f>
        <v>718</v>
      </c>
      <c r="BD6" s="91">
        <f>IF(FA6=0,"",(FA6-FA5))</f>
        <v>230</v>
      </c>
      <c r="BE6" s="90"/>
      <c r="BF6" s="90"/>
      <c r="BG6" s="90">
        <f t="shared" ref="BG6:BG36" si="6">IFERROR(SUM(BB6:BF6)+AZ6,"")</f>
        <v>1405</v>
      </c>
      <c r="BH6" s="90">
        <f>BL6-FC6</f>
        <v>602</v>
      </c>
      <c r="BI6" s="90">
        <f>IF(FC6=0,"",(FC6-BJ6))</f>
        <v>750.42699999999968</v>
      </c>
      <c r="BJ6" s="90">
        <f t="shared" ref="BJ6:BJ36" si="7">IF(BH6=0,"",(AA6+AD6+AO6+BG6+AH6+AL6+AQ6+AS6+AX6+AV6))</f>
        <v>6267.5730000000003</v>
      </c>
      <c r="BK6" s="92"/>
      <c r="BL6" s="93">
        <f>FD6+FN6</f>
        <v>7620</v>
      </c>
      <c r="BM6" s="93">
        <f>BL6</f>
        <v>7620</v>
      </c>
      <c r="BN6" s="92"/>
      <c r="BO6" s="94"/>
      <c r="BP6" s="94">
        <f>IF($N6&lt;&gt;0,IF($N6&lt;&gt;0,S6/$N6*10,0)," ")</f>
        <v>9.3276025852186945E-2</v>
      </c>
      <c r="BQ6" s="94">
        <f>IF($N6&lt;&gt;0,IF($N6&lt;&gt;0,T6/$N6*10,0)," ")</f>
        <v>0.54531189784802381</v>
      </c>
      <c r="BR6" s="94">
        <f>IF($N6&lt;&gt;0,IF($N6&lt;&gt;0,(V6)/$N6*10,0)," ")</f>
        <v>1.2058380973654432</v>
      </c>
      <c r="BS6" s="94">
        <f t="shared" ref="BS6:BU21" si="8">IF($N6&lt;&gt;0,IF($N6&lt;&gt;0,Y6/$N6*10,0)," ")</f>
        <v>0</v>
      </c>
      <c r="BT6" s="94">
        <f t="shared" si="8"/>
        <v>0.11636491054092729</v>
      </c>
      <c r="BU6" s="95">
        <f>IF($N6&lt;&gt;0,IF($N6&lt;&gt;0,AA6/$N6*10,0)," ")</f>
        <v>2.0026730945303428</v>
      </c>
      <c r="BV6" s="94">
        <f t="shared" ref="BV6:BX35" si="9">IF($O6&lt;&gt;0,IF($O6&lt;&gt;0,R6/$O6*10,0)," ")</f>
        <v>0.12233067799053086</v>
      </c>
      <c r="BW6" s="94">
        <f t="shared" si="9"/>
        <v>7.3640645760636392E-2</v>
      </c>
      <c r="BX6" s="94">
        <f t="shared" si="9"/>
        <v>0.43051920288845735</v>
      </c>
      <c r="BY6" s="94">
        <f>IF($O6&lt;&gt;0,IF($O6&lt;&gt;0,(V6)/$O6*10,0)," ")</f>
        <v>0.95199913762927979</v>
      </c>
      <c r="BZ6" s="95">
        <f t="shared" ref="BZ6:BZ36" si="10">IF($O6&lt;&gt;0,IF($O6&lt;&gt;0,AA6/$O6*10,0)," ")</f>
        <v>1.5810937331568218</v>
      </c>
      <c r="CA6" s="96" t="e">
        <f>#REF!</f>
        <v>#REF!</v>
      </c>
      <c r="CB6" s="94">
        <f t="shared" ref="CB6:CC36" si="11">IF($O6&lt;&gt;0,IF($O6&lt;&gt;0,AR6/$O6*10,0)," ")</f>
        <v>5.2549504560754134E-2</v>
      </c>
      <c r="CC6" s="95">
        <f>IF($O6&lt;&gt;0,IF($O6&lt;&gt;0,AS6/$O6*10,0)," ")</f>
        <v>0.16337383165118557</v>
      </c>
      <c r="CD6" s="97">
        <f t="shared" ref="CD6:CE35" si="12">IFERROR(AR6*10/($I6+$J6),"")</f>
        <v>0.14166539324052341</v>
      </c>
      <c r="CE6" s="98">
        <f>IFERROR(AS6*10/($I6+$J6),"")</f>
        <v>0.44043075761672096</v>
      </c>
      <c r="CF6" s="94" t="str">
        <f>IF($D6&lt;&gt;0,IF($D6&lt;&gt;0,AB6/$D6*10,0),"0,00")</f>
        <v>0,00</v>
      </c>
      <c r="CG6" s="94" t="str">
        <f>IF($D6&lt;&gt;0,IF($D6&lt;&gt;0,AC6/$D6*10,0),"0,00")</f>
        <v>0,00</v>
      </c>
      <c r="CH6" s="95" t="str">
        <f>IF($D6&lt;&gt;0,IF($O6&lt;&gt;0,AD6/$D6*10,0),"0,00 ")</f>
        <v xml:space="preserve">0,00 </v>
      </c>
      <c r="CI6" s="96" t="e">
        <f>#REF!</f>
        <v>#REF!</v>
      </c>
      <c r="CJ6" s="94">
        <f>IF($E6&lt;&gt;0,IF($E6&lt;&gt;0,AF6/$E6*10,0),"0,00")</f>
        <v>0.52329024484878184</v>
      </c>
      <c r="CK6" s="94">
        <f>IF($E6&lt;&gt;0,IF($E6&lt;&gt;0,AG6/$E6*10,0),"0,00")</f>
        <v>5.1052706814515306E-2</v>
      </c>
      <c r="CL6" s="95">
        <f>IF($E6&lt;&gt;0,IF($E6&lt;&gt;0,AH6/$E6*10,0),"0,00 ")</f>
        <v>0.68921154199595658</v>
      </c>
      <c r="CM6" s="95" t="e">
        <f>#REF!</f>
        <v>#REF!</v>
      </c>
      <c r="CN6" s="94" t="str">
        <f>IF($F6&lt;&gt;0,IF($F6&lt;&gt;0,AJ6/$F6*10,0),"0,00")</f>
        <v>0,00</v>
      </c>
      <c r="CO6" s="94" t="str">
        <f>IF($F6&lt;&gt;0,IF($F6&lt;&gt;0,AK6/$F6*10,0),"0,00")</f>
        <v>0,00</v>
      </c>
      <c r="CP6" s="95" t="str">
        <f>IF($F6&lt;&gt;0,IF($F6&lt;&gt;0,AL6/$F6*10,0),"0,00 ")</f>
        <v xml:space="preserve">0,00 </v>
      </c>
      <c r="CQ6" s="95" t="e">
        <f>#REF!</f>
        <v>#REF!</v>
      </c>
      <c r="CR6" s="97">
        <f>IF($G6&lt;&gt;0,IF($G6&lt;&gt;0,AN6/$G6*10,0),"0,00 ")</f>
        <v>7.3318855914242614E-2</v>
      </c>
      <c r="CS6" s="95">
        <f>IF($G6&lt;&gt;0,IF($G6&lt;&gt;0,AO6/$G6*10,0),"0,00 ")</f>
        <v>0.12372556935528439</v>
      </c>
      <c r="CT6" s="96" t="e">
        <f>#REF!</f>
        <v>#REF!</v>
      </c>
      <c r="CU6" s="97">
        <f>IF($H6&lt;&gt;0,IF($H6&lt;&gt;0,AP6/$H6*10,0),"0,00 ")</f>
        <v>2.5238939140084102E-2</v>
      </c>
      <c r="CV6" s="95">
        <f>IF($H6&lt;&gt;0,IF($H6&lt;&gt;0,AQ6/$H6*10,0),"0,00 ")</f>
        <v>0.13881416527046259</v>
      </c>
      <c r="CW6" s="96" t="e">
        <f>#REF!</f>
        <v>#REF!</v>
      </c>
      <c r="CX6" s="99">
        <f>IF($O6&lt;&gt;0,IF($O6&lt;&gt;0,AU6/$O6*10,0)," ")</f>
        <v>0.11869709349576262</v>
      </c>
      <c r="CY6" s="95">
        <f>IF($O6&lt;&gt;0,IF($O6&lt;&gt;0,AV6/$O6*10,0)," ")</f>
        <v>0.14231539271175619</v>
      </c>
      <c r="CZ6" s="99">
        <f>IF($O6&lt;&gt;0,IF($O6&lt;&gt;0,AW6/$O6*10,0)," ")</f>
        <v>0.33247298127129427</v>
      </c>
      <c r="DA6" s="95">
        <f>IF($O6&lt;&gt;0,IF($O6&lt;&gt;0,AX6/$O6*10,0)," ")</f>
        <v>0.35306329340831433</v>
      </c>
      <c r="DB6" s="94">
        <f t="shared" ref="DB6:DB36" si="13">IF($O6&lt;&gt;0,IF($O6&lt;&gt;0,AZ6/$O6*10,0)," ")</f>
        <v>0.20650871878599517</v>
      </c>
      <c r="DC6" s="94">
        <f t="shared" ref="DC6:DH35" si="14">IF($O6&lt;&gt;0,IF($O6&lt;&gt;0,BB6/$O6*10,0)," ")</f>
        <v>7.0249300232186035E-2</v>
      </c>
      <c r="DD6" s="94">
        <f t="shared" si="14"/>
        <v>0.43481894454059977</v>
      </c>
      <c r="DE6" s="94">
        <f t="shared" si="14"/>
        <v>0.13928740563278266</v>
      </c>
      <c r="DF6" s="94">
        <f t="shared" si="14"/>
        <v>0</v>
      </c>
      <c r="DG6" s="94">
        <f t="shared" si="14"/>
        <v>0</v>
      </c>
      <c r="DH6" s="95">
        <f>IF($O6&lt;&gt;0,IF($O6&lt;&gt;0,BG6/$O6*10,0)," ")</f>
        <v>0.85086436919156361</v>
      </c>
      <c r="DI6" s="96" t="e">
        <f>#REF!</f>
        <v>#REF!</v>
      </c>
      <c r="DJ6" s="95">
        <f>IF($O6&lt;&gt;0,IF($O6&lt;&gt;0,BH6/$O6*10,0)," ")</f>
        <v>0.36456964430841377</v>
      </c>
      <c r="DK6" s="96" t="e">
        <f>#REF!</f>
        <v>#REF!</v>
      </c>
      <c r="DL6" s="95">
        <f t="shared" ref="DL6:DL36" si="15">IF($O6&lt;&gt;0,BI6/$O6*10," ")</f>
        <v>0.45445665194257456</v>
      </c>
      <c r="DM6" s="96">
        <f t="shared" ref="DM6:DM37" si="16">$D$3</f>
        <v>0</v>
      </c>
      <c r="DN6" s="94">
        <f t="shared" ref="DN6:DN36" si="17">IF($O6&lt;&gt;0,BJ6/$O6*10,"")</f>
        <v>3.7956260121046808</v>
      </c>
      <c r="DO6" s="100">
        <v>3.4</v>
      </c>
      <c r="DP6" s="94">
        <f>IF($O6&lt;&gt;0,IF($O6&lt;&gt;0,BL6/$O6*10,0)," ")</f>
        <v>4.6146523083556694</v>
      </c>
      <c r="DQ6" s="94">
        <f>IF($P6&lt;&gt;0,IF($P6&lt;&gt;0,BM6/$P6*10,0)," ")</f>
        <v>4.6146523083556694</v>
      </c>
      <c r="DR6" s="101" t="str">
        <f t="shared" ref="DR6:DR35" si="18">$D$2</f>
        <v>3,30 hL/NhL</v>
      </c>
      <c r="DS6" s="102"/>
      <c r="DT6" s="103">
        <v>1</v>
      </c>
      <c r="DU6" s="76">
        <v>607079</v>
      </c>
      <c r="DV6" s="76">
        <v>23016</v>
      </c>
      <c r="DW6" s="76">
        <v>5092630</v>
      </c>
      <c r="DX6" s="76">
        <v>100440</v>
      </c>
      <c r="DY6" s="76">
        <v>80258</v>
      </c>
      <c r="DZ6" s="76">
        <v>362704</v>
      </c>
      <c r="EA6" s="77">
        <v>209984</v>
      </c>
      <c r="EB6" s="77">
        <v>47738</v>
      </c>
      <c r="EC6" s="77">
        <v>368509</v>
      </c>
      <c r="ED6" s="76">
        <v>43957</v>
      </c>
      <c r="EE6" s="77">
        <v>37615</v>
      </c>
      <c r="EF6" s="77">
        <v>36000</v>
      </c>
      <c r="EG6" s="76">
        <v>88768</v>
      </c>
      <c r="EH6" s="76">
        <v>175004</v>
      </c>
      <c r="EI6" s="76">
        <v>28723</v>
      </c>
      <c r="EJ6" s="77">
        <v>37169</v>
      </c>
      <c r="EK6" s="77"/>
      <c r="EL6" s="76">
        <v>677817</v>
      </c>
      <c r="EM6" s="76">
        <v>7109</v>
      </c>
      <c r="EN6" s="77">
        <v>39497</v>
      </c>
      <c r="EO6" s="76">
        <v>2844276</v>
      </c>
      <c r="EP6" s="77">
        <v>2622959</v>
      </c>
      <c r="EQ6" s="77">
        <v>0</v>
      </c>
      <c r="ER6" s="77">
        <v>1517</v>
      </c>
      <c r="ES6" s="77">
        <v>275259</v>
      </c>
      <c r="ET6" s="77">
        <v>815708</v>
      </c>
      <c r="EU6" s="77">
        <v>372803</v>
      </c>
      <c r="EV6" s="77">
        <v>110175</v>
      </c>
      <c r="EW6" s="77">
        <v>67755</v>
      </c>
      <c r="EX6" s="76">
        <v>196255</v>
      </c>
      <c r="EY6" s="76">
        <v>1561799</v>
      </c>
      <c r="EZ6" s="76">
        <v>699473</v>
      </c>
      <c r="FA6" s="76">
        <v>718744</v>
      </c>
      <c r="FB6" s="77">
        <v>29451</v>
      </c>
      <c r="FC6" s="76">
        <v>7018</v>
      </c>
      <c r="FD6" s="104">
        <f t="shared" ref="FD6:FD13" si="19">SUM(FE6:FM6)</f>
        <v>6272</v>
      </c>
      <c r="FE6" s="105">
        <f t="shared" ref="FE6:FM21" si="20">FE39-FE38</f>
        <v>0</v>
      </c>
      <c r="FF6" s="105">
        <f t="shared" si="20"/>
        <v>551</v>
      </c>
      <c r="FG6" s="105">
        <f t="shared" si="20"/>
        <v>1906</v>
      </c>
      <c r="FH6" s="105">
        <f t="shared" si="20"/>
        <v>1976</v>
      </c>
      <c r="FI6" s="105">
        <f t="shared" si="20"/>
        <v>630</v>
      </c>
      <c r="FJ6" s="105">
        <f t="shared" si="20"/>
        <v>0</v>
      </c>
      <c r="FK6" s="105">
        <f t="shared" si="20"/>
        <v>0</v>
      </c>
      <c r="FL6" s="105">
        <f t="shared" si="20"/>
        <v>1209</v>
      </c>
      <c r="FM6" s="105">
        <f t="shared" si="20"/>
        <v>0</v>
      </c>
      <c r="FN6" s="80">
        <f>IF(FO6="",0,(FO6-FO5))</f>
        <v>1348</v>
      </c>
      <c r="FO6" s="104">
        <f>FO5+1348</f>
        <v>52935</v>
      </c>
      <c r="FP6" s="106" t="s">
        <v>173</v>
      </c>
      <c r="FR6" s="64"/>
      <c r="FS6" s="64"/>
      <c r="FT6" s="64"/>
      <c r="FU6" s="64"/>
      <c r="FV6" s="64"/>
      <c r="FW6" s="64"/>
      <c r="FX6" s="64"/>
      <c r="FY6" s="64">
        <v>1</v>
      </c>
      <c r="FZ6" s="107"/>
      <c r="GA6" s="107"/>
      <c r="GB6" s="108"/>
      <c r="GC6" s="109"/>
      <c r="GD6" s="110"/>
      <c r="GE6" s="110"/>
      <c r="GF6" s="111"/>
      <c r="GG6" s="111"/>
      <c r="GH6" s="111"/>
      <c r="GI6" s="112"/>
      <c r="GJ6" s="111" t="e">
        <f>(SUM(ER5+ES5)/(GB6+GI6))</f>
        <v>#DIV/0!</v>
      </c>
      <c r="GK6" s="113"/>
    </row>
    <row r="7" spans="1:194" ht="15" customHeight="1">
      <c r="B7" s="573">
        <v>42796</v>
      </c>
      <c r="D7" s="86">
        <v>4782.96</v>
      </c>
      <c r="E7" s="86">
        <v>820.56</v>
      </c>
      <c r="F7" s="86">
        <v>1809.5040000000001</v>
      </c>
      <c r="G7" s="308">
        <v>4700.2070000000003</v>
      </c>
      <c r="H7" s="308">
        <v>7684.2830000000004</v>
      </c>
      <c r="I7" s="308">
        <v>1378.0029999999999</v>
      </c>
      <c r="J7" s="308">
        <v>5143.7520000000004</v>
      </c>
      <c r="K7" s="308"/>
      <c r="L7" s="308"/>
      <c r="M7" s="115">
        <f t="shared" ref="M7:M36" si="21">I7+J7</f>
        <v>6521.7550000000001</v>
      </c>
      <c r="N7" s="88">
        <f t="shared" si="0"/>
        <v>19797.513999999999</v>
      </c>
      <c r="O7" s="88">
        <f t="shared" ref="O7:O36" si="22">N7+L7+((J7+I7)*0.5)</f>
        <v>23058.391499999998</v>
      </c>
      <c r="P7" s="89">
        <f t="shared" ref="P7:P36" si="23">P6+O7</f>
        <v>39571.011500000001</v>
      </c>
      <c r="R7" s="90">
        <f t="shared" ref="R7:R36" si="24">IF(EL7=0,"",(EL7-EL6))</f>
        <v>264</v>
      </c>
      <c r="S7" s="90">
        <f t="shared" ref="S7:S36" si="25">IF(EZ7=0,"",((EZ7-EZ6)/10))</f>
        <v>27.5</v>
      </c>
      <c r="T7" s="90">
        <f t="shared" si="1"/>
        <v>431.6</v>
      </c>
      <c r="U7" s="90">
        <f>IF(FB7=0,"",((EN7-EN6)/10))</f>
        <v>6</v>
      </c>
      <c r="V7" s="90">
        <f t="shared" ref="V7:V36" si="26">IF(EO7=0,"",(EO7-EO6))</f>
        <v>1508</v>
      </c>
      <c r="W7" s="91">
        <f t="shared" si="2"/>
        <v>139.6</v>
      </c>
      <c r="X7" s="90">
        <f t="shared" ref="X7:X36" si="27">IF(V7="","",V7)</f>
        <v>1508</v>
      </c>
      <c r="Y7" s="90" t="str">
        <f t="shared" ref="Y7:Y36" si="28">IF(EQ7=0,"0",(EQ7/10))</f>
        <v>0</v>
      </c>
      <c r="Z7" s="90">
        <f t="shared" si="3"/>
        <v>156.69999999999999</v>
      </c>
      <c r="AA7" s="90">
        <f t="shared" ref="AA7:AA36" si="29">IF(SUM(R7:V7)=0,"",SUM(R7:V7))</f>
        <v>2237.1</v>
      </c>
      <c r="AB7" s="90">
        <f t="shared" ref="AB7:AC36" si="30">IF(DU7=0,"",(DU7-DU6))</f>
        <v>127</v>
      </c>
      <c r="AC7" s="90">
        <f t="shared" si="30"/>
        <v>35</v>
      </c>
      <c r="AD7" s="90">
        <f t="shared" ref="AD7:AD35" si="31">(IF(SUM(AB7:AC7)&gt;=(DW7-DW6),(SUM(AB7:AC7)),(DW7-DW6)))</f>
        <v>446</v>
      </c>
      <c r="AE7" s="90">
        <f t="shared" ref="AE7:AE36" si="32">IF(AB7="","",(AD7-AC7-AB7))</f>
        <v>284</v>
      </c>
      <c r="AF7" s="90">
        <f t="shared" ref="AF7:AG36" si="33">IF(DX7=0,"",(DX7-DX6))</f>
        <v>111</v>
      </c>
      <c r="AG7" s="90">
        <f t="shared" si="33"/>
        <v>48</v>
      </c>
      <c r="AH7" s="90">
        <f t="shared" ref="AH7:AH36" si="34">(IF(SUM(AF7:AG7)&gt;=(DZ7-DZ6),(SUM(AF7:AG7)),(DZ7-DZ6)))</f>
        <v>271</v>
      </c>
      <c r="AI7" s="90">
        <f t="shared" ref="AI7:AI36" si="35">IF(AF7="","",(AH7-AG7-AF7))</f>
        <v>112</v>
      </c>
      <c r="AJ7" s="90">
        <f t="shared" ref="AJ7:AK35" si="36">IF(EA7=0,"",(EA7-EA6))</f>
        <v>166</v>
      </c>
      <c r="AK7" s="90">
        <f t="shared" si="36"/>
        <v>29</v>
      </c>
      <c r="AL7" s="90">
        <f t="shared" ref="AL7:AL36" si="37">(IF(SUM(AJ7:AK7)&gt;=(EC7-EC6),(SUM(AJ7:AK7)),(EC7-EC6)))</f>
        <v>270</v>
      </c>
      <c r="AM7" s="90">
        <f t="shared" ref="AM7:AM36" si="38">IF(AJ7="","",(AL7-AK7-AJ7))</f>
        <v>75</v>
      </c>
      <c r="AN7" s="90">
        <f t="shared" ref="AN7:AN36" si="39">IF(ED7=0,"",(ED7-ED6))</f>
        <v>50</v>
      </c>
      <c r="AO7" s="90">
        <f t="shared" si="4"/>
        <v>85</v>
      </c>
      <c r="AP7" s="90">
        <f t="shared" ref="AP7:AP36" si="40">IF(EG7=0,"",(EG7-EG6))</f>
        <v>21</v>
      </c>
      <c r="AQ7" s="90">
        <f t="shared" si="5"/>
        <v>45</v>
      </c>
      <c r="AR7" s="90">
        <f t="shared" ref="AR7:AR36" si="41">IF(ET7=0,"",(ET7-ET6)/1000)</f>
        <v>54.637999999999998</v>
      </c>
      <c r="AS7" s="90">
        <f t="shared" ref="AS7:AS36" si="42">IF(AR7="","",(ES7-ES6)+((ET7-ET6)/1000)-AW7-AU7)</f>
        <v>151.63800000000003</v>
      </c>
      <c r="AT7" s="90">
        <f t="shared" ref="AT7:AT36" si="43">IF(AR7="","",ES7-ES6+((ET7-ET6)/1000))</f>
        <v>1016.638</v>
      </c>
      <c r="AU7" s="90">
        <f t="shared" ref="AU7:AU36" si="44">IF(EV7="","",(EV7-EV6))</f>
        <v>299</v>
      </c>
      <c r="AV7" s="90">
        <f>IF(EI7=0,"",(EI7-EI6)+AU7)</f>
        <v>1331</v>
      </c>
      <c r="AW7" s="90">
        <f t="shared" ref="AW7:AW36" si="45">IF(EU7="","",(EU7-EU6))</f>
        <v>566</v>
      </c>
      <c r="AX7" s="90">
        <f>IF(EJ7=0,"",(EJ7-EJ6)+AW7)</f>
        <v>597</v>
      </c>
      <c r="AY7" s="90" t="str">
        <f t="shared" ref="AY7:AY36" si="46">IF(EK7=0,"",(EK7-EK6))</f>
        <v/>
      </c>
      <c r="AZ7" s="90">
        <f t="shared" ref="AZ7:AZ36" si="47">IF(EW7=0,"",EW7-EW6)</f>
        <v>335</v>
      </c>
      <c r="BA7" s="90">
        <v>74</v>
      </c>
      <c r="BB7" s="90">
        <f t="shared" ref="BB7:BC36" si="48">IF(EX7=0,"",(EX7-EX6))</f>
        <v>120</v>
      </c>
      <c r="BC7" s="90">
        <f t="shared" si="48"/>
        <v>1146</v>
      </c>
      <c r="BD7" s="91">
        <f t="shared" ref="BD7:BD36" si="49">IF(FA7=0,"",(FA7-FA6))</f>
        <v>347</v>
      </c>
      <c r="BE7" s="90"/>
      <c r="BF7" s="90"/>
      <c r="BG7" s="90">
        <f t="shared" si="6"/>
        <v>1948</v>
      </c>
      <c r="BH7" s="90">
        <f t="shared" ref="BH7:BH36" si="50">BL7-FC7</f>
        <v>1364</v>
      </c>
      <c r="BI7" s="90">
        <f t="shared" ref="BI7:BI36" si="51">IF(FC7=0,"",(FC7-BJ7))</f>
        <v>84.261999999999716</v>
      </c>
      <c r="BJ7" s="90">
        <f>IF(BH7=0,"",(AA7+AD7+AO7+BG7+AH7+AL7+AQ7+AS7+AX7+AV7))</f>
        <v>7381.7380000000003</v>
      </c>
      <c r="BK7" s="92"/>
      <c r="BL7" s="93">
        <f t="shared" ref="BL7:BL36" si="52">FD7+FN7</f>
        <v>8830</v>
      </c>
      <c r="BM7" s="93">
        <f t="shared" ref="BM7:BM36" si="53">BL7+BM6</f>
        <v>16450</v>
      </c>
      <c r="BN7" s="92"/>
      <c r="BO7" s="94">
        <f t="shared" ref="BO7:BP35" si="54">IF($N7&lt;&gt;0,IF($N7&lt;&gt;0,R7/$N7*10,0)," ")</f>
        <v>0.13335007617623101</v>
      </c>
      <c r="BP7" s="94">
        <f>IF($N7&lt;&gt;0,IF($N7&lt;&gt;0,S7/$N7*10,0)," ")</f>
        <v>1.3890632935024065E-2</v>
      </c>
      <c r="BQ7" s="94">
        <f t="shared" ref="BQ7:BQ36" si="55">IF($N7&lt;&gt;0,IF($N7&lt;&gt;0,T7/$N7*10,0)," ")</f>
        <v>0.21800716999114134</v>
      </c>
      <c r="BR7" s="94">
        <f>IF($N7&lt;&gt;0,IF($N7&lt;&gt;0,(V7)/$N7*10,0)," ")</f>
        <v>0.76171179876422868</v>
      </c>
      <c r="BS7" s="94">
        <f t="shared" si="8"/>
        <v>0</v>
      </c>
      <c r="BT7" s="94">
        <f t="shared" si="8"/>
        <v>7.9151352033391673E-2</v>
      </c>
      <c r="BU7" s="95">
        <f t="shared" si="8"/>
        <v>1.1299903614160849</v>
      </c>
      <c r="BV7" s="94">
        <f t="shared" si="9"/>
        <v>0.11449194103586975</v>
      </c>
      <c r="BW7" s="94">
        <f t="shared" si="9"/>
        <v>1.1926243857903099E-2</v>
      </c>
      <c r="BX7" s="94">
        <f t="shared" si="9"/>
        <v>0.18717697632985375</v>
      </c>
      <c r="BY7" s="94">
        <f t="shared" ref="BY7:BY36" si="56">IF($O7&lt;&gt;0,IF($O7&lt;&gt;0,(V7)/$O7*10,0)," ")</f>
        <v>0.65399184500792273</v>
      </c>
      <c r="BZ7" s="95">
        <f t="shared" si="10"/>
        <v>0.97018909580054635</v>
      </c>
      <c r="CA7" s="96" t="e">
        <f>#REF!</f>
        <v>#REF!</v>
      </c>
      <c r="CB7" s="94">
        <f t="shared" si="11"/>
        <v>2.369549497847671E-2</v>
      </c>
      <c r="CC7" s="95">
        <f t="shared" si="11"/>
        <v>6.5762609677262204E-2</v>
      </c>
      <c r="CD7" s="97">
        <f t="shared" si="12"/>
        <v>8.3778062806713835E-2</v>
      </c>
      <c r="CE7" s="98">
        <f>IFERROR(AS7*10/($I7+$J7),"")</f>
        <v>0.23251103422315011</v>
      </c>
      <c r="CF7" s="94">
        <f t="shared" ref="CF7:CG36" si="57">IF($D7&lt;&gt;0,IF($D7&lt;&gt;0,AB7/$D7*10,0),"0,00")</f>
        <v>0.2655259504574573</v>
      </c>
      <c r="CG7" s="94">
        <f t="shared" si="57"/>
        <v>7.3176443039456737E-2</v>
      </c>
      <c r="CH7" s="95">
        <f t="shared" ref="CH7:CH36" si="58">IF($D7&lt;&gt;0,IF($O7&lt;&gt;0,AD7/$D7*10,0),"0,00 ")</f>
        <v>0.93247695987422008</v>
      </c>
      <c r="CI7" s="96" t="e">
        <f>#REF!</f>
        <v>#REF!</v>
      </c>
      <c r="CJ7" s="94">
        <f t="shared" ref="CJ7:CK36" si="59">IF($E7&lt;&gt;0,IF($E7&lt;&gt;0,AF7/$E7*10,0),"0,00")</f>
        <v>1.3527347177537294</v>
      </c>
      <c r="CK7" s="94">
        <f t="shared" si="59"/>
        <v>0.58496636443404504</v>
      </c>
      <c r="CL7" s="95">
        <f>IF($E7&lt;&gt;0,IF($E7&lt;&gt;0,AH7/$E7*10,0),"0,00 ")</f>
        <v>3.3026225992005465</v>
      </c>
      <c r="CM7" s="95" t="e">
        <f>#REF!</f>
        <v>#REF!</v>
      </c>
      <c r="CN7" s="94">
        <f t="shared" ref="CN7:CO36" si="60">IF($F7&lt;&gt;0,IF($F7&lt;&gt;0,AJ7/$F7*10,0),"0,00")</f>
        <v>0.91737846393265776</v>
      </c>
      <c r="CO7" s="94">
        <f t="shared" si="60"/>
        <v>0.16026491237377757</v>
      </c>
      <c r="CP7" s="95">
        <f t="shared" ref="CP7:CP36" si="61">IF($F7&lt;&gt;0,IF($F7&lt;&gt;0,AL7/$F7*10,0),"0,00 ")</f>
        <v>1.4921215979627567</v>
      </c>
      <c r="CQ7" s="95" t="e">
        <f>#REF!</f>
        <v>#REF!</v>
      </c>
      <c r="CR7" s="97">
        <f>IF($G7&lt;&gt;0,IF($G7&lt;&gt;0,AN7/$G7*10,0),"0,00 ")</f>
        <v>0.10637829355175207</v>
      </c>
      <c r="CS7" s="95">
        <f>IF($G7&lt;&gt;0,IF($G7&lt;&gt;0,AO7/$G7*10,0),"0,00 ")</f>
        <v>0.18084309903797852</v>
      </c>
      <c r="CT7" s="96" t="e">
        <f>#REF!</f>
        <v>#REF!</v>
      </c>
      <c r="CU7" s="97">
        <f>IF($H7&lt;&gt;0,IF($H7&lt;&gt;0,AP7/$H7*10,0),"0,00 ")</f>
        <v>2.7328509374264329E-2</v>
      </c>
      <c r="CV7" s="95">
        <f t="shared" ref="CV7:CV36" si="62">IF($H7&lt;&gt;0,IF($H7&lt;&gt;0,AQ7/$H7*10,0),"0,00 ")</f>
        <v>5.8561091516280694E-2</v>
      </c>
      <c r="CW7" s="96" t="e">
        <f>#REF!</f>
        <v>#REF!</v>
      </c>
      <c r="CX7" s="99">
        <f t="shared" ref="CX7:DA37" si="63">IF($O7&lt;&gt;0,IF($O7&lt;&gt;0,AU7/$O7*10,0)," ")</f>
        <v>0.12967079685501914</v>
      </c>
      <c r="CY7" s="95">
        <f t="shared" si="63"/>
        <v>0.57723020272251002</v>
      </c>
      <c r="CZ7" s="99">
        <f t="shared" si="63"/>
        <v>0.24546378267538743</v>
      </c>
      <c r="DA7" s="95">
        <f t="shared" si="63"/>
        <v>0.25890791211520547</v>
      </c>
      <c r="DB7" s="94">
        <f t="shared" si="13"/>
        <v>0.14528333426900139</v>
      </c>
      <c r="DC7" s="94">
        <f t="shared" si="14"/>
        <v>5.2041791379940791E-2</v>
      </c>
      <c r="DD7" s="94">
        <f t="shared" si="14"/>
        <v>0.49699910767843464</v>
      </c>
      <c r="DE7" s="94">
        <f t="shared" si="14"/>
        <v>0.15048751340699548</v>
      </c>
      <c r="DF7" s="94">
        <f t="shared" si="14"/>
        <v>0</v>
      </c>
      <c r="DG7" s="94">
        <f t="shared" si="14"/>
        <v>0</v>
      </c>
      <c r="DH7" s="95">
        <f t="shared" si="14"/>
        <v>0.84481174673437232</v>
      </c>
      <c r="DI7" s="96" t="e">
        <f>#REF!</f>
        <v>#REF!</v>
      </c>
      <c r="DJ7" s="95">
        <f t="shared" ref="DJ7:DJ36" si="64">IF($O7&lt;&gt;0,IF($O7&lt;&gt;0,BH7/$O7*10,0)," ")</f>
        <v>0.59154169535199375</v>
      </c>
      <c r="DK7" s="96" t="e">
        <f>#REF!</f>
        <v>#REF!</v>
      </c>
      <c r="DL7" s="95">
        <f t="shared" si="15"/>
        <v>3.6542878543804641E-2</v>
      </c>
      <c r="DM7" s="96">
        <f t="shared" si="16"/>
        <v>0</v>
      </c>
      <c r="DN7" s="94">
        <f t="shared" si="17"/>
        <v>3.2013239084781784</v>
      </c>
      <c r="DO7" s="100">
        <v>3.4</v>
      </c>
      <c r="DP7" s="94">
        <f>IF($O7&lt;&gt;0,IF($O7&lt;&gt;0,BL7/$O7*10,0)," ")</f>
        <v>3.8294084823739771</v>
      </c>
      <c r="DQ7" s="94">
        <f>IF($P7&lt;&gt;0,IF($P7&lt;&gt;0,BM7/$P7*10,0)," ")</f>
        <v>4.1570835256510943</v>
      </c>
      <c r="DR7" s="101" t="str">
        <f t="shared" si="18"/>
        <v>3,30 hL/NhL</v>
      </c>
      <c r="DS7" s="116"/>
      <c r="DT7" s="103">
        <v>2</v>
      </c>
      <c r="DU7" s="76">
        <v>607206</v>
      </c>
      <c r="DV7" s="76">
        <v>23051</v>
      </c>
      <c r="DW7" s="77">
        <v>5093076</v>
      </c>
      <c r="DX7" s="76">
        <v>100551</v>
      </c>
      <c r="DY7" s="76">
        <v>80306</v>
      </c>
      <c r="DZ7" s="76">
        <v>362975</v>
      </c>
      <c r="EA7" s="76">
        <v>210150</v>
      </c>
      <c r="EB7" s="77">
        <v>47767</v>
      </c>
      <c r="EC7" s="77">
        <v>368779</v>
      </c>
      <c r="ED7" s="77">
        <v>44007</v>
      </c>
      <c r="EE7" s="77">
        <v>37681</v>
      </c>
      <c r="EF7" s="77">
        <v>36019</v>
      </c>
      <c r="EG7" s="76">
        <v>88789</v>
      </c>
      <c r="EH7" s="76">
        <v>175049</v>
      </c>
      <c r="EI7" s="76">
        <v>29755</v>
      </c>
      <c r="EJ7" s="77">
        <v>37200</v>
      </c>
      <c r="EK7" s="77"/>
      <c r="EL7" s="76">
        <v>678081</v>
      </c>
      <c r="EM7" s="76">
        <v>4316</v>
      </c>
      <c r="EN7" s="77">
        <v>39557</v>
      </c>
      <c r="EO7" s="76">
        <v>2845784</v>
      </c>
      <c r="EP7" s="77">
        <v>2624355</v>
      </c>
      <c r="EQ7" s="77">
        <v>0</v>
      </c>
      <c r="ER7" s="77">
        <v>1567</v>
      </c>
      <c r="ES7" s="77">
        <v>276221</v>
      </c>
      <c r="ET7" s="77">
        <v>870346</v>
      </c>
      <c r="EU7" s="77">
        <v>373369</v>
      </c>
      <c r="EV7" s="77">
        <v>110474</v>
      </c>
      <c r="EW7" s="77">
        <v>68090</v>
      </c>
      <c r="EX7" s="76">
        <v>196375</v>
      </c>
      <c r="EY7" s="117">
        <v>1562945</v>
      </c>
      <c r="EZ7" s="76">
        <v>699748</v>
      </c>
      <c r="FA7" s="76">
        <v>719091</v>
      </c>
      <c r="FB7" s="77">
        <v>29522</v>
      </c>
      <c r="FC7" s="76">
        <v>7466</v>
      </c>
      <c r="FD7" s="104">
        <f t="shared" si="19"/>
        <v>7389</v>
      </c>
      <c r="FE7" s="105">
        <f t="shared" si="20"/>
        <v>0</v>
      </c>
      <c r="FF7" s="105">
        <f t="shared" si="20"/>
        <v>641</v>
      </c>
      <c r="FG7" s="105">
        <f t="shared" si="20"/>
        <v>2242</v>
      </c>
      <c r="FH7" s="105">
        <f t="shared" si="20"/>
        <v>1896</v>
      </c>
      <c r="FI7" s="105">
        <f t="shared" si="20"/>
        <v>603</v>
      </c>
      <c r="FJ7" s="105">
        <f t="shared" si="20"/>
        <v>0</v>
      </c>
      <c r="FK7" s="105">
        <f t="shared" si="20"/>
        <v>0</v>
      </c>
      <c r="FL7" s="105">
        <f t="shared" si="20"/>
        <v>2007</v>
      </c>
      <c r="FM7" s="105">
        <f t="shared" si="20"/>
        <v>0</v>
      </c>
      <c r="FN7" s="80">
        <f>IF(FO7="",0,(FO7-FO6))</f>
        <v>1441</v>
      </c>
      <c r="FO7" s="104">
        <f>FO6+1441</f>
        <v>54376</v>
      </c>
      <c r="FP7" s="106" t="s">
        <v>174</v>
      </c>
      <c r="FR7" s="64"/>
      <c r="FS7" s="64"/>
      <c r="FT7" s="64"/>
      <c r="FU7" s="64"/>
      <c r="FV7" s="64"/>
      <c r="FW7" s="64"/>
      <c r="FX7" s="64"/>
      <c r="FY7" s="64">
        <v>2</v>
      </c>
      <c r="FZ7" s="107"/>
      <c r="GA7" s="107"/>
      <c r="GB7" s="108"/>
      <c r="GC7" s="109"/>
      <c r="GD7" s="110"/>
      <c r="GE7" s="110"/>
      <c r="GF7" s="111"/>
      <c r="GG7" s="111"/>
      <c r="GH7" s="111"/>
      <c r="GI7" s="112"/>
      <c r="GJ7" s="111" t="e">
        <f t="shared" ref="GJ7:GJ37" si="65">(SUM(EQ6+ER6)/(GB7+GI7))</f>
        <v>#DIV/0!</v>
      </c>
      <c r="GK7" s="118"/>
    </row>
    <row r="8" spans="1:194" s="119" customFormat="1" ht="15" customHeight="1">
      <c r="B8" s="573">
        <v>42797</v>
      </c>
      <c r="D8" s="86">
        <v>4727.04</v>
      </c>
      <c r="E8" s="86">
        <v>4072.08</v>
      </c>
      <c r="F8" s="86">
        <v>3114.9360000000001</v>
      </c>
      <c r="G8" s="308">
        <v>1647.3420000000001</v>
      </c>
      <c r="H8" s="308">
        <v>8947.7029999999995</v>
      </c>
      <c r="I8" s="308">
        <v>2646.2280000000001</v>
      </c>
      <c r="J8" s="308">
        <v>7587.6239999999998</v>
      </c>
      <c r="K8" s="308">
        <v>54.132000000000005</v>
      </c>
      <c r="L8" s="308">
        <v>408.72</v>
      </c>
      <c r="M8" s="115">
        <f t="shared" si="21"/>
        <v>10233.851999999999</v>
      </c>
      <c r="N8" s="88">
        <f t="shared" si="0"/>
        <v>22509.100999999999</v>
      </c>
      <c r="O8" s="88">
        <f t="shared" si="22"/>
        <v>28034.746999999999</v>
      </c>
      <c r="P8" s="89">
        <f t="shared" si="23"/>
        <v>67605.758499999996</v>
      </c>
      <c r="R8" s="90">
        <f t="shared" si="24"/>
        <v>273</v>
      </c>
      <c r="S8" s="90">
        <f t="shared" si="25"/>
        <v>5</v>
      </c>
      <c r="T8" s="90">
        <f t="shared" si="1"/>
        <v>516.79999999999995</v>
      </c>
      <c r="U8" s="90">
        <f>IF(FB8=0,"",((EN8-EN7)/10))</f>
        <v>5.3</v>
      </c>
      <c r="V8" s="90">
        <f t="shared" si="26"/>
        <v>1427</v>
      </c>
      <c r="W8" s="91">
        <f t="shared" si="2"/>
        <v>140.4</v>
      </c>
      <c r="X8" s="90">
        <f t="shared" si="27"/>
        <v>1427</v>
      </c>
      <c r="Y8" s="90" t="str">
        <f t="shared" si="28"/>
        <v>0</v>
      </c>
      <c r="Z8" s="90">
        <f t="shared" si="3"/>
        <v>168.1</v>
      </c>
      <c r="AA8" s="90">
        <f t="shared" si="29"/>
        <v>2227.1</v>
      </c>
      <c r="AB8" s="90">
        <f t="shared" si="30"/>
        <v>306</v>
      </c>
      <c r="AC8" s="90">
        <f t="shared" si="30"/>
        <v>26</v>
      </c>
      <c r="AD8" s="90">
        <f t="shared" si="31"/>
        <v>469</v>
      </c>
      <c r="AE8" s="90">
        <f t="shared" si="32"/>
        <v>137</v>
      </c>
      <c r="AF8" s="90">
        <f t="shared" si="33"/>
        <v>173</v>
      </c>
      <c r="AG8" s="90">
        <f t="shared" si="33"/>
        <v>11</v>
      </c>
      <c r="AH8" s="90">
        <f t="shared" si="34"/>
        <v>249</v>
      </c>
      <c r="AI8" s="90">
        <f t="shared" si="35"/>
        <v>65</v>
      </c>
      <c r="AJ8" s="90">
        <f t="shared" si="36"/>
        <v>167</v>
      </c>
      <c r="AK8" s="90">
        <f t="shared" si="36"/>
        <v>72</v>
      </c>
      <c r="AL8" s="90">
        <f t="shared" si="37"/>
        <v>306</v>
      </c>
      <c r="AM8" s="90">
        <f t="shared" si="38"/>
        <v>67</v>
      </c>
      <c r="AN8" s="90">
        <f t="shared" si="39"/>
        <v>0</v>
      </c>
      <c r="AO8" s="90">
        <f t="shared" si="4"/>
        <v>6</v>
      </c>
      <c r="AP8" s="90">
        <f t="shared" si="40"/>
        <v>7</v>
      </c>
      <c r="AQ8" s="90">
        <f t="shared" si="5"/>
        <v>22</v>
      </c>
      <c r="AR8" s="90">
        <f t="shared" si="41"/>
        <v>73.349999999999994</v>
      </c>
      <c r="AS8" s="90">
        <f t="shared" si="42"/>
        <v>107.35000000000002</v>
      </c>
      <c r="AT8" s="90">
        <f t="shared" si="43"/>
        <v>875.35</v>
      </c>
      <c r="AU8" s="90">
        <f t="shared" si="44"/>
        <v>229</v>
      </c>
      <c r="AV8" s="90">
        <f t="shared" ref="AV8:AV36" si="66">IF(EI8=0,"",(EI8-EI7))</f>
        <v>-978</v>
      </c>
      <c r="AW8" s="90">
        <f t="shared" si="45"/>
        <v>539</v>
      </c>
      <c r="AX8" s="90">
        <f t="shared" ref="AX8:AX36" si="67">IF(EJ8=0,"",(EJ8-EJ7))</f>
        <v>3</v>
      </c>
      <c r="AY8" s="90" t="str">
        <f t="shared" si="46"/>
        <v/>
      </c>
      <c r="AZ8" s="90">
        <f t="shared" si="47"/>
        <v>354</v>
      </c>
      <c r="BA8" s="90">
        <v>54</v>
      </c>
      <c r="BB8" s="90">
        <f t="shared" si="48"/>
        <v>127</v>
      </c>
      <c r="BC8" s="90">
        <f t="shared" si="48"/>
        <v>1170</v>
      </c>
      <c r="BD8" s="91">
        <f t="shared" si="49"/>
        <v>18</v>
      </c>
      <c r="BE8" s="90"/>
      <c r="BF8" s="90"/>
      <c r="BG8" s="90">
        <f t="shared" si="6"/>
        <v>1669</v>
      </c>
      <c r="BH8" s="90">
        <f t="shared" si="50"/>
        <v>1289</v>
      </c>
      <c r="BI8" s="90">
        <f t="shared" si="51"/>
        <v>2445.5499999999993</v>
      </c>
      <c r="BJ8" s="90">
        <f t="shared" si="7"/>
        <v>4080.4500000000007</v>
      </c>
      <c r="BK8" s="92"/>
      <c r="BL8" s="93">
        <f t="shared" si="52"/>
        <v>7815</v>
      </c>
      <c r="BM8" s="93">
        <f t="shared" si="53"/>
        <v>24265</v>
      </c>
      <c r="BN8" s="92" t="s">
        <v>125</v>
      </c>
      <c r="BO8" s="94">
        <f t="shared" si="54"/>
        <v>0.1212842751916214</v>
      </c>
      <c r="BP8" s="94">
        <f t="shared" si="54"/>
        <v>2.2213237214582671E-3</v>
      </c>
      <c r="BQ8" s="94">
        <f t="shared" si="55"/>
        <v>0.22959601984992645</v>
      </c>
      <c r="BR8" s="94">
        <f t="shared" ref="BR8:BR36" si="68">IF($N8&lt;&gt;0,IF($N8&lt;&gt;0,(V8)/$N8*10,0)," ")</f>
        <v>0.63396579010418941</v>
      </c>
      <c r="BS8" s="94">
        <f t="shared" si="8"/>
        <v>0</v>
      </c>
      <c r="BT8" s="94">
        <f t="shared" si="8"/>
        <v>7.468090351542693E-2</v>
      </c>
      <c r="BU8" s="95">
        <f t="shared" si="8"/>
        <v>0.98942201201194135</v>
      </c>
      <c r="BV8" s="94">
        <f t="shared" si="9"/>
        <v>9.737915594529889E-2</v>
      </c>
      <c r="BW8" s="94">
        <f t="shared" si="9"/>
        <v>1.7835010246391738E-3</v>
      </c>
      <c r="BX8" s="94">
        <f t="shared" si="9"/>
        <v>0.18434266590670495</v>
      </c>
      <c r="BY8" s="94">
        <f t="shared" si="56"/>
        <v>0.5090111924320202</v>
      </c>
      <c r="BZ8" s="95">
        <f t="shared" si="10"/>
        <v>0.79440702639478067</v>
      </c>
      <c r="CA8" s="96" t="e">
        <f>#REF!</f>
        <v>#REF!</v>
      </c>
      <c r="CB8" s="94">
        <f t="shared" si="11"/>
        <v>2.6163960031456678E-2</v>
      </c>
      <c r="CC8" s="95">
        <f t="shared" si="11"/>
        <v>3.8291766999003066E-2</v>
      </c>
      <c r="CD8" s="97">
        <f t="shared" si="12"/>
        <v>7.1673891707638535E-2</v>
      </c>
      <c r="CE8" s="98">
        <f t="shared" si="12"/>
        <v>0.10489696352849351</v>
      </c>
      <c r="CF8" s="94">
        <f t="shared" si="57"/>
        <v>0.64733956133225024</v>
      </c>
      <c r="CG8" s="94">
        <f t="shared" si="57"/>
        <v>5.5002707825616032E-2</v>
      </c>
      <c r="CH8" s="95">
        <f t="shared" si="58"/>
        <v>0.99216422962361228</v>
      </c>
      <c r="CI8" s="96" t="e">
        <f>#REF!</f>
        <v>#REF!</v>
      </c>
      <c r="CJ8" s="94">
        <f t="shared" si="59"/>
        <v>0.42484430561285635</v>
      </c>
      <c r="CK8" s="94">
        <f t="shared" si="59"/>
        <v>2.7013221744170056E-2</v>
      </c>
      <c r="CL8" s="95">
        <f t="shared" ref="CL8:CL36" si="69">IF($E8&lt;&gt;0,IF($E8&lt;&gt;0,AH8/$E8*10,0),"0,00 ")</f>
        <v>0.61148111039075848</v>
      </c>
      <c r="CM8" s="95" t="e">
        <f>#REF!</f>
        <v>#REF!</v>
      </c>
      <c r="CN8" s="94">
        <f t="shared" si="60"/>
        <v>0.53612658494428134</v>
      </c>
      <c r="CO8" s="94">
        <f t="shared" si="60"/>
        <v>0.23114439590412128</v>
      </c>
      <c r="CP8" s="95">
        <f t="shared" si="61"/>
        <v>0.9823636825925155</v>
      </c>
      <c r="CQ8" s="95" t="e">
        <f>#REF!</f>
        <v>#REF!</v>
      </c>
      <c r="CR8" s="97">
        <f t="shared" ref="CR8:CS36" si="70">IF($G8&lt;&gt;0,IF($G8&lt;&gt;0,AN8/$G8*10,0),"0,00 ")</f>
        <v>0</v>
      </c>
      <c r="CS8" s="95">
        <f t="shared" si="70"/>
        <v>3.6422309392949367E-2</v>
      </c>
      <c r="CT8" s="96" t="e">
        <f>#REF!</f>
        <v>#REF!</v>
      </c>
      <c r="CU8" s="97">
        <f t="shared" ref="CU8:CU36" si="71">IF($H8&lt;&gt;0,IF($H8&lt;&gt;0,AP8/$H8*10,0),"0,00 ")</f>
        <v>7.8232368687248567E-3</v>
      </c>
      <c r="CV8" s="95">
        <f t="shared" si="62"/>
        <v>2.4587315873135264E-2</v>
      </c>
      <c r="CW8" s="96" t="e">
        <f>#REF!</f>
        <v>#REF!</v>
      </c>
      <c r="CX8" s="99">
        <f t="shared" si="63"/>
        <v>8.168434692847415E-2</v>
      </c>
      <c r="CY8" s="95">
        <f t="shared" si="63"/>
        <v>-0.3488528004194224</v>
      </c>
      <c r="CZ8" s="99">
        <f t="shared" si="63"/>
        <v>0.19226141045610293</v>
      </c>
      <c r="DA8" s="95">
        <f t="shared" si="63"/>
        <v>1.0701006147835043E-3</v>
      </c>
      <c r="DB8" s="94">
        <f t="shared" si="13"/>
        <v>0.12627187254445349</v>
      </c>
      <c r="DC8" s="94">
        <f t="shared" si="14"/>
        <v>4.5300926025835006E-2</v>
      </c>
      <c r="DD8" s="94">
        <f t="shared" si="14"/>
        <v>0.41733923976556669</v>
      </c>
      <c r="DE8" s="94">
        <f t="shared" si="14"/>
        <v>6.4206036887010254E-3</v>
      </c>
      <c r="DF8" s="94">
        <f t="shared" si="14"/>
        <v>0</v>
      </c>
      <c r="DG8" s="94">
        <f t="shared" si="14"/>
        <v>0</v>
      </c>
      <c r="DH8" s="95">
        <f t="shared" si="14"/>
        <v>0.59533264202455616</v>
      </c>
      <c r="DI8" s="96" t="e">
        <f>#REF!</f>
        <v>#REF!</v>
      </c>
      <c r="DJ8" s="95">
        <f t="shared" si="64"/>
        <v>0.45978656415197894</v>
      </c>
      <c r="DK8" s="96" t="e">
        <f>#REF!</f>
        <v>#REF!</v>
      </c>
      <c r="DL8" s="95">
        <f t="shared" si="15"/>
        <v>0.87232818616126595</v>
      </c>
      <c r="DM8" s="96">
        <f t="shared" si="16"/>
        <v>0</v>
      </c>
      <c r="DN8" s="94">
        <f t="shared" si="17"/>
        <v>1.4554973511977833</v>
      </c>
      <c r="DO8" s="100">
        <v>3.4</v>
      </c>
      <c r="DP8" s="94">
        <f>IF($O8&lt;&gt;0,IF($O8&lt;&gt;0,BL8/$O8*10,0)," ")</f>
        <v>2.7876121015110282</v>
      </c>
      <c r="DQ8" s="94">
        <f>IF($P8&lt;&gt;0,IF($P8&lt;&gt;0,BM8/$P8*10,0)," ")</f>
        <v>3.5891912964780954</v>
      </c>
      <c r="DR8" s="101" t="str">
        <f t="shared" si="18"/>
        <v>3,30 hL/NhL</v>
      </c>
      <c r="DS8" s="116"/>
      <c r="DT8" s="103">
        <v>3</v>
      </c>
      <c r="DU8" s="120">
        <v>607512</v>
      </c>
      <c r="DV8" s="120">
        <v>23077</v>
      </c>
      <c r="DW8" s="120">
        <v>5093545</v>
      </c>
      <c r="DX8" s="120">
        <v>100724</v>
      </c>
      <c r="DY8" s="120">
        <v>80317</v>
      </c>
      <c r="DZ8" s="120">
        <v>363224</v>
      </c>
      <c r="EA8" s="120">
        <v>210317</v>
      </c>
      <c r="EB8" s="121">
        <v>47839</v>
      </c>
      <c r="EC8" s="120">
        <v>369085</v>
      </c>
      <c r="ED8" s="120">
        <v>44007</v>
      </c>
      <c r="EE8" s="122">
        <v>37681</v>
      </c>
      <c r="EF8" s="121">
        <v>36025</v>
      </c>
      <c r="EG8" s="120">
        <v>88796</v>
      </c>
      <c r="EH8" s="120">
        <v>175071</v>
      </c>
      <c r="EI8" s="120">
        <v>28777</v>
      </c>
      <c r="EJ8" s="121">
        <v>37203</v>
      </c>
      <c r="EK8" s="121"/>
      <c r="EL8" s="120">
        <v>678354</v>
      </c>
      <c r="EM8" s="121">
        <v>5168</v>
      </c>
      <c r="EN8" s="121">
        <v>39610</v>
      </c>
      <c r="EO8" s="120">
        <v>2847211</v>
      </c>
      <c r="EP8" s="121">
        <v>2625759</v>
      </c>
      <c r="EQ8" s="121">
        <v>0</v>
      </c>
      <c r="ER8" s="121">
        <v>1681</v>
      </c>
      <c r="ES8" s="121">
        <v>277023</v>
      </c>
      <c r="ET8" s="121">
        <v>943696</v>
      </c>
      <c r="EU8" s="121">
        <v>373908</v>
      </c>
      <c r="EV8" s="121">
        <v>110703</v>
      </c>
      <c r="EW8" s="121">
        <v>68444</v>
      </c>
      <c r="EX8" s="120">
        <v>196502</v>
      </c>
      <c r="EY8" s="120">
        <v>1564115</v>
      </c>
      <c r="EZ8" s="120">
        <v>699798</v>
      </c>
      <c r="FA8" s="120">
        <v>719109</v>
      </c>
      <c r="FB8" s="77">
        <v>29583</v>
      </c>
      <c r="FC8" s="77">
        <v>6526</v>
      </c>
      <c r="FD8" s="104">
        <f t="shared" si="19"/>
        <v>7133</v>
      </c>
      <c r="FE8" s="105">
        <f t="shared" si="20"/>
        <v>0</v>
      </c>
      <c r="FF8" s="105">
        <f t="shared" si="20"/>
        <v>410</v>
      </c>
      <c r="FG8" s="105">
        <f t="shared" si="20"/>
        <v>1854</v>
      </c>
      <c r="FH8" s="105">
        <f t="shared" si="20"/>
        <v>1909</v>
      </c>
      <c r="FI8" s="105">
        <f t="shared" si="20"/>
        <v>610</v>
      </c>
      <c r="FJ8" s="105">
        <f t="shared" si="20"/>
        <v>0</v>
      </c>
      <c r="FK8" s="105">
        <f t="shared" si="20"/>
        <v>0</v>
      </c>
      <c r="FL8" s="105">
        <f t="shared" si="20"/>
        <v>2350</v>
      </c>
      <c r="FM8" s="105">
        <f t="shared" si="20"/>
        <v>0</v>
      </c>
      <c r="FN8" s="80">
        <f>IF(FO8="",0,(FO8-FO7))</f>
        <v>682</v>
      </c>
      <c r="FO8" s="104">
        <f>FO7+682</f>
        <v>55058</v>
      </c>
      <c r="FP8" s="106" t="s">
        <v>175</v>
      </c>
      <c r="FX8" s="64"/>
      <c r="FY8" s="119">
        <v>3</v>
      </c>
      <c r="FZ8" s="107"/>
      <c r="GA8" s="107"/>
      <c r="GB8" s="108"/>
      <c r="GC8" s="109"/>
      <c r="GD8" s="110"/>
      <c r="GE8" s="110"/>
      <c r="GF8" s="111"/>
      <c r="GG8" s="111"/>
      <c r="GH8" s="111"/>
      <c r="GI8" s="112"/>
      <c r="GJ8" s="111" t="e">
        <f t="shared" si="65"/>
        <v>#DIV/0!</v>
      </c>
      <c r="GK8" s="113"/>
    </row>
    <row r="9" spans="1:194" s="119" customFormat="1" ht="15" customHeight="1">
      <c r="B9" s="573">
        <v>42798</v>
      </c>
      <c r="D9" s="86">
        <v>5149.92</v>
      </c>
      <c r="E9" s="86"/>
      <c r="F9" s="86">
        <v>3058.56</v>
      </c>
      <c r="G9" s="308"/>
      <c r="H9" s="308">
        <v>7039.3180000000002</v>
      </c>
      <c r="I9" s="308">
        <v>1207.961</v>
      </c>
      <c r="J9" s="308">
        <v>7315.308</v>
      </c>
      <c r="K9" s="308">
        <v>18.163</v>
      </c>
      <c r="L9" s="308">
        <v>408.72</v>
      </c>
      <c r="M9" s="115">
        <f t="shared" si="21"/>
        <v>8523.2690000000002</v>
      </c>
      <c r="N9" s="88">
        <f t="shared" si="0"/>
        <v>15247.797999999999</v>
      </c>
      <c r="O9" s="88">
        <f t="shared" si="22"/>
        <v>19918.152499999997</v>
      </c>
      <c r="P9" s="89">
        <f t="shared" si="23"/>
        <v>87523.910999999993</v>
      </c>
      <c r="R9" s="90">
        <f t="shared" si="24"/>
        <v>226</v>
      </c>
      <c r="S9" s="90">
        <f t="shared" si="25"/>
        <v>53.4</v>
      </c>
      <c r="T9" s="90">
        <f t="shared" si="1"/>
        <v>291.7</v>
      </c>
      <c r="U9" s="90">
        <f>IF(FB9=0,"",((EN9-EN8)/10))</f>
        <v>5.3</v>
      </c>
      <c r="V9" s="90">
        <f t="shared" si="26"/>
        <v>1684</v>
      </c>
      <c r="W9" s="91">
        <f t="shared" si="2"/>
        <v>272.3</v>
      </c>
      <c r="X9" s="90">
        <f t="shared" si="27"/>
        <v>1684</v>
      </c>
      <c r="Y9" s="90" t="str">
        <f t="shared" si="28"/>
        <v>0</v>
      </c>
      <c r="Z9" s="90">
        <f t="shared" si="3"/>
        <v>124.1</v>
      </c>
      <c r="AA9" s="90">
        <f t="shared" si="29"/>
        <v>2260.3999999999996</v>
      </c>
      <c r="AB9" s="90">
        <f t="shared" si="30"/>
        <v>0</v>
      </c>
      <c r="AC9" s="90">
        <f t="shared" si="30"/>
        <v>0</v>
      </c>
      <c r="AD9" s="90">
        <f t="shared" si="31"/>
        <v>384</v>
      </c>
      <c r="AE9" s="90">
        <f t="shared" si="32"/>
        <v>384</v>
      </c>
      <c r="AF9" s="90">
        <f t="shared" si="33"/>
        <v>0</v>
      </c>
      <c r="AG9" s="90">
        <f t="shared" si="33"/>
        <v>0</v>
      </c>
      <c r="AH9" s="90">
        <f t="shared" si="34"/>
        <v>1</v>
      </c>
      <c r="AI9" s="90">
        <f t="shared" si="35"/>
        <v>1</v>
      </c>
      <c r="AJ9" s="90">
        <f t="shared" si="36"/>
        <v>217</v>
      </c>
      <c r="AK9" s="90">
        <f t="shared" si="36"/>
        <v>32</v>
      </c>
      <c r="AL9" s="90">
        <f t="shared" si="37"/>
        <v>319</v>
      </c>
      <c r="AM9" s="90">
        <f t="shared" si="38"/>
        <v>70</v>
      </c>
      <c r="AN9" s="90">
        <f t="shared" si="39"/>
        <v>5</v>
      </c>
      <c r="AO9" s="90">
        <f t="shared" si="4"/>
        <v>0</v>
      </c>
      <c r="AP9" s="90">
        <f t="shared" si="40"/>
        <v>9</v>
      </c>
      <c r="AQ9" s="90">
        <f t="shared" si="5"/>
        <v>21</v>
      </c>
      <c r="AR9" s="90">
        <f t="shared" si="41"/>
        <v>121.119</v>
      </c>
      <c r="AS9" s="90">
        <f t="shared" si="42"/>
        <v>183.11900000000003</v>
      </c>
      <c r="AT9" s="90">
        <f t="shared" si="43"/>
        <v>880.11900000000003</v>
      </c>
      <c r="AU9" s="90">
        <f t="shared" si="44"/>
        <v>171</v>
      </c>
      <c r="AV9" s="90">
        <f t="shared" si="66"/>
        <v>42</v>
      </c>
      <c r="AW9" s="90">
        <f t="shared" si="45"/>
        <v>526</v>
      </c>
      <c r="AX9" s="90">
        <f t="shared" si="67"/>
        <v>27</v>
      </c>
      <c r="AY9" s="90" t="str">
        <f t="shared" si="46"/>
        <v/>
      </c>
      <c r="AZ9" s="90">
        <f t="shared" si="47"/>
        <v>349</v>
      </c>
      <c r="BA9" s="90">
        <v>44</v>
      </c>
      <c r="BB9" s="90">
        <f t="shared" si="48"/>
        <v>118</v>
      </c>
      <c r="BC9" s="90">
        <f t="shared" si="48"/>
        <v>951</v>
      </c>
      <c r="BD9" s="91">
        <f t="shared" si="49"/>
        <v>0</v>
      </c>
      <c r="BE9" s="90"/>
      <c r="BF9" s="90"/>
      <c r="BG9" s="90">
        <f t="shared" si="6"/>
        <v>1418</v>
      </c>
      <c r="BH9" s="90">
        <f t="shared" si="50"/>
        <v>1397</v>
      </c>
      <c r="BI9" s="90">
        <f t="shared" si="51"/>
        <v>1382.4810000000007</v>
      </c>
      <c r="BJ9" s="90">
        <f t="shared" si="7"/>
        <v>4655.5189999999993</v>
      </c>
      <c r="BK9" s="92"/>
      <c r="BL9" s="93">
        <f t="shared" si="52"/>
        <v>7435</v>
      </c>
      <c r="BM9" s="93">
        <f t="shared" si="53"/>
        <v>31700</v>
      </c>
      <c r="BN9" s="92"/>
      <c r="BO9" s="94">
        <f t="shared" si="54"/>
        <v>0.14821812303651977</v>
      </c>
      <c r="BP9" s="94">
        <f t="shared" si="54"/>
        <v>3.5021450310398917E-2</v>
      </c>
      <c r="BQ9" s="94">
        <f t="shared" si="55"/>
        <v>0.19130631190156117</v>
      </c>
      <c r="BR9" s="94">
        <f t="shared" si="68"/>
        <v>1.1044217663429174</v>
      </c>
      <c r="BS9" s="94">
        <f t="shared" si="8"/>
        <v>0</v>
      </c>
      <c r="BT9" s="94">
        <f t="shared" si="8"/>
        <v>8.1388801189522589E-2</v>
      </c>
      <c r="BU9" s="95">
        <f t="shared" si="8"/>
        <v>1.4824435633263242</v>
      </c>
      <c r="BV9" s="94">
        <f t="shared" si="9"/>
        <v>0.11346433862277139</v>
      </c>
      <c r="BW9" s="94">
        <f t="shared" si="9"/>
        <v>2.6809715409097309E-2</v>
      </c>
      <c r="BX9" s="94">
        <f t="shared" si="9"/>
        <v>0.14644932555868323</v>
      </c>
      <c r="BY9" s="94">
        <f t="shared" si="56"/>
        <v>0.84545993911834949</v>
      </c>
      <c r="BZ9" s="95">
        <f t="shared" si="10"/>
        <v>1.134844208065984</v>
      </c>
      <c r="CA9" s="96" t="e">
        <f>#REF!</f>
        <v>#REF!</v>
      </c>
      <c r="CB9" s="94">
        <f t="shared" si="11"/>
        <v>6.0808350573678963E-2</v>
      </c>
      <c r="CC9" s="95">
        <f t="shared" si="11"/>
        <v>9.1935735505589714E-2</v>
      </c>
      <c r="CD9" s="97">
        <f t="shared" si="12"/>
        <v>0.14210392749542458</v>
      </c>
      <c r="CE9" s="98">
        <f t="shared" si="12"/>
        <v>0.21484597048386014</v>
      </c>
      <c r="CF9" s="94">
        <f t="shared" si="57"/>
        <v>0</v>
      </c>
      <c r="CG9" s="94">
        <f t="shared" si="57"/>
        <v>0</v>
      </c>
      <c r="CH9" s="95">
        <f t="shared" si="58"/>
        <v>0.74564265075962344</v>
      </c>
      <c r="CI9" s="96" t="e">
        <f>#REF!</f>
        <v>#REF!</v>
      </c>
      <c r="CJ9" s="94" t="str">
        <f t="shared" si="59"/>
        <v>0,00</v>
      </c>
      <c r="CK9" s="94" t="str">
        <f t="shared" si="59"/>
        <v>0,00</v>
      </c>
      <c r="CL9" s="95" t="str">
        <f t="shared" si="69"/>
        <v xml:space="preserve">0,00 </v>
      </c>
      <c r="CM9" s="95" t="e">
        <f>#REF!</f>
        <v>#REF!</v>
      </c>
      <c r="CN9" s="94">
        <f t="shared" si="60"/>
        <v>0.70948420171584003</v>
      </c>
      <c r="CO9" s="94">
        <f t="shared" si="60"/>
        <v>0.10462439840970915</v>
      </c>
      <c r="CP9" s="95">
        <f t="shared" si="61"/>
        <v>1.0429744716467879</v>
      </c>
      <c r="CQ9" s="95" t="e">
        <f>#REF!</f>
        <v>#REF!</v>
      </c>
      <c r="CR9" s="97" t="str">
        <f t="shared" si="70"/>
        <v xml:space="preserve">0,00 </v>
      </c>
      <c r="CS9" s="95" t="str">
        <f t="shared" si="70"/>
        <v xml:space="preserve">0,00 </v>
      </c>
      <c r="CT9" s="96" t="e">
        <f>#REF!</f>
        <v>#REF!</v>
      </c>
      <c r="CU9" s="97">
        <f t="shared" si="71"/>
        <v>1.2785329487885048E-2</v>
      </c>
      <c r="CV9" s="95">
        <f t="shared" si="62"/>
        <v>2.983243547173178E-2</v>
      </c>
      <c r="CW9" s="96" t="e">
        <f>#REF!</f>
        <v>#REF!</v>
      </c>
      <c r="CX9" s="99">
        <f t="shared" si="63"/>
        <v>8.5851335860592515E-2</v>
      </c>
      <c r="CY9" s="95">
        <f t="shared" si="63"/>
        <v>2.1086293018391142E-2</v>
      </c>
      <c r="CZ9" s="99">
        <f t="shared" si="63"/>
        <v>0.26408071732556526</v>
      </c>
      <c r="DA9" s="95">
        <f t="shared" si="63"/>
        <v>1.3555474083251449E-2</v>
      </c>
      <c r="DB9" s="94">
        <f t="shared" si="13"/>
        <v>0.17521705389091688</v>
      </c>
      <c r="DC9" s="94">
        <f t="shared" si="14"/>
        <v>5.9242442289765586E-2</v>
      </c>
      <c r="DD9" s="94">
        <f t="shared" si="14"/>
        <v>0.47745392048785662</v>
      </c>
      <c r="DE9" s="94">
        <f t="shared" si="14"/>
        <v>0</v>
      </c>
      <c r="DF9" s="94">
        <f t="shared" si="14"/>
        <v>0</v>
      </c>
      <c r="DG9" s="94">
        <f t="shared" si="14"/>
        <v>0</v>
      </c>
      <c r="DH9" s="95">
        <f t="shared" si="14"/>
        <v>0.71191341666853902</v>
      </c>
      <c r="DI9" s="96" t="e">
        <f>#REF!</f>
        <v>#REF!</v>
      </c>
      <c r="DJ9" s="95">
        <f t="shared" si="64"/>
        <v>0.70137027015934339</v>
      </c>
      <c r="DK9" s="96" t="e">
        <f>#REF!</f>
        <v>#REF!</v>
      </c>
      <c r="DL9" s="95">
        <f t="shared" si="15"/>
        <v>0.69408093948472427</v>
      </c>
      <c r="DM9" s="96">
        <f t="shared" si="16"/>
        <v>0</v>
      </c>
      <c r="DN9" s="94">
        <f t="shared" si="17"/>
        <v>2.3373247092068405</v>
      </c>
      <c r="DO9" s="100">
        <v>3.4</v>
      </c>
      <c r="DP9" s="94">
        <f t="shared" ref="DP9:DP33" si="72">IF($O9&lt;&gt;0,IF($O9&lt;&gt;0,BL9/$O9*10,0)," ")</f>
        <v>3.732775918850908</v>
      </c>
      <c r="DQ9" s="94">
        <f t="shared" ref="DQ9:DQ34" si="73">IF($P9&lt;&gt;0,IF($P9&lt;&gt;0,BM9/$P9*10,0)," ")</f>
        <v>3.6218674003267521</v>
      </c>
      <c r="DR9" s="101" t="str">
        <f t="shared" si="18"/>
        <v>3,30 hL/NhL</v>
      </c>
      <c r="DS9" s="116"/>
      <c r="DT9" s="103">
        <v>4</v>
      </c>
      <c r="DU9" s="76">
        <v>607512</v>
      </c>
      <c r="DV9" s="76">
        <v>23077</v>
      </c>
      <c r="DW9" s="77">
        <v>5093929</v>
      </c>
      <c r="DX9" s="124">
        <v>100724</v>
      </c>
      <c r="DY9" s="77">
        <v>80317</v>
      </c>
      <c r="DZ9" s="77">
        <v>363225</v>
      </c>
      <c r="EA9" s="76">
        <v>210534</v>
      </c>
      <c r="EB9" s="77">
        <v>47871</v>
      </c>
      <c r="EC9" s="77">
        <v>369404</v>
      </c>
      <c r="ED9" s="76">
        <v>44012</v>
      </c>
      <c r="EE9" s="125">
        <v>36025</v>
      </c>
      <c r="EF9" s="77">
        <v>37681</v>
      </c>
      <c r="EG9" s="76">
        <v>88805</v>
      </c>
      <c r="EH9" s="76">
        <v>175092</v>
      </c>
      <c r="EI9" s="76">
        <v>28819</v>
      </c>
      <c r="EJ9" s="77">
        <v>37230</v>
      </c>
      <c r="EK9" s="77"/>
      <c r="EL9" s="76">
        <v>678580</v>
      </c>
      <c r="EM9" s="77">
        <v>2917</v>
      </c>
      <c r="EN9" s="77">
        <v>39663</v>
      </c>
      <c r="EO9" s="76">
        <v>2848895</v>
      </c>
      <c r="EP9" s="77">
        <v>2628482</v>
      </c>
      <c r="EQ9" s="77">
        <v>0</v>
      </c>
      <c r="ER9" s="77">
        <v>1241</v>
      </c>
      <c r="ES9" s="124">
        <v>277782</v>
      </c>
      <c r="ET9" s="77">
        <v>1064815</v>
      </c>
      <c r="EU9" s="77">
        <v>374434</v>
      </c>
      <c r="EV9" s="77">
        <v>110874</v>
      </c>
      <c r="EW9" s="77">
        <v>68793</v>
      </c>
      <c r="EX9" s="76">
        <v>196620</v>
      </c>
      <c r="EY9" s="76">
        <v>1565066</v>
      </c>
      <c r="EZ9" s="126">
        <v>700332</v>
      </c>
      <c r="FA9" s="127">
        <v>719109</v>
      </c>
      <c r="FB9" s="125">
        <v>29456</v>
      </c>
      <c r="FC9" s="77">
        <v>6038</v>
      </c>
      <c r="FD9" s="77">
        <f>SUM(FE9:FM9)</f>
        <v>7054</v>
      </c>
      <c r="FE9" s="105">
        <f t="shared" si="20"/>
        <v>0</v>
      </c>
      <c r="FF9" s="105">
        <f t="shared" si="20"/>
        <v>117</v>
      </c>
      <c r="FG9" s="105">
        <f t="shared" si="20"/>
        <v>1328</v>
      </c>
      <c r="FH9" s="105">
        <f t="shared" si="20"/>
        <v>2845</v>
      </c>
      <c r="FI9" s="105">
        <f t="shared" si="20"/>
        <v>407</v>
      </c>
      <c r="FJ9" s="105">
        <f t="shared" si="20"/>
        <v>0</v>
      </c>
      <c r="FK9" s="105">
        <f t="shared" si="20"/>
        <v>0</v>
      </c>
      <c r="FL9" s="105">
        <f t="shared" si="20"/>
        <v>2357</v>
      </c>
      <c r="FM9" s="105">
        <f t="shared" si="20"/>
        <v>0</v>
      </c>
      <c r="FN9" s="80">
        <f t="shared" ref="FN9:FN36" si="74">IF(FO9="",0,(FO9-FO8))</f>
        <v>381</v>
      </c>
      <c r="FO9" s="104">
        <f>FO8+381</f>
        <v>55439</v>
      </c>
      <c r="FP9" s="106" t="s">
        <v>176</v>
      </c>
      <c r="FX9" s="64"/>
      <c r="FY9" s="119">
        <v>4</v>
      </c>
      <c r="FZ9" s="107"/>
      <c r="GA9" s="107"/>
      <c r="GB9" s="108"/>
      <c r="GC9" s="109"/>
      <c r="GD9" s="110"/>
      <c r="GE9" s="110"/>
      <c r="GF9" s="111"/>
      <c r="GG9" s="111"/>
      <c r="GH9" s="111"/>
      <c r="GI9" s="112"/>
      <c r="GJ9" s="111" t="e">
        <f t="shared" si="65"/>
        <v>#DIV/0!</v>
      </c>
      <c r="GK9" s="113"/>
    </row>
    <row r="10" spans="1:194" s="119" customFormat="1" ht="15" customHeight="1">
      <c r="B10" s="573">
        <v>42799</v>
      </c>
      <c r="D10" s="128"/>
      <c r="E10" s="128"/>
      <c r="F10" s="128">
        <v>2543.6880000000001</v>
      </c>
      <c r="G10" s="308"/>
      <c r="H10" s="308">
        <v>8789.74</v>
      </c>
      <c r="I10" s="308"/>
      <c r="J10" s="308">
        <v>5122.92</v>
      </c>
      <c r="K10" s="308"/>
      <c r="L10" s="308">
        <v>204.40799999999999</v>
      </c>
      <c r="M10" s="115">
        <f t="shared" si="21"/>
        <v>5122.92</v>
      </c>
      <c r="N10" s="88">
        <f t="shared" si="0"/>
        <v>11333.428</v>
      </c>
      <c r="O10" s="88">
        <f t="shared" si="22"/>
        <v>14099.295999999998</v>
      </c>
      <c r="P10" s="89">
        <f t="shared" si="23"/>
        <v>101623.20699999999</v>
      </c>
      <c r="R10" s="90">
        <f t="shared" si="24"/>
        <v>259</v>
      </c>
      <c r="S10" s="90">
        <f t="shared" si="25"/>
        <v>38.200000000000003</v>
      </c>
      <c r="T10" s="90">
        <f t="shared" si="1"/>
        <v>108.7</v>
      </c>
      <c r="U10" s="90">
        <f>IF(FB10=0,"",((EN10-EN9)/10))</f>
        <v>5.7</v>
      </c>
      <c r="V10" s="90">
        <f t="shared" si="26"/>
        <v>1636</v>
      </c>
      <c r="W10" s="91">
        <f t="shared" si="2"/>
        <v>149.69999999999999</v>
      </c>
      <c r="X10" s="90">
        <f t="shared" si="27"/>
        <v>1636</v>
      </c>
      <c r="Y10" s="90" t="str">
        <f t="shared" si="28"/>
        <v>0</v>
      </c>
      <c r="Z10" s="90">
        <f t="shared" si="3"/>
        <v>127.5</v>
      </c>
      <c r="AA10" s="90">
        <f t="shared" si="29"/>
        <v>2047.6</v>
      </c>
      <c r="AB10" s="90">
        <f t="shared" si="30"/>
        <v>0</v>
      </c>
      <c r="AC10" s="90">
        <f t="shared" si="30"/>
        <v>0</v>
      </c>
      <c r="AD10" s="90">
        <f t="shared" si="31"/>
        <v>16</v>
      </c>
      <c r="AE10" s="90">
        <f t="shared" si="32"/>
        <v>16</v>
      </c>
      <c r="AF10" s="90">
        <f t="shared" si="33"/>
        <v>48</v>
      </c>
      <c r="AG10" s="90">
        <f t="shared" si="33"/>
        <v>16</v>
      </c>
      <c r="AH10" s="90">
        <f t="shared" si="34"/>
        <v>70</v>
      </c>
      <c r="AI10" s="90">
        <f t="shared" si="35"/>
        <v>6</v>
      </c>
      <c r="AJ10" s="90">
        <f t="shared" si="36"/>
        <v>226</v>
      </c>
      <c r="AK10" s="90">
        <f t="shared" si="36"/>
        <v>34</v>
      </c>
      <c r="AL10" s="90">
        <f t="shared" si="37"/>
        <v>332</v>
      </c>
      <c r="AM10" s="90">
        <f t="shared" si="38"/>
        <v>72</v>
      </c>
      <c r="AN10" s="90">
        <f t="shared" si="39"/>
        <v>14</v>
      </c>
      <c r="AO10" s="90">
        <f t="shared" si="4"/>
        <v>28</v>
      </c>
      <c r="AP10" s="90">
        <f t="shared" si="40"/>
        <v>9</v>
      </c>
      <c r="AQ10" s="90">
        <f t="shared" si="5"/>
        <v>23</v>
      </c>
      <c r="AR10" s="90">
        <f t="shared" si="41"/>
        <v>100.44199999999999</v>
      </c>
      <c r="AS10" s="90">
        <f t="shared" si="42"/>
        <v>33.442000000000007</v>
      </c>
      <c r="AT10" s="90">
        <f t="shared" si="43"/>
        <v>608.44200000000001</v>
      </c>
      <c r="AU10" s="90">
        <f t="shared" si="44"/>
        <v>0</v>
      </c>
      <c r="AV10" s="90">
        <f t="shared" si="66"/>
        <v>39</v>
      </c>
      <c r="AW10" s="90">
        <f t="shared" si="45"/>
        <v>575</v>
      </c>
      <c r="AX10" s="90">
        <f t="shared" si="67"/>
        <v>61</v>
      </c>
      <c r="AY10" s="90" t="str">
        <f t="shared" si="46"/>
        <v/>
      </c>
      <c r="AZ10" s="90">
        <f t="shared" si="47"/>
        <v>361</v>
      </c>
      <c r="BA10" s="90">
        <v>0</v>
      </c>
      <c r="BB10" s="90">
        <f t="shared" si="48"/>
        <v>153</v>
      </c>
      <c r="BC10" s="90">
        <f t="shared" si="48"/>
        <v>1184</v>
      </c>
      <c r="BD10" s="91">
        <f t="shared" si="49"/>
        <v>0</v>
      </c>
      <c r="BE10" s="90"/>
      <c r="BF10" s="90"/>
      <c r="BG10" s="90">
        <f t="shared" si="6"/>
        <v>1698</v>
      </c>
      <c r="BH10" s="90">
        <f t="shared" si="50"/>
        <v>1326</v>
      </c>
      <c r="BI10" s="90">
        <f t="shared" si="51"/>
        <v>1062.9579999999996</v>
      </c>
      <c r="BJ10" s="90">
        <f t="shared" si="7"/>
        <v>4348.0420000000004</v>
      </c>
      <c r="BK10" s="92"/>
      <c r="BL10" s="93">
        <f t="shared" si="52"/>
        <v>6737</v>
      </c>
      <c r="BM10" s="93">
        <f t="shared" si="53"/>
        <v>38437</v>
      </c>
      <c r="BN10" s="92"/>
      <c r="BO10" s="94">
        <f t="shared" si="54"/>
        <v>0.22852750288791704</v>
      </c>
      <c r="BP10" s="94">
        <f t="shared" si="54"/>
        <v>3.3705600812040278E-2</v>
      </c>
      <c r="BQ10" s="94">
        <f t="shared" si="55"/>
        <v>9.5910963567245489E-2</v>
      </c>
      <c r="BR10" s="94">
        <f t="shared" si="68"/>
        <v>1.4435173541491595</v>
      </c>
      <c r="BS10" s="94">
        <f t="shared" si="8"/>
        <v>0</v>
      </c>
      <c r="BT10" s="94">
        <f t="shared" si="8"/>
        <v>0.11249906030196689</v>
      </c>
      <c r="BU10" s="95">
        <f t="shared" si="8"/>
        <v>1.8066907911710384</v>
      </c>
      <c r="BV10" s="94">
        <f t="shared" si="9"/>
        <v>0.18369711509000169</v>
      </c>
      <c r="BW10" s="94">
        <f t="shared" si="9"/>
        <v>2.7093551337598706E-2</v>
      </c>
      <c r="BX10" s="94">
        <f t="shared" si="9"/>
        <v>7.7096047916151281E-2</v>
      </c>
      <c r="BY10" s="94">
        <f t="shared" si="56"/>
        <v>1.1603416227306669</v>
      </c>
      <c r="BZ10" s="95">
        <f t="shared" si="10"/>
        <v>1.4522710921169399</v>
      </c>
      <c r="CA10" s="96" t="e">
        <f>#REF!</f>
        <v>#REF!</v>
      </c>
      <c r="CB10" s="94">
        <f t="shared" si="11"/>
        <v>7.1239017891389755E-2</v>
      </c>
      <c r="CC10" s="95">
        <f t="shared" si="11"/>
        <v>2.371891475999937E-2</v>
      </c>
      <c r="CD10" s="97">
        <f t="shared" si="12"/>
        <v>0.19606396352080452</v>
      </c>
      <c r="CE10" s="98">
        <f t="shared" si="12"/>
        <v>6.5279176719527154E-2</v>
      </c>
      <c r="CF10" s="94" t="str">
        <f t="shared" si="57"/>
        <v>0,00</v>
      </c>
      <c r="CG10" s="94" t="str">
        <f t="shared" si="57"/>
        <v>0,00</v>
      </c>
      <c r="CH10" s="95" t="str">
        <f t="shared" si="58"/>
        <v xml:space="preserve">0,00 </v>
      </c>
      <c r="CI10" s="96" t="e">
        <f>#REF!</f>
        <v>#REF!</v>
      </c>
      <c r="CJ10" s="94" t="str">
        <f t="shared" si="59"/>
        <v>0,00</v>
      </c>
      <c r="CK10" s="94" t="str">
        <f t="shared" si="59"/>
        <v>0,00</v>
      </c>
      <c r="CL10" s="95" t="str">
        <f t="shared" si="69"/>
        <v xml:space="preserve">0,00 </v>
      </c>
      <c r="CM10" s="95" t="e">
        <f>#REF!</f>
        <v>#REF!</v>
      </c>
      <c r="CN10" s="94">
        <f t="shared" si="60"/>
        <v>0.88847374363522569</v>
      </c>
      <c r="CO10" s="94">
        <f t="shared" si="60"/>
        <v>0.1336641915203437</v>
      </c>
      <c r="CP10" s="95">
        <f t="shared" si="61"/>
        <v>1.3051915171986499</v>
      </c>
      <c r="CQ10" s="95" t="e">
        <f>#REF!</f>
        <v>#REF!</v>
      </c>
      <c r="CR10" s="97" t="str">
        <f t="shared" si="70"/>
        <v xml:space="preserve">0,00 </v>
      </c>
      <c r="CS10" s="95" t="str">
        <f t="shared" si="70"/>
        <v xml:space="preserve">0,00 </v>
      </c>
      <c r="CT10" s="96" t="e">
        <f>#REF!</f>
        <v>#REF!</v>
      </c>
      <c r="CU10" s="97">
        <f t="shared" si="71"/>
        <v>1.0239210716130398E-2</v>
      </c>
      <c r="CV10" s="95">
        <f t="shared" si="62"/>
        <v>2.6166871830111019E-2</v>
      </c>
      <c r="CW10" s="96" t="e">
        <f>#REF!</f>
        <v>#REF!</v>
      </c>
      <c r="CX10" s="99">
        <f t="shared" si="63"/>
        <v>0</v>
      </c>
      <c r="CY10" s="95">
        <f t="shared" si="63"/>
        <v>2.7660955554092915E-2</v>
      </c>
      <c r="CZ10" s="99">
        <f t="shared" si="63"/>
        <v>0.40782178060521612</v>
      </c>
      <c r="DA10" s="95">
        <f t="shared" si="63"/>
        <v>4.3264571507683793E-2</v>
      </c>
      <c r="DB10" s="94">
        <f t="shared" si="13"/>
        <v>0.25604115269301392</v>
      </c>
      <c r="DC10" s="94">
        <f t="shared" si="14"/>
        <v>0.10851605640451836</v>
      </c>
      <c r="DD10" s="94">
        <f t="shared" si="14"/>
        <v>0.83975824041143621</v>
      </c>
      <c r="DE10" s="94">
        <f t="shared" si="14"/>
        <v>0</v>
      </c>
      <c r="DF10" s="94">
        <f t="shared" si="14"/>
        <v>0</v>
      </c>
      <c r="DG10" s="94">
        <f t="shared" si="14"/>
        <v>0</v>
      </c>
      <c r="DH10" s="95">
        <f t="shared" si="14"/>
        <v>1.2043154495089685</v>
      </c>
      <c r="DI10" s="96" t="e">
        <f>#REF!</f>
        <v>#REF!</v>
      </c>
      <c r="DJ10" s="95">
        <f t="shared" si="64"/>
        <v>0.94047248883915913</v>
      </c>
      <c r="DK10" s="96" t="e">
        <f>#REF!</f>
        <v>#REF!</v>
      </c>
      <c r="DL10" s="95">
        <f t="shared" si="15"/>
        <v>0.75390856394532024</v>
      </c>
      <c r="DM10" s="96">
        <f t="shared" si="16"/>
        <v>0</v>
      </c>
      <c r="DN10" s="94">
        <f t="shared" si="17"/>
        <v>3.0838717053674176</v>
      </c>
      <c r="DO10" s="100">
        <v>3.4</v>
      </c>
      <c r="DP10" s="94">
        <f>IF($O10&lt;&gt;0,IF($O10&lt;&gt;0,BL10/$O10*10,0)," ")</f>
        <v>4.778252758151897</v>
      </c>
      <c r="DQ10" s="94">
        <f>IF($P10&lt;&gt;0,IF($P10&lt;&gt;0,BM10/$P10*10,0)," ")</f>
        <v>3.7823053547207977</v>
      </c>
      <c r="DR10" s="101" t="str">
        <f t="shared" si="18"/>
        <v>3,30 hL/NhL</v>
      </c>
      <c r="DS10" s="116"/>
      <c r="DT10" s="103">
        <v>5</v>
      </c>
      <c r="DU10" s="76">
        <v>607512</v>
      </c>
      <c r="DV10" s="76">
        <v>23077</v>
      </c>
      <c r="DW10" s="76">
        <v>5093945</v>
      </c>
      <c r="DX10" s="129">
        <v>100772</v>
      </c>
      <c r="DY10" s="76">
        <v>80333</v>
      </c>
      <c r="DZ10" s="76">
        <v>363295</v>
      </c>
      <c r="EA10" s="76">
        <v>210760</v>
      </c>
      <c r="EB10" s="77">
        <v>47905</v>
      </c>
      <c r="EC10" s="76">
        <v>369736</v>
      </c>
      <c r="ED10" s="76">
        <v>44026</v>
      </c>
      <c r="EE10" s="77">
        <v>36030</v>
      </c>
      <c r="EF10" s="77">
        <v>37704</v>
      </c>
      <c r="EG10" s="76">
        <v>88814</v>
      </c>
      <c r="EH10" s="76">
        <v>175115</v>
      </c>
      <c r="EI10" s="76">
        <v>28858</v>
      </c>
      <c r="EJ10" s="77">
        <v>37291</v>
      </c>
      <c r="EK10" s="77"/>
      <c r="EL10" s="76">
        <v>678839</v>
      </c>
      <c r="EM10" s="77">
        <v>1087</v>
      </c>
      <c r="EN10" s="77">
        <v>39720</v>
      </c>
      <c r="EO10" s="76">
        <v>2850531</v>
      </c>
      <c r="EP10" s="77">
        <v>2629979</v>
      </c>
      <c r="EQ10" s="77">
        <v>0</v>
      </c>
      <c r="ER10" s="77">
        <v>1275</v>
      </c>
      <c r="ES10" s="124">
        <v>278290</v>
      </c>
      <c r="ET10" s="77">
        <v>1165257</v>
      </c>
      <c r="EU10" s="77">
        <v>375009</v>
      </c>
      <c r="EV10" s="77">
        <v>110874</v>
      </c>
      <c r="EW10" s="77">
        <v>69154</v>
      </c>
      <c r="EX10" s="76">
        <v>196773</v>
      </c>
      <c r="EY10" s="76">
        <v>1566250</v>
      </c>
      <c r="EZ10" s="76">
        <v>700714</v>
      </c>
      <c r="FA10" s="130">
        <v>719109</v>
      </c>
      <c r="FB10" s="77">
        <v>29456</v>
      </c>
      <c r="FC10" s="77">
        <v>5411</v>
      </c>
      <c r="FD10" s="104">
        <f t="shared" si="19"/>
        <v>5831</v>
      </c>
      <c r="FE10" s="105">
        <f t="shared" si="20"/>
        <v>0</v>
      </c>
      <c r="FF10" s="105">
        <f t="shared" si="20"/>
        <v>402</v>
      </c>
      <c r="FG10" s="105">
        <f t="shared" si="20"/>
        <v>1804</v>
      </c>
      <c r="FH10" s="105">
        <f t="shared" si="20"/>
        <v>1231</v>
      </c>
      <c r="FI10" s="105">
        <f t="shared" si="20"/>
        <v>470</v>
      </c>
      <c r="FJ10" s="105">
        <f t="shared" si="20"/>
        <v>211</v>
      </c>
      <c r="FK10" s="105">
        <f t="shared" si="20"/>
        <v>0</v>
      </c>
      <c r="FL10" s="105">
        <f t="shared" si="20"/>
        <v>1713</v>
      </c>
      <c r="FM10" s="105">
        <f t="shared" si="20"/>
        <v>0</v>
      </c>
      <c r="FN10" s="80">
        <f t="shared" si="74"/>
        <v>906</v>
      </c>
      <c r="FO10" s="104">
        <f>FO9+906</f>
        <v>56345</v>
      </c>
      <c r="FP10" s="106" t="s">
        <v>177</v>
      </c>
      <c r="FX10" s="64"/>
      <c r="FY10" s="119">
        <v>5</v>
      </c>
      <c r="FZ10" s="107"/>
      <c r="GA10" s="107"/>
      <c r="GB10" s="108"/>
      <c r="GC10" s="109"/>
      <c r="GD10" s="110"/>
      <c r="GE10" s="110"/>
      <c r="GF10" s="111"/>
      <c r="GG10" s="111"/>
      <c r="GH10" s="111"/>
      <c r="GI10" s="112"/>
      <c r="GJ10" s="111" t="e">
        <f t="shared" si="65"/>
        <v>#DIV/0!</v>
      </c>
      <c r="GK10" s="113"/>
    </row>
    <row r="11" spans="1:194" s="119" customFormat="1" ht="15.75" customHeight="1">
      <c r="B11" s="573">
        <v>42800</v>
      </c>
      <c r="D11" s="131">
        <v>0</v>
      </c>
      <c r="E11" s="131">
        <v>2778.6</v>
      </c>
      <c r="F11" s="131">
        <v>2803.32</v>
      </c>
      <c r="G11" s="308">
        <v>2637.2809999999999</v>
      </c>
      <c r="H11" s="308">
        <v>5655.2830000000004</v>
      </c>
      <c r="I11" s="308">
        <v>946.34100000000001</v>
      </c>
      <c r="J11" s="308">
        <v>3180.54</v>
      </c>
      <c r="K11" s="308"/>
      <c r="L11" s="308"/>
      <c r="M11" s="115">
        <f t="shared" si="21"/>
        <v>4126.8810000000003</v>
      </c>
      <c r="N11" s="88">
        <f t="shared" si="0"/>
        <v>13874.484</v>
      </c>
      <c r="O11" s="88">
        <f>N11+L11+K11+((J11+I11)*0.5)</f>
        <v>15937.924500000001</v>
      </c>
      <c r="P11" s="89">
        <f t="shared" si="23"/>
        <v>117561.13149999999</v>
      </c>
      <c r="R11" s="90">
        <f t="shared" si="24"/>
        <v>35</v>
      </c>
      <c r="S11" s="90">
        <f t="shared" si="25"/>
        <v>32.5</v>
      </c>
      <c r="T11" s="90">
        <f t="shared" si="1"/>
        <v>607.29999999999995</v>
      </c>
      <c r="U11" s="90">
        <f t="shared" ref="U11:U35" si="75">IF(FB11=0,"",((EN11-EN10)/10))</f>
        <v>1.2</v>
      </c>
      <c r="V11" s="90">
        <f t="shared" si="26"/>
        <v>1231</v>
      </c>
      <c r="W11" s="91">
        <f t="shared" si="2"/>
        <v>113.8</v>
      </c>
      <c r="X11" s="90">
        <f t="shared" si="27"/>
        <v>1231</v>
      </c>
      <c r="Y11" s="90" t="str">
        <f t="shared" si="28"/>
        <v>0</v>
      </c>
      <c r="Z11" s="90">
        <f t="shared" si="3"/>
        <v>150.80000000000001</v>
      </c>
      <c r="AA11" s="90">
        <f t="shared" si="29"/>
        <v>1907</v>
      </c>
      <c r="AB11" s="90">
        <f t="shared" si="30"/>
        <v>320</v>
      </c>
      <c r="AC11" s="90">
        <f t="shared" si="30"/>
        <v>54</v>
      </c>
      <c r="AD11" s="90">
        <f t="shared" si="31"/>
        <v>374</v>
      </c>
      <c r="AE11" s="90">
        <f t="shared" si="32"/>
        <v>0</v>
      </c>
      <c r="AF11" s="90">
        <f t="shared" si="33"/>
        <v>194</v>
      </c>
      <c r="AG11" s="90">
        <f t="shared" si="33"/>
        <v>26</v>
      </c>
      <c r="AH11" s="90">
        <f t="shared" si="34"/>
        <v>313</v>
      </c>
      <c r="AI11" s="90">
        <f t="shared" si="35"/>
        <v>93</v>
      </c>
      <c r="AJ11" s="90">
        <f t="shared" si="36"/>
        <v>200</v>
      </c>
      <c r="AK11" s="90">
        <f t="shared" si="36"/>
        <v>47</v>
      </c>
      <c r="AL11" s="90">
        <f t="shared" si="37"/>
        <v>339</v>
      </c>
      <c r="AM11" s="90">
        <f t="shared" si="38"/>
        <v>92</v>
      </c>
      <c r="AN11" s="90">
        <f t="shared" si="39"/>
        <v>36</v>
      </c>
      <c r="AO11" s="90">
        <f t="shared" si="4"/>
        <v>77</v>
      </c>
      <c r="AP11" s="90">
        <f t="shared" si="40"/>
        <v>26</v>
      </c>
      <c r="AQ11" s="90">
        <f t="shared" si="5"/>
        <v>50</v>
      </c>
      <c r="AR11" s="90">
        <f t="shared" si="41"/>
        <v>87.593000000000004</v>
      </c>
      <c r="AS11" s="90">
        <f t="shared" si="42"/>
        <v>193.59299999999996</v>
      </c>
      <c r="AT11" s="90">
        <f t="shared" si="43"/>
        <v>723.59299999999996</v>
      </c>
      <c r="AU11" s="90">
        <f t="shared" si="44"/>
        <v>138</v>
      </c>
      <c r="AV11" s="90">
        <f t="shared" si="66"/>
        <v>11</v>
      </c>
      <c r="AW11" s="90">
        <f t="shared" si="45"/>
        <v>392</v>
      </c>
      <c r="AX11" s="90">
        <f t="shared" si="67"/>
        <v>39</v>
      </c>
      <c r="AY11" s="90" t="str">
        <f t="shared" si="46"/>
        <v/>
      </c>
      <c r="AZ11" s="90">
        <f t="shared" si="47"/>
        <v>326</v>
      </c>
      <c r="BA11" s="90">
        <v>50</v>
      </c>
      <c r="BB11" s="90">
        <f t="shared" si="48"/>
        <v>123</v>
      </c>
      <c r="BC11" s="90">
        <f t="shared" si="48"/>
        <v>346</v>
      </c>
      <c r="BD11" s="91">
        <f t="shared" si="49"/>
        <v>241</v>
      </c>
      <c r="BE11" s="90"/>
      <c r="BF11" s="90"/>
      <c r="BG11" s="90">
        <f t="shared" si="6"/>
        <v>1036</v>
      </c>
      <c r="BH11" s="90">
        <f t="shared" si="50"/>
        <v>769</v>
      </c>
      <c r="BI11" s="90">
        <f t="shared" si="51"/>
        <v>1495.4070000000002</v>
      </c>
      <c r="BJ11" s="90">
        <f t="shared" si="7"/>
        <v>4339.5929999999998</v>
      </c>
      <c r="BK11" s="92"/>
      <c r="BL11" s="93">
        <f t="shared" si="52"/>
        <v>6604</v>
      </c>
      <c r="BM11" s="93">
        <f t="shared" si="53"/>
        <v>45041</v>
      </c>
      <c r="BN11" s="92"/>
      <c r="BO11" s="94">
        <f t="shared" si="54"/>
        <v>2.522616336578715E-2</v>
      </c>
      <c r="BP11" s="94">
        <f t="shared" si="54"/>
        <v>2.3424294553945211E-2</v>
      </c>
      <c r="BQ11" s="94">
        <f t="shared" si="55"/>
        <v>0.43770997177264392</v>
      </c>
      <c r="BR11" s="94">
        <f t="shared" si="68"/>
        <v>0.88724020295097095</v>
      </c>
      <c r="BS11" s="94">
        <f t="shared" si="8"/>
        <v>0</v>
      </c>
      <c r="BT11" s="94">
        <f t="shared" si="8"/>
        <v>0.10868872673030579</v>
      </c>
      <c r="BU11" s="95">
        <f t="shared" si="8"/>
        <v>1.3744655296730315</v>
      </c>
      <c r="BV11" s="94">
        <f t="shared" si="9"/>
        <v>2.1960199397355658E-2</v>
      </c>
      <c r="BW11" s="94">
        <f t="shared" si="9"/>
        <v>2.0391613726115969E-2</v>
      </c>
      <c r="BX11" s="94">
        <f t="shared" si="9"/>
        <v>0.3810408312575454</v>
      </c>
      <c r="BY11" s="94">
        <f t="shared" si="56"/>
        <v>0.77237158451842325</v>
      </c>
      <c r="BZ11" s="95">
        <f t="shared" si="10"/>
        <v>1.1965171500216354</v>
      </c>
      <c r="CA11" s="96" t="e">
        <f>#REF!</f>
        <v>#REF!</v>
      </c>
      <c r="CB11" s="94">
        <f t="shared" si="11"/>
        <v>5.4958849880359262E-2</v>
      </c>
      <c r="CC11" s="95">
        <f t="shared" si="11"/>
        <v>0.12146688234092208</v>
      </c>
      <c r="CD11" s="97">
        <f t="shared" si="12"/>
        <v>0.21224988072105785</v>
      </c>
      <c r="CE11" s="98">
        <f t="shared" si="12"/>
        <v>0.46910245291783298</v>
      </c>
      <c r="CF11" s="94" t="str">
        <f t="shared" si="57"/>
        <v>0,00</v>
      </c>
      <c r="CG11" s="94" t="str">
        <f t="shared" si="57"/>
        <v>0,00</v>
      </c>
      <c r="CH11" s="95" t="str">
        <f t="shared" si="58"/>
        <v xml:space="preserve">0,00 </v>
      </c>
      <c r="CI11" s="96" t="e">
        <f>#REF!</f>
        <v>#REF!</v>
      </c>
      <c r="CJ11" s="94">
        <f t="shared" si="59"/>
        <v>0.69819333477290724</v>
      </c>
      <c r="CK11" s="94">
        <f t="shared" si="59"/>
        <v>9.357230259843087E-2</v>
      </c>
      <c r="CL11" s="95">
        <f t="shared" si="69"/>
        <v>1.1264665658964947</v>
      </c>
      <c r="CM11" s="95" t="e">
        <f>#REF!</f>
        <v>#REF!</v>
      </c>
      <c r="CN11" s="94">
        <f t="shared" si="60"/>
        <v>0.71343977854829266</v>
      </c>
      <c r="CO11" s="94">
        <f t="shared" si="60"/>
        <v>0.16765834795884879</v>
      </c>
      <c r="CP11" s="95">
        <f t="shared" si="61"/>
        <v>1.209280424639356</v>
      </c>
      <c r="CQ11" s="95" t="e">
        <f>#REF!</f>
        <v>#REF!</v>
      </c>
      <c r="CR11" s="97">
        <f t="shared" si="70"/>
        <v>0.13650422537454296</v>
      </c>
      <c r="CS11" s="95">
        <f t="shared" si="70"/>
        <v>0.29196737093999464</v>
      </c>
      <c r="CT11" s="96" t="e">
        <f>#REF!</f>
        <v>#REF!</v>
      </c>
      <c r="CU11" s="97">
        <f t="shared" si="71"/>
        <v>4.5974710726235976E-2</v>
      </c>
      <c r="CV11" s="95">
        <f t="shared" si="62"/>
        <v>8.8412905242761505E-2</v>
      </c>
      <c r="CW11" s="96" t="e">
        <f>#REF!</f>
        <v>#REF!</v>
      </c>
      <c r="CX11" s="99">
        <f t="shared" si="63"/>
        <v>8.6585929052430885E-2</v>
      </c>
      <c r="CY11" s="95">
        <f t="shared" si="63"/>
        <v>6.9017769534546356E-3</v>
      </c>
      <c r="CZ11" s="99">
        <f t="shared" si="63"/>
        <v>0.24595423325038338</v>
      </c>
      <c r="DA11" s="95">
        <f t="shared" si="63"/>
        <v>2.446993647133916E-2</v>
      </c>
      <c r="DB11" s="94">
        <f t="shared" si="13"/>
        <v>0.20454357152965558</v>
      </c>
      <c r="DC11" s="94">
        <f t="shared" si="14"/>
        <v>7.717441502499274E-2</v>
      </c>
      <c r="DD11" s="94">
        <f t="shared" si="14"/>
        <v>0.21709225689957309</v>
      </c>
      <c r="DE11" s="94">
        <f t="shared" si="14"/>
        <v>0.15121165870750608</v>
      </c>
      <c r="DF11" s="94">
        <f t="shared" si="14"/>
        <v>0</v>
      </c>
      <c r="DG11" s="94">
        <f t="shared" si="14"/>
        <v>0</v>
      </c>
      <c r="DH11" s="95">
        <f t="shared" si="14"/>
        <v>0.65002190216172751</v>
      </c>
      <c r="DI11" s="96" t="e">
        <f>#REF!</f>
        <v>#REF!</v>
      </c>
      <c r="DJ11" s="95">
        <f t="shared" si="64"/>
        <v>0.48249695247332858</v>
      </c>
      <c r="DK11" s="96" t="e">
        <f>#REF!</f>
        <v>#REF!</v>
      </c>
      <c r="DL11" s="95">
        <f t="shared" si="15"/>
        <v>0.93826959714861236</v>
      </c>
      <c r="DM11" s="96">
        <f t="shared" si="16"/>
        <v>0</v>
      </c>
      <c r="DN11" s="94">
        <f t="shared" si="17"/>
        <v>2.7228093595248239</v>
      </c>
      <c r="DO11" s="100">
        <v>3.4</v>
      </c>
      <c r="DP11" s="94">
        <f>IF($O11&lt;&gt;0,IF($O11&lt;&gt;0,BL11/$O11*10,0)," ")</f>
        <v>4.1435759091467652</v>
      </c>
      <c r="DQ11" s="94">
        <f t="shared" si="73"/>
        <v>3.8312833013180043</v>
      </c>
      <c r="DR11" s="101" t="str">
        <f t="shared" si="18"/>
        <v>3,30 hL/NhL</v>
      </c>
      <c r="DS11" s="116"/>
      <c r="DT11" s="103">
        <v>6</v>
      </c>
      <c r="DU11" s="76">
        <v>607832</v>
      </c>
      <c r="DV11" s="76">
        <v>23131</v>
      </c>
      <c r="DW11" s="77">
        <v>5094243</v>
      </c>
      <c r="DX11" s="129">
        <v>100966</v>
      </c>
      <c r="DY11" s="76">
        <v>80359</v>
      </c>
      <c r="DZ11" s="76">
        <v>363608</v>
      </c>
      <c r="EA11" s="76">
        <v>210960</v>
      </c>
      <c r="EB11" s="77">
        <v>47952</v>
      </c>
      <c r="EC11" s="76">
        <v>370075</v>
      </c>
      <c r="ED11" s="76">
        <v>44062</v>
      </c>
      <c r="EE11" s="77">
        <v>36074</v>
      </c>
      <c r="EF11" s="77">
        <v>37737</v>
      </c>
      <c r="EG11" s="76">
        <v>88840</v>
      </c>
      <c r="EH11" s="76">
        <v>175165</v>
      </c>
      <c r="EI11" s="76">
        <v>28869</v>
      </c>
      <c r="EJ11" s="77">
        <v>37330</v>
      </c>
      <c r="EK11" s="77"/>
      <c r="EL11" s="76">
        <v>678874</v>
      </c>
      <c r="EM11" s="77">
        <v>6073</v>
      </c>
      <c r="EN11" s="77">
        <v>39732</v>
      </c>
      <c r="EO11" s="76">
        <v>2851762</v>
      </c>
      <c r="EP11" s="77">
        <v>2631117</v>
      </c>
      <c r="EQ11" s="77">
        <v>0</v>
      </c>
      <c r="ER11" s="77">
        <v>1508</v>
      </c>
      <c r="ES11" s="124">
        <v>278926</v>
      </c>
      <c r="ET11" s="77">
        <v>1252850</v>
      </c>
      <c r="EU11" s="77">
        <v>375401</v>
      </c>
      <c r="EV11" s="77">
        <v>111012</v>
      </c>
      <c r="EW11" s="77">
        <v>69480</v>
      </c>
      <c r="EX11" s="76">
        <v>196896</v>
      </c>
      <c r="EY11" s="76">
        <v>1566596</v>
      </c>
      <c r="EZ11" s="76">
        <v>701039</v>
      </c>
      <c r="FA11" s="76">
        <v>719350</v>
      </c>
      <c r="FB11" s="77">
        <v>29510</v>
      </c>
      <c r="FC11" s="77">
        <v>5835</v>
      </c>
      <c r="FD11" s="104">
        <f>SUM(FE11:FM11)</f>
        <v>4661</v>
      </c>
      <c r="FE11" s="105">
        <f t="shared" si="20"/>
        <v>0</v>
      </c>
      <c r="FF11" s="105">
        <f t="shared" si="20"/>
        <v>637</v>
      </c>
      <c r="FG11" s="105">
        <f t="shared" si="20"/>
        <v>842</v>
      </c>
      <c r="FH11" s="105">
        <f t="shared" si="20"/>
        <v>1804</v>
      </c>
      <c r="FI11" s="105">
        <f t="shared" si="20"/>
        <v>592</v>
      </c>
      <c r="FJ11" s="105">
        <f t="shared" si="20"/>
        <v>786</v>
      </c>
      <c r="FK11" s="105">
        <f t="shared" si="20"/>
        <v>0</v>
      </c>
      <c r="FL11" s="105">
        <f t="shared" si="20"/>
        <v>0</v>
      </c>
      <c r="FM11" s="105">
        <f t="shared" si="20"/>
        <v>0</v>
      </c>
      <c r="FN11" s="80">
        <f t="shared" si="74"/>
        <v>1943</v>
      </c>
      <c r="FO11" s="104">
        <f>FO10+1943</f>
        <v>58288</v>
      </c>
      <c r="FP11" s="132" t="s">
        <v>178</v>
      </c>
      <c r="FX11" s="64"/>
      <c r="FY11" s="119">
        <v>6</v>
      </c>
      <c r="FZ11" s="107"/>
      <c r="GA11" s="107"/>
      <c r="GB11" s="108"/>
      <c r="GC11" s="109"/>
      <c r="GD11" s="110"/>
      <c r="GE11" s="110"/>
      <c r="GF11" s="111"/>
      <c r="GG11" s="111"/>
      <c r="GH11" s="111"/>
      <c r="GI11" s="112"/>
      <c r="GJ11" s="111" t="e">
        <f t="shared" si="65"/>
        <v>#DIV/0!</v>
      </c>
      <c r="GK11" s="113"/>
    </row>
    <row r="12" spans="1:194" s="119" customFormat="1" ht="15" customHeight="1">
      <c r="B12" s="573">
        <v>42801</v>
      </c>
      <c r="D12" s="131">
        <v>3609.6</v>
      </c>
      <c r="E12" s="131">
        <v>3789.96</v>
      </c>
      <c r="F12" s="131">
        <v>2374.2719999999999</v>
      </c>
      <c r="G12" s="308">
        <v>5160.777</v>
      </c>
      <c r="H12" s="308">
        <v>2830.5639999999999</v>
      </c>
      <c r="I12" s="308">
        <v>1026.3140000000001</v>
      </c>
      <c r="J12" s="308">
        <v>5128.4880000000003</v>
      </c>
      <c r="K12" s="308"/>
      <c r="L12" s="308"/>
      <c r="M12" s="115">
        <f t="shared" si="21"/>
        <v>6154.8020000000006</v>
      </c>
      <c r="N12" s="88">
        <f t="shared" si="0"/>
        <v>17765.172999999999</v>
      </c>
      <c r="O12" s="88">
        <f>N12+L12+K12+((J12+I12)*0.5)</f>
        <v>20842.574000000001</v>
      </c>
      <c r="P12" s="89">
        <f t="shared" si="23"/>
        <v>138403.70549999998</v>
      </c>
      <c r="R12" s="90">
        <f t="shared" si="24"/>
        <v>261</v>
      </c>
      <c r="S12" s="90">
        <f t="shared" si="25"/>
        <v>171.7</v>
      </c>
      <c r="T12" s="90">
        <f t="shared" si="1"/>
        <v>445</v>
      </c>
      <c r="U12" s="90">
        <f t="shared" si="75"/>
        <v>5</v>
      </c>
      <c r="V12" s="90">
        <f t="shared" si="26"/>
        <v>1483</v>
      </c>
      <c r="W12" s="91">
        <f t="shared" si="2"/>
        <v>162.80000000000001</v>
      </c>
      <c r="X12" s="90">
        <f t="shared" si="27"/>
        <v>1483</v>
      </c>
      <c r="Y12" s="90" t="str">
        <f t="shared" si="28"/>
        <v>0</v>
      </c>
      <c r="Z12" s="90">
        <f t="shared" si="3"/>
        <v>137</v>
      </c>
      <c r="AA12" s="90">
        <f t="shared" si="29"/>
        <v>2365.6999999999998</v>
      </c>
      <c r="AB12" s="90">
        <f t="shared" si="30"/>
        <v>193</v>
      </c>
      <c r="AC12" s="90">
        <f t="shared" si="30"/>
        <v>59</v>
      </c>
      <c r="AD12" s="90">
        <f t="shared" si="31"/>
        <v>443</v>
      </c>
      <c r="AE12" s="90">
        <f t="shared" si="32"/>
        <v>191</v>
      </c>
      <c r="AF12" s="90">
        <f t="shared" si="33"/>
        <v>184</v>
      </c>
      <c r="AG12" s="90">
        <f t="shared" si="33"/>
        <v>126</v>
      </c>
      <c r="AH12" s="90">
        <f t="shared" si="34"/>
        <v>389</v>
      </c>
      <c r="AI12" s="90">
        <f t="shared" si="35"/>
        <v>79</v>
      </c>
      <c r="AJ12" s="90">
        <f t="shared" si="36"/>
        <v>187</v>
      </c>
      <c r="AK12" s="90">
        <f t="shared" si="36"/>
        <v>48</v>
      </c>
      <c r="AL12" s="90">
        <f t="shared" si="37"/>
        <v>322</v>
      </c>
      <c r="AM12" s="90">
        <f t="shared" si="38"/>
        <v>87</v>
      </c>
      <c r="AN12" s="90">
        <f t="shared" si="39"/>
        <v>74</v>
      </c>
      <c r="AO12" s="90">
        <f t="shared" si="4"/>
        <v>117</v>
      </c>
      <c r="AP12" s="90">
        <f t="shared" si="40"/>
        <v>73</v>
      </c>
      <c r="AQ12" s="90">
        <f t="shared" si="5"/>
        <v>131</v>
      </c>
      <c r="AR12" s="90">
        <f t="shared" si="41"/>
        <v>129.76</v>
      </c>
      <c r="AS12" s="90">
        <f t="shared" si="42"/>
        <v>237.76</v>
      </c>
      <c r="AT12" s="90">
        <f t="shared" si="43"/>
        <v>897.76</v>
      </c>
      <c r="AU12" s="90">
        <f t="shared" si="44"/>
        <v>165</v>
      </c>
      <c r="AV12" s="90">
        <f t="shared" si="66"/>
        <v>62</v>
      </c>
      <c r="AW12" s="90">
        <f t="shared" si="45"/>
        <v>495</v>
      </c>
      <c r="AX12" s="90">
        <f t="shared" si="67"/>
        <v>5</v>
      </c>
      <c r="AY12" s="90" t="str">
        <f t="shared" si="46"/>
        <v/>
      </c>
      <c r="AZ12" s="90">
        <f t="shared" si="47"/>
        <v>415</v>
      </c>
      <c r="BA12" s="90">
        <v>40</v>
      </c>
      <c r="BB12" s="90">
        <f t="shared" si="48"/>
        <v>119</v>
      </c>
      <c r="BC12" s="90">
        <f t="shared" si="48"/>
        <v>913</v>
      </c>
      <c r="BD12" s="91">
        <f t="shared" si="49"/>
        <v>368</v>
      </c>
      <c r="BE12" s="90"/>
      <c r="BF12" s="90"/>
      <c r="BG12" s="90">
        <f t="shared" si="6"/>
        <v>1815</v>
      </c>
      <c r="BH12" s="90">
        <f t="shared" si="50"/>
        <v>-616.09999999997672</v>
      </c>
      <c r="BI12" s="90">
        <f t="shared" si="51"/>
        <v>1804.54</v>
      </c>
      <c r="BJ12" s="90">
        <f t="shared" si="7"/>
        <v>5887.46</v>
      </c>
      <c r="BK12" s="92"/>
      <c r="BL12" s="93">
        <f t="shared" si="52"/>
        <v>7075.9000000000233</v>
      </c>
      <c r="BM12" s="93">
        <f t="shared" si="53"/>
        <v>52116.900000000023</v>
      </c>
      <c r="BN12" s="92"/>
      <c r="BO12" s="94">
        <f t="shared" si="54"/>
        <v>0.1469166666713575</v>
      </c>
      <c r="BP12" s="94">
        <f t="shared" si="54"/>
        <v>9.6649776503724444E-2</v>
      </c>
      <c r="BQ12" s="94">
        <f t="shared" si="55"/>
        <v>0.25049010217913442</v>
      </c>
      <c r="BR12" s="94">
        <f t="shared" si="68"/>
        <v>0.83477937422844128</v>
      </c>
      <c r="BS12" s="94">
        <f t="shared" si="8"/>
        <v>0</v>
      </c>
      <c r="BT12" s="94">
        <f t="shared" si="8"/>
        <v>7.7117177524812175E-2</v>
      </c>
      <c r="BU12" s="95">
        <f t="shared" si="8"/>
        <v>1.3316504151127604</v>
      </c>
      <c r="BV12" s="94">
        <f t="shared" si="9"/>
        <v>0.12522445644189628</v>
      </c>
      <c r="BW12" s="94">
        <f t="shared" si="9"/>
        <v>8.2379460425569317E-2</v>
      </c>
      <c r="BX12" s="94">
        <f t="shared" si="9"/>
        <v>0.21350529929748602</v>
      </c>
      <c r="BY12" s="94">
        <f t="shared" si="56"/>
        <v>0.71152440192847588</v>
      </c>
      <c r="BZ12" s="95">
        <f t="shared" si="10"/>
        <v>1.1350325540405901</v>
      </c>
      <c r="CA12" s="96" t="e">
        <f>#REF!</f>
        <v>#REF!</v>
      </c>
      <c r="CB12" s="94">
        <f t="shared" si="11"/>
        <v>6.2257185700768047E-2</v>
      </c>
      <c r="CC12" s="95">
        <f t="shared" si="11"/>
        <v>0.11407420215948375</v>
      </c>
      <c r="CD12" s="97">
        <f t="shared" si="12"/>
        <v>0.21082725325688784</v>
      </c>
      <c r="CE12" s="98">
        <f t="shared" si="12"/>
        <v>0.38629999795281794</v>
      </c>
      <c r="CF12" s="94">
        <f t="shared" si="57"/>
        <v>0.53468528368794332</v>
      </c>
      <c r="CG12" s="94">
        <f t="shared" si="57"/>
        <v>0.16345301418439717</v>
      </c>
      <c r="CH12" s="95">
        <f t="shared" si="58"/>
        <v>1.2272828014184398</v>
      </c>
      <c r="CI12" s="96" t="e">
        <f>#REF!</f>
        <v>#REF!</v>
      </c>
      <c r="CJ12" s="94">
        <f t="shared" si="59"/>
        <v>0.48549325058839676</v>
      </c>
      <c r="CK12" s="94">
        <f t="shared" si="59"/>
        <v>0.33245733464205424</v>
      </c>
      <c r="CL12" s="95">
        <f t="shared" si="69"/>
        <v>1.0263960569504691</v>
      </c>
      <c r="CM12" s="95" t="e">
        <f>#REF!</f>
        <v>#REF!</v>
      </c>
      <c r="CN12" s="94">
        <f t="shared" si="60"/>
        <v>0.78760984419645275</v>
      </c>
      <c r="CO12" s="94">
        <f t="shared" si="60"/>
        <v>0.20216723273491832</v>
      </c>
      <c r="CP12" s="95">
        <f t="shared" si="61"/>
        <v>1.3562051862634106</v>
      </c>
      <c r="CQ12" s="95" t="e">
        <f>#REF!</f>
        <v>#REF!</v>
      </c>
      <c r="CR12" s="97">
        <f t="shared" si="70"/>
        <v>0.14338926095818516</v>
      </c>
      <c r="CS12" s="95">
        <f t="shared" si="70"/>
        <v>0.22671004773118467</v>
      </c>
      <c r="CT12" s="96" t="e">
        <f>#REF!</f>
        <v>#REF!</v>
      </c>
      <c r="CU12" s="97">
        <f t="shared" si="71"/>
        <v>0.2578991324697128</v>
      </c>
      <c r="CV12" s="95">
        <f t="shared" si="62"/>
        <v>0.4628052925141421</v>
      </c>
      <c r="CW12" s="96" t="e">
        <f>#REF!</f>
        <v>#REF!</v>
      </c>
      <c r="CX12" s="99">
        <f t="shared" si="63"/>
        <v>7.916488625637122E-2</v>
      </c>
      <c r="CY12" s="95">
        <f t="shared" si="63"/>
        <v>2.9746805744818274E-2</v>
      </c>
      <c r="CZ12" s="99">
        <f t="shared" si="63"/>
        <v>0.23749465876911363</v>
      </c>
      <c r="DA12" s="95">
        <f t="shared" si="63"/>
        <v>2.3989359471627641E-3</v>
      </c>
      <c r="DB12" s="94">
        <f t="shared" si="13"/>
        <v>0.19911168361450943</v>
      </c>
      <c r="DC12" s="94">
        <f t="shared" si="14"/>
        <v>5.7094675542473786E-2</v>
      </c>
      <c r="DD12" s="94">
        <f t="shared" si="14"/>
        <v>0.43804570395192066</v>
      </c>
      <c r="DE12" s="94">
        <f t="shared" si="14"/>
        <v>0.17656168571117944</v>
      </c>
      <c r="DF12" s="94">
        <f t="shared" si="14"/>
        <v>0</v>
      </c>
      <c r="DG12" s="94">
        <f t="shared" si="14"/>
        <v>0</v>
      </c>
      <c r="DH12" s="95">
        <f t="shared" si="14"/>
        <v>0.87081374882008333</v>
      </c>
      <c r="DI12" s="96" t="e">
        <f>#REF!</f>
        <v>#REF!</v>
      </c>
      <c r="DJ12" s="95">
        <f t="shared" si="64"/>
        <v>-0.29559688740938461</v>
      </c>
      <c r="DK12" s="96" t="e">
        <f>#REF!</f>
        <v>#REF!</v>
      </c>
      <c r="DL12" s="95">
        <f t="shared" si="15"/>
        <v>0.86579517481861878</v>
      </c>
      <c r="DM12" s="96">
        <f t="shared" si="16"/>
        <v>0</v>
      </c>
      <c r="DN12" s="94">
        <f t="shared" si="17"/>
        <v>2.8247278862965777</v>
      </c>
      <c r="DO12" s="100">
        <v>3.4</v>
      </c>
      <c r="DP12" s="94">
        <f>IF($O12&lt;&gt;0,IF($O12&lt;&gt;0,BL12/$O12*10,0)," ")</f>
        <v>3.3949261737058118</v>
      </c>
      <c r="DQ12" s="94">
        <f t="shared" si="73"/>
        <v>3.7655711465037349</v>
      </c>
      <c r="DR12" s="101" t="str">
        <f t="shared" si="18"/>
        <v>3,30 hL/NhL</v>
      </c>
      <c r="DS12" s="116"/>
      <c r="DT12" s="134">
        <v>7</v>
      </c>
      <c r="DU12" s="76">
        <v>608025</v>
      </c>
      <c r="DV12" s="76">
        <v>23190</v>
      </c>
      <c r="DW12" s="76">
        <v>5094686</v>
      </c>
      <c r="DX12" s="77">
        <v>101150</v>
      </c>
      <c r="DY12" s="77">
        <v>80485</v>
      </c>
      <c r="DZ12" s="77">
        <v>363997</v>
      </c>
      <c r="EA12" s="77">
        <v>211147</v>
      </c>
      <c r="EB12" s="77">
        <v>48000</v>
      </c>
      <c r="EC12" s="77">
        <v>370397</v>
      </c>
      <c r="ED12" s="296">
        <v>44136</v>
      </c>
      <c r="EE12" s="77">
        <v>36118</v>
      </c>
      <c r="EF12" s="77">
        <v>37810</v>
      </c>
      <c r="EG12" s="76">
        <v>88913</v>
      </c>
      <c r="EH12" s="76">
        <v>175296</v>
      </c>
      <c r="EI12" s="76">
        <v>28931</v>
      </c>
      <c r="EJ12" s="77">
        <v>37335</v>
      </c>
      <c r="EK12" s="77"/>
      <c r="EL12" s="76">
        <v>679135</v>
      </c>
      <c r="EM12" s="77">
        <v>4450</v>
      </c>
      <c r="EN12" s="77">
        <v>39782</v>
      </c>
      <c r="EO12" s="76">
        <v>2853245</v>
      </c>
      <c r="EP12" s="77">
        <v>2632745</v>
      </c>
      <c r="EQ12" s="77">
        <v>0</v>
      </c>
      <c r="ER12" s="77">
        <v>1370</v>
      </c>
      <c r="ES12" s="77">
        <v>279694</v>
      </c>
      <c r="ET12" s="77">
        <v>1382610</v>
      </c>
      <c r="EU12" s="77">
        <v>375896</v>
      </c>
      <c r="EV12" s="77">
        <v>111177</v>
      </c>
      <c r="EW12" s="77">
        <v>69895</v>
      </c>
      <c r="EX12" s="76">
        <v>197015</v>
      </c>
      <c r="EY12" s="76">
        <v>1567509</v>
      </c>
      <c r="EZ12" s="76">
        <v>702756</v>
      </c>
      <c r="FA12" s="76">
        <v>719718</v>
      </c>
      <c r="FB12" s="77">
        <v>29409</v>
      </c>
      <c r="FC12" s="77">
        <v>7692</v>
      </c>
      <c r="FD12" s="104">
        <f t="shared" si="19"/>
        <v>6815.9000000000233</v>
      </c>
      <c r="FE12" s="105">
        <f t="shared" si="20"/>
        <v>0</v>
      </c>
      <c r="FF12" s="105">
        <f t="shared" si="20"/>
        <v>426</v>
      </c>
      <c r="FG12" s="105">
        <f t="shared" si="20"/>
        <v>2579</v>
      </c>
      <c r="FH12" s="105">
        <f t="shared" si="20"/>
        <v>0</v>
      </c>
      <c r="FI12" s="105">
        <f t="shared" si="20"/>
        <v>737</v>
      </c>
      <c r="FJ12" s="105">
        <f t="shared" si="20"/>
        <v>977</v>
      </c>
      <c r="FK12" s="105">
        <f t="shared" si="20"/>
        <v>0</v>
      </c>
      <c r="FL12" s="105">
        <f t="shared" si="20"/>
        <v>2096.9000000000233</v>
      </c>
      <c r="FM12" s="105">
        <f>FM45-FM44</f>
        <v>0</v>
      </c>
      <c r="FN12" s="80">
        <f t="shared" si="74"/>
        <v>260</v>
      </c>
      <c r="FO12" s="104">
        <f>58288+260</f>
        <v>58548</v>
      </c>
      <c r="FP12" s="132" t="s">
        <v>179</v>
      </c>
      <c r="FX12" s="64"/>
      <c r="FY12" s="119">
        <v>7</v>
      </c>
      <c r="FZ12" s="107"/>
      <c r="GA12" s="107"/>
      <c r="GB12" s="108"/>
      <c r="GC12" s="109"/>
      <c r="GD12" s="110"/>
      <c r="GE12" s="110"/>
      <c r="GF12" s="111"/>
      <c r="GG12" s="111"/>
      <c r="GH12" s="111"/>
      <c r="GI12" s="112"/>
      <c r="GJ12" s="111" t="e">
        <f t="shared" si="65"/>
        <v>#DIV/0!</v>
      </c>
      <c r="GK12" s="113"/>
    </row>
    <row r="13" spans="1:194" s="119" customFormat="1" ht="15" customHeight="1">
      <c r="B13" s="573">
        <v>42802</v>
      </c>
      <c r="D13" s="131">
        <v>3719.6400000000003</v>
      </c>
      <c r="E13" s="131">
        <v>732</v>
      </c>
      <c r="F13" s="131">
        <v>642.81600000000003</v>
      </c>
      <c r="G13" s="308">
        <v>3281.3720000000003</v>
      </c>
      <c r="H13" s="308">
        <v>5451.23</v>
      </c>
      <c r="I13" s="308">
        <v>1416.7670000000001</v>
      </c>
      <c r="J13" s="308">
        <v>3572.16</v>
      </c>
      <c r="K13" s="308">
        <v>26.006</v>
      </c>
      <c r="L13" s="308"/>
      <c r="M13" s="115">
        <f t="shared" si="21"/>
        <v>4988.9269999999997</v>
      </c>
      <c r="N13" s="88">
        <f t="shared" si="0"/>
        <v>13827.058000000001</v>
      </c>
      <c r="O13" s="88">
        <f>N13+L13+K13+((J13+I13)*0.5)</f>
        <v>16347.5275</v>
      </c>
      <c r="P13" s="89">
        <f t="shared" si="23"/>
        <v>154751.23299999998</v>
      </c>
      <c r="R13" s="90">
        <f t="shared" si="24"/>
        <v>152</v>
      </c>
      <c r="S13" s="90">
        <f t="shared" si="25"/>
        <v>14.3</v>
      </c>
      <c r="T13" s="90">
        <f t="shared" si="1"/>
        <v>569.5</v>
      </c>
      <c r="U13" s="90">
        <f t="shared" si="75"/>
        <v>3</v>
      </c>
      <c r="V13" s="90">
        <f t="shared" si="26"/>
        <v>1110</v>
      </c>
      <c r="W13" s="91">
        <f t="shared" si="2"/>
        <v>111.4</v>
      </c>
      <c r="X13" s="90">
        <f t="shared" si="27"/>
        <v>1110</v>
      </c>
      <c r="Y13" s="90" t="str">
        <f t="shared" si="28"/>
        <v>0</v>
      </c>
      <c r="Z13" s="90">
        <f t="shared" si="3"/>
        <v>114</v>
      </c>
      <c r="AA13" s="90">
        <f t="shared" si="29"/>
        <v>1848.8</v>
      </c>
      <c r="AB13" s="90">
        <f t="shared" si="30"/>
        <v>220</v>
      </c>
      <c r="AC13" s="90">
        <f t="shared" si="30"/>
        <v>23</v>
      </c>
      <c r="AD13" s="90">
        <f t="shared" si="31"/>
        <v>392</v>
      </c>
      <c r="AE13" s="90">
        <f t="shared" si="32"/>
        <v>149</v>
      </c>
      <c r="AF13" s="90">
        <f t="shared" si="33"/>
        <v>154</v>
      </c>
      <c r="AG13" s="90">
        <f t="shared" si="33"/>
        <v>45</v>
      </c>
      <c r="AH13" s="90">
        <f t="shared" si="34"/>
        <v>285</v>
      </c>
      <c r="AI13" s="90">
        <f t="shared" si="35"/>
        <v>86</v>
      </c>
      <c r="AJ13" s="90">
        <f t="shared" si="36"/>
        <v>105</v>
      </c>
      <c r="AK13" s="90">
        <f t="shared" si="36"/>
        <v>78</v>
      </c>
      <c r="AL13" s="90">
        <f t="shared" si="37"/>
        <v>308</v>
      </c>
      <c r="AM13" s="90">
        <f t="shared" si="38"/>
        <v>125</v>
      </c>
      <c r="AN13" s="90">
        <f t="shared" si="39"/>
        <v>21</v>
      </c>
      <c r="AO13" s="90">
        <f t="shared" si="4"/>
        <v>55</v>
      </c>
      <c r="AP13" s="90">
        <f t="shared" si="40"/>
        <v>11</v>
      </c>
      <c r="AQ13" s="90">
        <f t="shared" si="5"/>
        <v>21</v>
      </c>
      <c r="AR13" s="90">
        <f t="shared" si="41"/>
        <v>122.925</v>
      </c>
      <c r="AS13" s="90">
        <f t="shared" si="42"/>
        <v>175.92499999999995</v>
      </c>
      <c r="AT13" s="90">
        <f t="shared" si="43"/>
        <v>730.92499999999995</v>
      </c>
      <c r="AU13" s="90">
        <f t="shared" si="44"/>
        <v>271</v>
      </c>
      <c r="AV13" s="90">
        <f t="shared" si="66"/>
        <v>15</v>
      </c>
      <c r="AW13" s="90">
        <f t="shared" si="45"/>
        <v>284</v>
      </c>
      <c r="AX13" s="90">
        <f t="shared" si="67"/>
        <v>25</v>
      </c>
      <c r="AY13" s="90" t="str">
        <f t="shared" si="46"/>
        <v/>
      </c>
      <c r="AZ13" s="90">
        <f t="shared" si="47"/>
        <v>253</v>
      </c>
      <c r="BA13" s="90">
        <v>50</v>
      </c>
      <c r="BB13" s="90">
        <f t="shared" si="48"/>
        <v>107</v>
      </c>
      <c r="BC13" s="90">
        <f t="shared" si="48"/>
        <v>571</v>
      </c>
      <c r="BD13" s="91">
        <f t="shared" si="49"/>
        <v>126</v>
      </c>
      <c r="BE13" s="90"/>
      <c r="BF13" s="90"/>
      <c r="BG13" s="90">
        <f t="shared" si="6"/>
        <v>1057</v>
      </c>
      <c r="BH13" s="90">
        <f>BL13-FC13</f>
        <v>2399.0999999999767</v>
      </c>
      <c r="BI13" s="90">
        <f t="shared" si="51"/>
        <v>1768.2749999999996</v>
      </c>
      <c r="BJ13" s="90">
        <f t="shared" si="7"/>
        <v>4182.7250000000004</v>
      </c>
      <c r="BK13" s="92"/>
      <c r="BL13" s="93">
        <f t="shared" si="52"/>
        <v>8350.0999999999767</v>
      </c>
      <c r="BM13" s="93">
        <f t="shared" si="53"/>
        <v>60467</v>
      </c>
      <c r="BN13" s="92"/>
      <c r="BO13" s="94">
        <f t="shared" si="54"/>
        <v>0.10992938628014723</v>
      </c>
      <c r="BP13" s="94">
        <f t="shared" si="54"/>
        <v>1.0342040946092798E-2</v>
      </c>
      <c r="BQ13" s="94">
        <f t="shared" si="55"/>
        <v>0.4118735887272621</v>
      </c>
      <c r="BR13" s="94">
        <f t="shared" si="68"/>
        <v>0.80277380770370665</v>
      </c>
      <c r="BS13" s="94">
        <f t="shared" si="8"/>
        <v>0</v>
      </c>
      <c r="BT13" s="94">
        <f t="shared" si="8"/>
        <v>8.2447039710110415E-2</v>
      </c>
      <c r="BU13" s="95">
        <f t="shared" si="8"/>
        <v>1.3370884825969487</v>
      </c>
      <c r="BV13" s="94">
        <f t="shared" si="9"/>
        <v>9.2980421657036516E-2</v>
      </c>
      <c r="BW13" s="94">
        <f t="shared" si="9"/>
        <v>8.7475001953659353E-3</v>
      </c>
      <c r="BX13" s="94">
        <f t="shared" si="9"/>
        <v>0.34837072456369933</v>
      </c>
      <c r="BY13" s="94">
        <f t="shared" si="56"/>
        <v>0.67900176341651675</v>
      </c>
      <c r="BZ13" s="95">
        <f t="shared" si="10"/>
        <v>1.1309355497337441</v>
      </c>
      <c r="CA13" s="96" t="e">
        <f>#REF!</f>
        <v>#REF!</v>
      </c>
      <c r="CB13" s="94">
        <f t="shared" si="11"/>
        <v>7.5194857448626404E-2</v>
      </c>
      <c r="CC13" s="95">
        <f t="shared" si="11"/>
        <v>0.10761566236851411</v>
      </c>
      <c r="CD13" s="97">
        <f t="shared" si="12"/>
        <v>0.2463956678460118</v>
      </c>
      <c r="CE13" s="98">
        <f t="shared" si="12"/>
        <v>0.35263093647191063</v>
      </c>
      <c r="CF13" s="94">
        <f t="shared" si="57"/>
        <v>0.59145508705143501</v>
      </c>
      <c r="CG13" s="94">
        <f t="shared" si="57"/>
        <v>6.1833940919013661E-2</v>
      </c>
      <c r="CH13" s="95">
        <f t="shared" si="58"/>
        <v>1.0538654278371022</v>
      </c>
      <c r="CI13" s="96" t="e">
        <f>#REF!</f>
        <v>#REF!</v>
      </c>
      <c r="CJ13" s="94">
        <f t="shared" si="59"/>
        <v>2.1038251366120218</v>
      </c>
      <c r="CK13" s="94">
        <f t="shared" si="59"/>
        <v>0.61475409836065575</v>
      </c>
      <c r="CL13" s="95">
        <f t="shared" si="69"/>
        <v>3.8934426229508197</v>
      </c>
      <c r="CM13" s="95" t="e">
        <f>#REF!</f>
        <v>#REF!</v>
      </c>
      <c r="CN13" s="94">
        <f t="shared" si="60"/>
        <v>1.6334378733572281</v>
      </c>
      <c r="CO13" s="94">
        <f t="shared" si="60"/>
        <v>1.2134109916367981</v>
      </c>
      <c r="CP13" s="95">
        <f t="shared" si="61"/>
        <v>4.7914177618478693</v>
      </c>
      <c r="CQ13" s="95" t="e">
        <f>#REF!</f>
        <v>#REF!</v>
      </c>
      <c r="CR13" s="97">
        <f t="shared" si="70"/>
        <v>6.3997620507519407E-2</v>
      </c>
      <c r="CS13" s="95">
        <f t="shared" si="70"/>
        <v>0.16761281561493177</v>
      </c>
      <c r="CT13" s="96" t="e">
        <f>#REF!</f>
        <v>#REF!</v>
      </c>
      <c r="CU13" s="97">
        <f t="shared" si="71"/>
        <v>2.0178932094224611E-2</v>
      </c>
      <c r="CV13" s="95">
        <f t="shared" si="62"/>
        <v>3.8523415816246978E-2</v>
      </c>
      <c r="CW13" s="96" t="e">
        <f>#REF!</f>
        <v>#REF!</v>
      </c>
      <c r="CX13" s="99">
        <f t="shared" si="63"/>
        <v>0.16577430440169011</v>
      </c>
      <c r="CY13" s="95">
        <f t="shared" si="63"/>
        <v>9.1756995056286039E-3</v>
      </c>
      <c r="CZ13" s="99">
        <f t="shared" si="63"/>
        <v>0.17372657730656824</v>
      </c>
      <c r="DA13" s="95">
        <f t="shared" si="63"/>
        <v>1.5292832509381005E-2</v>
      </c>
      <c r="DB13" s="94">
        <f t="shared" si="13"/>
        <v>0.15476346499493576</v>
      </c>
      <c r="DC13" s="94">
        <f t="shared" si="14"/>
        <v>6.5453323140150704E-2</v>
      </c>
      <c r="DD13" s="94">
        <f t="shared" si="14"/>
        <v>0.34928829451426219</v>
      </c>
      <c r="DE13" s="94">
        <f t="shared" si="14"/>
        <v>7.7075875847280262E-2</v>
      </c>
      <c r="DF13" s="94">
        <f t="shared" si="14"/>
        <v>0</v>
      </c>
      <c r="DG13" s="94">
        <f t="shared" si="14"/>
        <v>0</v>
      </c>
      <c r="DH13" s="95">
        <f t="shared" si="14"/>
        <v>0.64658095849662889</v>
      </c>
      <c r="DI13" s="96" t="e">
        <f>#REF!</f>
        <v>#REF!</v>
      </c>
      <c r="DJ13" s="95">
        <f t="shared" si="64"/>
        <v>1.4675613789302246</v>
      </c>
      <c r="DK13" s="96" t="e">
        <f>#REF!</f>
        <v>#REF!</v>
      </c>
      <c r="DL13" s="95">
        <f t="shared" si="15"/>
        <v>1.0816773362210277</v>
      </c>
      <c r="DM13" s="96">
        <f t="shared" si="16"/>
        <v>0</v>
      </c>
      <c r="DN13" s="94">
        <f t="shared" si="17"/>
        <v>2.5586285143120269</v>
      </c>
      <c r="DO13" s="100">
        <v>3.4</v>
      </c>
      <c r="DP13" s="94">
        <f t="shared" si="72"/>
        <v>5.1078672294632792</v>
      </c>
      <c r="DQ13" s="94">
        <f t="shared" si="73"/>
        <v>3.9073678979992366</v>
      </c>
      <c r="DR13" s="101" t="str">
        <f t="shared" si="18"/>
        <v>3,30 hL/NhL</v>
      </c>
      <c r="DS13" s="116"/>
      <c r="DT13" s="134">
        <v>8</v>
      </c>
      <c r="DU13" s="120">
        <v>608245</v>
      </c>
      <c r="DV13" s="120">
        <v>23213</v>
      </c>
      <c r="DW13" s="120">
        <v>5095078</v>
      </c>
      <c r="DX13" s="120">
        <v>101304</v>
      </c>
      <c r="DY13" s="120">
        <v>80530</v>
      </c>
      <c r="DZ13" s="120">
        <v>364282</v>
      </c>
      <c r="EA13" s="120">
        <v>211252</v>
      </c>
      <c r="EB13" s="120">
        <v>48078</v>
      </c>
      <c r="EC13" s="120">
        <v>370705</v>
      </c>
      <c r="ED13" s="120">
        <v>44157</v>
      </c>
      <c r="EE13" s="120">
        <v>36139</v>
      </c>
      <c r="EF13" s="120">
        <v>37844</v>
      </c>
      <c r="EG13" s="120">
        <v>88924</v>
      </c>
      <c r="EH13" s="120">
        <v>175317</v>
      </c>
      <c r="EI13" s="120">
        <v>28946</v>
      </c>
      <c r="EJ13" s="120">
        <v>37360</v>
      </c>
      <c r="EK13" s="120"/>
      <c r="EL13" s="120">
        <v>679287</v>
      </c>
      <c r="EM13" s="120">
        <v>5695</v>
      </c>
      <c r="EN13" s="120">
        <v>39812</v>
      </c>
      <c r="EO13" s="120">
        <v>2854355</v>
      </c>
      <c r="EP13" s="120">
        <v>2633859</v>
      </c>
      <c r="EQ13" s="120">
        <v>0</v>
      </c>
      <c r="ER13" s="120">
        <v>1140</v>
      </c>
      <c r="ES13" s="120">
        <v>280302</v>
      </c>
      <c r="ET13" s="120">
        <v>1505535</v>
      </c>
      <c r="EU13" s="120">
        <v>376180</v>
      </c>
      <c r="EV13" s="120">
        <v>111448</v>
      </c>
      <c r="EW13" s="120">
        <v>70148</v>
      </c>
      <c r="EX13" s="120">
        <v>197122</v>
      </c>
      <c r="EY13" s="120">
        <v>1568080</v>
      </c>
      <c r="EZ13" s="120">
        <v>702899</v>
      </c>
      <c r="FA13" s="149">
        <v>719844</v>
      </c>
      <c r="FB13" s="77">
        <v>29464</v>
      </c>
      <c r="FC13" s="76">
        <v>5951</v>
      </c>
      <c r="FD13" s="104">
        <f t="shared" si="19"/>
        <v>7071.0999999999767</v>
      </c>
      <c r="FE13" s="105">
        <f t="shared" si="20"/>
        <v>0</v>
      </c>
      <c r="FF13" s="105">
        <f t="shared" si="20"/>
        <v>522</v>
      </c>
      <c r="FG13" s="105">
        <f t="shared" si="20"/>
        <v>2460</v>
      </c>
      <c r="FH13" s="105">
        <f t="shared" si="20"/>
        <v>693</v>
      </c>
      <c r="FI13" s="105">
        <f t="shared" si="20"/>
        <v>578</v>
      </c>
      <c r="FJ13" s="105">
        <f t="shared" si="20"/>
        <v>764</v>
      </c>
      <c r="FK13" s="105">
        <f t="shared" si="20"/>
        <v>0</v>
      </c>
      <c r="FL13" s="105">
        <f t="shared" si="20"/>
        <v>2054.0999999999767</v>
      </c>
      <c r="FM13" s="105">
        <v>0</v>
      </c>
      <c r="FN13" s="80">
        <f t="shared" si="74"/>
        <v>1279</v>
      </c>
      <c r="FO13" s="104">
        <f>FO12+1279</f>
        <v>59827</v>
      </c>
      <c r="FP13" s="132" t="s">
        <v>180</v>
      </c>
      <c r="FX13" s="64"/>
      <c r="FY13" s="119">
        <v>8</v>
      </c>
      <c r="FZ13" s="107"/>
      <c r="GA13" s="107"/>
      <c r="GB13" s="108"/>
      <c r="GC13" s="109"/>
      <c r="GD13" s="110"/>
      <c r="GE13" s="110"/>
      <c r="GF13" s="111"/>
      <c r="GG13" s="111"/>
      <c r="GH13" s="111"/>
      <c r="GI13" s="112"/>
      <c r="GJ13" s="111" t="e">
        <f t="shared" si="65"/>
        <v>#DIV/0!</v>
      </c>
      <c r="GK13" s="113"/>
    </row>
    <row r="14" spans="1:194" s="141" customFormat="1" ht="15" customHeight="1">
      <c r="B14" s="573">
        <v>42803</v>
      </c>
      <c r="D14" s="301">
        <v>6000.96</v>
      </c>
      <c r="E14" s="131">
        <v>2977.56</v>
      </c>
      <c r="F14" s="131">
        <v>1569.1679999999999</v>
      </c>
      <c r="G14" s="308">
        <v>4485.78</v>
      </c>
      <c r="H14" s="308">
        <v>6853.3159999999998</v>
      </c>
      <c r="I14" s="308">
        <v>2185.9549999999999</v>
      </c>
      <c r="J14" s="308">
        <v>4003.2000000000003</v>
      </c>
      <c r="K14" s="308">
        <v>17.146999999999998</v>
      </c>
      <c r="L14" s="308"/>
      <c r="M14" s="115">
        <f>I14+J14</f>
        <v>6189.1550000000007</v>
      </c>
      <c r="N14" s="88">
        <f>SUM(D14:H14)</f>
        <v>21886.784</v>
      </c>
      <c r="O14" s="88">
        <f>N14+L14+K14+((J14+I14)*0.5)</f>
        <v>24998.5085</v>
      </c>
      <c r="P14" s="89">
        <f t="shared" si="23"/>
        <v>179749.74149999997</v>
      </c>
      <c r="R14" s="90">
        <f t="shared" si="24"/>
        <v>251</v>
      </c>
      <c r="S14" s="90">
        <f t="shared" si="25"/>
        <v>16.3</v>
      </c>
      <c r="T14" s="90">
        <f t="shared" si="1"/>
        <v>396.5</v>
      </c>
      <c r="U14" s="90">
        <f t="shared" si="75"/>
        <v>5.3</v>
      </c>
      <c r="V14" s="90">
        <f t="shared" si="26"/>
        <v>1536</v>
      </c>
      <c r="W14" s="91">
        <f t="shared" si="2"/>
        <v>355.6</v>
      </c>
      <c r="X14" s="90">
        <f t="shared" si="27"/>
        <v>1536</v>
      </c>
      <c r="Y14" s="90" t="str">
        <f t="shared" si="28"/>
        <v>0</v>
      </c>
      <c r="Z14" s="90">
        <f t="shared" si="3"/>
        <v>164.2</v>
      </c>
      <c r="AA14" s="90">
        <f t="shared" si="29"/>
        <v>2205.1</v>
      </c>
      <c r="AB14" s="90">
        <f t="shared" si="30"/>
        <v>271</v>
      </c>
      <c r="AC14" s="90">
        <f t="shared" si="30"/>
        <v>14</v>
      </c>
      <c r="AD14" s="90">
        <f t="shared" si="31"/>
        <v>472</v>
      </c>
      <c r="AE14" s="90">
        <f t="shared" si="32"/>
        <v>187</v>
      </c>
      <c r="AF14" s="90">
        <f t="shared" si="33"/>
        <v>202</v>
      </c>
      <c r="AG14" s="90">
        <f t="shared" si="33"/>
        <v>17</v>
      </c>
      <c r="AH14" s="90">
        <f t="shared" si="34"/>
        <v>306</v>
      </c>
      <c r="AI14" s="90">
        <f t="shared" si="35"/>
        <v>87</v>
      </c>
      <c r="AJ14" s="90">
        <f t="shared" si="36"/>
        <v>129</v>
      </c>
      <c r="AK14" s="90">
        <f t="shared" si="36"/>
        <v>36</v>
      </c>
      <c r="AL14" s="90">
        <f t="shared" si="37"/>
        <v>229</v>
      </c>
      <c r="AM14" s="90">
        <f t="shared" si="38"/>
        <v>64</v>
      </c>
      <c r="AN14" s="90">
        <f t="shared" si="39"/>
        <v>16</v>
      </c>
      <c r="AO14" s="90">
        <f t="shared" si="4"/>
        <v>59</v>
      </c>
      <c r="AP14" s="90">
        <f t="shared" si="40"/>
        <v>22</v>
      </c>
      <c r="AQ14" s="90">
        <f t="shared" si="5"/>
        <v>36</v>
      </c>
      <c r="AR14" s="90">
        <f t="shared" si="41"/>
        <v>62.317</v>
      </c>
      <c r="AS14" s="90">
        <f t="shared" si="42"/>
        <v>73.317000000000007</v>
      </c>
      <c r="AT14" s="90">
        <f t="shared" si="43"/>
        <v>742.31700000000001</v>
      </c>
      <c r="AU14" s="90">
        <f t="shared" si="44"/>
        <v>262</v>
      </c>
      <c r="AV14" s="90">
        <f t="shared" si="66"/>
        <v>34</v>
      </c>
      <c r="AW14" s="90">
        <f t="shared" si="45"/>
        <v>407</v>
      </c>
      <c r="AX14" s="90">
        <f t="shared" si="67"/>
        <v>36</v>
      </c>
      <c r="AY14" s="90" t="str">
        <f t="shared" si="46"/>
        <v/>
      </c>
      <c r="AZ14" s="90">
        <f t="shared" si="47"/>
        <v>374</v>
      </c>
      <c r="BA14" s="90">
        <v>66</v>
      </c>
      <c r="BB14" s="90">
        <f t="shared" si="48"/>
        <v>142</v>
      </c>
      <c r="BC14" s="90">
        <f t="shared" si="48"/>
        <v>1016</v>
      </c>
      <c r="BD14" s="91">
        <f t="shared" si="49"/>
        <v>441</v>
      </c>
      <c r="BE14" s="90"/>
      <c r="BF14" s="90"/>
      <c r="BG14" s="90">
        <f t="shared" si="6"/>
        <v>1973</v>
      </c>
      <c r="BH14" s="90">
        <f t="shared" si="50"/>
        <v>-555</v>
      </c>
      <c r="BI14" s="90">
        <f t="shared" si="51"/>
        <v>2158.5829999999996</v>
      </c>
      <c r="BJ14" s="90">
        <f t="shared" si="7"/>
        <v>5423.4170000000004</v>
      </c>
      <c r="BK14" s="92"/>
      <c r="BL14" s="93">
        <f>FD14+FN14</f>
        <v>7027</v>
      </c>
      <c r="BM14" s="93">
        <f t="shared" si="53"/>
        <v>67494</v>
      </c>
      <c r="BN14" s="92"/>
      <c r="BO14" s="94">
        <f t="shared" si="54"/>
        <v>0.11468107877338214</v>
      </c>
      <c r="BP14" s="94">
        <f t="shared" si="54"/>
        <v>7.4474166693471282E-3</v>
      </c>
      <c r="BQ14" s="94">
        <f t="shared" si="55"/>
        <v>0.18115955272368933</v>
      </c>
      <c r="BR14" s="94">
        <f t="shared" si="68"/>
        <v>0.70179337448571699</v>
      </c>
      <c r="BS14" s="94">
        <f t="shared" si="8"/>
        <v>0</v>
      </c>
      <c r="BT14" s="94">
        <f t="shared" si="8"/>
        <v>7.5022442767288242E-2</v>
      </c>
      <c r="BU14" s="95">
        <f t="shared" si="8"/>
        <v>1.0075029753114939</v>
      </c>
      <c r="BV14" s="94">
        <f t="shared" si="9"/>
        <v>0.10040599022137661</v>
      </c>
      <c r="BW14" s="94">
        <f t="shared" si="9"/>
        <v>6.520389006408122E-3</v>
      </c>
      <c r="BX14" s="94">
        <f t="shared" si="9"/>
        <v>0.15860946264054113</v>
      </c>
      <c r="BY14" s="94">
        <f t="shared" si="56"/>
        <v>0.61443665729097396</v>
      </c>
      <c r="BZ14" s="95">
        <f t="shared" si="10"/>
        <v>0.88209262564604596</v>
      </c>
      <c r="CA14" s="96" t="e">
        <f>#REF!</f>
        <v>#REF!</v>
      </c>
      <c r="CB14" s="94">
        <f t="shared" si="11"/>
        <v>2.4928287221615643E-2</v>
      </c>
      <c r="CC14" s="95">
        <f t="shared" si="11"/>
        <v>2.9328549741277566E-2</v>
      </c>
      <c r="CD14" s="97">
        <f t="shared" si="12"/>
        <v>0.10068741209421964</v>
      </c>
      <c r="CE14" s="98">
        <f t="shared" si="12"/>
        <v>0.11846043603690649</v>
      </c>
      <c r="CF14" s="94">
        <f t="shared" si="57"/>
        <v>0.45159441156081692</v>
      </c>
      <c r="CG14" s="94">
        <f t="shared" si="57"/>
        <v>2.3329600597237772E-2</v>
      </c>
      <c r="CH14" s="95">
        <f t="shared" si="58"/>
        <v>0.78654082013544502</v>
      </c>
      <c r="CI14" s="96" t="e">
        <f>#REF!</f>
        <v>#REF!</v>
      </c>
      <c r="CJ14" s="94">
        <f t="shared" si="59"/>
        <v>0.67840782385577447</v>
      </c>
      <c r="CK14" s="94">
        <f t="shared" si="59"/>
        <v>5.7093727750238452E-2</v>
      </c>
      <c r="CL14" s="95">
        <f t="shared" si="69"/>
        <v>1.0276870995042922</v>
      </c>
      <c r="CM14" s="95" t="e">
        <f>#REF!</f>
        <v>#REF!</v>
      </c>
      <c r="CN14" s="94">
        <f t="shared" si="60"/>
        <v>0.82209170719769975</v>
      </c>
      <c r="CO14" s="94">
        <f t="shared" si="60"/>
        <v>0.22942094154354412</v>
      </c>
      <c r="CP14" s="95">
        <f t="shared" si="61"/>
        <v>1.4593721003742111</v>
      </c>
      <c r="CQ14" s="95" t="e">
        <f>#REF!</f>
        <v>#REF!</v>
      </c>
      <c r="CR14" s="97">
        <f t="shared" si="70"/>
        <v>3.5668267280160863E-2</v>
      </c>
      <c r="CS14" s="95">
        <f t="shared" si="70"/>
        <v>0.13152673559559319</v>
      </c>
      <c r="CT14" s="96" t="e">
        <f>#REF!</f>
        <v>#REF!</v>
      </c>
      <c r="CU14" s="97">
        <f t="shared" si="71"/>
        <v>3.2101248505103222E-2</v>
      </c>
      <c r="CV14" s="95">
        <f t="shared" si="62"/>
        <v>5.2529315735623458E-2</v>
      </c>
      <c r="CW14" s="96" t="e">
        <f>#REF!</f>
        <v>#REF!</v>
      </c>
      <c r="CX14" s="99">
        <f t="shared" si="63"/>
        <v>0.10480625274103852</v>
      </c>
      <c r="CY14" s="95">
        <f t="shared" si="63"/>
        <v>1.3600811424409581E-2</v>
      </c>
      <c r="CZ14" s="99">
        <f t="shared" si="63"/>
        <v>0.16280971322749113</v>
      </c>
      <c r="DA14" s="95">
        <f t="shared" si="63"/>
        <v>1.4400859155257203E-2</v>
      </c>
      <c r="DB14" s="94">
        <f t="shared" si="13"/>
        <v>0.14960892566850539</v>
      </c>
      <c r="DC14" s="94">
        <f t="shared" si="14"/>
        <v>5.6803388890181189E-2</v>
      </c>
      <c r="DD14" s="94">
        <f t="shared" si="14"/>
        <v>0.40642424727059212</v>
      </c>
      <c r="DE14" s="94">
        <f t="shared" si="14"/>
        <v>0.17641052465190074</v>
      </c>
      <c r="DF14" s="94">
        <f t="shared" si="14"/>
        <v>0</v>
      </c>
      <c r="DG14" s="94">
        <f t="shared" si="14"/>
        <v>0</v>
      </c>
      <c r="DH14" s="95">
        <f t="shared" si="14"/>
        <v>0.78924708648117947</v>
      </c>
      <c r="DI14" s="96" t="e">
        <f>#REF!</f>
        <v>#REF!</v>
      </c>
      <c r="DJ14" s="95">
        <f t="shared" si="64"/>
        <v>-0.22201324531021521</v>
      </c>
      <c r="DK14" s="96" t="e">
        <f>#REF!</f>
        <v>#REF!</v>
      </c>
      <c r="DL14" s="95">
        <f t="shared" si="15"/>
        <v>0.86348471549812644</v>
      </c>
      <c r="DM14" s="96">
        <f t="shared" si="16"/>
        <v>0</v>
      </c>
      <c r="DN14" s="94">
        <f t="shared" si="17"/>
        <v>2.1694962321452098</v>
      </c>
      <c r="DO14" s="100">
        <v>3.4</v>
      </c>
      <c r="DP14" s="94">
        <f t="shared" si="72"/>
        <v>2.8109677023331212</v>
      </c>
      <c r="DQ14" s="94">
        <f t="shared" si="73"/>
        <v>3.7548871801854582</v>
      </c>
      <c r="DR14" s="101" t="str">
        <f t="shared" si="18"/>
        <v>3,30 hL/NhL</v>
      </c>
      <c r="DT14" s="142">
        <v>9</v>
      </c>
      <c r="DU14" s="135">
        <v>608516</v>
      </c>
      <c r="DV14" s="143" t="s">
        <v>181</v>
      </c>
      <c r="DW14" s="135">
        <v>5095550</v>
      </c>
      <c r="DX14" s="136">
        <v>101506</v>
      </c>
      <c r="DY14" s="136">
        <v>80547</v>
      </c>
      <c r="DZ14" s="136">
        <v>364588</v>
      </c>
      <c r="EA14" s="136">
        <v>211381</v>
      </c>
      <c r="EB14" s="136">
        <v>48114</v>
      </c>
      <c r="EC14" s="136">
        <v>370934</v>
      </c>
      <c r="ED14" s="135">
        <v>44173</v>
      </c>
      <c r="EE14" s="136">
        <v>36181</v>
      </c>
      <c r="EF14" s="136">
        <v>37861</v>
      </c>
      <c r="EG14" s="135">
        <v>88946</v>
      </c>
      <c r="EH14" s="135">
        <v>175353</v>
      </c>
      <c r="EI14" s="135">
        <v>28980</v>
      </c>
      <c r="EJ14" s="136">
        <v>37396</v>
      </c>
      <c r="EK14" s="136"/>
      <c r="EL14" s="135">
        <v>679538</v>
      </c>
      <c r="EM14" s="136">
        <v>3965</v>
      </c>
      <c r="EN14" s="136">
        <v>39865</v>
      </c>
      <c r="EO14" s="135">
        <v>2855891</v>
      </c>
      <c r="EP14" s="136">
        <v>2637415</v>
      </c>
      <c r="EQ14" s="136">
        <v>0</v>
      </c>
      <c r="ER14" s="136">
        <v>1642</v>
      </c>
      <c r="ES14" s="144">
        <v>280982</v>
      </c>
      <c r="ET14" s="136">
        <v>1567852</v>
      </c>
      <c r="EU14" s="136">
        <v>376587</v>
      </c>
      <c r="EV14" s="136">
        <v>111710</v>
      </c>
      <c r="EW14" s="136">
        <v>70522</v>
      </c>
      <c r="EX14" s="135">
        <v>197264</v>
      </c>
      <c r="EY14" s="135">
        <v>1569096</v>
      </c>
      <c r="EZ14" s="140">
        <v>703062</v>
      </c>
      <c r="FA14" s="140">
        <v>720285</v>
      </c>
      <c r="FB14" s="145">
        <v>29558</v>
      </c>
      <c r="FC14" s="146">
        <v>7582</v>
      </c>
      <c r="FD14" s="104">
        <f t="shared" ref="FD14:FD32" si="76">SUM(FE14:FM14)</f>
        <v>6327</v>
      </c>
      <c r="FE14" s="105">
        <f t="shared" si="20"/>
        <v>0</v>
      </c>
      <c r="FF14" s="105">
        <f t="shared" si="20"/>
        <v>666</v>
      </c>
      <c r="FG14" s="105">
        <f t="shared" si="20"/>
        <v>1303</v>
      </c>
      <c r="FH14" s="105">
        <f t="shared" si="20"/>
        <v>2273</v>
      </c>
      <c r="FI14" s="105">
        <f t="shared" si="20"/>
        <v>684</v>
      </c>
      <c r="FJ14" s="105">
        <f t="shared" si="20"/>
        <v>872</v>
      </c>
      <c r="FK14" s="105">
        <f t="shared" si="20"/>
        <v>0</v>
      </c>
      <c r="FL14" s="105">
        <f t="shared" si="20"/>
        <v>529</v>
      </c>
      <c r="FM14" s="105">
        <f t="shared" si="20"/>
        <v>0</v>
      </c>
      <c r="FN14" s="80">
        <f t="shared" si="74"/>
        <v>700</v>
      </c>
      <c r="FO14" s="136">
        <f>FO13+700</f>
        <v>60527</v>
      </c>
      <c r="FP14" s="132" t="s">
        <v>182</v>
      </c>
      <c r="FX14" s="64"/>
      <c r="FY14" s="141">
        <v>9</v>
      </c>
      <c r="FZ14" s="107"/>
      <c r="GA14" s="107"/>
      <c r="GB14" s="108"/>
      <c r="GC14" s="109"/>
      <c r="GD14" s="110"/>
      <c r="GE14" s="110"/>
      <c r="GF14" s="111"/>
      <c r="GG14" s="111"/>
      <c r="GH14" s="111"/>
      <c r="GI14" s="112"/>
      <c r="GJ14" s="111" t="e">
        <f t="shared" si="65"/>
        <v>#DIV/0!</v>
      </c>
      <c r="GK14" s="113"/>
    </row>
    <row r="15" spans="1:194" s="119" customFormat="1" ht="15" customHeight="1">
      <c r="A15" s="119" t="s">
        <v>125</v>
      </c>
      <c r="B15" s="573">
        <v>42804</v>
      </c>
      <c r="D15" s="131">
        <v>4946.3999999999996</v>
      </c>
      <c r="E15" s="131">
        <v>3514.2</v>
      </c>
      <c r="F15" s="131">
        <v>3027.0239999999999</v>
      </c>
      <c r="G15" s="308">
        <v>5567.16</v>
      </c>
      <c r="H15" s="308">
        <v>8038.0669999999991</v>
      </c>
      <c r="I15" s="308">
        <v>1322.374</v>
      </c>
      <c r="J15" s="308">
        <v>5781.5999999999995</v>
      </c>
      <c r="K15" s="308">
        <v>21.331</v>
      </c>
      <c r="L15" s="321"/>
      <c r="M15" s="115">
        <f t="shared" si="21"/>
        <v>7103.9739999999993</v>
      </c>
      <c r="N15" s="88">
        <f t="shared" si="0"/>
        <v>25092.850999999999</v>
      </c>
      <c r="O15" s="88">
        <f t="shared" si="22"/>
        <v>28644.838</v>
      </c>
      <c r="P15" s="89">
        <f t="shared" si="23"/>
        <v>208394.57949999996</v>
      </c>
      <c r="R15" s="90">
        <f t="shared" si="24"/>
        <v>278</v>
      </c>
      <c r="S15" s="90">
        <f t="shared" si="25"/>
        <v>2</v>
      </c>
      <c r="T15" s="90">
        <f t="shared" si="1"/>
        <v>325.5</v>
      </c>
      <c r="U15" s="90">
        <f t="shared" si="75"/>
        <v>5.6</v>
      </c>
      <c r="V15" s="90">
        <f t="shared" si="26"/>
        <v>1675</v>
      </c>
      <c r="W15" s="91">
        <f t="shared" si="2"/>
        <v>306.8</v>
      </c>
      <c r="X15" s="90">
        <f t="shared" si="27"/>
        <v>1675</v>
      </c>
      <c r="Y15" s="90" t="str">
        <f t="shared" si="28"/>
        <v>0</v>
      </c>
      <c r="Z15" s="90">
        <f t="shared" si="3"/>
        <v>201.5</v>
      </c>
      <c r="AA15" s="90">
        <f t="shared" si="29"/>
        <v>2286.1</v>
      </c>
      <c r="AB15" s="90">
        <f t="shared" si="30"/>
        <v>234</v>
      </c>
      <c r="AC15" s="90">
        <f t="shared" si="30"/>
        <v>34</v>
      </c>
      <c r="AD15" s="90">
        <f t="shared" si="31"/>
        <v>434</v>
      </c>
      <c r="AE15" s="90">
        <f t="shared" si="32"/>
        <v>166</v>
      </c>
      <c r="AF15" s="90">
        <f t="shared" si="33"/>
        <v>201</v>
      </c>
      <c r="AG15" s="90">
        <f t="shared" si="33"/>
        <v>51</v>
      </c>
      <c r="AH15" s="90">
        <f t="shared" si="34"/>
        <v>355</v>
      </c>
      <c r="AI15" s="90">
        <f t="shared" si="35"/>
        <v>103</v>
      </c>
      <c r="AJ15" s="90">
        <f t="shared" si="36"/>
        <v>228</v>
      </c>
      <c r="AK15" s="90">
        <f t="shared" si="36"/>
        <v>53</v>
      </c>
      <c r="AL15" s="90">
        <f t="shared" si="37"/>
        <v>341</v>
      </c>
      <c r="AM15" s="90">
        <f t="shared" si="38"/>
        <v>60</v>
      </c>
      <c r="AN15" s="90">
        <f t="shared" si="39"/>
        <v>34</v>
      </c>
      <c r="AO15" s="90">
        <f t="shared" si="4"/>
        <v>72</v>
      </c>
      <c r="AP15" s="90">
        <f t="shared" si="40"/>
        <v>15</v>
      </c>
      <c r="AQ15" s="90">
        <f t="shared" si="5"/>
        <v>27</v>
      </c>
      <c r="AR15" s="90">
        <f t="shared" si="41"/>
        <v>86.465000000000003</v>
      </c>
      <c r="AS15" s="90">
        <f t="shared" si="42"/>
        <v>122.46500000000003</v>
      </c>
      <c r="AT15" s="90">
        <f t="shared" si="43"/>
        <v>773.46500000000003</v>
      </c>
      <c r="AU15" s="90">
        <f t="shared" si="44"/>
        <v>147</v>
      </c>
      <c r="AV15" s="90">
        <f t="shared" si="66"/>
        <v>19</v>
      </c>
      <c r="AW15" s="90">
        <f t="shared" si="45"/>
        <v>504</v>
      </c>
      <c r="AX15" s="90">
        <f t="shared" si="67"/>
        <v>39</v>
      </c>
      <c r="AY15" s="90" t="str">
        <f t="shared" si="46"/>
        <v/>
      </c>
      <c r="AZ15" s="90">
        <f t="shared" si="47"/>
        <v>424</v>
      </c>
      <c r="BA15" s="90">
        <v>73</v>
      </c>
      <c r="BB15" s="90">
        <f t="shared" si="48"/>
        <v>135</v>
      </c>
      <c r="BC15" s="90">
        <f t="shared" si="48"/>
        <v>1166</v>
      </c>
      <c r="BD15" s="91">
        <f t="shared" si="49"/>
        <v>384</v>
      </c>
      <c r="BE15" s="90"/>
      <c r="BF15" s="90"/>
      <c r="BG15" s="90">
        <f t="shared" si="6"/>
        <v>2109</v>
      </c>
      <c r="BH15" s="90">
        <f t="shared" si="50"/>
        <v>398</v>
      </c>
      <c r="BI15" s="90">
        <f>IF(FC15=0,"",(FC15-BJ15))</f>
        <v>1819.4349999999995</v>
      </c>
      <c r="BJ15" s="90">
        <f t="shared" si="7"/>
        <v>5804.5650000000005</v>
      </c>
      <c r="BK15" s="92"/>
      <c r="BL15" s="93">
        <f>FD15+FN15</f>
        <v>8022</v>
      </c>
      <c r="BM15" s="93">
        <f t="shared" si="53"/>
        <v>75516</v>
      </c>
      <c r="BN15" s="92"/>
      <c r="BO15" s="94">
        <f t="shared" si="54"/>
        <v>0.11078852697925795</v>
      </c>
      <c r="BP15" s="94">
        <f t="shared" si="54"/>
        <v>7.9703976244070479E-4</v>
      </c>
      <c r="BQ15" s="94">
        <f t="shared" si="55"/>
        <v>0.12971822133722469</v>
      </c>
      <c r="BR15" s="94">
        <f t="shared" si="68"/>
        <v>0.66752080104409028</v>
      </c>
      <c r="BS15" s="94">
        <f t="shared" si="8"/>
        <v>0</v>
      </c>
      <c r="BT15" s="94">
        <f t="shared" si="8"/>
        <v>8.0301756065900995E-2</v>
      </c>
      <c r="BU15" s="95">
        <f t="shared" si="8"/>
        <v>0.91105630045784758</v>
      </c>
      <c r="BV15" s="94">
        <f t="shared" si="9"/>
        <v>9.7050644866624847E-2</v>
      </c>
      <c r="BW15" s="94">
        <f t="shared" si="9"/>
        <v>6.9820607817715707E-4</v>
      </c>
      <c r="BX15" s="94">
        <f t="shared" si="9"/>
        <v>0.11363303922333232</v>
      </c>
      <c r="BY15" s="94">
        <f t="shared" si="56"/>
        <v>0.58474759047336911</v>
      </c>
      <c r="BZ15" s="95">
        <f t="shared" si="10"/>
        <v>0.79808445766039937</v>
      </c>
      <c r="CA15" s="96" t="e">
        <f>#REF!</f>
        <v>#REF!</v>
      </c>
      <c r="CB15" s="94">
        <f t="shared" si="11"/>
        <v>3.0185194274793947E-2</v>
      </c>
      <c r="CC15" s="95">
        <f t="shared" si="11"/>
        <v>4.2752903681982785E-2</v>
      </c>
      <c r="CD15" s="97">
        <f t="shared" si="12"/>
        <v>0.12171356483005148</v>
      </c>
      <c r="CE15" s="98">
        <f t="shared" si="12"/>
        <v>0.1723894259748136</v>
      </c>
      <c r="CF15" s="94">
        <f t="shared" si="57"/>
        <v>0.47307132459970891</v>
      </c>
      <c r="CG15" s="94">
        <f t="shared" si="57"/>
        <v>6.8736859129872235E-2</v>
      </c>
      <c r="CH15" s="95">
        <f t="shared" si="58"/>
        <v>0.87740579006954555</v>
      </c>
      <c r="CI15" s="96" t="e">
        <f>#REF!</f>
        <v>#REF!</v>
      </c>
      <c r="CJ15" s="94">
        <f t="shared" si="59"/>
        <v>0.57196516988219226</v>
      </c>
      <c r="CK15" s="94">
        <f t="shared" si="59"/>
        <v>0.14512549086563087</v>
      </c>
      <c r="CL15" s="95">
        <f t="shared" si="69"/>
        <v>1.0101872403391954</v>
      </c>
      <c r="CM15" s="95" t="e">
        <f>#REF!</f>
        <v>#REF!</v>
      </c>
      <c r="CN15" s="94">
        <f t="shared" si="60"/>
        <v>0.75321503892932462</v>
      </c>
      <c r="CO15" s="94">
        <f t="shared" si="60"/>
        <v>0.17508946080374652</v>
      </c>
      <c r="CP15" s="95">
        <f t="shared" si="61"/>
        <v>1.1265189836618408</v>
      </c>
      <c r="CQ15" s="95" t="e">
        <f>#REF!</f>
        <v>#REF!</v>
      </c>
      <c r="CR15" s="97">
        <f t="shared" si="70"/>
        <v>6.1072431904238424E-2</v>
      </c>
      <c r="CS15" s="95">
        <f t="shared" si="70"/>
        <v>0.12932985579721079</v>
      </c>
      <c r="CT15" s="96" t="e">
        <f>#REF!</f>
        <v>#REF!</v>
      </c>
      <c r="CU15" s="97">
        <f t="shared" si="71"/>
        <v>1.866120299818352E-2</v>
      </c>
      <c r="CV15" s="95">
        <f t="shared" si="62"/>
        <v>3.3590165396730334E-2</v>
      </c>
      <c r="CW15" s="96" t="e">
        <f>#REF!</f>
        <v>#REF!</v>
      </c>
      <c r="CX15" s="99">
        <f t="shared" si="63"/>
        <v>5.1318146746021046E-2</v>
      </c>
      <c r="CY15" s="95">
        <f t="shared" si="63"/>
        <v>6.6329577426829925E-3</v>
      </c>
      <c r="CZ15" s="99">
        <f t="shared" si="63"/>
        <v>0.1759479317006436</v>
      </c>
      <c r="DA15" s="95">
        <f t="shared" si="63"/>
        <v>1.3615018524454563E-2</v>
      </c>
      <c r="DB15" s="94">
        <f t="shared" si="13"/>
        <v>0.1480196885735573</v>
      </c>
      <c r="DC15" s="94">
        <f t="shared" si="14"/>
        <v>4.7128910276958105E-2</v>
      </c>
      <c r="DD15" s="94">
        <f t="shared" si="14"/>
        <v>0.40705414357728259</v>
      </c>
      <c r="DE15" s="94">
        <f t="shared" si="14"/>
        <v>0.13405556701001414</v>
      </c>
      <c r="DF15" s="94">
        <f t="shared" si="14"/>
        <v>0</v>
      </c>
      <c r="DG15" s="94">
        <f t="shared" si="14"/>
        <v>0</v>
      </c>
      <c r="DH15" s="95">
        <f t="shared" si="14"/>
        <v>0.73625830943781212</v>
      </c>
      <c r="DI15" s="96" t="e">
        <f>#REF!</f>
        <v>#REF!</v>
      </c>
      <c r="DJ15" s="95">
        <f t="shared" si="64"/>
        <v>0.13894300955725425</v>
      </c>
      <c r="DK15" s="96" t="e">
        <f>#REF!</f>
        <v>#REF!</v>
      </c>
      <c r="DL15" s="95">
        <f t="shared" si="15"/>
        <v>0.63517028792412777</v>
      </c>
      <c r="DM15" s="96">
        <f t="shared" si="16"/>
        <v>0</v>
      </c>
      <c r="DN15" s="94">
        <f t="shared" si="17"/>
        <v>2.0263912820871952</v>
      </c>
      <c r="DO15" s="100">
        <v>3.4</v>
      </c>
      <c r="DP15" s="94">
        <f t="shared" si="72"/>
        <v>2.8005045795685772</v>
      </c>
      <c r="DQ15" s="94">
        <f t="shared" si="73"/>
        <v>3.6237026980828939</v>
      </c>
      <c r="DR15" s="101" t="str">
        <f t="shared" si="18"/>
        <v>3,30 hL/NhL</v>
      </c>
      <c r="DS15" s="147"/>
      <c r="DT15" s="134">
        <v>10</v>
      </c>
      <c r="DU15" s="76">
        <v>608750</v>
      </c>
      <c r="DV15" s="76">
        <v>23261</v>
      </c>
      <c r="DW15" s="76">
        <v>5095984</v>
      </c>
      <c r="DX15" s="77">
        <v>101707</v>
      </c>
      <c r="DY15" s="77">
        <v>80598</v>
      </c>
      <c r="DZ15" s="77">
        <v>364943</v>
      </c>
      <c r="EA15" s="77">
        <v>211609</v>
      </c>
      <c r="EB15" s="77">
        <v>48167</v>
      </c>
      <c r="EC15" s="77">
        <v>371275</v>
      </c>
      <c r="ED15" s="76">
        <v>44207</v>
      </c>
      <c r="EE15" s="77">
        <v>36221</v>
      </c>
      <c r="EF15" s="77">
        <v>37893</v>
      </c>
      <c r="EG15" s="76">
        <v>88961</v>
      </c>
      <c r="EH15" s="76">
        <v>175380</v>
      </c>
      <c r="EI15" s="76">
        <v>28999</v>
      </c>
      <c r="EJ15" s="77">
        <v>37435</v>
      </c>
      <c r="EK15" s="77"/>
      <c r="EL15" s="76">
        <v>679816</v>
      </c>
      <c r="EM15" s="77">
        <v>3255</v>
      </c>
      <c r="EN15" s="77">
        <v>39921</v>
      </c>
      <c r="EO15" s="76">
        <v>2857566</v>
      </c>
      <c r="EP15" s="77">
        <v>2640483</v>
      </c>
      <c r="EQ15" s="77">
        <v>0</v>
      </c>
      <c r="ER15" s="77">
        <v>2015</v>
      </c>
      <c r="ES15" s="148">
        <v>281669</v>
      </c>
      <c r="ET15" s="77">
        <v>1654317</v>
      </c>
      <c r="EU15" s="77">
        <v>377091</v>
      </c>
      <c r="EV15" s="77">
        <v>111857</v>
      </c>
      <c r="EW15" s="77">
        <v>70946</v>
      </c>
      <c r="EX15" s="76">
        <v>197399</v>
      </c>
      <c r="EY15" s="76">
        <v>1570262</v>
      </c>
      <c r="EZ15" s="149">
        <v>703082</v>
      </c>
      <c r="FA15" s="150">
        <v>720669</v>
      </c>
      <c r="FB15" s="151">
        <v>29449</v>
      </c>
      <c r="FC15" s="127">
        <v>7624</v>
      </c>
      <c r="FD15" s="104">
        <f t="shared" si="76"/>
        <v>7349</v>
      </c>
      <c r="FE15" s="105">
        <f t="shared" si="20"/>
        <v>0</v>
      </c>
      <c r="FF15" s="105">
        <f t="shared" si="20"/>
        <v>454</v>
      </c>
      <c r="FG15" s="105">
        <f t="shared" si="20"/>
        <v>1882</v>
      </c>
      <c r="FH15" s="105">
        <f t="shared" si="20"/>
        <v>2229</v>
      </c>
      <c r="FI15" s="105">
        <f t="shared" si="20"/>
        <v>707</v>
      </c>
      <c r="FJ15" s="105">
        <f t="shared" si="20"/>
        <v>642</v>
      </c>
      <c r="FK15" s="105">
        <f t="shared" si="20"/>
        <v>0</v>
      </c>
      <c r="FL15" s="105">
        <f t="shared" si="20"/>
        <v>1435</v>
      </c>
      <c r="FM15" s="105">
        <f t="shared" si="20"/>
        <v>0</v>
      </c>
      <c r="FN15" s="80">
        <f t="shared" si="74"/>
        <v>673</v>
      </c>
      <c r="FO15" s="136">
        <f>FO14+673</f>
        <v>61200</v>
      </c>
      <c r="FP15" s="106" t="s">
        <v>183</v>
      </c>
      <c r="FX15" s="64"/>
      <c r="FY15" s="119">
        <v>10</v>
      </c>
      <c r="FZ15" s="107"/>
      <c r="GA15" s="107"/>
      <c r="GB15" s="108"/>
      <c r="GC15" s="109"/>
      <c r="GD15" s="110"/>
      <c r="GE15" s="110"/>
      <c r="GF15" s="111"/>
      <c r="GG15" s="111"/>
      <c r="GH15" s="111"/>
      <c r="GI15" s="112"/>
      <c r="GJ15" s="111" t="e">
        <f t="shared" si="65"/>
        <v>#DIV/0!</v>
      </c>
      <c r="GK15" s="113"/>
    </row>
    <row r="16" spans="1:194" s="141" customFormat="1" ht="15" customHeight="1">
      <c r="A16" s="141">
        <v>0</v>
      </c>
      <c r="B16" s="573">
        <v>42805</v>
      </c>
      <c r="D16" s="128">
        <v>4755.6000000000004</v>
      </c>
      <c r="E16" s="128">
        <v>4262.6399999999994</v>
      </c>
      <c r="F16" s="128">
        <v>3089.6640000000002</v>
      </c>
      <c r="G16" s="308">
        <v>6094.2070000000003</v>
      </c>
      <c r="H16" s="308">
        <v>6421.1450000000004</v>
      </c>
      <c r="I16" s="308">
        <v>1107.8520000000001</v>
      </c>
      <c r="J16" s="308">
        <v>6695.2800000000007</v>
      </c>
      <c r="K16" s="308">
        <v>0</v>
      </c>
      <c r="L16" s="321"/>
      <c r="M16" s="115">
        <f t="shared" si="21"/>
        <v>7803.1320000000005</v>
      </c>
      <c r="N16" s="88">
        <f t="shared" si="0"/>
        <v>24623.256000000001</v>
      </c>
      <c r="O16" s="88">
        <f t="shared" si="22"/>
        <v>28524.822</v>
      </c>
      <c r="P16" s="89">
        <f t="shared" si="23"/>
        <v>236919.40149999998</v>
      </c>
      <c r="Q16" s="152"/>
      <c r="R16" s="90">
        <f t="shared" si="24"/>
        <v>307</v>
      </c>
      <c r="S16" s="90">
        <f t="shared" si="25"/>
        <v>0</v>
      </c>
      <c r="T16" s="90">
        <f t="shared" si="1"/>
        <v>117.7</v>
      </c>
      <c r="U16" s="90">
        <f t="shared" si="75"/>
        <v>5.5</v>
      </c>
      <c r="V16" s="90">
        <f t="shared" si="26"/>
        <v>1577</v>
      </c>
      <c r="W16" s="91">
        <f t="shared" si="2"/>
        <v>20266.5</v>
      </c>
      <c r="X16" s="90">
        <f t="shared" si="27"/>
        <v>1577</v>
      </c>
      <c r="Y16" s="90" t="str">
        <f t="shared" si="28"/>
        <v>0</v>
      </c>
      <c r="Z16" s="90">
        <f t="shared" si="3"/>
        <v>159.6</v>
      </c>
      <c r="AA16" s="90">
        <f t="shared" si="29"/>
        <v>2007.2</v>
      </c>
      <c r="AB16" s="90">
        <f t="shared" si="30"/>
        <v>0</v>
      </c>
      <c r="AC16" s="90">
        <f t="shared" si="30"/>
        <v>0</v>
      </c>
      <c r="AD16" s="90">
        <f t="shared" si="31"/>
        <v>364</v>
      </c>
      <c r="AE16" s="90">
        <f t="shared" si="32"/>
        <v>364</v>
      </c>
      <c r="AF16" s="90">
        <f t="shared" si="33"/>
        <v>237</v>
      </c>
      <c r="AG16" s="90">
        <f t="shared" si="33"/>
        <v>112</v>
      </c>
      <c r="AH16" s="90">
        <f t="shared" si="34"/>
        <v>422</v>
      </c>
      <c r="AI16" s="90">
        <f t="shared" si="35"/>
        <v>73</v>
      </c>
      <c r="AJ16" s="90">
        <f t="shared" si="36"/>
        <v>221</v>
      </c>
      <c r="AK16" s="90">
        <f t="shared" si="36"/>
        <v>62</v>
      </c>
      <c r="AL16" s="90">
        <f t="shared" si="37"/>
        <v>358</v>
      </c>
      <c r="AM16" s="90">
        <f t="shared" si="38"/>
        <v>75</v>
      </c>
      <c r="AN16" s="90">
        <f t="shared" si="39"/>
        <v>0</v>
      </c>
      <c r="AO16" s="90">
        <f t="shared" si="4"/>
        <v>32</v>
      </c>
      <c r="AP16" s="90">
        <f t="shared" si="40"/>
        <v>12</v>
      </c>
      <c r="AQ16" s="90">
        <f t="shared" si="5"/>
        <v>24</v>
      </c>
      <c r="AR16" s="90">
        <f t="shared" si="41"/>
        <v>47.241</v>
      </c>
      <c r="AS16" s="90">
        <f t="shared" si="42"/>
        <v>83.240999999999985</v>
      </c>
      <c r="AT16" s="90">
        <f t="shared" si="43"/>
        <v>888.24099999999999</v>
      </c>
      <c r="AU16" s="90">
        <f t="shared" si="44"/>
        <v>358</v>
      </c>
      <c r="AV16" s="90">
        <f t="shared" si="66"/>
        <v>85</v>
      </c>
      <c r="AW16" s="90">
        <f t="shared" si="45"/>
        <v>447</v>
      </c>
      <c r="AX16" s="90">
        <f t="shared" si="67"/>
        <v>81</v>
      </c>
      <c r="AY16" s="90" t="str">
        <f t="shared" si="46"/>
        <v/>
      </c>
      <c r="AZ16" s="90">
        <f t="shared" si="47"/>
        <v>442</v>
      </c>
      <c r="BA16" s="90">
        <v>0</v>
      </c>
      <c r="BB16" s="90">
        <f t="shared" si="48"/>
        <v>131</v>
      </c>
      <c r="BC16" s="90">
        <f t="shared" si="48"/>
        <v>1098</v>
      </c>
      <c r="BD16" s="91">
        <f t="shared" si="49"/>
        <v>16</v>
      </c>
      <c r="BE16" s="90"/>
      <c r="BF16" s="90"/>
      <c r="BG16" s="90">
        <f t="shared" si="6"/>
        <v>1687</v>
      </c>
      <c r="BH16" s="90">
        <f t="shared" si="50"/>
        <v>1367</v>
      </c>
      <c r="BI16" s="90">
        <f t="shared" si="51"/>
        <v>1647.5590000000002</v>
      </c>
      <c r="BJ16" s="90">
        <f t="shared" si="7"/>
        <v>5143.4409999999998</v>
      </c>
      <c r="BK16" s="92"/>
      <c r="BL16" s="93">
        <f>FD16+FN16</f>
        <v>8158</v>
      </c>
      <c r="BM16" s="93">
        <f t="shared" si="53"/>
        <v>83674</v>
      </c>
      <c r="BN16" s="92"/>
      <c r="BO16" s="94">
        <f t="shared" si="54"/>
        <v>0.1246788808108887</v>
      </c>
      <c r="BP16" s="94">
        <f t="shared" si="54"/>
        <v>0</v>
      </c>
      <c r="BQ16" s="94">
        <f t="shared" si="55"/>
        <v>4.7800339646389578E-2</v>
      </c>
      <c r="BR16" s="94">
        <f t="shared" si="68"/>
        <v>0.64045144963769207</v>
      </c>
      <c r="BS16" s="94">
        <f t="shared" si="8"/>
        <v>0</v>
      </c>
      <c r="BT16" s="94">
        <f t="shared" si="8"/>
        <v>6.4816773216344742E-2</v>
      </c>
      <c r="BU16" s="95">
        <f t="shared" si="8"/>
        <v>0.81516433082611006</v>
      </c>
      <c r="BV16" s="94">
        <f t="shared" si="9"/>
        <v>0.10762556204557559</v>
      </c>
      <c r="BW16" s="94">
        <f t="shared" si="9"/>
        <v>0</v>
      </c>
      <c r="BX16" s="94">
        <f t="shared" si="9"/>
        <v>4.1262308315192994E-2</v>
      </c>
      <c r="BY16" s="94">
        <f t="shared" si="56"/>
        <v>0.5528518284881847</v>
      </c>
      <c r="BZ16" s="95">
        <f t="shared" si="10"/>
        <v>0.70366784409732697</v>
      </c>
      <c r="CA16" s="96" t="e">
        <f>#REF!</f>
        <v>#REF!</v>
      </c>
      <c r="CB16" s="94">
        <f t="shared" si="11"/>
        <v>1.6561365396075039E-2</v>
      </c>
      <c r="CC16" s="95">
        <f t="shared" si="11"/>
        <v>2.9181952476337973E-2</v>
      </c>
      <c r="CD16" s="97">
        <f t="shared" si="12"/>
        <v>6.0541075045251053E-2</v>
      </c>
      <c r="CE16" s="98">
        <f t="shared" si="12"/>
        <v>0.10667639609326099</v>
      </c>
      <c r="CF16" s="94">
        <f t="shared" si="57"/>
        <v>0</v>
      </c>
      <c r="CG16" s="94">
        <f t="shared" si="57"/>
        <v>0</v>
      </c>
      <c r="CH16" s="95">
        <f t="shared" si="58"/>
        <v>0.76541340735133312</v>
      </c>
      <c r="CI16" s="96" t="e">
        <f>#REF!</f>
        <v>#REF!</v>
      </c>
      <c r="CJ16" s="94">
        <f t="shared" si="59"/>
        <v>0.55599346883621426</v>
      </c>
      <c r="CK16" s="94">
        <f t="shared" si="59"/>
        <v>0.262747968395173</v>
      </c>
      <c r="CL16" s="95">
        <f t="shared" si="69"/>
        <v>0.98999680948895541</v>
      </c>
      <c r="CM16" s="95" t="e">
        <f>#REF!</f>
        <v>#REF!</v>
      </c>
      <c r="CN16" s="94">
        <f t="shared" si="60"/>
        <v>0.71528813489104315</v>
      </c>
      <c r="CO16" s="94">
        <f t="shared" si="60"/>
        <v>0.20066906951694424</v>
      </c>
      <c r="CP16" s="95">
        <f t="shared" si="61"/>
        <v>1.1587020465655811</v>
      </c>
      <c r="CQ16" s="95" t="e">
        <f>#REF!</f>
        <v>#REF!</v>
      </c>
      <c r="CR16" s="97">
        <f t="shared" si="70"/>
        <v>0</v>
      </c>
      <c r="CS16" s="95">
        <f t="shared" si="70"/>
        <v>5.2508882615900643E-2</v>
      </c>
      <c r="CT16" s="96" t="e">
        <f>#REF!</f>
        <v>#REF!</v>
      </c>
      <c r="CU16" s="97">
        <f t="shared" si="71"/>
        <v>1.8688255755009424E-2</v>
      </c>
      <c r="CV16" s="95">
        <f t="shared" si="62"/>
        <v>3.7376511510018848E-2</v>
      </c>
      <c r="CW16" s="96" t="e">
        <f>#REF!</f>
        <v>#REF!</v>
      </c>
      <c r="CX16" s="99">
        <f t="shared" si="63"/>
        <v>0.12550472707594809</v>
      </c>
      <c r="CY16" s="95">
        <f t="shared" si="63"/>
        <v>2.9798608383954157E-2</v>
      </c>
      <c r="CZ16" s="99">
        <f t="shared" si="63"/>
        <v>0.15670562291326479</v>
      </c>
      <c r="DA16" s="95">
        <f t="shared" si="63"/>
        <v>2.839632093059161E-2</v>
      </c>
      <c r="DB16" s="94">
        <f t="shared" si="13"/>
        <v>0.15495276359656163</v>
      </c>
      <c r="DC16" s="94">
        <f t="shared" si="14"/>
        <v>4.5924914097623462E-2</v>
      </c>
      <c r="DD16" s="94">
        <f t="shared" si="14"/>
        <v>0.38492790594801957</v>
      </c>
      <c r="DE16" s="94">
        <f t="shared" si="14"/>
        <v>5.6091498134501934E-3</v>
      </c>
      <c r="DF16" s="94">
        <f t="shared" si="14"/>
        <v>0</v>
      </c>
      <c r="DG16" s="94">
        <f t="shared" si="14"/>
        <v>0</v>
      </c>
      <c r="DH16" s="95">
        <f t="shared" si="14"/>
        <v>0.59141473345565487</v>
      </c>
      <c r="DI16" s="96" t="e">
        <f>#REF!</f>
        <v>#REF!</v>
      </c>
      <c r="DJ16" s="95">
        <f t="shared" si="64"/>
        <v>0.47923173718665102</v>
      </c>
      <c r="DK16" s="96" t="e">
        <f>#REF!</f>
        <v>#REF!</v>
      </c>
      <c r="DL16" s="95">
        <f t="shared" si="15"/>
        <v>0.57758782859363689</v>
      </c>
      <c r="DM16" s="96">
        <f t="shared" si="16"/>
        <v>0</v>
      </c>
      <c r="DN16" s="94">
        <f t="shared" si="17"/>
        <v>1.8031456953526301</v>
      </c>
      <c r="DO16" s="100">
        <v>3.4</v>
      </c>
      <c r="DP16" s="94">
        <f>IF($O16&lt;&gt;0,IF($O16&lt;&gt;0,BL16/$O16*10,0)," ")</f>
        <v>2.8599652611329178</v>
      </c>
      <c r="DQ16" s="94">
        <f>IF($P16&lt;&gt;0,IF($P16&lt;&gt;0,BM16/$P16*10,0)," ")</f>
        <v>3.5317495937537222</v>
      </c>
      <c r="DR16" s="101"/>
      <c r="DS16" s="153"/>
      <c r="DT16" s="142">
        <v>11</v>
      </c>
      <c r="DU16" s="120">
        <v>608750</v>
      </c>
      <c r="DV16" s="120">
        <v>23261</v>
      </c>
      <c r="DW16" s="120">
        <v>5096348</v>
      </c>
      <c r="DX16" s="120">
        <v>101944</v>
      </c>
      <c r="DY16" s="120">
        <v>80710</v>
      </c>
      <c r="DZ16" s="120">
        <v>365365</v>
      </c>
      <c r="EA16" s="120">
        <v>211830</v>
      </c>
      <c r="EB16" s="120">
        <v>48229</v>
      </c>
      <c r="EC16" s="120">
        <v>371633</v>
      </c>
      <c r="ED16" s="120">
        <v>44207</v>
      </c>
      <c r="EE16" s="120">
        <v>36253</v>
      </c>
      <c r="EF16" s="120">
        <v>37893</v>
      </c>
      <c r="EG16" s="120">
        <v>88973</v>
      </c>
      <c r="EH16" s="120">
        <v>175404</v>
      </c>
      <c r="EI16" s="120">
        <v>29084</v>
      </c>
      <c r="EJ16" s="120">
        <v>37516</v>
      </c>
      <c r="EK16" s="120"/>
      <c r="EL16" s="120">
        <v>680123</v>
      </c>
      <c r="EM16" s="120">
        <v>1177</v>
      </c>
      <c r="EN16" s="120">
        <v>39976</v>
      </c>
      <c r="EO16" s="120">
        <v>2859143</v>
      </c>
      <c r="EP16" s="120">
        <v>2843148</v>
      </c>
      <c r="EQ16" s="120">
        <v>0</v>
      </c>
      <c r="ER16" s="120">
        <v>1596</v>
      </c>
      <c r="ES16" s="120">
        <v>282510</v>
      </c>
      <c r="ET16" s="120">
        <v>1701558</v>
      </c>
      <c r="EU16" s="120">
        <v>377538</v>
      </c>
      <c r="EV16" s="120">
        <v>112215</v>
      </c>
      <c r="EW16" s="120">
        <v>71388</v>
      </c>
      <c r="EX16" s="120">
        <v>197530</v>
      </c>
      <c r="EY16" s="120">
        <v>1571360</v>
      </c>
      <c r="EZ16" s="120">
        <v>703082</v>
      </c>
      <c r="FA16" s="149">
        <v>720685</v>
      </c>
      <c r="FB16" s="151">
        <v>29449</v>
      </c>
      <c r="FC16" s="127">
        <v>6791</v>
      </c>
      <c r="FD16" s="104">
        <f t="shared" si="76"/>
        <v>7614</v>
      </c>
      <c r="FE16" s="105">
        <f t="shared" si="20"/>
        <v>0</v>
      </c>
      <c r="FF16" s="105">
        <f t="shared" si="20"/>
        <v>537</v>
      </c>
      <c r="FG16" s="105">
        <f t="shared" si="20"/>
        <v>2181</v>
      </c>
      <c r="FH16" s="105">
        <f t="shared" si="20"/>
        <v>1951</v>
      </c>
      <c r="FI16" s="105">
        <f t="shared" si="20"/>
        <v>607</v>
      </c>
      <c r="FJ16" s="105">
        <f t="shared" si="20"/>
        <v>778</v>
      </c>
      <c r="FK16" s="105">
        <f t="shared" si="20"/>
        <v>0</v>
      </c>
      <c r="FL16" s="105">
        <f t="shared" si="20"/>
        <v>1560</v>
      </c>
      <c r="FM16" s="105">
        <f t="shared" si="20"/>
        <v>0</v>
      </c>
      <c r="FN16" s="80">
        <f t="shared" si="74"/>
        <v>544</v>
      </c>
      <c r="FO16" s="136">
        <f>FO15+544</f>
        <v>61744</v>
      </c>
      <c r="FP16" s="106" t="s">
        <v>184</v>
      </c>
      <c r="FX16" s="64"/>
      <c r="FY16" s="141">
        <v>11</v>
      </c>
      <c r="FZ16" s="107"/>
      <c r="GA16" s="107"/>
      <c r="GB16" s="107"/>
      <c r="GC16" s="109"/>
      <c r="GD16" s="110"/>
      <c r="GE16" s="110"/>
      <c r="GF16" s="111"/>
      <c r="GG16" s="111"/>
      <c r="GH16" s="111"/>
      <c r="GI16" s="112"/>
      <c r="GJ16" s="111" t="e">
        <f t="shared" si="65"/>
        <v>#DIV/0!</v>
      </c>
      <c r="GK16" s="113"/>
    </row>
    <row r="17" spans="1:193" s="119" customFormat="1" ht="15" customHeight="1">
      <c r="A17" s="119" t="s">
        <v>126</v>
      </c>
      <c r="B17" s="573">
        <v>42806</v>
      </c>
      <c r="D17" s="314">
        <v>0</v>
      </c>
      <c r="E17" s="128">
        <v>4365.4799999999996</v>
      </c>
      <c r="F17" s="86">
        <v>3403.08</v>
      </c>
      <c r="G17" s="308">
        <v>0</v>
      </c>
      <c r="H17" s="308">
        <v>8714.3630000000012</v>
      </c>
      <c r="I17" s="308">
        <v>0</v>
      </c>
      <c r="J17" s="308">
        <v>4366.2</v>
      </c>
      <c r="K17" s="308"/>
      <c r="L17" s="321"/>
      <c r="M17" s="115">
        <f t="shared" si="21"/>
        <v>4366.2</v>
      </c>
      <c r="N17" s="88">
        <f t="shared" si="0"/>
        <v>16482.923000000003</v>
      </c>
      <c r="O17" s="88">
        <f t="shared" si="22"/>
        <v>18666.023000000001</v>
      </c>
      <c r="P17" s="89">
        <f t="shared" si="23"/>
        <v>255585.42449999996</v>
      </c>
      <c r="Q17" s="155"/>
      <c r="R17" s="90">
        <f t="shared" si="24"/>
        <v>35</v>
      </c>
      <c r="S17" s="90">
        <f t="shared" si="25"/>
        <v>13.1</v>
      </c>
      <c r="T17" s="90">
        <f t="shared" si="1"/>
        <v>490</v>
      </c>
      <c r="U17" s="90">
        <f t="shared" si="75"/>
        <v>1.3</v>
      </c>
      <c r="V17" s="90">
        <f t="shared" si="26"/>
        <v>1361</v>
      </c>
      <c r="W17" s="91">
        <f t="shared" si="2"/>
        <v>-18935.8</v>
      </c>
      <c r="X17" s="90">
        <f t="shared" si="27"/>
        <v>1361</v>
      </c>
      <c r="Y17" s="90">
        <f t="shared" si="28"/>
        <v>324.5</v>
      </c>
      <c r="Z17" s="90">
        <f t="shared" si="3"/>
        <v>71</v>
      </c>
      <c r="AA17" s="90">
        <f t="shared" si="29"/>
        <v>1900.4</v>
      </c>
      <c r="AB17" s="90">
        <f t="shared" si="30"/>
        <v>0</v>
      </c>
      <c r="AC17" s="90">
        <f t="shared" si="30"/>
        <v>0</v>
      </c>
      <c r="AD17" s="90">
        <f t="shared" si="31"/>
        <v>5</v>
      </c>
      <c r="AE17" s="90">
        <f t="shared" si="32"/>
        <v>5</v>
      </c>
      <c r="AF17" s="90">
        <f t="shared" si="33"/>
        <v>249</v>
      </c>
      <c r="AG17" s="90">
        <f t="shared" si="33"/>
        <v>49</v>
      </c>
      <c r="AH17" s="90">
        <f t="shared" si="34"/>
        <v>366</v>
      </c>
      <c r="AI17" s="90">
        <f t="shared" si="35"/>
        <v>68</v>
      </c>
      <c r="AJ17" s="90">
        <f t="shared" si="36"/>
        <v>190</v>
      </c>
      <c r="AK17" s="90">
        <f t="shared" si="36"/>
        <v>70</v>
      </c>
      <c r="AL17" s="90">
        <f t="shared" si="37"/>
        <v>328</v>
      </c>
      <c r="AM17" s="90">
        <f t="shared" si="38"/>
        <v>68</v>
      </c>
      <c r="AN17" s="90">
        <f t="shared" si="39"/>
        <v>0</v>
      </c>
      <c r="AO17" s="90">
        <f t="shared" si="4"/>
        <v>11</v>
      </c>
      <c r="AP17" s="90">
        <f t="shared" si="40"/>
        <v>7</v>
      </c>
      <c r="AQ17" s="90">
        <f t="shared" si="5"/>
        <v>22</v>
      </c>
      <c r="AR17" s="90">
        <f t="shared" si="41"/>
        <v>119.61199999999999</v>
      </c>
      <c r="AS17" s="90">
        <f t="shared" si="42"/>
        <v>129.61199999999997</v>
      </c>
      <c r="AT17" s="90">
        <f t="shared" si="43"/>
        <v>744.61199999999997</v>
      </c>
      <c r="AU17" s="90">
        <f t="shared" si="44"/>
        <v>72</v>
      </c>
      <c r="AV17" s="90">
        <f t="shared" si="66"/>
        <v>26</v>
      </c>
      <c r="AW17" s="90">
        <f t="shared" si="45"/>
        <v>543</v>
      </c>
      <c r="AX17" s="90">
        <f t="shared" si="67"/>
        <v>21</v>
      </c>
      <c r="AY17" s="90" t="str">
        <f t="shared" si="46"/>
        <v/>
      </c>
      <c r="AZ17" s="90">
        <f t="shared" si="47"/>
        <v>461</v>
      </c>
      <c r="BA17" s="90">
        <v>0</v>
      </c>
      <c r="BB17" s="90">
        <f t="shared" si="48"/>
        <v>85</v>
      </c>
      <c r="BC17" s="90">
        <f t="shared" si="48"/>
        <v>368</v>
      </c>
      <c r="BD17" s="91">
        <f t="shared" si="49"/>
        <v>0</v>
      </c>
      <c r="BE17" s="90"/>
      <c r="BF17" s="90"/>
      <c r="BG17" s="90">
        <f t="shared" si="6"/>
        <v>914</v>
      </c>
      <c r="BH17" s="90">
        <f t="shared" si="50"/>
        <v>1315</v>
      </c>
      <c r="BI17" s="90">
        <f t="shared" si="51"/>
        <v>1347.9879999999998</v>
      </c>
      <c r="BJ17" s="90">
        <f t="shared" si="7"/>
        <v>3723.0120000000002</v>
      </c>
      <c r="BK17" s="92"/>
      <c r="BL17" s="93">
        <f>FD17+FN17</f>
        <v>6386</v>
      </c>
      <c r="BM17" s="93">
        <f t="shared" si="53"/>
        <v>90060</v>
      </c>
      <c r="BN17" s="92"/>
      <c r="BO17" s="94">
        <f t="shared" si="54"/>
        <v>2.1234097859948745E-2</v>
      </c>
      <c r="BP17" s="94">
        <f t="shared" si="54"/>
        <v>7.9476194847236739E-3</v>
      </c>
      <c r="BQ17" s="94">
        <f t="shared" si="55"/>
        <v>0.29727737003928245</v>
      </c>
      <c r="BR17" s="94">
        <f t="shared" si="68"/>
        <v>0.82570306249686409</v>
      </c>
      <c r="BS17" s="94">
        <f t="shared" si="8"/>
        <v>0.19687042158723908</v>
      </c>
      <c r="BT17" s="94">
        <f t="shared" si="8"/>
        <v>4.3074884230181743E-2</v>
      </c>
      <c r="BU17" s="95">
        <f t="shared" si="8"/>
        <v>1.1529508449441885</v>
      </c>
      <c r="BV17" s="94">
        <f t="shared" si="9"/>
        <v>1.8750646562473432E-2</v>
      </c>
      <c r="BW17" s="94">
        <f t="shared" si="9"/>
        <v>7.0180991419543405E-3</v>
      </c>
      <c r="BX17" s="94">
        <f t="shared" si="9"/>
        <v>0.26250905187462803</v>
      </c>
      <c r="BY17" s="94">
        <f t="shared" si="56"/>
        <v>0.72913228490075255</v>
      </c>
      <c r="BZ17" s="95">
        <f t="shared" si="10"/>
        <v>1.0181065350664145</v>
      </c>
      <c r="CA17" s="96" t="e">
        <f>#REF!</f>
        <v>#REF!</v>
      </c>
      <c r="CB17" s="94">
        <f t="shared" si="11"/>
        <v>6.408006676087348E-2</v>
      </c>
      <c r="CC17" s="95">
        <f t="shared" si="11"/>
        <v>6.9437394350151588E-2</v>
      </c>
      <c r="CD17" s="97">
        <f t="shared" si="12"/>
        <v>0.27394988777426593</v>
      </c>
      <c r="CE17" s="98">
        <f t="shared" si="12"/>
        <v>0.29685309880445232</v>
      </c>
      <c r="CF17" s="94" t="str">
        <f t="shared" si="57"/>
        <v>0,00</v>
      </c>
      <c r="CG17" s="94" t="str">
        <f t="shared" si="57"/>
        <v>0,00</v>
      </c>
      <c r="CH17" s="95" t="str">
        <f t="shared" si="58"/>
        <v xml:space="preserve">0,00 </v>
      </c>
      <c r="CI17" s="96" t="e">
        <f>#REF!</f>
        <v>#REF!</v>
      </c>
      <c r="CJ17" s="94">
        <f t="shared" si="59"/>
        <v>0.57038401275461126</v>
      </c>
      <c r="CK17" s="94">
        <f t="shared" si="59"/>
        <v>0.11224424347379899</v>
      </c>
      <c r="CL17" s="95">
        <f t="shared" si="69"/>
        <v>0.83839577778388641</v>
      </c>
      <c r="CM17" s="95" t="e">
        <f>#REF!</f>
        <v>#REF!</v>
      </c>
      <c r="CN17" s="94">
        <f t="shared" si="60"/>
        <v>0.55831775920636606</v>
      </c>
      <c r="CO17" s="94">
        <f t="shared" si="60"/>
        <v>0.20569601654971378</v>
      </c>
      <c r="CP17" s="95">
        <f t="shared" si="61"/>
        <v>0.96383276326151612</v>
      </c>
      <c r="CQ17" s="95" t="e">
        <f>#REF!</f>
        <v>#REF!</v>
      </c>
      <c r="CR17" s="97" t="str">
        <f t="shared" si="70"/>
        <v xml:space="preserve">0,00 </v>
      </c>
      <c r="CS17" s="95" t="str">
        <f t="shared" si="70"/>
        <v xml:space="preserve">0,00 </v>
      </c>
      <c r="CT17" s="96" t="e">
        <f>#REF!</f>
        <v>#REF!</v>
      </c>
      <c r="CU17" s="97">
        <f t="shared" si="71"/>
        <v>8.0327156442760068E-3</v>
      </c>
      <c r="CV17" s="95">
        <f t="shared" si="62"/>
        <v>2.524567773915316E-2</v>
      </c>
      <c r="CW17" s="96" t="e">
        <f>#REF!</f>
        <v>#REF!</v>
      </c>
      <c r="CX17" s="99">
        <f t="shared" si="63"/>
        <v>3.8572758642802484E-2</v>
      </c>
      <c r="CY17" s="95">
        <f t="shared" si="63"/>
        <v>1.392905173212312E-2</v>
      </c>
      <c r="CZ17" s="99">
        <f t="shared" si="63"/>
        <v>0.29090288809780207</v>
      </c>
      <c r="DA17" s="95">
        <f t="shared" si="63"/>
        <v>1.1250387937484058E-2</v>
      </c>
      <c r="DB17" s="94">
        <f t="shared" si="13"/>
        <v>0.24697280186572146</v>
      </c>
      <c r="DC17" s="94">
        <f t="shared" si="14"/>
        <v>4.5537284508864045E-2</v>
      </c>
      <c r="DD17" s="94">
        <f t="shared" si="14"/>
        <v>0.1971496552854349</v>
      </c>
      <c r="DE17" s="94">
        <f t="shared" si="14"/>
        <v>0</v>
      </c>
      <c r="DF17" s="94">
        <f t="shared" si="14"/>
        <v>0</v>
      </c>
      <c r="DG17" s="94">
        <f t="shared" si="14"/>
        <v>0</v>
      </c>
      <c r="DH17" s="95">
        <f t="shared" si="14"/>
        <v>0.48965974166002041</v>
      </c>
      <c r="DI17" s="96" t="e">
        <f>#REF!</f>
        <v>#REF!</v>
      </c>
      <c r="DJ17" s="95">
        <f t="shared" si="64"/>
        <v>0.70448857799007325</v>
      </c>
      <c r="DK17" s="96" t="e">
        <f>#REF!</f>
        <v>#REF!</v>
      </c>
      <c r="DL17" s="95">
        <f t="shared" si="15"/>
        <v>0.72216133024158369</v>
      </c>
      <c r="DM17" s="96">
        <f t="shared" si="16"/>
        <v>0</v>
      </c>
      <c r="DN17" s="94">
        <f t="shared" si="17"/>
        <v>1.9945394902813525</v>
      </c>
      <c r="DO17" s="100">
        <v>3.4</v>
      </c>
      <c r="DP17" s="94">
        <f>IF($O17&lt;&gt;0,IF($O17&lt;&gt;0,BL17/$O17*10,0)," ")</f>
        <v>3.4211893985130093</v>
      </c>
      <c r="DQ17" s="94">
        <f>IF($P17&lt;&gt;0,IF($P17&lt;&gt;0,BM17/$P17*10,0)," ")</f>
        <v>3.5236751147364438</v>
      </c>
      <c r="DR17" s="101" t="str">
        <f t="shared" si="18"/>
        <v>3,30 hL/NhL</v>
      </c>
      <c r="DS17" s="147"/>
      <c r="DT17" s="134">
        <v>12</v>
      </c>
      <c r="DU17" s="120">
        <v>608750</v>
      </c>
      <c r="DV17" s="120">
        <v>23261</v>
      </c>
      <c r="DW17" s="120">
        <v>5096353</v>
      </c>
      <c r="DX17" s="120">
        <v>102193</v>
      </c>
      <c r="DY17" s="120">
        <v>80759</v>
      </c>
      <c r="DZ17" s="120">
        <v>365731</v>
      </c>
      <c r="EA17" s="120">
        <v>212020</v>
      </c>
      <c r="EB17" s="120">
        <v>48299</v>
      </c>
      <c r="EC17" s="120">
        <v>371961</v>
      </c>
      <c r="ED17" s="120">
        <v>44207</v>
      </c>
      <c r="EE17" s="120">
        <v>36256</v>
      </c>
      <c r="EF17" s="120">
        <v>37901</v>
      </c>
      <c r="EG17" s="120">
        <v>88980</v>
      </c>
      <c r="EH17" s="120">
        <v>175426</v>
      </c>
      <c r="EI17" s="120">
        <v>29110</v>
      </c>
      <c r="EJ17" s="120">
        <v>37537</v>
      </c>
      <c r="EK17" s="120"/>
      <c r="EL17" s="120">
        <v>680158</v>
      </c>
      <c r="EM17" s="120">
        <v>4900</v>
      </c>
      <c r="EN17" s="120">
        <v>39989</v>
      </c>
      <c r="EO17" s="120">
        <v>2860504</v>
      </c>
      <c r="EP17" s="120">
        <v>2653790</v>
      </c>
      <c r="EQ17" s="120">
        <v>3245</v>
      </c>
      <c r="ER17" s="120">
        <v>710</v>
      </c>
      <c r="ES17" s="120">
        <v>283135</v>
      </c>
      <c r="ET17" s="120">
        <v>1821170</v>
      </c>
      <c r="EU17" s="120">
        <v>378081</v>
      </c>
      <c r="EV17" s="120">
        <v>112287</v>
      </c>
      <c r="EW17" s="120">
        <v>71849</v>
      </c>
      <c r="EX17" s="120">
        <v>197615</v>
      </c>
      <c r="EY17" s="120">
        <v>1571728</v>
      </c>
      <c r="EZ17" s="120">
        <v>703213</v>
      </c>
      <c r="FA17" s="77">
        <v>720685</v>
      </c>
      <c r="FB17" s="77">
        <v>29410</v>
      </c>
      <c r="FC17" s="77">
        <v>5071</v>
      </c>
      <c r="FD17" s="104">
        <f t="shared" si="76"/>
        <v>5871</v>
      </c>
      <c r="FE17" s="105">
        <f t="shared" si="20"/>
        <v>0</v>
      </c>
      <c r="FF17" s="105">
        <f t="shared" si="20"/>
        <v>417</v>
      </c>
      <c r="FG17" s="105">
        <f t="shared" si="20"/>
        <v>0</v>
      </c>
      <c r="FH17" s="105">
        <f t="shared" si="20"/>
        <v>1854</v>
      </c>
      <c r="FI17" s="105">
        <f t="shared" si="20"/>
        <v>586</v>
      </c>
      <c r="FJ17" s="105">
        <f t="shared" si="20"/>
        <v>801</v>
      </c>
      <c r="FK17" s="105">
        <f t="shared" si="20"/>
        <v>0</v>
      </c>
      <c r="FL17" s="105">
        <f t="shared" si="20"/>
        <v>2213</v>
      </c>
      <c r="FM17" s="105">
        <f t="shared" si="20"/>
        <v>0</v>
      </c>
      <c r="FN17" s="80">
        <f>IF(FO17="",0,(FO17-FO16))</f>
        <v>515</v>
      </c>
      <c r="FO17" s="77">
        <f>FO16+515</f>
        <v>62259</v>
      </c>
      <c r="FP17" s="132" t="s">
        <v>185</v>
      </c>
      <c r="FX17" s="64"/>
      <c r="FY17" s="119">
        <v>12</v>
      </c>
      <c r="FZ17" s="107"/>
      <c r="GA17" s="107"/>
      <c r="GB17" s="107"/>
      <c r="GC17" s="109"/>
      <c r="GD17" s="110"/>
      <c r="GE17" s="110"/>
      <c r="GF17" s="111"/>
      <c r="GG17" s="111"/>
      <c r="GH17" s="111"/>
      <c r="GI17" s="112"/>
      <c r="GJ17" s="111" t="e">
        <f t="shared" si="65"/>
        <v>#DIV/0!</v>
      </c>
      <c r="GK17" s="113"/>
    </row>
    <row r="18" spans="1:193" s="119" customFormat="1" ht="15" customHeight="1">
      <c r="B18" s="573">
        <v>42807</v>
      </c>
      <c r="D18" s="314">
        <v>0</v>
      </c>
      <c r="E18" s="128">
        <v>4722.96</v>
      </c>
      <c r="F18" s="128">
        <v>212.54400000000001</v>
      </c>
      <c r="G18" s="308">
        <v>3871.105</v>
      </c>
      <c r="H18" s="308">
        <v>6439.1379999999999</v>
      </c>
      <c r="I18" s="308">
        <v>786.39400000000001</v>
      </c>
      <c r="J18" s="308">
        <v>2872.44</v>
      </c>
      <c r="K18" s="308"/>
      <c r="L18" s="321"/>
      <c r="M18" s="115">
        <f t="shared" si="21"/>
        <v>3658.8339999999998</v>
      </c>
      <c r="N18" s="88">
        <f t="shared" si="0"/>
        <v>15245.746999999999</v>
      </c>
      <c r="O18" s="88">
        <f t="shared" si="22"/>
        <v>17075.164000000001</v>
      </c>
      <c r="P18" s="89">
        <f t="shared" si="23"/>
        <v>272660.58849999995</v>
      </c>
      <c r="R18" s="90">
        <f t="shared" si="24"/>
        <v>54</v>
      </c>
      <c r="S18" s="90">
        <f t="shared" si="25"/>
        <v>66.8</v>
      </c>
      <c r="T18" s="90">
        <f t="shared" si="1"/>
        <v>549.20000000000005</v>
      </c>
      <c r="U18" s="90">
        <f t="shared" si="75"/>
        <v>0.2</v>
      </c>
      <c r="V18" s="90">
        <f t="shared" si="26"/>
        <v>1768</v>
      </c>
      <c r="W18" s="91">
        <f t="shared" si="2"/>
        <v>506.6</v>
      </c>
      <c r="X18" s="90">
        <f t="shared" si="27"/>
        <v>1768</v>
      </c>
      <c r="Y18" s="90" t="str">
        <f t="shared" si="28"/>
        <v>0</v>
      </c>
      <c r="Z18" s="90">
        <f t="shared" si="3"/>
        <v>184.3</v>
      </c>
      <c r="AA18" s="90">
        <f t="shared" si="29"/>
        <v>2438.1999999999998</v>
      </c>
      <c r="AB18" s="90">
        <f t="shared" si="30"/>
        <v>314</v>
      </c>
      <c r="AC18" s="90">
        <f t="shared" si="30"/>
        <v>58</v>
      </c>
      <c r="AD18" s="90">
        <f t="shared" si="31"/>
        <v>372</v>
      </c>
      <c r="AE18" s="90">
        <f t="shared" si="32"/>
        <v>0</v>
      </c>
      <c r="AF18" s="90">
        <f t="shared" si="33"/>
        <v>239</v>
      </c>
      <c r="AG18" s="90">
        <f t="shared" si="33"/>
        <v>19</v>
      </c>
      <c r="AH18" s="90">
        <f t="shared" si="34"/>
        <v>287</v>
      </c>
      <c r="AI18" s="90">
        <f t="shared" si="35"/>
        <v>29</v>
      </c>
      <c r="AJ18" s="90">
        <f t="shared" si="36"/>
        <v>0</v>
      </c>
      <c r="AK18" s="90">
        <f t="shared" si="36"/>
        <v>0</v>
      </c>
      <c r="AL18" s="90">
        <f t="shared" si="37"/>
        <v>57</v>
      </c>
      <c r="AM18" s="90">
        <f t="shared" si="38"/>
        <v>57</v>
      </c>
      <c r="AN18" s="90">
        <f t="shared" si="39"/>
        <v>87</v>
      </c>
      <c r="AO18" s="90">
        <f t="shared" si="4"/>
        <v>117</v>
      </c>
      <c r="AP18" s="90">
        <f t="shared" si="40"/>
        <v>15</v>
      </c>
      <c r="AQ18" s="90">
        <f>IF(AP18=0.1,0,(IF(AP18&gt;=(EH18-EH17),(AP18),(EH18-EH17))))</f>
        <v>39</v>
      </c>
      <c r="AR18" s="90">
        <f t="shared" si="41"/>
        <v>50.682000000000002</v>
      </c>
      <c r="AS18" s="90">
        <f t="shared" si="42"/>
        <v>185.68200000000002</v>
      </c>
      <c r="AT18" s="90">
        <f t="shared" si="43"/>
        <v>673.68200000000002</v>
      </c>
      <c r="AU18" s="90">
        <f t="shared" si="44"/>
        <v>115</v>
      </c>
      <c r="AV18" s="90">
        <f t="shared" si="66"/>
        <v>35</v>
      </c>
      <c r="AW18" s="90">
        <f t="shared" si="45"/>
        <v>373</v>
      </c>
      <c r="AX18" s="90">
        <f t="shared" si="67"/>
        <v>43</v>
      </c>
      <c r="AY18" s="90" t="str">
        <f t="shared" si="46"/>
        <v/>
      </c>
      <c r="AZ18" s="90">
        <f t="shared" si="47"/>
        <v>327</v>
      </c>
      <c r="BA18" s="90">
        <v>61</v>
      </c>
      <c r="BB18" s="90">
        <f t="shared" si="48"/>
        <v>51</v>
      </c>
      <c r="BC18" s="90">
        <f t="shared" si="48"/>
        <v>0</v>
      </c>
      <c r="BD18" s="91">
        <f t="shared" si="49"/>
        <v>417</v>
      </c>
      <c r="BE18" s="90"/>
      <c r="BF18" s="90"/>
      <c r="BG18" s="90">
        <f t="shared" si="6"/>
        <v>795</v>
      </c>
      <c r="BH18" s="90">
        <f t="shared" si="50"/>
        <v>791</v>
      </c>
      <c r="BI18" s="90">
        <f t="shared" si="51"/>
        <v>1930.1180000000004</v>
      </c>
      <c r="BJ18" s="90">
        <f t="shared" si="7"/>
        <v>4368.8819999999996</v>
      </c>
      <c r="BK18" s="92"/>
      <c r="BL18" s="93">
        <f>FD18+FN18</f>
        <v>7090</v>
      </c>
      <c r="BM18" s="93">
        <f t="shared" si="53"/>
        <v>97150</v>
      </c>
      <c r="BN18" s="92"/>
      <c r="BO18" s="94">
        <f t="shared" si="54"/>
        <v>3.5419714101250666E-2</v>
      </c>
      <c r="BP18" s="94">
        <f t="shared" si="54"/>
        <v>4.3815498184510075E-2</v>
      </c>
      <c r="BQ18" s="94">
        <f t="shared" si="55"/>
        <v>0.36023161082234939</v>
      </c>
      <c r="BR18" s="94">
        <f t="shared" si="68"/>
        <v>1.159667676500207</v>
      </c>
      <c r="BS18" s="94">
        <f t="shared" si="8"/>
        <v>0</v>
      </c>
      <c r="BT18" s="94">
        <f t="shared" si="8"/>
        <v>0.12088617238630553</v>
      </c>
      <c r="BU18" s="95">
        <f t="shared" si="8"/>
        <v>1.5992656837346177</v>
      </c>
      <c r="BV18" s="94">
        <f t="shared" si="9"/>
        <v>3.1624879269095157E-2</v>
      </c>
      <c r="BW18" s="94">
        <f t="shared" si="9"/>
        <v>3.9121146947695494E-2</v>
      </c>
      <c r="BX18" s="94">
        <f t="shared" si="9"/>
        <v>0.32163673508494561</v>
      </c>
      <c r="BY18" s="94">
        <f t="shared" si="56"/>
        <v>1.0354219731066712</v>
      </c>
      <c r="BZ18" s="95">
        <f t="shared" si="10"/>
        <v>1.4279218635908855</v>
      </c>
      <c r="CA18" s="96" t="e">
        <f>#REF!</f>
        <v>#REF!</v>
      </c>
      <c r="CB18" s="94">
        <f t="shared" si="11"/>
        <v>2.9681706131782983E-2</v>
      </c>
      <c r="CC18" s="95">
        <f t="shared" si="11"/>
        <v>0.10874390430452088</v>
      </c>
      <c r="CD18" s="97">
        <f t="shared" si="12"/>
        <v>0.13851953928491975</v>
      </c>
      <c r="CE18" s="98">
        <f t="shared" si="12"/>
        <v>0.50748954448329719</v>
      </c>
      <c r="CF18" s="94" t="str">
        <f t="shared" si="57"/>
        <v>0,00</v>
      </c>
      <c r="CG18" s="94" t="str">
        <f t="shared" si="57"/>
        <v>0,00</v>
      </c>
      <c r="CH18" s="95" t="str">
        <f t="shared" si="58"/>
        <v xml:space="preserve">0,00 </v>
      </c>
      <c r="CI18" s="96" t="e">
        <f>#REF!</f>
        <v>#REF!</v>
      </c>
      <c r="CJ18" s="94">
        <f t="shared" si="59"/>
        <v>0.50603858597150941</v>
      </c>
      <c r="CK18" s="94">
        <f t="shared" si="59"/>
        <v>4.0229008926605352E-2</v>
      </c>
      <c r="CL18" s="95">
        <f t="shared" si="69"/>
        <v>0.60766976641767023</v>
      </c>
      <c r="CM18" s="95" t="e">
        <f>#REF!</f>
        <v>#REF!</v>
      </c>
      <c r="CN18" s="94">
        <f t="shared" si="60"/>
        <v>0</v>
      </c>
      <c r="CO18" s="94">
        <f t="shared" si="60"/>
        <v>0</v>
      </c>
      <c r="CP18" s="95">
        <f t="shared" si="61"/>
        <v>2.6817976513098465</v>
      </c>
      <c r="CQ18" s="95" t="e">
        <f>#REF!</f>
        <v>#REF!</v>
      </c>
      <c r="CR18" s="97">
        <f t="shared" si="70"/>
        <v>0.22474203102215001</v>
      </c>
      <c r="CS18" s="95">
        <f t="shared" si="70"/>
        <v>0.30223928309875348</v>
      </c>
      <c r="CT18" s="96" t="e">
        <f>#REF!</f>
        <v>#REF!</v>
      </c>
      <c r="CU18" s="97">
        <f t="shared" si="71"/>
        <v>2.3295043529118341E-2</v>
      </c>
      <c r="CV18" s="95">
        <f t="shared" si="62"/>
        <v>6.0567113175707683E-2</v>
      </c>
      <c r="CW18" s="96" t="e">
        <f>#REF!</f>
        <v>#REF!</v>
      </c>
      <c r="CX18" s="99">
        <f t="shared" si="63"/>
        <v>6.7349279924924871E-2</v>
      </c>
      <c r="CY18" s="95">
        <f t="shared" si="63"/>
        <v>2.0497606933672786E-2</v>
      </c>
      <c r="CZ18" s="99">
        <f t="shared" si="63"/>
        <v>0.21844592532171286</v>
      </c>
      <c r="DA18" s="95">
        <f t="shared" si="63"/>
        <v>2.5182774232797998E-2</v>
      </c>
      <c r="DB18" s="94">
        <f t="shared" si="13"/>
        <v>0.19150621335174289</v>
      </c>
      <c r="DC18" s="94">
        <f t="shared" si="14"/>
        <v>2.9867941531923205E-2</v>
      </c>
      <c r="DD18" s="94">
        <f t="shared" si="14"/>
        <v>0</v>
      </c>
      <c r="DE18" s="94">
        <f t="shared" si="14"/>
        <v>0.24421434546690152</v>
      </c>
      <c r="DF18" s="94">
        <f t="shared" si="14"/>
        <v>0</v>
      </c>
      <c r="DG18" s="94">
        <f t="shared" si="14"/>
        <v>0</v>
      </c>
      <c r="DH18" s="95">
        <f t="shared" si="14"/>
        <v>0.46558850035056765</v>
      </c>
      <c r="DI18" s="96" t="e">
        <f>#REF!</f>
        <v>#REF!</v>
      </c>
      <c r="DJ18" s="95">
        <f t="shared" si="64"/>
        <v>0.46324591670100501</v>
      </c>
      <c r="DK18" s="96" t="e">
        <f>#REF!</f>
        <v>#REF!</v>
      </c>
      <c r="DL18" s="95">
        <f t="shared" si="15"/>
        <v>1.1303657171316188</v>
      </c>
      <c r="DM18" s="96">
        <f t="shared" si="16"/>
        <v>0</v>
      </c>
      <c r="DN18" s="94">
        <f t="shared" si="17"/>
        <v>2.558617885017092</v>
      </c>
      <c r="DO18" s="100">
        <v>3.4</v>
      </c>
      <c r="DP18" s="94">
        <f>IF($O18&lt;&gt;0,IF($O18&lt;&gt;0,BL18/$O18*10,0)," ")</f>
        <v>4.1522295188497162</v>
      </c>
      <c r="DQ18" s="94">
        <f t="shared" si="73"/>
        <v>3.5630378608971576</v>
      </c>
      <c r="DR18" s="101" t="str">
        <f t="shared" si="18"/>
        <v>3,30 hL/NhL</v>
      </c>
      <c r="DS18" s="147"/>
      <c r="DT18" s="134">
        <v>13</v>
      </c>
      <c r="DU18" s="120">
        <v>609064</v>
      </c>
      <c r="DV18" s="120">
        <v>23319</v>
      </c>
      <c r="DW18" s="120">
        <v>5096637</v>
      </c>
      <c r="DX18" s="120">
        <v>102432</v>
      </c>
      <c r="DY18" s="120">
        <v>80778</v>
      </c>
      <c r="DZ18" s="120">
        <v>366018</v>
      </c>
      <c r="EA18" s="120">
        <v>212020</v>
      </c>
      <c r="EB18" s="120">
        <v>48299</v>
      </c>
      <c r="EC18" s="120">
        <v>372018</v>
      </c>
      <c r="ED18" s="120">
        <v>44294</v>
      </c>
      <c r="EE18" s="120">
        <v>36297</v>
      </c>
      <c r="EF18" s="120">
        <v>37977</v>
      </c>
      <c r="EG18" s="120">
        <v>88995</v>
      </c>
      <c r="EH18" s="120">
        <v>175465</v>
      </c>
      <c r="EI18" s="120">
        <v>29145</v>
      </c>
      <c r="EJ18" s="120">
        <v>37580</v>
      </c>
      <c r="EK18" s="120"/>
      <c r="EL18" s="120">
        <v>680212</v>
      </c>
      <c r="EM18" s="120">
        <v>5492</v>
      </c>
      <c r="EN18" s="120">
        <v>39991</v>
      </c>
      <c r="EO18" s="120">
        <v>2862272</v>
      </c>
      <c r="EP18" s="120">
        <v>2658856</v>
      </c>
      <c r="EQ18" s="120">
        <v>0</v>
      </c>
      <c r="ER18" s="120">
        <v>1843</v>
      </c>
      <c r="ES18" s="120">
        <v>283758</v>
      </c>
      <c r="ET18" s="120">
        <v>1871852</v>
      </c>
      <c r="EU18" s="120">
        <v>378454</v>
      </c>
      <c r="EV18" s="120">
        <v>112402</v>
      </c>
      <c r="EW18" s="120">
        <v>72176</v>
      </c>
      <c r="EX18" s="120">
        <v>197666</v>
      </c>
      <c r="EY18" s="120">
        <v>1571728</v>
      </c>
      <c r="EZ18" s="120">
        <v>703881</v>
      </c>
      <c r="FA18" s="151">
        <v>721102</v>
      </c>
      <c r="FB18" s="77">
        <v>29490</v>
      </c>
      <c r="FC18" s="77">
        <v>6299</v>
      </c>
      <c r="FD18" s="104">
        <f t="shared" si="76"/>
        <v>6485</v>
      </c>
      <c r="FE18" s="105">
        <f t="shared" si="20"/>
        <v>0</v>
      </c>
      <c r="FF18" s="105">
        <f t="shared" si="20"/>
        <v>430</v>
      </c>
      <c r="FG18" s="105">
        <f t="shared" si="20"/>
        <v>1449</v>
      </c>
      <c r="FH18" s="105">
        <f t="shared" si="20"/>
        <v>1978</v>
      </c>
      <c r="FI18" s="105">
        <f t="shared" si="20"/>
        <v>618</v>
      </c>
      <c r="FJ18" s="105">
        <f t="shared" si="20"/>
        <v>781</v>
      </c>
      <c r="FK18" s="105">
        <f t="shared" si="20"/>
        <v>0</v>
      </c>
      <c r="FL18" s="105">
        <f t="shared" si="20"/>
        <v>1229</v>
      </c>
      <c r="FM18" s="105">
        <f t="shared" si="20"/>
        <v>0</v>
      </c>
      <c r="FN18" s="80">
        <f t="shared" si="74"/>
        <v>605</v>
      </c>
      <c r="FO18" s="77">
        <f>FO17+605</f>
        <v>62864</v>
      </c>
      <c r="FP18" s="132" t="s">
        <v>186</v>
      </c>
      <c r="FX18" s="64"/>
      <c r="FY18" s="119">
        <v>13</v>
      </c>
      <c r="FZ18" s="107"/>
      <c r="GA18" s="107"/>
      <c r="GB18" s="107"/>
      <c r="GC18" s="109"/>
      <c r="GD18" s="110"/>
      <c r="GE18" s="110"/>
      <c r="GF18" s="111"/>
      <c r="GG18" s="111"/>
      <c r="GH18" s="111"/>
      <c r="GI18" s="112"/>
      <c r="GJ18" s="111" t="e">
        <f t="shared" si="65"/>
        <v>#DIV/0!</v>
      </c>
      <c r="GK18" s="113"/>
    </row>
    <row r="19" spans="1:193" s="119" customFormat="1" ht="15" customHeight="1">
      <c r="B19" s="573">
        <v>42808</v>
      </c>
      <c r="D19" s="322">
        <v>4189.4400000000005</v>
      </c>
      <c r="E19" s="128">
        <v>4850.2800000000007</v>
      </c>
      <c r="F19" s="128">
        <v>0</v>
      </c>
      <c r="G19" s="308">
        <v>2165.614</v>
      </c>
      <c r="H19" s="308"/>
      <c r="I19" s="308">
        <v>1676.9939999999999</v>
      </c>
      <c r="J19" s="308">
        <v>5988</v>
      </c>
      <c r="K19" s="308">
        <v>17.437999999999999</v>
      </c>
      <c r="L19" s="321">
        <v>204.40799999999999</v>
      </c>
      <c r="M19" s="115">
        <f t="shared" si="21"/>
        <v>7664.9939999999997</v>
      </c>
      <c r="N19" s="88">
        <f t="shared" si="0"/>
        <v>11205.334000000001</v>
      </c>
      <c r="O19" s="88">
        <f t="shared" si="22"/>
        <v>15242.239</v>
      </c>
      <c r="P19" s="89">
        <f t="shared" si="23"/>
        <v>287902.82749999996</v>
      </c>
      <c r="R19" s="90">
        <f t="shared" si="24"/>
        <v>236</v>
      </c>
      <c r="S19" s="90">
        <f t="shared" si="25"/>
        <v>106.6</v>
      </c>
      <c r="T19" s="90">
        <f t="shared" si="1"/>
        <v>356.8</v>
      </c>
      <c r="U19" s="90">
        <f t="shared" si="75"/>
        <v>4.4000000000000004</v>
      </c>
      <c r="V19" s="90">
        <f t="shared" si="26"/>
        <v>1547</v>
      </c>
      <c r="W19" s="91">
        <f t="shared" si="2"/>
        <v>607.9</v>
      </c>
      <c r="X19" s="90">
        <f t="shared" si="27"/>
        <v>1547</v>
      </c>
      <c r="Y19" s="90" t="str">
        <f t="shared" si="28"/>
        <v>0</v>
      </c>
      <c r="Z19" s="90">
        <f t="shared" si="3"/>
        <v>116.8</v>
      </c>
      <c r="AA19" s="90">
        <f t="shared" si="29"/>
        <v>2250.8000000000002</v>
      </c>
      <c r="AB19" s="90">
        <f t="shared" si="30"/>
        <v>212</v>
      </c>
      <c r="AC19" s="90">
        <f t="shared" si="30"/>
        <v>35</v>
      </c>
      <c r="AD19" s="90">
        <f t="shared" si="31"/>
        <v>423</v>
      </c>
      <c r="AE19" s="90">
        <f t="shared" si="32"/>
        <v>176</v>
      </c>
      <c r="AF19" s="90">
        <f t="shared" si="33"/>
        <v>236</v>
      </c>
      <c r="AG19" s="90">
        <f t="shared" si="33"/>
        <v>35</v>
      </c>
      <c r="AH19" s="90">
        <f t="shared" si="34"/>
        <v>411</v>
      </c>
      <c r="AI19" s="90">
        <f t="shared" si="35"/>
        <v>140</v>
      </c>
      <c r="AJ19" s="90">
        <f t="shared" si="36"/>
        <v>0</v>
      </c>
      <c r="AK19" s="90">
        <f t="shared" si="36"/>
        <v>0</v>
      </c>
      <c r="AL19" s="90">
        <f t="shared" si="37"/>
        <v>59</v>
      </c>
      <c r="AM19" s="90">
        <f t="shared" si="38"/>
        <v>59</v>
      </c>
      <c r="AN19" s="90">
        <f t="shared" si="39"/>
        <v>64</v>
      </c>
      <c r="AO19" s="90">
        <f t="shared" si="4"/>
        <v>85</v>
      </c>
      <c r="AP19" s="90">
        <f t="shared" si="40"/>
        <v>0</v>
      </c>
      <c r="AQ19" s="90">
        <f t="shared" si="5"/>
        <v>48</v>
      </c>
      <c r="AR19" s="90">
        <f t="shared" si="41"/>
        <v>114.316</v>
      </c>
      <c r="AS19" s="90">
        <f t="shared" si="42"/>
        <v>178.31600000000003</v>
      </c>
      <c r="AT19" s="90">
        <f t="shared" si="43"/>
        <v>825.31600000000003</v>
      </c>
      <c r="AU19" s="90">
        <f t="shared" si="44"/>
        <v>236</v>
      </c>
      <c r="AV19" s="90">
        <f t="shared" si="66"/>
        <v>35</v>
      </c>
      <c r="AW19" s="90">
        <f t="shared" si="45"/>
        <v>411</v>
      </c>
      <c r="AX19" s="90">
        <f t="shared" si="67"/>
        <v>49</v>
      </c>
      <c r="AY19" s="90" t="str">
        <f t="shared" si="46"/>
        <v/>
      </c>
      <c r="AZ19" s="90">
        <f t="shared" si="47"/>
        <v>448</v>
      </c>
      <c r="BA19" s="90">
        <v>37</v>
      </c>
      <c r="BB19" s="90">
        <f t="shared" si="48"/>
        <v>69</v>
      </c>
      <c r="BC19" s="90">
        <f t="shared" si="48"/>
        <v>750</v>
      </c>
      <c r="BD19" s="91">
        <f t="shared" si="49"/>
        <v>372</v>
      </c>
      <c r="BE19" s="90"/>
      <c r="BF19" s="90"/>
      <c r="BG19" s="90">
        <f t="shared" si="6"/>
        <v>1639</v>
      </c>
      <c r="BH19" s="90">
        <f t="shared" si="50"/>
        <v>-261</v>
      </c>
      <c r="BI19" s="90">
        <f t="shared" si="51"/>
        <v>2025.884</v>
      </c>
      <c r="BJ19" s="90">
        <f t="shared" si="7"/>
        <v>5178.116</v>
      </c>
      <c r="BK19" s="92"/>
      <c r="BL19" s="93">
        <f t="shared" si="52"/>
        <v>6943</v>
      </c>
      <c r="BM19" s="93">
        <f t="shared" si="53"/>
        <v>104093</v>
      </c>
      <c r="BN19" s="92"/>
      <c r="BO19" s="94">
        <f t="shared" si="54"/>
        <v>0.21061398080592686</v>
      </c>
      <c r="BP19" s="94">
        <f t="shared" si="54"/>
        <v>9.5133264211490695E-2</v>
      </c>
      <c r="BQ19" s="94">
        <f t="shared" si="55"/>
        <v>0.31841978115065556</v>
      </c>
      <c r="BR19" s="94">
        <f t="shared" si="68"/>
        <v>1.380592492825292</v>
      </c>
      <c r="BS19" s="94">
        <f t="shared" si="8"/>
        <v>0</v>
      </c>
      <c r="BT19" s="94">
        <f t="shared" si="8"/>
        <v>0.10423607185649263</v>
      </c>
      <c r="BU19" s="95">
        <f t="shared" si="8"/>
        <v>2.008686220330425</v>
      </c>
      <c r="BV19" s="94">
        <f t="shared" si="9"/>
        <v>0.15483289561330196</v>
      </c>
      <c r="BW19" s="94">
        <f t="shared" si="9"/>
        <v>6.9937231662618601E-2</v>
      </c>
      <c r="BX19" s="94">
        <f t="shared" si="9"/>
        <v>0.23408634387638197</v>
      </c>
      <c r="BY19" s="94">
        <f t="shared" si="56"/>
        <v>1.014942752177026</v>
      </c>
      <c r="BZ19" s="95">
        <f t="shared" si="10"/>
        <v>1.4766859383322886</v>
      </c>
      <c r="CA19" s="96" t="e">
        <f>#REF!</f>
        <v>#REF!</v>
      </c>
      <c r="CB19" s="94">
        <f t="shared" si="11"/>
        <v>7.4999480063263679E-2</v>
      </c>
      <c r="CC19" s="95">
        <f t="shared" si="11"/>
        <v>0.11698806192449812</v>
      </c>
      <c r="CD19" s="97">
        <f t="shared" si="12"/>
        <v>0.14914036462389926</v>
      </c>
      <c r="CE19" s="98">
        <f t="shared" si="12"/>
        <v>0.23263684224671283</v>
      </c>
      <c r="CF19" s="94">
        <f t="shared" si="57"/>
        <v>0.50603421937060789</v>
      </c>
      <c r="CG19" s="94">
        <f t="shared" si="57"/>
        <v>8.3543385273449428E-2</v>
      </c>
      <c r="CH19" s="95">
        <f t="shared" si="58"/>
        <v>1.0096814848762601</v>
      </c>
      <c r="CI19" s="96" t="e">
        <f>#REF!</f>
        <v>#REF!</v>
      </c>
      <c r="CJ19" s="94">
        <f t="shared" si="59"/>
        <v>0.48656984751395788</v>
      </c>
      <c r="CK19" s="94">
        <f t="shared" si="59"/>
        <v>7.2160782470290369E-2</v>
      </c>
      <c r="CL19" s="95">
        <f t="shared" si="69"/>
        <v>0.84737375986540975</v>
      </c>
      <c r="CM19" s="95" t="e">
        <f>#REF!</f>
        <v>#REF!</v>
      </c>
      <c r="CN19" s="94" t="str">
        <f t="shared" si="60"/>
        <v>0,00</v>
      </c>
      <c r="CO19" s="94" t="str">
        <f t="shared" si="60"/>
        <v>0,00</v>
      </c>
      <c r="CP19" s="95" t="str">
        <f t="shared" si="61"/>
        <v xml:space="preserve">0,00 </v>
      </c>
      <c r="CQ19" s="95" t="e">
        <f>#REF!</f>
        <v>#REF!</v>
      </c>
      <c r="CR19" s="97">
        <f t="shared" si="70"/>
        <v>0.2955281966222974</v>
      </c>
      <c r="CS19" s="95">
        <f t="shared" si="70"/>
        <v>0.3924983861389888</v>
      </c>
      <c r="CT19" s="96" t="e">
        <f>#REF!</f>
        <v>#REF!</v>
      </c>
      <c r="CU19" s="97" t="str">
        <f t="shared" si="71"/>
        <v xml:space="preserve">0,00 </v>
      </c>
      <c r="CV19" s="95" t="str">
        <f t="shared" si="62"/>
        <v xml:space="preserve">0,00 </v>
      </c>
      <c r="CW19" s="96" t="e">
        <f>#REF!</f>
        <v>#REF!</v>
      </c>
      <c r="CX19" s="99">
        <f t="shared" si="63"/>
        <v>0.15483289561330196</v>
      </c>
      <c r="CY19" s="95">
        <f t="shared" si="63"/>
        <v>2.2962505705362582E-2</v>
      </c>
      <c r="CZ19" s="99">
        <f t="shared" si="63"/>
        <v>0.26964542414011483</v>
      </c>
      <c r="DA19" s="95">
        <f t="shared" si="63"/>
        <v>3.2147507987507609E-2</v>
      </c>
      <c r="DB19" s="94">
        <f t="shared" si="13"/>
        <v>0.29392007302864098</v>
      </c>
      <c r="DC19" s="94">
        <f t="shared" si="14"/>
        <v>4.5268939819143372E-2</v>
      </c>
      <c r="DD19" s="94">
        <f t="shared" si="14"/>
        <v>0.49205369368634094</v>
      </c>
      <c r="DE19" s="94">
        <f t="shared" si="14"/>
        <v>0.24405863206842512</v>
      </c>
      <c r="DF19" s="94">
        <f t="shared" si="14"/>
        <v>0</v>
      </c>
      <c r="DG19" s="94">
        <f t="shared" si="14"/>
        <v>0</v>
      </c>
      <c r="DH19" s="95">
        <f t="shared" si="14"/>
        <v>1.0753013386025505</v>
      </c>
      <c r="DI19" s="96" t="e">
        <f>#REF!</f>
        <v>#REF!</v>
      </c>
      <c r="DJ19" s="95">
        <f t="shared" si="64"/>
        <v>-0.17123468540284667</v>
      </c>
      <c r="DK19" s="96" t="e">
        <f>#REF!</f>
        <v>#REF!</v>
      </c>
      <c r="DL19" s="95">
        <f t="shared" si="15"/>
        <v>1.3291249402400789</v>
      </c>
      <c r="DM19" s="96">
        <f t="shared" si="16"/>
        <v>0</v>
      </c>
      <c r="DN19" s="94">
        <f t="shared" si="17"/>
        <v>3.3972148055151212</v>
      </c>
      <c r="DO19" s="100">
        <v>3.4</v>
      </c>
      <c r="DP19" s="94">
        <f>IF($O19&lt;&gt;0,IF($O19&lt;&gt;0,BL19/$O19*10,0)," ")</f>
        <v>4.5551050603523544</v>
      </c>
      <c r="DQ19" s="94">
        <f t="shared" si="73"/>
        <v>3.6155601841041318</v>
      </c>
      <c r="DR19" s="101" t="str">
        <f t="shared" si="18"/>
        <v>3,30 hL/NhL</v>
      </c>
      <c r="DS19" s="147"/>
      <c r="DT19" s="103">
        <v>14</v>
      </c>
      <c r="DU19" s="120">
        <v>609276</v>
      </c>
      <c r="DV19" s="120">
        <v>23354</v>
      </c>
      <c r="DW19" s="120">
        <v>5097060</v>
      </c>
      <c r="DX19" s="120">
        <v>102668</v>
      </c>
      <c r="DY19" s="120">
        <v>80813</v>
      </c>
      <c r="DZ19" s="120">
        <v>366429</v>
      </c>
      <c r="EA19" s="120">
        <v>212020</v>
      </c>
      <c r="EB19" s="120">
        <v>48299</v>
      </c>
      <c r="EC19" s="120">
        <v>372077</v>
      </c>
      <c r="ED19" s="120">
        <v>44358</v>
      </c>
      <c r="EE19" s="120">
        <v>36318</v>
      </c>
      <c r="EF19" s="120">
        <v>38041</v>
      </c>
      <c r="EG19" s="120">
        <v>88995</v>
      </c>
      <c r="EH19" s="120">
        <v>175513</v>
      </c>
      <c r="EI19" s="120">
        <v>29180</v>
      </c>
      <c r="EJ19" s="120">
        <v>37629</v>
      </c>
      <c r="EK19" s="120"/>
      <c r="EL19" s="120">
        <v>680448</v>
      </c>
      <c r="EM19" s="120">
        <v>3568</v>
      </c>
      <c r="EN19" s="120">
        <v>40035</v>
      </c>
      <c r="EO19" s="120">
        <v>2863819</v>
      </c>
      <c r="EP19" s="120">
        <v>2664935</v>
      </c>
      <c r="EQ19" s="120">
        <v>0</v>
      </c>
      <c r="ER19" s="120">
        <v>1168</v>
      </c>
      <c r="ES19" s="120">
        <v>284469</v>
      </c>
      <c r="ET19" s="120">
        <v>1986168</v>
      </c>
      <c r="EU19" s="120">
        <v>378865</v>
      </c>
      <c r="EV19" s="120">
        <v>112638</v>
      </c>
      <c r="EW19" s="120">
        <v>72624</v>
      </c>
      <c r="EX19" s="120">
        <v>197735</v>
      </c>
      <c r="EY19" s="120">
        <v>1572478</v>
      </c>
      <c r="EZ19" s="120">
        <v>704947</v>
      </c>
      <c r="FA19" s="151">
        <v>721474</v>
      </c>
      <c r="FB19" s="77">
        <v>29515</v>
      </c>
      <c r="FC19" s="77">
        <v>7204</v>
      </c>
      <c r="FD19" s="104">
        <f t="shared" si="76"/>
        <v>6650</v>
      </c>
      <c r="FE19" s="105">
        <f t="shared" si="20"/>
        <v>0</v>
      </c>
      <c r="FF19" s="105">
        <f t="shared" si="20"/>
        <v>575</v>
      </c>
      <c r="FG19" s="105">
        <f t="shared" si="20"/>
        <v>2033</v>
      </c>
      <c r="FH19" s="105">
        <f t="shared" si="20"/>
        <v>1817</v>
      </c>
      <c r="FI19" s="105">
        <f t="shared" si="20"/>
        <v>686</v>
      </c>
      <c r="FJ19" s="105">
        <f t="shared" si="20"/>
        <v>756</v>
      </c>
      <c r="FK19" s="105">
        <f t="shared" si="20"/>
        <v>0</v>
      </c>
      <c r="FL19" s="105">
        <f t="shared" si="20"/>
        <v>783</v>
      </c>
      <c r="FM19" s="105">
        <f t="shared" si="20"/>
        <v>0</v>
      </c>
      <c r="FN19" s="80">
        <f>IF(FO19="",0,(FO19-FO18))</f>
        <v>293</v>
      </c>
      <c r="FO19" s="77">
        <f>FO18+293</f>
        <v>63157</v>
      </c>
      <c r="FP19" s="132" t="s">
        <v>187</v>
      </c>
      <c r="FX19" s="64"/>
      <c r="FY19" s="119">
        <v>14</v>
      </c>
      <c r="FZ19" s="107"/>
      <c r="GA19" s="107"/>
      <c r="GB19" s="107"/>
      <c r="GC19" s="109"/>
      <c r="GD19" s="110"/>
      <c r="GE19" s="110"/>
      <c r="GF19" s="111"/>
      <c r="GG19" s="111"/>
      <c r="GH19" s="111"/>
      <c r="GI19" s="112"/>
      <c r="GJ19" s="111" t="e">
        <f t="shared" si="65"/>
        <v>#DIV/0!</v>
      </c>
      <c r="GK19" s="113"/>
    </row>
    <row r="20" spans="1:193" s="119" customFormat="1" ht="15" customHeight="1">
      <c r="B20" s="573">
        <v>42809</v>
      </c>
      <c r="D20" s="323">
        <v>5012.04</v>
      </c>
      <c r="E20" s="128">
        <v>1030.08</v>
      </c>
      <c r="F20" s="86"/>
      <c r="G20" s="308">
        <v>5858.4369999999999</v>
      </c>
      <c r="H20" s="308"/>
      <c r="I20" s="308">
        <v>1470.547</v>
      </c>
      <c r="J20" s="308">
        <v>5417.5199999999995</v>
      </c>
      <c r="K20" s="308"/>
      <c r="L20" s="321"/>
      <c r="M20" s="115">
        <f t="shared" si="21"/>
        <v>6888.0669999999991</v>
      </c>
      <c r="N20" s="88">
        <f t="shared" si="0"/>
        <v>11900.557000000001</v>
      </c>
      <c r="O20" s="88">
        <f t="shared" si="22"/>
        <v>15344.5905</v>
      </c>
      <c r="P20" s="89">
        <f t="shared" si="23"/>
        <v>303247.41799999995</v>
      </c>
      <c r="R20" s="90">
        <f t="shared" si="24"/>
        <v>288</v>
      </c>
      <c r="S20" s="90">
        <f t="shared" si="25"/>
        <v>46.3</v>
      </c>
      <c r="T20" s="90">
        <f t="shared" si="1"/>
        <v>280.8</v>
      </c>
      <c r="U20" s="90">
        <f t="shared" si="75"/>
        <v>6.1</v>
      </c>
      <c r="V20" s="90">
        <f t="shared" si="26"/>
        <v>1262</v>
      </c>
      <c r="W20" s="91">
        <f t="shared" si="2"/>
        <v>120.5</v>
      </c>
      <c r="X20" s="90">
        <f t="shared" si="27"/>
        <v>1262</v>
      </c>
      <c r="Y20" s="90">
        <f t="shared" si="28"/>
        <v>11.7</v>
      </c>
      <c r="Z20" s="90">
        <f t="shared" si="3"/>
        <v>121.3</v>
      </c>
      <c r="AA20" s="90">
        <f t="shared" si="29"/>
        <v>1883.2</v>
      </c>
      <c r="AB20" s="90">
        <f t="shared" si="30"/>
        <v>228</v>
      </c>
      <c r="AC20" s="90">
        <f t="shared" si="30"/>
        <v>17</v>
      </c>
      <c r="AD20" s="90">
        <f t="shared" si="31"/>
        <v>439</v>
      </c>
      <c r="AE20" s="90">
        <f t="shared" si="32"/>
        <v>194</v>
      </c>
      <c r="AF20" s="90">
        <f t="shared" si="33"/>
        <v>168</v>
      </c>
      <c r="AG20" s="90">
        <f t="shared" si="33"/>
        <v>205</v>
      </c>
      <c r="AH20" s="90">
        <f t="shared" si="34"/>
        <v>474</v>
      </c>
      <c r="AI20" s="90">
        <f t="shared" si="35"/>
        <v>101</v>
      </c>
      <c r="AJ20" s="90">
        <f t="shared" si="36"/>
        <v>0</v>
      </c>
      <c r="AK20" s="90">
        <f t="shared" si="36"/>
        <v>0</v>
      </c>
      <c r="AL20" s="90">
        <f t="shared" si="37"/>
        <v>24</v>
      </c>
      <c r="AM20" s="90">
        <f t="shared" si="38"/>
        <v>24</v>
      </c>
      <c r="AN20" s="90">
        <f t="shared" si="39"/>
        <v>49</v>
      </c>
      <c r="AO20" s="90">
        <f t="shared" si="4"/>
        <v>84</v>
      </c>
      <c r="AP20" s="90">
        <f t="shared" si="40"/>
        <v>29</v>
      </c>
      <c r="AQ20" s="90">
        <f t="shared" si="5"/>
        <v>79</v>
      </c>
      <c r="AR20" s="90">
        <f t="shared" si="41"/>
        <v>123.61499999999999</v>
      </c>
      <c r="AS20" s="90">
        <f t="shared" si="42"/>
        <v>339.61500000000001</v>
      </c>
      <c r="AT20" s="90">
        <f t="shared" si="43"/>
        <v>1190.615</v>
      </c>
      <c r="AU20" s="90">
        <f t="shared" si="44"/>
        <v>256</v>
      </c>
      <c r="AV20" s="90">
        <f t="shared" si="66"/>
        <v>30</v>
      </c>
      <c r="AW20" s="90">
        <f t="shared" si="45"/>
        <v>595</v>
      </c>
      <c r="AX20" s="90">
        <f t="shared" si="67"/>
        <v>21</v>
      </c>
      <c r="AY20" s="90" t="str">
        <f t="shared" si="46"/>
        <v/>
      </c>
      <c r="AZ20" s="90">
        <f t="shared" si="47"/>
        <v>352</v>
      </c>
      <c r="BA20" s="90">
        <v>82</v>
      </c>
      <c r="BB20" s="90">
        <f t="shared" si="48"/>
        <v>63</v>
      </c>
      <c r="BC20" s="90">
        <f t="shared" si="48"/>
        <v>1194</v>
      </c>
      <c r="BD20" s="91">
        <f t="shared" si="49"/>
        <v>100</v>
      </c>
      <c r="BE20" s="90"/>
      <c r="BF20" s="90"/>
      <c r="BG20" s="90">
        <f t="shared" si="6"/>
        <v>1709</v>
      </c>
      <c r="BH20" s="90">
        <f t="shared" si="50"/>
        <v>1360</v>
      </c>
      <c r="BI20" s="90">
        <f t="shared" si="51"/>
        <v>1485.1850000000004</v>
      </c>
      <c r="BJ20" s="90">
        <f t="shared" si="7"/>
        <v>5082.8149999999996</v>
      </c>
      <c r="BK20" s="92"/>
      <c r="BL20" s="93">
        <f t="shared" si="52"/>
        <v>7928</v>
      </c>
      <c r="BM20" s="93">
        <f t="shared" si="53"/>
        <v>112021</v>
      </c>
      <c r="BN20" s="92"/>
      <c r="BO20" s="94">
        <f t="shared" si="54"/>
        <v>0.24200547923933308</v>
      </c>
      <c r="BP20" s="94">
        <f t="shared" si="54"/>
        <v>3.8905741974934446E-2</v>
      </c>
      <c r="BQ20" s="94">
        <f t="shared" si="55"/>
        <v>0.23595534225834974</v>
      </c>
      <c r="BR20" s="94">
        <f t="shared" si="68"/>
        <v>1.0604545652779109</v>
      </c>
      <c r="BS20" s="94">
        <f t="shared" si="8"/>
        <v>9.8314725940979054E-3</v>
      </c>
      <c r="BT20" s="94">
        <f t="shared" si="8"/>
        <v>0.10192800219351078</v>
      </c>
      <c r="BU20" s="95">
        <f t="shared" si="8"/>
        <v>1.5824469392483056</v>
      </c>
      <c r="BV20" s="94">
        <f t="shared" si="9"/>
        <v>0.18768829314799895</v>
      </c>
      <c r="BW20" s="94">
        <f t="shared" si="9"/>
        <v>3.017349990539011E-2</v>
      </c>
      <c r="BX20" s="94">
        <f t="shared" si="9"/>
        <v>0.18299608581929899</v>
      </c>
      <c r="BY20" s="94">
        <f t="shared" si="56"/>
        <v>0.82243967344713442</v>
      </c>
      <c r="BZ20" s="95">
        <f t="shared" si="10"/>
        <v>1.2272728946399711</v>
      </c>
      <c r="CA20" s="96" t="e">
        <f>#REF!</f>
        <v>#REF!</v>
      </c>
      <c r="CB20" s="94">
        <f t="shared" si="11"/>
        <v>8.0559334574617669E-2</v>
      </c>
      <c r="CC20" s="95">
        <f t="shared" si="11"/>
        <v>0.22132555443561688</v>
      </c>
      <c r="CD20" s="97">
        <f t="shared" si="12"/>
        <v>0.1794625400711114</v>
      </c>
      <c r="CE20" s="98">
        <f t="shared" si="12"/>
        <v>0.49304833997694864</v>
      </c>
      <c r="CF20" s="94">
        <f t="shared" si="57"/>
        <v>0.45490458974788711</v>
      </c>
      <c r="CG20" s="94">
        <f t="shared" si="57"/>
        <v>3.3918324674184562E-2</v>
      </c>
      <c r="CH20" s="95">
        <f t="shared" si="58"/>
        <v>0.87589085482158957</v>
      </c>
      <c r="CI20" s="96" t="e">
        <f>#REF!</f>
        <v>#REF!</v>
      </c>
      <c r="CJ20" s="94">
        <f t="shared" si="59"/>
        <v>1.6309412861137003</v>
      </c>
      <c r="CK20" s="94">
        <f t="shared" si="59"/>
        <v>1.9901366884125506</v>
      </c>
      <c r="CL20" s="95">
        <f t="shared" si="69"/>
        <v>4.6015843429636538</v>
      </c>
      <c r="CM20" s="95" t="e">
        <f>#REF!</f>
        <v>#REF!</v>
      </c>
      <c r="CN20" s="94" t="str">
        <f t="shared" si="60"/>
        <v>0,00</v>
      </c>
      <c r="CO20" s="94" t="str">
        <f t="shared" si="60"/>
        <v>0,00</v>
      </c>
      <c r="CP20" s="95" t="str">
        <f t="shared" si="61"/>
        <v xml:space="preserve">0,00 </v>
      </c>
      <c r="CQ20" s="95" t="e">
        <f>#REF!</f>
        <v>#REF!</v>
      </c>
      <c r="CR20" s="97">
        <f t="shared" si="70"/>
        <v>8.3640056212945527E-2</v>
      </c>
      <c r="CS20" s="95">
        <f t="shared" si="70"/>
        <v>0.14338295350790664</v>
      </c>
      <c r="CT20" s="96" t="e">
        <f>#REF!</f>
        <v>#REF!</v>
      </c>
      <c r="CU20" s="97" t="str">
        <f t="shared" si="71"/>
        <v xml:space="preserve">0,00 </v>
      </c>
      <c r="CV20" s="95" t="str">
        <f t="shared" si="62"/>
        <v xml:space="preserve">0,00 </v>
      </c>
      <c r="CW20" s="96" t="e">
        <f>#REF!</f>
        <v>#REF!</v>
      </c>
      <c r="CX20" s="99">
        <f t="shared" si="63"/>
        <v>0.16683403835377686</v>
      </c>
      <c r="CY20" s="95">
        <f t="shared" si="63"/>
        <v>1.9550863869583227E-2</v>
      </c>
      <c r="CZ20" s="99">
        <f t="shared" si="63"/>
        <v>0.38775880008006736</v>
      </c>
      <c r="DA20" s="95">
        <f t="shared" si="63"/>
        <v>1.3685604708708259E-2</v>
      </c>
      <c r="DB20" s="94">
        <f t="shared" si="13"/>
        <v>0.22939680273644317</v>
      </c>
      <c r="DC20" s="94">
        <f t="shared" si="14"/>
        <v>4.1056814126124774E-2</v>
      </c>
      <c r="DD20" s="94">
        <f t="shared" si="14"/>
        <v>0.77812438200941236</v>
      </c>
      <c r="DE20" s="94">
        <f t="shared" si="14"/>
        <v>6.5169546231944084E-2</v>
      </c>
      <c r="DF20" s="94">
        <f t="shared" si="14"/>
        <v>0</v>
      </c>
      <c r="DG20" s="94">
        <f t="shared" si="14"/>
        <v>0</v>
      </c>
      <c r="DH20" s="95">
        <f t="shared" si="14"/>
        <v>1.1137475451039245</v>
      </c>
      <c r="DI20" s="96" t="e">
        <f>#REF!</f>
        <v>#REF!</v>
      </c>
      <c r="DJ20" s="95">
        <f t="shared" si="64"/>
        <v>0.88630582875443953</v>
      </c>
      <c r="DK20" s="96" t="e">
        <f>#REF!</f>
        <v>#REF!</v>
      </c>
      <c r="DL20" s="95">
        <f t="shared" si="15"/>
        <v>0.96788832520489909</v>
      </c>
      <c r="DM20" s="96">
        <f t="shared" si="16"/>
        <v>0</v>
      </c>
      <c r="DN20" s="94">
        <f t="shared" si="17"/>
        <v>3.3124474713091883</v>
      </c>
      <c r="DO20" s="100">
        <v>3.4</v>
      </c>
      <c r="DP20" s="94">
        <f>IF($O20&lt;&gt;0,IF($O20&lt;&gt;0,BL20/$O20*10,0)," ")</f>
        <v>5.166641625268527</v>
      </c>
      <c r="DQ20" s="94">
        <f>IF($P20&lt;&gt;0,IF($P20&lt;&gt;0,BM20/$P20*10,0)," ")</f>
        <v>3.6940462919291872</v>
      </c>
      <c r="DR20" s="101" t="str">
        <f t="shared" si="18"/>
        <v>3,30 hL/NhL</v>
      </c>
      <c r="DS20" s="147"/>
      <c r="DT20" s="103">
        <v>15</v>
      </c>
      <c r="DU20" s="120">
        <v>609504</v>
      </c>
      <c r="DV20" s="120">
        <v>23371</v>
      </c>
      <c r="DW20" s="120">
        <v>5097499</v>
      </c>
      <c r="DX20" s="120">
        <v>102836</v>
      </c>
      <c r="DY20" s="120">
        <v>81018</v>
      </c>
      <c r="DZ20" s="120">
        <v>366903</v>
      </c>
      <c r="EA20" s="120">
        <v>212020</v>
      </c>
      <c r="EB20" s="120">
        <v>48299</v>
      </c>
      <c r="EC20" s="120">
        <v>372101</v>
      </c>
      <c r="ED20" s="120">
        <v>44407</v>
      </c>
      <c r="EE20" s="120">
        <v>36357</v>
      </c>
      <c r="EF20" s="120">
        <v>38086</v>
      </c>
      <c r="EG20" s="120">
        <v>89024</v>
      </c>
      <c r="EH20" s="120">
        <v>175592</v>
      </c>
      <c r="EI20" s="120">
        <v>29210</v>
      </c>
      <c r="EJ20" s="120">
        <v>37650</v>
      </c>
      <c r="EK20" s="120"/>
      <c r="EL20" s="120">
        <v>680736</v>
      </c>
      <c r="EM20" s="120">
        <v>2808</v>
      </c>
      <c r="EN20" s="120">
        <v>40096</v>
      </c>
      <c r="EO20" s="120">
        <v>2865081</v>
      </c>
      <c r="EP20" s="120">
        <v>2666140</v>
      </c>
      <c r="EQ20" s="120">
        <v>117</v>
      </c>
      <c r="ER20" s="120">
        <v>1213</v>
      </c>
      <c r="ES20" s="120">
        <v>285536</v>
      </c>
      <c r="ET20" s="120">
        <v>2109783</v>
      </c>
      <c r="EU20" s="120">
        <v>379460</v>
      </c>
      <c r="EV20" s="120">
        <v>112894</v>
      </c>
      <c r="EW20" s="120">
        <v>72976</v>
      </c>
      <c r="EX20" s="120">
        <v>197798</v>
      </c>
      <c r="EY20" s="120">
        <v>1573672</v>
      </c>
      <c r="EZ20" s="120">
        <v>705410</v>
      </c>
      <c r="FA20" s="151">
        <v>721574</v>
      </c>
      <c r="FB20" s="77">
        <v>29605</v>
      </c>
      <c r="FC20" s="77">
        <v>6568</v>
      </c>
      <c r="FD20" s="104">
        <f t="shared" si="76"/>
        <v>7250</v>
      </c>
      <c r="FE20" s="105">
        <f t="shared" si="20"/>
        <v>0</v>
      </c>
      <c r="FF20" s="105">
        <f t="shared" si="20"/>
        <v>422</v>
      </c>
      <c r="FG20" s="105">
        <f t="shared" si="20"/>
        <v>1512</v>
      </c>
      <c r="FH20" s="105">
        <f t="shared" si="20"/>
        <v>1944</v>
      </c>
      <c r="FI20" s="105">
        <f t="shared" si="20"/>
        <v>600</v>
      </c>
      <c r="FJ20" s="105">
        <f t="shared" si="20"/>
        <v>775</v>
      </c>
      <c r="FK20" s="105">
        <f t="shared" si="20"/>
        <v>0</v>
      </c>
      <c r="FL20" s="105">
        <f t="shared" si="20"/>
        <v>1997</v>
      </c>
      <c r="FM20" s="105">
        <f t="shared" si="20"/>
        <v>0</v>
      </c>
      <c r="FN20" s="80">
        <f>IF(FO20="",0,(FO20-FO19))</f>
        <v>678</v>
      </c>
      <c r="FO20" s="77">
        <f>FO19+678</f>
        <v>63835</v>
      </c>
      <c r="FP20" s="132" t="s">
        <v>188</v>
      </c>
      <c r="FX20" s="64"/>
      <c r="FY20" s="119">
        <v>15</v>
      </c>
      <c r="FZ20" s="107"/>
      <c r="GA20" s="107"/>
      <c r="GB20" s="107"/>
      <c r="GC20" s="109"/>
      <c r="GD20" s="110"/>
      <c r="GE20" s="110"/>
      <c r="GF20" s="111"/>
      <c r="GG20" s="111"/>
      <c r="GH20" s="111"/>
      <c r="GI20" s="112"/>
      <c r="GJ20" s="111" t="e">
        <f t="shared" si="65"/>
        <v>#DIV/0!</v>
      </c>
      <c r="GK20" s="113"/>
    </row>
    <row r="21" spans="1:193" s="119" customFormat="1" ht="15" customHeight="1">
      <c r="B21" s="573">
        <v>42810</v>
      </c>
      <c r="D21" s="323">
        <v>5365.08</v>
      </c>
      <c r="E21" s="128">
        <v>4245.72</v>
      </c>
      <c r="F21" s="86"/>
      <c r="G21" s="308">
        <v>6534.8829999999998</v>
      </c>
      <c r="H21" s="308">
        <v>4526.6099999999997</v>
      </c>
      <c r="I21" s="308">
        <v>2019.951</v>
      </c>
      <c r="J21" s="308">
        <v>1659.72</v>
      </c>
      <c r="K21" s="308">
        <v>2.7360000000000002</v>
      </c>
      <c r="L21" s="321"/>
      <c r="M21" s="115">
        <f t="shared" si="21"/>
        <v>3679.6710000000003</v>
      </c>
      <c r="N21" s="88">
        <f t="shared" si="0"/>
        <v>20672.292999999998</v>
      </c>
      <c r="O21" s="88">
        <f t="shared" si="22"/>
        <v>22512.128499999999</v>
      </c>
      <c r="P21" s="89">
        <f t="shared" si="23"/>
        <v>325759.54649999994</v>
      </c>
      <c r="R21" s="90">
        <f t="shared" si="24"/>
        <v>216</v>
      </c>
      <c r="S21" s="90">
        <f t="shared" si="25"/>
        <v>29.3</v>
      </c>
      <c r="T21" s="90">
        <f t="shared" si="1"/>
        <v>489.9</v>
      </c>
      <c r="U21" s="90">
        <f t="shared" si="75"/>
        <v>4.2</v>
      </c>
      <c r="V21" s="90">
        <f t="shared" si="26"/>
        <v>1553</v>
      </c>
      <c r="W21" s="91">
        <f t="shared" si="2"/>
        <v>288.2</v>
      </c>
      <c r="X21" s="90">
        <f t="shared" si="27"/>
        <v>1553</v>
      </c>
      <c r="Y21" s="90">
        <f t="shared" si="28"/>
        <v>66.400000000000006</v>
      </c>
      <c r="Z21" s="90">
        <f t="shared" si="3"/>
        <v>146.5</v>
      </c>
      <c r="AA21" s="90">
        <f t="shared" si="29"/>
        <v>2292.4</v>
      </c>
      <c r="AB21" s="90">
        <f t="shared" si="30"/>
        <v>273</v>
      </c>
      <c r="AC21" s="90">
        <f t="shared" si="30"/>
        <v>23</v>
      </c>
      <c r="AD21" s="90">
        <f t="shared" si="31"/>
        <v>475</v>
      </c>
      <c r="AE21" s="90">
        <f t="shared" si="32"/>
        <v>179</v>
      </c>
      <c r="AF21" s="90">
        <f t="shared" si="33"/>
        <v>228</v>
      </c>
      <c r="AG21" s="90">
        <f t="shared" si="33"/>
        <v>35</v>
      </c>
      <c r="AH21" s="90">
        <f t="shared" si="34"/>
        <v>314</v>
      </c>
      <c r="AI21" s="90">
        <f t="shared" si="35"/>
        <v>51</v>
      </c>
      <c r="AJ21" s="90">
        <f t="shared" si="36"/>
        <v>0</v>
      </c>
      <c r="AK21" s="90">
        <f>IF(EB21=0,"",(EB21-EB20))</f>
        <v>0</v>
      </c>
      <c r="AL21" s="90">
        <f t="shared" si="37"/>
        <v>8</v>
      </c>
      <c r="AM21" s="90">
        <f t="shared" si="38"/>
        <v>8</v>
      </c>
      <c r="AN21" s="90">
        <f t="shared" si="39"/>
        <v>55</v>
      </c>
      <c r="AO21" s="90">
        <f t="shared" si="4"/>
        <v>84</v>
      </c>
      <c r="AP21" s="90">
        <f t="shared" si="40"/>
        <v>15</v>
      </c>
      <c r="AQ21" s="90">
        <f t="shared" si="5"/>
        <v>29</v>
      </c>
      <c r="AR21" s="90">
        <f t="shared" si="41"/>
        <v>41.533000000000001</v>
      </c>
      <c r="AS21" s="90">
        <f t="shared" si="42"/>
        <v>69.533000000000015</v>
      </c>
      <c r="AT21" s="90">
        <f t="shared" si="43"/>
        <v>345.53300000000002</v>
      </c>
      <c r="AU21" s="90">
        <f t="shared" si="44"/>
        <v>248</v>
      </c>
      <c r="AV21" s="90">
        <f t="shared" si="66"/>
        <v>34</v>
      </c>
      <c r="AW21" s="90">
        <f t="shared" si="45"/>
        <v>28</v>
      </c>
      <c r="AX21" s="90">
        <f t="shared" si="67"/>
        <v>40</v>
      </c>
      <c r="AY21" s="90" t="str">
        <f t="shared" si="46"/>
        <v/>
      </c>
      <c r="AZ21" s="90">
        <f t="shared" si="47"/>
        <v>348</v>
      </c>
      <c r="BA21" s="90">
        <v>100</v>
      </c>
      <c r="BB21" s="90">
        <f t="shared" si="48"/>
        <v>95</v>
      </c>
      <c r="BC21" s="90">
        <f t="shared" si="48"/>
        <v>815</v>
      </c>
      <c r="BD21" s="91">
        <f t="shared" si="49"/>
        <v>356</v>
      </c>
      <c r="BE21" s="90"/>
      <c r="BF21" s="90"/>
      <c r="BG21" s="90">
        <f t="shared" si="6"/>
        <v>1614</v>
      </c>
      <c r="BH21" s="90">
        <f t="shared" si="50"/>
        <v>654</v>
      </c>
      <c r="BI21" s="90">
        <f t="shared" si="51"/>
        <v>1636.067</v>
      </c>
      <c r="BJ21" s="90">
        <f t="shared" si="7"/>
        <v>4959.933</v>
      </c>
      <c r="BK21" s="92"/>
      <c r="BL21" s="93">
        <f t="shared" si="52"/>
        <v>7250</v>
      </c>
      <c r="BM21" s="93">
        <f t="shared" si="53"/>
        <v>119271</v>
      </c>
      <c r="BN21" s="92"/>
      <c r="BO21" s="94">
        <f t="shared" si="54"/>
        <v>0.10448768310317585</v>
      </c>
      <c r="BP21" s="94">
        <f t="shared" si="54"/>
        <v>1.4173560717236354E-2</v>
      </c>
      <c r="BQ21" s="94">
        <f t="shared" si="55"/>
        <v>0.23698387014928629</v>
      </c>
      <c r="BR21" s="94">
        <f t="shared" si="68"/>
        <v>0.75124709194088923</v>
      </c>
      <c r="BS21" s="94">
        <f t="shared" si="8"/>
        <v>3.2120287768754058E-2</v>
      </c>
      <c r="BT21" s="94">
        <f t="shared" si="8"/>
        <v>7.0867803586181763E-2</v>
      </c>
      <c r="BU21" s="95">
        <f t="shared" si="8"/>
        <v>1.1089239108598161</v>
      </c>
      <c r="BV21" s="94">
        <f t="shared" si="9"/>
        <v>9.5948279612920656E-2</v>
      </c>
      <c r="BW21" s="94">
        <f t="shared" si="9"/>
        <v>1.3015206447493405E-2</v>
      </c>
      <c r="BX21" s="94">
        <f t="shared" si="9"/>
        <v>0.21761602862208254</v>
      </c>
      <c r="BY21" s="94">
        <f t="shared" si="56"/>
        <v>0.68985036221697116</v>
      </c>
      <c r="BZ21" s="95">
        <f t="shared" si="10"/>
        <v>1.0182955378919414</v>
      </c>
      <c r="CA21" s="96" t="e">
        <f>#REF!</f>
        <v>#REF!</v>
      </c>
      <c r="CB21" s="94">
        <f t="shared" si="11"/>
        <v>1.844916619057145E-2</v>
      </c>
      <c r="CC21" s="95">
        <f t="shared" si="11"/>
        <v>3.0886906140394507E-2</v>
      </c>
      <c r="CD21" s="97">
        <f t="shared" si="12"/>
        <v>0.11287150400130881</v>
      </c>
      <c r="CE21" s="98">
        <f t="shared" si="12"/>
        <v>0.18896526347056575</v>
      </c>
      <c r="CF21" s="94">
        <f t="shared" si="57"/>
        <v>0.5088460936276813</v>
      </c>
      <c r="CG21" s="94">
        <f t="shared" si="57"/>
        <v>4.2869817411855929E-2</v>
      </c>
      <c r="CH21" s="95">
        <f t="shared" si="58"/>
        <v>0.88535492481006806</v>
      </c>
      <c r="CI21" s="96" t="e">
        <f>#REF!</f>
        <v>#REF!</v>
      </c>
      <c r="CJ21" s="94">
        <f t="shared" si="59"/>
        <v>0.53701139029422573</v>
      </c>
      <c r="CK21" s="94">
        <f t="shared" si="59"/>
        <v>8.2435959036394307E-2</v>
      </c>
      <c r="CL21" s="95">
        <f t="shared" si="69"/>
        <v>0.73956831821222313</v>
      </c>
      <c r="CM21" s="95" t="e">
        <f>#REF!</f>
        <v>#REF!</v>
      </c>
      <c r="CN21" s="94" t="str">
        <f t="shared" si="60"/>
        <v>0,00</v>
      </c>
      <c r="CO21" s="94" t="str">
        <f t="shared" si="60"/>
        <v>0,00</v>
      </c>
      <c r="CP21" s="95" t="str">
        <f t="shared" si="61"/>
        <v xml:space="preserve">0,00 </v>
      </c>
      <c r="CQ21" s="95" t="e">
        <f>#REF!</f>
        <v>#REF!</v>
      </c>
      <c r="CR21" s="97">
        <f t="shared" si="70"/>
        <v>8.4163710352580134E-2</v>
      </c>
      <c r="CS21" s="95">
        <f t="shared" si="70"/>
        <v>0.12854093944757697</v>
      </c>
      <c r="CT21" s="96" t="e">
        <f>#REF!</f>
        <v>#REF!</v>
      </c>
      <c r="CU21" s="97">
        <f t="shared" si="71"/>
        <v>3.3137380953958927E-2</v>
      </c>
      <c r="CV21" s="95">
        <f t="shared" si="62"/>
        <v>6.4065603177653918E-2</v>
      </c>
      <c r="CW21" s="96" t="e">
        <f>#REF!</f>
        <v>#REF!</v>
      </c>
      <c r="CX21" s="99">
        <f t="shared" si="63"/>
        <v>0.11016283955557557</v>
      </c>
      <c r="CY21" s="95">
        <f t="shared" si="63"/>
        <v>1.5102969939070844E-2</v>
      </c>
      <c r="CZ21" s="99">
        <f t="shared" si="63"/>
        <v>1.2437739949823048E-2</v>
      </c>
      <c r="DA21" s="95">
        <f t="shared" si="63"/>
        <v>1.7768199928318639E-2</v>
      </c>
      <c r="DB21" s="94">
        <f t="shared" si="13"/>
        <v>0.15458333937637217</v>
      </c>
      <c r="DC21" s="94">
        <f t="shared" si="14"/>
        <v>4.2199474829756764E-2</v>
      </c>
      <c r="DD21" s="94">
        <f t="shared" si="14"/>
        <v>0.36202707353949232</v>
      </c>
      <c r="DE21" s="94">
        <f t="shared" si="14"/>
        <v>0.15813697936203588</v>
      </c>
      <c r="DF21" s="94">
        <f t="shared" si="14"/>
        <v>0</v>
      </c>
      <c r="DG21" s="94">
        <f t="shared" si="14"/>
        <v>0</v>
      </c>
      <c r="DH21" s="95">
        <f t="shared" si="14"/>
        <v>0.7169468671076572</v>
      </c>
      <c r="DI21" s="96" t="e">
        <f>#REF!</f>
        <v>#REF!</v>
      </c>
      <c r="DJ21" s="95">
        <f t="shared" si="64"/>
        <v>0.29051006882800978</v>
      </c>
      <c r="DK21" s="96" t="e">
        <f>#REF!</f>
        <v>#REF!</v>
      </c>
      <c r="DL21" s="95">
        <f t="shared" si="15"/>
        <v>0.72674913880311232</v>
      </c>
      <c r="DM21" s="96">
        <f t="shared" si="16"/>
        <v>0</v>
      </c>
      <c r="DN21" s="94">
        <f t="shared" si="17"/>
        <v>2.2032270293766314</v>
      </c>
      <c r="DO21" s="100">
        <v>3.4</v>
      </c>
      <c r="DP21" s="94">
        <f t="shared" si="72"/>
        <v>3.2204862370077536</v>
      </c>
      <c r="DQ21" s="94">
        <f t="shared" si="73"/>
        <v>3.6613201756160976</v>
      </c>
      <c r="DR21" s="101" t="str">
        <f t="shared" si="18"/>
        <v>3,30 hL/NhL</v>
      </c>
      <c r="DS21" s="147"/>
      <c r="DT21" s="103">
        <v>16</v>
      </c>
      <c r="DU21" s="120">
        <v>609777</v>
      </c>
      <c r="DV21" s="120">
        <v>23394</v>
      </c>
      <c r="DW21" s="120">
        <v>5097974</v>
      </c>
      <c r="DX21" s="120">
        <v>103064</v>
      </c>
      <c r="DY21" s="120">
        <v>81053</v>
      </c>
      <c r="DZ21" s="120">
        <v>367217</v>
      </c>
      <c r="EA21" s="120">
        <v>212020</v>
      </c>
      <c r="EB21" s="120">
        <v>48299</v>
      </c>
      <c r="EC21" s="120">
        <v>372109</v>
      </c>
      <c r="ED21" s="120">
        <v>44462</v>
      </c>
      <c r="EE21" s="120">
        <v>36396</v>
      </c>
      <c r="EF21" s="120">
        <v>38131</v>
      </c>
      <c r="EG21" s="120">
        <v>89039</v>
      </c>
      <c r="EH21" s="120">
        <v>175621</v>
      </c>
      <c r="EI21" s="120">
        <v>29244</v>
      </c>
      <c r="EJ21" s="120">
        <v>37690</v>
      </c>
      <c r="EK21" s="120"/>
      <c r="EL21" s="120">
        <v>680952</v>
      </c>
      <c r="EM21" s="120">
        <v>4899</v>
      </c>
      <c r="EN21" s="120">
        <v>40138</v>
      </c>
      <c r="EO21" s="120">
        <v>2866634</v>
      </c>
      <c r="EP21" s="120">
        <v>2669022</v>
      </c>
      <c r="EQ21" s="120">
        <v>664</v>
      </c>
      <c r="ER21" s="120">
        <v>1465</v>
      </c>
      <c r="ES21" s="120">
        <v>285840</v>
      </c>
      <c r="ET21" s="120">
        <v>2151316</v>
      </c>
      <c r="EU21" s="120">
        <v>379488</v>
      </c>
      <c r="EV21" s="120">
        <v>113142</v>
      </c>
      <c r="EW21" s="120">
        <v>73324</v>
      </c>
      <c r="EX21" s="120">
        <v>197893</v>
      </c>
      <c r="EY21" s="120">
        <v>1574487</v>
      </c>
      <c r="EZ21" s="120">
        <v>705703</v>
      </c>
      <c r="FA21" s="151">
        <v>721930</v>
      </c>
      <c r="FB21" s="77">
        <v>29712</v>
      </c>
      <c r="FC21" s="77">
        <v>6596</v>
      </c>
      <c r="FD21" s="104">
        <f t="shared" si="76"/>
        <v>6736</v>
      </c>
      <c r="FE21" s="105">
        <f t="shared" si="20"/>
        <v>0</v>
      </c>
      <c r="FF21" s="105">
        <f t="shared" si="20"/>
        <v>276</v>
      </c>
      <c r="FG21" s="105">
        <f t="shared" si="20"/>
        <v>1628</v>
      </c>
      <c r="FH21" s="105">
        <f t="shared" si="20"/>
        <v>1485</v>
      </c>
      <c r="FI21" s="105">
        <f t="shared" si="20"/>
        <v>606</v>
      </c>
      <c r="FJ21" s="105">
        <f t="shared" si="20"/>
        <v>775</v>
      </c>
      <c r="FK21" s="105">
        <f t="shared" si="20"/>
        <v>0</v>
      </c>
      <c r="FL21" s="105">
        <f t="shared" si="20"/>
        <v>1966</v>
      </c>
      <c r="FM21" s="105">
        <f t="shared" si="20"/>
        <v>0</v>
      </c>
      <c r="FN21" s="80">
        <f t="shared" si="74"/>
        <v>514</v>
      </c>
      <c r="FO21" s="174">
        <f>FO20+514</f>
        <v>64349</v>
      </c>
      <c r="FP21" s="132" t="s">
        <v>189</v>
      </c>
      <c r="FX21" s="64"/>
      <c r="FY21" s="119">
        <v>16</v>
      </c>
      <c r="FZ21" s="107"/>
      <c r="GA21" s="163"/>
      <c r="GB21" s="107"/>
      <c r="GC21" s="109"/>
      <c r="GD21" s="110"/>
      <c r="GE21" s="110"/>
      <c r="GF21" s="111"/>
      <c r="GG21" s="111"/>
      <c r="GH21" s="111"/>
      <c r="GI21" s="164"/>
      <c r="GJ21" s="111" t="e">
        <f t="shared" si="65"/>
        <v>#DIV/0!</v>
      </c>
      <c r="GK21" s="113"/>
    </row>
    <row r="22" spans="1:193" ht="15" customHeight="1">
      <c r="B22" s="573">
        <v>42811</v>
      </c>
      <c r="D22" s="323">
        <v>6096</v>
      </c>
      <c r="E22" s="128">
        <v>4152</v>
      </c>
      <c r="F22" s="86"/>
      <c r="G22" s="86">
        <v>4106.1710000000003</v>
      </c>
      <c r="H22" s="86">
        <v>6347.1309999999994</v>
      </c>
      <c r="I22" s="86">
        <v>1176.7909999999999</v>
      </c>
      <c r="J22" s="86">
        <v>3427.8</v>
      </c>
      <c r="K22" s="284"/>
      <c r="L22" s="167"/>
      <c r="M22" s="115">
        <f t="shared" si="21"/>
        <v>4604.5910000000003</v>
      </c>
      <c r="N22" s="88">
        <f t="shared" si="0"/>
        <v>20701.302</v>
      </c>
      <c r="O22" s="88">
        <f t="shared" si="22"/>
        <v>23003.5975</v>
      </c>
      <c r="P22" s="89">
        <f t="shared" si="23"/>
        <v>348763.14399999991</v>
      </c>
      <c r="Q22" s="168"/>
      <c r="R22" s="90">
        <f t="shared" si="24"/>
        <v>243</v>
      </c>
      <c r="S22" s="90">
        <f t="shared" si="25"/>
        <v>17</v>
      </c>
      <c r="T22" s="90">
        <f t="shared" si="1"/>
        <v>544</v>
      </c>
      <c r="U22" s="90">
        <f t="shared" si="75"/>
        <v>5.5</v>
      </c>
      <c r="V22" s="90">
        <f t="shared" si="26"/>
        <v>1629</v>
      </c>
      <c r="W22" s="91">
        <f t="shared" si="2"/>
        <v>858.3</v>
      </c>
      <c r="X22" s="90">
        <f t="shared" si="27"/>
        <v>1629</v>
      </c>
      <c r="Y22" s="90" t="str">
        <f t="shared" si="28"/>
        <v>0</v>
      </c>
      <c r="Z22" s="90">
        <f t="shared" si="3"/>
        <v>150.6</v>
      </c>
      <c r="AA22" s="90">
        <f t="shared" si="29"/>
        <v>2438.5</v>
      </c>
      <c r="AB22" s="90">
        <f t="shared" si="30"/>
        <v>272</v>
      </c>
      <c r="AC22" s="90">
        <f t="shared" si="30"/>
        <v>13</v>
      </c>
      <c r="AD22" s="90">
        <f t="shared" si="31"/>
        <v>474</v>
      </c>
      <c r="AE22" s="90">
        <f t="shared" si="32"/>
        <v>189</v>
      </c>
      <c r="AF22" s="90">
        <f t="shared" si="33"/>
        <v>204</v>
      </c>
      <c r="AG22" s="90">
        <f t="shared" si="33"/>
        <v>27</v>
      </c>
      <c r="AH22" s="90">
        <f t="shared" si="34"/>
        <v>307</v>
      </c>
      <c r="AI22" s="90">
        <f t="shared" si="35"/>
        <v>76</v>
      </c>
      <c r="AJ22" s="90">
        <f t="shared" si="36"/>
        <v>0</v>
      </c>
      <c r="AK22" s="90">
        <f t="shared" si="36"/>
        <v>0</v>
      </c>
      <c r="AL22" s="90">
        <f t="shared" si="37"/>
        <v>38</v>
      </c>
      <c r="AM22" s="90">
        <f t="shared" si="38"/>
        <v>38</v>
      </c>
      <c r="AN22" s="90">
        <f t="shared" si="39"/>
        <v>40</v>
      </c>
      <c r="AO22" s="90">
        <f t="shared" si="4"/>
        <v>61</v>
      </c>
      <c r="AP22" s="90">
        <f t="shared" si="40"/>
        <v>13</v>
      </c>
      <c r="AQ22" s="90">
        <f t="shared" si="5"/>
        <v>27</v>
      </c>
      <c r="AR22" s="90">
        <f t="shared" si="41"/>
        <v>46.515999999999998</v>
      </c>
      <c r="AS22" s="90">
        <f t="shared" si="42"/>
        <v>234.51599999999996</v>
      </c>
      <c r="AT22" s="90">
        <f t="shared" si="43"/>
        <v>836.51599999999996</v>
      </c>
      <c r="AU22" s="90">
        <f t="shared" si="44"/>
        <v>166</v>
      </c>
      <c r="AV22" s="90">
        <f t="shared" si="66"/>
        <v>12</v>
      </c>
      <c r="AW22" s="90">
        <f t="shared" si="45"/>
        <v>436</v>
      </c>
      <c r="AX22" s="90">
        <f t="shared" si="67"/>
        <v>40</v>
      </c>
      <c r="AY22" s="90" t="str">
        <f t="shared" si="46"/>
        <v/>
      </c>
      <c r="AZ22" s="90">
        <f t="shared" si="47"/>
        <v>450</v>
      </c>
      <c r="BA22" s="90">
        <v>29</v>
      </c>
      <c r="BB22" s="90">
        <f t="shared" si="48"/>
        <v>103</v>
      </c>
      <c r="BC22" s="90">
        <f t="shared" si="48"/>
        <v>1022</v>
      </c>
      <c r="BD22" s="91">
        <f t="shared" si="49"/>
        <v>336</v>
      </c>
      <c r="BE22" s="90"/>
      <c r="BF22" s="90"/>
      <c r="BG22" s="90">
        <f t="shared" si="6"/>
        <v>1911</v>
      </c>
      <c r="BH22" s="90">
        <f t="shared" si="50"/>
        <v>-287</v>
      </c>
      <c r="BI22" s="90">
        <f t="shared" si="51"/>
        <v>2113.9840000000004</v>
      </c>
      <c r="BJ22" s="90">
        <f t="shared" si="7"/>
        <v>5543.0159999999996</v>
      </c>
      <c r="BK22" s="92"/>
      <c r="BL22" s="93">
        <f t="shared" si="52"/>
        <v>7370</v>
      </c>
      <c r="BM22" s="93">
        <f t="shared" si="53"/>
        <v>126641</v>
      </c>
      <c r="BN22" s="92"/>
      <c r="BO22" s="94">
        <f t="shared" si="54"/>
        <v>0.11738392106931245</v>
      </c>
      <c r="BP22" s="94">
        <f t="shared" si="54"/>
        <v>8.2120438608160977E-3</v>
      </c>
      <c r="BQ22" s="94">
        <f t="shared" si="55"/>
        <v>0.26278540354611513</v>
      </c>
      <c r="BR22" s="94">
        <f t="shared" si="68"/>
        <v>0.78690702642761323</v>
      </c>
      <c r="BS22" s="94">
        <f t="shared" ref="BS22:BU36" si="77">IF($N22&lt;&gt;0,IF($N22&lt;&gt;0,Y22/$N22*10,0)," ")</f>
        <v>0</v>
      </c>
      <c r="BT22" s="94">
        <f t="shared" si="77"/>
        <v>7.2749047378759077E-2</v>
      </c>
      <c r="BU22" s="95">
        <f t="shared" si="77"/>
        <v>1.1779452326235327</v>
      </c>
      <c r="BV22" s="94">
        <f t="shared" si="9"/>
        <v>0.10563565111935209</v>
      </c>
      <c r="BW22" s="94">
        <f t="shared" si="9"/>
        <v>7.390148432218047E-3</v>
      </c>
      <c r="BX22" s="94">
        <f t="shared" si="9"/>
        <v>0.2364847498309775</v>
      </c>
      <c r="BY22" s="94">
        <f t="shared" si="56"/>
        <v>0.70815010565195291</v>
      </c>
      <c r="BZ22" s="95">
        <f t="shared" si="10"/>
        <v>1.06005158540963</v>
      </c>
      <c r="CA22" s="96" t="e">
        <f>#REF!</f>
        <v>#REF!</v>
      </c>
      <c r="CB22" s="94">
        <f t="shared" si="11"/>
        <v>2.0221184969003221E-2</v>
      </c>
      <c r="CC22" s="95">
        <f t="shared" si="11"/>
        <v>0.10194753233706161</v>
      </c>
      <c r="CD22" s="97">
        <f t="shared" si="12"/>
        <v>0.10102091586418857</v>
      </c>
      <c r="CE22" s="98">
        <f t="shared" si="12"/>
        <v>0.50930907869993225</v>
      </c>
      <c r="CF22" s="94">
        <f t="shared" si="57"/>
        <v>0.4461942257217848</v>
      </c>
      <c r="CG22" s="94">
        <f t="shared" si="57"/>
        <v>2.1325459317585303E-2</v>
      </c>
      <c r="CH22" s="95">
        <f t="shared" si="58"/>
        <v>0.77755905511811019</v>
      </c>
      <c r="CI22" s="96" t="e">
        <f>#REF!</f>
        <v>#REF!</v>
      </c>
      <c r="CJ22" s="94">
        <f t="shared" si="59"/>
        <v>0.49132947976878616</v>
      </c>
      <c r="CK22" s="94">
        <f t="shared" si="59"/>
        <v>6.5028901734104055E-2</v>
      </c>
      <c r="CL22" s="95">
        <f t="shared" si="69"/>
        <v>0.73940269749518295</v>
      </c>
      <c r="CM22" s="95" t="e">
        <f>#REF!</f>
        <v>#REF!</v>
      </c>
      <c r="CN22" s="94" t="str">
        <f t="shared" si="60"/>
        <v>0,00</v>
      </c>
      <c r="CO22" s="94" t="str">
        <f t="shared" si="60"/>
        <v>0,00</v>
      </c>
      <c r="CP22" s="95" t="str">
        <f t="shared" si="61"/>
        <v xml:space="preserve">0,00 </v>
      </c>
      <c r="CQ22" s="95" t="e">
        <f>#REF!</f>
        <v>#REF!</v>
      </c>
      <c r="CR22" s="97">
        <f t="shared" si="70"/>
        <v>9.7414355125492819E-2</v>
      </c>
      <c r="CS22" s="95">
        <f t="shared" si="70"/>
        <v>0.14855689156637655</v>
      </c>
      <c r="CT22" s="96" t="e">
        <f>#REF!</f>
        <v>#REF!</v>
      </c>
      <c r="CU22" s="97">
        <f t="shared" si="71"/>
        <v>2.0481694800375164E-2</v>
      </c>
      <c r="CV22" s="95">
        <f t="shared" si="62"/>
        <v>4.2538904585394569E-2</v>
      </c>
      <c r="CW22" s="96" t="e">
        <f>#REF!</f>
        <v>#REF!</v>
      </c>
      <c r="CX22" s="99">
        <f t="shared" si="63"/>
        <v>7.2162625867540936E-2</v>
      </c>
      <c r="CY22" s="95">
        <f t="shared" si="63"/>
        <v>5.216575363918622E-3</v>
      </c>
      <c r="CZ22" s="99">
        <f t="shared" si="63"/>
        <v>0.18953557155570994</v>
      </c>
      <c r="DA22" s="95">
        <f t="shared" si="63"/>
        <v>1.7388584546395407E-2</v>
      </c>
      <c r="DB22" s="94">
        <f t="shared" si="13"/>
        <v>0.19562157614694833</v>
      </c>
      <c r="DC22" s="94">
        <f t="shared" si="14"/>
        <v>4.4775605206968175E-2</v>
      </c>
      <c r="DD22" s="94">
        <f t="shared" si="14"/>
        <v>0.44427833516040266</v>
      </c>
      <c r="DE22" s="94">
        <f t="shared" si="14"/>
        <v>0.1460641101897214</v>
      </c>
      <c r="DF22" s="94">
        <f t="shared" si="14"/>
        <v>0</v>
      </c>
      <c r="DG22" s="94">
        <f t="shared" si="14"/>
        <v>0</v>
      </c>
      <c r="DH22" s="95">
        <f t="shared" si="14"/>
        <v>0.83073962670404056</v>
      </c>
      <c r="DI22" s="96" t="e">
        <f>#REF!</f>
        <v>#REF!</v>
      </c>
      <c r="DJ22" s="95">
        <f t="shared" si="64"/>
        <v>-0.12476309412038702</v>
      </c>
      <c r="DK22" s="96" t="e">
        <f>#REF!</f>
        <v>#REF!</v>
      </c>
      <c r="DL22" s="95">
        <f t="shared" si="15"/>
        <v>0.91897973784317877</v>
      </c>
      <c r="DM22" s="96">
        <f t="shared" si="16"/>
        <v>0</v>
      </c>
      <c r="DN22" s="94">
        <f t="shared" si="17"/>
        <v>2.4096300589505617</v>
      </c>
      <c r="DO22" s="100">
        <v>3.4</v>
      </c>
      <c r="DP22" s="94">
        <f t="shared" si="72"/>
        <v>3.2038467026733537</v>
      </c>
      <c r="DQ22" s="94">
        <f t="shared" si="73"/>
        <v>3.6311463002524151</v>
      </c>
      <c r="DR22" s="101" t="str">
        <f t="shared" si="18"/>
        <v>3,30 hL/NhL</v>
      </c>
      <c r="DS22" s="116"/>
      <c r="DT22" s="103">
        <v>17</v>
      </c>
      <c r="DU22" s="120">
        <v>610049</v>
      </c>
      <c r="DV22" s="120">
        <v>23407</v>
      </c>
      <c r="DW22" s="120">
        <v>5098448</v>
      </c>
      <c r="DX22" s="120">
        <v>103268</v>
      </c>
      <c r="DY22" s="120">
        <v>81080</v>
      </c>
      <c r="DZ22" s="120">
        <v>367524</v>
      </c>
      <c r="EA22" s="120">
        <v>212020</v>
      </c>
      <c r="EB22" s="120">
        <v>48299</v>
      </c>
      <c r="EC22" s="120">
        <v>372147</v>
      </c>
      <c r="ED22" s="120">
        <v>44502</v>
      </c>
      <c r="EE22" s="120">
        <v>36416</v>
      </c>
      <c r="EF22" s="120">
        <v>38172</v>
      </c>
      <c r="EG22" s="120">
        <v>89052</v>
      </c>
      <c r="EH22" s="120">
        <v>175648</v>
      </c>
      <c r="EI22" s="120">
        <v>29256</v>
      </c>
      <c r="EJ22" s="120">
        <v>37730</v>
      </c>
      <c r="EK22" s="120"/>
      <c r="EL22" s="120">
        <v>681195</v>
      </c>
      <c r="EM22" s="120">
        <v>5440</v>
      </c>
      <c r="EN22" s="120">
        <v>40193</v>
      </c>
      <c r="EO22" s="120">
        <v>2868263</v>
      </c>
      <c r="EP22" s="120">
        <v>2677605</v>
      </c>
      <c r="EQ22" s="120">
        <v>0</v>
      </c>
      <c r="ER22" s="120">
        <v>1506</v>
      </c>
      <c r="ES22" s="120">
        <v>286630</v>
      </c>
      <c r="ET22" s="120">
        <v>2197832</v>
      </c>
      <c r="EU22" s="120">
        <v>379924</v>
      </c>
      <c r="EV22" s="120">
        <v>113308</v>
      </c>
      <c r="EW22" s="120">
        <v>73774</v>
      </c>
      <c r="EX22" s="120">
        <v>197996</v>
      </c>
      <c r="EY22" s="120">
        <v>1575509</v>
      </c>
      <c r="EZ22" s="120">
        <v>705873</v>
      </c>
      <c r="FA22" s="151">
        <v>722266</v>
      </c>
      <c r="FB22" s="77">
        <v>29744</v>
      </c>
      <c r="FC22" s="77">
        <v>7657</v>
      </c>
      <c r="FD22" s="104">
        <f t="shared" si="76"/>
        <v>6856</v>
      </c>
      <c r="FE22" s="105">
        <f t="shared" ref="FE22:FM36" si="78">FE55-FE54</f>
        <v>0</v>
      </c>
      <c r="FF22" s="105">
        <f t="shared" si="78"/>
        <v>624</v>
      </c>
      <c r="FG22" s="105">
        <f t="shared" si="78"/>
        <v>2154</v>
      </c>
      <c r="FH22" s="105">
        <f t="shared" si="78"/>
        <v>2272</v>
      </c>
      <c r="FI22" s="105">
        <f t="shared" si="78"/>
        <v>702</v>
      </c>
      <c r="FJ22" s="105">
        <f t="shared" si="78"/>
        <v>857</v>
      </c>
      <c r="FK22" s="105">
        <f t="shared" si="78"/>
        <v>0</v>
      </c>
      <c r="FL22" s="105">
        <f t="shared" si="78"/>
        <v>247</v>
      </c>
      <c r="FM22" s="105">
        <f t="shared" si="78"/>
        <v>0</v>
      </c>
      <c r="FN22" s="80">
        <f t="shared" si="74"/>
        <v>514</v>
      </c>
      <c r="FO22" s="174">
        <f>FO21+514</f>
        <v>64863</v>
      </c>
      <c r="FP22" s="81"/>
      <c r="FR22" s="64"/>
      <c r="FS22" s="64"/>
      <c r="FT22" s="64"/>
      <c r="FU22" s="64"/>
      <c r="FV22" s="64"/>
      <c r="FW22" s="64"/>
      <c r="FX22" s="64"/>
      <c r="FY22" s="64">
        <v>17</v>
      </c>
      <c r="FZ22" s="107"/>
      <c r="GA22" s="107"/>
      <c r="GB22" s="107"/>
      <c r="GC22" s="109"/>
      <c r="GD22" s="110"/>
      <c r="GE22" s="110"/>
      <c r="GF22" s="111"/>
      <c r="GG22" s="111"/>
      <c r="GH22" s="111"/>
      <c r="GI22" s="164"/>
      <c r="GJ22" s="111" t="e">
        <f t="shared" si="65"/>
        <v>#DIV/0!</v>
      </c>
      <c r="GK22" s="118"/>
    </row>
    <row r="23" spans="1:193" s="119" customFormat="1" ht="15" customHeight="1">
      <c r="B23" s="573">
        <v>42812</v>
      </c>
      <c r="D23" s="324">
        <v>5110.32</v>
      </c>
      <c r="E23" s="128">
        <v>2779.2</v>
      </c>
      <c r="F23" s="86">
        <v>311.04000000000002</v>
      </c>
      <c r="G23" s="86"/>
      <c r="H23" s="86">
        <v>7216.4670000000006</v>
      </c>
      <c r="I23" s="86">
        <v>1226.134</v>
      </c>
      <c r="J23" s="86">
        <v>7923.36</v>
      </c>
      <c r="K23" s="284"/>
      <c r="L23" s="167"/>
      <c r="M23" s="115">
        <f t="shared" si="21"/>
        <v>9149.4939999999988</v>
      </c>
      <c r="N23" s="88">
        <f t="shared" si="0"/>
        <v>15417.027</v>
      </c>
      <c r="O23" s="88">
        <f t="shared" si="22"/>
        <v>19991.773999999998</v>
      </c>
      <c r="P23" s="89">
        <f t="shared" si="23"/>
        <v>368754.91799999989</v>
      </c>
      <c r="R23" s="90">
        <f t="shared" si="24"/>
        <v>163</v>
      </c>
      <c r="S23" s="90">
        <f t="shared" si="25"/>
        <v>59.1</v>
      </c>
      <c r="T23" s="90">
        <f t="shared" si="1"/>
        <v>544.79999999999995</v>
      </c>
      <c r="U23" s="90">
        <f t="shared" si="75"/>
        <v>3.6</v>
      </c>
      <c r="V23" s="90">
        <f t="shared" si="26"/>
        <v>1361</v>
      </c>
      <c r="W23" s="91">
        <f t="shared" si="2"/>
        <v>762.6</v>
      </c>
      <c r="X23" s="90">
        <f t="shared" si="27"/>
        <v>1361</v>
      </c>
      <c r="Y23" s="90" t="str">
        <f t="shared" si="28"/>
        <v>0</v>
      </c>
      <c r="Z23" s="90">
        <f t="shared" si="3"/>
        <v>157.4</v>
      </c>
      <c r="AA23" s="90">
        <f t="shared" si="29"/>
        <v>2131.5</v>
      </c>
      <c r="AB23" s="90">
        <f t="shared" si="30"/>
        <v>0</v>
      </c>
      <c r="AC23" s="90">
        <f t="shared" si="30"/>
        <v>0</v>
      </c>
      <c r="AD23" s="90">
        <f t="shared" si="31"/>
        <v>350</v>
      </c>
      <c r="AE23" s="90">
        <f t="shared" si="32"/>
        <v>350</v>
      </c>
      <c r="AF23" s="90">
        <f t="shared" si="33"/>
        <v>0</v>
      </c>
      <c r="AG23" s="90">
        <f t="shared" si="33"/>
        <v>23</v>
      </c>
      <c r="AH23" s="90">
        <f t="shared" si="34"/>
        <v>274</v>
      </c>
      <c r="AI23" s="90">
        <f t="shared" si="35"/>
        <v>251</v>
      </c>
      <c r="AJ23" s="90">
        <f t="shared" si="36"/>
        <v>136</v>
      </c>
      <c r="AK23" s="90">
        <f t="shared" si="36"/>
        <v>108</v>
      </c>
      <c r="AL23" s="90">
        <f t="shared" si="37"/>
        <v>332</v>
      </c>
      <c r="AM23" s="90">
        <f t="shared" si="38"/>
        <v>88</v>
      </c>
      <c r="AN23" s="90">
        <f t="shared" si="39"/>
        <v>0</v>
      </c>
      <c r="AO23" s="90">
        <f t="shared" si="4"/>
        <v>2</v>
      </c>
      <c r="AP23" s="90">
        <f t="shared" si="40"/>
        <v>15</v>
      </c>
      <c r="AQ23" s="90">
        <f t="shared" si="5"/>
        <v>21</v>
      </c>
      <c r="AR23" s="90">
        <f t="shared" si="41"/>
        <v>77.266999999999996</v>
      </c>
      <c r="AS23" s="90">
        <f t="shared" si="42"/>
        <v>178.26700000000005</v>
      </c>
      <c r="AT23" s="90">
        <f t="shared" si="43"/>
        <v>989.26700000000005</v>
      </c>
      <c r="AU23" s="90">
        <f t="shared" si="44"/>
        <v>248</v>
      </c>
      <c r="AV23" s="90">
        <f t="shared" si="66"/>
        <v>32</v>
      </c>
      <c r="AW23" s="90">
        <f t="shared" si="45"/>
        <v>563</v>
      </c>
      <c r="AX23" s="90">
        <f t="shared" si="67"/>
        <v>9</v>
      </c>
      <c r="AY23" s="90" t="str">
        <f t="shared" si="46"/>
        <v/>
      </c>
      <c r="AZ23" s="90">
        <f t="shared" si="47"/>
        <v>343</v>
      </c>
      <c r="BA23" s="90">
        <v>93</v>
      </c>
      <c r="BB23" s="90">
        <f t="shared" si="48"/>
        <v>116</v>
      </c>
      <c r="BC23" s="90">
        <f t="shared" si="48"/>
        <v>738</v>
      </c>
      <c r="BD23" s="91">
        <f t="shared" si="49"/>
        <v>37</v>
      </c>
      <c r="BE23" s="90"/>
      <c r="BF23" s="90"/>
      <c r="BG23" s="90">
        <f t="shared" si="6"/>
        <v>1234</v>
      </c>
      <c r="BH23" s="90">
        <f t="shared" si="50"/>
        <v>671</v>
      </c>
      <c r="BI23" s="90">
        <f t="shared" si="51"/>
        <v>1467.2330000000002</v>
      </c>
      <c r="BJ23" s="90">
        <f t="shared" si="7"/>
        <v>4563.7669999999998</v>
      </c>
      <c r="BK23" s="92"/>
      <c r="BL23" s="93">
        <f t="shared" si="52"/>
        <v>6702</v>
      </c>
      <c r="BM23" s="93">
        <f t="shared" si="53"/>
        <v>133343</v>
      </c>
      <c r="BN23" s="92"/>
      <c r="BO23" s="94">
        <f t="shared" si="54"/>
        <v>0.10572725856937268</v>
      </c>
      <c r="BP23" s="94">
        <f t="shared" si="54"/>
        <v>3.833423914999954E-2</v>
      </c>
      <c r="BQ23" s="94">
        <f t="shared" si="55"/>
        <v>0.35337552434720387</v>
      </c>
      <c r="BR23" s="94">
        <f t="shared" si="68"/>
        <v>0.8827901773798541</v>
      </c>
      <c r="BS23" s="94">
        <f t="shared" si="77"/>
        <v>0</v>
      </c>
      <c r="BT23" s="94">
        <f>IF($N23&lt;&gt;0,IF($N23&lt;&gt;0,Z23/$N23*10,0)," ")</f>
        <v>0.10209491103570098</v>
      </c>
      <c r="BU23" s="95">
        <f t="shared" si="77"/>
        <v>1.3825622800037907</v>
      </c>
      <c r="BV23" s="94">
        <f t="shared" si="9"/>
        <v>8.1533534742839739E-2</v>
      </c>
      <c r="BW23" s="94">
        <f t="shared" si="9"/>
        <v>2.9562158915962138E-2</v>
      </c>
      <c r="BX23" s="94">
        <f t="shared" si="9"/>
        <v>0.27251208422023981</v>
      </c>
      <c r="BY23" s="94">
        <f t="shared" si="56"/>
        <v>0.68078000481598089</v>
      </c>
      <c r="BZ23" s="95">
        <f t="shared" si="10"/>
        <v>1.0661885233396498</v>
      </c>
      <c r="CA23" s="96" t="e">
        <f>#REF!</f>
        <v>#REF!</v>
      </c>
      <c r="CB23" s="94">
        <f t="shared" si="11"/>
        <v>3.8649396496779127E-2</v>
      </c>
      <c r="CC23" s="95">
        <f t="shared" si="11"/>
        <v>8.9170175693262674E-2</v>
      </c>
      <c r="CD23" s="97">
        <f t="shared" si="12"/>
        <v>8.444947884549682E-2</v>
      </c>
      <c r="CE23" s="98">
        <f t="shared" si="12"/>
        <v>0.19483809705760785</v>
      </c>
      <c r="CF23" s="94">
        <f t="shared" si="57"/>
        <v>0</v>
      </c>
      <c r="CG23" s="94">
        <f t="shared" si="57"/>
        <v>0</v>
      </c>
      <c r="CH23" s="95">
        <f t="shared" si="58"/>
        <v>0.68488861754254149</v>
      </c>
      <c r="CI23" s="96" t="e">
        <f>#REF!</f>
        <v>#REF!</v>
      </c>
      <c r="CJ23" s="94">
        <f t="shared" si="59"/>
        <v>0</v>
      </c>
      <c r="CK23" s="94">
        <f t="shared" si="59"/>
        <v>8.2757628094415669E-2</v>
      </c>
      <c r="CL23" s="95">
        <f t="shared" si="69"/>
        <v>0.98589522164651711</v>
      </c>
      <c r="CM23" s="95" t="e">
        <f>#REF!</f>
        <v>#REF!</v>
      </c>
      <c r="CN23" s="94">
        <f t="shared" si="60"/>
        <v>4.3724279835390947</v>
      </c>
      <c r="CO23" s="94">
        <f t="shared" si="60"/>
        <v>3.4722222222222223</v>
      </c>
      <c r="CP23" s="95">
        <f t="shared" si="61"/>
        <v>10.673868312757202</v>
      </c>
      <c r="CQ23" s="95" t="e">
        <f>#REF!</f>
        <v>#REF!</v>
      </c>
      <c r="CR23" s="97" t="str">
        <f t="shared" si="70"/>
        <v xml:space="preserve">0,00 </v>
      </c>
      <c r="CS23" s="95" t="str">
        <f t="shared" si="70"/>
        <v xml:space="preserve">0,00 </v>
      </c>
      <c r="CT23" s="96" t="e">
        <f>#REF!</f>
        <v>#REF!</v>
      </c>
      <c r="CU23" s="97">
        <f t="shared" si="71"/>
        <v>2.0785794489187021E-2</v>
      </c>
      <c r="CV23" s="95">
        <f t="shared" si="62"/>
        <v>2.9100112284861826E-2</v>
      </c>
      <c r="CW23" s="96" t="e">
        <f>#REF!</f>
        <v>#REF!</v>
      </c>
      <c r="CX23" s="99">
        <f t="shared" si="63"/>
        <v>0.12405102218542488</v>
      </c>
      <c r="CY23" s="95">
        <f t="shared" si="63"/>
        <v>1.6006583507796761E-2</v>
      </c>
      <c r="CZ23" s="99">
        <f t="shared" si="63"/>
        <v>0.28161582859029921</v>
      </c>
      <c r="DA23" s="95">
        <f t="shared" si="63"/>
        <v>4.5018516115678383E-3</v>
      </c>
      <c r="DB23" s="94">
        <f t="shared" si="13"/>
        <v>0.17157056697419651</v>
      </c>
      <c r="DC23" s="94">
        <f t="shared" si="14"/>
        <v>5.8023865215763248E-2</v>
      </c>
      <c r="DD23" s="94">
        <f t="shared" si="14"/>
        <v>0.36915183214856273</v>
      </c>
      <c r="DE23" s="94">
        <f t="shared" si="14"/>
        <v>1.8507612180890004E-2</v>
      </c>
      <c r="DF23" s="94">
        <f t="shared" si="14"/>
        <v>0</v>
      </c>
      <c r="DG23" s="94">
        <f t="shared" si="14"/>
        <v>0</v>
      </c>
      <c r="DH23" s="95">
        <f t="shared" si="14"/>
        <v>0.61725387651941255</v>
      </c>
      <c r="DI23" s="96" t="e">
        <f>#REF!</f>
        <v>#REF!</v>
      </c>
      <c r="DJ23" s="95">
        <f t="shared" si="64"/>
        <v>0.33563804792911328</v>
      </c>
      <c r="DK23" s="96" t="e">
        <f>#REF!</f>
        <v>#REF!</v>
      </c>
      <c r="DL23" s="95">
        <f t="shared" si="15"/>
        <v>0.73391836062172389</v>
      </c>
      <c r="DM23" s="96">
        <f t="shared" si="16"/>
        <v>0</v>
      </c>
      <c r="DN23" s="94">
        <f t="shared" si="17"/>
        <v>2.2828224248633462</v>
      </c>
      <c r="DO23" s="100">
        <v>3.4</v>
      </c>
      <c r="DP23" s="94">
        <f>IF($O23&lt;&gt;0,IF($O23&lt;&gt;0,BL23/$O23*10,0)," ")</f>
        <v>3.3523788334141837</v>
      </c>
      <c r="DQ23" s="94">
        <f>IF($P23&lt;&gt;0,IF($P23&lt;&gt;0,BM23/$P23*10,0)," ")</f>
        <v>3.6160331290822278</v>
      </c>
      <c r="DR23" s="101" t="str">
        <f t="shared" si="18"/>
        <v>3,30 hL/NhL</v>
      </c>
      <c r="DS23" s="171"/>
      <c r="DT23" s="103">
        <v>18</v>
      </c>
      <c r="DU23" s="120">
        <v>610049</v>
      </c>
      <c r="DV23" s="120">
        <v>23407</v>
      </c>
      <c r="DW23" s="120">
        <v>5098798</v>
      </c>
      <c r="DX23" s="120">
        <v>103268</v>
      </c>
      <c r="DY23" s="120">
        <v>81103</v>
      </c>
      <c r="DZ23" s="120">
        <v>367798</v>
      </c>
      <c r="EA23" s="120">
        <v>212156</v>
      </c>
      <c r="EB23" s="120">
        <v>48407</v>
      </c>
      <c r="EC23" s="120">
        <v>372479</v>
      </c>
      <c r="ED23" s="120">
        <v>44502</v>
      </c>
      <c r="EE23" s="120">
        <v>36416</v>
      </c>
      <c r="EF23" s="120">
        <v>38174</v>
      </c>
      <c r="EG23" s="120">
        <v>89067</v>
      </c>
      <c r="EH23" s="120">
        <v>175669</v>
      </c>
      <c r="EI23" s="120">
        <v>29288</v>
      </c>
      <c r="EJ23" s="120">
        <v>37739</v>
      </c>
      <c r="EK23" s="120"/>
      <c r="EL23" s="120">
        <v>681358</v>
      </c>
      <c r="EM23" s="120">
        <v>5448</v>
      </c>
      <c r="EN23" s="120">
        <v>40229</v>
      </c>
      <c r="EO23" s="120">
        <v>2869624</v>
      </c>
      <c r="EP23" s="120">
        <v>2685231</v>
      </c>
      <c r="EQ23" s="120">
        <v>0</v>
      </c>
      <c r="ER23" s="120">
        <v>1574</v>
      </c>
      <c r="ES23" s="120">
        <v>287542</v>
      </c>
      <c r="ET23" s="120">
        <v>2275099</v>
      </c>
      <c r="EU23" s="120">
        <v>380487</v>
      </c>
      <c r="EV23" s="120">
        <v>113556</v>
      </c>
      <c r="EW23" s="120">
        <v>74117</v>
      </c>
      <c r="EX23" s="120">
        <v>198112</v>
      </c>
      <c r="EY23" s="120">
        <v>1576247</v>
      </c>
      <c r="EZ23" s="120">
        <v>706464</v>
      </c>
      <c r="FA23" s="151">
        <v>722303</v>
      </c>
      <c r="FB23" s="77">
        <v>29845</v>
      </c>
      <c r="FC23" s="77">
        <v>6031</v>
      </c>
      <c r="FD23" s="104">
        <f t="shared" si="76"/>
        <v>6702</v>
      </c>
      <c r="FE23" s="105">
        <f t="shared" si="78"/>
        <v>0</v>
      </c>
      <c r="FF23" s="105">
        <f t="shared" si="78"/>
        <v>645</v>
      </c>
      <c r="FG23" s="105">
        <f t="shared" si="78"/>
        <v>1664</v>
      </c>
      <c r="FH23" s="105">
        <f t="shared" si="78"/>
        <v>1542</v>
      </c>
      <c r="FI23" s="105">
        <f t="shared" si="78"/>
        <v>482</v>
      </c>
      <c r="FJ23" s="105">
        <f t="shared" si="78"/>
        <v>665</v>
      </c>
      <c r="FK23" s="105">
        <f t="shared" si="78"/>
        <v>0</v>
      </c>
      <c r="FL23" s="105">
        <f t="shared" si="78"/>
        <v>1704</v>
      </c>
      <c r="FM23" s="105">
        <f t="shared" si="78"/>
        <v>0</v>
      </c>
      <c r="FN23" s="80">
        <f t="shared" si="74"/>
        <v>0</v>
      </c>
      <c r="FO23" s="174">
        <v>64863</v>
      </c>
      <c r="FP23" s="81"/>
      <c r="FY23" s="119">
        <v>18</v>
      </c>
      <c r="FZ23" s="107"/>
      <c r="GA23" s="107"/>
      <c r="GB23" s="107"/>
      <c r="GC23" s="109"/>
      <c r="GD23" s="110"/>
      <c r="GE23" s="110"/>
      <c r="GF23" s="111"/>
      <c r="GG23" s="111"/>
      <c r="GH23" s="111"/>
      <c r="GI23" s="164"/>
      <c r="GJ23" s="111" t="e">
        <f t="shared" si="65"/>
        <v>#DIV/0!</v>
      </c>
    </row>
    <row r="24" spans="1:193" s="119" customFormat="1" ht="15" customHeight="1">
      <c r="B24" s="573">
        <v>42813</v>
      </c>
      <c r="D24" s="324">
        <v>0</v>
      </c>
      <c r="E24" s="128">
        <v>0</v>
      </c>
      <c r="F24" s="86">
        <v>215.71199999999999</v>
      </c>
      <c r="G24" s="86"/>
      <c r="H24" s="86">
        <v>2398.1669999999999</v>
      </c>
      <c r="I24" s="86">
        <v>690.40899999999999</v>
      </c>
      <c r="J24" s="86"/>
      <c r="K24" s="284"/>
      <c r="L24" s="167"/>
      <c r="M24" s="115">
        <f t="shared" si="21"/>
        <v>690.40899999999999</v>
      </c>
      <c r="N24" s="88">
        <f t="shared" si="0"/>
        <v>2613.8789999999999</v>
      </c>
      <c r="O24" s="88">
        <f t="shared" si="22"/>
        <v>2959.0834999999997</v>
      </c>
      <c r="P24" s="89">
        <f t="shared" si="23"/>
        <v>371714.0014999999</v>
      </c>
      <c r="R24" s="90">
        <f t="shared" si="24"/>
        <v>65</v>
      </c>
      <c r="S24" s="90">
        <f t="shared" si="25"/>
        <v>2</v>
      </c>
      <c r="T24" s="90">
        <f t="shared" si="1"/>
        <v>544.4</v>
      </c>
      <c r="U24" s="90">
        <f t="shared" si="75"/>
        <v>1.3</v>
      </c>
      <c r="V24" s="90">
        <f t="shared" si="26"/>
        <v>705</v>
      </c>
      <c r="W24" s="91">
        <f t="shared" si="2"/>
        <v>37.299999999999997</v>
      </c>
      <c r="X24" s="90">
        <f t="shared" si="27"/>
        <v>705</v>
      </c>
      <c r="Y24" s="90" t="str">
        <f t="shared" si="28"/>
        <v>0</v>
      </c>
      <c r="Z24" s="90">
        <f t="shared" si="3"/>
        <v>69.8</v>
      </c>
      <c r="AA24" s="90">
        <f t="shared" si="29"/>
        <v>1317.6999999999998</v>
      </c>
      <c r="AB24" s="90">
        <f t="shared" si="30"/>
        <v>0</v>
      </c>
      <c r="AC24" s="90">
        <f t="shared" si="30"/>
        <v>0</v>
      </c>
      <c r="AD24" s="90">
        <f>(IF(SUM(AB24:AC24)&gt;=(DW24-DW23),(SUM(AB24:AC24)),(DW24-DW23)))</f>
        <v>2</v>
      </c>
      <c r="AE24" s="90">
        <f t="shared" si="32"/>
        <v>2</v>
      </c>
      <c r="AF24" s="90">
        <f t="shared" si="33"/>
        <v>0</v>
      </c>
      <c r="AG24" s="90">
        <f t="shared" si="33"/>
        <v>64</v>
      </c>
      <c r="AH24" s="90">
        <f t="shared" si="34"/>
        <v>114</v>
      </c>
      <c r="AI24" s="90">
        <f>IF(AF24="","",(AH24-AG24-AF24))</f>
        <v>50</v>
      </c>
      <c r="AJ24" s="90">
        <f t="shared" si="36"/>
        <v>0</v>
      </c>
      <c r="AK24" s="90">
        <f t="shared" si="36"/>
        <v>39</v>
      </c>
      <c r="AL24" s="90">
        <f t="shared" si="37"/>
        <v>165</v>
      </c>
      <c r="AM24" s="90">
        <f t="shared" si="38"/>
        <v>126</v>
      </c>
      <c r="AN24" s="90">
        <f t="shared" si="39"/>
        <v>0</v>
      </c>
      <c r="AO24" s="90">
        <f t="shared" si="4"/>
        <v>6</v>
      </c>
      <c r="AP24" s="90">
        <f t="shared" si="40"/>
        <v>0</v>
      </c>
      <c r="AQ24" s="90">
        <f t="shared" si="5"/>
        <v>39</v>
      </c>
      <c r="AR24" s="90">
        <f t="shared" si="41"/>
        <v>53.917000000000002</v>
      </c>
      <c r="AS24" s="90">
        <f t="shared" si="42"/>
        <v>166.917</v>
      </c>
      <c r="AT24" s="90">
        <f t="shared" si="43"/>
        <v>245.917</v>
      </c>
      <c r="AU24" s="90">
        <f t="shared" si="44"/>
        <v>74</v>
      </c>
      <c r="AV24" s="90">
        <f t="shared" si="66"/>
        <v>0</v>
      </c>
      <c r="AW24" s="90">
        <f t="shared" si="45"/>
        <v>5</v>
      </c>
      <c r="AX24" s="90">
        <f t="shared" si="67"/>
        <v>0</v>
      </c>
      <c r="AY24" s="90" t="str">
        <f t="shared" si="46"/>
        <v/>
      </c>
      <c r="AZ24" s="90">
        <f t="shared" si="47"/>
        <v>304</v>
      </c>
      <c r="BA24" s="90">
        <v>0</v>
      </c>
      <c r="BB24" s="90">
        <f t="shared" si="48"/>
        <v>46</v>
      </c>
      <c r="BC24" s="90">
        <f t="shared" si="48"/>
        <v>459</v>
      </c>
      <c r="BD24" s="91">
        <f t="shared" si="49"/>
        <v>0</v>
      </c>
      <c r="BE24" s="90"/>
      <c r="BF24" s="90"/>
      <c r="BG24" s="90">
        <f t="shared" si="6"/>
        <v>809</v>
      </c>
      <c r="BH24" s="90">
        <f t="shared" si="50"/>
        <v>115</v>
      </c>
      <c r="BI24" s="90">
        <f t="shared" si="51"/>
        <v>406.38300000000027</v>
      </c>
      <c r="BJ24" s="90">
        <f t="shared" si="7"/>
        <v>2619.6169999999997</v>
      </c>
      <c r="BK24" s="92"/>
      <c r="BL24" s="93">
        <f t="shared" si="52"/>
        <v>3141</v>
      </c>
      <c r="BM24" s="93">
        <f t="shared" si="53"/>
        <v>136484</v>
      </c>
      <c r="BN24" s="92"/>
      <c r="BO24" s="94">
        <f t="shared" si="54"/>
        <v>0.24867256671024174</v>
      </c>
      <c r="BP24" s="94">
        <f t="shared" si="54"/>
        <v>7.6514635910843619E-3</v>
      </c>
      <c r="BQ24" s="94">
        <f t="shared" si="55"/>
        <v>2.082728389493163</v>
      </c>
      <c r="BR24" s="94">
        <f t="shared" si="68"/>
        <v>2.6971409158572373</v>
      </c>
      <c r="BS24" s="94">
        <f t="shared" si="77"/>
        <v>0</v>
      </c>
      <c r="BT24" s="94">
        <f t="shared" si="77"/>
        <v>0.26703607932884421</v>
      </c>
      <c r="BU24" s="95">
        <f t="shared" si="77"/>
        <v>5.0411667869859311</v>
      </c>
      <c r="BV24" s="94">
        <f t="shared" si="9"/>
        <v>0.21966260837181512</v>
      </c>
      <c r="BW24" s="94">
        <f t="shared" si="9"/>
        <v>6.7588494883635431E-3</v>
      </c>
      <c r="BX24" s="94">
        <f t="shared" si="9"/>
        <v>1.8397588307325563</v>
      </c>
      <c r="BY24" s="94">
        <f t="shared" si="56"/>
        <v>2.3824944446481489</v>
      </c>
      <c r="BZ24" s="95">
        <f t="shared" si="10"/>
        <v>4.4530679854083193</v>
      </c>
      <c r="CA24" s="96" t="e">
        <f>#REF!</f>
        <v>#REF!</v>
      </c>
      <c r="CB24" s="94">
        <f t="shared" si="11"/>
        <v>0.18220844393204857</v>
      </c>
      <c r="CC24" s="95">
        <f t="shared" si="11"/>
        <v>0.56408344002458877</v>
      </c>
      <c r="CD24" s="97">
        <f t="shared" si="12"/>
        <v>0.78094289037367715</v>
      </c>
      <c r="CE24" s="98">
        <f t="shared" si="12"/>
        <v>2.4176538834227248</v>
      </c>
      <c r="CF24" s="94" t="str">
        <f t="shared" si="57"/>
        <v>0,00</v>
      </c>
      <c r="CG24" s="94" t="str">
        <f t="shared" si="57"/>
        <v>0,00</v>
      </c>
      <c r="CH24" s="95" t="str">
        <f t="shared" si="58"/>
        <v xml:space="preserve">0,00 </v>
      </c>
      <c r="CI24" s="96" t="e">
        <f>#REF!</f>
        <v>#REF!</v>
      </c>
      <c r="CJ24" s="94" t="str">
        <f t="shared" si="59"/>
        <v>0,00</v>
      </c>
      <c r="CK24" s="94" t="str">
        <f t="shared" si="59"/>
        <v>0,00</v>
      </c>
      <c r="CL24" s="95" t="str">
        <f t="shared" si="69"/>
        <v xml:space="preserve">0,00 </v>
      </c>
      <c r="CM24" s="95" t="e">
        <f>#REF!</f>
        <v>#REF!</v>
      </c>
      <c r="CN24" s="94">
        <f t="shared" si="60"/>
        <v>0</v>
      </c>
      <c r="CO24" s="94">
        <f t="shared" si="60"/>
        <v>1.8079661771250557</v>
      </c>
      <c r="CP24" s="95">
        <f t="shared" si="61"/>
        <v>7.6490876724521586</v>
      </c>
      <c r="CQ24" s="95" t="e">
        <f>#REF!</f>
        <v>#REF!</v>
      </c>
      <c r="CR24" s="97" t="str">
        <f t="shared" si="70"/>
        <v xml:space="preserve">0,00 </v>
      </c>
      <c r="CS24" s="95" t="str">
        <f t="shared" si="70"/>
        <v xml:space="preserve">0,00 </v>
      </c>
      <c r="CT24" s="96" t="e">
        <f>#REF!</f>
        <v>#REF!</v>
      </c>
      <c r="CU24" s="97">
        <f t="shared" si="71"/>
        <v>0</v>
      </c>
      <c r="CV24" s="95">
        <f t="shared" si="62"/>
        <v>0.16262420423598523</v>
      </c>
      <c r="CW24" s="96" t="e">
        <f>#REF!</f>
        <v>#REF!</v>
      </c>
      <c r="CX24" s="99">
        <f t="shared" si="63"/>
        <v>0.25007743106945107</v>
      </c>
      <c r="CY24" s="95">
        <f t="shared" si="63"/>
        <v>0</v>
      </c>
      <c r="CZ24" s="99">
        <f t="shared" si="63"/>
        <v>1.6897123720908857E-2</v>
      </c>
      <c r="DA24" s="95">
        <f t="shared" si="63"/>
        <v>0</v>
      </c>
      <c r="DB24" s="94">
        <f t="shared" si="13"/>
        <v>1.0273451222312584</v>
      </c>
      <c r="DC24" s="94">
        <f t="shared" si="14"/>
        <v>0.15545353823236149</v>
      </c>
      <c r="DD24" s="94">
        <f t="shared" si="14"/>
        <v>1.5511559575794331</v>
      </c>
      <c r="DE24" s="94">
        <f t="shared" si="14"/>
        <v>0</v>
      </c>
      <c r="DF24" s="94">
        <f t="shared" si="14"/>
        <v>0</v>
      </c>
      <c r="DG24" s="94">
        <f t="shared" si="14"/>
        <v>0</v>
      </c>
      <c r="DH24" s="95">
        <f t="shared" si="14"/>
        <v>2.733954618043053</v>
      </c>
      <c r="DI24" s="96" t="e">
        <f>#REF!</f>
        <v>#REF!</v>
      </c>
      <c r="DJ24" s="95">
        <f t="shared" si="64"/>
        <v>0.38863384558090375</v>
      </c>
      <c r="DK24" s="96" t="e">
        <f>#REF!</f>
        <v>#REF!</v>
      </c>
      <c r="DL24" s="95">
        <f t="shared" si="15"/>
        <v>1.3733407658148216</v>
      </c>
      <c r="DM24" s="96">
        <f t="shared" si="16"/>
        <v>0</v>
      </c>
      <c r="DN24" s="94">
        <f t="shared" si="17"/>
        <v>8.8527985100792179</v>
      </c>
      <c r="DO24" s="100">
        <v>3.4</v>
      </c>
      <c r="DP24" s="94">
        <f t="shared" si="72"/>
        <v>10.614773121474945</v>
      </c>
      <c r="DQ24" s="94">
        <f t="shared" si="73"/>
        <v>3.6717476191167915</v>
      </c>
      <c r="DR24" s="101" t="str">
        <f t="shared" si="18"/>
        <v>3,30 hL/NhL</v>
      </c>
      <c r="DT24" s="103">
        <v>19</v>
      </c>
      <c r="DU24" s="120">
        <v>610049</v>
      </c>
      <c r="DV24" s="120">
        <v>23407</v>
      </c>
      <c r="DW24" s="120">
        <v>5098800</v>
      </c>
      <c r="DX24" s="120">
        <v>103268</v>
      </c>
      <c r="DY24" s="120">
        <v>81167</v>
      </c>
      <c r="DZ24" s="120">
        <v>367912</v>
      </c>
      <c r="EA24" s="120">
        <v>212156</v>
      </c>
      <c r="EB24" s="120">
        <v>48446</v>
      </c>
      <c r="EC24" s="120">
        <v>372644</v>
      </c>
      <c r="ED24" s="120">
        <v>44502</v>
      </c>
      <c r="EE24" s="120">
        <v>36422</v>
      </c>
      <c r="EF24" s="120">
        <v>38174</v>
      </c>
      <c r="EG24" s="120">
        <v>89067</v>
      </c>
      <c r="EH24" s="120">
        <v>175708</v>
      </c>
      <c r="EI24" s="120">
        <v>29288</v>
      </c>
      <c r="EJ24" s="120">
        <v>37739</v>
      </c>
      <c r="EK24" s="120"/>
      <c r="EL24" s="120">
        <v>681423</v>
      </c>
      <c r="EM24" s="120">
        <v>5444</v>
      </c>
      <c r="EN24" s="120">
        <v>40242</v>
      </c>
      <c r="EO24" s="120">
        <v>2870329</v>
      </c>
      <c r="EP24" s="120">
        <v>2685604</v>
      </c>
      <c r="EQ24" s="120">
        <v>0</v>
      </c>
      <c r="ER24" s="120">
        <v>698</v>
      </c>
      <c r="ES24" s="120">
        <v>287734</v>
      </c>
      <c r="ET24" s="120">
        <v>2329016</v>
      </c>
      <c r="EU24" s="120">
        <v>380492</v>
      </c>
      <c r="EV24" s="120">
        <v>113630</v>
      </c>
      <c r="EW24" s="120">
        <v>74421</v>
      </c>
      <c r="EX24" s="120">
        <v>198158</v>
      </c>
      <c r="EY24" s="120">
        <v>1576706</v>
      </c>
      <c r="EZ24" s="120">
        <v>706484</v>
      </c>
      <c r="FA24" s="151">
        <v>722303</v>
      </c>
      <c r="FB24" s="77">
        <v>29845</v>
      </c>
      <c r="FC24" s="77">
        <v>3026</v>
      </c>
      <c r="FD24" s="104">
        <f t="shared" si="76"/>
        <v>3141</v>
      </c>
      <c r="FE24" s="105">
        <f t="shared" si="78"/>
        <v>0</v>
      </c>
      <c r="FF24" s="105">
        <f t="shared" si="78"/>
        <v>194</v>
      </c>
      <c r="FG24" s="105">
        <f t="shared" si="78"/>
        <v>690</v>
      </c>
      <c r="FH24" s="105">
        <f t="shared" si="78"/>
        <v>1470</v>
      </c>
      <c r="FI24" s="105">
        <f t="shared" si="78"/>
        <v>268</v>
      </c>
      <c r="FJ24" s="105">
        <f t="shared" si="78"/>
        <v>519</v>
      </c>
      <c r="FK24" s="105">
        <f t="shared" si="78"/>
        <v>0</v>
      </c>
      <c r="FL24" s="105">
        <f t="shared" si="78"/>
        <v>0</v>
      </c>
      <c r="FM24" s="105">
        <f t="shared" si="78"/>
        <v>0</v>
      </c>
      <c r="FN24" s="80">
        <f t="shared" si="74"/>
        <v>0</v>
      </c>
      <c r="FO24" s="302">
        <v>64863</v>
      </c>
      <c r="FP24" s="81"/>
      <c r="FY24" s="119">
        <v>19</v>
      </c>
      <c r="FZ24" s="107"/>
      <c r="GA24" s="107"/>
      <c r="GB24" s="107"/>
      <c r="GC24" s="109"/>
      <c r="GD24" s="110"/>
      <c r="GE24" s="110"/>
      <c r="GF24" s="111"/>
      <c r="GG24" s="111"/>
      <c r="GH24" s="111"/>
      <c r="GI24" s="164"/>
      <c r="GJ24" s="111" t="e">
        <f t="shared" si="65"/>
        <v>#DIV/0!</v>
      </c>
    </row>
    <row r="25" spans="1:193" ht="15" customHeight="1">
      <c r="B25" s="573">
        <v>42814</v>
      </c>
      <c r="D25" s="308">
        <v>0</v>
      </c>
      <c r="E25" s="86">
        <v>3279.24</v>
      </c>
      <c r="F25" s="86">
        <v>1845.5039999999999</v>
      </c>
      <c r="G25" s="86">
        <v>4122.1040000000003</v>
      </c>
      <c r="H25" s="86">
        <v>2519.86</v>
      </c>
      <c r="I25" s="86">
        <v>1324.6780000000001</v>
      </c>
      <c r="J25" s="86">
        <v>2030.88</v>
      </c>
      <c r="K25" s="284"/>
      <c r="L25" s="167">
        <v>70</v>
      </c>
      <c r="M25" s="115">
        <f t="shared" si="21"/>
        <v>3355.558</v>
      </c>
      <c r="N25" s="88">
        <f t="shared" si="0"/>
        <v>11766.708000000001</v>
      </c>
      <c r="O25" s="88">
        <f t="shared" si="22"/>
        <v>13514.487000000001</v>
      </c>
      <c r="P25" s="89">
        <f t="shared" si="23"/>
        <v>385228.48849999992</v>
      </c>
      <c r="R25" s="90">
        <f t="shared" si="24"/>
        <v>180</v>
      </c>
      <c r="S25" s="90">
        <f t="shared" si="25"/>
        <v>79.3</v>
      </c>
      <c r="T25" s="90">
        <f t="shared" si="1"/>
        <v>567.4</v>
      </c>
      <c r="U25" s="90">
        <f t="shared" si="75"/>
        <v>4.3</v>
      </c>
      <c r="V25" s="90">
        <f t="shared" si="26"/>
        <v>1595</v>
      </c>
      <c r="W25" s="91">
        <f t="shared" si="2"/>
        <v>7.9</v>
      </c>
      <c r="X25" s="90">
        <f t="shared" si="27"/>
        <v>1595</v>
      </c>
      <c r="Y25" s="90" t="str">
        <f t="shared" si="28"/>
        <v>0</v>
      </c>
      <c r="Z25" s="90">
        <f t="shared" si="3"/>
        <v>142.1</v>
      </c>
      <c r="AA25" s="90">
        <f t="shared" si="29"/>
        <v>2426</v>
      </c>
      <c r="AB25" s="90">
        <f t="shared" si="30"/>
        <v>277</v>
      </c>
      <c r="AC25" s="90">
        <f t="shared" si="30"/>
        <v>69</v>
      </c>
      <c r="AD25" s="90">
        <f t="shared" si="31"/>
        <v>358</v>
      </c>
      <c r="AE25" s="90">
        <f t="shared" si="32"/>
        <v>12</v>
      </c>
      <c r="AF25" s="90">
        <f t="shared" si="33"/>
        <v>412</v>
      </c>
      <c r="AG25" s="90">
        <f t="shared" si="33"/>
        <v>29</v>
      </c>
      <c r="AH25" s="90">
        <f t="shared" si="34"/>
        <v>441</v>
      </c>
      <c r="AI25" s="90">
        <f t="shared" si="35"/>
        <v>0</v>
      </c>
      <c r="AJ25" s="90">
        <f t="shared" si="36"/>
        <v>319</v>
      </c>
      <c r="AK25" s="90">
        <f t="shared" si="36"/>
        <v>153</v>
      </c>
      <c r="AL25" s="90">
        <f t="shared" si="37"/>
        <v>472</v>
      </c>
      <c r="AM25" s="90">
        <f t="shared" si="38"/>
        <v>0</v>
      </c>
      <c r="AN25" s="90">
        <f t="shared" si="39"/>
        <v>43</v>
      </c>
      <c r="AO25" s="90">
        <f t="shared" si="4"/>
        <v>74</v>
      </c>
      <c r="AP25" s="90">
        <f t="shared" si="40"/>
        <v>170</v>
      </c>
      <c r="AQ25" s="90">
        <f t="shared" si="5"/>
        <v>240</v>
      </c>
      <c r="AR25" s="90">
        <f t="shared" si="41"/>
        <v>63.070999999999998</v>
      </c>
      <c r="AS25" s="90">
        <f t="shared" si="42"/>
        <v>134.07100000000003</v>
      </c>
      <c r="AT25" s="90">
        <f t="shared" si="43"/>
        <v>628.07100000000003</v>
      </c>
      <c r="AU25" s="90">
        <f t="shared" si="44"/>
        <v>190</v>
      </c>
      <c r="AV25" s="90">
        <f t="shared" si="66"/>
        <v>51</v>
      </c>
      <c r="AW25" s="90">
        <f t="shared" si="45"/>
        <v>304</v>
      </c>
      <c r="AX25" s="90">
        <f t="shared" si="67"/>
        <v>39</v>
      </c>
      <c r="AY25" s="90" t="str">
        <f t="shared" si="46"/>
        <v/>
      </c>
      <c r="AZ25" s="90">
        <f t="shared" si="47"/>
        <v>297</v>
      </c>
      <c r="BA25" s="90">
        <v>67</v>
      </c>
      <c r="BB25" s="90">
        <f t="shared" si="48"/>
        <v>88</v>
      </c>
      <c r="BC25" s="90">
        <f t="shared" si="48"/>
        <v>695</v>
      </c>
      <c r="BD25" s="91">
        <f t="shared" si="49"/>
        <v>298</v>
      </c>
      <c r="BE25" s="90"/>
      <c r="BF25" s="90"/>
      <c r="BG25" s="90">
        <f t="shared" si="6"/>
        <v>1378</v>
      </c>
      <c r="BH25" s="90">
        <f t="shared" si="50"/>
        <v>-2185.5</v>
      </c>
      <c r="BI25" s="90">
        <f t="shared" si="51"/>
        <v>1365.9290000000001</v>
      </c>
      <c r="BJ25" s="90">
        <f t="shared" si="7"/>
        <v>5613.0709999999999</v>
      </c>
      <c r="BK25" s="92"/>
      <c r="BL25" s="93">
        <f t="shared" si="52"/>
        <v>4793.5</v>
      </c>
      <c r="BM25" s="93">
        <f t="shared" si="53"/>
        <v>141277.5</v>
      </c>
      <c r="BN25" s="92"/>
      <c r="BO25" s="94">
        <f t="shared" si="54"/>
        <v>0.15297396689031459</v>
      </c>
      <c r="BP25" s="94">
        <f t="shared" si="54"/>
        <v>6.7393530968899704E-2</v>
      </c>
      <c r="BQ25" s="94">
        <f t="shared" si="55"/>
        <v>0.48220793785313609</v>
      </c>
      <c r="BR25" s="94">
        <f t="shared" si="68"/>
        <v>1.35551931772251</v>
      </c>
      <c r="BS25" s="94">
        <f t="shared" si="77"/>
        <v>0</v>
      </c>
      <c r="BT25" s="94">
        <f t="shared" si="77"/>
        <v>0.12076444830618724</v>
      </c>
      <c r="BU25" s="95">
        <f t="shared" si="77"/>
        <v>2.0617491315327956</v>
      </c>
      <c r="BV25" s="94">
        <f t="shared" si="9"/>
        <v>0.13319040522958805</v>
      </c>
      <c r="BW25" s="94">
        <f t="shared" si="9"/>
        <v>5.8677772970590736E-2</v>
      </c>
      <c r="BX25" s="94">
        <f t="shared" si="9"/>
        <v>0.41984575515149036</v>
      </c>
      <c r="BY25" s="94">
        <f t="shared" si="56"/>
        <v>1.1802149796732941</v>
      </c>
      <c r="BZ25" s="95">
        <f t="shared" si="10"/>
        <v>1.7951106838165589</v>
      </c>
      <c r="CA25" s="96" t="e">
        <f>#REF!</f>
        <v>#REF!</v>
      </c>
      <c r="CB25" s="94">
        <f t="shared" si="11"/>
        <v>4.6669178045751936E-2</v>
      </c>
      <c r="CC25" s="95">
        <f t="shared" si="11"/>
        <v>9.9205393441867254E-2</v>
      </c>
      <c r="CD25" s="97">
        <f t="shared" si="12"/>
        <v>0.18795979685047912</v>
      </c>
      <c r="CE25" s="98">
        <f t="shared" si="12"/>
        <v>0.39954904668612501</v>
      </c>
      <c r="CF25" s="94" t="str">
        <f t="shared" si="57"/>
        <v>0,00</v>
      </c>
      <c r="CG25" s="94" t="str">
        <f t="shared" si="57"/>
        <v>0,00</v>
      </c>
      <c r="CH25" s="95" t="str">
        <f t="shared" si="58"/>
        <v xml:space="preserve">0,00 </v>
      </c>
      <c r="CI25" s="96" t="e">
        <f>#REF!</f>
        <v>#REF!</v>
      </c>
      <c r="CJ25" s="94">
        <f t="shared" si="59"/>
        <v>1.2563886754247935</v>
      </c>
      <c r="CK25" s="94">
        <f t="shared" si="59"/>
        <v>8.8435125211939358E-2</v>
      </c>
      <c r="CL25" s="95">
        <f t="shared" si="69"/>
        <v>1.344823800636733</v>
      </c>
      <c r="CM25" s="95" t="e">
        <f>#REF!</f>
        <v>#REF!</v>
      </c>
      <c r="CN25" s="94">
        <f t="shared" si="60"/>
        <v>1.7285251075045083</v>
      </c>
      <c r="CO25" s="94">
        <f t="shared" si="60"/>
        <v>0.82904182272159799</v>
      </c>
      <c r="CP25" s="95">
        <f t="shared" si="61"/>
        <v>2.5575669302261064</v>
      </c>
      <c r="CQ25" s="95" t="e">
        <f>#REF!</f>
        <v>#REF!</v>
      </c>
      <c r="CR25" s="97">
        <f t="shared" si="70"/>
        <v>0.1043156601580164</v>
      </c>
      <c r="CS25" s="95">
        <f t="shared" si="70"/>
        <v>0.17951997329519101</v>
      </c>
      <c r="CT25" s="96" t="e">
        <f>#REF!</f>
        <v>#REF!</v>
      </c>
      <c r="CU25" s="97">
        <f t="shared" si="71"/>
        <v>0.67464065463954337</v>
      </c>
      <c r="CV25" s="95">
        <f t="shared" si="62"/>
        <v>0.95243386537347308</v>
      </c>
      <c r="CW25" s="96" t="e">
        <f>#REF!</f>
        <v>#REF!</v>
      </c>
      <c r="CX25" s="99">
        <f t="shared" si="63"/>
        <v>0.1405898721867874</v>
      </c>
      <c r="CY25" s="95">
        <f t="shared" si="63"/>
        <v>3.7737281481716616E-2</v>
      </c>
      <c r="CZ25" s="99">
        <f t="shared" si="63"/>
        <v>0.22494379549885982</v>
      </c>
      <c r="DA25" s="95">
        <f t="shared" si="63"/>
        <v>2.8857921133077415E-2</v>
      </c>
      <c r="DB25" s="94">
        <f t="shared" si="13"/>
        <v>0.21976416862882031</v>
      </c>
      <c r="DC25" s="94">
        <f t="shared" si="14"/>
        <v>6.5115309223354165E-2</v>
      </c>
      <c r="DD25" s="94">
        <f t="shared" si="14"/>
        <v>0.51426295352535389</v>
      </c>
      <c r="DE25" s="94">
        <f t="shared" si="14"/>
        <v>0.22050411532454023</v>
      </c>
      <c r="DF25" s="94">
        <f t="shared" si="14"/>
        <v>0</v>
      </c>
      <c r="DG25" s="94">
        <f t="shared" si="14"/>
        <v>0</v>
      </c>
      <c r="DH25" s="95">
        <f t="shared" si="14"/>
        <v>1.0196465467020686</v>
      </c>
      <c r="DI25" s="96" t="e">
        <f>#REF!</f>
        <v>#REF!</v>
      </c>
      <c r="DJ25" s="95">
        <f t="shared" si="64"/>
        <v>-1.617153503495915</v>
      </c>
      <c r="DK25" s="96" t="e">
        <f>#REF!</f>
        <v>#REF!</v>
      </c>
      <c r="DL25" s="95">
        <f t="shared" si="15"/>
        <v>1.0107146501380333</v>
      </c>
      <c r="DM25" s="96">
        <f t="shared" si="16"/>
        <v>0</v>
      </c>
      <c r="DN25" s="94">
        <f t="shared" si="17"/>
        <v>4.1533733392913836</v>
      </c>
      <c r="DO25" s="100">
        <v>3.4</v>
      </c>
      <c r="DP25" s="94">
        <f t="shared" si="72"/>
        <v>3.5469344859335021</v>
      </c>
      <c r="DQ25" s="94">
        <f t="shared" si="73"/>
        <v>3.667368956800297</v>
      </c>
      <c r="DR25" s="101" t="str">
        <f t="shared" si="18"/>
        <v>3,30 hL/NhL</v>
      </c>
      <c r="DS25" s="173"/>
      <c r="DT25" s="103">
        <v>20</v>
      </c>
      <c r="DU25" s="120">
        <v>610326</v>
      </c>
      <c r="DV25" s="120">
        <v>23476</v>
      </c>
      <c r="DW25" s="120">
        <v>5099158</v>
      </c>
      <c r="DX25" s="120">
        <v>103680</v>
      </c>
      <c r="DY25" s="120">
        <v>81196</v>
      </c>
      <c r="DZ25" s="120">
        <v>368232</v>
      </c>
      <c r="EA25" s="120">
        <v>212475</v>
      </c>
      <c r="EB25" s="120">
        <v>48599</v>
      </c>
      <c r="EC25" s="120">
        <v>373092</v>
      </c>
      <c r="ED25" s="120">
        <v>44545</v>
      </c>
      <c r="EE25" s="120">
        <v>36461</v>
      </c>
      <c r="EF25" s="120">
        <v>38209</v>
      </c>
      <c r="EG25" s="120">
        <v>89237</v>
      </c>
      <c r="EH25" s="120">
        <v>175948</v>
      </c>
      <c r="EI25" s="120">
        <v>29339</v>
      </c>
      <c r="EJ25" s="120">
        <v>37778</v>
      </c>
      <c r="EK25" s="120"/>
      <c r="EL25" s="120">
        <v>681603</v>
      </c>
      <c r="EM25" s="120">
        <v>5674</v>
      </c>
      <c r="EN25" s="120">
        <v>40285</v>
      </c>
      <c r="EO25" s="120">
        <v>2871924</v>
      </c>
      <c r="EP25" s="120">
        <v>2685683</v>
      </c>
      <c r="EQ25" s="120">
        <v>0</v>
      </c>
      <c r="ER25" s="120">
        <v>1421</v>
      </c>
      <c r="ES25" s="120">
        <v>288299</v>
      </c>
      <c r="ET25" s="120">
        <v>2392087</v>
      </c>
      <c r="EU25" s="120">
        <v>380796</v>
      </c>
      <c r="EV25" s="120">
        <v>113820</v>
      </c>
      <c r="EW25" s="120">
        <v>74718</v>
      </c>
      <c r="EX25" s="120">
        <v>198246</v>
      </c>
      <c r="EY25" s="120">
        <v>1577401</v>
      </c>
      <c r="EZ25" s="120">
        <v>707277</v>
      </c>
      <c r="FA25" s="151">
        <v>722601</v>
      </c>
      <c r="FB25" s="77">
        <v>29917</v>
      </c>
      <c r="FC25" s="77">
        <v>6979</v>
      </c>
      <c r="FD25" s="104">
        <f t="shared" si="76"/>
        <v>4068</v>
      </c>
      <c r="FE25" s="105">
        <f t="shared" si="78"/>
        <v>0</v>
      </c>
      <c r="FF25" s="105">
        <f t="shared" si="78"/>
        <v>587</v>
      </c>
      <c r="FG25" s="105">
        <f t="shared" si="78"/>
        <v>1691</v>
      </c>
      <c r="FH25" s="105">
        <f t="shared" si="78"/>
        <v>1034</v>
      </c>
      <c r="FI25" s="105">
        <f t="shared" si="78"/>
        <v>0</v>
      </c>
      <c r="FJ25" s="105">
        <f t="shared" si="78"/>
        <v>756</v>
      </c>
      <c r="FK25" s="105">
        <f t="shared" si="78"/>
        <v>0</v>
      </c>
      <c r="FL25" s="105">
        <f t="shared" si="78"/>
        <v>0</v>
      </c>
      <c r="FM25" s="105">
        <f t="shared" si="78"/>
        <v>0</v>
      </c>
      <c r="FN25" s="80">
        <f t="shared" si="74"/>
        <v>725.5</v>
      </c>
      <c r="FO25" s="174">
        <f>FO24+725.5</f>
        <v>65588.5</v>
      </c>
      <c r="FP25" s="81"/>
      <c r="FQ25" s="175"/>
      <c r="FR25" s="64"/>
      <c r="FS25" s="64"/>
      <c r="FT25" s="64"/>
      <c r="FU25" s="64"/>
      <c r="FV25" s="64"/>
      <c r="FW25" s="64"/>
      <c r="FX25" s="64"/>
      <c r="FY25" s="64">
        <v>20</v>
      </c>
      <c r="FZ25" s="107"/>
      <c r="GA25" s="107"/>
      <c r="GB25" s="107"/>
      <c r="GC25" s="109"/>
      <c r="GD25" s="110"/>
      <c r="GE25" s="110"/>
      <c r="GF25" s="111"/>
      <c r="GG25" s="111"/>
      <c r="GH25" s="111"/>
      <c r="GI25" s="164"/>
      <c r="GJ25" s="111" t="e">
        <f t="shared" si="65"/>
        <v>#DIV/0!</v>
      </c>
      <c r="GK25" s="118"/>
    </row>
    <row r="26" spans="1:193" s="119" customFormat="1" ht="15" customHeight="1">
      <c r="B26" s="573">
        <v>42815</v>
      </c>
      <c r="D26" s="308">
        <v>3872.52</v>
      </c>
      <c r="E26" s="86">
        <v>5112</v>
      </c>
      <c r="F26" s="86">
        <v>2674.944</v>
      </c>
      <c r="G26" s="86">
        <v>5458.2529999999997</v>
      </c>
      <c r="H26" s="86">
        <v>3255.81</v>
      </c>
      <c r="I26" s="86">
        <v>1614.2260000000001</v>
      </c>
      <c r="J26" s="284">
        <v>3376.32</v>
      </c>
      <c r="K26" s="284"/>
      <c r="L26" s="167"/>
      <c r="M26" s="115">
        <f t="shared" si="21"/>
        <v>4990.5460000000003</v>
      </c>
      <c r="N26" s="88">
        <f t="shared" si="0"/>
        <v>20373.527000000002</v>
      </c>
      <c r="O26" s="88">
        <f t="shared" si="22"/>
        <v>22868.800000000003</v>
      </c>
      <c r="P26" s="89">
        <f t="shared" si="23"/>
        <v>408097.28849999991</v>
      </c>
      <c r="R26" s="90">
        <f t="shared" si="24"/>
        <v>225</v>
      </c>
      <c r="S26" s="90">
        <f t="shared" si="25"/>
        <v>11.5</v>
      </c>
      <c r="T26" s="90">
        <f t="shared" si="1"/>
        <v>417.9</v>
      </c>
      <c r="U26" s="90">
        <f t="shared" si="75"/>
        <v>5</v>
      </c>
      <c r="V26" s="90">
        <f t="shared" si="26"/>
        <v>1570</v>
      </c>
      <c r="W26" s="91">
        <f t="shared" si="2"/>
        <v>62.9</v>
      </c>
      <c r="X26" s="90">
        <f t="shared" si="27"/>
        <v>1570</v>
      </c>
      <c r="Y26" s="90" t="str">
        <f t="shared" si="28"/>
        <v>0</v>
      </c>
      <c r="Z26" s="90">
        <f t="shared" si="3"/>
        <v>171.3</v>
      </c>
      <c r="AA26" s="90">
        <f t="shared" si="29"/>
        <v>2229.4</v>
      </c>
      <c r="AB26" s="90">
        <f t="shared" si="30"/>
        <v>232</v>
      </c>
      <c r="AC26" s="90">
        <f t="shared" si="30"/>
        <v>25</v>
      </c>
      <c r="AD26" s="90">
        <f t="shared" si="31"/>
        <v>422</v>
      </c>
      <c r="AE26" s="90">
        <f t="shared" si="32"/>
        <v>165</v>
      </c>
      <c r="AF26" s="90">
        <f t="shared" si="33"/>
        <v>233</v>
      </c>
      <c r="AG26" s="90">
        <f t="shared" si="33"/>
        <v>46</v>
      </c>
      <c r="AH26" s="90">
        <f t="shared" si="34"/>
        <v>356</v>
      </c>
      <c r="AI26" s="90">
        <f t="shared" si="35"/>
        <v>77</v>
      </c>
      <c r="AJ26" s="90">
        <f t="shared" si="36"/>
        <v>257</v>
      </c>
      <c r="AK26" s="90">
        <f t="shared" si="36"/>
        <v>251</v>
      </c>
      <c r="AL26" s="90">
        <f t="shared" si="37"/>
        <v>583</v>
      </c>
      <c r="AM26" s="90">
        <f t="shared" si="38"/>
        <v>75</v>
      </c>
      <c r="AN26" s="90">
        <f t="shared" si="39"/>
        <v>107</v>
      </c>
      <c r="AO26" s="90">
        <f t="shared" si="4"/>
        <v>124</v>
      </c>
      <c r="AP26" s="90">
        <f t="shared" si="40"/>
        <v>3</v>
      </c>
      <c r="AQ26" s="90">
        <f t="shared" si="5"/>
        <v>73</v>
      </c>
      <c r="AR26" s="90">
        <f t="shared" si="41"/>
        <v>39.585000000000001</v>
      </c>
      <c r="AS26" s="90">
        <f t="shared" si="42"/>
        <v>82.585000000000036</v>
      </c>
      <c r="AT26" s="90">
        <f t="shared" si="43"/>
        <v>608.58500000000004</v>
      </c>
      <c r="AU26" s="90">
        <f t="shared" si="44"/>
        <v>247</v>
      </c>
      <c r="AV26" s="90">
        <f t="shared" si="66"/>
        <v>17</v>
      </c>
      <c r="AW26" s="90">
        <f t="shared" si="45"/>
        <v>279</v>
      </c>
      <c r="AX26" s="90">
        <f t="shared" si="67"/>
        <v>34</v>
      </c>
      <c r="AY26" s="90" t="str">
        <f t="shared" si="46"/>
        <v/>
      </c>
      <c r="AZ26" s="90">
        <f t="shared" si="47"/>
        <v>366</v>
      </c>
      <c r="BA26" s="90">
        <v>99</v>
      </c>
      <c r="BB26" s="90">
        <f t="shared" si="48"/>
        <v>78</v>
      </c>
      <c r="BC26" s="90">
        <f t="shared" si="48"/>
        <v>1153</v>
      </c>
      <c r="BD26" s="91">
        <f t="shared" si="49"/>
        <v>402</v>
      </c>
      <c r="BE26" s="90"/>
      <c r="BF26" s="90"/>
      <c r="BG26" s="90">
        <f t="shared" si="6"/>
        <v>1999</v>
      </c>
      <c r="BH26" s="90">
        <f t="shared" si="50"/>
        <v>1484.5</v>
      </c>
      <c r="BI26" s="90">
        <f t="shared" si="51"/>
        <v>480.01500000000033</v>
      </c>
      <c r="BJ26" s="90">
        <f t="shared" si="7"/>
        <v>5919.9849999999997</v>
      </c>
      <c r="BK26" s="92"/>
      <c r="BL26" s="93">
        <f t="shared" si="52"/>
        <v>7884.5</v>
      </c>
      <c r="BM26" s="93">
        <f t="shared" si="53"/>
        <v>149162</v>
      </c>
      <c r="BN26" s="92"/>
      <c r="BO26" s="94">
        <f t="shared" si="54"/>
        <v>0.11043743186930764</v>
      </c>
      <c r="BP26" s="94">
        <f t="shared" si="54"/>
        <v>5.6445798510979459E-3</v>
      </c>
      <c r="BQ26" s="94">
        <f t="shared" si="55"/>
        <v>0.20511912345859407</v>
      </c>
      <c r="BR26" s="94">
        <f t="shared" si="68"/>
        <v>0.77060785793250219</v>
      </c>
      <c r="BS26" s="94">
        <f t="shared" si="77"/>
        <v>0</v>
      </c>
      <c r="BT26" s="94">
        <f t="shared" si="77"/>
        <v>8.4079698129832903E-2</v>
      </c>
      <c r="BU26" s="95">
        <f t="shared" si="77"/>
        <v>1.0942631582641531</v>
      </c>
      <c r="BV26" s="94">
        <f t="shared" si="9"/>
        <v>9.8387322465542548E-2</v>
      </c>
      <c r="BW26" s="94">
        <f t="shared" si="9"/>
        <v>5.0286853704610644E-3</v>
      </c>
      <c r="BX26" s="94">
        <f t="shared" si="9"/>
        <v>0.1827380535926677</v>
      </c>
      <c r="BY26" s="94">
        <f t="shared" si="56"/>
        <v>0.68652487231511916</v>
      </c>
      <c r="BZ26" s="95">
        <f t="shared" si="10"/>
        <v>0.9748653186874694</v>
      </c>
      <c r="CA26" s="96" t="e">
        <f>#REF!</f>
        <v>#REF!</v>
      </c>
      <c r="CB26" s="94">
        <f t="shared" si="11"/>
        <v>1.7309609599104457E-2</v>
      </c>
      <c r="CC26" s="95">
        <f t="shared" si="11"/>
        <v>3.6112520114741496E-2</v>
      </c>
      <c r="CD26" s="97">
        <f t="shared" si="12"/>
        <v>7.9319978214808559E-2</v>
      </c>
      <c r="CE26" s="98">
        <f t="shared" si="12"/>
        <v>0.16548289505797567</v>
      </c>
      <c r="CF26" s="94">
        <f t="shared" si="57"/>
        <v>0.59909309700143576</v>
      </c>
      <c r="CG26" s="94">
        <f t="shared" si="57"/>
        <v>6.4557445797568516E-2</v>
      </c>
      <c r="CH26" s="95">
        <f t="shared" si="58"/>
        <v>1.0897296850629565</v>
      </c>
      <c r="CI26" s="96" t="e">
        <f>#REF!</f>
        <v>#REF!</v>
      </c>
      <c r="CJ26" s="94">
        <f t="shared" si="59"/>
        <v>0.45579029733959309</v>
      </c>
      <c r="CK26" s="94">
        <f t="shared" si="59"/>
        <v>8.9984350547730824E-2</v>
      </c>
      <c r="CL26" s="95">
        <f t="shared" si="69"/>
        <v>0.69640062597809083</v>
      </c>
      <c r="CM26" s="95" t="e">
        <f>#REF!</f>
        <v>#REF!</v>
      </c>
      <c r="CN26" s="94">
        <f t="shared" si="60"/>
        <v>0.96076777682074843</v>
      </c>
      <c r="CO26" s="94">
        <f t="shared" si="60"/>
        <v>0.93833740070820182</v>
      </c>
      <c r="CP26" s="95">
        <f t="shared" si="61"/>
        <v>2.1794848789357832</v>
      </c>
      <c r="CQ26" s="95" t="e">
        <f>#REF!</f>
        <v>#REF!</v>
      </c>
      <c r="CR26" s="97">
        <f t="shared" si="70"/>
        <v>0.1960334194842196</v>
      </c>
      <c r="CS26" s="95">
        <f t="shared" si="70"/>
        <v>0.22717891603778717</v>
      </c>
      <c r="CT26" s="96" t="e">
        <f>#REF!</f>
        <v>#REF!</v>
      </c>
      <c r="CU26" s="97">
        <f t="shared" si="71"/>
        <v>9.2142969030748114E-3</v>
      </c>
      <c r="CV26" s="95">
        <f t="shared" si="62"/>
        <v>0.22421455797482037</v>
      </c>
      <c r="CW26" s="96" t="e">
        <f>#REF!</f>
        <v>#REF!</v>
      </c>
      <c r="CX26" s="99">
        <f t="shared" si="63"/>
        <v>0.10800741621772894</v>
      </c>
      <c r="CY26" s="95">
        <f t="shared" si="63"/>
        <v>7.4337088085076608E-3</v>
      </c>
      <c r="CZ26" s="99">
        <f t="shared" si="63"/>
        <v>0.12200027985727278</v>
      </c>
      <c r="DA26" s="95">
        <f t="shared" si="63"/>
        <v>1.4867417617015322E-2</v>
      </c>
      <c r="DB26" s="94">
        <f t="shared" si="13"/>
        <v>0.16004337787728257</v>
      </c>
      <c r="DC26" s="94">
        <f t="shared" si="14"/>
        <v>3.4107605121388086E-2</v>
      </c>
      <c r="DD26" s="94">
        <f t="shared" si="14"/>
        <v>0.5041803680123137</v>
      </c>
      <c r="DE26" s="94">
        <f t="shared" si="14"/>
        <v>0.17578534947176938</v>
      </c>
      <c r="DF26" s="94">
        <f t="shared" si="14"/>
        <v>0</v>
      </c>
      <c r="DG26" s="94">
        <f t="shared" si="14"/>
        <v>0</v>
      </c>
      <c r="DH26" s="95">
        <f t="shared" si="14"/>
        <v>0.87411670048275369</v>
      </c>
      <c r="DI26" s="96" t="e">
        <f>#REF!</f>
        <v>#REF!</v>
      </c>
      <c r="DJ26" s="95">
        <f t="shared" si="64"/>
        <v>0.64913768977821307</v>
      </c>
      <c r="DK26" s="96" t="e">
        <f>#REF!</f>
        <v>#REF!</v>
      </c>
      <c r="DL26" s="95">
        <f t="shared" si="15"/>
        <v>0.20989951374798865</v>
      </c>
      <c r="DM26" s="96">
        <f t="shared" si="16"/>
        <v>0</v>
      </c>
      <c r="DN26" s="94">
        <f t="shared" si="17"/>
        <v>2.5886732141607776</v>
      </c>
      <c r="DO26" s="100">
        <v>3.4</v>
      </c>
      <c r="DP26" s="94">
        <f>IF($O26&lt;&gt;0,IF($O26&lt;&gt;0,BL26/$O26*10,0)," ")</f>
        <v>3.4477104176869795</v>
      </c>
      <c r="DQ26" s="94">
        <f>IF($P26&lt;&gt;0,IF($P26&lt;&gt;0,BM26/$P26*10,0)," ")</f>
        <v>3.6550598154733889</v>
      </c>
      <c r="DR26" s="101" t="str">
        <f t="shared" si="18"/>
        <v>3,30 hL/NhL</v>
      </c>
      <c r="DS26" s="173"/>
      <c r="DT26" s="103">
        <v>21</v>
      </c>
      <c r="DU26" s="120">
        <v>610558</v>
      </c>
      <c r="DV26" s="120">
        <v>23501</v>
      </c>
      <c r="DW26" s="120">
        <v>5099580</v>
      </c>
      <c r="DX26" s="120">
        <v>103913</v>
      </c>
      <c r="DY26" s="120">
        <v>81242</v>
      </c>
      <c r="DZ26" s="120">
        <v>368588</v>
      </c>
      <c r="EA26" s="120">
        <v>212732</v>
      </c>
      <c r="EB26" s="120">
        <v>48850</v>
      </c>
      <c r="EC26" s="120">
        <v>373675</v>
      </c>
      <c r="ED26" s="120">
        <v>44652</v>
      </c>
      <c r="EE26" s="120">
        <v>36501</v>
      </c>
      <c r="EF26" s="120">
        <v>38293</v>
      </c>
      <c r="EG26" s="120">
        <v>89240</v>
      </c>
      <c r="EH26" s="120">
        <v>176021</v>
      </c>
      <c r="EI26" s="120">
        <v>29356</v>
      </c>
      <c r="EJ26" s="120">
        <v>37812</v>
      </c>
      <c r="EK26" s="120"/>
      <c r="EL26" s="120">
        <v>681828</v>
      </c>
      <c r="EM26" s="120">
        <v>4179</v>
      </c>
      <c r="EN26" s="120">
        <v>40335</v>
      </c>
      <c r="EO26" s="120">
        <v>2873494</v>
      </c>
      <c r="EP26" s="120">
        <v>2686312</v>
      </c>
      <c r="EQ26" s="120">
        <v>0</v>
      </c>
      <c r="ER26" s="120">
        <v>1713</v>
      </c>
      <c r="ES26" s="120">
        <v>288868</v>
      </c>
      <c r="ET26" s="120">
        <v>2431672</v>
      </c>
      <c r="EU26" s="120">
        <v>381075</v>
      </c>
      <c r="EV26" s="120">
        <v>114067</v>
      </c>
      <c r="EW26" s="120">
        <v>75084</v>
      </c>
      <c r="EX26" s="120">
        <v>198324</v>
      </c>
      <c r="EY26" s="120">
        <v>1578554</v>
      </c>
      <c r="EZ26" s="120">
        <v>707392</v>
      </c>
      <c r="FA26" s="145">
        <v>723003</v>
      </c>
      <c r="FB26" s="136">
        <v>30019</v>
      </c>
      <c r="FC26" s="136">
        <v>6400</v>
      </c>
      <c r="FD26" s="104">
        <f t="shared" si="76"/>
        <v>7159</v>
      </c>
      <c r="FE26" s="105">
        <f t="shared" si="78"/>
        <v>0</v>
      </c>
      <c r="FF26" s="105">
        <f t="shared" si="78"/>
        <v>691</v>
      </c>
      <c r="FG26" s="105">
        <f t="shared" si="78"/>
        <v>1406</v>
      </c>
      <c r="FH26" s="105">
        <f t="shared" si="78"/>
        <v>2345</v>
      </c>
      <c r="FI26" s="105">
        <f t="shared" si="78"/>
        <v>0</v>
      </c>
      <c r="FJ26" s="105">
        <f t="shared" si="78"/>
        <v>733</v>
      </c>
      <c r="FK26" s="105">
        <f t="shared" si="78"/>
        <v>0</v>
      </c>
      <c r="FL26" s="105">
        <f t="shared" si="78"/>
        <v>1984</v>
      </c>
      <c r="FM26" s="105">
        <f t="shared" si="78"/>
        <v>0</v>
      </c>
      <c r="FN26" s="80">
        <f t="shared" si="74"/>
        <v>725.5</v>
      </c>
      <c r="FO26" s="174">
        <f>FO25+725.5</f>
        <v>66314</v>
      </c>
      <c r="FP26" s="81"/>
      <c r="FY26" s="119">
        <v>21</v>
      </c>
      <c r="FZ26" s="107"/>
      <c r="GA26" s="107"/>
      <c r="GB26" s="107"/>
      <c r="GC26" s="109"/>
      <c r="GD26" s="110"/>
      <c r="GE26" s="110"/>
      <c r="GF26" s="111"/>
      <c r="GG26" s="111"/>
      <c r="GH26" s="111"/>
      <c r="GI26" s="164"/>
      <c r="GJ26" s="111" t="e">
        <f t="shared" si="65"/>
        <v>#DIV/0!</v>
      </c>
      <c r="GK26" s="113"/>
    </row>
    <row r="27" spans="1:193" s="119" customFormat="1" ht="15" customHeight="1">
      <c r="B27" s="573">
        <v>42816</v>
      </c>
      <c r="D27" s="308">
        <v>4726.68</v>
      </c>
      <c r="E27" s="86">
        <v>1007.4</v>
      </c>
      <c r="F27" s="86">
        <v>2392.56</v>
      </c>
      <c r="G27" s="86">
        <v>6135.6350000000002</v>
      </c>
      <c r="H27" s="86">
        <v>5628.4349999999995</v>
      </c>
      <c r="I27" s="86">
        <v>2254.1260000000002</v>
      </c>
      <c r="J27" s="86">
        <v>5452.32</v>
      </c>
      <c r="K27" s="284">
        <v>14.975</v>
      </c>
      <c r="L27" s="167"/>
      <c r="M27" s="115">
        <f t="shared" si="21"/>
        <v>7706.4459999999999</v>
      </c>
      <c r="N27" s="88">
        <f t="shared" si="0"/>
        <v>19890.71</v>
      </c>
      <c r="O27" s="88">
        <f t="shared" si="22"/>
        <v>23743.932999999997</v>
      </c>
      <c r="P27" s="89">
        <f t="shared" si="23"/>
        <v>431841.22149999993</v>
      </c>
      <c r="R27" s="90">
        <f t="shared" si="24"/>
        <v>55</v>
      </c>
      <c r="S27" s="90">
        <f t="shared" si="25"/>
        <v>0</v>
      </c>
      <c r="T27" s="90">
        <f t="shared" si="1"/>
        <v>392.2</v>
      </c>
      <c r="U27" s="90">
        <f t="shared" si="75"/>
        <v>3.5</v>
      </c>
      <c r="V27" s="90">
        <f t="shared" si="26"/>
        <v>1363</v>
      </c>
      <c r="W27" s="91">
        <f t="shared" si="2"/>
        <v>582.4</v>
      </c>
      <c r="X27" s="90">
        <f t="shared" si="27"/>
        <v>1363</v>
      </c>
      <c r="Y27" s="90" t="str">
        <f t="shared" si="28"/>
        <v>0</v>
      </c>
      <c r="Z27" s="90">
        <f t="shared" si="3"/>
        <v>143.4</v>
      </c>
      <c r="AA27" s="90">
        <f t="shared" si="29"/>
        <v>1813.7</v>
      </c>
      <c r="AB27" s="90">
        <f t="shared" si="30"/>
        <v>194</v>
      </c>
      <c r="AC27" s="90">
        <f t="shared" si="30"/>
        <v>39</v>
      </c>
      <c r="AD27" s="90">
        <f t="shared" si="31"/>
        <v>390</v>
      </c>
      <c r="AE27" s="90">
        <f t="shared" si="32"/>
        <v>157</v>
      </c>
      <c r="AF27" s="90">
        <f t="shared" si="33"/>
        <v>150</v>
      </c>
      <c r="AG27" s="90">
        <f t="shared" si="33"/>
        <v>97</v>
      </c>
      <c r="AH27" s="90">
        <f t="shared" si="34"/>
        <v>359</v>
      </c>
      <c r="AI27" s="90">
        <f t="shared" si="35"/>
        <v>112</v>
      </c>
      <c r="AJ27" s="90">
        <f t="shared" si="36"/>
        <v>261</v>
      </c>
      <c r="AK27" s="90">
        <f t="shared" si="36"/>
        <v>175</v>
      </c>
      <c r="AL27" s="90">
        <f t="shared" si="37"/>
        <v>525</v>
      </c>
      <c r="AM27" s="90">
        <f t="shared" si="38"/>
        <v>89</v>
      </c>
      <c r="AN27" s="90">
        <f t="shared" si="39"/>
        <v>82</v>
      </c>
      <c r="AO27" s="90">
        <f t="shared" si="4"/>
        <v>107</v>
      </c>
      <c r="AP27" s="90">
        <f t="shared" si="40"/>
        <v>33</v>
      </c>
      <c r="AQ27" s="90">
        <f t="shared" si="5"/>
        <v>43</v>
      </c>
      <c r="AR27" s="90">
        <f t="shared" si="41"/>
        <v>57.957000000000001</v>
      </c>
      <c r="AS27" s="90">
        <f t="shared" si="42"/>
        <v>54.956999999999994</v>
      </c>
      <c r="AT27" s="90">
        <f t="shared" si="43"/>
        <v>678.95699999999999</v>
      </c>
      <c r="AU27" s="90">
        <f t="shared" si="44"/>
        <v>245</v>
      </c>
      <c r="AV27" s="90">
        <f t="shared" si="66"/>
        <v>37</v>
      </c>
      <c r="AW27" s="90">
        <f t="shared" si="45"/>
        <v>379</v>
      </c>
      <c r="AX27" s="90">
        <f t="shared" si="67"/>
        <v>32</v>
      </c>
      <c r="AY27" s="90" t="str">
        <f t="shared" si="46"/>
        <v/>
      </c>
      <c r="AZ27" s="90">
        <f t="shared" si="47"/>
        <v>363</v>
      </c>
      <c r="BA27" s="90">
        <v>35</v>
      </c>
      <c r="BB27" s="90">
        <f t="shared" si="48"/>
        <v>83</v>
      </c>
      <c r="BC27" s="90">
        <f t="shared" si="48"/>
        <v>449</v>
      </c>
      <c r="BD27" s="91">
        <f t="shared" si="49"/>
        <v>354</v>
      </c>
      <c r="BE27" s="90"/>
      <c r="BF27" s="90"/>
      <c r="BG27" s="90">
        <f t="shared" si="6"/>
        <v>1249</v>
      </c>
      <c r="BH27" s="90">
        <f t="shared" si="50"/>
        <v>71</v>
      </c>
      <c r="BI27" s="90">
        <f t="shared" si="51"/>
        <v>2028.3429999999998</v>
      </c>
      <c r="BJ27" s="90">
        <f t="shared" si="7"/>
        <v>4610.6570000000002</v>
      </c>
      <c r="BK27" s="92"/>
      <c r="BL27" s="93">
        <f t="shared" si="52"/>
        <v>6710</v>
      </c>
      <c r="BM27" s="93">
        <f t="shared" si="53"/>
        <v>155872</v>
      </c>
      <c r="BN27" s="92"/>
      <c r="BO27" s="94">
        <f t="shared" si="54"/>
        <v>2.7651099432850816E-2</v>
      </c>
      <c r="BP27" s="94">
        <f t="shared" si="54"/>
        <v>0</v>
      </c>
      <c r="BQ27" s="94">
        <f t="shared" si="55"/>
        <v>0.19717747631934707</v>
      </c>
      <c r="BR27" s="94">
        <f t="shared" si="68"/>
        <v>0.68524451867228464</v>
      </c>
      <c r="BS27" s="94">
        <f t="shared" si="77"/>
        <v>0</v>
      </c>
      <c r="BT27" s="94">
        <f t="shared" si="77"/>
        <v>7.2093957430378303E-2</v>
      </c>
      <c r="BU27" s="95">
        <f t="shared" si="77"/>
        <v>0.91183270984293685</v>
      </c>
      <c r="BV27" s="94">
        <f t="shared" si="9"/>
        <v>2.3163811993573268E-2</v>
      </c>
      <c r="BW27" s="94">
        <f t="shared" si="9"/>
        <v>0</v>
      </c>
      <c r="BX27" s="94">
        <f t="shared" si="9"/>
        <v>0.16517903752508062</v>
      </c>
      <c r="BY27" s="94">
        <f t="shared" si="56"/>
        <v>0.574041377222552</v>
      </c>
      <c r="BZ27" s="95">
        <f t="shared" si="10"/>
        <v>0.7638582875044333</v>
      </c>
      <c r="CA27" s="96" t="e">
        <f>#REF!</f>
        <v>#REF!</v>
      </c>
      <c r="CB27" s="94">
        <f t="shared" si="11"/>
        <v>2.4409182758391379E-2</v>
      </c>
      <c r="CC27" s="95">
        <f t="shared" si="11"/>
        <v>2.3145702104196472E-2</v>
      </c>
      <c r="CD27" s="97">
        <f t="shared" si="12"/>
        <v>7.52058731093425E-2</v>
      </c>
      <c r="CE27" s="98">
        <f t="shared" si="12"/>
        <v>7.1313028080648322E-2</v>
      </c>
      <c r="CF27" s="94">
        <f t="shared" si="57"/>
        <v>0.41043607775436453</v>
      </c>
      <c r="CG27" s="94">
        <f t="shared" si="57"/>
        <v>8.2510345527939261E-2</v>
      </c>
      <c r="CH27" s="95">
        <f t="shared" si="58"/>
        <v>0.82510345527939255</v>
      </c>
      <c r="CI27" s="96" t="e">
        <f>#REF!</f>
        <v>#REF!</v>
      </c>
      <c r="CJ27" s="94">
        <f t="shared" si="59"/>
        <v>1.4889815366289458</v>
      </c>
      <c r="CK27" s="94">
        <f t="shared" si="59"/>
        <v>0.96287472702005161</v>
      </c>
      <c r="CL27" s="95">
        <f t="shared" si="69"/>
        <v>3.5636291443319434</v>
      </c>
      <c r="CM27" s="95" t="e">
        <f>#REF!</f>
        <v>#REF!</v>
      </c>
      <c r="CN27" s="94">
        <f t="shared" si="60"/>
        <v>1.0908817333734577</v>
      </c>
      <c r="CO27" s="94">
        <f t="shared" si="60"/>
        <v>0.73143411241515366</v>
      </c>
      <c r="CP27" s="95">
        <f t="shared" si="61"/>
        <v>2.1943023372454609</v>
      </c>
      <c r="CQ27" s="95" t="e">
        <f>#REF!</f>
        <v>#REF!</v>
      </c>
      <c r="CR27" s="97">
        <f t="shared" si="70"/>
        <v>0.13364549879515322</v>
      </c>
      <c r="CS27" s="95">
        <f t="shared" si="70"/>
        <v>0.17439107769611456</v>
      </c>
      <c r="CT27" s="96" t="e">
        <f>#REF!</f>
        <v>#REF!</v>
      </c>
      <c r="CU27" s="97">
        <f t="shared" si="71"/>
        <v>5.863086275314542E-2</v>
      </c>
      <c r="CV27" s="95">
        <f t="shared" si="62"/>
        <v>7.6397790860159173E-2</v>
      </c>
      <c r="CW27" s="96" t="e">
        <f>#REF!</f>
        <v>#REF!</v>
      </c>
      <c r="CX27" s="99">
        <f t="shared" si="63"/>
        <v>0.10318425342591728</v>
      </c>
      <c r="CY27" s="95">
        <f t="shared" si="63"/>
        <v>1.5582928068403834E-2</v>
      </c>
      <c r="CZ27" s="99">
        <f t="shared" si="63"/>
        <v>0.15961972264662305</v>
      </c>
      <c r="DA27" s="95">
        <f t="shared" si="63"/>
        <v>1.3477126978078992E-2</v>
      </c>
      <c r="DB27" s="94">
        <f t="shared" si="13"/>
        <v>0.15288115915758355</v>
      </c>
      <c r="DC27" s="94">
        <f t="shared" si="14"/>
        <v>3.495629809939238E-2</v>
      </c>
      <c r="DD27" s="94">
        <f t="shared" si="14"/>
        <v>0.18910093791117083</v>
      </c>
      <c r="DE27" s="94">
        <f t="shared" si="14"/>
        <v>0.14909071719499883</v>
      </c>
      <c r="DF27" s="94">
        <f t="shared" si="14"/>
        <v>0</v>
      </c>
      <c r="DG27" s="94">
        <f t="shared" si="14"/>
        <v>0</v>
      </c>
      <c r="DH27" s="95">
        <f t="shared" si="14"/>
        <v>0.52602911236314565</v>
      </c>
      <c r="DI27" s="96" t="e">
        <f>#REF!</f>
        <v>#REF!</v>
      </c>
      <c r="DJ27" s="95">
        <f t="shared" si="64"/>
        <v>2.9902375482612761E-2</v>
      </c>
      <c r="DK27" s="96" t="e">
        <f>#REF!</f>
        <v>#REF!</v>
      </c>
      <c r="DL27" s="95">
        <f t="shared" si="15"/>
        <v>0.85425738019055231</v>
      </c>
      <c r="DM27" s="96">
        <f t="shared" si="16"/>
        <v>0</v>
      </c>
      <c r="DN27" s="94">
        <f t="shared" si="17"/>
        <v>1.9418253075427736</v>
      </c>
      <c r="DO27" s="100">
        <v>3.4</v>
      </c>
      <c r="DP27" s="94">
        <f t="shared" si="72"/>
        <v>2.8259850632159385</v>
      </c>
      <c r="DQ27" s="94">
        <f t="shared" si="73"/>
        <v>3.6094747847039432</v>
      </c>
      <c r="DR27" s="101" t="str">
        <f t="shared" si="18"/>
        <v>3,30 hL/NhL</v>
      </c>
      <c r="DS27" s="173"/>
      <c r="DT27" s="103">
        <v>22</v>
      </c>
      <c r="DU27" s="120">
        <v>610752</v>
      </c>
      <c r="DV27" s="120">
        <v>23540</v>
      </c>
      <c r="DW27" s="120">
        <v>5099970</v>
      </c>
      <c r="DX27" s="120">
        <v>104063</v>
      </c>
      <c r="DY27" s="120">
        <v>81339</v>
      </c>
      <c r="DZ27" s="120">
        <v>368947</v>
      </c>
      <c r="EA27" s="120">
        <v>212993</v>
      </c>
      <c r="EB27" s="120">
        <v>49025</v>
      </c>
      <c r="EC27" s="120">
        <v>374200</v>
      </c>
      <c r="ED27" s="120">
        <v>44734</v>
      </c>
      <c r="EE27" s="120">
        <v>36541</v>
      </c>
      <c r="EF27" s="120">
        <v>38360</v>
      </c>
      <c r="EG27" s="120">
        <v>89273</v>
      </c>
      <c r="EH27" s="120">
        <v>176064</v>
      </c>
      <c r="EI27" s="120">
        <v>29393</v>
      </c>
      <c r="EJ27" s="120">
        <v>37844</v>
      </c>
      <c r="EK27" s="120"/>
      <c r="EL27" s="120">
        <v>681883</v>
      </c>
      <c r="EM27" s="120">
        <v>3922</v>
      </c>
      <c r="EN27" s="120">
        <v>40370</v>
      </c>
      <c r="EO27" s="120">
        <v>2874857</v>
      </c>
      <c r="EP27" s="120">
        <v>2692136</v>
      </c>
      <c r="EQ27" s="120">
        <v>0</v>
      </c>
      <c r="ER27" s="120">
        <v>1434</v>
      </c>
      <c r="ES27" s="120">
        <v>289489</v>
      </c>
      <c r="ET27" s="120">
        <v>2489629</v>
      </c>
      <c r="EU27" s="120">
        <v>381454</v>
      </c>
      <c r="EV27" s="120">
        <v>114312</v>
      </c>
      <c r="EW27" s="120">
        <v>75447</v>
      </c>
      <c r="EX27" s="120">
        <v>198407</v>
      </c>
      <c r="EY27" s="120">
        <v>1579003</v>
      </c>
      <c r="EZ27" s="120">
        <v>707392</v>
      </c>
      <c r="FA27" s="151">
        <v>723357</v>
      </c>
      <c r="FB27" s="77">
        <v>30056</v>
      </c>
      <c r="FC27" s="176">
        <v>6639</v>
      </c>
      <c r="FD27" s="104">
        <f t="shared" si="76"/>
        <v>6710</v>
      </c>
      <c r="FE27" s="105">
        <f t="shared" si="78"/>
        <v>0</v>
      </c>
      <c r="FF27" s="105">
        <f t="shared" si="78"/>
        <v>191</v>
      </c>
      <c r="FG27" s="105">
        <f t="shared" si="78"/>
        <v>1165</v>
      </c>
      <c r="FH27" s="105">
        <f t="shared" si="78"/>
        <v>2131</v>
      </c>
      <c r="FI27" s="105">
        <f t="shared" si="78"/>
        <v>627</v>
      </c>
      <c r="FJ27" s="105">
        <f t="shared" si="78"/>
        <v>734</v>
      </c>
      <c r="FK27" s="105">
        <f t="shared" si="78"/>
        <v>0</v>
      </c>
      <c r="FL27" s="105">
        <f t="shared" si="78"/>
        <v>1862</v>
      </c>
      <c r="FM27" s="105">
        <f t="shared" si="78"/>
        <v>0</v>
      </c>
      <c r="FN27" s="80">
        <f t="shared" si="74"/>
        <v>0</v>
      </c>
      <c r="FO27" s="174"/>
      <c r="FP27" s="81"/>
      <c r="FY27" s="119">
        <v>22</v>
      </c>
      <c r="FZ27" s="107"/>
      <c r="GA27" s="107"/>
      <c r="GB27" s="107"/>
      <c r="GC27" s="109"/>
      <c r="GD27" s="110"/>
      <c r="GE27" s="110"/>
      <c r="GF27" s="111"/>
      <c r="GG27" s="111"/>
      <c r="GH27" s="111"/>
      <c r="GI27" s="112"/>
      <c r="GJ27" s="111" t="e">
        <f t="shared" si="65"/>
        <v>#DIV/0!</v>
      </c>
      <c r="GK27" s="113"/>
    </row>
    <row r="28" spans="1:193" ht="15" customHeight="1">
      <c r="B28" s="573">
        <v>42817</v>
      </c>
      <c r="D28" s="321">
        <v>4014</v>
      </c>
      <c r="E28" s="85">
        <v>2730.36</v>
      </c>
      <c r="F28" s="85">
        <v>2310.192</v>
      </c>
      <c r="G28" s="85">
        <v>4670.3229999999994</v>
      </c>
      <c r="H28" s="85">
        <v>5557.7690000000002</v>
      </c>
      <c r="I28" s="85">
        <v>747.005</v>
      </c>
      <c r="J28" s="85">
        <v>1472.04</v>
      </c>
      <c r="K28" s="167"/>
      <c r="L28" s="167">
        <v>80</v>
      </c>
      <c r="M28" s="115">
        <f t="shared" si="21"/>
        <v>2219.0450000000001</v>
      </c>
      <c r="N28" s="88">
        <f t="shared" si="0"/>
        <v>19282.644</v>
      </c>
      <c r="O28" s="88">
        <f t="shared" si="22"/>
        <v>20472.166499999999</v>
      </c>
      <c r="P28" s="89">
        <f t="shared" si="23"/>
        <v>452313.38799999992</v>
      </c>
      <c r="R28" s="90">
        <f t="shared" si="24"/>
        <v>51</v>
      </c>
      <c r="S28" s="90">
        <f t="shared" si="25"/>
        <v>296.8</v>
      </c>
      <c r="T28" s="90">
        <f t="shared" si="1"/>
        <v>525.20000000000005</v>
      </c>
      <c r="U28" s="90">
        <f t="shared" si="75"/>
        <v>0.3</v>
      </c>
      <c r="V28" s="90">
        <f t="shared" si="26"/>
        <v>1566</v>
      </c>
      <c r="W28" s="91">
        <f t="shared" si="2"/>
        <v>280.2</v>
      </c>
      <c r="X28" s="90">
        <f t="shared" si="27"/>
        <v>1566</v>
      </c>
      <c r="Y28" s="90" t="str">
        <f t="shared" si="28"/>
        <v>0</v>
      </c>
      <c r="Z28" s="90">
        <f t="shared" si="3"/>
        <v>172</v>
      </c>
      <c r="AA28" s="90">
        <f t="shared" si="29"/>
        <v>2439.3000000000002</v>
      </c>
      <c r="AB28" s="90">
        <f t="shared" si="30"/>
        <v>230</v>
      </c>
      <c r="AC28" s="90">
        <f t="shared" si="30"/>
        <v>22</v>
      </c>
      <c r="AD28" s="90">
        <f t="shared" si="31"/>
        <v>446</v>
      </c>
      <c r="AE28" s="90">
        <f t="shared" si="32"/>
        <v>194</v>
      </c>
      <c r="AF28" s="90">
        <f t="shared" si="33"/>
        <v>161</v>
      </c>
      <c r="AG28" s="90">
        <f t="shared" si="33"/>
        <v>10</v>
      </c>
      <c r="AH28" s="90">
        <f t="shared" si="34"/>
        <v>240</v>
      </c>
      <c r="AI28" s="90">
        <f t="shared" si="35"/>
        <v>69</v>
      </c>
      <c r="AJ28" s="90">
        <f t="shared" si="36"/>
        <v>247</v>
      </c>
      <c r="AK28" s="90">
        <f t="shared" si="36"/>
        <v>125</v>
      </c>
      <c r="AL28" s="90">
        <f t="shared" si="37"/>
        <v>439</v>
      </c>
      <c r="AM28" s="90">
        <f t="shared" si="38"/>
        <v>67</v>
      </c>
      <c r="AN28" s="90">
        <f t="shared" si="39"/>
        <v>96</v>
      </c>
      <c r="AO28" s="90">
        <f t="shared" si="4"/>
        <v>120</v>
      </c>
      <c r="AP28" s="90">
        <f t="shared" si="40"/>
        <v>35</v>
      </c>
      <c r="AQ28" s="90">
        <f t="shared" si="5"/>
        <v>56</v>
      </c>
      <c r="AR28" s="90">
        <f t="shared" si="41"/>
        <v>46.683</v>
      </c>
      <c r="AS28" s="90">
        <f t="shared" si="42"/>
        <v>-56.317000000000007</v>
      </c>
      <c r="AT28" s="90">
        <f t="shared" si="43"/>
        <v>503.68299999999999</v>
      </c>
      <c r="AU28" s="90">
        <f t="shared" si="44"/>
        <v>305</v>
      </c>
      <c r="AV28" s="90">
        <f t="shared" si="66"/>
        <v>68</v>
      </c>
      <c r="AW28" s="90">
        <f t="shared" si="45"/>
        <v>255</v>
      </c>
      <c r="AX28" s="90">
        <f t="shared" si="67"/>
        <v>5</v>
      </c>
      <c r="AY28" s="90" t="str">
        <f t="shared" si="46"/>
        <v/>
      </c>
      <c r="AZ28" s="90">
        <f t="shared" si="47"/>
        <v>388</v>
      </c>
      <c r="BA28" s="90">
        <v>34</v>
      </c>
      <c r="BB28" s="90">
        <f t="shared" si="48"/>
        <v>83</v>
      </c>
      <c r="BC28" s="90">
        <f t="shared" si="48"/>
        <v>0</v>
      </c>
      <c r="BD28" s="91">
        <f t="shared" si="49"/>
        <v>358</v>
      </c>
      <c r="BE28" s="90"/>
      <c r="BF28" s="90"/>
      <c r="BG28" s="90">
        <f t="shared" si="6"/>
        <v>829</v>
      </c>
      <c r="BH28" s="90">
        <f t="shared" si="50"/>
        <v>-691</v>
      </c>
      <c r="BI28" s="90">
        <f t="shared" si="51"/>
        <v>2098.0169999999998</v>
      </c>
      <c r="BJ28" s="90">
        <f t="shared" si="7"/>
        <v>4585.9830000000002</v>
      </c>
      <c r="BK28" s="92"/>
      <c r="BL28" s="93">
        <f t="shared" si="52"/>
        <v>5993</v>
      </c>
      <c r="BM28" s="93">
        <f t="shared" si="53"/>
        <v>161865</v>
      </c>
      <c r="BN28" s="92"/>
      <c r="BO28" s="94">
        <f t="shared" si="54"/>
        <v>2.6448655070331645E-2</v>
      </c>
      <c r="BP28" s="94">
        <f t="shared" si="54"/>
        <v>0.15392080048773393</v>
      </c>
      <c r="BQ28" s="94">
        <f t="shared" si="55"/>
        <v>0.27236928711643488</v>
      </c>
      <c r="BR28" s="94">
        <f t="shared" si="68"/>
        <v>0.81212929098312447</v>
      </c>
      <c r="BS28" s="94">
        <f t="shared" si="77"/>
        <v>0</v>
      </c>
      <c r="BT28" s="94">
        <f t="shared" si="77"/>
        <v>8.9199385727392999E-2</v>
      </c>
      <c r="BU28" s="95">
        <f t="shared" si="77"/>
        <v>1.2650236139815683</v>
      </c>
      <c r="BV28" s="94">
        <f t="shared" si="9"/>
        <v>2.4911872419560482E-2</v>
      </c>
      <c r="BW28" s="94">
        <f t="shared" si="9"/>
        <v>0.14497732812010886</v>
      </c>
      <c r="BX28" s="94">
        <f t="shared" si="9"/>
        <v>0.25654343911280719</v>
      </c>
      <c r="BY28" s="94">
        <f t="shared" si="56"/>
        <v>0.76494102370650419</v>
      </c>
      <c r="BZ28" s="95">
        <f t="shared" si="10"/>
        <v>1.1915202037849781</v>
      </c>
      <c r="CA28" s="96" t="e">
        <f>#REF!</f>
        <v>#REF!</v>
      </c>
      <c r="CB28" s="94">
        <f t="shared" si="11"/>
        <v>2.2803155689457684E-2</v>
      </c>
      <c r="CC28" s="95">
        <f t="shared" si="11"/>
        <v>-2.7509057236321331E-2</v>
      </c>
      <c r="CD28" s="97">
        <f t="shared" si="12"/>
        <v>0.21037428263059108</v>
      </c>
      <c r="CE28" s="98">
        <f t="shared" si="12"/>
        <v>-0.25378935533078423</v>
      </c>
      <c r="CF28" s="94">
        <f t="shared" si="57"/>
        <v>0.57299451918285993</v>
      </c>
      <c r="CG28" s="94">
        <f t="shared" si="57"/>
        <v>5.4808171400099651E-2</v>
      </c>
      <c r="CH28" s="95">
        <f t="shared" si="58"/>
        <v>1.1111111111111112</v>
      </c>
      <c r="CI28" s="96" t="e">
        <f>#REF!</f>
        <v>#REF!</v>
      </c>
      <c r="CJ28" s="94">
        <f t="shared" si="59"/>
        <v>0.58966583161194863</v>
      </c>
      <c r="CK28" s="94">
        <f t="shared" si="59"/>
        <v>3.662520693241917E-2</v>
      </c>
      <c r="CL28" s="95">
        <f t="shared" si="69"/>
        <v>0.87900496637805992</v>
      </c>
      <c r="CM28" s="95" t="e">
        <f>#REF!</f>
        <v>#REF!</v>
      </c>
      <c r="CN28" s="94">
        <f t="shared" si="60"/>
        <v>1.0691752027537105</v>
      </c>
      <c r="CO28" s="94">
        <f t="shared" si="60"/>
        <v>0.54108056819519768</v>
      </c>
      <c r="CP28" s="95">
        <f t="shared" si="61"/>
        <v>1.9002749555015341</v>
      </c>
      <c r="CQ28" s="95" t="e">
        <f>#REF!</f>
        <v>#REF!</v>
      </c>
      <c r="CR28" s="97">
        <f t="shared" si="70"/>
        <v>0.20555323475485529</v>
      </c>
      <c r="CS28" s="95">
        <f t="shared" si="70"/>
        <v>0.25694154344356912</v>
      </c>
      <c r="CT28" s="96" t="e">
        <f>#REF!</f>
        <v>#REF!</v>
      </c>
      <c r="CU28" s="97">
        <f t="shared" si="71"/>
        <v>6.2974909536542445E-2</v>
      </c>
      <c r="CV28" s="95">
        <f t="shared" si="62"/>
        <v>0.10075985525846792</v>
      </c>
      <c r="CW28" s="96" t="e">
        <f>#REF!</f>
        <v>#REF!</v>
      </c>
      <c r="CX28" s="99">
        <f t="shared" si="63"/>
        <v>0.14898276643070485</v>
      </c>
      <c r="CY28" s="95">
        <f t="shared" si="63"/>
        <v>3.3215829892747309E-2</v>
      </c>
      <c r="CZ28" s="99">
        <f t="shared" si="63"/>
        <v>0.12455936209780241</v>
      </c>
      <c r="DA28" s="95">
        <f t="shared" si="63"/>
        <v>2.442340433290243E-3</v>
      </c>
      <c r="DB28" s="94">
        <f t="shared" si="13"/>
        <v>0.18952561762332287</v>
      </c>
      <c r="DC28" s="94">
        <f t="shared" si="14"/>
        <v>4.0542851192618037E-2</v>
      </c>
      <c r="DD28" s="94">
        <f t="shared" si="14"/>
        <v>0</v>
      </c>
      <c r="DE28" s="94">
        <f t="shared" si="14"/>
        <v>0.17487157502358142</v>
      </c>
      <c r="DF28" s="94">
        <f t="shared" si="14"/>
        <v>0</v>
      </c>
      <c r="DG28" s="94">
        <f t="shared" si="14"/>
        <v>0</v>
      </c>
      <c r="DH28" s="95">
        <f t="shared" si="14"/>
        <v>0.40494004383952231</v>
      </c>
      <c r="DI28" s="96" t="e">
        <f>#REF!</f>
        <v>#REF!</v>
      </c>
      <c r="DJ28" s="95">
        <f t="shared" si="64"/>
        <v>-0.33753144788071165</v>
      </c>
      <c r="DK28" s="96" t="e">
        <f>#REF!</f>
        <v>#REF!</v>
      </c>
      <c r="DL28" s="95">
        <f t="shared" si="15"/>
        <v>1.0248143497660591</v>
      </c>
      <c r="DM28" s="96">
        <f t="shared" si="16"/>
        <v>0</v>
      </c>
      <c r="DN28" s="94">
        <f t="shared" si="17"/>
        <v>2.2401063414563378</v>
      </c>
      <c r="DO28" s="100">
        <v>3.4</v>
      </c>
      <c r="DP28" s="94">
        <f>IF($O28&lt;&gt;0,IF($O28&lt;&gt;0,BL28/$O28*10,0)," ")</f>
        <v>2.9273892433416853</v>
      </c>
      <c r="DQ28" s="94">
        <f t="shared" si="73"/>
        <v>3.5786028955658509</v>
      </c>
      <c r="DR28" s="101" t="str">
        <f t="shared" si="18"/>
        <v>3,30 hL/NhL</v>
      </c>
      <c r="DS28" s="173"/>
      <c r="DT28" s="103">
        <v>23</v>
      </c>
      <c r="DU28" s="120">
        <v>610982</v>
      </c>
      <c r="DV28" s="120">
        <v>23562</v>
      </c>
      <c r="DW28" s="120">
        <v>5100416</v>
      </c>
      <c r="DX28" s="120">
        <v>104224</v>
      </c>
      <c r="DY28" s="120">
        <v>81349</v>
      </c>
      <c r="DZ28" s="120">
        <v>369187</v>
      </c>
      <c r="EA28" s="120">
        <v>213240</v>
      </c>
      <c r="EB28" s="120">
        <v>49150</v>
      </c>
      <c r="EC28" s="120">
        <v>374639</v>
      </c>
      <c r="ED28" s="120">
        <v>44830</v>
      </c>
      <c r="EE28" s="120">
        <v>36582</v>
      </c>
      <c r="EF28" s="120">
        <v>38439</v>
      </c>
      <c r="EG28" s="120">
        <v>89308</v>
      </c>
      <c r="EH28" s="120">
        <v>176120</v>
      </c>
      <c r="EI28" s="120">
        <v>29461</v>
      </c>
      <c r="EJ28" s="120">
        <v>37849</v>
      </c>
      <c r="EK28" s="120"/>
      <c r="EL28" s="120">
        <v>681934</v>
      </c>
      <c r="EM28" s="120">
        <v>5252</v>
      </c>
      <c r="EN28" s="120">
        <v>40373</v>
      </c>
      <c r="EO28" s="120">
        <v>2876423</v>
      </c>
      <c r="EP28" s="120">
        <v>2694938</v>
      </c>
      <c r="EQ28" s="120">
        <v>0</v>
      </c>
      <c r="ER28" s="120">
        <v>1720</v>
      </c>
      <c r="ES28" s="120">
        <v>289946</v>
      </c>
      <c r="ET28" s="120">
        <v>2536312</v>
      </c>
      <c r="EU28" s="120">
        <v>381709</v>
      </c>
      <c r="EV28" s="120">
        <v>114617</v>
      </c>
      <c r="EW28" s="120">
        <v>75835</v>
      </c>
      <c r="EX28" s="120">
        <v>198490</v>
      </c>
      <c r="EY28" s="120">
        <v>1579003</v>
      </c>
      <c r="EZ28" s="120">
        <v>710360</v>
      </c>
      <c r="FA28" s="151">
        <v>723715</v>
      </c>
      <c r="FB28" s="150">
        <v>30094</v>
      </c>
      <c r="FC28" s="177">
        <v>6684</v>
      </c>
      <c r="FD28" s="104">
        <f t="shared" si="76"/>
        <v>5993</v>
      </c>
      <c r="FE28" s="105">
        <f t="shared" si="78"/>
        <v>0</v>
      </c>
      <c r="FF28" s="105">
        <f t="shared" si="78"/>
        <v>274</v>
      </c>
      <c r="FG28" s="105">
        <f t="shared" si="78"/>
        <v>1360</v>
      </c>
      <c r="FH28" s="105">
        <f t="shared" si="78"/>
        <v>1892</v>
      </c>
      <c r="FI28" s="105">
        <f t="shared" si="78"/>
        <v>553</v>
      </c>
      <c r="FJ28" s="105">
        <f t="shared" si="78"/>
        <v>792</v>
      </c>
      <c r="FK28" s="105">
        <f t="shared" si="78"/>
        <v>3</v>
      </c>
      <c r="FL28" s="105">
        <f t="shared" si="78"/>
        <v>1119</v>
      </c>
      <c r="FM28" s="105">
        <f t="shared" si="78"/>
        <v>0</v>
      </c>
      <c r="FN28" s="80">
        <f t="shared" si="74"/>
        <v>0</v>
      </c>
      <c r="FO28" s="174"/>
      <c r="FP28" s="81"/>
      <c r="FR28" s="64"/>
      <c r="FS28" s="64"/>
      <c r="FT28" s="64"/>
      <c r="FU28" s="64"/>
      <c r="FV28" s="64"/>
      <c r="FW28" s="64"/>
      <c r="FX28" s="64"/>
      <c r="FY28" s="64">
        <v>23</v>
      </c>
      <c r="FZ28" s="107"/>
      <c r="GA28" s="107"/>
      <c r="GB28" s="107"/>
      <c r="GC28" s="109"/>
      <c r="GD28" s="110"/>
      <c r="GE28" s="110"/>
      <c r="GF28" s="111"/>
      <c r="GG28" s="111"/>
      <c r="GH28" s="111"/>
      <c r="GI28" s="112"/>
      <c r="GJ28" s="111" t="e">
        <f t="shared" si="65"/>
        <v>#DIV/0!</v>
      </c>
      <c r="GK28" s="118"/>
    </row>
    <row r="29" spans="1:193" ht="15" customHeight="1">
      <c r="B29" s="573">
        <v>42818</v>
      </c>
      <c r="D29" s="321">
        <v>4755.7199999999993</v>
      </c>
      <c r="E29" s="85">
        <v>3459.96</v>
      </c>
      <c r="F29" s="85">
        <v>784.44</v>
      </c>
      <c r="G29" s="85">
        <v>5607.6090000000004</v>
      </c>
      <c r="H29" s="85">
        <v>4874.79</v>
      </c>
      <c r="I29" s="85">
        <v>1335.884</v>
      </c>
      <c r="J29" s="85">
        <v>5932.74</v>
      </c>
      <c r="K29" s="167"/>
      <c r="L29" s="167">
        <v>80</v>
      </c>
      <c r="M29" s="115">
        <f t="shared" si="21"/>
        <v>7268.6239999999998</v>
      </c>
      <c r="N29" s="88">
        <f t="shared" si="0"/>
        <v>19482.519</v>
      </c>
      <c r="O29" s="88">
        <f t="shared" si="22"/>
        <v>23196.830999999998</v>
      </c>
      <c r="P29" s="89">
        <f t="shared" si="23"/>
        <v>475510.21899999992</v>
      </c>
      <c r="R29" s="90">
        <f t="shared" si="24"/>
        <v>105</v>
      </c>
      <c r="S29" s="90">
        <f t="shared" si="25"/>
        <v>122.6</v>
      </c>
      <c r="T29" s="90">
        <f t="shared" si="1"/>
        <v>290</v>
      </c>
      <c r="U29" s="90">
        <f t="shared" si="75"/>
        <v>1.8</v>
      </c>
      <c r="V29" s="90">
        <f t="shared" si="26"/>
        <v>1480</v>
      </c>
      <c r="W29" s="91">
        <f t="shared" si="2"/>
        <v>1535.4</v>
      </c>
      <c r="X29" s="90">
        <f t="shared" si="27"/>
        <v>1480</v>
      </c>
      <c r="Y29" s="90" t="str">
        <f t="shared" si="28"/>
        <v>0</v>
      </c>
      <c r="Z29" s="90">
        <f t="shared" si="3"/>
        <v>150</v>
      </c>
      <c r="AA29" s="90">
        <f t="shared" si="29"/>
        <v>1999.4</v>
      </c>
      <c r="AB29" s="90">
        <f t="shared" si="30"/>
        <v>248</v>
      </c>
      <c r="AC29" s="90">
        <f t="shared" si="30"/>
        <v>33</v>
      </c>
      <c r="AD29" s="90">
        <f t="shared" si="31"/>
        <v>434</v>
      </c>
      <c r="AE29" s="90">
        <f t="shared" si="32"/>
        <v>153</v>
      </c>
      <c r="AF29" s="90">
        <f t="shared" si="33"/>
        <v>198</v>
      </c>
      <c r="AG29" s="90">
        <f t="shared" si="33"/>
        <v>6</v>
      </c>
      <c r="AH29" s="90">
        <f t="shared" si="34"/>
        <v>286</v>
      </c>
      <c r="AI29" s="90">
        <f t="shared" si="35"/>
        <v>82</v>
      </c>
      <c r="AJ29" s="90">
        <f t="shared" si="36"/>
        <v>38</v>
      </c>
      <c r="AK29" s="90">
        <f t="shared" si="36"/>
        <v>77</v>
      </c>
      <c r="AL29" s="90">
        <f t="shared" si="37"/>
        <v>215</v>
      </c>
      <c r="AM29" s="90">
        <f t="shared" si="38"/>
        <v>100</v>
      </c>
      <c r="AN29" s="90">
        <f t="shared" si="39"/>
        <v>70</v>
      </c>
      <c r="AO29" s="90">
        <f t="shared" si="4"/>
        <v>98</v>
      </c>
      <c r="AP29" s="90">
        <f t="shared" si="40"/>
        <v>27</v>
      </c>
      <c r="AQ29" s="90">
        <f t="shared" si="5"/>
        <v>45</v>
      </c>
      <c r="AR29" s="90">
        <f t="shared" si="41"/>
        <v>76.409000000000006</v>
      </c>
      <c r="AS29" s="90">
        <f t="shared" si="42"/>
        <v>154.40899999999999</v>
      </c>
      <c r="AT29" s="90">
        <f t="shared" si="43"/>
        <v>870.40899999999999</v>
      </c>
      <c r="AU29" s="90">
        <f t="shared" si="44"/>
        <v>184</v>
      </c>
      <c r="AV29" s="90">
        <f t="shared" si="66"/>
        <v>23</v>
      </c>
      <c r="AW29" s="90">
        <f t="shared" si="45"/>
        <v>532</v>
      </c>
      <c r="AX29" s="90">
        <f t="shared" si="67"/>
        <v>4</v>
      </c>
      <c r="AY29" s="90" t="str">
        <f t="shared" si="46"/>
        <v/>
      </c>
      <c r="AZ29" s="90">
        <f t="shared" si="47"/>
        <v>341</v>
      </c>
      <c r="BA29" s="90">
        <v>45</v>
      </c>
      <c r="BB29" s="90">
        <f t="shared" si="48"/>
        <v>82</v>
      </c>
      <c r="BC29" s="90">
        <f t="shared" si="48"/>
        <v>289</v>
      </c>
      <c r="BD29" s="91">
        <f t="shared" si="49"/>
        <v>138</v>
      </c>
      <c r="BE29" s="90"/>
      <c r="BF29" s="90"/>
      <c r="BG29" s="90">
        <f t="shared" si="6"/>
        <v>850</v>
      </c>
      <c r="BH29" s="90">
        <f t="shared" si="50"/>
        <v>-281</v>
      </c>
      <c r="BI29" s="90">
        <f t="shared" si="51"/>
        <v>1789.1909999999998</v>
      </c>
      <c r="BJ29" s="90">
        <f>IF(BH29=0,"",(AA29+AD29+AO29+BG29+AH29+AL29+AQ29+AS29+AX29+AV29))</f>
        <v>4108.8090000000002</v>
      </c>
      <c r="BK29" s="92"/>
      <c r="BL29" s="93">
        <f t="shared" si="52"/>
        <v>5617</v>
      </c>
      <c r="BM29" s="93">
        <f t="shared" si="53"/>
        <v>167482</v>
      </c>
      <c r="BN29" s="92"/>
      <c r="BO29" s="94">
        <f t="shared" si="54"/>
        <v>5.3894468163998711E-2</v>
      </c>
      <c r="BP29" s="94">
        <f t="shared" si="54"/>
        <v>6.2928207589583257E-2</v>
      </c>
      <c r="BQ29" s="94">
        <f t="shared" si="55"/>
        <v>0.14885138826247263</v>
      </c>
      <c r="BR29" s="94">
        <f t="shared" si="68"/>
        <v>0.75965536078779139</v>
      </c>
      <c r="BS29" s="94">
        <f t="shared" si="77"/>
        <v>0</v>
      </c>
      <c r="BT29" s="94">
        <f t="shared" si="77"/>
        <v>7.6992097377141022E-2</v>
      </c>
      <c r="BU29" s="95">
        <f t="shared" si="77"/>
        <v>1.0262533299723717</v>
      </c>
      <c r="BV29" s="94">
        <f t="shared" si="9"/>
        <v>4.5264803627702431E-2</v>
      </c>
      <c r="BW29" s="94">
        <f t="shared" si="9"/>
        <v>5.2852046902441122E-2</v>
      </c>
      <c r="BX29" s="94">
        <f t="shared" si="9"/>
        <v>0.12501707668603529</v>
      </c>
      <c r="BY29" s="94">
        <f t="shared" si="56"/>
        <v>0.6380181844666627</v>
      </c>
      <c r="BZ29" s="95">
        <f t="shared" si="10"/>
        <v>0.86192807974503083</v>
      </c>
      <c r="CA29" s="96" t="e">
        <f>#REF!</f>
        <v>#REF!</v>
      </c>
      <c r="CB29" s="94">
        <f t="shared" si="11"/>
        <v>3.2939413146562999E-2</v>
      </c>
      <c r="CC29" s="95">
        <f t="shared" si="11"/>
        <v>6.6564695841427657E-2</v>
      </c>
      <c r="CD29" s="97">
        <f t="shared" si="12"/>
        <v>0.10512168465448207</v>
      </c>
      <c r="CE29" s="98">
        <f t="shared" si="12"/>
        <v>0.2124322292637506</v>
      </c>
      <c r="CF29" s="94">
        <f t="shared" si="57"/>
        <v>0.52147729471036985</v>
      </c>
      <c r="CG29" s="94">
        <f t="shared" si="57"/>
        <v>6.9390123892912131E-2</v>
      </c>
      <c r="CH29" s="95">
        <f t="shared" si="58"/>
        <v>0.91258526574314724</v>
      </c>
      <c r="CI29" s="96" t="e">
        <f>#REF!</f>
        <v>#REF!</v>
      </c>
      <c r="CJ29" s="94">
        <f t="shared" si="59"/>
        <v>0.57226095099365315</v>
      </c>
      <c r="CK29" s="94">
        <f t="shared" si="59"/>
        <v>1.734124093920161E-2</v>
      </c>
      <c r="CL29" s="95">
        <f t="shared" si="69"/>
        <v>0.82659915143527674</v>
      </c>
      <c r="CM29" s="95" t="e">
        <f>#REF!</f>
        <v>#REF!</v>
      </c>
      <c r="CN29" s="94">
        <f t="shared" si="60"/>
        <v>0.48442200805670288</v>
      </c>
      <c r="CO29" s="94">
        <f t="shared" si="60"/>
        <v>0.98159196369384527</v>
      </c>
      <c r="CP29" s="95">
        <f t="shared" si="61"/>
        <v>2.7408087297945025</v>
      </c>
      <c r="CQ29" s="95" t="e">
        <f>#REF!</f>
        <v>#REF!</v>
      </c>
      <c r="CR29" s="97">
        <f t="shared" si="70"/>
        <v>0.12483038671205499</v>
      </c>
      <c r="CS29" s="95">
        <f t="shared" si="70"/>
        <v>0.174762541396877</v>
      </c>
      <c r="CT29" s="96" t="e">
        <f>#REF!</f>
        <v>#REF!</v>
      </c>
      <c r="CU29" s="97">
        <f t="shared" si="71"/>
        <v>5.5387001286209256E-2</v>
      </c>
      <c r="CV29" s="95">
        <f t="shared" si="62"/>
        <v>9.231166881034876E-2</v>
      </c>
      <c r="CW29" s="96" t="e">
        <f>#REF!</f>
        <v>#REF!</v>
      </c>
      <c r="CX29" s="99">
        <f t="shared" si="63"/>
        <v>7.9321179690449967E-2</v>
      </c>
      <c r="CY29" s="95">
        <f t="shared" si="63"/>
        <v>9.9151474613062458E-3</v>
      </c>
      <c r="CZ29" s="99">
        <f t="shared" si="63"/>
        <v>0.2293416717136923</v>
      </c>
      <c r="DA29" s="95">
        <f t="shared" si="63"/>
        <v>1.7243734715315208E-3</v>
      </c>
      <c r="DB29" s="94">
        <f t="shared" si="13"/>
        <v>0.14700283844806217</v>
      </c>
      <c r="DC29" s="94">
        <f t="shared" si="14"/>
        <v>3.5349656166396182E-2</v>
      </c>
      <c r="DD29" s="94">
        <f t="shared" si="14"/>
        <v>0.1245859833181524</v>
      </c>
      <c r="DE29" s="94">
        <f t="shared" si="14"/>
        <v>5.9490884767837468E-2</v>
      </c>
      <c r="DF29" s="94">
        <f t="shared" si="14"/>
        <v>0</v>
      </c>
      <c r="DG29" s="94">
        <f t="shared" si="14"/>
        <v>0</v>
      </c>
      <c r="DH29" s="95">
        <f t="shared" si="14"/>
        <v>0.36642936270044824</v>
      </c>
      <c r="DI29" s="96" t="e">
        <f>#REF!</f>
        <v>#REF!</v>
      </c>
      <c r="DJ29" s="95">
        <f t="shared" si="64"/>
        <v>-0.12113723637508934</v>
      </c>
      <c r="DK29" s="96" t="e">
        <f>#REF!</f>
        <v>#REF!</v>
      </c>
      <c r="DL29" s="95">
        <f t="shared" si="15"/>
        <v>0.77130837397573826</v>
      </c>
      <c r="DM29" s="96">
        <f t="shared" si="16"/>
        <v>0</v>
      </c>
      <c r="DN29" s="94">
        <f t="shared" si="17"/>
        <v>1.7712803097974894</v>
      </c>
      <c r="DO29" s="100">
        <v>3.4</v>
      </c>
      <c r="DP29" s="94">
        <f t="shared" si="72"/>
        <v>2.4214514473981383</v>
      </c>
      <c r="DQ29" s="94">
        <f t="shared" si="73"/>
        <v>3.5221535375667719</v>
      </c>
      <c r="DR29" s="101" t="str">
        <f t="shared" si="18"/>
        <v>3,30 hL/NhL</v>
      </c>
      <c r="DS29" s="178"/>
      <c r="DT29" s="103">
        <v>24</v>
      </c>
      <c r="DU29" s="120">
        <v>611230</v>
      </c>
      <c r="DV29" s="120">
        <v>23595</v>
      </c>
      <c r="DW29" s="120">
        <v>5100850</v>
      </c>
      <c r="DX29" s="120">
        <v>104422</v>
      </c>
      <c r="DY29" s="120">
        <v>81355</v>
      </c>
      <c r="DZ29" s="120">
        <v>369473</v>
      </c>
      <c r="EA29" s="120">
        <v>213278</v>
      </c>
      <c r="EB29" s="120">
        <v>49227</v>
      </c>
      <c r="EC29" s="120">
        <v>374854</v>
      </c>
      <c r="ED29" s="120">
        <v>44900</v>
      </c>
      <c r="EE29" s="120">
        <v>36620</v>
      </c>
      <c r="EF29" s="120">
        <v>38499</v>
      </c>
      <c r="EG29" s="120">
        <v>89335</v>
      </c>
      <c r="EH29" s="120">
        <v>176165</v>
      </c>
      <c r="EI29" s="120">
        <v>29484</v>
      </c>
      <c r="EJ29" s="120">
        <v>37853</v>
      </c>
      <c r="EK29" s="120"/>
      <c r="EL29" s="120">
        <v>682039</v>
      </c>
      <c r="EM29" s="120">
        <v>2900</v>
      </c>
      <c r="EN29" s="120">
        <v>40391</v>
      </c>
      <c r="EO29" s="120">
        <v>2877903</v>
      </c>
      <c r="EP29" s="120">
        <v>2710292</v>
      </c>
      <c r="EQ29" s="120">
        <v>0</v>
      </c>
      <c r="ER29" s="120">
        <v>1500</v>
      </c>
      <c r="ES29" s="120">
        <v>290740</v>
      </c>
      <c r="ET29" s="120">
        <v>2612721</v>
      </c>
      <c r="EU29" s="120">
        <v>382241</v>
      </c>
      <c r="EV29" s="120">
        <v>114801</v>
      </c>
      <c r="EW29" s="120">
        <v>76176</v>
      </c>
      <c r="EX29" s="120">
        <v>198572</v>
      </c>
      <c r="EY29" s="120">
        <v>1579292</v>
      </c>
      <c r="EZ29" s="120">
        <v>711586</v>
      </c>
      <c r="FA29" s="151">
        <v>723853</v>
      </c>
      <c r="FB29" s="151">
        <v>30142</v>
      </c>
      <c r="FC29" s="149">
        <v>5898</v>
      </c>
      <c r="FD29" s="104">
        <f t="shared" si="76"/>
        <v>5617</v>
      </c>
      <c r="FE29" s="105">
        <f t="shared" si="78"/>
        <v>0</v>
      </c>
      <c r="FF29" s="105">
        <f t="shared" si="78"/>
        <v>79</v>
      </c>
      <c r="FG29" s="105">
        <f t="shared" si="78"/>
        <v>425</v>
      </c>
      <c r="FH29" s="105">
        <f t="shared" si="78"/>
        <v>2003</v>
      </c>
      <c r="FI29" s="105">
        <f t="shared" si="78"/>
        <v>590</v>
      </c>
      <c r="FJ29" s="105">
        <f t="shared" si="78"/>
        <v>768</v>
      </c>
      <c r="FK29" s="105">
        <f t="shared" si="78"/>
        <v>0</v>
      </c>
      <c r="FL29" s="105">
        <f t="shared" si="78"/>
        <v>1752</v>
      </c>
      <c r="FM29" s="105">
        <f t="shared" si="78"/>
        <v>0</v>
      </c>
      <c r="FN29" s="80">
        <f t="shared" si="74"/>
        <v>0</v>
      </c>
      <c r="FO29" s="77"/>
      <c r="FP29" s="81"/>
      <c r="FR29" s="64"/>
      <c r="FS29" s="64"/>
      <c r="FT29" s="64"/>
      <c r="FU29" s="64"/>
      <c r="FV29" s="64"/>
      <c r="FW29" s="64"/>
      <c r="FX29" s="64"/>
      <c r="FY29" s="64">
        <v>24</v>
      </c>
      <c r="FZ29" s="107"/>
      <c r="GA29" s="107"/>
      <c r="GB29" s="107"/>
      <c r="GC29" s="109"/>
      <c r="GD29" s="110"/>
      <c r="GE29" s="110"/>
      <c r="GF29" s="111"/>
      <c r="GG29" s="111"/>
      <c r="GH29" s="111"/>
      <c r="GI29" s="179"/>
      <c r="GJ29" s="111" t="e">
        <f t="shared" si="65"/>
        <v>#DIV/0!</v>
      </c>
      <c r="GK29" s="113"/>
    </row>
    <row r="30" spans="1:193" ht="15" customHeight="1">
      <c r="B30" s="573">
        <v>42819</v>
      </c>
      <c r="D30" s="321">
        <v>4611.3599999999997</v>
      </c>
      <c r="E30" s="85">
        <v>2324.4</v>
      </c>
      <c r="F30" s="85">
        <v>1108.08</v>
      </c>
      <c r="G30" s="85">
        <v>4888.7340000000004</v>
      </c>
      <c r="H30" s="85">
        <v>4425.96</v>
      </c>
      <c r="I30" s="85">
        <v>1443.672</v>
      </c>
      <c r="J30" s="85">
        <v>3388.308</v>
      </c>
      <c r="K30" s="167"/>
      <c r="L30" s="167"/>
      <c r="M30" s="115">
        <f t="shared" si="21"/>
        <v>4831.9799999999996</v>
      </c>
      <c r="N30" s="88">
        <f t="shared" si="0"/>
        <v>17358.534</v>
      </c>
      <c r="O30" s="88">
        <f t="shared" si="22"/>
        <v>19774.523999999998</v>
      </c>
      <c r="P30" s="89">
        <f t="shared" si="23"/>
        <v>495284.7429999999</v>
      </c>
      <c r="R30" s="90">
        <f t="shared" si="24"/>
        <v>202</v>
      </c>
      <c r="S30" s="90">
        <f t="shared" si="25"/>
        <v>28.9</v>
      </c>
      <c r="T30" s="90">
        <f t="shared" si="1"/>
        <v>973.7</v>
      </c>
      <c r="U30" s="90">
        <f t="shared" si="75"/>
        <v>5.5</v>
      </c>
      <c r="V30" s="90">
        <f t="shared" si="26"/>
        <v>1512</v>
      </c>
      <c r="W30" s="91">
        <f>IF(EP30=0,"",(EP30-EP29)/10)</f>
        <v>989.9</v>
      </c>
      <c r="X30" s="90">
        <f t="shared" si="27"/>
        <v>1512</v>
      </c>
      <c r="Y30" s="90" t="str">
        <f t="shared" si="28"/>
        <v>0</v>
      </c>
      <c r="Z30" s="90">
        <f t="shared" si="3"/>
        <v>159</v>
      </c>
      <c r="AA30" s="90">
        <f t="shared" si="29"/>
        <v>2722.1000000000004</v>
      </c>
      <c r="AB30" s="90">
        <f t="shared" si="30"/>
        <v>169</v>
      </c>
      <c r="AC30" s="90">
        <f t="shared" si="30"/>
        <v>23</v>
      </c>
      <c r="AD30" s="90">
        <f t="shared" si="31"/>
        <v>370</v>
      </c>
      <c r="AE30" s="90">
        <f t="shared" si="32"/>
        <v>178</v>
      </c>
      <c r="AF30" s="90">
        <f t="shared" si="33"/>
        <v>0</v>
      </c>
      <c r="AG30" s="90">
        <f t="shared" si="33"/>
        <v>160</v>
      </c>
      <c r="AH30" s="90">
        <f t="shared" si="34"/>
        <v>366</v>
      </c>
      <c r="AI30" s="90">
        <f t="shared" si="35"/>
        <v>206</v>
      </c>
      <c r="AJ30" s="90">
        <f>IF(EA30=0,"",(EA30-EA29))</f>
        <v>240</v>
      </c>
      <c r="AK30" s="90">
        <f>IF(EB30=0,"",(EB30-EB29))</f>
        <v>121</v>
      </c>
      <c r="AL30" s="90">
        <f t="shared" si="37"/>
        <v>423</v>
      </c>
      <c r="AM30" s="90">
        <f t="shared" si="38"/>
        <v>62</v>
      </c>
      <c r="AN30" s="90">
        <f t="shared" si="39"/>
        <v>36</v>
      </c>
      <c r="AO30" s="90">
        <f t="shared" si="4"/>
        <v>30</v>
      </c>
      <c r="AP30" s="90">
        <f t="shared" si="40"/>
        <v>25</v>
      </c>
      <c r="AQ30" s="90">
        <f>IF(AP30=0.1,0,(IF(AP30&gt;=(EH30-EH29),(AP30),(EH30-EH29))))</f>
        <v>36</v>
      </c>
      <c r="AR30" s="90">
        <f t="shared" si="41"/>
        <v>42.274000000000001</v>
      </c>
      <c r="AS30" s="90">
        <f t="shared" si="42"/>
        <v>96.274000000000001</v>
      </c>
      <c r="AT30" s="90">
        <f t="shared" si="43"/>
        <v>666.274</v>
      </c>
      <c r="AU30" s="90">
        <f t="shared" si="44"/>
        <v>231</v>
      </c>
      <c r="AV30" s="90">
        <f t="shared" si="66"/>
        <v>18</v>
      </c>
      <c r="AW30" s="90">
        <f t="shared" si="45"/>
        <v>339</v>
      </c>
      <c r="AX30" s="90">
        <f t="shared" si="67"/>
        <v>11</v>
      </c>
      <c r="AY30" s="90" t="str">
        <f t="shared" si="46"/>
        <v/>
      </c>
      <c r="AZ30" s="90">
        <f t="shared" si="47"/>
        <v>400</v>
      </c>
      <c r="BA30" s="90">
        <v>67</v>
      </c>
      <c r="BB30" s="90">
        <f t="shared" si="48"/>
        <v>115</v>
      </c>
      <c r="BC30" s="90">
        <f t="shared" si="48"/>
        <v>1086</v>
      </c>
      <c r="BD30" s="91">
        <f t="shared" si="49"/>
        <v>200</v>
      </c>
      <c r="BE30" s="90"/>
      <c r="BF30" s="90"/>
      <c r="BG30" s="90">
        <f t="shared" si="6"/>
        <v>1801</v>
      </c>
      <c r="BH30" s="90">
        <f t="shared" si="50"/>
        <v>-39</v>
      </c>
      <c r="BI30" s="90">
        <f t="shared" si="51"/>
        <v>473.62599999999929</v>
      </c>
      <c r="BJ30" s="90">
        <f t="shared" si="7"/>
        <v>5873.3740000000007</v>
      </c>
      <c r="BK30" s="92"/>
      <c r="BL30" s="93">
        <f t="shared" si="52"/>
        <v>6308</v>
      </c>
      <c r="BM30" s="93">
        <f t="shared" si="53"/>
        <v>173790</v>
      </c>
      <c r="BN30" s="92"/>
      <c r="BO30" s="94">
        <f t="shared" si="54"/>
        <v>0.11636927404122951</v>
      </c>
      <c r="BP30" s="94">
        <f t="shared" si="54"/>
        <v>1.6648871385106599E-2</v>
      </c>
      <c r="BQ30" s="94">
        <f t="shared" si="55"/>
        <v>0.5609344660096296</v>
      </c>
      <c r="BR30" s="94">
        <f t="shared" si="68"/>
        <v>0.87104129876405467</v>
      </c>
      <c r="BS30" s="94">
        <f t="shared" si="77"/>
        <v>0</v>
      </c>
      <c r="BT30" s="94">
        <f t="shared" si="77"/>
        <v>9.1597596893839076E-2</v>
      </c>
      <c r="BU30" s="95">
        <f t="shared" si="77"/>
        <v>1.5681623805328262</v>
      </c>
      <c r="BV30" s="94">
        <f t="shared" si="9"/>
        <v>0.1021516371266383</v>
      </c>
      <c r="BW30" s="94">
        <f t="shared" si="9"/>
        <v>1.4614763925543795E-2</v>
      </c>
      <c r="BX30" s="94">
        <f t="shared" si="9"/>
        <v>0.49240123302083028</v>
      </c>
      <c r="BY30" s="94">
        <f t="shared" si="56"/>
        <v>0.76462017492810452</v>
      </c>
      <c r="BZ30" s="95">
        <f t="shared" si="10"/>
        <v>1.3765691654575354</v>
      </c>
      <c r="CA30" s="96" t="e">
        <f>#REF!</f>
        <v>#REF!</v>
      </c>
      <c r="CB30" s="94">
        <f t="shared" si="11"/>
        <v>2.1378011425205484E-2</v>
      </c>
      <c r="CC30" s="95">
        <f t="shared" si="11"/>
        <v>4.8685874815494939E-2</v>
      </c>
      <c r="CD30" s="97">
        <f t="shared" si="12"/>
        <v>8.7487944900434197E-2</v>
      </c>
      <c r="CE30" s="98">
        <f t="shared" si="12"/>
        <v>0.19924337435171505</v>
      </c>
      <c r="CF30" s="94">
        <f t="shared" si="57"/>
        <v>0.36648624267027519</v>
      </c>
      <c r="CG30" s="94">
        <f t="shared" si="57"/>
        <v>4.9876825925540408E-2</v>
      </c>
      <c r="CH30" s="95">
        <f t="shared" si="58"/>
        <v>0.8023663301065197</v>
      </c>
      <c r="CI30" s="96" t="e">
        <f>#REF!</f>
        <v>#REF!</v>
      </c>
      <c r="CJ30" s="94">
        <f t="shared" si="59"/>
        <v>0</v>
      </c>
      <c r="CK30" s="94">
        <f t="shared" si="59"/>
        <v>0.68834968163827226</v>
      </c>
      <c r="CL30" s="95">
        <f t="shared" si="69"/>
        <v>1.5745998967475479</v>
      </c>
      <c r="CM30" s="95" t="e">
        <f>#REF!</f>
        <v>#REF!</v>
      </c>
      <c r="CN30" s="94">
        <f t="shared" si="60"/>
        <v>2.1659085986571371</v>
      </c>
      <c r="CO30" s="94">
        <f t="shared" si="60"/>
        <v>1.0919789184896398</v>
      </c>
      <c r="CP30" s="95">
        <f t="shared" si="61"/>
        <v>3.8174139051332032</v>
      </c>
      <c r="CQ30" s="95" t="e">
        <f>#REF!</f>
        <v>#REF!</v>
      </c>
      <c r="CR30" s="97">
        <f t="shared" si="70"/>
        <v>7.3638696644161852E-2</v>
      </c>
      <c r="CS30" s="95">
        <f t="shared" si="70"/>
        <v>6.1365580536801544E-2</v>
      </c>
      <c r="CT30" s="96" t="e">
        <f>#REF!</f>
        <v>#REF!</v>
      </c>
      <c r="CU30" s="97">
        <f t="shared" si="71"/>
        <v>5.6484920785547094E-2</v>
      </c>
      <c r="CV30" s="95">
        <f t="shared" si="62"/>
        <v>8.1338285931187804E-2</v>
      </c>
      <c r="CW30" s="96" t="e">
        <f>#REF!</f>
        <v>#REF!</v>
      </c>
      <c r="CX30" s="99">
        <f t="shared" si="63"/>
        <v>0.11681697116957154</v>
      </c>
      <c r="CY30" s="95">
        <f t="shared" si="63"/>
        <v>9.1026211300964839E-3</v>
      </c>
      <c r="CZ30" s="99">
        <f t="shared" si="63"/>
        <v>0.17143269795015043</v>
      </c>
      <c r="DA30" s="95">
        <f t="shared" si="63"/>
        <v>5.5627129128367394E-3</v>
      </c>
      <c r="DB30" s="94">
        <f t="shared" si="13"/>
        <v>0.20228046955769963</v>
      </c>
      <c r="DC30" s="94">
        <f t="shared" si="14"/>
        <v>5.8155634997838636E-2</v>
      </c>
      <c r="DD30" s="94">
        <f t="shared" si="14"/>
        <v>0.54919147484915454</v>
      </c>
      <c r="DE30" s="94">
        <f t="shared" si="14"/>
        <v>0.10114023477884981</v>
      </c>
      <c r="DF30" s="94">
        <f t="shared" si="14"/>
        <v>0</v>
      </c>
      <c r="DG30" s="94">
        <f t="shared" si="14"/>
        <v>0</v>
      </c>
      <c r="DH30" s="95">
        <f t="shared" si="14"/>
        <v>0.91076781418354247</v>
      </c>
      <c r="DI30" s="96" t="e">
        <f>#REF!</f>
        <v>#REF!</v>
      </c>
      <c r="DJ30" s="95">
        <f t="shared" si="64"/>
        <v>-1.9722345781875712E-2</v>
      </c>
      <c r="DK30" s="96" t="e">
        <f>#REF!</f>
        <v>#REF!</v>
      </c>
      <c r="DL30" s="95">
        <f t="shared" si="15"/>
        <v>0.23951322418683724</v>
      </c>
      <c r="DM30" s="96">
        <f t="shared" si="16"/>
        <v>0</v>
      </c>
      <c r="DN30" s="94">
        <f t="shared" si="17"/>
        <v>2.9701721265199614</v>
      </c>
      <c r="DO30" s="100">
        <v>3.4</v>
      </c>
      <c r="DP30" s="94">
        <f>IF($O30&lt;&gt;0,IF($O30&lt;&gt;0,BL30/$O30*10,0)," ")</f>
        <v>3.1899630049249228</v>
      </c>
      <c r="DQ30" s="94">
        <f>IF($P30&lt;&gt;0,IF($P30&lt;&gt;0,BM30/$P30*10,0)," ")</f>
        <v>3.5088906423269339</v>
      </c>
      <c r="DR30" s="101" t="str">
        <f t="shared" si="18"/>
        <v>3,30 hL/NhL</v>
      </c>
      <c r="DT30" s="103">
        <v>25</v>
      </c>
      <c r="DU30" s="120">
        <v>611399</v>
      </c>
      <c r="DV30" s="120">
        <v>23618</v>
      </c>
      <c r="DW30" s="120">
        <v>5101220</v>
      </c>
      <c r="DX30" s="120">
        <v>104422</v>
      </c>
      <c r="DY30" s="120">
        <v>81515</v>
      </c>
      <c r="DZ30" s="120">
        <v>369839</v>
      </c>
      <c r="EA30" s="120">
        <v>213518</v>
      </c>
      <c r="EB30" s="120">
        <v>49348</v>
      </c>
      <c r="EC30" s="120">
        <v>375277</v>
      </c>
      <c r="ED30" s="120">
        <v>44936</v>
      </c>
      <c r="EE30" s="120">
        <v>36650</v>
      </c>
      <c r="EF30" s="120">
        <v>38499</v>
      </c>
      <c r="EG30" s="120">
        <v>89360</v>
      </c>
      <c r="EH30" s="120">
        <v>176201</v>
      </c>
      <c r="EI30" s="120">
        <v>29502</v>
      </c>
      <c r="EJ30" s="120">
        <v>37864</v>
      </c>
      <c r="EK30" s="120"/>
      <c r="EL30" s="120">
        <v>682241</v>
      </c>
      <c r="EM30" s="120">
        <v>9737</v>
      </c>
      <c r="EN30" s="120">
        <v>40446</v>
      </c>
      <c r="EO30" s="120">
        <v>2879415</v>
      </c>
      <c r="EP30" s="120">
        <v>2720191</v>
      </c>
      <c r="EQ30" s="120">
        <v>0</v>
      </c>
      <c r="ER30" s="120">
        <v>1590</v>
      </c>
      <c r="ES30" s="120">
        <v>291364</v>
      </c>
      <c r="ET30" s="120">
        <v>2654995</v>
      </c>
      <c r="EU30" s="120">
        <v>382580</v>
      </c>
      <c r="EV30" s="120">
        <v>115032</v>
      </c>
      <c r="EW30" s="120">
        <v>76576</v>
      </c>
      <c r="EX30" s="120">
        <v>198687</v>
      </c>
      <c r="EY30" s="120">
        <v>1580378</v>
      </c>
      <c r="EZ30" s="120">
        <v>711875</v>
      </c>
      <c r="FA30" s="149">
        <v>724053</v>
      </c>
      <c r="FB30" s="151">
        <v>30210</v>
      </c>
      <c r="FC30" s="127">
        <v>6347</v>
      </c>
      <c r="FD30" s="104">
        <f t="shared" si="76"/>
        <v>6308</v>
      </c>
      <c r="FE30" s="105">
        <f t="shared" si="78"/>
        <v>0</v>
      </c>
      <c r="FF30" s="105">
        <f t="shared" si="78"/>
        <v>447</v>
      </c>
      <c r="FG30" s="105">
        <f t="shared" si="78"/>
        <v>1615</v>
      </c>
      <c r="FH30" s="105">
        <f t="shared" si="78"/>
        <v>1987</v>
      </c>
      <c r="FI30" s="105">
        <f t="shared" si="78"/>
        <v>566</v>
      </c>
      <c r="FJ30" s="105">
        <f t="shared" si="78"/>
        <v>751</v>
      </c>
      <c r="FK30" s="105">
        <f t="shared" si="78"/>
        <v>0</v>
      </c>
      <c r="FL30" s="105">
        <f t="shared" si="78"/>
        <v>942</v>
      </c>
      <c r="FM30" s="105">
        <f t="shared" si="78"/>
        <v>0</v>
      </c>
      <c r="FN30" s="80">
        <f t="shared" si="74"/>
        <v>0</v>
      </c>
      <c r="FO30" s="77"/>
      <c r="FP30" s="162"/>
      <c r="FR30" s="64"/>
      <c r="FS30" s="64"/>
      <c r="FT30" s="64"/>
      <c r="FU30" s="64"/>
      <c r="FV30" s="64"/>
      <c r="FW30" s="64"/>
      <c r="FX30" s="64"/>
      <c r="FY30" s="64">
        <v>25</v>
      </c>
      <c r="FZ30" s="107"/>
      <c r="GA30" s="107"/>
      <c r="GB30" s="180"/>
      <c r="GC30" s="109"/>
      <c r="GD30" s="110"/>
      <c r="GE30" s="110"/>
      <c r="GF30" s="111"/>
      <c r="GG30" s="111"/>
      <c r="GH30" s="111"/>
      <c r="GI30" s="164"/>
      <c r="GJ30" s="111" t="e">
        <f t="shared" si="65"/>
        <v>#DIV/0!</v>
      </c>
    </row>
    <row r="31" spans="1:193" ht="15" customHeight="1">
      <c r="B31" s="573">
        <v>42820</v>
      </c>
      <c r="D31" s="85">
        <v>0</v>
      </c>
      <c r="E31" s="85">
        <v>0</v>
      </c>
      <c r="F31" s="85">
        <v>2359.5119999999997</v>
      </c>
      <c r="G31" s="85">
        <v>0</v>
      </c>
      <c r="H31" s="85">
        <v>4924.26</v>
      </c>
      <c r="I31" s="85">
        <v>1998.393</v>
      </c>
      <c r="J31" s="85">
        <v>1703.5920000000001</v>
      </c>
      <c r="K31" s="167"/>
      <c r="L31" s="167"/>
      <c r="M31" s="115">
        <f t="shared" si="21"/>
        <v>3701.9850000000001</v>
      </c>
      <c r="N31" s="88">
        <f t="shared" si="0"/>
        <v>7283.7719999999999</v>
      </c>
      <c r="O31" s="88">
        <f t="shared" si="22"/>
        <v>9134.7644999999993</v>
      </c>
      <c r="P31" s="89">
        <f t="shared" si="23"/>
        <v>504419.50749999989</v>
      </c>
      <c r="R31" s="90">
        <f t="shared" si="24"/>
        <v>190</v>
      </c>
      <c r="S31" s="90">
        <f t="shared" si="25"/>
        <v>30.2</v>
      </c>
      <c r="T31" s="90">
        <f t="shared" si="1"/>
        <v>400.8</v>
      </c>
      <c r="U31" s="90">
        <f t="shared" si="75"/>
        <v>5</v>
      </c>
      <c r="V31" s="90">
        <f t="shared" si="26"/>
        <v>1375</v>
      </c>
      <c r="W31" s="91">
        <f t="shared" si="2"/>
        <v>1392.2</v>
      </c>
      <c r="X31" s="90">
        <f t="shared" si="27"/>
        <v>1375</v>
      </c>
      <c r="Y31" s="90" t="str">
        <f t="shared" si="28"/>
        <v>0</v>
      </c>
      <c r="Z31" s="90">
        <f t="shared" si="3"/>
        <v>130.6</v>
      </c>
      <c r="AA31" s="90">
        <f t="shared" si="29"/>
        <v>2001</v>
      </c>
      <c r="AB31" s="90">
        <f t="shared" si="30"/>
        <v>0</v>
      </c>
      <c r="AC31" s="90">
        <f t="shared" si="30"/>
        <v>0</v>
      </c>
      <c r="AD31" s="90">
        <f t="shared" si="31"/>
        <v>9</v>
      </c>
      <c r="AE31" s="90">
        <f t="shared" si="32"/>
        <v>9</v>
      </c>
      <c r="AF31" s="90">
        <f t="shared" si="33"/>
        <v>157</v>
      </c>
      <c r="AG31" s="90">
        <f t="shared" si="33"/>
        <v>15</v>
      </c>
      <c r="AH31" s="90">
        <f t="shared" si="34"/>
        <v>172</v>
      </c>
      <c r="AI31" s="90">
        <f t="shared" si="35"/>
        <v>0</v>
      </c>
      <c r="AJ31" s="90">
        <f t="shared" si="36"/>
        <v>234</v>
      </c>
      <c r="AK31" s="90">
        <f t="shared" si="36"/>
        <v>162</v>
      </c>
      <c r="AL31" s="90">
        <f t="shared" si="37"/>
        <v>459</v>
      </c>
      <c r="AM31" s="90">
        <f t="shared" si="38"/>
        <v>63</v>
      </c>
      <c r="AN31" s="90">
        <f t="shared" si="39"/>
        <v>0</v>
      </c>
      <c r="AO31" s="90">
        <f t="shared" si="4"/>
        <v>31</v>
      </c>
      <c r="AP31" s="90">
        <f t="shared" si="40"/>
        <v>26</v>
      </c>
      <c r="AQ31" s="90">
        <f t="shared" si="5"/>
        <v>26</v>
      </c>
      <c r="AR31" s="90">
        <f t="shared" si="41"/>
        <v>62.268000000000001</v>
      </c>
      <c r="AS31" s="90">
        <f t="shared" si="42"/>
        <v>-30.731999999999971</v>
      </c>
      <c r="AT31" s="90">
        <f t="shared" si="43"/>
        <v>335.26800000000003</v>
      </c>
      <c r="AU31" s="90">
        <f t="shared" si="44"/>
        <v>231</v>
      </c>
      <c r="AV31" s="90">
        <f t="shared" si="66"/>
        <v>0</v>
      </c>
      <c r="AW31" s="90">
        <f t="shared" si="45"/>
        <v>135</v>
      </c>
      <c r="AX31" s="90">
        <f t="shared" si="67"/>
        <v>88</v>
      </c>
      <c r="AY31" s="90" t="str">
        <f t="shared" si="46"/>
        <v/>
      </c>
      <c r="AZ31" s="90">
        <f t="shared" si="47"/>
        <v>464</v>
      </c>
      <c r="BA31" s="90">
        <v>0</v>
      </c>
      <c r="BB31" s="90">
        <f t="shared" si="48"/>
        <v>90</v>
      </c>
      <c r="BC31" s="90">
        <f t="shared" si="48"/>
        <v>1060</v>
      </c>
      <c r="BD31" s="91">
        <f t="shared" si="49"/>
        <v>421</v>
      </c>
      <c r="BE31" s="90"/>
      <c r="BF31" s="90"/>
      <c r="BG31" s="90">
        <f t="shared" si="6"/>
        <v>2035</v>
      </c>
      <c r="BH31" s="90">
        <f t="shared" si="50"/>
        <v>-141</v>
      </c>
      <c r="BI31" s="90">
        <f t="shared" si="51"/>
        <v>1430.732</v>
      </c>
      <c r="BJ31" s="90">
        <f t="shared" si="7"/>
        <v>4790.268</v>
      </c>
      <c r="BK31" s="92"/>
      <c r="BL31" s="93">
        <f t="shared" si="52"/>
        <v>6080</v>
      </c>
      <c r="BM31" s="93">
        <f t="shared" si="53"/>
        <v>179870</v>
      </c>
      <c r="BN31" s="92"/>
      <c r="BO31" s="94">
        <f t="shared" si="54"/>
        <v>0.26085385429417618</v>
      </c>
      <c r="BP31" s="94">
        <f t="shared" si="54"/>
        <v>4.1462033682548E-2</v>
      </c>
      <c r="BQ31" s="94">
        <f t="shared" si="55"/>
        <v>0.55026434105845157</v>
      </c>
      <c r="BR31" s="94">
        <f t="shared" si="68"/>
        <v>1.8877581560762748</v>
      </c>
      <c r="BS31" s="94">
        <f t="shared" si="77"/>
        <v>0</v>
      </c>
      <c r="BT31" s="94">
        <f t="shared" si="77"/>
        <v>0.17930270195168108</v>
      </c>
      <c r="BU31" s="95">
        <f t="shared" si="77"/>
        <v>2.7472029602244552</v>
      </c>
      <c r="BV31" s="94">
        <f t="shared" si="9"/>
        <v>0.20799660461963745</v>
      </c>
      <c r="BW31" s="94">
        <f t="shared" si="9"/>
        <v>3.3060512944805533E-2</v>
      </c>
      <c r="BX31" s="94">
        <f t="shared" si="9"/>
        <v>0.43876336385026682</v>
      </c>
      <c r="BY31" s="94">
        <f t="shared" si="56"/>
        <v>1.5052385860631656</v>
      </c>
      <c r="BZ31" s="95">
        <f t="shared" si="10"/>
        <v>2.1905326623362869</v>
      </c>
      <c r="CA31" s="96" t="e">
        <f>#REF!</f>
        <v>#REF!</v>
      </c>
      <c r="CB31" s="94">
        <f t="shared" si="11"/>
        <v>6.8165960928713604E-2</v>
      </c>
      <c r="CC31" s="95">
        <f t="shared" si="11"/>
        <v>-3.3642903437740485E-2</v>
      </c>
      <c r="CD31" s="97">
        <f t="shared" si="12"/>
        <v>0.16820165397752829</v>
      </c>
      <c r="CE31" s="98">
        <f t="shared" si="12"/>
        <v>-8.3014923075052899E-2</v>
      </c>
      <c r="CF31" s="94" t="str">
        <f t="shared" si="57"/>
        <v>0,00</v>
      </c>
      <c r="CG31" s="94" t="str">
        <f t="shared" si="57"/>
        <v>0,00</v>
      </c>
      <c r="CH31" s="95" t="str">
        <f t="shared" si="58"/>
        <v xml:space="preserve">0,00 </v>
      </c>
      <c r="CI31" s="96" t="e">
        <f>#REF!</f>
        <v>#REF!</v>
      </c>
      <c r="CJ31" s="94" t="str">
        <f t="shared" si="59"/>
        <v>0,00</v>
      </c>
      <c r="CK31" s="94" t="str">
        <f t="shared" si="59"/>
        <v>0,00</v>
      </c>
      <c r="CL31" s="95" t="str">
        <f t="shared" si="69"/>
        <v xml:space="preserve">0,00 </v>
      </c>
      <c r="CM31" s="95" t="e">
        <f>#REF!</f>
        <v>#REF!</v>
      </c>
      <c r="CN31" s="94">
        <f t="shared" si="60"/>
        <v>0.99173049342406405</v>
      </c>
      <c r="CO31" s="94">
        <f t="shared" si="60"/>
        <v>0.68658264929358281</v>
      </c>
      <c r="CP31" s="95">
        <f t="shared" si="61"/>
        <v>1.945317506331818</v>
      </c>
      <c r="CQ31" s="95" t="e">
        <f>#REF!</f>
        <v>#REF!</v>
      </c>
      <c r="CR31" s="97" t="str">
        <f t="shared" si="70"/>
        <v xml:space="preserve">0,00 </v>
      </c>
      <c r="CS31" s="95" t="str">
        <f t="shared" si="70"/>
        <v xml:space="preserve">0,00 </v>
      </c>
      <c r="CT31" s="96" t="e">
        <f>#REF!</f>
        <v>#REF!</v>
      </c>
      <c r="CU31" s="97">
        <f t="shared" si="71"/>
        <v>5.2799811545288018E-2</v>
      </c>
      <c r="CV31" s="95">
        <f t="shared" si="62"/>
        <v>5.2799811545288018E-2</v>
      </c>
      <c r="CW31" s="96" t="e">
        <f>#REF!</f>
        <v>#REF!</v>
      </c>
      <c r="CX31" s="99">
        <f t="shared" si="63"/>
        <v>0.25288008245861182</v>
      </c>
      <c r="CY31" s="95">
        <f t="shared" si="63"/>
        <v>0</v>
      </c>
      <c r="CZ31" s="99">
        <f t="shared" si="63"/>
        <v>0.14778706117711082</v>
      </c>
      <c r="DA31" s="95">
        <f t="shared" si="63"/>
        <v>9.6335269508042595E-2</v>
      </c>
      <c r="DB31" s="94">
        <f t="shared" si="13"/>
        <v>0.50794960286058832</v>
      </c>
      <c r="DC31" s="94">
        <f t="shared" si="14"/>
        <v>9.8524707451407206E-2</v>
      </c>
      <c r="DD31" s="94">
        <f t="shared" si="14"/>
        <v>1.1604021099832404</v>
      </c>
      <c r="DE31" s="94">
        <f t="shared" si="14"/>
        <v>0.4608766870782493</v>
      </c>
      <c r="DF31" s="94">
        <f t="shared" si="14"/>
        <v>0</v>
      </c>
      <c r="DG31" s="94">
        <f t="shared" si="14"/>
        <v>0</v>
      </c>
      <c r="DH31" s="95">
        <f t="shared" si="14"/>
        <v>2.2277531073734851</v>
      </c>
      <c r="DI31" s="96" t="e">
        <f>#REF!</f>
        <v>#REF!</v>
      </c>
      <c r="DJ31" s="95">
        <f t="shared" si="64"/>
        <v>-0.15435537500720461</v>
      </c>
      <c r="DK31" s="96" t="e">
        <f>#REF!</f>
        <v>#REF!</v>
      </c>
      <c r="DL31" s="95">
        <f t="shared" si="15"/>
        <v>1.5662494637929638</v>
      </c>
      <c r="DM31" s="96">
        <f t="shared" si="16"/>
        <v>0</v>
      </c>
      <c r="DN31" s="94">
        <f t="shared" si="17"/>
        <v>5.2439972590426382</v>
      </c>
      <c r="DO31" s="100">
        <v>3.4</v>
      </c>
      <c r="DP31" s="94">
        <f t="shared" si="72"/>
        <v>6.6558913478283985</v>
      </c>
      <c r="DQ31" s="94">
        <f t="shared" si="73"/>
        <v>3.5658811232632597</v>
      </c>
      <c r="DR31" s="101" t="str">
        <f t="shared" si="18"/>
        <v>3,30 hL/NhL</v>
      </c>
      <c r="DT31" s="182">
        <v>26</v>
      </c>
      <c r="DU31" s="120">
        <v>611399</v>
      </c>
      <c r="DV31" s="120">
        <v>23618</v>
      </c>
      <c r="DW31" s="120">
        <v>5101229</v>
      </c>
      <c r="DX31" s="120">
        <v>104579</v>
      </c>
      <c r="DY31" s="120">
        <v>81530</v>
      </c>
      <c r="DZ31" s="120">
        <v>369888</v>
      </c>
      <c r="EA31" s="120">
        <v>213752</v>
      </c>
      <c r="EB31" s="120">
        <v>49510</v>
      </c>
      <c r="EC31" s="120">
        <v>375736</v>
      </c>
      <c r="ED31" s="120">
        <v>44936</v>
      </c>
      <c r="EE31" s="120">
        <v>36650</v>
      </c>
      <c r="EF31" s="120">
        <v>38530</v>
      </c>
      <c r="EG31" s="120">
        <v>89386</v>
      </c>
      <c r="EH31" s="120">
        <v>176201</v>
      </c>
      <c r="EI31" s="120">
        <v>29502</v>
      </c>
      <c r="EJ31" s="120">
        <v>37952</v>
      </c>
      <c r="EK31" s="120"/>
      <c r="EL31" s="120">
        <v>682431</v>
      </c>
      <c r="EM31" s="120">
        <v>4008</v>
      </c>
      <c r="EN31" s="120">
        <v>40496</v>
      </c>
      <c r="EO31" s="120">
        <v>2880790</v>
      </c>
      <c r="EP31" s="120">
        <v>2734113</v>
      </c>
      <c r="EQ31" s="120">
        <v>0</v>
      </c>
      <c r="ER31" s="120">
        <v>1306</v>
      </c>
      <c r="ES31" s="120">
        <v>291637</v>
      </c>
      <c r="ET31" s="120">
        <v>2717263</v>
      </c>
      <c r="EU31" s="120">
        <v>382715</v>
      </c>
      <c r="EV31" s="120">
        <v>115263</v>
      </c>
      <c r="EW31" s="120">
        <v>77040</v>
      </c>
      <c r="EX31" s="120">
        <v>198777</v>
      </c>
      <c r="EY31" s="120">
        <v>1581438</v>
      </c>
      <c r="EZ31" s="120">
        <v>712177</v>
      </c>
      <c r="FA31" s="151">
        <v>724474</v>
      </c>
      <c r="FB31" s="151">
        <v>30210</v>
      </c>
      <c r="FC31" s="149">
        <v>6221</v>
      </c>
      <c r="FD31" s="104">
        <f t="shared" si="76"/>
        <v>6080</v>
      </c>
      <c r="FE31" s="105">
        <f t="shared" si="78"/>
        <v>0</v>
      </c>
      <c r="FF31" s="105">
        <f t="shared" si="78"/>
        <v>517</v>
      </c>
      <c r="FG31" s="105">
        <f t="shared" si="78"/>
        <v>800</v>
      </c>
      <c r="FH31" s="105">
        <f t="shared" si="78"/>
        <v>1970</v>
      </c>
      <c r="FI31" s="105">
        <f t="shared" si="78"/>
        <v>576</v>
      </c>
      <c r="FJ31" s="105">
        <f t="shared" si="78"/>
        <v>758</v>
      </c>
      <c r="FK31" s="105">
        <f t="shared" si="78"/>
        <v>0</v>
      </c>
      <c r="FL31" s="105">
        <f t="shared" si="78"/>
        <v>1459</v>
      </c>
      <c r="FM31" s="105">
        <f t="shared" si="78"/>
        <v>0</v>
      </c>
      <c r="FN31" s="80">
        <f t="shared" si="74"/>
        <v>0</v>
      </c>
      <c r="FO31" s="77"/>
      <c r="FP31" s="184"/>
      <c r="FQ31" s="185"/>
      <c r="FR31" s="64"/>
      <c r="FS31" s="64"/>
      <c r="FT31" s="64"/>
      <c r="FU31" s="64"/>
      <c r="FV31" s="64"/>
      <c r="FW31" s="64"/>
      <c r="FX31" s="64"/>
      <c r="FY31" s="64">
        <v>26</v>
      </c>
      <c r="FZ31" s="107"/>
      <c r="GA31" s="107"/>
      <c r="GB31" s="180"/>
      <c r="GC31" s="109"/>
      <c r="GD31" s="110"/>
      <c r="GE31" s="110"/>
      <c r="GF31" s="111"/>
      <c r="GG31" s="111"/>
      <c r="GH31" s="111"/>
      <c r="GI31" s="112"/>
      <c r="GJ31" s="111" t="e">
        <f t="shared" si="65"/>
        <v>#DIV/0!</v>
      </c>
      <c r="GK31" s="118"/>
    </row>
    <row r="32" spans="1:193" s="119" customFormat="1" ht="15" customHeight="1">
      <c r="B32" s="573">
        <v>42821</v>
      </c>
      <c r="D32" s="85"/>
      <c r="E32" s="85">
        <v>2942.52</v>
      </c>
      <c r="F32" s="85">
        <v>1679.616</v>
      </c>
      <c r="G32" s="85">
        <v>2450.0749999999998</v>
      </c>
      <c r="H32" s="85">
        <v>4862.0879999999997</v>
      </c>
      <c r="I32" s="85">
        <v>1087.6310000000001</v>
      </c>
      <c r="J32" s="85">
        <v>5957.5559999999996</v>
      </c>
      <c r="K32" s="167"/>
      <c r="L32" s="167"/>
      <c r="M32" s="115">
        <f t="shared" si="21"/>
        <v>7045.1869999999999</v>
      </c>
      <c r="N32" s="88">
        <f t="shared" si="0"/>
        <v>11934.298999999999</v>
      </c>
      <c r="O32" s="88">
        <f t="shared" si="22"/>
        <v>15456.892499999998</v>
      </c>
      <c r="P32" s="89">
        <f t="shared" si="23"/>
        <v>519876.39999999991</v>
      </c>
      <c r="R32" s="90">
        <f t="shared" si="24"/>
        <v>39</v>
      </c>
      <c r="S32" s="90">
        <f t="shared" si="25"/>
        <v>2</v>
      </c>
      <c r="T32" s="90">
        <f t="shared" si="1"/>
        <v>549.20000000000005</v>
      </c>
      <c r="U32" s="90">
        <f t="shared" si="75"/>
        <v>1.1000000000000001</v>
      </c>
      <c r="V32" s="90">
        <f t="shared" si="26"/>
        <v>1425</v>
      </c>
      <c r="W32" s="91">
        <f t="shared" si="2"/>
        <v>371.9</v>
      </c>
      <c r="X32" s="90">
        <f t="shared" si="27"/>
        <v>1425</v>
      </c>
      <c r="Y32" s="90" t="str">
        <f t="shared" si="28"/>
        <v>0</v>
      </c>
      <c r="Z32" s="90">
        <f t="shared" si="3"/>
        <v>137.4</v>
      </c>
      <c r="AA32" s="90">
        <f t="shared" si="29"/>
        <v>2016.3000000000002</v>
      </c>
      <c r="AB32" s="90">
        <f t="shared" si="30"/>
        <v>276</v>
      </c>
      <c r="AC32" s="90">
        <f t="shared" si="30"/>
        <v>30</v>
      </c>
      <c r="AD32" s="90">
        <f t="shared" si="31"/>
        <v>399</v>
      </c>
      <c r="AE32" s="90">
        <f t="shared" si="32"/>
        <v>93</v>
      </c>
      <c r="AF32" s="90">
        <f t="shared" si="33"/>
        <v>186</v>
      </c>
      <c r="AG32" s="90">
        <f t="shared" si="33"/>
        <v>23</v>
      </c>
      <c r="AH32" s="90">
        <f t="shared" si="34"/>
        <v>288</v>
      </c>
      <c r="AI32" s="90">
        <f t="shared" si="35"/>
        <v>79</v>
      </c>
      <c r="AJ32" s="90">
        <f>IF(EA32=0,"",(EA32-EA31))</f>
        <v>224</v>
      </c>
      <c r="AK32" s="90">
        <f t="shared" si="36"/>
        <v>188</v>
      </c>
      <c r="AL32" s="90">
        <f t="shared" si="37"/>
        <v>488</v>
      </c>
      <c r="AM32" s="90">
        <f t="shared" si="38"/>
        <v>76</v>
      </c>
      <c r="AN32" s="90">
        <f t="shared" si="39"/>
        <v>30</v>
      </c>
      <c r="AO32" s="90">
        <f t="shared" si="4"/>
        <v>59</v>
      </c>
      <c r="AP32" s="90">
        <f t="shared" si="40"/>
        <v>49</v>
      </c>
      <c r="AQ32" s="90">
        <f t="shared" si="5"/>
        <v>49</v>
      </c>
      <c r="AR32" s="90">
        <f t="shared" si="41"/>
        <v>58.732999999999997</v>
      </c>
      <c r="AS32" s="90">
        <f t="shared" si="42"/>
        <v>151.73299999999995</v>
      </c>
      <c r="AT32" s="90">
        <f t="shared" si="43"/>
        <v>870.73299999999995</v>
      </c>
      <c r="AU32" s="90">
        <f t="shared" si="44"/>
        <v>198</v>
      </c>
      <c r="AV32" s="90">
        <f t="shared" si="66"/>
        <v>53</v>
      </c>
      <c r="AW32" s="90">
        <f t="shared" si="45"/>
        <v>521</v>
      </c>
      <c r="AX32" s="90">
        <f t="shared" si="67"/>
        <v>18</v>
      </c>
      <c r="AY32" s="90" t="str">
        <f t="shared" si="46"/>
        <v/>
      </c>
      <c r="AZ32" s="90">
        <f t="shared" si="47"/>
        <v>418</v>
      </c>
      <c r="BA32" s="90">
        <v>46</v>
      </c>
      <c r="BB32" s="90">
        <f t="shared" si="48"/>
        <v>102</v>
      </c>
      <c r="BC32" s="90">
        <f t="shared" si="48"/>
        <v>331</v>
      </c>
      <c r="BD32" s="91">
        <f t="shared" si="49"/>
        <v>437</v>
      </c>
      <c r="BE32" s="90"/>
      <c r="BF32" s="90"/>
      <c r="BG32" s="90">
        <f t="shared" si="6"/>
        <v>1288</v>
      </c>
      <c r="BH32" s="90">
        <f t="shared" si="50"/>
        <v>-368</v>
      </c>
      <c r="BI32" s="90">
        <f t="shared" si="51"/>
        <v>1912.9669999999996</v>
      </c>
      <c r="BJ32" s="90">
        <f t="shared" si="7"/>
        <v>4810.0330000000004</v>
      </c>
      <c r="BK32" s="92"/>
      <c r="BL32" s="93">
        <f t="shared" si="52"/>
        <v>6355</v>
      </c>
      <c r="BM32" s="93">
        <f t="shared" si="53"/>
        <v>186225</v>
      </c>
      <c r="BN32" s="92"/>
      <c r="BO32" s="94">
        <f t="shared" si="54"/>
        <v>3.2678919809198681E-2</v>
      </c>
      <c r="BP32" s="94">
        <f t="shared" si="54"/>
        <v>1.6758420414973683E-3</v>
      </c>
      <c r="BQ32" s="94">
        <f t="shared" si="55"/>
        <v>0.46018622459517738</v>
      </c>
      <c r="BR32" s="94">
        <f t="shared" si="68"/>
        <v>1.194037454566875</v>
      </c>
      <c r="BS32" s="94">
        <f t="shared" si="77"/>
        <v>0</v>
      </c>
      <c r="BT32" s="94">
        <f t="shared" si="77"/>
        <v>0.11513034825086921</v>
      </c>
      <c r="BU32" s="95">
        <f t="shared" si="77"/>
        <v>1.6895001541355721</v>
      </c>
      <c r="BV32" s="94">
        <f t="shared" si="9"/>
        <v>2.5231462274839526E-2</v>
      </c>
      <c r="BW32" s="94">
        <f t="shared" si="9"/>
        <v>1.2939211422994632E-3</v>
      </c>
      <c r="BX32" s="94">
        <f t="shared" si="9"/>
        <v>0.35531074567543258</v>
      </c>
      <c r="BY32" s="94">
        <f t="shared" si="56"/>
        <v>0.92191881388836738</v>
      </c>
      <c r="BZ32" s="95">
        <f t="shared" si="10"/>
        <v>1.3044665996092037</v>
      </c>
      <c r="CA32" s="96" t="e">
        <f>#REF!</f>
        <v>#REF!</v>
      </c>
      <c r="CB32" s="94">
        <f t="shared" si="11"/>
        <v>3.7997935225337176E-2</v>
      </c>
      <c r="CC32" s="95">
        <f t="shared" si="11"/>
        <v>9.8165268342262191E-2</v>
      </c>
      <c r="CD32" s="97">
        <f t="shared" si="12"/>
        <v>8.3366133503624526E-2</v>
      </c>
      <c r="CE32" s="98">
        <f t="shared" si="12"/>
        <v>0.21537114628752926</v>
      </c>
      <c r="CF32" s="94" t="str">
        <f t="shared" si="57"/>
        <v>0,00</v>
      </c>
      <c r="CG32" s="94" t="str">
        <f t="shared" si="57"/>
        <v>0,00</v>
      </c>
      <c r="CH32" s="95" t="str">
        <f t="shared" si="58"/>
        <v xml:space="preserve">0,00 </v>
      </c>
      <c r="CI32" s="96" t="e">
        <f>#REF!</f>
        <v>#REF!</v>
      </c>
      <c r="CJ32" s="94">
        <f t="shared" si="59"/>
        <v>0.63211125158027825</v>
      </c>
      <c r="CK32" s="94">
        <f t="shared" si="59"/>
        <v>7.8164294550249452E-2</v>
      </c>
      <c r="CL32" s="95">
        <f t="shared" si="69"/>
        <v>0.97875290567268869</v>
      </c>
      <c r="CM32" s="95" t="e">
        <f>#REF!</f>
        <v>#REF!</v>
      </c>
      <c r="CN32" s="94">
        <f t="shared" si="60"/>
        <v>1.3336381649138851</v>
      </c>
      <c r="CO32" s="94">
        <f t="shared" si="60"/>
        <v>1.1193034598384393</v>
      </c>
      <c r="CP32" s="95">
        <f t="shared" si="61"/>
        <v>2.9054260021338214</v>
      </c>
      <c r="CQ32" s="95" t="e">
        <f>#REF!</f>
        <v>#REF!</v>
      </c>
      <c r="CR32" s="97">
        <f t="shared" si="70"/>
        <v>0.12244523126843057</v>
      </c>
      <c r="CS32" s="95">
        <f t="shared" si="70"/>
        <v>0.24080895482791348</v>
      </c>
      <c r="CT32" s="96" t="e">
        <f>#REF!</f>
        <v>#REF!</v>
      </c>
      <c r="CU32" s="97">
        <f t="shared" si="71"/>
        <v>0.10077974730198219</v>
      </c>
      <c r="CV32" s="95">
        <f t="shared" si="62"/>
        <v>0.10077974730198219</v>
      </c>
      <c r="CW32" s="96" t="e">
        <f>#REF!</f>
        <v>#REF!</v>
      </c>
      <c r="CX32" s="99">
        <f t="shared" si="63"/>
        <v>0.12809819308764683</v>
      </c>
      <c r="CY32" s="95">
        <f t="shared" si="63"/>
        <v>3.4288910270935766E-2</v>
      </c>
      <c r="CZ32" s="99">
        <f t="shared" si="63"/>
        <v>0.33706645756901016</v>
      </c>
      <c r="DA32" s="95">
        <f t="shared" si="63"/>
        <v>1.1645290280695166E-2</v>
      </c>
      <c r="DB32" s="94">
        <f t="shared" si="13"/>
        <v>0.27042951874058774</v>
      </c>
      <c r="DC32" s="94">
        <f t="shared" si="14"/>
        <v>6.5989978257272611E-2</v>
      </c>
      <c r="DD32" s="94">
        <f t="shared" si="14"/>
        <v>0.21414394905056114</v>
      </c>
      <c r="DE32" s="94">
        <f t="shared" si="14"/>
        <v>0.28272176959243267</v>
      </c>
      <c r="DF32" s="94">
        <f t="shared" si="14"/>
        <v>0</v>
      </c>
      <c r="DG32" s="94">
        <f t="shared" si="14"/>
        <v>0</v>
      </c>
      <c r="DH32" s="95">
        <f t="shared" si="14"/>
        <v>0.83328521564085423</v>
      </c>
      <c r="DI32" s="96" t="e">
        <f>#REF!</f>
        <v>#REF!</v>
      </c>
      <c r="DJ32" s="95">
        <f t="shared" si="64"/>
        <v>-0.23808149018310118</v>
      </c>
      <c r="DK32" s="96" t="e">
        <f>#REF!</f>
        <v>#REF!</v>
      </c>
      <c r="DL32" s="95">
        <f t="shared" si="15"/>
        <v>1.2376142229105882</v>
      </c>
      <c r="DM32" s="96">
        <f t="shared" si="16"/>
        <v>0</v>
      </c>
      <c r="DN32" s="94">
        <f>IF($O32&lt;&gt;0,BJ32/$O32*10,"")</f>
        <v>3.1119016969290572</v>
      </c>
      <c r="DO32" s="100">
        <v>3.4</v>
      </c>
      <c r="DP32" s="94">
        <f t="shared" si="72"/>
        <v>4.1114344296565433</v>
      </c>
      <c r="DQ32" s="94">
        <f t="shared" si="73"/>
        <v>3.5821014379571765</v>
      </c>
      <c r="DR32" s="101"/>
      <c r="DS32" s="173"/>
      <c r="DT32" s="134">
        <v>27</v>
      </c>
      <c r="DU32" s="120">
        <v>611675</v>
      </c>
      <c r="DV32" s="120">
        <v>23648</v>
      </c>
      <c r="DW32" s="120">
        <v>5101628</v>
      </c>
      <c r="DX32" s="120">
        <v>104765</v>
      </c>
      <c r="DY32" s="120">
        <v>81553</v>
      </c>
      <c r="DZ32" s="120">
        <v>370176</v>
      </c>
      <c r="EA32" s="120">
        <v>213976</v>
      </c>
      <c r="EB32" s="120">
        <v>49698</v>
      </c>
      <c r="EC32" s="120">
        <v>376224</v>
      </c>
      <c r="ED32" s="120">
        <v>44966</v>
      </c>
      <c r="EE32" s="120">
        <v>36682</v>
      </c>
      <c r="EF32" s="120">
        <v>38557</v>
      </c>
      <c r="EG32" s="120">
        <v>89435</v>
      </c>
      <c r="EH32" s="120">
        <v>176201</v>
      </c>
      <c r="EI32" s="120">
        <v>29555</v>
      </c>
      <c r="EJ32" s="120">
        <v>37970</v>
      </c>
      <c r="EK32" s="120"/>
      <c r="EL32" s="120">
        <v>682470</v>
      </c>
      <c r="EM32" s="120">
        <v>5492</v>
      </c>
      <c r="EN32" s="120">
        <v>40507</v>
      </c>
      <c r="EO32" s="120">
        <v>2882215</v>
      </c>
      <c r="EP32" s="120">
        <v>2737832</v>
      </c>
      <c r="EQ32" s="120">
        <v>0</v>
      </c>
      <c r="ER32" s="120">
        <v>1374</v>
      </c>
      <c r="ES32" s="120">
        <v>292449</v>
      </c>
      <c r="ET32" s="120">
        <v>2775996</v>
      </c>
      <c r="EU32" s="120">
        <v>383236</v>
      </c>
      <c r="EV32" s="120">
        <v>115461</v>
      </c>
      <c r="EW32" s="120">
        <v>77458</v>
      </c>
      <c r="EX32" s="120">
        <v>198879</v>
      </c>
      <c r="EY32" s="120">
        <v>1581769</v>
      </c>
      <c r="EZ32" s="120">
        <v>712197</v>
      </c>
      <c r="FA32" s="151">
        <v>724911</v>
      </c>
      <c r="FB32" s="151">
        <v>30261</v>
      </c>
      <c r="FC32" s="149">
        <v>6723</v>
      </c>
      <c r="FD32" s="104">
        <f t="shared" si="76"/>
        <v>6355</v>
      </c>
      <c r="FE32" s="105">
        <f t="shared" si="78"/>
        <v>0</v>
      </c>
      <c r="FF32" s="105">
        <f t="shared" si="78"/>
        <v>220</v>
      </c>
      <c r="FG32" s="105">
        <f t="shared" si="78"/>
        <v>1224</v>
      </c>
      <c r="FH32" s="105">
        <f t="shared" si="78"/>
        <v>2030</v>
      </c>
      <c r="FI32" s="105">
        <f t="shared" si="78"/>
        <v>576</v>
      </c>
      <c r="FJ32" s="105">
        <f t="shared" si="78"/>
        <v>736</v>
      </c>
      <c r="FK32" s="105">
        <f t="shared" si="78"/>
        <v>0</v>
      </c>
      <c r="FL32" s="105">
        <f t="shared" si="78"/>
        <v>1569</v>
      </c>
      <c r="FM32" s="105">
        <f t="shared" si="78"/>
        <v>0</v>
      </c>
      <c r="FN32" s="80">
        <f t="shared" si="74"/>
        <v>0</v>
      </c>
      <c r="FO32" s="77"/>
      <c r="FP32" s="81"/>
      <c r="FQ32" s="186"/>
      <c r="FY32" s="119">
        <v>27</v>
      </c>
      <c r="FZ32" s="107"/>
      <c r="GA32" s="107"/>
      <c r="GB32" s="180"/>
      <c r="GC32" s="109"/>
      <c r="GD32" s="110"/>
      <c r="GE32" s="110"/>
      <c r="GF32" s="111"/>
      <c r="GG32" s="111"/>
      <c r="GH32" s="111"/>
      <c r="GI32" s="164"/>
      <c r="GJ32" s="111" t="e">
        <f t="shared" si="65"/>
        <v>#DIV/0!</v>
      </c>
    </row>
    <row r="33" spans="1:193" s="119" customFormat="1" ht="15" customHeight="1">
      <c r="A33" s="119">
        <v>0</v>
      </c>
      <c r="B33" s="573">
        <v>42822</v>
      </c>
      <c r="D33" s="85">
        <v>4150.32</v>
      </c>
      <c r="E33" s="85">
        <v>3988.56</v>
      </c>
      <c r="F33" s="85">
        <v>2937.384</v>
      </c>
      <c r="G33" s="85">
        <v>4711.8580000000002</v>
      </c>
      <c r="H33" s="85">
        <v>3094.306</v>
      </c>
      <c r="I33" s="85">
        <v>2053.567</v>
      </c>
      <c r="J33" s="85">
        <v>0</v>
      </c>
      <c r="K33" s="167">
        <v>12.96</v>
      </c>
      <c r="L33" s="167"/>
      <c r="M33" s="115">
        <f t="shared" si="21"/>
        <v>2053.567</v>
      </c>
      <c r="N33" s="88">
        <f t="shared" si="0"/>
        <v>18882.428</v>
      </c>
      <c r="O33" s="88">
        <f t="shared" si="22"/>
        <v>19909.211500000001</v>
      </c>
      <c r="P33" s="89">
        <f t="shared" si="23"/>
        <v>539785.61149999988</v>
      </c>
      <c r="R33" s="90">
        <f t="shared" si="24"/>
        <v>0</v>
      </c>
      <c r="S33" s="90">
        <f t="shared" si="25"/>
        <v>0</v>
      </c>
      <c r="T33" s="90">
        <f t="shared" si="1"/>
        <v>373.5</v>
      </c>
      <c r="U33" s="90">
        <f t="shared" si="75"/>
        <v>0</v>
      </c>
      <c r="V33" s="90">
        <f t="shared" si="26"/>
        <v>1190</v>
      </c>
      <c r="W33" s="91">
        <f t="shared" si="2"/>
        <v>117.9</v>
      </c>
      <c r="X33" s="90">
        <f t="shared" si="27"/>
        <v>1190</v>
      </c>
      <c r="Y33" s="90" t="str">
        <f t="shared" si="28"/>
        <v>0</v>
      </c>
      <c r="Z33" s="90">
        <f t="shared" si="3"/>
        <v>128.1</v>
      </c>
      <c r="AA33" s="90">
        <f t="shared" si="29"/>
        <v>1563.5</v>
      </c>
      <c r="AB33" s="90">
        <f t="shared" si="30"/>
        <v>223</v>
      </c>
      <c r="AC33" s="90">
        <f t="shared" si="30"/>
        <v>26</v>
      </c>
      <c r="AD33" s="90">
        <f>(IF(SUM(AB33:AC33)&gt;=(DW33-DW32),(SUM(AB33:AC33)),(DW33-DW32)))</f>
        <v>423</v>
      </c>
      <c r="AE33" s="90">
        <f t="shared" si="32"/>
        <v>174</v>
      </c>
      <c r="AF33" s="90">
        <f t="shared" si="33"/>
        <v>228</v>
      </c>
      <c r="AG33" s="90">
        <f t="shared" si="33"/>
        <v>8</v>
      </c>
      <c r="AH33" s="90">
        <f t="shared" si="34"/>
        <v>311</v>
      </c>
      <c r="AI33" s="90">
        <f t="shared" si="35"/>
        <v>75</v>
      </c>
      <c r="AJ33" s="90">
        <f>IF(EA33=0,"",(EA33-EA32))</f>
        <v>271</v>
      </c>
      <c r="AK33" s="90">
        <f t="shared" si="36"/>
        <v>70</v>
      </c>
      <c r="AL33" s="90">
        <f t="shared" si="37"/>
        <v>401</v>
      </c>
      <c r="AM33" s="90">
        <f t="shared" si="38"/>
        <v>60</v>
      </c>
      <c r="AN33" s="90">
        <f t="shared" si="39"/>
        <v>27</v>
      </c>
      <c r="AO33" s="90">
        <f t="shared" si="4"/>
        <v>65</v>
      </c>
      <c r="AP33" s="90">
        <f t="shared" si="40"/>
        <v>56</v>
      </c>
      <c r="AQ33" s="90">
        <f t="shared" si="5"/>
        <v>215</v>
      </c>
      <c r="AR33" s="90">
        <f t="shared" si="41"/>
        <v>23.434000000000001</v>
      </c>
      <c r="AS33" s="90">
        <f t="shared" si="42"/>
        <v>73.434000000000026</v>
      </c>
      <c r="AT33" s="90">
        <f t="shared" si="43"/>
        <v>328.43400000000003</v>
      </c>
      <c r="AU33" s="90">
        <f t="shared" si="44"/>
        <v>255</v>
      </c>
      <c r="AV33" s="90">
        <f t="shared" si="66"/>
        <v>20</v>
      </c>
      <c r="AW33" s="90">
        <f t="shared" si="45"/>
        <v>0</v>
      </c>
      <c r="AX33" s="90">
        <f t="shared" si="67"/>
        <v>36</v>
      </c>
      <c r="AY33" s="90" t="str">
        <f t="shared" si="46"/>
        <v/>
      </c>
      <c r="AZ33" s="90">
        <f t="shared" si="47"/>
        <v>250</v>
      </c>
      <c r="BA33" s="90">
        <v>61</v>
      </c>
      <c r="BB33" s="90">
        <f t="shared" si="48"/>
        <v>99</v>
      </c>
      <c r="BC33" s="90">
        <f t="shared" si="48"/>
        <v>0</v>
      </c>
      <c r="BD33" s="91">
        <f t="shared" si="49"/>
        <v>230</v>
      </c>
      <c r="BE33" s="90"/>
      <c r="BF33" s="90"/>
      <c r="BG33" s="90">
        <f t="shared" si="6"/>
        <v>579</v>
      </c>
      <c r="BH33" s="90">
        <f t="shared" si="50"/>
        <v>-413</v>
      </c>
      <c r="BI33" s="90">
        <f t="shared" si="51"/>
        <v>1635.0659999999998</v>
      </c>
      <c r="BJ33" s="90">
        <f t="shared" si="7"/>
        <v>3686.9340000000002</v>
      </c>
      <c r="BK33" s="92"/>
      <c r="BL33" s="93">
        <f t="shared" si="52"/>
        <v>4909</v>
      </c>
      <c r="BM33" s="93">
        <f t="shared" si="53"/>
        <v>191134</v>
      </c>
      <c r="BN33" s="92"/>
      <c r="BO33" s="94">
        <f t="shared" si="54"/>
        <v>0</v>
      </c>
      <c r="BP33" s="94">
        <f t="shared" si="54"/>
        <v>0</v>
      </c>
      <c r="BQ33" s="94">
        <f t="shared" si="55"/>
        <v>0.19780295203561749</v>
      </c>
      <c r="BR33" s="94">
        <f t="shared" si="68"/>
        <v>0.63021556337987894</v>
      </c>
      <c r="BS33" s="94">
        <f t="shared" si="77"/>
        <v>0</v>
      </c>
      <c r="BT33" s="94">
        <f t="shared" si="77"/>
        <v>6.7840851822657547E-2</v>
      </c>
      <c r="BU33" s="95">
        <f t="shared" si="77"/>
        <v>0.82801851541549631</v>
      </c>
      <c r="BV33" s="94">
        <f t="shared" si="9"/>
        <v>0</v>
      </c>
      <c r="BW33" s="94">
        <f t="shared" si="9"/>
        <v>0</v>
      </c>
      <c r="BX33" s="94">
        <f t="shared" si="9"/>
        <v>0.18760160340855286</v>
      </c>
      <c r="BY33" s="94">
        <f t="shared" si="56"/>
        <v>0.59771327458146695</v>
      </c>
      <c r="BZ33" s="95">
        <f t="shared" si="10"/>
        <v>0.78531487799001976</v>
      </c>
      <c r="CA33" s="96" t="e">
        <f>#REF!</f>
        <v>#REF!</v>
      </c>
      <c r="CB33" s="94">
        <f t="shared" si="11"/>
        <v>1.1770430988690838E-2</v>
      </c>
      <c r="CC33" s="95">
        <f t="shared" si="11"/>
        <v>3.6884434122365931E-2</v>
      </c>
      <c r="CD33" s="97">
        <f t="shared" si="12"/>
        <v>0.1141136373928876</v>
      </c>
      <c r="CE33" s="98">
        <f t="shared" si="12"/>
        <v>0.35759242332974783</v>
      </c>
      <c r="CF33" s="94">
        <f t="shared" si="57"/>
        <v>0.53730796661462255</v>
      </c>
      <c r="CG33" s="94">
        <f t="shared" si="57"/>
        <v>6.264577189228783E-2</v>
      </c>
      <c r="CH33" s="95">
        <f t="shared" si="58"/>
        <v>1.0191985196322211</v>
      </c>
      <c r="CI33" s="96" t="e">
        <f>#REF!</f>
        <v>#REF!</v>
      </c>
      <c r="CJ33" s="94">
        <f t="shared" si="59"/>
        <v>0.57163487574462968</v>
      </c>
      <c r="CK33" s="94">
        <f t="shared" si="59"/>
        <v>2.0057364061215076E-2</v>
      </c>
      <c r="CL33" s="95">
        <f t="shared" si="69"/>
        <v>0.779730027879736</v>
      </c>
      <c r="CM33" s="95" t="e">
        <f>#REF!</f>
        <v>#REF!</v>
      </c>
      <c r="CN33" s="94">
        <f t="shared" si="60"/>
        <v>0.9225896239647251</v>
      </c>
      <c r="CO33" s="94">
        <f t="shared" si="60"/>
        <v>0.23830728294291792</v>
      </c>
      <c r="CP33" s="95">
        <f t="shared" si="61"/>
        <v>1.3651602922872867</v>
      </c>
      <c r="CQ33" s="95" t="e">
        <f>#REF!</f>
        <v>#REF!</v>
      </c>
      <c r="CR33" s="97">
        <f t="shared" si="70"/>
        <v>5.7302236187932655E-2</v>
      </c>
      <c r="CS33" s="95">
        <f t="shared" si="70"/>
        <v>0.13794982785983786</v>
      </c>
      <c r="CT33" s="96" t="e">
        <f>#REF!</f>
        <v>#REF!</v>
      </c>
      <c r="CU33" s="97">
        <f t="shared" si="71"/>
        <v>0.18097757623195637</v>
      </c>
      <c r="CV33" s="95">
        <f t="shared" si="62"/>
        <v>0.69482462303340387</v>
      </c>
      <c r="CW33" s="96" t="e">
        <f>#REF!</f>
        <v>#REF!</v>
      </c>
      <c r="CX33" s="99">
        <f t="shared" si="63"/>
        <v>0.12808141598174291</v>
      </c>
      <c r="CY33" s="95">
        <f t="shared" si="63"/>
        <v>1.0045601253470033E-2</v>
      </c>
      <c r="CZ33" s="99">
        <f t="shared" si="63"/>
        <v>0</v>
      </c>
      <c r="DA33" s="95">
        <f t="shared" si="63"/>
        <v>1.8082082256246058E-2</v>
      </c>
      <c r="DB33" s="94">
        <f t="shared" si="13"/>
        <v>0.12557001566837539</v>
      </c>
      <c r="DC33" s="94">
        <f t="shared" si="14"/>
        <v>4.9725726204676655E-2</v>
      </c>
      <c r="DD33" s="94">
        <f t="shared" si="14"/>
        <v>0</v>
      </c>
      <c r="DE33" s="94">
        <f t="shared" si="14"/>
        <v>0.11552441441490537</v>
      </c>
      <c r="DF33" s="94">
        <f t="shared" si="14"/>
        <v>0</v>
      </c>
      <c r="DG33" s="94">
        <f t="shared" si="14"/>
        <v>0</v>
      </c>
      <c r="DH33" s="95">
        <f t="shared" si="14"/>
        <v>0.29082015628795743</v>
      </c>
      <c r="DI33" s="96" t="e">
        <f>#REF!</f>
        <v>#REF!</v>
      </c>
      <c r="DJ33" s="95">
        <f t="shared" si="64"/>
        <v>-0.20744166588415616</v>
      </c>
      <c r="DK33" s="96" t="e">
        <f>#REF!</f>
        <v>#REF!</v>
      </c>
      <c r="DL33" s="95">
        <f t="shared" si="15"/>
        <v>0.82126105295531149</v>
      </c>
      <c r="DM33" s="96">
        <f t="shared" si="16"/>
        <v>0</v>
      </c>
      <c r="DN33" s="94">
        <f t="shared" si="17"/>
        <v>1.8518734405930641</v>
      </c>
      <c r="DO33" s="100">
        <v>3.4</v>
      </c>
      <c r="DP33" s="94">
        <f t="shared" si="72"/>
        <v>2.4656928276642196</v>
      </c>
      <c r="DQ33" s="94">
        <f t="shared" si="73"/>
        <v>3.5409243212108117</v>
      </c>
      <c r="DR33" s="101" t="str">
        <f t="shared" si="18"/>
        <v>3,30 hL/NhL</v>
      </c>
      <c r="DT33" s="134">
        <v>28</v>
      </c>
      <c r="DU33" s="135">
        <v>611898</v>
      </c>
      <c r="DV33" s="135">
        <v>23674</v>
      </c>
      <c r="DW33" s="135">
        <v>5102051</v>
      </c>
      <c r="DX33" s="135">
        <v>104993</v>
      </c>
      <c r="DY33" s="135">
        <v>81561</v>
      </c>
      <c r="DZ33" s="135">
        <v>370487</v>
      </c>
      <c r="EA33" s="136">
        <v>214247</v>
      </c>
      <c r="EB33" s="136">
        <v>49768</v>
      </c>
      <c r="EC33" s="136">
        <v>376625</v>
      </c>
      <c r="ED33" s="135">
        <v>44993</v>
      </c>
      <c r="EE33" s="136">
        <v>36718</v>
      </c>
      <c r="EF33" s="136">
        <v>38586</v>
      </c>
      <c r="EG33" s="135">
        <v>89491</v>
      </c>
      <c r="EH33" s="135">
        <v>176416</v>
      </c>
      <c r="EI33" s="135">
        <v>29575</v>
      </c>
      <c r="EJ33" s="136">
        <v>38006</v>
      </c>
      <c r="EK33" s="136"/>
      <c r="EL33" s="135">
        <v>682470</v>
      </c>
      <c r="EM33" s="135">
        <v>3735</v>
      </c>
      <c r="EN33" s="136">
        <v>40507</v>
      </c>
      <c r="EO33" s="135">
        <v>2883405</v>
      </c>
      <c r="EP33" s="136">
        <v>2739011</v>
      </c>
      <c r="EQ33" s="136">
        <v>0</v>
      </c>
      <c r="ER33" s="136">
        <v>1281</v>
      </c>
      <c r="ES33" s="136">
        <v>292754</v>
      </c>
      <c r="ET33" s="136">
        <v>2799430</v>
      </c>
      <c r="EU33" s="136">
        <v>383236</v>
      </c>
      <c r="EV33" s="136">
        <v>115716</v>
      </c>
      <c r="EW33" s="136">
        <v>77708</v>
      </c>
      <c r="EX33" s="135">
        <v>198978</v>
      </c>
      <c r="EY33" s="135">
        <v>1581769</v>
      </c>
      <c r="EZ33" s="140">
        <v>712197</v>
      </c>
      <c r="FA33" s="145">
        <v>725141</v>
      </c>
      <c r="FB33" s="145">
        <v>30324</v>
      </c>
      <c r="FC33" s="145">
        <v>5322</v>
      </c>
      <c r="FD33" s="104">
        <f>SUM(FE33:FM33)</f>
        <v>4909</v>
      </c>
      <c r="FE33" s="105">
        <f t="shared" si="78"/>
        <v>0</v>
      </c>
      <c r="FF33" s="105">
        <f t="shared" si="78"/>
        <v>560</v>
      </c>
      <c r="FG33" s="105">
        <f t="shared" si="78"/>
        <v>0</v>
      </c>
      <c r="FH33" s="105">
        <f t="shared" si="78"/>
        <v>1501</v>
      </c>
      <c r="FI33" s="105">
        <f t="shared" si="78"/>
        <v>549</v>
      </c>
      <c r="FJ33" s="105">
        <f t="shared" si="78"/>
        <v>817</v>
      </c>
      <c r="FK33" s="105">
        <f t="shared" si="78"/>
        <v>0</v>
      </c>
      <c r="FL33" s="105">
        <f t="shared" si="78"/>
        <v>1482</v>
      </c>
      <c r="FM33" s="105">
        <f t="shared" si="78"/>
        <v>0</v>
      </c>
      <c r="FN33" s="187">
        <f>IF(FO33="",0,(FO33-FO32))</f>
        <v>0</v>
      </c>
      <c r="FO33" s="77"/>
      <c r="FP33" s="188"/>
      <c r="FY33" s="119">
        <v>28</v>
      </c>
      <c r="FZ33" s="107"/>
      <c r="GA33" s="107"/>
      <c r="GB33" s="180"/>
      <c r="GC33" s="109"/>
      <c r="GD33" s="110"/>
      <c r="GE33" s="110"/>
      <c r="GF33" s="111"/>
      <c r="GG33" s="111"/>
      <c r="GH33" s="111"/>
      <c r="GI33" s="164"/>
      <c r="GJ33" s="111" t="e">
        <f t="shared" si="65"/>
        <v>#DIV/0!</v>
      </c>
      <c r="GK33" s="113"/>
    </row>
    <row r="34" spans="1:193" s="119" customFormat="1" ht="15" customHeight="1">
      <c r="B34" s="573">
        <v>42823</v>
      </c>
      <c r="D34" s="85">
        <v>676.2</v>
      </c>
      <c r="E34" s="85">
        <v>1453.56</v>
      </c>
      <c r="F34" s="85">
        <v>2923.7759999999998</v>
      </c>
      <c r="G34" s="85">
        <v>6448.5749999999998</v>
      </c>
      <c r="H34" s="85">
        <v>3158.24</v>
      </c>
      <c r="I34" s="85">
        <v>1285.7439999999999</v>
      </c>
      <c r="J34" s="85">
        <v>2242.944</v>
      </c>
      <c r="K34" s="167"/>
      <c r="L34" s="167"/>
      <c r="M34" s="115">
        <f t="shared" si="21"/>
        <v>3528.6880000000001</v>
      </c>
      <c r="N34" s="88">
        <f t="shared" si="0"/>
        <v>14660.351000000001</v>
      </c>
      <c r="O34" s="88">
        <f t="shared" si="22"/>
        <v>16424.695</v>
      </c>
      <c r="P34" s="89">
        <f t="shared" si="23"/>
        <v>556210.30649999983</v>
      </c>
      <c r="R34" s="90">
        <f t="shared" si="24"/>
        <v>39</v>
      </c>
      <c r="S34" s="90">
        <f t="shared" si="25"/>
        <v>164</v>
      </c>
      <c r="T34" s="90">
        <f t="shared" si="1"/>
        <v>511.7</v>
      </c>
      <c r="U34" s="90">
        <f t="shared" si="75"/>
        <v>0</v>
      </c>
      <c r="V34" s="90">
        <f t="shared" si="26"/>
        <v>1499</v>
      </c>
      <c r="W34" s="91">
        <f t="shared" si="2"/>
        <v>155.69999999999999</v>
      </c>
      <c r="X34" s="90">
        <f t="shared" si="27"/>
        <v>1499</v>
      </c>
      <c r="Y34" s="90" t="str">
        <f t="shared" si="28"/>
        <v>0</v>
      </c>
      <c r="Z34" s="90">
        <f t="shared" si="3"/>
        <v>157.1</v>
      </c>
      <c r="AA34" s="90">
        <f t="shared" si="29"/>
        <v>2213.6999999999998</v>
      </c>
      <c r="AB34" s="90">
        <f t="shared" si="30"/>
        <v>100</v>
      </c>
      <c r="AC34" s="90">
        <f t="shared" si="30"/>
        <v>18</v>
      </c>
      <c r="AD34" s="90">
        <f t="shared" si="31"/>
        <v>163</v>
      </c>
      <c r="AE34" s="90">
        <f t="shared" si="32"/>
        <v>45</v>
      </c>
      <c r="AF34" s="90">
        <f t="shared" si="33"/>
        <v>148</v>
      </c>
      <c r="AG34" s="90">
        <f t="shared" si="33"/>
        <v>57</v>
      </c>
      <c r="AH34" s="90">
        <f t="shared" si="34"/>
        <v>289</v>
      </c>
      <c r="AI34" s="90">
        <f t="shared" si="35"/>
        <v>84</v>
      </c>
      <c r="AJ34" s="90">
        <f>IF(EA34=0,"",(EA34-EA33))</f>
        <v>282</v>
      </c>
      <c r="AK34" s="90">
        <f t="shared" si="36"/>
        <v>60</v>
      </c>
      <c r="AL34" s="90">
        <f t="shared" si="37"/>
        <v>418</v>
      </c>
      <c r="AM34" s="90">
        <f t="shared" si="38"/>
        <v>76</v>
      </c>
      <c r="AN34" s="90">
        <f t="shared" si="39"/>
        <v>36</v>
      </c>
      <c r="AO34" s="90">
        <f t="shared" si="4"/>
        <v>69</v>
      </c>
      <c r="AP34" s="90">
        <f t="shared" si="40"/>
        <v>33</v>
      </c>
      <c r="AQ34" s="90">
        <f t="shared" si="5"/>
        <v>40</v>
      </c>
      <c r="AR34" s="90">
        <f t="shared" si="41"/>
        <v>54.869</v>
      </c>
      <c r="AS34" s="90">
        <f t="shared" si="42"/>
        <v>125.86900000000003</v>
      </c>
      <c r="AT34" s="90">
        <f t="shared" si="43"/>
        <v>710.86900000000003</v>
      </c>
      <c r="AU34" s="90">
        <f t="shared" si="44"/>
        <v>217</v>
      </c>
      <c r="AV34" s="90">
        <f t="shared" si="66"/>
        <v>34</v>
      </c>
      <c r="AW34" s="90">
        <f t="shared" si="45"/>
        <v>368</v>
      </c>
      <c r="AX34" s="90">
        <f t="shared" si="67"/>
        <v>33</v>
      </c>
      <c r="AY34" s="90" t="str">
        <f t="shared" si="46"/>
        <v/>
      </c>
      <c r="AZ34" s="90">
        <f t="shared" si="47"/>
        <v>354</v>
      </c>
      <c r="BA34" s="90">
        <v>41</v>
      </c>
      <c r="BB34" s="90">
        <f t="shared" si="48"/>
        <v>100</v>
      </c>
      <c r="BC34" s="90">
        <f t="shared" si="48"/>
        <v>0</v>
      </c>
      <c r="BD34" s="91">
        <f t="shared" si="49"/>
        <v>464</v>
      </c>
      <c r="BE34" s="90"/>
      <c r="BF34" s="90"/>
      <c r="BG34" s="90">
        <f t="shared" si="6"/>
        <v>918</v>
      </c>
      <c r="BH34" s="90">
        <f t="shared" si="50"/>
        <v>-629</v>
      </c>
      <c r="BI34" s="90">
        <f t="shared" si="51"/>
        <v>818.43100000000049</v>
      </c>
      <c r="BJ34" s="90">
        <f t="shared" si="7"/>
        <v>4303.5689999999995</v>
      </c>
      <c r="BK34" s="92"/>
      <c r="BL34" s="93">
        <f t="shared" si="52"/>
        <v>4493</v>
      </c>
      <c r="BM34" s="93">
        <f t="shared" si="53"/>
        <v>195627</v>
      </c>
      <c r="BN34" s="92"/>
      <c r="BO34" s="94">
        <f t="shared" si="54"/>
        <v>2.6602364431792935E-2</v>
      </c>
      <c r="BP34" s="94">
        <f>IF($N34&lt;&gt;0,IF($N34&lt;&gt;0,S34/$N34*10,0)," ")</f>
        <v>0.11186635299523183</v>
      </c>
      <c r="BQ34" s="94">
        <f t="shared" si="55"/>
        <v>0.34903666358329344</v>
      </c>
      <c r="BR34" s="94">
        <f t="shared" si="68"/>
        <v>1.0224857508527592</v>
      </c>
      <c r="BS34" s="94">
        <f>IF($N34&lt;&gt;0,IF($N34&lt;&gt;0,Y34/$N34*10,0)," ")</f>
        <v>0</v>
      </c>
      <c r="BT34" s="94">
        <f t="shared" si="77"/>
        <v>0.10715978082652999</v>
      </c>
      <c r="BU34" s="95">
        <f t="shared" si="77"/>
        <v>1.5099911318630774</v>
      </c>
      <c r="BV34" s="94">
        <f t="shared" si="9"/>
        <v>2.3744733159428533E-2</v>
      </c>
      <c r="BW34" s="94">
        <f t="shared" si="9"/>
        <v>9.9849647131955876E-2</v>
      </c>
      <c r="BX34" s="94">
        <f t="shared" si="9"/>
        <v>0.31154307583793794</v>
      </c>
      <c r="BY34" s="94">
        <f t="shared" si="56"/>
        <v>0.91265012835854797</v>
      </c>
      <c r="BZ34" s="95">
        <f t="shared" si="10"/>
        <v>1.3477875844878699</v>
      </c>
      <c r="CA34" s="96" t="e">
        <f>#REF!</f>
        <v>#REF!</v>
      </c>
      <c r="CB34" s="94">
        <f t="shared" si="11"/>
        <v>3.3406404198068819E-2</v>
      </c>
      <c r="CC34" s="95">
        <f t="shared" si="11"/>
        <v>7.6633995334464383E-2</v>
      </c>
      <c r="CD34" s="97">
        <f t="shared" si="12"/>
        <v>0.15549405331386623</v>
      </c>
      <c r="CE34" s="98">
        <f t="shared" si="12"/>
        <v>0.35670198101957451</v>
      </c>
      <c r="CF34" s="94">
        <f t="shared" si="57"/>
        <v>1.478852410529429</v>
      </c>
      <c r="CG34" s="94">
        <f t="shared" si="57"/>
        <v>0.26619343389529726</v>
      </c>
      <c r="CH34" s="95">
        <f t="shared" si="58"/>
        <v>2.4105294291629695</v>
      </c>
      <c r="CI34" s="96" t="e">
        <f>#REF!</f>
        <v>#REF!</v>
      </c>
      <c r="CJ34" s="94">
        <f t="shared" si="59"/>
        <v>1.0181898236054927</v>
      </c>
      <c r="CK34" s="94">
        <f t="shared" si="59"/>
        <v>0.39214067530752084</v>
      </c>
      <c r="CL34" s="95">
        <f t="shared" si="69"/>
        <v>1.9882220204188339</v>
      </c>
      <c r="CM34" s="95" t="e">
        <f>#REF!</f>
        <v>#REF!</v>
      </c>
      <c r="CN34" s="94">
        <f t="shared" si="60"/>
        <v>0.96450617283950635</v>
      </c>
      <c r="CO34" s="94">
        <f t="shared" si="60"/>
        <v>0.2052140793275545</v>
      </c>
      <c r="CP34" s="95">
        <f t="shared" si="61"/>
        <v>1.4296580859819632</v>
      </c>
      <c r="CQ34" s="95" t="e">
        <f>#REF!</f>
        <v>#REF!</v>
      </c>
      <c r="CR34" s="97">
        <f t="shared" si="70"/>
        <v>5.5826287202986706E-2</v>
      </c>
      <c r="CS34" s="95">
        <f t="shared" si="70"/>
        <v>0.10700038380572452</v>
      </c>
      <c r="CT34" s="96" t="e">
        <f>#REF!</f>
        <v>#REF!</v>
      </c>
      <c r="CU34" s="97">
        <f t="shared" si="71"/>
        <v>0.1044885759156999</v>
      </c>
      <c r="CV34" s="95">
        <f t="shared" si="62"/>
        <v>0.12665281929175742</v>
      </c>
      <c r="CW34" s="96" t="e">
        <f>#REF!</f>
        <v>#REF!</v>
      </c>
      <c r="CX34" s="99">
        <f t="shared" si="63"/>
        <v>0.13211813065630745</v>
      </c>
      <c r="CY34" s="95">
        <f t="shared" si="63"/>
        <v>2.0700536600527439E-2</v>
      </c>
      <c r="CZ34" s="99">
        <f t="shared" si="63"/>
        <v>0.22405286673512051</v>
      </c>
      <c r="DA34" s="95">
        <f t="shared" si="63"/>
        <v>2.0091697288747219E-2</v>
      </c>
      <c r="DB34" s="94">
        <f t="shared" si="13"/>
        <v>0.21552911637019745</v>
      </c>
      <c r="DC34" s="94">
        <f t="shared" si="14"/>
        <v>6.0883931178021877E-2</v>
      </c>
      <c r="DD34" s="94">
        <f t="shared" si="14"/>
        <v>0</v>
      </c>
      <c r="DE34" s="94">
        <f t="shared" si="14"/>
        <v>0.28250144066602151</v>
      </c>
      <c r="DF34" s="94">
        <f t="shared" si="14"/>
        <v>0</v>
      </c>
      <c r="DG34" s="94">
        <f t="shared" si="14"/>
        <v>0</v>
      </c>
      <c r="DH34" s="95">
        <f t="shared" si="14"/>
        <v>0.55891448821424083</v>
      </c>
      <c r="DI34" s="96" t="e">
        <f>#REF!</f>
        <v>#REF!</v>
      </c>
      <c r="DJ34" s="95">
        <f t="shared" si="64"/>
        <v>-0.38295992710975757</v>
      </c>
      <c r="DK34" s="96" t="e">
        <f>#REF!</f>
        <v>#REF!</v>
      </c>
      <c r="DL34" s="95">
        <f t="shared" si="15"/>
        <v>0.4982929667795965</v>
      </c>
      <c r="DM34" s="96">
        <f t="shared" si="16"/>
        <v>0</v>
      </c>
      <c r="DN34" s="94">
        <f t="shared" si="17"/>
        <v>2.6201819881586843</v>
      </c>
      <c r="DO34" s="100">
        <v>3.4</v>
      </c>
      <c r="DP34" s="94">
        <f>IF($O34&lt;&gt;0,IF($O34&lt;&gt;0,BL34/$O34*10,0)," ")</f>
        <v>2.735515027828523</v>
      </c>
      <c r="DQ34" s="94">
        <f t="shared" si="73"/>
        <v>3.5171408676512912</v>
      </c>
      <c r="DR34" s="101" t="str">
        <f t="shared" si="18"/>
        <v>3,30 hL/NhL</v>
      </c>
      <c r="DT34" s="134">
        <v>29</v>
      </c>
      <c r="DU34" s="135">
        <v>611998</v>
      </c>
      <c r="DV34" s="76">
        <v>23692</v>
      </c>
      <c r="DW34" s="77">
        <v>5102214</v>
      </c>
      <c r="DX34" s="76">
        <v>105141</v>
      </c>
      <c r="DY34" s="76">
        <v>81618</v>
      </c>
      <c r="DZ34" s="76">
        <v>370776</v>
      </c>
      <c r="EA34" s="77">
        <v>214529</v>
      </c>
      <c r="EB34" s="77">
        <v>49828</v>
      </c>
      <c r="EC34" s="77">
        <v>377043</v>
      </c>
      <c r="ED34" s="77">
        <v>45029</v>
      </c>
      <c r="EE34" s="77">
        <v>36757</v>
      </c>
      <c r="EF34" s="77">
        <v>38616</v>
      </c>
      <c r="EG34" s="76">
        <v>89524</v>
      </c>
      <c r="EH34" s="76">
        <v>176456</v>
      </c>
      <c r="EI34" s="76">
        <v>29609</v>
      </c>
      <c r="EJ34" s="77">
        <v>38039</v>
      </c>
      <c r="EK34" s="77"/>
      <c r="EL34" s="76">
        <v>682509</v>
      </c>
      <c r="EM34" s="76">
        <v>5117</v>
      </c>
      <c r="EN34" s="77">
        <v>40507</v>
      </c>
      <c r="EO34" s="76">
        <v>2884904</v>
      </c>
      <c r="EP34" s="77">
        <v>2740568</v>
      </c>
      <c r="EQ34" s="77">
        <v>0</v>
      </c>
      <c r="ER34" s="77">
        <v>1571</v>
      </c>
      <c r="ES34" s="77">
        <v>293410</v>
      </c>
      <c r="ET34" s="136">
        <v>2854299</v>
      </c>
      <c r="EU34" s="77">
        <v>383604</v>
      </c>
      <c r="EV34" s="77">
        <v>115933</v>
      </c>
      <c r="EW34" s="77">
        <v>78062</v>
      </c>
      <c r="EX34" s="76">
        <v>199078</v>
      </c>
      <c r="EY34" s="76">
        <v>1581769</v>
      </c>
      <c r="EZ34" s="149">
        <v>713837</v>
      </c>
      <c r="FA34" s="149">
        <v>725605</v>
      </c>
      <c r="FB34" s="151">
        <v>30367</v>
      </c>
      <c r="FC34" s="149">
        <v>5122</v>
      </c>
      <c r="FD34" s="104">
        <f>SUM(FE34:FM34)</f>
        <v>4493</v>
      </c>
      <c r="FE34" s="105">
        <f t="shared" si="78"/>
        <v>0</v>
      </c>
      <c r="FF34" s="105">
        <f t="shared" si="78"/>
        <v>553</v>
      </c>
      <c r="FG34" s="105">
        <f t="shared" si="78"/>
        <v>629</v>
      </c>
      <c r="FH34" s="105">
        <f t="shared" si="78"/>
        <v>1402</v>
      </c>
      <c r="FI34" s="105">
        <f t="shared" si="78"/>
        <v>392</v>
      </c>
      <c r="FJ34" s="105">
        <f t="shared" si="78"/>
        <v>748</v>
      </c>
      <c r="FK34" s="105">
        <f t="shared" si="78"/>
        <v>0</v>
      </c>
      <c r="FL34" s="105">
        <f t="shared" si="78"/>
        <v>769</v>
      </c>
      <c r="FM34" s="105">
        <f t="shared" si="78"/>
        <v>0</v>
      </c>
      <c r="FN34" s="80">
        <f t="shared" si="74"/>
        <v>0</v>
      </c>
      <c r="FO34" s="77"/>
      <c r="FP34" s="189"/>
      <c r="FY34" s="119">
        <v>29</v>
      </c>
      <c r="FZ34" s="190"/>
      <c r="GA34" s="191"/>
      <c r="GB34" s="107"/>
      <c r="GC34" s="109"/>
      <c r="GD34" s="110"/>
      <c r="GE34" s="110"/>
      <c r="GF34" s="111"/>
      <c r="GG34" s="111"/>
      <c r="GH34" s="111"/>
      <c r="GI34" s="112"/>
      <c r="GJ34" s="111" t="e">
        <f t="shared" si="65"/>
        <v>#DIV/0!</v>
      </c>
      <c r="GK34" s="113"/>
    </row>
    <row r="35" spans="1:193" s="119" customFormat="1" ht="15" customHeight="1">
      <c r="B35" s="573">
        <v>42824</v>
      </c>
      <c r="D35" s="85">
        <v>2993.64</v>
      </c>
      <c r="E35" s="85">
        <v>3156</v>
      </c>
      <c r="F35" s="85">
        <v>2560.8960000000002</v>
      </c>
      <c r="G35" s="85">
        <v>2603.9249999999997</v>
      </c>
      <c r="H35" s="85">
        <v>4797.0140000000001</v>
      </c>
      <c r="I35" s="85">
        <v>1911.509</v>
      </c>
      <c r="J35" s="85">
        <v>7332.0720000000001</v>
      </c>
      <c r="K35" s="167"/>
      <c r="L35" s="167">
        <v>80</v>
      </c>
      <c r="M35" s="115">
        <f t="shared" si="21"/>
        <v>9243.5810000000001</v>
      </c>
      <c r="N35" s="88">
        <f t="shared" si="0"/>
        <v>16111.474999999999</v>
      </c>
      <c r="O35" s="88">
        <f t="shared" si="22"/>
        <v>20813.265499999998</v>
      </c>
      <c r="P35" s="89">
        <f t="shared" si="23"/>
        <v>577023.57199999981</v>
      </c>
      <c r="R35" s="90">
        <f t="shared" si="24"/>
        <v>375</v>
      </c>
      <c r="S35" s="90">
        <f t="shared" si="25"/>
        <v>70.8</v>
      </c>
      <c r="T35" s="90">
        <f t="shared" si="1"/>
        <v>508.9</v>
      </c>
      <c r="U35" s="90">
        <f t="shared" si="75"/>
        <v>0.1</v>
      </c>
      <c r="V35" s="90">
        <f t="shared" si="26"/>
        <v>1392</v>
      </c>
      <c r="W35" s="91">
        <f t="shared" si="2"/>
        <v>1352.2</v>
      </c>
      <c r="X35" s="90">
        <f t="shared" si="27"/>
        <v>1392</v>
      </c>
      <c r="Y35" s="90" t="str">
        <f t="shared" si="28"/>
        <v>0</v>
      </c>
      <c r="Z35" s="90">
        <f t="shared" si="3"/>
        <v>152.19999999999999</v>
      </c>
      <c r="AA35" s="90">
        <f t="shared" si="29"/>
        <v>2346.8000000000002</v>
      </c>
      <c r="AB35" s="90">
        <f t="shared" si="30"/>
        <v>163</v>
      </c>
      <c r="AC35" s="90">
        <f t="shared" si="30"/>
        <v>32</v>
      </c>
      <c r="AD35" s="90">
        <f t="shared" si="31"/>
        <v>415</v>
      </c>
      <c r="AE35" s="90">
        <f t="shared" si="32"/>
        <v>220</v>
      </c>
      <c r="AF35" s="90">
        <f t="shared" si="33"/>
        <v>202</v>
      </c>
      <c r="AG35" s="90">
        <f t="shared" si="33"/>
        <v>39</v>
      </c>
      <c r="AH35" s="90">
        <f t="shared" si="34"/>
        <v>302</v>
      </c>
      <c r="AI35" s="90">
        <f t="shared" si="35"/>
        <v>61</v>
      </c>
      <c r="AJ35" s="90">
        <f t="shared" si="36"/>
        <v>272</v>
      </c>
      <c r="AK35" s="90">
        <f t="shared" si="36"/>
        <v>52</v>
      </c>
      <c r="AL35" s="90">
        <f t="shared" si="37"/>
        <v>402</v>
      </c>
      <c r="AM35" s="90">
        <f t="shared" si="38"/>
        <v>78</v>
      </c>
      <c r="AN35" s="90">
        <f t="shared" si="39"/>
        <v>90</v>
      </c>
      <c r="AO35" s="90">
        <f t="shared" si="4"/>
        <v>134</v>
      </c>
      <c r="AP35" s="90">
        <f t="shared" si="40"/>
        <v>18</v>
      </c>
      <c r="AQ35" s="90">
        <f t="shared" si="5"/>
        <v>26</v>
      </c>
      <c r="AR35" s="90">
        <f t="shared" si="41"/>
        <v>48.271999999999998</v>
      </c>
      <c r="AS35" s="90">
        <f t="shared" si="42"/>
        <v>80.272000000000048</v>
      </c>
      <c r="AT35" s="90">
        <f t="shared" si="43"/>
        <v>992.27200000000005</v>
      </c>
      <c r="AU35" s="90">
        <f t="shared" si="44"/>
        <v>283</v>
      </c>
      <c r="AV35" s="90">
        <f t="shared" si="66"/>
        <v>14</v>
      </c>
      <c r="AW35" s="90">
        <f t="shared" si="45"/>
        <v>629</v>
      </c>
      <c r="AX35" s="90">
        <f t="shared" si="67"/>
        <v>5</v>
      </c>
      <c r="AY35" s="90" t="str">
        <f t="shared" si="46"/>
        <v/>
      </c>
      <c r="AZ35" s="90">
        <f t="shared" si="47"/>
        <v>383</v>
      </c>
      <c r="BA35" s="90">
        <v>22</v>
      </c>
      <c r="BB35" s="90">
        <f t="shared" si="48"/>
        <v>89</v>
      </c>
      <c r="BC35" s="90">
        <f t="shared" si="48"/>
        <v>0</v>
      </c>
      <c r="BD35" s="91">
        <f t="shared" si="49"/>
        <v>383</v>
      </c>
      <c r="BE35" s="90"/>
      <c r="BF35" s="90"/>
      <c r="BG35" s="90">
        <f t="shared" si="6"/>
        <v>855</v>
      </c>
      <c r="BH35" s="90">
        <f t="shared" si="50"/>
        <v>-463</v>
      </c>
      <c r="BI35" s="90">
        <f t="shared" si="51"/>
        <v>1956.9279999999999</v>
      </c>
      <c r="BJ35" s="90">
        <f t="shared" si="7"/>
        <v>4580.0720000000001</v>
      </c>
      <c r="BK35" s="92"/>
      <c r="BL35" s="93">
        <f t="shared" si="52"/>
        <v>6074</v>
      </c>
      <c r="BM35" s="93">
        <f t="shared" si="53"/>
        <v>201701</v>
      </c>
      <c r="BN35" s="92"/>
      <c r="BO35" s="94">
        <f t="shared" si="54"/>
        <v>0.23275336367402738</v>
      </c>
      <c r="BP35" s="94">
        <f t="shared" si="54"/>
        <v>4.3943835061656375E-2</v>
      </c>
      <c r="BQ35" s="94">
        <f t="shared" si="55"/>
        <v>0.31586183139656671</v>
      </c>
      <c r="BR35" s="94">
        <f t="shared" si="68"/>
        <v>0.86398048595798971</v>
      </c>
      <c r="BS35" s="94">
        <f t="shared" si="77"/>
        <v>0</v>
      </c>
      <c r="BT35" s="94">
        <f t="shared" si="77"/>
        <v>9.4466831869831902E-2</v>
      </c>
      <c r="BU35" s="95">
        <f t="shared" si="77"/>
        <v>1.4566015836538868</v>
      </c>
      <c r="BV35" s="94">
        <f t="shared" si="9"/>
        <v>0.1801735532562154</v>
      </c>
      <c r="BW35" s="94">
        <f t="shared" si="9"/>
        <v>3.4016766854773464E-2</v>
      </c>
      <c r="BX35" s="94">
        <f t="shared" si="9"/>
        <v>0.24450752333890136</v>
      </c>
      <c r="BY35" s="94">
        <f t="shared" si="56"/>
        <v>0.66880422968707154</v>
      </c>
      <c r="BZ35" s="95">
        <f t="shared" si="10"/>
        <v>1.1275501194178301</v>
      </c>
      <c r="CA35" s="96" t="e">
        <f>#REF!</f>
        <v>#REF!</v>
      </c>
      <c r="CB35" s="94">
        <f t="shared" si="11"/>
        <v>2.3192900700757413E-2</v>
      </c>
      <c r="CC35" s="95">
        <f t="shared" si="11"/>
        <v>3.8567710578621142E-2</v>
      </c>
      <c r="CD35" s="97">
        <f t="shared" si="12"/>
        <v>5.2222185319737012E-2</v>
      </c>
      <c r="CE35" s="98">
        <f t="shared" si="12"/>
        <v>8.6840803363977717E-2</v>
      </c>
      <c r="CF35" s="94">
        <f t="shared" si="57"/>
        <v>0.54448764714528131</v>
      </c>
      <c r="CG35" s="94">
        <f t="shared" si="57"/>
        <v>0.10689328042115953</v>
      </c>
      <c r="CH35" s="95">
        <f t="shared" si="58"/>
        <v>1.3862722304619126</v>
      </c>
      <c r="CI35" s="96" t="e">
        <f>#REF!</f>
        <v>#REF!</v>
      </c>
      <c r="CJ35" s="94">
        <f t="shared" si="59"/>
        <v>0.64005069708491757</v>
      </c>
      <c r="CK35" s="94">
        <f t="shared" si="59"/>
        <v>0.12357414448669202</v>
      </c>
      <c r="CL35" s="95">
        <f t="shared" si="69"/>
        <v>0.95690747782002539</v>
      </c>
      <c r="CM35" s="95" t="e">
        <f>#REF!</f>
        <v>#REF!</v>
      </c>
      <c r="CN35" s="94">
        <f t="shared" si="60"/>
        <v>1.0621282551107112</v>
      </c>
      <c r="CO35" s="94">
        <f t="shared" si="60"/>
        <v>0.20305393112410655</v>
      </c>
      <c r="CP35" s="95">
        <f t="shared" si="61"/>
        <v>1.5697630829209774</v>
      </c>
      <c r="CQ35" s="95" t="e">
        <f>#REF!</f>
        <v>#REF!</v>
      </c>
      <c r="CR35" s="97">
        <f t="shared" si="70"/>
        <v>0.34563207465652812</v>
      </c>
      <c r="CS35" s="95">
        <f t="shared" si="70"/>
        <v>0.51460775559971972</v>
      </c>
      <c r="CT35" s="96" t="e">
        <f>#REF!</f>
        <v>#REF!</v>
      </c>
      <c r="CU35" s="97">
        <f t="shared" si="71"/>
        <v>3.7523342646071073E-2</v>
      </c>
      <c r="CV35" s="95">
        <f t="shared" si="62"/>
        <v>5.4200383822102662E-2</v>
      </c>
      <c r="CW35" s="96" t="e">
        <f>#REF!</f>
        <v>#REF!</v>
      </c>
      <c r="CX35" s="99">
        <f t="shared" si="63"/>
        <v>0.13597097485735721</v>
      </c>
      <c r="CY35" s="95">
        <f t="shared" si="63"/>
        <v>6.7264793215653746E-3</v>
      </c>
      <c r="CZ35" s="99">
        <f t="shared" si="63"/>
        <v>0.3022111066617586</v>
      </c>
      <c r="DA35" s="95">
        <f t="shared" si="63"/>
        <v>2.4023140434162051E-3</v>
      </c>
      <c r="DB35" s="94">
        <f t="shared" si="13"/>
        <v>0.18401725572568134</v>
      </c>
      <c r="DC35" s="94">
        <f t="shared" si="14"/>
        <v>4.276118997280845E-2</v>
      </c>
      <c r="DD35" s="94">
        <f t="shared" si="14"/>
        <v>0</v>
      </c>
      <c r="DE35" s="94">
        <f t="shared" si="14"/>
        <v>0.18401725572568134</v>
      </c>
      <c r="DF35" s="94">
        <f t="shared" si="14"/>
        <v>0</v>
      </c>
      <c r="DG35" s="94">
        <f t="shared" si="14"/>
        <v>0</v>
      </c>
      <c r="DH35" s="95">
        <f t="shared" si="14"/>
        <v>0.4107957014241711</v>
      </c>
      <c r="DI35" s="96" t="e">
        <f>#REF!</f>
        <v>#REF!</v>
      </c>
      <c r="DJ35" s="95">
        <f t="shared" si="64"/>
        <v>-0.2224542804203406</v>
      </c>
      <c r="DK35" s="96" t="e">
        <f>#REF!</f>
        <v>#REF!</v>
      </c>
      <c r="DL35" s="95">
        <f t="shared" si="15"/>
        <v>0.94023112327087754</v>
      </c>
      <c r="DM35" s="96">
        <f t="shared" si="16"/>
        <v>0</v>
      </c>
      <c r="DN35" s="94">
        <f t="shared" si="17"/>
        <v>2.2005542570914689</v>
      </c>
      <c r="DO35" s="100">
        <v>3.4</v>
      </c>
      <c r="DP35" s="94">
        <f>IF($O35&lt;&gt;0,IF($O35&lt;&gt;0,BL35/$O35*10,0)," ")</f>
        <v>2.918331099942006</v>
      </c>
      <c r="DQ35" s="94">
        <f>IF($P35&lt;&gt;0,IF($P35&lt;&gt;0,BM35/$P35*10,0)," ")</f>
        <v>3.4955417731184135</v>
      </c>
      <c r="DR35" s="101" t="str">
        <f t="shared" si="18"/>
        <v>3,30 hL/NhL</v>
      </c>
      <c r="DS35" s="173"/>
      <c r="DT35" s="134">
        <v>30</v>
      </c>
      <c r="DU35" s="76">
        <v>612161</v>
      </c>
      <c r="DV35" s="76">
        <v>23724</v>
      </c>
      <c r="DW35" s="76">
        <v>5102629</v>
      </c>
      <c r="DX35" s="76">
        <v>105343</v>
      </c>
      <c r="DY35" s="76">
        <v>81657</v>
      </c>
      <c r="DZ35" s="76">
        <v>371078</v>
      </c>
      <c r="EA35" s="77">
        <v>214801</v>
      </c>
      <c r="EB35" s="77">
        <v>49880</v>
      </c>
      <c r="EC35" s="77">
        <v>377445</v>
      </c>
      <c r="ED35" s="76">
        <v>45119</v>
      </c>
      <c r="EE35" s="77">
        <v>36776</v>
      </c>
      <c r="EF35" s="77">
        <v>38731</v>
      </c>
      <c r="EG35" s="76">
        <v>89542</v>
      </c>
      <c r="EH35" s="76">
        <v>176482</v>
      </c>
      <c r="EI35" s="76">
        <v>29623</v>
      </c>
      <c r="EJ35" s="77">
        <v>38044</v>
      </c>
      <c r="EK35" s="77"/>
      <c r="EL35" s="76">
        <v>682884</v>
      </c>
      <c r="EM35" s="76">
        <v>5089</v>
      </c>
      <c r="EN35" s="77">
        <v>40508</v>
      </c>
      <c r="EO35" s="76">
        <v>2886296</v>
      </c>
      <c r="EP35" s="77">
        <v>2754090</v>
      </c>
      <c r="EQ35" s="77">
        <v>0</v>
      </c>
      <c r="ER35" s="77">
        <v>1522</v>
      </c>
      <c r="ES35" s="77">
        <v>294354</v>
      </c>
      <c r="ET35" s="77">
        <v>2902571</v>
      </c>
      <c r="EU35" s="77">
        <v>384233</v>
      </c>
      <c r="EV35" s="77">
        <v>116216</v>
      </c>
      <c r="EW35" s="77">
        <v>78445</v>
      </c>
      <c r="EX35" s="76">
        <v>199167</v>
      </c>
      <c r="EY35" s="76">
        <v>1581769</v>
      </c>
      <c r="EZ35" s="149">
        <v>714545</v>
      </c>
      <c r="FA35" s="149">
        <v>725988</v>
      </c>
      <c r="FB35" s="151">
        <v>30385</v>
      </c>
      <c r="FC35" s="149">
        <v>6537</v>
      </c>
      <c r="FD35" s="104">
        <f>SUM(FE35:FM35)</f>
        <v>6074</v>
      </c>
      <c r="FE35" s="105">
        <f t="shared" si="78"/>
        <v>0</v>
      </c>
      <c r="FF35" s="105">
        <f t="shared" si="78"/>
        <v>683</v>
      </c>
      <c r="FG35" s="105">
        <f t="shared" si="78"/>
        <v>320</v>
      </c>
      <c r="FH35" s="105">
        <f t="shared" si="78"/>
        <v>2107</v>
      </c>
      <c r="FI35" s="105">
        <f t="shared" si="78"/>
        <v>583</v>
      </c>
      <c r="FJ35" s="105">
        <f t="shared" si="78"/>
        <v>831</v>
      </c>
      <c r="FK35" s="105">
        <f t="shared" si="78"/>
        <v>0</v>
      </c>
      <c r="FL35" s="105">
        <f t="shared" si="78"/>
        <v>1550</v>
      </c>
      <c r="FM35" s="105">
        <f t="shared" si="78"/>
        <v>0</v>
      </c>
      <c r="FN35" s="80">
        <f t="shared" si="74"/>
        <v>0</v>
      </c>
      <c r="FO35" s="77"/>
      <c r="FP35" s="189"/>
      <c r="FY35" s="119">
        <v>30</v>
      </c>
      <c r="FZ35" s="190"/>
      <c r="GA35" s="192"/>
      <c r="GB35" s="190"/>
      <c r="GC35" s="109"/>
      <c r="GD35" s="110"/>
      <c r="GE35" s="110"/>
      <c r="GF35" s="111"/>
      <c r="GG35" s="111"/>
      <c r="GH35" s="111"/>
      <c r="GI35" s="112"/>
      <c r="GJ35" s="111" t="e">
        <f t="shared" si="65"/>
        <v>#DIV/0!</v>
      </c>
      <c r="GK35" s="113"/>
    </row>
    <row r="36" spans="1:193" s="119" customFormat="1" ht="15" customHeight="1">
      <c r="B36" s="573">
        <v>42825</v>
      </c>
      <c r="D36" s="85">
        <v>5377.5599999999995</v>
      </c>
      <c r="E36" s="85">
        <v>5142.84</v>
      </c>
      <c r="F36" s="85">
        <v>1036.8</v>
      </c>
      <c r="G36" s="85">
        <v>7625.6130000000003</v>
      </c>
      <c r="H36" s="85">
        <v>7172.9880000000003</v>
      </c>
      <c r="I36" s="85">
        <v>2343.2280000000001</v>
      </c>
      <c r="J36" s="85">
        <v>9312.9959999999992</v>
      </c>
      <c r="K36" s="167">
        <v>12.342000000000001</v>
      </c>
      <c r="L36" s="167"/>
      <c r="M36" s="115">
        <f t="shared" si="21"/>
        <v>11656.223999999998</v>
      </c>
      <c r="N36" s="88">
        <f t="shared" si="0"/>
        <v>26355.800999999999</v>
      </c>
      <c r="O36" s="88">
        <f t="shared" si="22"/>
        <v>32183.913</v>
      </c>
      <c r="P36" s="89">
        <f t="shared" si="23"/>
        <v>609207.48499999987</v>
      </c>
      <c r="R36" s="90">
        <f t="shared" si="24"/>
        <v>219</v>
      </c>
      <c r="S36" s="90">
        <f t="shared" si="25"/>
        <v>125.2</v>
      </c>
      <c r="T36" s="90">
        <f t="shared" si="1"/>
        <v>46</v>
      </c>
      <c r="U36" s="90">
        <f>IF(FB36=0,"",((EN36-EN35)/10))</f>
        <v>4.4000000000000004</v>
      </c>
      <c r="V36" s="90">
        <f t="shared" si="26"/>
        <v>1726</v>
      </c>
      <c r="W36" s="91">
        <f t="shared" si="2"/>
        <v>1206.3</v>
      </c>
      <c r="X36" s="90">
        <f t="shared" si="27"/>
        <v>1726</v>
      </c>
      <c r="Y36" s="90">
        <f t="shared" si="28"/>
        <v>19.399999999999999</v>
      </c>
      <c r="Z36" s="90">
        <f t="shared" si="3"/>
        <v>166.1</v>
      </c>
      <c r="AA36" s="90">
        <f t="shared" si="29"/>
        <v>2120.6</v>
      </c>
      <c r="AB36" s="90">
        <f t="shared" si="30"/>
        <v>222</v>
      </c>
      <c r="AC36" s="90">
        <f t="shared" si="30"/>
        <v>38</v>
      </c>
      <c r="AD36" s="90">
        <f>(IF(SUM(AB36:AC36)&gt;=(DW36-DW35),(SUM(AB36:AC36)),(DW36-DW35)))</f>
        <v>465</v>
      </c>
      <c r="AE36" s="90">
        <f t="shared" si="32"/>
        <v>205</v>
      </c>
      <c r="AF36" s="90">
        <f t="shared" si="33"/>
        <v>231</v>
      </c>
      <c r="AG36" s="90">
        <f t="shared" si="33"/>
        <v>73</v>
      </c>
      <c r="AH36" s="90">
        <f t="shared" si="34"/>
        <v>387</v>
      </c>
      <c r="AI36" s="90">
        <f t="shared" si="35"/>
        <v>83</v>
      </c>
      <c r="AJ36" s="90">
        <f>IF(EA36=0,"",(EA36-EA35))</f>
        <v>130</v>
      </c>
      <c r="AK36" s="90">
        <f>IF(EB36=0,"",(EB36-EB35))</f>
        <v>62</v>
      </c>
      <c r="AL36" s="90">
        <f t="shared" si="37"/>
        <v>323</v>
      </c>
      <c r="AM36" s="90">
        <f t="shared" si="38"/>
        <v>131</v>
      </c>
      <c r="AN36" s="90">
        <f t="shared" si="39"/>
        <v>46</v>
      </c>
      <c r="AO36" s="90">
        <f t="shared" si="4"/>
        <v>129</v>
      </c>
      <c r="AP36" s="90">
        <f t="shared" si="40"/>
        <v>23</v>
      </c>
      <c r="AQ36" s="90">
        <f t="shared" si="5"/>
        <v>42</v>
      </c>
      <c r="AR36" s="90">
        <f t="shared" si="41"/>
        <v>56.517000000000003</v>
      </c>
      <c r="AS36" s="90">
        <f t="shared" si="42"/>
        <v>116.51700000000005</v>
      </c>
      <c r="AT36" s="90">
        <f t="shared" si="43"/>
        <v>1047.5170000000001</v>
      </c>
      <c r="AU36" s="90">
        <f t="shared" si="44"/>
        <v>259</v>
      </c>
      <c r="AV36" s="90">
        <f t="shared" si="66"/>
        <v>14</v>
      </c>
      <c r="AW36" s="90">
        <f t="shared" si="45"/>
        <v>672</v>
      </c>
      <c r="AX36" s="90">
        <f t="shared" si="67"/>
        <v>10</v>
      </c>
      <c r="AY36" s="90" t="str">
        <f t="shared" si="46"/>
        <v/>
      </c>
      <c r="AZ36" s="90">
        <f t="shared" si="47"/>
        <v>379</v>
      </c>
      <c r="BA36" s="90">
        <v>0</v>
      </c>
      <c r="BB36" s="90">
        <f t="shared" si="48"/>
        <v>111</v>
      </c>
      <c r="BC36" s="90">
        <f t="shared" si="48"/>
        <v>774</v>
      </c>
      <c r="BD36" s="91">
        <f t="shared" si="49"/>
        <v>192</v>
      </c>
      <c r="BE36" s="90"/>
      <c r="BF36" s="90"/>
      <c r="BG36" s="90">
        <f t="shared" si="6"/>
        <v>1456</v>
      </c>
      <c r="BH36" s="90">
        <f t="shared" si="50"/>
        <v>-2416</v>
      </c>
      <c r="BI36" s="90">
        <f t="shared" si="51"/>
        <v>1744.8829999999998</v>
      </c>
      <c r="BJ36" s="90">
        <f t="shared" si="7"/>
        <v>5063.1170000000002</v>
      </c>
      <c r="BK36" s="92"/>
      <c r="BL36" s="93">
        <f t="shared" si="52"/>
        <v>4392</v>
      </c>
      <c r="BM36" s="93">
        <f t="shared" si="53"/>
        <v>206093</v>
      </c>
      <c r="BN36" s="92"/>
      <c r="BO36" s="94">
        <f>IF($N36&lt;&gt;0,IF($N36&lt;&gt;0,R36/$N36*10,0)," ")</f>
        <v>8.3093661239891758E-2</v>
      </c>
      <c r="BP36" s="94">
        <f>IF($N36&lt;&gt;0,IF($N36&lt;&gt;0,S36/$N36*10,0)," ")</f>
        <v>4.7503773457691537E-2</v>
      </c>
      <c r="BQ36" s="94">
        <f t="shared" si="55"/>
        <v>1.7453463091484111E-2</v>
      </c>
      <c r="BR36" s="94">
        <f t="shared" si="68"/>
        <v>0.65488428904133855</v>
      </c>
      <c r="BS36" s="94">
        <f t="shared" si="77"/>
        <v>7.3608083472780812E-3</v>
      </c>
      <c r="BT36" s="94">
        <f t="shared" si="77"/>
        <v>6.3022178684685015E-2</v>
      </c>
      <c r="BU36" s="95">
        <f t="shared" si="77"/>
        <v>0.80460464851741742</v>
      </c>
      <c r="BV36" s="94">
        <f>IF($O36&lt;&gt;0,IF($O36&lt;&gt;0,R36/$O36*10,0)," ")</f>
        <v>6.804641809714064E-2</v>
      </c>
      <c r="BW36" s="94">
        <f>IF($O36&lt;&gt;0,IF($O36&lt;&gt;0,S36/$O36*10,0)," ")</f>
        <v>3.8901422583388162E-2</v>
      </c>
      <c r="BX36" s="94">
        <f>IF($O36&lt;&gt;0,IF($O36&lt;&gt;0,T36/$O36*10,0)," ")</f>
        <v>1.4292854942778399E-2</v>
      </c>
      <c r="BY36" s="94">
        <f t="shared" si="56"/>
        <v>0.53629277459207647</v>
      </c>
      <c r="BZ36" s="95">
        <f t="shared" si="10"/>
        <v>0.65890061286208423</v>
      </c>
      <c r="CA36" s="96" t="e">
        <f>#REF!</f>
        <v>#REF!</v>
      </c>
      <c r="CB36" s="94">
        <f t="shared" si="11"/>
        <v>1.7560636582630584E-2</v>
      </c>
      <c r="CC36" s="95">
        <f t="shared" si="11"/>
        <v>3.6203490855819816E-2</v>
      </c>
      <c r="CD36" s="97">
        <f>IFERROR(AR36*10/($I36+$J36),"")</f>
        <v>4.8486542468641661E-2</v>
      </c>
      <c r="CE36" s="98">
        <f>IFERROR(AS36*10/($I36+$J36),"")</f>
        <v>9.9961188117181063E-2</v>
      </c>
      <c r="CF36" s="94">
        <f t="shared" si="57"/>
        <v>0.41282663512819945</v>
      </c>
      <c r="CG36" s="94">
        <f t="shared" si="57"/>
        <v>7.066401862554765E-2</v>
      </c>
      <c r="CH36" s="95">
        <f t="shared" si="58"/>
        <v>0.86470443844420153</v>
      </c>
      <c r="CI36" s="96" t="e">
        <f>#REF!</f>
        <v>#REF!</v>
      </c>
      <c r="CJ36" s="94">
        <f t="shared" si="59"/>
        <v>0.44916816389387965</v>
      </c>
      <c r="CK36" s="94">
        <f t="shared" si="59"/>
        <v>0.14194491759416974</v>
      </c>
      <c r="CL36" s="95">
        <f t="shared" si="69"/>
        <v>0.75250250834169452</v>
      </c>
      <c r="CM36" s="95" t="e">
        <f>#REF!</f>
        <v>#REF!</v>
      </c>
      <c r="CN36" s="94">
        <f t="shared" si="60"/>
        <v>1.253858024691358</v>
      </c>
      <c r="CO36" s="94">
        <f t="shared" si="60"/>
        <v>0.59799382716049387</v>
      </c>
      <c r="CP36" s="95">
        <f t="shared" si="61"/>
        <v>3.1153549382716053</v>
      </c>
      <c r="CQ36" s="95" t="e">
        <f>#REF!</f>
        <v>#REF!</v>
      </c>
      <c r="CR36" s="97">
        <f t="shared" si="70"/>
        <v>6.03230192772699E-2</v>
      </c>
      <c r="CS36" s="95">
        <f t="shared" si="70"/>
        <v>0.16916672797321342</v>
      </c>
      <c r="CT36" s="96" t="e">
        <f>#REF!</f>
        <v>#REF!</v>
      </c>
      <c r="CU36" s="97">
        <f t="shared" si="71"/>
        <v>3.2064740663165753E-2</v>
      </c>
      <c r="CV36" s="95">
        <f t="shared" si="62"/>
        <v>5.8553004689259204E-2</v>
      </c>
      <c r="CW36" s="96" t="e">
        <f>#REF!</f>
        <v>#REF!</v>
      </c>
      <c r="CX36" s="99">
        <f t="shared" si="63"/>
        <v>8.0474987612600121E-2</v>
      </c>
      <c r="CY36" s="95">
        <f t="shared" si="63"/>
        <v>4.349999330410817E-3</v>
      </c>
      <c r="CZ36" s="99">
        <f t="shared" si="63"/>
        <v>0.20879996785971924</v>
      </c>
      <c r="DA36" s="95">
        <f t="shared" si="63"/>
        <v>3.1071423788648694E-3</v>
      </c>
      <c r="DB36" s="94">
        <f t="shared" si="13"/>
        <v>0.11776069615897855</v>
      </c>
      <c r="DC36" s="94">
        <f t="shared" ref="DC36:DH36" si="79">IF($O36&lt;&gt;0,IF($O36&lt;&gt;0,BB36/$O36*10,0)," ")</f>
        <v>3.4489280405400051E-2</v>
      </c>
      <c r="DD36" s="94">
        <f t="shared" si="79"/>
        <v>0.24049282012414089</v>
      </c>
      <c r="DE36" s="94">
        <f t="shared" si="79"/>
        <v>5.9657133674205498E-2</v>
      </c>
      <c r="DF36" s="94">
        <f t="shared" si="79"/>
        <v>0</v>
      </c>
      <c r="DG36" s="94">
        <f t="shared" si="79"/>
        <v>0</v>
      </c>
      <c r="DH36" s="95">
        <f t="shared" si="79"/>
        <v>0.45239993036272497</v>
      </c>
      <c r="DI36" s="96" t="e">
        <f>#REF!</f>
        <v>#REF!</v>
      </c>
      <c r="DJ36" s="95">
        <f t="shared" si="64"/>
        <v>-0.7506855987337524</v>
      </c>
      <c r="DK36" s="96" t="e">
        <f>#REF!</f>
        <v>#REF!</v>
      </c>
      <c r="DL36" s="95">
        <f t="shared" si="15"/>
        <v>0.54215999154608696</v>
      </c>
      <c r="DM36" s="96">
        <f t="shared" si="16"/>
        <v>0</v>
      </c>
      <c r="DN36" s="94">
        <f t="shared" si="17"/>
        <v>1.5731825399851163</v>
      </c>
      <c r="DO36" s="100">
        <v>3.4</v>
      </c>
      <c r="DP36" s="94">
        <f>IF($O36&lt;&gt;0,IF($O36&lt;&gt;0,BL36/$O36*10,0)," ")</f>
        <v>1.3646569327974505</v>
      </c>
      <c r="DQ36" s="94">
        <f>IF($P36&lt;&gt;0,IF($P36&lt;&gt;0,BM36/$P36*10,0)," ")</f>
        <v>3.3829689403766938</v>
      </c>
      <c r="DR36" s="101"/>
      <c r="DS36" s="173"/>
      <c r="DT36" s="134">
        <v>31</v>
      </c>
      <c r="DU36" s="76">
        <v>612383</v>
      </c>
      <c r="DV36" s="76">
        <v>23762</v>
      </c>
      <c r="DW36" s="76">
        <v>5103094</v>
      </c>
      <c r="DX36" s="76">
        <v>105574</v>
      </c>
      <c r="DY36" s="76">
        <v>81730</v>
      </c>
      <c r="DZ36" s="76">
        <v>371465</v>
      </c>
      <c r="EA36" s="77">
        <v>214931</v>
      </c>
      <c r="EB36" s="77">
        <v>49942</v>
      </c>
      <c r="EC36" s="77">
        <v>377768</v>
      </c>
      <c r="ED36" s="76">
        <v>45165</v>
      </c>
      <c r="EE36" s="77">
        <v>36816</v>
      </c>
      <c r="EF36" s="77">
        <v>38820</v>
      </c>
      <c r="EG36" s="76">
        <v>89565</v>
      </c>
      <c r="EH36" s="76">
        <v>176524</v>
      </c>
      <c r="EI36" s="76">
        <v>29637</v>
      </c>
      <c r="EJ36" s="77">
        <v>38054</v>
      </c>
      <c r="EK36" s="77"/>
      <c r="EL36" s="76">
        <v>683103</v>
      </c>
      <c r="EM36" s="76">
        <v>460</v>
      </c>
      <c r="EN36" s="77">
        <v>40552</v>
      </c>
      <c r="EO36" s="76">
        <v>2888022</v>
      </c>
      <c r="EP36" s="77">
        <v>2766153</v>
      </c>
      <c r="EQ36" s="77">
        <v>194</v>
      </c>
      <c r="ER36" s="77">
        <v>1661</v>
      </c>
      <c r="ES36" s="77">
        <v>295345</v>
      </c>
      <c r="ET36" s="77">
        <v>2959088</v>
      </c>
      <c r="EU36" s="77">
        <v>384905</v>
      </c>
      <c r="EV36" s="77">
        <v>116475</v>
      </c>
      <c r="EW36" s="77">
        <v>78824</v>
      </c>
      <c r="EX36" s="76">
        <v>199278</v>
      </c>
      <c r="EY36" s="76">
        <v>1582543</v>
      </c>
      <c r="EZ36" s="76">
        <v>715797</v>
      </c>
      <c r="FA36" s="76">
        <v>726180</v>
      </c>
      <c r="FB36" s="77">
        <v>30450</v>
      </c>
      <c r="FC36" s="76">
        <v>6808</v>
      </c>
      <c r="FD36" s="104">
        <f>SUM(FE36:FM36)</f>
        <v>4392</v>
      </c>
      <c r="FE36" s="105">
        <f t="shared" si="78"/>
        <v>0</v>
      </c>
      <c r="FF36" s="105">
        <f t="shared" si="78"/>
        <v>467</v>
      </c>
      <c r="FG36" s="105">
        <f t="shared" si="78"/>
        <v>309</v>
      </c>
      <c r="FH36" s="105">
        <f t="shared" si="78"/>
        <v>1604</v>
      </c>
      <c r="FI36" s="105">
        <f t="shared" si="78"/>
        <v>258</v>
      </c>
      <c r="FJ36" s="105">
        <f t="shared" si="78"/>
        <v>652</v>
      </c>
      <c r="FK36" s="105">
        <f t="shared" si="78"/>
        <v>0</v>
      </c>
      <c r="FL36" s="105">
        <f t="shared" si="78"/>
        <v>1102</v>
      </c>
      <c r="FM36" s="105">
        <f t="shared" si="78"/>
        <v>0</v>
      </c>
      <c r="FN36" s="80">
        <f t="shared" si="74"/>
        <v>0</v>
      </c>
      <c r="FO36" s="77"/>
      <c r="FP36" s="189"/>
      <c r="FY36" s="119">
        <v>31</v>
      </c>
      <c r="FZ36" s="190"/>
      <c r="GA36" s="192"/>
      <c r="GB36" s="190"/>
      <c r="GC36" s="109"/>
      <c r="GD36" s="110"/>
      <c r="GE36" s="110"/>
      <c r="GF36" s="111"/>
      <c r="GG36" s="111"/>
      <c r="GH36" s="111"/>
      <c r="GI36" s="164"/>
      <c r="GJ36" s="111" t="e">
        <f t="shared" si="65"/>
        <v>#DIV/0!</v>
      </c>
    </row>
    <row r="37" spans="1:193" s="10" customFormat="1" ht="15" customHeight="1">
      <c r="A37" s="64" t="s">
        <v>127</v>
      </c>
      <c r="B37" s="193" t="s">
        <v>128</v>
      </c>
      <c r="C37" s="194"/>
      <c r="D37" s="196">
        <f>SUM(D6:D36)</f>
        <v>98643</v>
      </c>
      <c r="E37" s="196">
        <f t="shared" ref="E37:M37" si="80">SUM(E6:E36)</f>
        <v>87607.679999999993</v>
      </c>
      <c r="F37" s="196">
        <f t="shared" si="80"/>
        <v>52789.032000000014</v>
      </c>
      <c r="G37" s="196">
        <f t="shared" si="80"/>
        <v>115197.53799999999</v>
      </c>
      <c r="H37" s="196">
        <f t="shared" si="80"/>
        <v>162378.603</v>
      </c>
      <c r="I37" s="196">
        <f t="shared" si="80"/>
        <v>42823.046000000002</v>
      </c>
      <c r="J37" s="196">
        <f t="shared" si="80"/>
        <v>138374.52000000002</v>
      </c>
      <c r="K37" s="196">
        <f t="shared" si="80"/>
        <v>197.23</v>
      </c>
      <c r="L37" s="196">
        <f t="shared" si="80"/>
        <v>1949.6959999999999</v>
      </c>
      <c r="M37" s="197">
        <f t="shared" si="80"/>
        <v>181197.56600000002</v>
      </c>
      <c r="N37" s="198">
        <f>SUM(N6:N36)</f>
        <v>516615.85299999994</v>
      </c>
      <c r="O37" s="199">
        <f>SUM(O6:O36)</f>
        <v>609207.48499999987</v>
      </c>
      <c r="P37" s="200">
        <f>P36</f>
        <v>609207.48499999987</v>
      </c>
      <c r="Q37" s="201">
        <f>SUM(Q6:Q33)</f>
        <v>0</v>
      </c>
      <c r="R37" s="196">
        <f>SUM(R6:R36)</f>
        <v>5488</v>
      </c>
      <c r="S37" s="196">
        <f t="shared" ref="S37:Z37" si="81">SUM(S6:S36)</f>
        <v>1754</v>
      </c>
      <c r="T37" s="196">
        <f t="shared" si="81"/>
        <v>13877.600000000002</v>
      </c>
      <c r="U37" s="196">
        <f t="shared" si="81"/>
        <v>109.79999999999997</v>
      </c>
      <c r="V37" s="196">
        <f t="shared" si="81"/>
        <v>45318</v>
      </c>
      <c r="W37" s="202">
        <f t="shared" si="81"/>
        <v>14713.8</v>
      </c>
      <c r="X37" s="196">
        <f t="shared" si="81"/>
        <v>45318</v>
      </c>
      <c r="Y37" s="196">
        <f t="shared" si="81"/>
        <v>422</v>
      </c>
      <c r="Z37" s="196">
        <f t="shared" si="81"/>
        <v>4482.2000000000007</v>
      </c>
      <c r="AA37" s="203">
        <f>SUM(R37:V37)</f>
        <v>66547.399999999994</v>
      </c>
      <c r="AB37" s="196">
        <f t="shared" ref="AB37:BA37" si="82">SUM(AB6:AB36)</f>
        <v>5673</v>
      </c>
      <c r="AC37" s="196">
        <f t="shared" si="82"/>
        <v>783</v>
      </c>
      <c r="AD37" s="203">
        <f t="shared" si="82"/>
        <v>11034</v>
      </c>
      <c r="AE37" s="203">
        <f t="shared" si="82"/>
        <v>4578</v>
      </c>
      <c r="AF37" s="196">
        <f>SUM(AF6:AF36)</f>
        <v>5339</v>
      </c>
      <c r="AG37" s="196">
        <f>SUM(AG6:AG36)</f>
        <v>1492</v>
      </c>
      <c r="AH37" s="203">
        <f t="shared" si="82"/>
        <v>9275</v>
      </c>
      <c r="AI37" s="203">
        <f t="shared" si="82"/>
        <v>2444</v>
      </c>
      <c r="AJ37" s="196">
        <f t="shared" si="82"/>
        <v>5055</v>
      </c>
      <c r="AK37" s="196">
        <f t="shared" si="82"/>
        <v>2327</v>
      </c>
      <c r="AL37" s="203">
        <f t="shared" si="82"/>
        <v>9651</v>
      </c>
      <c r="AM37" s="203">
        <f t="shared" si="82"/>
        <v>2269</v>
      </c>
      <c r="AN37" s="196">
        <f t="shared" si="82"/>
        <v>1240</v>
      </c>
      <c r="AO37" s="203">
        <f t="shared" si="82"/>
        <v>2075</v>
      </c>
      <c r="AP37" s="196">
        <f t="shared" si="82"/>
        <v>809</v>
      </c>
      <c r="AQ37" s="203">
        <f t="shared" si="82"/>
        <v>1661</v>
      </c>
      <c r="AR37" s="196">
        <f t="shared" si="82"/>
        <v>2230.1529999999998</v>
      </c>
      <c r="AS37" s="203">
        <f t="shared" si="82"/>
        <v>4097.1530000000002</v>
      </c>
      <c r="AT37" s="203">
        <f t="shared" si="82"/>
        <v>23244.152999999998</v>
      </c>
      <c r="AU37" s="204">
        <f t="shared" si="82"/>
        <v>6496</v>
      </c>
      <c r="AV37" s="203">
        <f t="shared" si="82"/>
        <v>1448</v>
      </c>
      <c r="AW37" s="204">
        <f t="shared" si="82"/>
        <v>12651</v>
      </c>
      <c r="AX37" s="203">
        <f t="shared" si="82"/>
        <v>2034</v>
      </c>
      <c r="AY37" s="203">
        <f t="shared" si="82"/>
        <v>0</v>
      </c>
      <c r="AZ37" s="196">
        <f t="shared" si="82"/>
        <v>11410</v>
      </c>
      <c r="BA37" s="196">
        <f t="shared" si="82"/>
        <v>1401</v>
      </c>
      <c r="BB37" s="196">
        <f>SUM(BB6:BB35)</f>
        <v>3028</v>
      </c>
      <c r="BC37" s="196">
        <f t="shared" ref="BC37:BJ37" si="83">SUM(BC6:BC36)</f>
        <v>21462</v>
      </c>
      <c r="BD37" s="202">
        <f t="shared" si="83"/>
        <v>7666</v>
      </c>
      <c r="BE37" s="196">
        <f t="shared" si="83"/>
        <v>0</v>
      </c>
      <c r="BF37" s="196">
        <f t="shared" si="83"/>
        <v>0</v>
      </c>
      <c r="BG37" s="203">
        <f t="shared" si="83"/>
        <v>43677</v>
      </c>
      <c r="BH37" s="203">
        <f t="shared" si="83"/>
        <v>8027</v>
      </c>
      <c r="BI37" s="196">
        <f t="shared" si="83"/>
        <v>46566.446999999986</v>
      </c>
      <c r="BJ37" s="196">
        <f t="shared" si="83"/>
        <v>151499.55299999999</v>
      </c>
      <c r="BK37" s="205"/>
      <c r="BL37" s="196">
        <f>SUM(BL6:BL36)-235.6</f>
        <v>205857.4</v>
      </c>
      <c r="BM37" s="196">
        <f>BM36</f>
        <v>206093</v>
      </c>
      <c r="BN37" s="205"/>
      <c r="BO37" s="94">
        <f>IF($N37&lt;&gt;0,IF($N37&lt;&gt;0,R37/$N37*10,0)," ")</f>
        <v>0.10622980243697634</v>
      </c>
      <c r="BP37" s="206">
        <f>S37/$N$37/0.1</f>
        <v>3.3951726216191046E-2</v>
      </c>
      <c r="BQ37" s="94">
        <f>IF($N37&lt;&gt;0,IF($N37&lt;&gt;0,T37/$N37*10,0)," ")</f>
        <v>0.26862512869886718</v>
      </c>
      <c r="BR37" s="94">
        <f>IF($N37&lt;&gt;0,IF($N37&lt;&gt;0,(V37)/$N37*10,0)," ")</f>
        <v>0.8772088532869704</v>
      </c>
      <c r="BS37" s="206">
        <f>IF($N37&lt;&gt;0,IF($N37&lt;&gt;0,Y37/$N37*10,0)," ")</f>
        <v>8.1685453040094783E-3</v>
      </c>
      <c r="BT37" s="206">
        <f>IF($N37&lt;&gt;0,IF($N37&lt;&gt;0,Z37/$N37*10,0)," ")</f>
        <v>8.6760790904339538E-2</v>
      </c>
      <c r="BU37" s="207">
        <f>IF($N37&lt;&gt;0,IF($N37&lt;&gt;0,AA37/$N37*10,0)," ")</f>
        <v>1.2881408809574413</v>
      </c>
      <c r="BV37" s="206">
        <f>R37/$O$37/0.1</f>
        <v>9.0084251016712316E-2</v>
      </c>
      <c r="BW37" s="206">
        <f>S37/$O$37/0.1</f>
        <v>2.8791504424802009E-2</v>
      </c>
      <c r="BX37" s="206">
        <f>(T37+U37)/$O$37/0.1</f>
        <v>0.22959993671121759</v>
      </c>
      <c r="BY37" s="206">
        <f>(V37)/$O$37/0.1</f>
        <v>0.74388449117626987</v>
      </c>
      <c r="BZ37" s="198">
        <f>AA37/$O$37/0.1</f>
        <v>1.0923601833290015</v>
      </c>
      <c r="CA37" s="208" t="e">
        <f>#REF!</f>
        <v>#REF!</v>
      </c>
      <c r="CB37" s="209">
        <f>IF($O37&lt;&gt;0,IF($O37&lt;&gt;0,AR37/$O37*10,0)," ")</f>
        <v>3.6607445819547016E-2</v>
      </c>
      <c r="CC37" s="210">
        <f>IF($O37&lt;&gt;0,IF($O37&lt;&gt;0,AS37/$O37*10,0)," ")</f>
        <v>6.7253819115502184E-2</v>
      </c>
      <c r="CD37" s="211">
        <f>IFERROR(AR37*10/($I37+$J37),"")</f>
        <v>0.12307852965309697</v>
      </c>
      <c r="CE37" s="212">
        <f>IFERROR(AS37*10/(($I37+$J37)),"")</f>
        <v>0.22611523379955331</v>
      </c>
      <c r="CF37" s="206">
        <f>AB37/$D$37/0.1</f>
        <v>0.57510416349867699</v>
      </c>
      <c r="CG37" s="206">
        <f>AC37/$D$37/0.1</f>
        <v>7.9377147896961764E-2</v>
      </c>
      <c r="CH37" s="198">
        <f>AD37/$D$37/0.1</f>
        <v>1.1185791186399441</v>
      </c>
      <c r="CI37" s="208" t="e">
        <f>#REF!</f>
        <v>#REF!</v>
      </c>
      <c r="CJ37" s="206">
        <f>AF37/$E$37/0.1</f>
        <v>0.60942145711426221</v>
      </c>
      <c r="CK37" s="206">
        <f>AG37/$E$37/0.1</f>
        <v>0.17030470387984251</v>
      </c>
      <c r="CL37" s="198">
        <f>AH37/$E$37/0.1</f>
        <v>1.058697137054651</v>
      </c>
      <c r="CM37" s="95" t="e">
        <f>#REF!</f>
        <v>#REF!</v>
      </c>
      <c r="CN37" s="206">
        <f>AJ37/$F$37/0.1</f>
        <v>0.9575852802150262</v>
      </c>
      <c r="CO37" s="206">
        <f>AK37/$F$37/0.1</f>
        <v>0.44081126549166488</v>
      </c>
      <c r="CP37" s="198">
        <f>AL37/$F$37/0.1</f>
        <v>1.8282206803867889</v>
      </c>
      <c r="CQ37" s="213" t="e">
        <f>#REF!</f>
        <v>#REF!</v>
      </c>
      <c r="CR37" s="214">
        <f>AN37/$G$37/0.1</f>
        <v>0.10764118934555703</v>
      </c>
      <c r="CS37" s="198">
        <f>AO37/$G$37/0.1</f>
        <v>0.18012537733228293</v>
      </c>
      <c r="CT37" s="208" t="e">
        <f>#REF!</f>
        <v>#REF!</v>
      </c>
      <c r="CU37" s="214">
        <f>AP37/$H$37/0.1</f>
        <v>4.9821835208177026E-2</v>
      </c>
      <c r="CV37" s="198">
        <f>AQ37/$H$37/0.1</f>
        <v>0.10229180257204208</v>
      </c>
      <c r="CW37" s="96" t="e">
        <f>#REF!</f>
        <v>#REF!</v>
      </c>
      <c r="CX37" s="99">
        <f t="shared" si="63"/>
        <v>0.1066303379381493</v>
      </c>
      <c r="CY37" s="95">
        <f t="shared" si="63"/>
        <v>2.376858518079436E-2</v>
      </c>
      <c r="CZ37" s="99">
        <f t="shared" si="63"/>
        <v>0.2076632397252966</v>
      </c>
      <c r="DA37" s="198">
        <f>IF($O37&lt;&gt;0,IF($O37&lt;&gt;0,AX37/$O37*10,0)," ")</f>
        <v>3.3387639680756719E-2</v>
      </c>
      <c r="DB37" s="206">
        <f>AZ37/$O$37/0.1</f>
        <v>0.18729251168015446</v>
      </c>
      <c r="DC37" s="206">
        <f t="shared" ref="DC37:DH37" si="84">BB37/$O$37/0.1</f>
        <v>4.9703919839395941E-2</v>
      </c>
      <c r="DD37" s="215">
        <f t="shared" si="84"/>
        <v>0.35229376736892859</v>
      </c>
      <c r="DE37" s="215">
        <f t="shared" si="84"/>
        <v>0.12583561740053145</v>
      </c>
      <c r="DF37" s="215">
        <f t="shared" si="84"/>
        <v>0</v>
      </c>
      <c r="DG37" s="215">
        <f t="shared" si="84"/>
        <v>0</v>
      </c>
      <c r="DH37" s="216">
        <f t="shared" si="84"/>
        <v>0.71694785562262109</v>
      </c>
      <c r="DI37" s="217" t="e">
        <f>#REF!</f>
        <v>#REF!</v>
      </c>
      <c r="DJ37" s="216">
        <f>BH37/$O$37/0.1</f>
        <v>0.13176134892695879</v>
      </c>
      <c r="DK37" s="217" t="e">
        <f>#REF!</f>
        <v>#REF!</v>
      </c>
      <c r="DL37" s="213">
        <f>BI37/$O$37/0.1</f>
        <v>0.76437746000445139</v>
      </c>
      <c r="DM37" s="96">
        <f t="shared" si="16"/>
        <v>0</v>
      </c>
      <c r="DN37" s="206">
        <f>BJ37/$O$37/0.1</f>
        <v>2.4868301314452825</v>
      </c>
      <c r="DO37" s="100">
        <v>3.4</v>
      </c>
      <c r="DP37" s="209">
        <f>BL37/$O$37/0.1</f>
        <v>3.3791016208541826</v>
      </c>
      <c r="DQ37" s="218" t="str">
        <f>IF($Q37&lt;&gt;0,IF($Q37&lt;&gt;0,BM37/$Q37*10,0)," ")</f>
        <v xml:space="preserve"> </v>
      </c>
      <c r="DR37" s="101" t="e">
        <f>#REF!</f>
        <v>#REF!</v>
      </c>
      <c r="DS37" s="64"/>
      <c r="DT37" s="64"/>
      <c r="DU37" s="219"/>
      <c r="DV37" s="219"/>
      <c r="DW37" s="219"/>
      <c r="DX37" s="219"/>
      <c r="DY37" s="219"/>
      <c r="DZ37" s="219"/>
      <c r="EA37" s="219"/>
      <c r="EB37" s="220"/>
      <c r="EC37" s="219"/>
      <c r="ED37" s="219"/>
      <c r="EE37" s="219"/>
      <c r="EF37" s="219"/>
      <c r="EG37" s="219"/>
      <c r="EH37" s="219"/>
      <c r="EI37" s="219"/>
      <c r="EJ37" s="220"/>
      <c r="EK37" s="220"/>
      <c r="EL37" s="219"/>
      <c r="EM37" s="219"/>
      <c r="EN37" s="220"/>
      <c r="EO37" s="219"/>
      <c r="EP37" s="220"/>
      <c r="EQ37" s="220"/>
      <c r="ER37" s="220"/>
      <c r="ES37" s="220"/>
      <c r="ET37" s="220"/>
      <c r="EU37" s="220"/>
      <c r="EV37" s="220"/>
      <c r="EW37" s="220"/>
      <c r="EX37" s="219"/>
      <c r="EY37" s="219"/>
      <c r="EZ37" s="219"/>
      <c r="FA37" s="219"/>
      <c r="FB37" s="219"/>
      <c r="FC37" s="219"/>
      <c r="FD37" s="220"/>
      <c r="FE37" s="574" t="s">
        <v>129</v>
      </c>
      <c r="FF37" s="575"/>
      <c r="FG37" s="575"/>
      <c r="FH37" s="575"/>
      <c r="FI37" s="575"/>
      <c r="FJ37" s="575"/>
      <c r="FK37" s="575"/>
      <c r="FL37" s="575"/>
      <c r="FM37" s="576"/>
      <c r="FN37" s="220"/>
      <c r="FO37" s="220"/>
      <c r="FP37" s="64"/>
      <c r="FQ37" s="64"/>
      <c r="FR37" s="64"/>
      <c r="FS37" s="64"/>
      <c r="FT37" s="64"/>
      <c r="FU37" s="64"/>
      <c r="FV37" s="64"/>
      <c r="FW37" s="64"/>
      <c r="FX37" s="64"/>
      <c r="FY37" s="64"/>
      <c r="FZ37" s="221">
        <f>SUM(FZ6:FZ36)</f>
        <v>0</v>
      </c>
      <c r="GA37" s="221">
        <f t="shared" ref="GA37:GI37" si="85">SUM(GA6:GA36)</f>
        <v>0</v>
      </c>
      <c r="GB37" s="221">
        <f t="shared" si="85"/>
        <v>0</v>
      </c>
      <c r="GC37" s="221">
        <f t="shared" si="85"/>
        <v>0</v>
      </c>
      <c r="GD37" s="221">
        <f t="shared" si="85"/>
        <v>0</v>
      </c>
      <c r="GE37" s="221">
        <f t="shared" si="85"/>
        <v>0</v>
      </c>
      <c r="GF37" s="221">
        <f t="shared" si="85"/>
        <v>0</v>
      </c>
      <c r="GG37" s="221">
        <f t="shared" si="85"/>
        <v>0</v>
      </c>
      <c r="GH37" s="221">
        <f t="shared" si="85"/>
        <v>0</v>
      </c>
      <c r="GI37" s="221">
        <f t="shared" si="85"/>
        <v>0</v>
      </c>
      <c r="GJ37" s="111" t="e">
        <f t="shared" si="65"/>
        <v>#DIV/0!</v>
      </c>
      <c r="GK37" s="222"/>
    </row>
    <row r="38" spans="1:193" s="10" customFormat="1">
      <c r="A38" s="64"/>
      <c r="B38" s="223" t="s">
        <v>130</v>
      </c>
      <c r="C38" s="64"/>
      <c r="F38" s="224"/>
      <c r="G38" s="224"/>
      <c r="M38" s="226"/>
      <c r="N38" s="227"/>
      <c r="O38" s="227"/>
      <c r="P38" s="102"/>
      <c r="Q38" s="64"/>
      <c r="R38" s="228"/>
      <c r="S38" s="228"/>
      <c r="T38" s="228"/>
      <c r="U38" s="228"/>
      <c r="V38" s="229"/>
      <c r="W38" s="229"/>
      <c r="X38" s="229"/>
      <c r="Y38" s="229"/>
      <c r="Z38" s="229"/>
      <c r="AA38" s="230"/>
      <c r="AB38" s="152"/>
      <c r="AC38" s="152"/>
      <c r="AD38" s="153"/>
      <c r="AE38" s="231"/>
      <c r="AF38" s="152"/>
      <c r="AG38" s="152"/>
      <c r="AH38" s="152"/>
      <c r="AI38" s="231"/>
      <c r="AJ38" s="152"/>
      <c r="AK38" s="152"/>
      <c r="AL38" s="152"/>
      <c r="AM38" s="231"/>
      <c r="AN38" s="152"/>
      <c r="AO38" s="231"/>
      <c r="AP38" s="152"/>
      <c r="AQ38" s="231"/>
      <c r="AR38" s="232"/>
      <c r="AS38" s="230"/>
      <c r="AT38" s="230"/>
      <c r="AU38" s="232"/>
      <c r="AV38" s="152"/>
      <c r="AW38" s="232"/>
      <c r="AX38" s="152"/>
      <c r="AY38" s="152"/>
      <c r="AZ38" s="152"/>
      <c r="BA38" s="152"/>
      <c r="BB38" s="152"/>
      <c r="BC38" s="152"/>
      <c r="BD38" s="228"/>
      <c r="BE38" s="228"/>
      <c r="BF38" s="228"/>
      <c r="BG38" s="152"/>
      <c r="BH38" s="152"/>
      <c r="BI38" s="233"/>
      <c r="BJ38" s="233"/>
      <c r="BK38" s="234"/>
      <c r="BL38" s="235" t="s">
        <v>190</v>
      </c>
      <c r="BM38" s="233"/>
      <c r="BN38" s="234"/>
      <c r="BO38" s="178"/>
      <c r="BP38" s="178"/>
      <c r="BQ38" s="178"/>
      <c r="BR38" s="178"/>
      <c r="BS38" s="178"/>
      <c r="BT38" s="178"/>
      <c r="BU38" s="178"/>
      <c r="BV38" s="178"/>
      <c r="BW38" s="178"/>
      <c r="BX38" s="178"/>
      <c r="BY38" s="178"/>
      <c r="BZ38" s="64"/>
      <c r="CA38" s="236"/>
      <c r="CB38" s="236"/>
      <c r="CC38" s="236"/>
      <c r="CD38" s="236"/>
      <c r="CE38" s="236"/>
      <c r="CF38" s="237"/>
      <c r="CG38" s="237"/>
      <c r="CH38" s="64"/>
      <c r="CI38" s="236"/>
      <c r="CJ38" s="236"/>
      <c r="CK38" s="236"/>
      <c r="CL38" s="236"/>
      <c r="CM38" s="236"/>
      <c r="CN38" s="236"/>
      <c r="CO38" s="236"/>
      <c r="CP38" s="236"/>
      <c r="CQ38" s="236"/>
      <c r="CR38" s="64"/>
      <c r="CS38" s="238"/>
      <c r="CT38" s="236"/>
      <c r="CU38" s="236"/>
      <c r="CV38" s="239"/>
      <c r="CW38" s="236"/>
      <c r="CX38" s="236"/>
      <c r="CY38" s="236"/>
      <c r="CZ38" s="236"/>
      <c r="DA38" s="236"/>
      <c r="DB38" s="64"/>
      <c r="DC38" s="64"/>
      <c r="DD38" s="64"/>
      <c r="DE38" s="64"/>
      <c r="DF38" s="64"/>
      <c r="DG38" s="64"/>
      <c r="DH38" s="240"/>
      <c r="DI38" s="236"/>
      <c r="DJ38" s="241"/>
      <c r="DK38" s="242"/>
      <c r="DL38" s="243"/>
      <c r="DM38" s="242"/>
      <c r="DN38" s="64"/>
      <c r="DO38" s="100"/>
      <c r="DP38" s="240"/>
      <c r="DQ38" s="244"/>
      <c r="DR38" s="245"/>
      <c r="DS38" s="64"/>
      <c r="DT38" s="64"/>
      <c r="DU38" s="246"/>
      <c r="DV38" s="246"/>
      <c r="DW38" s="246"/>
      <c r="DX38" s="219"/>
      <c r="DY38" s="219"/>
      <c r="DZ38" s="219"/>
      <c r="EA38" s="246"/>
      <c r="EB38" s="246"/>
      <c r="EC38" s="9"/>
      <c r="ED38" s="9"/>
      <c r="EE38" s="246"/>
      <c r="EF38" s="246"/>
      <c r="EG38" s="9"/>
      <c r="EH38" s="9"/>
      <c r="EI38" s="9"/>
      <c r="EJ38" s="64"/>
      <c r="EK38" s="64"/>
      <c r="EL38" s="9"/>
      <c r="EM38" s="9"/>
      <c r="EN38" s="64"/>
      <c r="EO38" s="9"/>
      <c r="EP38" s="220"/>
      <c r="EQ38" s="64"/>
      <c r="ER38" s="64"/>
      <c r="ES38" s="247"/>
      <c r="ET38" s="248"/>
      <c r="EU38" s="220"/>
      <c r="EV38" s="220"/>
      <c r="EW38" s="246"/>
      <c r="EX38" s="64"/>
      <c r="EY38" s="64"/>
      <c r="EZ38" s="64"/>
      <c r="FA38" s="64"/>
      <c r="FB38" s="64"/>
      <c r="FC38" s="141"/>
      <c r="FD38" s="249" t="s">
        <v>53</v>
      </c>
      <c r="FE38" s="250">
        <v>1181282</v>
      </c>
      <c r="FF38" s="250">
        <v>866667</v>
      </c>
      <c r="FG38" s="250">
        <v>568747</v>
      </c>
      <c r="FH38" s="250">
        <v>785572</v>
      </c>
      <c r="FI38" s="250">
        <v>731666</v>
      </c>
      <c r="FJ38" s="250">
        <v>656353</v>
      </c>
      <c r="FK38" s="250">
        <v>1175438</v>
      </c>
      <c r="FL38" s="250">
        <v>907416</v>
      </c>
      <c r="FM38" s="250">
        <v>556200</v>
      </c>
      <c r="FN38" s="220"/>
      <c r="FO38" s="152"/>
      <c r="FP38" s="220"/>
      <c r="FQ38" s="9"/>
      <c r="FR38" s="64"/>
      <c r="FS38" s="64"/>
      <c r="FT38" s="64"/>
      <c r="FU38" s="64"/>
      <c r="FV38" s="64"/>
      <c r="FW38" s="64"/>
      <c r="FX38" s="64"/>
      <c r="FY38" s="64"/>
      <c r="FZ38" s="9"/>
      <c r="GA38" s="64"/>
      <c r="GB38" s="64"/>
      <c r="GC38" s="64"/>
      <c r="GD38" s="64"/>
      <c r="GE38" s="64"/>
      <c r="GF38" s="64"/>
      <c r="GG38" s="64"/>
      <c r="GH38" s="64"/>
      <c r="GI38" s="64"/>
      <c r="GJ38" s="64"/>
    </row>
    <row r="39" spans="1:193" s="10" customFormat="1">
      <c r="A39" s="64"/>
      <c r="B39" s="64"/>
      <c r="C39" s="64"/>
      <c r="E39" s="64"/>
      <c r="F39" s="224">
        <v>501</v>
      </c>
      <c r="G39" s="10">
        <v>502</v>
      </c>
      <c r="H39" s="10">
        <v>503</v>
      </c>
      <c r="I39" s="10">
        <v>511</v>
      </c>
      <c r="J39" s="10">
        <v>512</v>
      </c>
      <c r="K39" s="10">
        <v>561</v>
      </c>
      <c r="L39" s="10">
        <v>562</v>
      </c>
      <c r="M39" s="254">
        <v>563</v>
      </c>
      <c r="N39" s="255"/>
      <c r="O39" s="256"/>
      <c r="P39" s="257"/>
      <c r="Q39" s="64"/>
      <c r="R39" s="258"/>
      <c r="S39" s="258"/>
      <c r="T39" s="258"/>
      <c r="U39" s="258"/>
      <c r="V39" s="258"/>
      <c r="W39" s="258"/>
      <c r="X39" s="258"/>
      <c r="Y39" s="258"/>
      <c r="Z39" s="258"/>
      <c r="AA39" s="258"/>
      <c r="AB39" s="152"/>
      <c r="AC39" s="152"/>
      <c r="AD39" s="231"/>
      <c r="AE39" s="152"/>
      <c r="AF39" s="152"/>
      <c r="AG39" s="152"/>
      <c r="AH39" s="152"/>
      <c r="AI39" s="152"/>
      <c r="AJ39" s="152"/>
      <c r="AK39" s="152"/>
      <c r="AL39" s="152"/>
      <c r="AM39" s="152"/>
      <c r="AN39" s="152"/>
      <c r="AO39" s="152"/>
      <c r="AP39" s="152"/>
      <c r="AQ39" s="152"/>
      <c r="AR39" s="258"/>
      <c r="AS39" s="258"/>
      <c r="AT39" s="258"/>
      <c r="AU39" s="258"/>
      <c r="AV39" s="152"/>
      <c r="AW39" s="258"/>
      <c r="AX39" s="152"/>
      <c r="AY39" s="152"/>
      <c r="AZ39" s="152"/>
      <c r="BA39" s="152"/>
      <c r="BB39" s="152"/>
      <c r="BC39" s="231"/>
      <c r="BD39" s="231"/>
      <c r="BE39" s="231"/>
      <c r="BF39" s="231"/>
      <c r="BG39" s="152"/>
      <c r="BH39" s="231"/>
      <c r="BI39" s="116"/>
      <c r="BJ39" s="116"/>
      <c r="BK39" s="259"/>
      <c r="BL39" s="260"/>
      <c r="BM39" s="165"/>
      <c r="BN39" s="259"/>
      <c r="BO39" s="64"/>
      <c r="BP39" s="64"/>
      <c r="BQ39" s="64"/>
      <c r="BR39" s="116"/>
      <c r="BS39" s="116"/>
      <c r="BT39" s="116"/>
      <c r="BU39" s="116"/>
      <c r="BV39" s="64"/>
      <c r="BW39" s="64"/>
      <c r="BX39" s="64"/>
      <c r="BY39" s="116"/>
      <c r="BZ39" s="243"/>
      <c r="CA39" s="243"/>
      <c r="CB39" s="243"/>
      <c r="CC39" s="243"/>
      <c r="CD39" s="243"/>
      <c r="CE39" s="243"/>
      <c r="CF39" s="141"/>
      <c r="CG39" s="237"/>
      <c r="CH39" s="243"/>
      <c r="CI39" s="243"/>
      <c r="CJ39" s="243"/>
      <c r="CK39" s="243"/>
      <c r="CL39" s="243"/>
      <c r="CM39" s="243"/>
      <c r="CN39" s="243"/>
      <c r="CO39" s="243"/>
      <c r="CP39" s="243"/>
      <c r="CQ39" s="243"/>
      <c r="CR39" s="243"/>
      <c r="CS39" s="243"/>
      <c r="CT39" s="243"/>
      <c r="CU39" s="243"/>
      <c r="CV39" s="243"/>
      <c r="CW39" s="243"/>
      <c r="CX39" s="243"/>
      <c r="CY39" s="116"/>
      <c r="CZ39" s="243"/>
      <c r="DA39" s="243"/>
      <c r="DB39" s="243"/>
      <c r="DC39" s="243"/>
      <c r="DD39" s="116"/>
      <c r="DE39" s="116"/>
      <c r="DF39" s="116"/>
      <c r="DG39" s="116"/>
      <c r="DH39" s="243"/>
      <c r="DI39" s="243"/>
      <c r="DJ39" s="64"/>
      <c r="DK39" s="64"/>
      <c r="DL39" s="74"/>
      <c r="DM39" s="64"/>
      <c r="DN39" s="74"/>
      <c r="DO39" s="261"/>
      <c r="DP39" s="262"/>
      <c r="DQ39" s="263"/>
      <c r="DR39" s="244"/>
      <c r="DS39" s="64"/>
      <c r="DT39" s="64"/>
      <c r="DU39" s="246"/>
      <c r="DV39" s="246"/>
      <c r="DW39" s="246"/>
      <c r="DX39" s="219"/>
      <c r="DY39" s="219"/>
      <c r="DZ39" s="219"/>
      <c r="EA39" s="246"/>
      <c r="EB39" s="246"/>
      <c r="EC39" s="9"/>
      <c r="ED39" s="9"/>
      <c r="EE39" s="246"/>
      <c r="EF39" s="246"/>
      <c r="EG39" s="9"/>
      <c r="EH39" s="9"/>
      <c r="EI39" s="9"/>
      <c r="EJ39" s="64"/>
      <c r="EK39" s="64"/>
      <c r="EL39" s="9"/>
      <c r="EM39" s="9"/>
      <c r="EN39" s="64"/>
      <c r="EO39" s="9"/>
      <c r="EP39" s="220"/>
      <c r="EQ39" s="64"/>
      <c r="ER39" s="64"/>
      <c r="ES39" s="257"/>
      <c r="ET39" s="74"/>
      <c r="EU39" s="64"/>
      <c r="EV39" s="64"/>
      <c r="EW39" s="246"/>
      <c r="EX39" s="64"/>
      <c r="EY39" s="64"/>
      <c r="EZ39" s="64"/>
      <c r="FA39" s="64"/>
      <c r="FB39" s="64"/>
      <c r="FC39" s="152"/>
      <c r="FD39" s="249">
        <v>1</v>
      </c>
      <c r="FE39" s="250">
        <v>1181282</v>
      </c>
      <c r="FF39" s="250">
        <v>867218</v>
      </c>
      <c r="FG39" s="250">
        <v>570653</v>
      </c>
      <c r="FH39" s="250">
        <v>787548</v>
      </c>
      <c r="FI39" s="250">
        <v>732296</v>
      </c>
      <c r="FJ39" s="250">
        <v>656353</v>
      </c>
      <c r="FK39" s="250">
        <v>1175438</v>
      </c>
      <c r="FL39" s="250">
        <v>908625</v>
      </c>
      <c r="FM39" s="250">
        <v>556200</v>
      </c>
      <c r="FN39" s="152"/>
      <c r="FO39" s="152"/>
      <c r="FP39" s="64"/>
      <c r="FQ39" s="9"/>
      <c r="FR39" s="9"/>
      <c r="FS39" s="9"/>
      <c r="FT39" s="9"/>
      <c r="FU39" s="9"/>
      <c r="FV39" s="9"/>
      <c r="FW39" s="9"/>
      <c r="FX39" s="9"/>
      <c r="FY39" s="9"/>
      <c r="FZ39" s="246"/>
      <c r="GA39" s="64"/>
      <c r="GB39" s="64"/>
      <c r="GC39" s="64"/>
      <c r="GD39" s="64"/>
      <c r="GE39" s="64"/>
      <c r="GF39" s="64"/>
      <c r="GG39" s="64"/>
      <c r="GH39" s="64"/>
      <c r="GI39" s="64"/>
      <c r="GJ39" s="64"/>
    </row>
    <row r="40" spans="1:193">
      <c r="FC40" s="220"/>
      <c r="FD40" s="249">
        <v>2</v>
      </c>
      <c r="FE40" s="250">
        <v>1181282</v>
      </c>
      <c r="FF40" s="250">
        <v>867859</v>
      </c>
      <c r="FG40" s="250">
        <v>572895</v>
      </c>
      <c r="FH40" s="250">
        <v>789444</v>
      </c>
      <c r="FI40" s="250">
        <v>732899</v>
      </c>
      <c r="FJ40" s="250">
        <v>656353</v>
      </c>
      <c r="FK40" s="250">
        <v>1175438</v>
      </c>
      <c r="FL40" s="250">
        <v>910632</v>
      </c>
      <c r="FM40" s="250">
        <v>556200</v>
      </c>
    </row>
    <row r="41" spans="1:193">
      <c r="B41" s="220"/>
      <c r="CH41" s="178"/>
      <c r="CP41" s="178"/>
      <c r="FC41" s="220"/>
      <c r="FD41" s="249">
        <v>3</v>
      </c>
      <c r="FE41" s="250">
        <v>1181282</v>
      </c>
      <c r="FF41" s="250">
        <v>868269</v>
      </c>
      <c r="FG41" s="250">
        <v>574749</v>
      </c>
      <c r="FH41" s="250">
        <v>791353</v>
      </c>
      <c r="FI41" s="250">
        <v>733509</v>
      </c>
      <c r="FJ41" s="250">
        <v>656353</v>
      </c>
      <c r="FK41" s="250">
        <v>1175438</v>
      </c>
      <c r="FL41" s="250">
        <v>912982</v>
      </c>
      <c r="FM41" s="250">
        <v>556200</v>
      </c>
    </row>
    <row r="42" spans="1:193">
      <c r="FC42" s="220"/>
      <c r="FD42" s="249">
        <v>4</v>
      </c>
      <c r="FE42" s="250">
        <v>1181282</v>
      </c>
      <c r="FF42" s="250">
        <v>868386</v>
      </c>
      <c r="FG42" s="250">
        <v>576077</v>
      </c>
      <c r="FH42" s="250">
        <v>794198</v>
      </c>
      <c r="FI42" s="250">
        <v>733916</v>
      </c>
      <c r="FJ42" s="250">
        <v>656353</v>
      </c>
      <c r="FK42" s="250">
        <v>1175438</v>
      </c>
      <c r="FL42" s="250">
        <v>915339</v>
      </c>
      <c r="FM42" s="250">
        <v>556200</v>
      </c>
    </row>
    <row r="43" spans="1:193">
      <c r="FC43" s="220"/>
      <c r="FD43" s="249">
        <v>5</v>
      </c>
      <c r="FE43" s="250">
        <v>1181282</v>
      </c>
      <c r="FF43" s="250">
        <v>868788</v>
      </c>
      <c r="FG43" s="250">
        <v>577881</v>
      </c>
      <c r="FH43" s="250">
        <v>795429</v>
      </c>
      <c r="FI43" s="250">
        <v>734386</v>
      </c>
      <c r="FJ43" s="250">
        <v>656564</v>
      </c>
      <c r="FK43" s="250">
        <v>1175438</v>
      </c>
      <c r="FL43" s="250">
        <v>917052</v>
      </c>
      <c r="FM43" s="250">
        <v>556200</v>
      </c>
    </row>
    <row r="44" spans="1:193">
      <c r="B44" s="220"/>
      <c r="FC44" s="220"/>
      <c r="FD44" s="249">
        <v>6</v>
      </c>
      <c r="FE44" s="250">
        <v>1181282</v>
      </c>
      <c r="FF44" s="250">
        <v>869425</v>
      </c>
      <c r="FG44" s="250">
        <v>578723</v>
      </c>
      <c r="FH44" s="250">
        <v>797233</v>
      </c>
      <c r="FI44" s="250">
        <v>734978</v>
      </c>
      <c r="FJ44" s="250">
        <v>657350</v>
      </c>
      <c r="FK44" s="250">
        <v>1175438</v>
      </c>
      <c r="FL44" s="250">
        <v>917052</v>
      </c>
      <c r="FM44" s="250">
        <v>556200</v>
      </c>
    </row>
    <row r="45" spans="1:193">
      <c r="B45" s="220"/>
      <c r="FC45" s="220"/>
      <c r="FD45" s="249">
        <v>7</v>
      </c>
      <c r="FE45" s="250">
        <v>1181282</v>
      </c>
      <c r="FF45" s="250">
        <v>869851</v>
      </c>
      <c r="FG45" s="250">
        <v>581302</v>
      </c>
      <c r="FH45" s="250">
        <v>797233</v>
      </c>
      <c r="FI45" s="265">
        <v>735715</v>
      </c>
      <c r="FJ45" s="250">
        <v>658327</v>
      </c>
      <c r="FK45" s="250">
        <v>1175438</v>
      </c>
      <c r="FL45" s="250">
        <v>919148.9</v>
      </c>
      <c r="FM45" s="250">
        <v>556200</v>
      </c>
    </row>
    <row r="46" spans="1:193">
      <c r="B46" s="220"/>
      <c r="FC46" s="220"/>
      <c r="FD46" s="249">
        <v>8</v>
      </c>
      <c r="FE46" s="250">
        <v>1181282</v>
      </c>
      <c r="FF46" s="250">
        <v>870373</v>
      </c>
      <c r="FG46" s="250">
        <v>583762</v>
      </c>
      <c r="FH46" s="250">
        <v>797926</v>
      </c>
      <c r="FI46" s="250">
        <v>736293</v>
      </c>
      <c r="FJ46" s="250">
        <v>659091</v>
      </c>
      <c r="FK46" s="250">
        <v>1175438</v>
      </c>
      <c r="FL46" s="250">
        <v>921203</v>
      </c>
      <c r="FM46" s="250">
        <v>556200</v>
      </c>
    </row>
    <row r="47" spans="1:193">
      <c r="B47" s="220"/>
      <c r="C47" s="220"/>
      <c r="FC47" s="220"/>
      <c r="FD47" s="249">
        <v>9</v>
      </c>
      <c r="FE47" s="250">
        <v>1181282</v>
      </c>
      <c r="FF47" s="250">
        <v>871039</v>
      </c>
      <c r="FG47" s="250">
        <v>585065</v>
      </c>
      <c r="FH47" s="250">
        <v>800199</v>
      </c>
      <c r="FI47" s="250">
        <v>736977</v>
      </c>
      <c r="FJ47" s="250">
        <v>659963</v>
      </c>
      <c r="FK47" s="250">
        <v>1175438</v>
      </c>
      <c r="FL47" s="250">
        <v>921732</v>
      </c>
      <c r="FM47" s="250">
        <v>556200</v>
      </c>
    </row>
    <row r="48" spans="1:193">
      <c r="B48" s="220"/>
      <c r="FC48" s="220"/>
      <c r="FD48" s="249">
        <v>10</v>
      </c>
      <c r="FE48" s="250">
        <v>1181282</v>
      </c>
      <c r="FF48" s="250">
        <v>871493</v>
      </c>
      <c r="FG48" s="250">
        <v>586947</v>
      </c>
      <c r="FH48" s="250">
        <v>802428</v>
      </c>
      <c r="FI48" s="250">
        <v>737684</v>
      </c>
      <c r="FJ48" s="250">
        <v>660605</v>
      </c>
      <c r="FK48" s="250">
        <v>1175438</v>
      </c>
      <c r="FL48" s="250">
        <v>923167</v>
      </c>
      <c r="FM48" s="250">
        <v>556200</v>
      </c>
    </row>
    <row r="49" spans="2:169">
      <c r="B49" s="220"/>
      <c r="C49" s="220"/>
      <c r="FC49" s="220"/>
      <c r="FD49" s="249">
        <v>11</v>
      </c>
      <c r="FE49" s="250">
        <v>1181282</v>
      </c>
      <c r="FF49" s="250">
        <v>872030</v>
      </c>
      <c r="FG49" s="250">
        <v>589128</v>
      </c>
      <c r="FH49" s="250">
        <v>804379</v>
      </c>
      <c r="FI49" s="250">
        <v>738291</v>
      </c>
      <c r="FJ49" s="250">
        <v>661383</v>
      </c>
      <c r="FK49" s="250">
        <v>1175438</v>
      </c>
      <c r="FL49" s="250">
        <v>924727</v>
      </c>
      <c r="FM49" s="250">
        <v>556200</v>
      </c>
    </row>
    <row r="50" spans="2:169">
      <c r="B50" s="220"/>
      <c r="C50" s="220"/>
      <c r="FC50" s="220"/>
      <c r="FD50" s="249">
        <v>12</v>
      </c>
      <c r="FE50" s="250">
        <v>1181282</v>
      </c>
      <c r="FF50" s="250">
        <v>872447</v>
      </c>
      <c r="FG50" s="250">
        <v>589128</v>
      </c>
      <c r="FH50" s="250">
        <v>806233</v>
      </c>
      <c r="FI50" s="250">
        <v>738877</v>
      </c>
      <c r="FJ50" s="250">
        <v>662184</v>
      </c>
      <c r="FK50" s="250">
        <v>1175438</v>
      </c>
      <c r="FL50" s="250">
        <v>926940</v>
      </c>
      <c r="FM50" s="250">
        <v>556200</v>
      </c>
    </row>
    <row r="51" spans="2:169">
      <c r="B51" s="220"/>
      <c r="C51" s="220"/>
      <c r="FC51" s="220"/>
      <c r="FD51" s="249">
        <v>13</v>
      </c>
      <c r="FE51" s="250">
        <v>1181282</v>
      </c>
      <c r="FF51" s="250">
        <v>872877</v>
      </c>
      <c r="FG51" s="250">
        <v>590577</v>
      </c>
      <c r="FH51" s="250">
        <v>808211</v>
      </c>
      <c r="FI51" s="250">
        <v>739495</v>
      </c>
      <c r="FJ51" s="250">
        <v>662965</v>
      </c>
      <c r="FK51" s="250">
        <v>1175438</v>
      </c>
      <c r="FL51" s="250">
        <v>928169</v>
      </c>
      <c r="FM51" s="250">
        <v>556200</v>
      </c>
    </row>
    <row r="52" spans="2:169">
      <c r="B52" s="220"/>
      <c r="C52" s="220"/>
      <c r="FC52" s="220"/>
      <c r="FD52" s="249">
        <v>14</v>
      </c>
      <c r="FE52" s="250">
        <v>1181282</v>
      </c>
      <c r="FF52" s="250">
        <v>873452</v>
      </c>
      <c r="FG52" s="250">
        <v>592610</v>
      </c>
      <c r="FH52" s="250">
        <v>810028</v>
      </c>
      <c r="FI52" s="250">
        <v>740181</v>
      </c>
      <c r="FJ52" s="250">
        <v>663721</v>
      </c>
      <c r="FK52" s="250">
        <v>1175438</v>
      </c>
      <c r="FL52" s="250">
        <v>928952</v>
      </c>
      <c r="FM52" s="250">
        <v>556200</v>
      </c>
    </row>
    <row r="53" spans="2:169">
      <c r="C53" s="220"/>
      <c r="FC53" s="220"/>
      <c r="FD53" s="249">
        <v>15</v>
      </c>
      <c r="FE53" s="250">
        <v>1181282</v>
      </c>
      <c r="FF53" s="250">
        <v>873874</v>
      </c>
      <c r="FG53" s="250">
        <v>594122</v>
      </c>
      <c r="FH53" s="250">
        <v>811972</v>
      </c>
      <c r="FI53" s="250">
        <v>740781</v>
      </c>
      <c r="FJ53" s="250">
        <v>664496</v>
      </c>
      <c r="FK53" s="250">
        <v>1175438</v>
      </c>
      <c r="FL53" s="250">
        <v>930949</v>
      </c>
      <c r="FM53" s="250">
        <v>556200</v>
      </c>
    </row>
    <row r="54" spans="2:169">
      <c r="B54" s="220"/>
      <c r="C54" s="220"/>
      <c r="FC54" s="220"/>
      <c r="FD54" s="249">
        <v>16</v>
      </c>
      <c r="FE54" s="250">
        <v>1181282</v>
      </c>
      <c r="FF54" s="250">
        <v>874150</v>
      </c>
      <c r="FG54" s="250">
        <v>595750</v>
      </c>
      <c r="FH54" s="250">
        <v>813457</v>
      </c>
      <c r="FI54" s="250">
        <v>741387</v>
      </c>
      <c r="FJ54" s="250">
        <v>665271</v>
      </c>
      <c r="FK54" s="250">
        <v>1175438</v>
      </c>
      <c r="FL54" s="250">
        <v>932915</v>
      </c>
      <c r="FM54" s="250">
        <v>556200</v>
      </c>
    </row>
    <row r="55" spans="2:169">
      <c r="B55" s="220"/>
      <c r="C55" s="220"/>
      <c r="FC55" s="220"/>
      <c r="FD55" s="249">
        <v>17</v>
      </c>
      <c r="FE55" s="250">
        <v>1181282</v>
      </c>
      <c r="FF55" s="250">
        <v>874774</v>
      </c>
      <c r="FG55" s="250">
        <v>597904</v>
      </c>
      <c r="FH55" s="250">
        <v>815729</v>
      </c>
      <c r="FI55" s="250">
        <v>742089</v>
      </c>
      <c r="FJ55" s="250">
        <v>666128</v>
      </c>
      <c r="FK55" s="250">
        <v>1175438</v>
      </c>
      <c r="FL55" s="250">
        <v>933162</v>
      </c>
      <c r="FM55" s="250">
        <v>556200</v>
      </c>
    </row>
    <row r="56" spans="2:169">
      <c r="B56" s="220"/>
      <c r="C56" s="220"/>
      <c r="FC56" s="220"/>
      <c r="FD56" s="249">
        <v>18</v>
      </c>
      <c r="FE56" s="250">
        <v>1181282</v>
      </c>
      <c r="FF56" s="250">
        <v>875419</v>
      </c>
      <c r="FG56" s="250">
        <v>599568</v>
      </c>
      <c r="FH56" s="250">
        <v>817271</v>
      </c>
      <c r="FI56" s="250">
        <v>742571</v>
      </c>
      <c r="FJ56" s="250">
        <v>666793</v>
      </c>
      <c r="FK56" s="250">
        <v>1175438</v>
      </c>
      <c r="FL56" s="250">
        <v>934866</v>
      </c>
      <c r="FM56" s="250">
        <v>556200</v>
      </c>
    </row>
    <row r="57" spans="2:169">
      <c r="B57" s="220"/>
      <c r="C57" s="220"/>
      <c r="FC57" s="220"/>
      <c r="FD57" s="249">
        <v>19</v>
      </c>
      <c r="FE57" s="250">
        <v>1181282</v>
      </c>
      <c r="FF57" s="250">
        <v>875613</v>
      </c>
      <c r="FG57" s="250">
        <v>600258</v>
      </c>
      <c r="FH57" s="250">
        <v>818741</v>
      </c>
      <c r="FI57" s="250">
        <v>742839</v>
      </c>
      <c r="FJ57" s="250">
        <v>667312</v>
      </c>
      <c r="FK57" s="250">
        <v>1175438</v>
      </c>
      <c r="FL57" s="250">
        <v>934866</v>
      </c>
      <c r="FM57" s="250">
        <v>556200</v>
      </c>
    </row>
    <row r="58" spans="2:169">
      <c r="C58" s="220"/>
      <c r="FC58" s="220"/>
      <c r="FD58" s="249">
        <v>20</v>
      </c>
      <c r="FE58" s="250">
        <v>1181282</v>
      </c>
      <c r="FF58" s="250">
        <v>876200</v>
      </c>
      <c r="FG58" s="250">
        <v>601949</v>
      </c>
      <c r="FH58" s="250">
        <v>819775</v>
      </c>
      <c r="FI58" s="250">
        <v>742839</v>
      </c>
      <c r="FJ58" s="250">
        <v>668068</v>
      </c>
      <c r="FK58" s="250">
        <v>1175438</v>
      </c>
      <c r="FL58" s="250">
        <v>934866</v>
      </c>
      <c r="FM58" s="250">
        <v>556200</v>
      </c>
    </row>
    <row r="59" spans="2:169">
      <c r="FC59" s="220"/>
      <c r="FD59" s="249">
        <v>21</v>
      </c>
      <c r="FE59" s="250">
        <v>1181282</v>
      </c>
      <c r="FF59" s="250">
        <v>876891</v>
      </c>
      <c r="FG59" s="250">
        <v>603355</v>
      </c>
      <c r="FH59" s="250">
        <v>822120</v>
      </c>
      <c r="FI59" s="250">
        <v>742839</v>
      </c>
      <c r="FJ59" s="250">
        <v>668801</v>
      </c>
      <c r="FK59" s="250">
        <v>1175438</v>
      </c>
      <c r="FL59" s="250">
        <v>936850</v>
      </c>
      <c r="FM59" s="250">
        <v>556200</v>
      </c>
    </row>
    <row r="60" spans="2:169">
      <c r="FC60" s="220"/>
      <c r="FD60" s="249">
        <v>22</v>
      </c>
      <c r="FE60" s="250">
        <v>1181282</v>
      </c>
      <c r="FF60" s="250">
        <v>877082</v>
      </c>
      <c r="FG60" s="250">
        <v>604520</v>
      </c>
      <c r="FH60" s="250">
        <v>824251</v>
      </c>
      <c r="FI60" s="250">
        <v>743466</v>
      </c>
      <c r="FJ60" s="250">
        <v>669535</v>
      </c>
      <c r="FK60" s="250">
        <v>1175438</v>
      </c>
      <c r="FL60" s="250">
        <v>938712</v>
      </c>
      <c r="FM60" s="250">
        <v>556200</v>
      </c>
    </row>
    <row r="61" spans="2:169">
      <c r="FC61" s="220"/>
      <c r="FD61" s="249">
        <v>23</v>
      </c>
      <c r="FE61" s="250">
        <v>1181282</v>
      </c>
      <c r="FF61" s="250">
        <v>877356</v>
      </c>
      <c r="FG61" s="250">
        <v>605880</v>
      </c>
      <c r="FH61" s="250">
        <v>826143</v>
      </c>
      <c r="FI61" s="250">
        <v>744019</v>
      </c>
      <c r="FJ61" s="250">
        <v>670327</v>
      </c>
      <c r="FK61" s="250">
        <v>1175441</v>
      </c>
      <c r="FL61" s="250">
        <v>939831</v>
      </c>
      <c r="FM61" s="250">
        <v>556200</v>
      </c>
    </row>
    <row r="62" spans="2:169">
      <c r="FD62" s="249">
        <v>24</v>
      </c>
      <c r="FE62" s="250">
        <v>1181282</v>
      </c>
      <c r="FF62" s="250">
        <v>877435</v>
      </c>
      <c r="FG62" s="250">
        <v>606305</v>
      </c>
      <c r="FH62" s="250">
        <v>828146</v>
      </c>
      <c r="FI62" s="250">
        <v>744609</v>
      </c>
      <c r="FJ62" s="250">
        <v>671095</v>
      </c>
      <c r="FK62" s="250">
        <v>1175441</v>
      </c>
      <c r="FL62" s="250">
        <v>941583</v>
      </c>
      <c r="FM62" s="250">
        <v>556200</v>
      </c>
    </row>
    <row r="63" spans="2:169">
      <c r="FD63" s="249">
        <v>25</v>
      </c>
      <c r="FE63" s="250">
        <v>1181282</v>
      </c>
      <c r="FF63" s="250">
        <v>877882</v>
      </c>
      <c r="FG63" s="250">
        <v>607920</v>
      </c>
      <c r="FH63" s="250">
        <v>830133</v>
      </c>
      <c r="FI63" s="250">
        <v>745175</v>
      </c>
      <c r="FJ63" s="250">
        <v>671846</v>
      </c>
      <c r="FK63" s="250">
        <v>1175441</v>
      </c>
      <c r="FL63" s="250">
        <v>942525</v>
      </c>
      <c r="FM63" s="250">
        <v>556200</v>
      </c>
    </row>
    <row r="64" spans="2:169">
      <c r="FD64" s="249">
        <v>26</v>
      </c>
      <c r="FE64" s="250">
        <v>1181282</v>
      </c>
      <c r="FF64" s="250">
        <v>878399</v>
      </c>
      <c r="FG64" s="250">
        <v>608720</v>
      </c>
      <c r="FH64" s="250">
        <v>832103</v>
      </c>
      <c r="FI64" s="250">
        <v>745751</v>
      </c>
      <c r="FJ64" s="250">
        <v>672604</v>
      </c>
      <c r="FK64" s="250">
        <v>1175441</v>
      </c>
      <c r="FL64" s="250">
        <v>943984</v>
      </c>
      <c r="FM64" s="250">
        <v>556200</v>
      </c>
    </row>
    <row r="65" spans="160:169">
      <c r="FD65" s="249">
        <v>27</v>
      </c>
      <c r="FE65" s="250">
        <v>1181282</v>
      </c>
      <c r="FF65" s="250">
        <v>878619</v>
      </c>
      <c r="FG65" s="250">
        <v>609944</v>
      </c>
      <c r="FH65" s="250">
        <v>834133</v>
      </c>
      <c r="FI65" s="250">
        <v>746327</v>
      </c>
      <c r="FJ65" s="250">
        <v>673340</v>
      </c>
      <c r="FK65" s="250">
        <v>1175441</v>
      </c>
      <c r="FL65" s="250">
        <v>945553</v>
      </c>
      <c r="FM65" s="250">
        <v>556200</v>
      </c>
    </row>
    <row r="66" spans="160:169">
      <c r="FD66" s="249">
        <v>28</v>
      </c>
      <c r="FE66" s="250">
        <v>1181282</v>
      </c>
      <c r="FF66" s="250">
        <v>879179</v>
      </c>
      <c r="FG66" s="250">
        <v>609944</v>
      </c>
      <c r="FH66" s="250">
        <v>835634</v>
      </c>
      <c r="FI66" s="250">
        <v>746876</v>
      </c>
      <c r="FJ66" s="250">
        <v>674157</v>
      </c>
      <c r="FK66" s="250">
        <v>1175441</v>
      </c>
      <c r="FL66" s="250">
        <v>947035</v>
      </c>
      <c r="FM66" s="250">
        <v>556200</v>
      </c>
    </row>
    <row r="67" spans="160:169">
      <c r="FD67" s="249">
        <v>29</v>
      </c>
      <c r="FE67" s="250">
        <v>1181282</v>
      </c>
      <c r="FF67" s="250">
        <v>879732</v>
      </c>
      <c r="FG67" s="250">
        <v>610573</v>
      </c>
      <c r="FH67" s="250">
        <v>837036</v>
      </c>
      <c r="FI67" s="250">
        <v>747268</v>
      </c>
      <c r="FJ67" s="250">
        <v>674905</v>
      </c>
      <c r="FK67" s="250">
        <v>1175441</v>
      </c>
      <c r="FL67" s="250">
        <v>947804</v>
      </c>
      <c r="FM67" s="250">
        <v>556200</v>
      </c>
    </row>
    <row r="68" spans="160:169">
      <c r="FD68" s="249">
        <v>30</v>
      </c>
      <c r="FE68" s="250">
        <v>1181282</v>
      </c>
      <c r="FF68" s="267">
        <v>880415</v>
      </c>
      <c r="FG68" s="267">
        <v>610893</v>
      </c>
      <c r="FH68" s="267">
        <v>839143</v>
      </c>
      <c r="FI68" s="267">
        <v>747851</v>
      </c>
      <c r="FJ68" s="267">
        <v>675736</v>
      </c>
      <c r="FK68" s="250">
        <v>1175441</v>
      </c>
      <c r="FL68" s="267">
        <v>949354</v>
      </c>
      <c r="FM68" s="250">
        <v>556200</v>
      </c>
    </row>
    <row r="69" spans="160:169">
      <c r="FD69" s="249">
        <v>31</v>
      </c>
      <c r="FE69" s="250">
        <v>1181282</v>
      </c>
      <c r="FF69" s="267">
        <v>880882</v>
      </c>
      <c r="FG69" s="267">
        <v>611202</v>
      </c>
      <c r="FH69" s="267">
        <v>840747</v>
      </c>
      <c r="FI69" s="267">
        <v>748109</v>
      </c>
      <c r="FJ69" s="267">
        <v>676388</v>
      </c>
      <c r="FK69" s="250">
        <v>1175441</v>
      </c>
      <c r="FL69" s="267">
        <v>950456</v>
      </c>
      <c r="FM69" s="250">
        <v>556200</v>
      </c>
    </row>
    <row r="70" spans="160:169">
      <c r="FE70" s="79"/>
      <c r="FF70" s="79"/>
      <c r="FG70" s="79"/>
      <c r="FH70" s="79"/>
      <c r="FI70" s="79"/>
      <c r="FJ70" s="79"/>
      <c r="FK70" s="79"/>
      <c r="FL70" s="79"/>
      <c r="FM70" s="79"/>
    </row>
    <row r="71" spans="160:169">
      <c r="FE71" s="306">
        <v>2362.4</v>
      </c>
      <c r="FF71" s="582" t="s">
        <v>168</v>
      </c>
      <c r="FG71" s="582"/>
    </row>
    <row r="72" spans="160:169">
      <c r="FE72" s="325">
        <v>806.4</v>
      </c>
      <c r="FF72" s="582" t="s">
        <v>151</v>
      </c>
      <c r="FG72" s="582"/>
    </row>
    <row r="73" spans="160:169">
      <c r="FE73" s="306">
        <v>2610.8000000000002</v>
      </c>
      <c r="FF73" s="582" t="s">
        <v>169</v>
      </c>
      <c r="FG73" s="582"/>
    </row>
    <row r="74" spans="160:169">
      <c r="FE74" s="325">
        <f>FE73-FE71</f>
        <v>248.40000000000009</v>
      </c>
      <c r="FF74" s="582" t="s">
        <v>170</v>
      </c>
      <c r="FG74" s="582"/>
    </row>
    <row r="75" spans="160:169">
      <c r="FE75" s="306">
        <v>2846.4</v>
      </c>
      <c r="FF75" s="582" t="s">
        <v>191</v>
      </c>
      <c r="FG75" s="582"/>
    </row>
    <row r="76" spans="160:169">
      <c r="FE76" s="325">
        <f>FE75-FE73</f>
        <v>235.59999999999991</v>
      </c>
      <c r="FF76" s="582" t="s">
        <v>192</v>
      </c>
      <c r="FG76" s="582"/>
    </row>
  </sheetData>
  <sheetProtection formatCells="0" formatColumns="0" formatRows="0" insertColumns="0" insertRows="0" insertHyperlinks="0" deleteColumns="0" deleteRows="0" selectLockedCells="1" sort="0" autoFilter="0" pivotTables="0" selectUnlockedCells="1"/>
  <customSheetViews>
    <customSheetView guid="{CAAAA4EE-AC24-494B-BD01-DBAF6444BECB}" scale="80" showGridLines="0" hiddenColumns="1">
      <pane xSplit="3" ySplit="5" topLeftCell="FD21" activePane="bottomRight" state="frozen"/>
      <selection pane="bottomRight" activeCell="BI23" sqref="BI23"/>
      <pageMargins left="0.7" right="0.7" top="0.75" bottom="0.75" header="0.3" footer="0.3"/>
      <pageSetup orientation="portrait" r:id="rId1"/>
    </customSheetView>
    <customSheetView guid="{34EDC84D-4B3C-44BF-BB1A-7A0DFA8F65E7}" scale="80" showGridLines="0" hiddenColumns="1">
      <pane xSplit="3" ySplit="5" topLeftCell="FD21" activePane="bottomRight" state="frozen"/>
      <selection pane="bottomRight" activeCell="BI23" sqref="BI23"/>
      <pageMargins left="0.7" right="0.7" top="0.75" bottom="0.75" header="0.3" footer="0.3"/>
      <pageSetup orientation="portrait" r:id="rId2"/>
    </customSheetView>
  </customSheetViews>
  <mergeCells count="13">
    <mergeCell ref="FC3:FC4"/>
    <mergeCell ref="CF4:CH4"/>
    <mergeCell ref="CJ4:CL4"/>
    <mergeCell ref="CN4:CP4"/>
    <mergeCell ref="CR4:CT4"/>
    <mergeCell ref="CU4:CW4"/>
    <mergeCell ref="FF76:FG76"/>
    <mergeCell ref="FE37:FM37"/>
    <mergeCell ref="FF71:FG71"/>
    <mergeCell ref="FF72:FG72"/>
    <mergeCell ref="FF73:FG73"/>
    <mergeCell ref="FF74:FG74"/>
    <mergeCell ref="FF75:FG75"/>
  </mergeCells>
  <conditionalFormatting sqref="DR39 DQ38:DQ39">
    <cfRule type="cellIs" dxfId="1061" priority="69" stopIfTrue="1" operator="lessThanOrEqual">
      <formula>0.145</formula>
    </cfRule>
    <cfRule type="cellIs" dxfId="1060" priority="70" stopIfTrue="1" operator="greaterThan">
      <formula>0.15</formula>
    </cfRule>
  </conditionalFormatting>
  <conditionalFormatting sqref="D6:F7 E10:F21 N15:N36 D10:D15 G15:M21 H10:N14 N6:N9 G6:M8 H9:L9 G9:G14 D23:M36">
    <cfRule type="expression" dxfId="1059" priority="68" stopIfTrue="1">
      <formula>OR($B6=TODAY(),$B6=TODAY()-1)</formula>
    </cfRule>
  </conditionalFormatting>
  <conditionalFormatting sqref="G15:G21 G10:G13 G6 I7:M8 H17">
    <cfRule type="expression" dxfId="1058" priority="67" stopIfTrue="1">
      <formula>OR($B6=TODAY(),$B6=TODAY()-1)</formula>
    </cfRule>
  </conditionalFormatting>
  <conditionalFormatting sqref="D6:F7">
    <cfRule type="expression" dxfId="1057" priority="66" stopIfTrue="1">
      <formula>OR($B6=TODAY(),$B6=TODAY()-1)</formula>
    </cfRule>
  </conditionalFormatting>
  <conditionalFormatting sqref="I7:M8">
    <cfRule type="expression" dxfId="1056" priority="65" stopIfTrue="1">
      <formula>OR($B7=TODAY(),$B7=TODAY()-1)</formula>
    </cfRule>
  </conditionalFormatting>
  <conditionalFormatting sqref="I7:M8">
    <cfRule type="expression" dxfId="1055" priority="64" stopIfTrue="1">
      <formula>OR($B7=TODAY(),$B7=TODAY()-1)</formula>
    </cfRule>
  </conditionalFormatting>
  <conditionalFormatting sqref="D6:F6">
    <cfRule type="expression" dxfId="1054" priority="63" stopIfTrue="1">
      <formula>OR($B6=TODAY(),$B6=TODAY()-1)</formula>
    </cfRule>
  </conditionalFormatting>
  <conditionalFormatting sqref="D6:F7 G6:L21">
    <cfRule type="expression" dxfId="1053" priority="62" stopIfTrue="1">
      <formula>OR($B6=TODAY(),$B6=TODAY()-1)</formula>
    </cfRule>
  </conditionalFormatting>
  <conditionalFormatting sqref="G15:G21 G10:G13 G6 I7:M8 H17">
    <cfRule type="expression" dxfId="1052" priority="61" stopIfTrue="1">
      <formula>OR($B6=TODAY(),$B6=TODAY()-1)</formula>
    </cfRule>
  </conditionalFormatting>
  <conditionalFormatting sqref="D6:F7 G6:L21">
    <cfRule type="expression" dxfId="1051" priority="60" stopIfTrue="1">
      <formula>OR($B6=TODAY(),$B6=TODAY()-1)</formula>
    </cfRule>
  </conditionalFormatting>
  <conditionalFormatting sqref="G15:G21 G10:G13 G6 I7:M8 H17">
    <cfRule type="expression" dxfId="1050" priority="59" stopIfTrue="1">
      <formula>OR($B6=TODAY(),$B6=TODAY()-1)</formula>
    </cfRule>
  </conditionalFormatting>
  <conditionalFormatting sqref="D6:F7 G6:L21">
    <cfRule type="expression" dxfId="1049" priority="58" stopIfTrue="1">
      <formula>OR($B6=TODAY(),$B6=TODAY()-1)</formula>
    </cfRule>
  </conditionalFormatting>
  <conditionalFormatting sqref="G15:G21 G10:G13 G6 I7:M8 H17">
    <cfRule type="expression" dxfId="1048" priority="57" stopIfTrue="1">
      <formula>OR($B6=TODAY(),$B6=TODAY()-1)</formula>
    </cfRule>
  </conditionalFormatting>
  <conditionalFormatting sqref="D6:F7 G6:L21">
    <cfRule type="expression" dxfId="1047" priority="56" stopIfTrue="1">
      <formula>OR($B6=TODAY(),$B6=TODAY()-1)</formula>
    </cfRule>
  </conditionalFormatting>
  <conditionalFormatting sqref="G15:G21 G10:G13 G6 I7:M8 H17">
    <cfRule type="expression" dxfId="1046" priority="55" stopIfTrue="1">
      <formula>OR($B6=TODAY(),$B6=TODAY()-1)</formula>
    </cfRule>
  </conditionalFormatting>
  <conditionalFormatting sqref="D6:F7 G6:L21">
    <cfRule type="expression" dxfId="1045" priority="54" stopIfTrue="1">
      <formula>OR($B6=TODAY(),$B6=TODAY()-1)</formula>
    </cfRule>
  </conditionalFormatting>
  <conditionalFormatting sqref="G15:G21 G10:G13 G6 I7:M8 H17">
    <cfRule type="expression" dxfId="1044" priority="53" stopIfTrue="1">
      <formula>OR($B6=TODAY(),$B6=TODAY()-1)</formula>
    </cfRule>
  </conditionalFormatting>
  <conditionalFormatting sqref="D6:F7 G6:L21">
    <cfRule type="expression" dxfId="1043" priority="52" stopIfTrue="1">
      <formula>OR($B6=TODAY(),$B6=TODAY()-1)</formula>
    </cfRule>
  </conditionalFormatting>
  <conditionalFormatting sqref="G15:G21 G10:G13 G6 I7:M8 H17">
    <cfRule type="expression" dxfId="1042" priority="51" stopIfTrue="1">
      <formula>OR($B6=TODAY(),$B6=TODAY()-1)</formula>
    </cfRule>
  </conditionalFormatting>
  <conditionalFormatting sqref="D6:F7 G6:L21">
    <cfRule type="expression" dxfId="1041" priority="50" stopIfTrue="1">
      <formula>OR($B6=TODAY(),$B6=TODAY()-1)</formula>
    </cfRule>
  </conditionalFormatting>
  <conditionalFormatting sqref="D6:F7 G6:L21">
    <cfRule type="expression" dxfId="1040" priority="49" stopIfTrue="1">
      <formula>OR($B6=TODAY(),$B6=TODAY()-1)</formula>
    </cfRule>
  </conditionalFormatting>
  <conditionalFormatting sqref="G15:G21 G10:G13 G6 I7:M8 H17">
    <cfRule type="expression" dxfId="1039" priority="48" stopIfTrue="1">
      <formula>OR($B6=TODAY(),$B6=TODAY()-1)</formula>
    </cfRule>
  </conditionalFormatting>
  <conditionalFormatting sqref="D6:F7 G6:L21">
    <cfRule type="expression" dxfId="1038" priority="47" stopIfTrue="1">
      <formula>OR($B6=TODAY(),$B6=TODAY()-1)</formula>
    </cfRule>
  </conditionalFormatting>
  <conditionalFormatting sqref="G15:G21 G10:G13 G6 I7:M8 H17">
    <cfRule type="expression" dxfId="1037" priority="46" stopIfTrue="1">
      <formula>OR($B6=TODAY(),$B6=TODAY()-1)</formula>
    </cfRule>
  </conditionalFormatting>
  <conditionalFormatting sqref="D6:F7">
    <cfRule type="expression" dxfId="1036" priority="45" stopIfTrue="1">
      <formula>OR($B6=TODAY(),$B6=TODAY()-1)</formula>
    </cfRule>
  </conditionalFormatting>
  <conditionalFormatting sqref="G15:G21 G10:G13 G6 I7:M8 H17">
    <cfRule type="expression" dxfId="1035" priority="44" stopIfTrue="1">
      <formula>OR($B6=TODAY(),$B6=TODAY()-1)</formula>
    </cfRule>
  </conditionalFormatting>
  <conditionalFormatting sqref="D30:F31 D29">
    <cfRule type="expression" dxfId="1034" priority="43" stopIfTrue="1">
      <formula>OR($B29=TODAY(),$B29=TODAY()-1)</formula>
    </cfRule>
  </conditionalFormatting>
  <conditionalFormatting sqref="D30:F31 D29">
    <cfRule type="expression" dxfId="1033" priority="42" stopIfTrue="1">
      <formula>OR($B29=TODAY(),$B29=TODAY()-1)</formula>
    </cfRule>
  </conditionalFormatting>
  <conditionalFormatting sqref="D30:F31 D29">
    <cfRule type="expression" dxfId="1032" priority="41" stopIfTrue="1">
      <formula>OR($B29=TODAY(),$B29=TODAY()-1)</formula>
    </cfRule>
  </conditionalFormatting>
  <conditionalFormatting sqref="D30:F31 D29">
    <cfRule type="expression" dxfId="1031" priority="40" stopIfTrue="1">
      <formula>OR($B29=TODAY(),$B29=TODAY()-1)</formula>
    </cfRule>
  </conditionalFormatting>
  <conditionalFormatting sqref="D30:F31 D29">
    <cfRule type="expression" dxfId="1030" priority="39" stopIfTrue="1">
      <formula>OR($B29=TODAY(),$B29=TODAY()-1)</formula>
    </cfRule>
  </conditionalFormatting>
  <conditionalFormatting sqref="D30:F31 D29">
    <cfRule type="expression" dxfId="1029" priority="38" stopIfTrue="1">
      <formula>OR($B29=TODAY(),$B29=TODAY()-1)</formula>
    </cfRule>
  </conditionalFormatting>
  <conditionalFormatting sqref="D30:F31 D29">
    <cfRule type="expression" dxfId="1028" priority="37" stopIfTrue="1">
      <formula>OR($B29=TODAY(),$B29=TODAY()-1)</formula>
    </cfRule>
  </conditionalFormatting>
  <conditionalFormatting sqref="D30:F31 D29">
    <cfRule type="expression" dxfId="1027" priority="36" stopIfTrue="1">
      <formula>OR($B29=TODAY(),$B29=TODAY()-1)</formula>
    </cfRule>
  </conditionalFormatting>
  <conditionalFormatting sqref="D30:F31 D29">
    <cfRule type="expression" dxfId="1026" priority="35" stopIfTrue="1">
      <formula>OR($B29=TODAY(),$B29=TODAY()-1)</formula>
    </cfRule>
  </conditionalFormatting>
  <conditionalFormatting sqref="D30:F31 D29">
    <cfRule type="expression" dxfId="1025" priority="34" stopIfTrue="1">
      <formula>OR($B29=TODAY(),$B29=TODAY()-1)</formula>
    </cfRule>
  </conditionalFormatting>
  <conditionalFormatting sqref="D30:F31 D29">
    <cfRule type="expression" dxfId="1024" priority="33" stopIfTrue="1">
      <formula>OR($B29=TODAY(),$B29=TODAY()-1)</formula>
    </cfRule>
  </conditionalFormatting>
  <conditionalFormatting sqref="DP6:DQ37">
    <cfRule type="cellIs" dxfId="1023" priority="31" stopIfTrue="1" operator="lessThanOrEqual">
      <formula>$D$2</formula>
    </cfRule>
    <cfRule type="cellIs" dxfId="1022" priority="32" stopIfTrue="1" operator="greaterThan">
      <formula>$D$2</formula>
    </cfRule>
  </conditionalFormatting>
  <conditionalFormatting sqref="BZ6:BZ37 DH6:DH37 DJ6:DJ37 CS6:CS37">
    <cfRule type="cellIs" dxfId="1021" priority="29" stopIfTrue="1" operator="lessThanOrEqual">
      <formula>#REF!</formula>
    </cfRule>
    <cfRule type="cellIs" dxfId="1020" priority="30" stopIfTrue="1" operator="greaterThan">
      <formula>#REF!</formula>
    </cfRule>
  </conditionalFormatting>
  <conditionalFormatting sqref="DL6:DL37">
    <cfRule type="cellIs" dxfId="1019" priority="27" stopIfTrue="1" operator="greaterThan">
      <formula>$D$3</formula>
    </cfRule>
    <cfRule type="cellIs" dxfId="1018" priority="28" stopIfTrue="1" operator="lessThanOrEqual">
      <formula>$D$3</formula>
    </cfRule>
  </conditionalFormatting>
  <conditionalFormatting sqref="E20:F20">
    <cfRule type="expression" dxfId="1017" priority="26" stopIfTrue="1">
      <formula>OR($B20=TODAY(),$B20=TODAY()-1)</formula>
    </cfRule>
  </conditionalFormatting>
  <conditionalFormatting sqref="E20:F20">
    <cfRule type="expression" dxfId="1016" priority="25" stopIfTrue="1">
      <formula>OR($B20=TODAY(),$B20=TODAY()-1)</formula>
    </cfRule>
  </conditionalFormatting>
  <conditionalFormatting sqref="E20:F20">
    <cfRule type="expression" dxfId="1015" priority="24" stopIfTrue="1">
      <formula>OR($B20=TODAY(),$B20=TODAY()-1)</formula>
    </cfRule>
  </conditionalFormatting>
  <conditionalFormatting sqref="E20:F20">
    <cfRule type="expression" dxfId="1014" priority="23" stopIfTrue="1">
      <formula>OR($B20=TODAY(),$B20=TODAY()-1)</formula>
    </cfRule>
  </conditionalFormatting>
  <conditionalFormatting sqref="E20:F20">
    <cfRule type="expression" dxfId="1013" priority="22" stopIfTrue="1">
      <formula>OR($B20=TODAY(),$B20=TODAY()-1)</formula>
    </cfRule>
  </conditionalFormatting>
  <conditionalFormatting sqref="E20:F20">
    <cfRule type="expression" dxfId="1012" priority="21" stopIfTrue="1">
      <formula>OR($B20=TODAY(),$B20=TODAY()-1)</formula>
    </cfRule>
  </conditionalFormatting>
  <conditionalFormatting sqref="E20:F20">
    <cfRule type="expression" dxfId="1011" priority="20" stopIfTrue="1">
      <formula>OR($B20=TODAY(),$B20=TODAY()-1)</formula>
    </cfRule>
  </conditionalFormatting>
  <conditionalFormatting sqref="E20:F20">
    <cfRule type="expression" dxfId="1010" priority="19" stopIfTrue="1">
      <formula>OR($B20=TODAY(),$B20=TODAY()-1)</formula>
    </cfRule>
  </conditionalFormatting>
  <conditionalFormatting sqref="E20:F20">
    <cfRule type="expression" dxfId="1009" priority="18" stopIfTrue="1">
      <formula>OR($B20=TODAY(),$B20=TODAY()-1)</formula>
    </cfRule>
  </conditionalFormatting>
  <conditionalFormatting sqref="E20:F20">
    <cfRule type="expression" dxfId="1008" priority="17" stopIfTrue="1">
      <formula>OR($B20=TODAY(),$B20=TODAY()-1)</formula>
    </cfRule>
  </conditionalFormatting>
  <conditionalFormatting sqref="D34:F34">
    <cfRule type="expression" dxfId="1007" priority="16" stopIfTrue="1">
      <formula>OR($B34=TODAY(),$B34=TODAY()-1)</formula>
    </cfRule>
  </conditionalFormatting>
  <conditionalFormatting sqref="D34:F34">
    <cfRule type="expression" dxfId="1006" priority="15" stopIfTrue="1">
      <formula>OR($B34=TODAY(),$B34=TODAY()-1)</formula>
    </cfRule>
  </conditionalFormatting>
  <conditionalFormatting sqref="CH6:CH37">
    <cfRule type="cellIs" dxfId="1005" priority="13" stopIfTrue="1" operator="lessThanOrEqual">
      <formula>#REF!</formula>
    </cfRule>
    <cfRule type="cellIs" dxfId="1004" priority="14" stopIfTrue="1" operator="greaterThan">
      <formula>#REF!</formula>
    </cfRule>
  </conditionalFormatting>
  <conditionalFormatting sqref="CL6:CL37 CP6:CP37 CV6:CV37">
    <cfRule type="cellIs" dxfId="1003" priority="11" operator="greaterThan">
      <formula>#REF!</formula>
    </cfRule>
    <cfRule type="cellIs" dxfId="1002" priority="12" operator="lessThanOrEqual">
      <formula>#REF!</formula>
    </cfRule>
  </conditionalFormatting>
  <conditionalFormatting sqref="G14">
    <cfRule type="expression" dxfId="1001" priority="10" stopIfTrue="1">
      <formula>OR($B15=TODAY(),$B15=TODAY()-1)</formula>
    </cfRule>
  </conditionalFormatting>
  <conditionalFormatting sqref="I16:M18">
    <cfRule type="expression" dxfId="1000" priority="9" stopIfTrue="1">
      <formula>OR($B16=TODAY(),$B16=TODAY()-1)</formula>
    </cfRule>
  </conditionalFormatting>
  <conditionalFormatting sqref="I16:M18">
    <cfRule type="expression" dxfId="999" priority="8" stopIfTrue="1">
      <formula>OR($B16=TODAY(),$B16=TODAY()-1)</formula>
    </cfRule>
  </conditionalFormatting>
  <conditionalFormatting sqref="I16:M18">
    <cfRule type="expression" dxfId="998" priority="7" stopIfTrue="1">
      <formula>OR($B16=TODAY(),$B16=TODAY()-1)</formula>
    </cfRule>
  </conditionalFormatting>
  <conditionalFormatting sqref="I16:M18">
    <cfRule type="expression" dxfId="997" priority="6" stopIfTrue="1">
      <formula>OR($B16=TODAY(),$B16=TODAY()-1)</formula>
    </cfRule>
  </conditionalFormatting>
  <conditionalFormatting sqref="D16">
    <cfRule type="expression" dxfId="996" priority="5" stopIfTrue="1">
      <formula>OR($B16=TODAY(),$B16=TODAY()-1)</formula>
    </cfRule>
  </conditionalFormatting>
  <conditionalFormatting sqref="G6:L21">
    <cfRule type="expression" dxfId="995" priority="4" stopIfTrue="1">
      <formula>OR($B6=TODAY(),$B6=TODAY()-1)</formula>
    </cfRule>
  </conditionalFormatting>
  <conditionalFormatting sqref="G6:L21">
    <cfRule type="expression" dxfId="994" priority="3" stopIfTrue="1">
      <formula>OR($B6=TODAY(),$B6=TODAY()-1)</formula>
    </cfRule>
  </conditionalFormatting>
  <conditionalFormatting sqref="G6:L21">
    <cfRule type="expression" dxfId="993" priority="2" stopIfTrue="1">
      <formula>OR($B6=TODAY(),$B6=TODAY()-1)</formula>
    </cfRule>
  </conditionalFormatting>
  <conditionalFormatting sqref="G15">
    <cfRule type="expression" dxfId="992" priority="1" stopIfTrue="1">
      <formula>OR($B16=TODAY(),$B16=TODAY()-1)</formula>
    </cfRule>
  </conditionalFormatting>
  <hyperlinks>
    <hyperlink ref="BA5" r:id="rId3" xr:uid="{00000000-0004-0000-1600-000000000000}"/>
  </hyperlinks>
  <pageMargins left="0.7" right="0.7" top="0.75" bottom="0.75" header="0.3" footer="0.3"/>
  <pageSetup orientation="portrait" r:id="rId4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GL78"/>
  <sheetViews>
    <sheetView showGridLines="0" zoomScale="80" zoomScaleNormal="80" workbookViewId="0">
      <pane xSplit="3" ySplit="5" topLeftCell="D22" activePane="bottomRight" state="frozen"/>
      <selection activeCell="FE12" sqref="FE12"/>
      <selection pane="topRight" activeCell="FE12" sqref="FE12"/>
      <selection pane="bottomLeft" activeCell="FE12" sqref="FE12"/>
      <selection pane="bottomRight" activeCell="B6" sqref="B6:B36"/>
    </sheetView>
  </sheetViews>
  <sheetFormatPr defaultRowHeight="15" outlineLevelCol="2"/>
  <cols>
    <col min="1" max="1" width="0.7109375" style="64" customWidth="1"/>
    <col min="2" max="2" width="6.5703125" style="64" customWidth="1"/>
    <col min="3" max="3" width="6.85546875" style="64" bestFit="1" customWidth="1"/>
    <col min="4" max="4" width="13.85546875" style="64" customWidth="1" outlineLevel="1"/>
    <col min="5" max="5" width="12" style="64" customWidth="1" outlineLevel="1"/>
    <col min="6" max="6" width="10" style="64" customWidth="1" outlineLevel="1"/>
    <col min="7" max="7" width="9.85546875" style="64" customWidth="1" outlineLevel="1"/>
    <col min="8" max="8" width="10.42578125" style="64" customWidth="1" outlineLevel="1"/>
    <col min="9" max="9" width="10.7109375" style="64" customWidth="1" outlineLevel="1"/>
    <col min="10" max="11" width="9.28515625" style="64" customWidth="1" outlineLevel="1"/>
    <col min="12" max="12" width="10.5703125" style="64" customWidth="1" outlineLevel="1"/>
    <col min="13" max="13" width="10.85546875" style="64" customWidth="1" outlineLevel="1"/>
    <col min="14" max="14" width="14.28515625" style="64" customWidth="1" outlineLevel="1"/>
    <col min="15" max="15" width="11" style="64" customWidth="1"/>
    <col min="16" max="16" width="11.85546875" style="64" customWidth="1" outlineLevel="1"/>
    <col min="17" max="17" width="1.42578125" style="64" customWidth="1"/>
    <col min="18" max="18" width="12.28515625" style="64" customWidth="1" outlineLevel="2"/>
    <col min="19" max="19" width="12.85546875" style="64" customWidth="1" outlineLevel="2"/>
    <col min="20" max="20" width="12.5703125" style="64" customWidth="1" outlineLevel="2"/>
    <col min="21" max="21" width="14.140625" style="64" customWidth="1" outlineLevel="2"/>
    <col min="22" max="22" width="9.42578125" style="64" customWidth="1" outlineLevel="2"/>
    <col min="23" max="23" width="10.7109375" style="64" customWidth="1" outlineLevel="2"/>
    <col min="24" max="24" width="11.5703125" style="64" customWidth="1" outlineLevel="2"/>
    <col min="25" max="26" width="10.7109375" style="64" customWidth="1" outlineLevel="2"/>
    <col min="27" max="27" width="11" style="64" customWidth="1" outlineLevel="1"/>
    <col min="28" max="29" width="12" style="64" customWidth="1" outlineLevel="2"/>
    <col min="30" max="31" width="10.85546875" style="64" customWidth="1" outlineLevel="1"/>
    <col min="32" max="32" width="12" style="64" customWidth="1" outlineLevel="2"/>
    <col min="33" max="33" width="8.140625" style="64" customWidth="1" outlineLevel="2"/>
    <col min="34" max="34" width="9.5703125" style="64" customWidth="1" outlineLevel="1"/>
    <col min="35" max="35" width="10.85546875" style="64" customWidth="1" outlineLevel="1"/>
    <col min="36" max="36" width="12" style="64" customWidth="1" outlineLevel="2"/>
    <col min="37" max="37" width="8.140625" style="64" customWidth="1" outlineLevel="2"/>
    <col min="38" max="38" width="9.5703125" style="64" customWidth="1" outlineLevel="1"/>
    <col min="39" max="39" width="10.85546875" style="64" customWidth="1" outlineLevel="1"/>
    <col min="40" max="40" width="9.5703125" style="64" customWidth="1" outlineLevel="2"/>
    <col min="41" max="41" width="9.5703125" style="64" customWidth="1" outlineLevel="1"/>
    <col min="42" max="42" width="9.5703125" style="64" customWidth="1" outlineLevel="2"/>
    <col min="43" max="43" width="9.5703125" style="64" customWidth="1" outlineLevel="1"/>
    <col min="44" max="44" width="11.28515625" style="64" customWidth="1" outlineLevel="2"/>
    <col min="45" max="45" width="9.140625" style="64" customWidth="1" outlineLevel="1"/>
    <col min="46" max="46" width="13.5703125" style="64" customWidth="1" outlineLevel="1"/>
    <col min="47" max="47" width="11.28515625" style="64" customWidth="1" outlineLevel="2"/>
    <col min="48" max="48" width="9.5703125" style="64" customWidth="1" outlineLevel="1"/>
    <col min="49" max="49" width="11.28515625" style="64" customWidth="1" outlineLevel="2"/>
    <col min="50" max="51" width="9.5703125" style="64" customWidth="1" outlineLevel="1"/>
    <col min="52" max="52" width="13.85546875" style="64" customWidth="1" outlineLevel="2"/>
    <col min="53" max="53" width="10.28515625" style="64" customWidth="1" outlineLevel="2"/>
    <col min="54" max="54" width="13.85546875" style="64" customWidth="1" outlineLevel="2"/>
    <col min="55" max="55" width="14.85546875" style="64" customWidth="1" outlineLevel="2"/>
    <col min="56" max="56" width="15.28515625" style="64" customWidth="1" outlineLevel="2"/>
    <col min="57" max="58" width="13.7109375" style="64" customWidth="1" outlineLevel="2"/>
    <col min="59" max="60" width="9.5703125" style="64" customWidth="1" outlineLevel="1"/>
    <col min="61" max="61" width="17" style="64" customWidth="1" outlineLevel="1"/>
    <col min="62" max="62" width="19.140625" style="64" customWidth="1" outlineLevel="1"/>
    <col min="63" max="63" width="2.28515625" style="261" customWidth="1"/>
    <col min="64" max="64" width="19.28515625" style="64" customWidth="1"/>
    <col min="65" max="65" width="14.28515625" style="64" customWidth="1"/>
    <col min="66" max="66" width="0.85546875" style="64" customWidth="1"/>
    <col min="67" max="67" width="12.28515625" style="64" customWidth="1" outlineLevel="2"/>
    <col min="68" max="68" width="12.42578125" style="64" customWidth="1" outlineLevel="2"/>
    <col min="69" max="69" width="12.5703125" style="64" customWidth="1" outlineLevel="2"/>
    <col min="70" max="72" width="9.42578125" style="64" customWidth="1" outlineLevel="2"/>
    <col min="73" max="73" width="21.42578125" style="64" customWidth="1" outlineLevel="1"/>
    <col min="74" max="74" width="12.28515625" style="64" customWidth="1" outlineLevel="2"/>
    <col min="75" max="75" width="12.42578125" style="64" customWidth="1" outlineLevel="2"/>
    <col min="76" max="76" width="12.5703125" style="64" customWidth="1" outlineLevel="2"/>
    <col min="77" max="77" width="9.42578125" style="64" customWidth="1" outlineLevel="2"/>
    <col min="78" max="78" width="13.7109375" style="64" customWidth="1" outlineLevel="1"/>
    <col min="79" max="79" width="0.42578125" style="64" customWidth="1" outlineLevel="1"/>
    <col min="80" max="80" width="11.7109375" style="64" customWidth="1" outlineLevel="2"/>
    <col min="81" max="81" width="9.7109375" style="64" customWidth="1" outlineLevel="1"/>
    <col min="82" max="82" width="11.42578125" style="64" customWidth="1" outlineLevel="1"/>
    <col min="83" max="83" width="12.85546875" style="64" customWidth="1" outlineLevel="1"/>
    <col min="84" max="84" width="13.7109375" style="64" customWidth="1" outlineLevel="2"/>
    <col min="85" max="85" width="11" style="64" customWidth="1" outlineLevel="2"/>
    <col min="86" max="86" width="8.7109375" style="64" customWidth="1" outlineLevel="1"/>
    <col min="87" max="87" width="0.140625" style="64" customWidth="1" outlineLevel="1"/>
    <col min="88" max="89" width="11.7109375" style="64" customWidth="1" outlineLevel="2"/>
    <col min="90" max="90" width="10.28515625" style="64" customWidth="1" outlineLevel="1"/>
    <col min="91" max="91" width="0.5703125" style="64" customWidth="1" outlineLevel="1"/>
    <col min="92" max="93" width="11.7109375" style="64" customWidth="1" outlineLevel="2"/>
    <col min="94" max="94" width="8.7109375" style="64" customWidth="1" outlineLevel="1"/>
    <col min="95" max="95" width="0.28515625" style="64" customWidth="1" outlineLevel="1"/>
    <col min="96" max="96" width="14.42578125" style="64" customWidth="1" outlineLevel="2"/>
    <col min="97" max="97" width="6.7109375" style="64" customWidth="1" outlineLevel="1"/>
    <col min="98" max="98" width="0.28515625" style="64" customWidth="1" outlineLevel="1"/>
    <col min="99" max="99" width="11" style="64" customWidth="1" outlineLevel="2"/>
    <col min="100" max="100" width="7.28515625" style="64" customWidth="1" outlineLevel="1"/>
    <col min="101" max="101" width="0.42578125" style="64" customWidth="1" outlineLevel="1"/>
    <col min="102" max="104" width="8.140625" style="64" customWidth="1" outlineLevel="1"/>
    <col min="105" max="105" width="8.42578125" style="64" customWidth="1" outlineLevel="1"/>
    <col min="106" max="106" width="10.42578125" style="64" customWidth="1" outlineLevel="2"/>
    <col min="107" max="107" width="9.7109375" style="64" customWidth="1" outlineLevel="2"/>
    <col min="108" max="108" width="18.28515625" style="64" customWidth="1" outlineLevel="2"/>
    <col min="109" max="109" width="14.85546875" style="64" customWidth="1" outlineLevel="2"/>
    <col min="110" max="110" width="17" style="64" customWidth="1" outlineLevel="2"/>
    <col min="111" max="111" width="14.85546875" style="64" customWidth="1" outlineLevel="2"/>
    <col min="112" max="112" width="11" style="64" customWidth="1" outlineLevel="1"/>
    <col min="113" max="113" width="0.28515625" style="64" customWidth="1" outlineLevel="1"/>
    <col min="114" max="114" width="9.85546875" style="64" customWidth="1" outlineLevel="1"/>
    <col min="115" max="115" width="0.42578125" style="64" customWidth="1" outlineLevel="1"/>
    <col min="116" max="116" width="9.85546875" style="64" customWidth="1" outlineLevel="1"/>
    <col min="117" max="117" width="0.42578125" style="64" customWidth="1" outlineLevel="1"/>
    <col min="118" max="118" width="13.140625" style="64" customWidth="1" outlineLevel="2"/>
    <col min="119" max="119" width="1.7109375" style="261" customWidth="1"/>
    <col min="120" max="120" width="16.42578125" style="64" customWidth="1"/>
    <col min="121" max="121" width="15.140625" style="64" customWidth="1"/>
    <col min="122" max="122" width="3.42578125" style="64" customWidth="1"/>
    <col min="123" max="123" width="8.42578125" style="64" customWidth="1"/>
    <col min="124" max="124" width="9.140625" style="64" customWidth="1"/>
    <col min="125" max="131" width="15.7109375" style="219" customWidth="1" outlineLevel="1"/>
    <col min="132" max="132" width="15.7109375" style="220" customWidth="1" outlineLevel="1"/>
    <col min="133" max="139" width="15.7109375" style="219" customWidth="1" outlineLevel="1"/>
    <col min="140" max="141" width="15.7109375" style="220" customWidth="1" outlineLevel="1"/>
    <col min="142" max="143" width="15.7109375" style="219" customWidth="1" outlineLevel="1"/>
    <col min="144" max="144" width="15.7109375" style="220" customWidth="1" outlineLevel="1"/>
    <col min="145" max="145" width="15.7109375" style="219" customWidth="1" outlineLevel="1"/>
    <col min="146" max="153" width="15.7109375" style="220" customWidth="1" outlineLevel="1"/>
    <col min="154" max="159" width="15.7109375" style="219" customWidth="1" outlineLevel="1"/>
    <col min="160" max="160" width="20.5703125" style="220" customWidth="1"/>
    <col min="161" max="162" width="11.85546875" style="220" customWidth="1" outlineLevel="1"/>
    <col min="163" max="169" width="10.7109375" style="220" customWidth="1" outlineLevel="1"/>
    <col min="170" max="170" width="15.5703125" style="220" customWidth="1"/>
    <col min="171" max="171" width="20.5703125" style="220" customWidth="1"/>
    <col min="172" max="172" width="77.140625" style="64" customWidth="1"/>
    <col min="173" max="173" width="9.140625" style="9"/>
    <col min="174" max="179" width="9.140625" style="9" hidden="1" customWidth="1"/>
    <col min="180" max="181" width="9.140625" style="9"/>
    <col min="182" max="182" width="12.28515625" style="9" customWidth="1"/>
    <col min="183" max="183" width="12" style="64" customWidth="1"/>
    <col min="184" max="184" width="9.28515625" style="64" bestFit="1" customWidth="1"/>
    <col min="185" max="185" width="9.140625" style="64"/>
    <col min="186" max="187" width="13.5703125" style="64" customWidth="1"/>
    <col min="188" max="188" width="9.7109375" style="64" bestFit="1" customWidth="1"/>
    <col min="189" max="189" width="9.140625" style="64"/>
    <col min="190" max="190" width="10.85546875" style="64" customWidth="1"/>
    <col min="191" max="191" width="15" style="64" customWidth="1"/>
    <col min="192" max="192" width="13.7109375" style="64" customWidth="1"/>
    <col min="193" max="194" width="9.140625" style="10"/>
    <col min="195" max="16384" width="9.140625" style="64"/>
  </cols>
  <sheetData>
    <row r="1" spans="1:194" s="4" customFormat="1">
      <c r="A1" s="1"/>
      <c r="B1" s="2" t="s">
        <v>193</v>
      </c>
      <c r="C1" s="1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AA1" s="5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5"/>
      <c r="AS1" s="5"/>
      <c r="AT1" s="5"/>
      <c r="AU1" s="5"/>
      <c r="AV1" s="6"/>
      <c r="AW1" s="5"/>
      <c r="AX1" s="6"/>
      <c r="AY1" s="6"/>
      <c r="AZ1" s="6"/>
      <c r="BA1" s="6"/>
      <c r="BB1" s="6"/>
      <c r="BD1" s="5"/>
      <c r="BE1" s="5"/>
      <c r="BF1" s="5"/>
      <c r="BG1" s="6"/>
      <c r="BK1" s="7"/>
      <c r="DO1" s="7"/>
      <c r="DU1" s="8"/>
      <c r="DV1" s="8"/>
      <c r="DW1" s="8"/>
      <c r="DX1" s="8"/>
      <c r="DY1" s="8"/>
      <c r="DZ1" s="8"/>
      <c r="EA1" s="8"/>
      <c r="EB1" s="3"/>
      <c r="EC1" s="8"/>
      <c r="ED1" s="8"/>
      <c r="EE1" s="8"/>
      <c r="EF1" s="8"/>
      <c r="EG1" s="8"/>
      <c r="EH1" s="8"/>
      <c r="EI1" s="8"/>
      <c r="EJ1" s="3"/>
      <c r="EK1" s="3"/>
      <c r="EL1" s="8"/>
      <c r="EM1" s="8"/>
      <c r="EN1" s="3"/>
      <c r="EO1" s="8"/>
      <c r="EP1" s="3"/>
      <c r="EQ1" s="3"/>
      <c r="ER1" s="3"/>
      <c r="ES1" s="3"/>
      <c r="ET1" s="3"/>
      <c r="EU1" s="3"/>
      <c r="EV1" s="3"/>
      <c r="EW1" s="3"/>
      <c r="EX1" s="8"/>
      <c r="EY1" s="8"/>
      <c r="EZ1" s="8"/>
      <c r="FA1" s="8"/>
      <c r="FB1" s="8"/>
      <c r="FC1" s="8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Q1" s="9"/>
      <c r="FR1" s="9"/>
      <c r="FS1" s="9"/>
      <c r="FT1" s="9"/>
      <c r="FU1" s="9"/>
      <c r="FV1" s="9"/>
      <c r="FW1" s="9"/>
      <c r="FX1" s="9"/>
      <c r="FY1" s="9"/>
      <c r="FZ1" s="9"/>
      <c r="GK1" s="10"/>
      <c r="GL1" s="10"/>
    </row>
    <row r="2" spans="1:194" s="4" customFormat="1" ht="13.5" customHeight="1">
      <c r="B2" s="11" t="s">
        <v>1</v>
      </c>
      <c r="C2" s="12"/>
      <c r="D2" s="13" t="s">
        <v>194</v>
      </c>
      <c r="E2" s="14"/>
      <c r="F2" s="14"/>
      <c r="G2" s="3"/>
      <c r="H2" s="12"/>
      <c r="I2" s="12"/>
      <c r="J2" s="12"/>
      <c r="K2" s="12"/>
      <c r="L2" s="12"/>
      <c r="M2" s="12"/>
      <c r="N2" s="12"/>
      <c r="R2" s="15"/>
      <c r="S2" s="15"/>
      <c r="T2" s="15"/>
      <c r="U2" s="15"/>
      <c r="V2" s="16"/>
      <c r="W2" s="16"/>
      <c r="X2" s="16"/>
      <c r="Y2" s="16"/>
      <c r="Z2" s="16"/>
      <c r="AA2" s="17"/>
      <c r="AB2" s="17"/>
      <c r="AC2" s="17"/>
      <c r="AD2" s="17"/>
      <c r="AE2" s="17"/>
      <c r="AF2" s="5"/>
      <c r="AG2" s="5"/>
      <c r="AH2" s="5"/>
      <c r="AI2" s="17"/>
      <c r="AJ2" s="5"/>
      <c r="AK2" s="5"/>
      <c r="AL2" s="5"/>
      <c r="AM2" s="17"/>
      <c r="AN2" s="5"/>
      <c r="AO2" s="5"/>
      <c r="AP2" s="5"/>
      <c r="AQ2" s="5"/>
      <c r="AR2" s="17"/>
      <c r="AS2" s="17"/>
      <c r="AT2" s="17"/>
      <c r="AU2" s="17"/>
      <c r="AV2" s="5"/>
      <c r="AW2" s="17"/>
      <c r="AX2" s="5"/>
      <c r="AY2" s="5"/>
      <c r="AZ2" s="5"/>
      <c r="BA2" s="5"/>
      <c r="BB2" s="5"/>
      <c r="BC2" s="6"/>
      <c r="BD2" s="18"/>
      <c r="BE2" s="18"/>
      <c r="BF2" s="18"/>
      <c r="BG2" s="5"/>
      <c r="BH2" s="5"/>
      <c r="BI2" s="19"/>
      <c r="BJ2" s="19"/>
      <c r="BK2" s="20"/>
      <c r="BL2" s="19"/>
      <c r="BM2" s="19"/>
      <c r="BN2" s="19"/>
      <c r="CG2" s="21"/>
      <c r="CK2" s="22"/>
      <c r="CO2" s="22"/>
      <c r="CU2" s="22"/>
      <c r="DO2" s="7"/>
      <c r="DU2" s="8"/>
      <c r="DV2" s="8"/>
      <c r="DW2" s="8"/>
      <c r="DX2" s="8"/>
      <c r="DY2" s="8"/>
      <c r="DZ2" s="8"/>
      <c r="EA2" s="8"/>
      <c r="EB2" s="3"/>
      <c r="EC2" s="8"/>
      <c r="ED2" s="8"/>
      <c r="EE2" s="8"/>
      <c r="EF2" s="8"/>
      <c r="EG2" s="8"/>
      <c r="EH2" s="8"/>
      <c r="EI2" s="8"/>
      <c r="EJ2" s="9"/>
      <c r="EK2" s="9"/>
      <c r="EL2" s="8"/>
      <c r="EM2" s="8"/>
      <c r="EN2" s="9"/>
      <c r="EO2" s="8"/>
      <c r="EP2" s="9"/>
      <c r="EQ2" s="9"/>
      <c r="ER2" s="9"/>
      <c r="ES2" s="9"/>
      <c r="ET2" s="9"/>
      <c r="EU2" s="9"/>
      <c r="EV2" s="9"/>
      <c r="EW2" s="3"/>
      <c r="EX2" s="8"/>
      <c r="EY2" s="8"/>
      <c r="EZ2" s="8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246"/>
      <c r="FP2" s="23"/>
      <c r="FQ2" s="9"/>
      <c r="FR2" s="9"/>
      <c r="GK2" s="10"/>
      <c r="GL2" s="10"/>
    </row>
    <row r="3" spans="1:194" s="4" customFormat="1" ht="30" customHeight="1">
      <c r="D3" s="21"/>
      <c r="E3" s="24"/>
      <c r="F3" s="24"/>
      <c r="G3" s="3"/>
      <c r="H3" s="3"/>
      <c r="I3" s="3"/>
      <c r="J3" s="3"/>
      <c r="K3" s="3"/>
      <c r="L3" s="3"/>
      <c r="M3" s="3"/>
      <c r="N3" s="3"/>
      <c r="P3" s="25"/>
      <c r="R3" s="26"/>
      <c r="S3" s="26"/>
      <c r="T3" s="26"/>
      <c r="U3" s="26"/>
      <c r="V3" s="27"/>
      <c r="W3" s="27"/>
      <c r="X3" s="27"/>
      <c r="Y3" s="27"/>
      <c r="Z3" s="27"/>
      <c r="AA3" s="27"/>
      <c r="AB3" s="27"/>
      <c r="AC3" s="27"/>
      <c r="AD3" s="28"/>
      <c r="AE3" s="28"/>
      <c r="AF3" s="26"/>
      <c r="AG3" s="26"/>
      <c r="AH3" s="28"/>
      <c r="AI3" s="28"/>
      <c r="AJ3" s="26"/>
      <c r="AK3" s="26"/>
      <c r="AL3" s="26"/>
      <c r="AM3" s="28"/>
      <c r="AN3" s="26"/>
      <c r="AO3" s="26"/>
      <c r="AP3" s="26"/>
      <c r="AQ3" s="26"/>
      <c r="AR3" s="27"/>
      <c r="AS3" s="27"/>
      <c r="AT3" s="27"/>
      <c r="AU3" s="27"/>
      <c r="AV3" s="26"/>
      <c r="AW3" s="27"/>
      <c r="AX3" s="26"/>
      <c r="AY3" s="26"/>
      <c r="AZ3" s="26"/>
      <c r="BA3" s="26"/>
      <c r="BB3" s="26"/>
      <c r="BC3" s="29"/>
      <c r="BD3" s="27"/>
      <c r="BE3" s="27"/>
      <c r="BF3" s="27"/>
      <c r="BG3" s="26"/>
      <c r="BH3" s="26"/>
      <c r="BI3" s="30"/>
      <c r="BJ3" s="30"/>
      <c r="BK3" s="31"/>
      <c r="BL3" s="30"/>
      <c r="BM3" s="30"/>
      <c r="BN3" s="30"/>
      <c r="BO3" s="32" t="s">
        <v>4</v>
      </c>
      <c r="DO3" s="7"/>
      <c r="DU3" s="33" t="s">
        <v>5</v>
      </c>
      <c r="DV3" s="34" t="s">
        <v>6</v>
      </c>
      <c r="DW3" s="34" t="s">
        <v>7</v>
      </c>
      <c r="DX3" s="34" t="s">
        <v>8</v>
      </c>
      <c r="DY3" s="34" t="s">
        <v>9</v>
      </c>
      <c r="DZ3" s="34" t="s">
        <v>10</v>
      </c>
      <c r="EA3" s="34" t="s">
        <v>11</v>
      </c>
      <c r="EB3" s="34" t="s">
        <v>12</v>
      </c>
      <c r="EC3" s="34" t="s">
        <v>13</v>
      </c>
      <c r="ED3" s="34" t="s">
        <v>14</v>
      </c>
      <c r="EE3" s="34" t="s">
        <v>15</v>
      </c>
      <c r="EF3" s="34" t="s">
        <v>16</v>
      </c>
      <c r="EG3" s="34" t="s">
        <v>17</v>
      </c>
      <c r="EH3" s="34" t="s">
        <v>18</v>
      </c>
      <c r="EI3" s="34" t="s">
        <v>19</v>
      </c>
      <c r="EJ3" s="34" t="s">
        <v>20</v>
      </c>
      <c r="EK3" s="34" t="s">
        <v>21</v>
      </c>
      <c r="EL3" s="34" t="s">
        <v>22</v>
      </c>
      <c r="EM3" s="34" t="s">
        <v>23</v>
      </c>
      <c r="EN3" s="34" t="s">
        <v>24</v>
      </c>
      <c r="EO3" s="35" t="s">
        <v>25</v>
      </c>
      <c r="EP3" s="35" t="s">
        <v>26</v>
      </c>
      <c r="EQ3" s="34" t="s">
        <v>27</v>
      </c>
      <c r="ER3" s="34" t="s">
        <v>28</v>
      </c>
      <c r="ES3" s="34" t="s">
        <v>29</v>
      </c>
      <c r="ET3" s="34" t="s">
        <v>30</v>
      </c>
      <c r="EU3" s="34" t="s">
        <v>31</v>
      </c>
      <c r="EV3" s="34" t="s">
        <v>32</v>
      </c>
      <c r="EW3" s="34" t="s">
        <v>33</v>
      </c>
      <c r="EX3" s="34" t="s">
        <v>34</v>
      </c>
      <c r="EY3" s="35" t="s">
        <v>35</v>
      </c>
      <c r="EZ3" s="34" t="s">
        <v>36</v>
      </c>
      <c r="FA3" s="35" t="s">
        <v>37</v>
      </c>
      <c r="FB3" s="36" t="s">
        <v>38</v>
      </c>
      <c r="FC3" s="577" t="s">
        <v>39</v>
      </c>
      <c r="FD3" s="37" t="s">
        <v>40</v>
      </c>
      <c r="FE3" s="38" t="s">
        <v>41</v>
      </c>
      <c r="FF3" s="38" t="s">
        <v>42</v>
      </c>
      <c r="FG3" s="38" t="s">
        <v>43</v>
      </c>
      <c r="FH3" s="38" t="s">
        <v>44</v>
      </c>
      <c r="FI3" s="38" t="s">
        <v>45</v>
      </c>
      <c r="FJ3" s="38" t="s">
        <v>46</v>
      </c>
      <c r="FK3" s="38" t="s">
        <v>47</v>
      </c>
      <c r="FL3" s="38" t="s">
        <v>48</v>
      </c>
      <c r="FM3" s="39" t="s">
        <v>49</v>
      </c>
      <c r="FN3" s="38" t="s">
        <v>50</v>
      </c>
      <c r="FO3" s="40" t="s">
        <v>51</v>
      </c>
      <c r="FP3" s="41" t="s">
        <v>52</v>
      </c>
      <c r="FQ3" s="9"/>
      <c r="GK3" s="10"/>
      <c r="GL3" s="10"/>
    </row>
    <row r="4" spans="1:194" s="4" customFormat="1" ht="26.25" customHeight="1">
      <c r="B4" s="33" t="s">
        <v>53</v>
      </c>
      <c r="C4" s="42"/>
      <c r="D4" s="43" t="s">
        <v>54</v>
      </c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2"/>
      <c r="R4" s="45" t="s">
        <v>55</v>
      </c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7"/>
      <c r="BL4" s="48" t="s">
        <v>55</v>
      </c>
      <c r="BM4" s="48"/>
      <c r="BN4" s="47"/>
      <c r="BO4" s="32" t="s">
        <v>56</v>
      </c>
      <c r="BP4" s="32"/>
      <c r="BQ4" s="32"/>
      <c r="BR4" s="32"/>
      <c r="BS4" s="32"/>
      <c r="BT4" s="32"/>
      <c r="BU4" s="32"/>
      <c r="BV4" s="32" t="s">
        <v>57</v>
      </c>
      <c r="BW4" s="32"/>
      <c r="BX4" s="32"/>
      <c r="BY4" s="32"/>
      <c r="BZ4" s="32"/>
      <c r="CA4" s="32"/>
      <c r="CB4" s="32"/>
      <c r="CC4" s="32"/>
      <c r="CD4" s="32"/>
      <c r="CE4" s="32"/>
      <c r="CF4" s="581" t="s">
        <v>56</v>
      </c>
      <c r="CG4" s="581"/>
      <c r="CH4" s="581"/>
      <c r="CI4" s="49"/>
      <c r="CJ4" s="581" t="s">
        <v>56</v>
      </c>
      <c r="CK4" s="581"/>
      <c r="CL4" s="581"/>
      <c r="CM4" s="49"/>
      <c r="CN4" s="581" t="s">
        <v>56</v>
      </c>
      <c r="CO4" s="581"/>
      <c r="CP4" s="581"/>
      <c r="CQ4" s="49"/>
      <c r="CR4" s="581" t="s">
        <v>56</v>
      </c>
      <c r="CS4" s="581"/>
      <c r="CT4" s="581"/>
      <c r="CU4" s="581" t="s">
        <v>56</v>
      </c>
      <c r="CV4" s="581"/>
      <c r="CW4" s="581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50"/>
      <c r="DP4" s="32" t="s">
        <v>58</v>
      </c>
      <c r="DQ4" s="51"/>
      <c r="DR4" s="52"/>
      <c r="DS4" s="53"/>
      <c r="DT4" s="33" t="s">
        <v>53</v>
      </c>
      <c r="DU4" s="34"/>
      <c r="DV4" s="34"/>
      <c r="DW4" s="34"/>
      <c r="DX4" s="34"/>
      <c r="DY4" s="34"/>
      <c r="DZ4" s="34"/>
      <c r="EA4" s="34"/>
      <c r="EB4" s="34"/>
      <c r="EC4" s="34"/>
      <c r="ED4" s="34"/>
      <c r="EE4" s="34"/>
      <c r="EF4" s="34"/>
      <c r="EG4" s="34"/>
      <c r="EH4" s="34"/>
      <c r="EI4" s="34"/>
      <c r="EJ4" s="34"/>
      <c r="EK4" s="34"/>
      <c r="EL4" s="34"/>
      <c r="EM4" s="34"/>
      <c r="EN4" s="34"/>
      <c r="EO4" s="34"/>
      <c r="EP4" s="34"/>
      <c r="EQ4" s="34"/>
      <c r="ER4" s="34"/>
      <c r="ES4" s="34"/>
      <c r="ET4" s="34"/>
      <c r="EU4" s="34"/>
      <c r="EV4" s="34"/>
      <c r="EW4" s="34"/>
      <c r="EX4" s="34"/>
      <c r="EY4" s="34"/>
      <c r="EZ4" s="34"/>
      <c r="FA4" s="34"/>
      <c r="FB4" s="54"/>
      <c r="FC4" s="578"/>
      <c r="FD4" s="55"/>
      <c r="FE4" s="54"/>
      <c r="FF4" s="54"/>
      <c r="FG4" s="54"/>
      <c r="FH4" s="54"/>
      <c r="FI4" s="54"/>
      <c r="FJ4" s="54"/>
      <c r="FK4" s="54"/>
      <c r="FL4" s="54"/>
      <c r="FM4" s="56"/>
      <c r="FN4" s="57"/>
      <c r="FO4" s="58"/>
      <c r="FP4" s="59"/>
      <c r="FZ4" s="60"/>
      <c r="GA4" s="60"/>
      <c r="GB4" s="60"/>
      <c r="GC4" s="60"/>
      <c r="GD4" s="61" t="s">
        <v>59</v>
      </c>
      <c r="GE4" s="61"/>
      <c r="GF4" s="61"/>
      <c r="GG4" s="62"/>
      <c r="GH4" s="34" t="s">
        <v>60</v>
      </c>
      <c r="GI4" s="63" t="s">
        <v>61</v>
      </c>
      <c r="GJ4" s="63"/>
    </row>
    <row r="5" spans="1:194" ht="36" customHeight="1">
      <c r="B5" s="75"/>
      <c r="C5" s="65"/>
      <c r="D5" s="66" t="s">
        <v>62</v>
      </c>
      <c r="E5" s="66" t="s">
        <v>63</v>
      </c>
      <c r="F5" s="66" t="s">
        <v>64</v>
      </c>
      <c r="G5" s="66" t="s">
        <v>65</v>
      </c>
      <c r="H5" s="66" t="s">
        <v>66</v>
      </c>
      <c r="I5" s="66" t="s">
        <v>19</v>
      </c>
      <c r="J5" s="66" t="s">
        <v>20</v>
      </c>
      <c r="K5" s="66" t="s">
        <v>21</v>
      </c>
      <c r="L5" s="67" t="s">
        <v>67</v>
      </c>
      <c r="M5" s="67" t="s">
        <v>68</v>
      </c>
      <c r="N5" s="66" t="s">
        <v>69</v>
      </c>
      <c r="O5" s="66" t="s">
        <v>70</v>
      </c>
      <c r="P5" s="66" t="s">
        <v>71</v>
      </c>
      <c r="Q5" s="65"/>
      <c r="R5" s="66" t="s">
        <v>22</v>
      </c>
      <c r="S5" s="66" t="s">
        <v>72</v>
      </c>
      <c r="T5" s="66" t="s">
        <v>23</v>
      </c>
      <c r="U5" s="66" t="s">
        <v>73</v>
      </c>
      <c r="V5" s="66" t="s">
        <v>74</v>
      </c>
      <c r="W5" s="68" t="s">
        <v>75</v>
      </c>
      <c r="X5" s="66" t="s">
        <v>76</v>
      </c>
      <c r="Y5" s="66" t="s">
        <v>27</v>
      </c>
      <c r="Z5" s="66" t="s">
        <v>28</v>
      </c>
      <c r="AA5" s="67" t="s">
        <v>77</v>
      </c>
      <c r="AB5" s="67" t="s">
        <v>78</v>
      </c>
      <c r="AC5" s="66" t="s">
        <v>6</v>
      </c>
      <c r="AD5" s="67" t="s">
        <v>79</v>
      </c>
      <c r="AE5" s="67" t="s">
        <v>80</v>
      </c>
      <c r="AF5" s="67" t="s">
        <v>8</v>
      </c>
      <c r="AG5" s="66" t="s">
        <v>9</v>
      </c>
      <c r="AH5" s="67" t="s">
        <v>81</v>
      </c>
      <c r="AI5" s="67" t="s">
        <v>82</v>
      </c>
      <c r="AJ5" s="67" t="s">
        <v>11</v>
      </c>
      <c r="AK5" s="66" t="s">
        <v>12</v>
      </c>
      <c r="AL5" s="67" t="s">
        <v>83</v>
      </c>
      <c r="AM5" s="67" t="s">
        <v>84</v>
      </c>
      <c r="AN5" s="66" t="s">
        <v>14</v>
      </c>
      <c r="AO5" s="66" t="s">
        <v>65</v>
      </c>
      <c r="AP5" s="66" t="s">
        <v>17</v>
      </c>
      <c r="AQ5" s="66" t="s">
        <v>66</v>
      </c>
      <c r="AR5" s="67" t="s">
        <v>85</v>
      </c>
      <c r="AS5" s="66" t="s">
        <v>86</v>
      </c>
      <c r="AT5" s="67" t="s">
        <v>87</v>
      </c>
      <c r="AU5" s="67" t="s">
        <v>88</v>
      </c>
      <c r="AV5" s="66">
        <v>561</v>
      </c>
      <c r="AW5" s="67" t="s">
        <v>89</v>
      </c>
      <c r="AX5" s="66">
        <v>562</v>
      </c>
      <c r="AY5" s="66" t="s">
        <v>21</v>
      </c>
      <c r="AZ5" s="66" t="s">
        <v>33</v>
      </c>
      <c r="BA5" s="66" t="s">
        <v>90</v>
      </c>
      <c r="BB5" s="66" t="s">
        <v>34</v>
      </c>
      <c r="BC5" s="66" t="s">
        <v>91</v>
      </c>
      <c r="BD5" s="68" t="s">
        <v>92</v>
      </c>
      <c r="BE5" s="66" t="s">
        <v>113</v>
      </c>
      <c r="BF5" s="66" t="s">
        <v>114</v>
      </c>
      <c r="BG5" s="66" t="s">
        <v>95</v>
      </c>
      <c r="BH5" s="66" t="s">
        <v>96</v>
      </c>
      <c r="BI5" s="66" t="s">
        <v>97</v>
      </c>
      <c r="BJ5" s="66" t="s">
        <v>98</v>
      </c>
      <c r="BK5" s="69"/>
      <c r="BL5" s="66" t="s">
        <v>99</v>
      </c>
      <c r="BM5" s="70" t="s">
        <v>71</v>
      </c>
      <c r="BN5" s="69"/>
      <c r="BO5" s="67" t="s">
        <v>22</v>
      </c>
      <c r="BP5" s="67" t="s">
        <v>100</v>
      </c>
      <c r="BQ5" s="67" t="s">
        <v>23</v>
      </c>
      <c r="BR5" s="67" t="s">
        <v>74</v>
      </c>
      <c r="BS5" s="67" t="s">
        <v>27</v>
      </c>
      <c r="BT5" s="67" t="s">
        <v>28</v>
      </c>
      <c r="BU5" s="67" t="s">
        <v>101</v>
      </c>
      <c r="BV5" s="67" t="s">
        <v>22</v>
      </c>
      <c r="BW5" s="67" t="s">
        <v>100</v>
      </c>
      <c r="BX5" s="67" t="s">
        <v>23</v>
      </c>
      <c r="BY5" s="67" t="s">
        <v>74</v>
      </c>
      <c r="BZ5" s="67" t="s">
        <v>102</v>
      </c>
      <c r="CA5" s="71" t="s">
        <v>1</v>
      </c>
      <c r="CB5" s="66" t="s">
        <v>103</v>
      </c>
      <c r="CC5" s="66" t="s">
        <v>86</v>
      </c>
      <c r="CD5" s="67" t="s">
        <v>104</v>
      </c>
      <c r="CE5" s="67" t="s">
        <v>105</v>
      </c>
      <c r="CF5" s="66" t="s">
        <v>78</v>
      </c>
      <c r="CG5" s="66" t="s">
        <v>6</v>
      </c>
      <c r="CH5" s="67" t="s">
        <v>106</v>
      </c>
      <c r="CI5" s="71" t="s">
        <v>1</v>
      </c>
      <c r="CJ5" s="66" t="s">
        <v>8</v>
      </c>
      <c r="CK5" s="66" t="s">
        <v>9</v>
      </c>
      <c r="CL5" s="67" t="s">
        <v>107</v>
      </c>
      <c r="CM5" s="71" t="s">
        <v>1</v>
      </c>
      <c r="CN5" s="66" t="s">
        <v>11</v>
      </c>
      <c r="CO5" s="66" t="s">
        <v>12</v>
      </c>
      <c r="CP5" s="66" t="s">
        <v>108</v>
      </c>
      <c r="CQ5" s="71" t="s">
        <v>1</v>
      </c>
      <c r="CR5" s="66" t="s">
        <v>109</v>
      </c>
      <c r="CS5" s="66" t="s">
        <v>65</v>
      </c>
      <c r="CT5" s="71" t="s">
        <v>1</v>
      </c>
      <c r="CU5" s="66" t="s">
        <v>17</v>
      </c>
      <c r="CV5" s="66" t="s">
        <v>66</v>
      </c>
      <c r="CW5" s="71" t="s">
        <v>1</v>
      </c>
      <c r="CX5" s="67" t="s">
        <v>110</v>
      </c>
      <c r="CY5" s="66" t="s">
        <v>19</v>
      </c>
      <c r="CZ5" s="67" t="s">
        <v>111</v>
      </c>
      <c r="DA5" s="66" t="s">
        <v>112</v>
      </c>
      <c r="DB5" s="66" t="s">
        <v>33</v>
      </c>
      <c r="DC5" s="66" t="s">
        <v>34</v>
      </c>
      <c r="DD5" s="66" t="s">
        <v>91</v>
      </c>
      <c r="DE5" s="66" t="s">
        <v>92</v>
      </c>
      <c r="DF5" s="66" t="s">
        <v>113</v>
      </c>
      <c r="DG5" s="66" t="s">
        <v>114</v>
      </c>
      <c r="DH5" s="67" t="s">
        <v>115</v>
      </c>
      <c r="DI5" s="71" t="s">
        <v>1</v>
      </c>
      <c r="DJ5" s="66" t="s">
        <v>96</v>
      </c>
      <c r="DK5" s="71" t="s">
        <v>1</v>
      </c>
      <c r="DL5" s="66" t="s">
        <v>97</v>
      </c>
      <c r="DM5" s="71" t="s">
        <v>1</v>
      </c>
      <c r="DN5" s="67" t="s">
        <v>98</v>
      </c>
      <c r="DO5" s="69"/>
      <c r="DP5" s="66" t="s">
        <v>116</v>
      </c>
      <c r="DQ5" s="72" t="s">
        <v>71</v>
      </c>
      <c r="DR5" s="73" t="s">
        <v>1</v>
      </c>
      <c r="DS5" s="74"/>
      <c r="DT5" s="75"/>
      <c r="DU5" s="76">
        <v>612383</v>
      </c>
      <c r="DV5" s="76">
        <v>23762</v>
      </c>
      <c r="DW5" s="76">
        <v>5103094</v>
      </c>
      <c r="DX5" s="76">
        <v>105574</v>
      </c>
      <c r="DY5" s="76">
        <v>81730</v>
      </c>
      <c r="DZ5" s="76">
        <v>371465</v>
      </c>
      <c r="EA5" s="77">
        <v>214931</v>
      </c>
      <c r="EB5" s="77">
        <v>49942</v>
      </c>
      <c r="EC5" s="77">
        <v>377768</v>
      </c>
      <c r="ED5" s="76">
        <v>45165</v>
      </c>
      <c r="EE5" s="77">
        <v>36816</v>
      </c>
      <c r="EF5" s="77">
        <v>38820</v>
      </c>
      <c r="EG5" s="76">
        <v>89565</v>
      </c>
      <c r="EH5" s="76">
        <v>176524</v>
      </c>
      <c r="EI5" s="76">
        <v>29637</v>
      </c>
      <c r="EJ5" s="77">
        <v>38054</v>
      </c>
      <c r="EK5" s="77"/>
      <c r="EL5" s="76">
        <v>683103</v>
      </c>
      <c r="EM5" s="76">
        <v>460</v>
      </c>
      <c r="EN5" s="77">
        <v>40552</v>
      </c>
      <c r="EO5" s="76">
        <v>2888022</v>
      </c>
      <c r="EP5" s="77">
        <v>2766153</v>
      </c>
      <c r="EQ5" s="77">
        <v>194</v>
      </c>
      <c r="ER5" s="77">
        <v>1661</v>
      </c>
      <c r="ES5" s="77">
        <v>295345</v>
      </c>
      <c r="ET5" s="77">
        <v>2959088</v>
      </c>
      <c r="EU5" s="77">
        <v>384905</v>
      </c>
      <c r="EV5" s="77">
        <v>116475</v>
      </c>
      <c r="EW5" s="77">
        <v>78824</v>
      </c>
      <c r="EX5" s="76">
        <v>199278</v>
      </c>
      <c r="EY5" s="76">
        <v>1582543</v>
      </c>
      <c r="EZ5" s="76">
        <v>715797</v>
      </c>
      <c r="FA5" s="76">
        <v>726180</v>
      </c>
      <c r="FB5" s="77">
        <v>30450</v>
      </c>
      <c r="FC5" s="76">
        <v>6808</v>
      </c>
      <c r="FD5" s="78">
        <v>2337</v>
      </c>
      <c r="FE5" s="77"/>
      <c r="FF5" s="79"/>
      <c r="FG5" s="79"/>
      <c r="FH5" s="77"/>
      <c r="FI5" s="79"/>
      <c r="FJ5" s="77"/>
      <c r="FK5" s="79"/>
      <c r="FL5" s="79"/>
      <c r="FM5" s="79"/>
      <c r="FN5" s="80">
        <v>0</v>
      </c>
      <c r="FO5" s="77">
        <v>66314</v>
      </c>
      <c r="FP5" s="81" t="s">
        <v>195</v>
      </c>
      <c r="FQ5" s="64"/>
      <c r="FR5" s="64"/>
      <c r="FS5" s="64"/>
      <c r="FT5" s="64"/>
      <c r="FU5" s="64"/>
      <c r="FV5" s="64"/>
      <c r="FW5" s="64"/>
      <c r="FX5" s="64"/>
      <c r="FY5" s="64"/>
      <c r="FZ5" s="82" t="s">
        <v>117</v>
      </c>
      <c r="GA5" s="82" t="s">
        <v>118</v>
      </c>
      <c r="GB5" s="82" t="s">
        <v>119</v>
      </c>
      <c r="GC5" s="70" t="s">
        <v>120</v>
      </c>
      <c r="GD5" s="70" t="s">
        <v>121</v>
      </c>
      <c r="GE5" s="70" t="s">
        <v>122</v>
      </c>
      <c r="GF5" s="70" t="s">
        <v>74</v>
      </c>
      <c r="GG5" s="70" t="s">
        <v>120</v>
      </c>
      <c r="GH5" s="70" t="s">
        <v>120</v>
      </c>
      <c r="GI5" s="83" t="s">
        <v>123</v>
      </c>
      <c r="GJ5" s="70" t="s">
        <v>124</v>
      </c>
      <c r="GK5" s="64"/>
      <c r="GL5" s="64"/>
    </row>
    <row r="6" spans="1:194" ht="15" customHeight="1">
      <c r="A6" s="4"/>
      <c r="B6" s="573">
        <v>42826</v>
      </c>
      <c r="C6" s="53"/>
      <c r="D6" s="326">
        <v>3095.04</v>
      </c>
      <c r="E6" s="308">
        <v>3680.5200000000004</v>
      </c>
      <c r="F6" s="308">
        <v>1620.6479999999999</v>
      </c>
      <c r="G6" s="308"/>
      <c r="H6" s="308">
        <v>4101.7039999999997</v>
      </c>
      <c r="I6" s="308">
        <v>1216.4639999999999</v>
      </c>
      <c r="J6" s="308">
        <v>3990.2280000000001</v>
      </c>
      <c r="K6" s="308"/>
      <c r="L6" s="308"/>
      <c r="M6" s="87">
        <f>I6+J6</f>
        <v>5206.692</v>
      </c>
      <c r="N6" s="88">
        <f t="shared" ref="N6:N36" si="0">SUM(D6:H6)</f>
        <v>12497.912</v>
      </c>
      <c r="O6" s="88">
        <f>N6+L6+((J6+I6)*0.5)</f>
        <v>15101.258</v>
      </c>
      <c r="P6" s="89">
        <f>O6</f>
        <v>15101.258</v>
      </c>
      <c r="Q6" s="74"/>
      <c r="R6" s="90">
        <f>IF(EL6=0,"",(EL6-EL5))</f>
        <v>171</v>
      </c>
      <c r="S6" s="90">
        <f>IF(EZ6=0,"",((EZ6-EZ5)/10))</f>
        <v>4.4000000000000004</v>
      </c>
      <c r="T6" s="90">
        <f t="shared" ref="T6:T36" si="1">IF(EM6=0,"",((EM6/10)))</f>
        <v>140</v>
      </c>
      <c r="U6" s="90">
        <f>IF(FB6=0,"",((EN6-EN5)/10))</f>
        <v>5.4</v>
      </c>
      <c r="V6" s="90">
        <f>IF(EO6=0,"",(EO6-EO5))</f>
        <v>1272</v>
      </c>
      <c r="W6" s="91">
        <f t="shared" ref="W6:W36" si="2">IF(EP6=0,"",(EP6-EP5)/10)</f>
        <v>1317</v>
      </c>
      <c r="X6" s="90">
        <f>IF(V6="","",V6)</f>
        <v>1272</v>
      </c>
      <c r="Y6" s="90">
        <f>IF(EQ6=0,"0",(EQ6/10))</f>
        <v>83.7</v>
      </c>
      <c r="Z6" s="90">
        <f t="shared" ref="Z6:Z36" si="3">IF(ER6=0,"",(ER6/10))</f>
        <v>138.1</v>
      </c>
      <c r="AA6" s="90">
        <f>IF(SUM(R6:V6)=0,"",SUM(R6:V6))</f>
        <v>1592.8</v>
      </c>
      <c r="AB6" s="90">
        <f>IF(DU6=0,"",(DU6-DU5))</f>
        <v>180</v>
      </c>
      <c r="AC6" s="90">
        <f>IF(DV6=0,"",(DV6-DV5))</f>
        <v>28</v>
      </c>
      <c r="AD6" s="90">
        <f>(IF(SUM(AB6:AC6)&gt;=(DW6-DW5),(SUM(AB6:AC6)),(DW6-DW5)))</f>
        <v>342</v>
      </c>
      <c r="AE6" s="90">
        <f>IF(AB6="","",(AD6-AC6-AB6))</f>
        <v>134</v>
      </c>
      <c r="AF6" s="90">
        <f>IF(DX6=0,"",(DX6-DX5))</f>
        <v>222</v>
      </c>
      <c r="AG6" s="90">
        <f>IF(DY6=0,"",(DY6-DY5))</f>
        <v>7</v>
      </c>
      <c r="AH6" s="90">
        <f>(IF(SUM(AF6:AG6)&gt;=(DZ6-DZ5),(SUM(AF6:AG6)),(DZ6-DZ5)))</f>
        <v>293</v>
      </c>
      <c r="AI6" s="90">
        <f>IF(AF6="","",(AH6-AG6-AF6))</f>
        <v>64</v>
      </c>
      <c r="AJ6" s="90">
        <f>IF(EA6=0,"",(EA6-EA5))</f>
        <v>210</v>
      </c>
      <c r="AK6" s="90">
        <f>IF(EB6=0,"",(EB6-EB5))</f>
        <v>36</v>
      </c>
      <c r="AL6" s="90">
        <f>(IF(SUM(AJ6:AK6)&gt;=(EC6-EC5),(SUM(AJ6:AK6)),(EC6-EC5)))</f>
        <v>329</v>
      </c>
      <c r="AM6" s="90">
        <f>IF(AJ6="","",(AL6-AK6-AJ6))</f>
        <v>83</v>
      </c>
      <c r="AN6" s="90">
        <f>IF(ED6=0,"",(ED6-ED5))</f>
        <v>0</v>
      </c>
      <c r="AO6" s="90">
        <f t="shared" ref="AO6:AO36" si="4">IF(AN6="","",(EE6-EE5)+(EF6-EF5))</f>
        <v>12</v>
      </c>
      <c r="AP6" s="90">
        <f>IF(EG6=0,"",(EG6-EG5))</f>
        <v>19</v>
      </c>
      <c r="AQ6" s="90">
        <f t="shared" ref="AQ6:AQ36" si="5">IF(AP6=0.1,0,(IF(AP6&gt;=(EH6-EH5),(AP6),(EH6-EH5))))</f>
        <v>32</v>
      </c>
      <c r="AR6" s="90">
        <f>IF(ET6=0,"",(ET6-ET5)/1000)</f>
        <v>85.525999999999996</v>
      </c>
      <c r="AS6" s="90">
        <f>IF(AR6="","",(ES6-ES5)+((ET6-ET5)/1000)-AW6-AU6)</f>
        <v>87.525999999999954</v>
      </c>
      <c r="AT6" s="90">
        <f>IF(AR6="","",ES6-ES5+((ET6-ET5)/1000))</f>
        <v>672.52599999999995</v>
      </c>
      <c r="AU6" s="90">
        <f>IF(EV6="","",(EV6-EV5))</f>
        <v>225</v>
      </c>
      <c r="AV6" s="90">
        <f>IF(EI6=0,"",(EI6-EI5)+AU6)</f>
        <v>272</v>
      </c>
      <c r="AW6" s="90">
        <f>IF(EU6="","",(EU6-EU5))</f>
        <v>360</v>
      </c>
      <c r="AX6" s="90">
        <f>IF(EJ6=0,"",(EJ6-EJ5)+AW6)</f>
        <v>431</v>
      </c>
      <c r="AY6" s="90" t="str">
        <f>IF(EK6=0,"",(EK6-EL5))</f>
        <v/>
      </c>
      <c r="AZ6" s="90">
        <f>IF(EW6=0,"",EW6-EW5)</f>
        <v>298</v>
      </c>
      <c r="BA6" s="90">
        <v>49</v>
      </c>
      <c r="BB6" s="90">
        <f>IF(EX6=0,"",(EX6-EX5))</f>
        <v>117</v>
      </c>
      <c r="BC6" s="90">
        <f>IF(EY6=0,"",(EY6-EY5))</f>
        <v>1246</v>
      </c>
      <c r="BD6" s="91">
        <f>IF(FA6=0,"",(FA6-FA5))</f>
        <v>44</v>
      </c>
      <c r="BE6" s="90"/>
      <c r="BF6" s="90"/>
      <c r="BG6" s="90">
        <f t="shared" ref="BG6:BG30" si="6">IFERROR(SUM(BB6:BC6)+AZ6,"")</f>
        <v>1661</v>
      </c>
      <c r="BH6" s="90">
        <f>BL6-FC6</f>
        <v>202</v>
      </c>
      <c r="BI6" s="90">
        <f>IF(FC6=0,"",(FC6-BJ6))</f>
        <v>826.67399999999998</v>
      </c>
      <c r="BJ6" s="90">
        <f t="shared" ref="BJ6:BJ36" si="7">IF(BH6=0,"",(AA6+AD6+AO6+BG6+AH6+AL6+AQ6+AS6+AX6+AV6))</f>
        <v>5052.326</v>
      </c>
      <c r="BK6" s="92"/>
      <c r="BL6" s="93">
        <f>FD6+FN6</f>
        <v>6081</v>
      </c>
      <c r="BM6" s="93">
        <f>BL6</f>
        <v>6081</v>
      </c>
      <c r="BN6" s="92"/>
      <c r="BO6" s="94">
        <f>IF($N6&lt;&gt;0,IF($N6&lt;&gt;0,R6/$N6*10,0)," ")</f>
        <v>0.13682285488968077</v>
      </c>
      <c r="BP6" s="94">
        <f>IF($N6&lt;&gt;0,IF($N6&lt;&gt;0,S6/$N6*10,0)," ")</f>
        <v>3.520588079032722E-3</v>
      </c>
      <c r="BQ6" s="94">
        <f>IF($N6&lt;&gt;0,IF($N6&lt;&gt;0,T6/$N6*10,0)," ")</f>
        <v>0.11201871160558659</v>
      </c>
      <c r="BR6" s="94">
        <f>IF($N6&lt;&gt;0,IF($N6&lt;&gt;0,(V6)/$N6*10,0)," ")</f>
        <v>1.0177700083021868</v>
      </c>
      <c r="BS6" s="94">
        <f t="shared" ref="BS6:BU21" si="8">IF($N6&lt;&gt;0,IF($N6&lt;&gt;0,Y6/$N6*10,0)," ")</f>
        <v>6.6971186867054278E-2</v>
      </c>
      <c r="BT6" s="94">
        <f t="shared" si="8"/>
        <v>0.11049845766236792</v>
      </c>
      <c r="BU6" s="95">
        <f>IF($N6&lt;&gt;0,IF($N6&lt;&gt;0,AA6/$N6*10,0)," ")</f>
        <v>1.2744528846098451</v>
      </c>
      <c r="BV6" s="94">
        <f t="shared" ref="BV6:BX35" si="9">IF($O6&lt;&gt;0,IF($O6&lt;&gt;0,R6/$O6*10,0)," ")</f>
        <v>0.11323559931232219</v>
      </c>
      <c r="BW6" s="94">
        <f t="shared" si="9"/>
        <v>2.9136645437088755E-3</v>
      </c>
      <c r="BX6" s="94">
        <f t="shared" si="9"/>
        <v>9.2707508208918751E-2</v>
      </c>
      <c r="BY6" s="94">
        <f>IF($O6&lt;&gt;0,IF($O6&lt;&gt;0,(V6)/$O6*10,0)," ")</f>
        <v>0.84231393172674751</v>
      </c>
      <c r="BZ6" s="95">
        <f t="shared" ref="BZ6:BZ36" si="10">IF($O6&lt;&gt;0,IF($O6&lt;&gt;0,AA6/$O6*10,0)," ")</f>
        <v>1.0547465648226126</v>
      </c>
      <c r="CA6" s="96" t="e">
        <f>#REF!</f>
        <v>#REF!</v>
      </c>
      <c r="CB6" s="94">
        <f t="shared" ref="CB6:CC36" si="11">IF($O6&lt;&gt;0,IF($O6&lt;&gt;0,AR6/$O6*10,0)," ")</f>
        <v>5.6635016764828468E-2</v>
      </c>
      <c r="CC6" s="95">
        <f>IF($O6&lt;&gt;0,IF($O6&lt;&gt;0,AS6/$O6*10,0)," ")</f>
        <v>5.795940973924156E-2</v>
      </c>
      <c r="CD6" s="97">
        <f t="shared" ref="CD6:CE35" si="12">IFERROR(AR6*10/($I6+$J6),"")</f>
        <v>0.16426168477029177</v>
      </c>
      <c r="CE6" s="98">
        <f>IFERROR(AS6*10/($I6+$J6),"")</f>
        <v>0.16810289527400499</v>
      </c>
      <c r="CF6" s="94">
        <f>IF($D6&lt;&gt;0,IF($D6&lt;&gt;0,AB6/$D6*10,0),"0,00")</f>
        <v>0.58157568238213397</v>
      </c>
      <c r="CG6" s="94">
        <f>IF($D6&lt;&gt;0,IF($D6&lt;&gt;0,AC6/$D6*10,0),"0,00")</f>
        <v>9.0467328370554184E-2</v>
      </c>
      <c r="CH6" s="95">
        <f>IF($D6&lt;&gt;0,IF($O6&lt;&gt;0,AD6/$D6*10,0),"0,00 ")</f>
        <v>1.1049937965260546</v>
      </c>
      <c r="CI6" s="96" t="e">
        <f>#REF!</f>
        <v>#REF!</v>
      </c>
      <c r="CJ6" s="94">
        <f>IF($E6&lt;&gt;0,IF($E6&lt;&gt;0,AF6/$E6*10,0),"0,00")</f>
        <v>0.60317563822503328</v>
      </c>
      <c r="CK6" s="94">
        <f>IF($E6&lt;&gt;0,IF($E6&lt;&gt;0,AG6/$E6*10,0),"0,00")</f>
        <v>1.9019051655744294E-2</v>
      </c>
      <c r="CL6" s="95">
        <f>IF($E6&lt;&gt;0,IF($E6&lt;&gt;0,AH6/$E6*10,0),"0,00 ")</f>
        <v>0.79608316216186825</v>
      </c>
      <c r="CM6" s="95" t="e">
        <f>#REF!</f>
        <v>#REF!</v>
      </c>
      <c r="CN6" s="94">
        <f>IF($F6&lt;&gt;0,IF($F6&lt;&gt;0,AJ6/$F6*10,0),"0,00")</f>
        <v>1.2957779851022555</v>
      </c>
      <c r="CO6" s="94">
        <f>IF($F6&lt;&gt;0,IF($F6&lt;&gt;0,AK6/$F6*10,0),"0,00")</f>
        <v>0.22213336887467236</v>
      </c>
      <c r="CP6" s="95">
        <f>IF($F6&lt;&gt;0,IF($F6&lt;&gt;0,AL6/$F6*10,0),"0,00 ")</f>
        <v>2.0300521766602002</v>
      </c>
      <c r="CQ6" s="95" t="e">
        <f>#REF!</f>
        <v>#REF!</v>
      </c>
      <c r="CR6" s="97" t="str">
        <f>IF($G6&lt;&gt;0,IF($G6&lt;&gt;0,AN6/$G6*10,0),"0,00 ")</f>
        <v xml:space="preserve">0,00 </v>
      </c>
      <c r="CS6" s="95" t="str">
        <f>IF($G6&lt;&gt;0,IF($G6&lt;&gt;0,AO6/$G6*10,0),"0,00 ")</f>
        <v xml:space="preserve">0,00 </v>
      </c>
      <c r="CT6" s="96" t="e">
        <f>#REF!</f>
        <v>#REF!</v>
      </c>
      <c r="CU6" s="97">
        <f>IF($H6&lt;&gt;0,IF($H6&lt;&gt;0,AP6/$H6*10,0),"0,00 ")</f>
        <v>4.6322211451630832E-2</v>
      </c>
      <c r="CV6" s="95">
        <f>IF($H6&lt;&gt;0,IF($H6&lt;&gt;0,AQ6/$H6*10,0),"0,00 ")</f>
        <v>7.8016356129062464E-2</v>
      </c>
      <c r="CW6" s="96" t="e">
        <f>#REF!</f>
        <v>#REF!</v>
      </c>
      <c r="CX6" s="99">
        <f>IF($O6&lt;&gt;0,IF($O6&lt;&gt;0,AU6/$O6*10,0)," ")</f>
        <v>0.14899420962147658</v>
      </c>
      <c r="CY6" s="95">
        <f>IF($O6&lt;&gt;0,IF($O6&lt;&gt;0,AV6/$O6*10,0)," ")</f>
        <v>0.18011744452018502</v>
      </c>
      <c r="CZ6" s="99">
        <f>IF($O6&lt;&gt;0,IF($O6&lt;&gt;0,AW6/$O6*10,0)," ")</f>
        <v>0.23839073539436251</v>
      </c>
      <c r="DA6" s="95">
        <f>IF($O6&lt;&gt;0,IF($O6&lt;&gt;0,AX6/$O6*10,0)," ")</f>
        <v>0.28540668598602847</v>
      </c>
      <c r="DB6" s="94">
        <f t="shared" ref="DB6:DB36" si="13">IF($O6&lt;&gt;0,IF($O6&lt;&gt;0,AZ6/$O6*10,0)," ")</f>
        <v>0.19733455318755563</v>
      </c>
      <c r="DC6" s="94">
        <f t="shared" ref="DC6:DH35" si="14">IF($O6&lt;&gt;0,IF($O6&lt;&gt;0,BB6/$O6*10,0)," ")</f>
        <v>7.7476989003167823E-2</v>
      </c>
      <c r="DD6" s="94">
        <f t="shared" si="14"/>
        <v>0.82509682305937693</v>
      </c>
      <c r="DE6" s="94">
        <f t="shared" si="14"/>
        <v>2.913664543708875E-2</v>
      </c>
      <c r="DF6" s="94">
        <f t="shared" si="14"/>
        <v>0</v>
      </c>
      <c r="DG6" s="94">
        <f t="shared" si="14"/>
        <v>0</v>
      </c>
      <c r="DH6" s="95">
        <f>IF($O6&lt;&gt;0,IF($O6&lt;&gt;0,BG6/$O6*10,0)," ")</f>
        <v>1.0999083652501003</v>
      </c>
      <c r="DI6" s="96" t="e">
        <f>#REF!</f>
        <v>#REF!</v>
      </c>
      <c r="DJ6" s="95">
        <f>IF($O6&lt;&gt;0,IF($O6&lt;&gt;0,BH6/$O6*10,0)," ")</f>
        <v>0.13376369041572564</v>
      </c>
      <c r="DK6" s="96" t="e">
        <f>#REF!</f>
        <v>#REF!</v>
      </c>
      <c r="DL6" s="95">
        <f t="shared" ref="DL6:DL36" si="15">IF($O6&lt;&gt;0,BI6/$O6*10," ")</f>
        <v>0.54742061886499782</v>
      </c>
      <c r="DM6" s="96">
        <f t="shared" ref="DM6:DM37" si="16">$D$3</f>
        <v>0</v>
      </c>
      <c r="DN6" s="94">
        <f t="shared" ref="DN6:DN36" si="17">IF($O6&lt;&gt;0,BJ6/$O6*10,"")</f>
        <v>3.3456325294223834</v>
      </c>
      <c r="DO6" s="100">
        <v>3.4</v>
      </c>
      <c r="DP6" s="94">
        <f>IF($O6&lt;&gt;0,IF($O6&lt;&gt;0,BL6/$O6*10,0)," ")</f>
        <v>4.0268168387031071</v>
      </c>
      <c r="DQ6" s="94">
        <f>IF($P6&lt;&gt;0,IF($P6&lt;&gt;0,BM6/$P6*10,0)," ")</f>
        <v>4.0268168387031071</v>
      </c>
      <c r="DR6" s="101" t="str">
        <f t="shared" ref="DR6:DR35" si="18">$D$2</f>
        <v>3,45 hL/NhL</v>
      </c>
      <c r="DS6" s="102"/>
      <c r="DT6" s="103">
        <v>1</v>
      </c>
      <c r="DU6" s="76">
        <v>612563</v>
      </c>
      <c r="DV6" s="76">
        <v>23790</v>
      </c>
      <c r="DW6" s="76">
        <v>5103436</v>
      </c>
      <c r="DX6" s="76">
        <v>105796</v>
      </c>
      <c r="DY6" s="76">
        <v>81737</v>
      </c>
      <c r="DZ6" s="76">
        <v>371758</v>
      </c>
      <c r="EA6" s="77">
        <v>215141</v>
      </c>
      <c r="EB6" s="77">
        <v>49978</v>
      </c>
      <c r="EC6" s="77">
        <v>378097</v>
      </c>
      <c r="ED6" s="76">
        <v>45165</v>
      </c>
      <c r="EE6" s="77">
        <v>36816</v>
      </c>
      <c r="EF6" s="77">
        <v>38832</v>
      </c>
      <c r="EG6" s="76">
        <v>89584</v>
      </c>
      <c r="EH6" s="76">
        <v>176556</v>
      </c>
      <c r="EI6" s="76">
        <v>29684</v>
      </c>
      <c r="EJ6" s="77">
        <v>38125</v>
      </c>
      <c r="EK6" s="77"/>
      <c r="EL6" s="76">
        <v>683274</v>
      </c>
      <c r="EM6" s="76">
        <v>1400</v>
      </c>
      <c r="EN6" s="77">
        <v>40606</v>
      </c>
      <c r="EO6" s="76">
        <v>2889294</v>
      </c>
      <c r="EP6" s="77">
        <v>2779323</v>
      </c>
      <c r="EQ6" s="77">
        <v>837</v>
      </c>
      <c r="ER6" s="77">
        <v>1381</v>
      </c>
      <c r="ES6" s="77">
        <v>295932</v>
      </c>
      <c r="ET6" s="77">
        <v>3044614</v>
      </c>
      <c r="EU6" s="77">
        <v>385265</v>
      </c>
      <c r="EV6" s="77">
        <v>116700</v>
      </c>
      <c r="EW6" s="77">
        <v>79122</v>
      </c>
      <c r="EX6" s="76">
        <v>199395</v>
      </c>
      <c r="EY6" s="76">
        <v>1583789</v>
      </c>
      <c r="EZ6" s="76">
        <v>715841</v>
      </c>
      <c r="FA6" s="76">
        <v>726224</v>
      </c>
      <c r="FB6" s="77">
        <v>30503</v>
      </c>
      <c r="FC6" s="76">
        <v>5879</v>
      </c>
      <c r="FD6" s="104">
        <f t="shared" ref="FD6:FD13" si="19">SUM(FE6:FM6)</f>
        <v>6081</v>
      </c>
      <c r="FE6" s="105">
        <f t="shared" ref="FE6:FM21" si="20">FE39-FE38</f>
        <v>0</v>
      </c>
      <c r="FF6" s="105">
        <f t="shared" si="20"/>
        <v>586</v>
      </c>
      <c r="FG6" s="105">
        <f t="shared" si="20"/>
        <v>705</v>
      </c>
      <c r="FH6" s="105">
        <f t="shared" si="20"/>
        <v>1884</v>
      </c>
      <c r="FI6" s="105">
        <f t="shared" si="20"/>
        <v>595</v>
      </c>
      <c r="FJ6" s="105">
        <f t="shared" si="20"/>
        <v>768</v>
      </c>
      <c r="FK6" s="105">
        <f t="shared" si="20"/>
        <v>0</v>
      </c>
      <c r="FL6" s="105">
        <f t="shared" si="20"/>
        <v>1543</v>
      </c>
      <c r="FM6" s="105">
        <f t="shared" si="20"/>
        <v>0</v>
      </c>
      <c r="FN6" s="80">
        <f>IF(FO6="",0,(FO6-FO5))</f>
        <v>0</v>
      </c>
      <c r="FO6" s="77">
        <v>66314</v>
      </c>
      <c r="FP6" s="106">
        <v>984096</v>
      </c>
      <c r="FR6" s="64"/>
      <c r="FS6" s="64"/>
      <c r="FT6" s="64"/>
      <c r="FU6" s="64"/>
      <c r="FV6" s="64"/>
      <c r="FW6" s="64"/>
      <c r="FX6" s="64"/>
      <c r="FY6" s="64">
        <v>1</v>
      </c>
      <c r="FZ6" s="107">
        <v>8054</v>
      </c>
      <c r="GA6" s="107">
        <v>1246</v>
      </c>
      <c r="GB6" s="108">
        <f>GA6/FZ6/0.1</f>
        <v>1.5470573628010924</v>
      </c>
      <c r="GC6" s="109"/>
      <c r="GD6" s="110"/>
      <c r="GE6" s="110"/>
      <c r="GF6" s="111"/>
      <c r="GG6" s="111"/>
      <c r="GH6" s="111"/>
      <c r="GI6" s="112"/>
      <c r="GJ6" s="111">
        <f>(SUM(ER5+ES5)/(GB6+GI6))</f>
        <v>191981.24590690213</v>
      </c>
      <c r="GK6" s="113"/>
    </row>
    <row r="7" spans="1:194" ht="15" customHeight="1">
      <c r="B7" s="573">
        <v>42827</v>
      </c>
      <c r="D7" s="86"/>
      <c r="E7" s="86">
        <v>1466.52</v>
      </c>
      <c r="F7" s="86">
        <v>1096.7760000000001</v>
      </c>
      <c r="G7" s="308"/>
      <c r="H7" s="308">
        <v>3280.5010000000002</v>
      </c>
      <c r="I7" s="308">
        <v>497.50099999999998</v>
      </c>
      <c r="J7" s="308"/>
      <c r="K7" s="308"/>
      <c r="L7" s="308"/>
      <c r="M7" s="115">
        <f t="shared" ref="M7:M36" si="21">I7+J7</f>
        <v>497.50099999999998</v>
      </c>
      <c r="N7" s="88">
        <f t="shared" si="0"/>
        <v>5843.7970000000005</v>
      </c>
      <c r="O7" s="88">
        <f t="shared" ref="O7:O36" si="22">N7+L7+((J7+I7)*0.5)</f>
        <v>6092.5475000000006</v>
      </c>
      <c r="P7" s="89">
        <f t="shared" ref="P7:P36" si="23">P6+O7</f>
        <v>21193.805500000002</v>
      </c>
      <c r="R7" s="90">
        <f t="shared" ref="R7:R36" si="24">IF(EL7=0,"",(EL7-EL6))</f>
        <v>11</v>
      </c>
      <c r="S7" s="90">
        <f t="shared" ref="S7:S36" si="25">IF(EZ7=0,"",((EZ7-EZ6)/10))</f>
        <v>0</v>
      </c>
      <c r="T7" s="90" t="str">
        <f t="shared" si="1"/>
        <v/>
      </c>
      <c r="U7" s="90">
        <f>IF(FB7=0,"",((EN7-EN6)/10))</f>
        <v>0.5</v>
      </c>
      <c r="V7" s="90">
        <f t="shared" ref="V7:V36" si="26">IF(EO7=0,"",(EO7-EO6))</f>
        <v>869</v>
      </c>
      <c r="W7" s="91">
        <f t="shared" si="2"/>
        <v>1714.1</v>
      </c>
      <c r="X7" s="90">
        <f t="shared" ref="X7:X36" si="27">IF(V7="","",V7)</f>
        <v>869</v>
      </c>
      <c r="Y7" s="90">
        <f t="shared" ref="Y7:Y36" si="28">IF(EQ7=0,"0",(EQ7/10))</f>
        <v>52.5</v>
      </c>
      <c r="Z7" s="90">
        <f t="shared" si="3"/>
        <v>56.7</v>
      </c>
      <c r="AA7" s="90">
        <f t="shared" ref="AA7:AA36" si="29">IF(SUM(R7:V7)=0,"",SUM(R7:V7))</f>
        <v>880.5</v>
      </c>
      <c r="AB7" s="90">
        <f t="shared" ref="AB7:AC36" si="30">IF(DU7=0,"",(DU7-DU6))</f>
        <v>17</v>
      </c>
      <c r="AC7" s="90">
        <f t="shared" si="30"/>
        <v>6</v>
      </c>
      <c r="AD7" s="90">
        <f t="shared" ref="AD7:AD35" si="31">(IF(SUM(AB7:AC7)&gt;=(DW7-DW6),(SUM(AB7:AC7)),(DW7-DW6)))</f>
        <v>106</v>
      </c>
      <c r="AE7" s="90">
        <f t="shared" ref="AE7:AE36" si="32">IF(AB7="","",(AD7-AC7-AB7))</f>
        <v>83</v>
      </c>
      <c r="AF7" s="90">
        <f t="shared" ref="AF7:AG36" si="33">IF(DX7=0,"",(DX7-DX6))</f>
        <v>46</v>
      </c>
      <c r="AG7" s="90">
        <f t="shared" si="33"/>
        <v>0</v>
      </c>
      <c r="AH7" s="90">
        <f t="shared" ref="AH7:AH36" si="34">(IF(SUM(AF7:AG7)&gt;=(DZ7-DZ6),(SUM(AF7:AG7)),(DZ7-DZ6)))</f>
        <v>119</v>
      </c>
      <c r="AI7" s="90">
        <f t="shared" ref="AI7:AI36" si="35">IF(AF7="","",(AH7-AG7-AF7))</f>
        <v>73</v>
      </c>
      <c r="AJ7" s="90">
        <f t="shared" ref="AJ7:AK35" si="36">IF(EA7=0,"",(EA7-EA6))</f>
        <v>97</v>
      </c>
      <c r="AK7" s="90">
        <f t="shared" si="36"/>
        <v>73</v>
      </c>
      <c r="AL7" s="90">
        <f t="shared" ref="AL7:AL36" si="37">(IF(SUM(AJ7:AK7)&gt;=(EC7-EC6),(SUM(AJ7:AK7)),(EC7-EC6)))</f>
        <v>256</v>
      </c>
      <c r="AM7" s="90">
        <f t="shared" ref="AM7:AM36" si="38">IF(AJ7="","",(AL7-AK7-AJ7))</f>
        <v>86</v>
      </c>
      <c r="AN7" s="90">
        <f t="shared" ref="AN7:AN36" si="39">IF(ED7=0,"",(ED7-ED6))</f>
        <v>0</v>
      </c>
      <c r="AO7" s="90">
        <f t="shared" si="4"/>
        <v>18</v>
      </c>
      <c r="AP7" s="90">
        <f t="shared" ref="AP7:AP36" si="40">IF(EG7=0,"",(EG7-EG6))</f>
        <v>4</v>
      </c>
      <c r="AQ7" s="90">
        <f t="shared" si="5"/>
        <v>75</v>
      </c>
      <c r="AR7" s="90">
        <f t="shared" ref="AR7:AR36" si="41">IF(ET7=0,"",(ET7-ET6)/1000)</f>
        <v>75.850999999999999</v>
      </c>
      <c r="AS7" s="90">
        <f t="shared" ref="AS7:AS36" si="42">IF(AR7="","",(ES7-ES6)+((ET7-ET6)/1000)-AW7-AU7)</f>
        <v>129.851</v>
      </c>
      <c r="AT7" s="90">
        <f t="shared" ref="AT7:AT36" si="43">IF(AR7="","",ES7-ES6+((ET7-ET6)/1000))</f>
        <v>186.851</v>
      </c>
      <c r="AU7" s="90">
        <f t="shared" ref="AU7:AU36" si="44">IF(EV7="","",(EV7-EV6))</f>
        <v>24</v>
      </c>
      <c r="AV7" s="90">
        <f>IF(EI7=0,"",(EI7-EI6)+AU7)</f>
        <v>60</v>
      </c>
      <c r="AW7" s="90">
        <f t="shared" ref="AW7:AW36" si="45">IF(EU7="","",(EU7-EU6))</f>
        <v>33</v>
      </c>
      <c r="AX7" s="90">
        <f>IF(EJ7=0,"",(EJ7-EJ6)+AW7)</f>
        <v>57</v>
      </c>
      <c r="AY7" s="90" t="str">
        <f t="shared" ref="AY7:AY36" si="46">IF(EK7=0,"",(EK7-EK6))</f>
        <v/>
      </c>
      <c r="AZ7" s="90">
        <f t="shared" ref="AZ7:AZ36" si="47">IF(EW7=0,"",EW7-EW6)</f>
        <v>332</v>
      </c>
      <c r="BA7" s="90">
        <v>0</v>
      </c>
      <c r="BB7" s="90">
        <f t="shared" ref="BB7:BC36" si="48">IF(EX7=0,"",(EX7-EX6))</f>
        <v>65</v>
      </c>
      <c r="BC7" s="90">
        <f t="shared" si="48"/>
        <v>83</v>
      </c>
      <c r="BD7" s="91">
        <f t="shared" ref="BD7:BD36" si="49">IF(FA7=0,"",(FA7-FA6))</f>
        <v>23</v>
      </c>
      <c r="BE7" s="90"/>
      <c r="BF7" s="90"/>
      <c r="BG7" s="90">
        <f t="shared" si="6"/>
        <v>480</v>
      </c>
      <c r="BH7" s="90">
        <f t="shared" ref="BH7:BH36" si="50">BL7-FC7</f>
        <v>-334</v>
      </c>
      <c r="BI7" s="90">
        <f t="shared" ref="BI7:BI36" si="51">IF(FC7=0,"",(FC7-BJ7))</f>
        <v>1205.6489999999999</v>
      </c>
      <c r="BJ7" s="90">
        <f>IF(BH7=0,"",(AA7+AD7+AO7+BG7+AH7+AL7+AQ7+AS7+AX7+AV7))</f>
        <v>2181.3510000000001</v>
      </c>
      <c r="BK7" s="92"/>
      <c r="BL7" s="93">
        <f t="shared" ref="BL7:BL36" si="52">FD7+FN7</f>
        <v>3053</v>
      </c>
      <c r="BM7" s="93">
        <f t="shared" ref="BM7:BM36" si="53">BL7+BM6</f>
        <v>9134</v>
      </c>
      <c r="BN7" s="92"/>
      <c r="BO7" s="94">
        <f t="shared" ref="BO7:BP35" si="54">IF($N7&lt;&gt;0,IF($N7&lt;&gt;0,R7/$N7*10,0)," ")</f>
        <v>1.8823378019462343E-2</v>
      </c>
      <c r="BP7" s="94">
        <f>IF($N7&lt;&gt;0,IF($N7&lt;&gt;0,S7/$N7*10,0)," ")</f>
        <v>0</v>
      </c>
      <c r="BQ7" s="94" t="e">
        <f t="shared" ref="BQ7:BQ36" si="55">IF($N7&lt;&gt;0,IF($N7&lt;&gt;0,T7/$N7*10,0)," ")</f>
        <v>#VALUE!</v>
      </c>
      <c r="BR7" s="94">
        <f>IF($N7&lt;&gt;0,IF($N7&lt;&gt;0,(V7)/$N7*10,0)," ")</f>
        <v>1.4870468635375254</v>
      </c>
      <c r="BS7" s="94">
        <f t="shared" si="8"/>
        <v>8.9838849638343016E-2</v>
      </c>
      <c r="BT7" s="94">
        <f t="shared" si="8"/>
        <v>9.7025957609410463E-2</v>
      </c>
      <c r="BU7" s="95">
        <f t="shared" si="8"/>
        <v>1.5067258496487812</v>
      </c>
      <c r="BV7" s="94">
        <f t="shared" si="9"/>
        <v>1.8054844874003852E-2</v>
      </c>
      <c r="BW7" s="94">
        <f t="shared" si="9"/>
        <v>0</v>
      </c>
      <c r="BX7" s="94" t="e">
        <f t="shared" si="9"/>
        <v>#VALUE!</v>
      </c>
      <c r="BY7" s="94">
        <f t="shared" ref="BY7:BY36" si="56">IF($O7&lt;&gt;0,IF($O7&lt;&gt;0,(V7)/$O7*10,0)," ")</f>
        <v>1.4263327450463041</v>
      </c>
      <c r="BZ7" s="95">
        <f t="shared" si="10"/>
        <v>1.4452082646873086</v>
      </c>
      <c r="CA7" s="96" t="e">
        <f>#REF!</f>
        <v>#REF!</v>
      </c>
      <c r="CB7" s="94">
        <f t="shared" si="11"/>
        <v>0.12449800350346056</v>
      </c>
      <c r="CC7" s="95">
        <f t="shared" si="11"/>
        <v>0.21313087833947947</v>
      </c>
      <c r="CD7" s="97">
        <f t="shared" si="12"/>
        <v>1.5246401514770824</v>
      </c>
      <c r="CE7" s="98">
        <f>IFERROR(AS7*10/($I7+$J7),"")</f>
        <v>2.6100651053967732</v>
      </c>
      <c r="CF7" s="94" t="str">
        <f t="shared" ref="CF7:CG36" si="57">IF($D7&lt;&gt;0,IF($D7&lt;&gt;0,AB7/$D7*10,0),"0,00")</f>
        <v>0,00</v>
      </c>
      <c r="CG7" s="94" t="str">
        <f t="shared" si="57"/>
        <v>0,00</v>
      </c>
      <c r="CH7" s="95" t="str">
        <f t="shared" ref="CH7:CH36" si="58">IF($D7&lt;&gt;0,IF($O7&lt;&gt;0,AD7/$D7*10,0),"0,00 ")</f>
        <v xml:space="preserve">0,00 </v>
      </c>
      <c r="CI7" s="96" t="e">
        <f>#REF!</f>
        <v>#REF!</v>
      </c>
      <c r="CJ7" s="94">
        <f t="shared" ref="CJ7:CK36" si="59">IF($E7&lt;&gt;0,IF($E7&lt;&gt;0,AF7/$E7*10,0),"0,00")</f>
        <v>0.3136677304094046</v>
      </c>
      <c r="CK7" s="94">
        <f t="shared" si="59"/>
        <v>0</v>
      </c>
      <c r="CL7" s="95">
        <f>IF($E7&lt;&gt;0,IF($E7&lt;&gt;0,AH7/$E7*10,0),"0,00 ")</f>
        <v>0.81144478084172045</v>
      </c>
      <c r="CM7" s="95" t="e">
        <f>#REF!</f>
        <v>#REF!</v>
      </c>
      <c r="CN7" s="94">
        <f t="shared" ref="CN7:CO36" si="60">IF($F7&lt;&gt;0,IF($F7&lt;&gt;0,AJ7/$F7*10,0),"0,00")</f>
        <v>0.88441030803008081</v>
      </c>
      <c r="CO7" s="94">
        <f t="shared" si="60"/>
        <v>0.66558713903294753</v>
      </c>
      <c r="CP7" s="95">
        <f t="shared" ref="CP7:CP36" si="61">IF($F7&lt;&gt;0,IF($F7&lt;&gt;0,AL7/$F7*10,0),"0,00 ")</f>
        <v>2.3341138026360895</v>
      </c>
      <c r="CQ7" s="95" t="e">
        <f>#REF!</f>
        <v>#REF!</v>
      </c>
      <c r="CR7" s="97" t="str">
        <f>IF($G7&lt;&gt;0,IF($G7&lt;&gt;0,AN7/$G7*10,0),"0,00 ")</f>
        <v xml:space="preserve">0,00 </v>
      </c>
      <c r="CS7" s="95" t="str">
        <f>IF($G7&lt;&gt;0,IF($G7&lt;&gt;0,AO7/$G7*10,0),"0,00 ")</f>
        <v xml:space="preserve">0,00 </v>
      </c>
      <c r="CT7" s="96" t="e">
        <f>#REF!</f>
        <v>#REF!</v>
      </c>
      <c r="CU7" s="97">
        <f>IF($H7&lt;&gt;0,IF($H7&lt;&gt;0,AP7/$H7*10,0),"0,00 ")</f>
        <v>1.219325950517924E-2</v>
      </c>
      <c r="CV7" s="95">
        <f t="shared" ref="CV7:CV36" si="62">IF($H7&lt;&gt;0,IF($H7&lt;&gt;0,AQ7/$H7*10,0),"0,00 ")</f>
        <v>0.22862361572211071</v>
      </c>
      <c r="CW7" s="96" t="e">
        <f>#REF!</f>
        <v>#REF!</v>
      </c>
      <c r="CX7" s="99">
        <f t="shared" ref="CX7:DA37" si="63">IF($O7&lt;&gt;0,IF($O7&lt;&gt;0,AU7/$O7*10,0)," ")</f>
        <v>3.93923888160084E-2</v>
      </c>
      <c r="CY7" s="95">
        <f t="shared" si="63"/>
        <v>9.8480972040021014E-2</v>
      </c>
      <c r="CZ7" s="99">
        <f t="shared" si="63"/>
        <v>5.4164534622011554E-2</v>
      </c>
      <c r="DA7" s="95">
        <f t="shared" si="63"/>
        <v>9.3556923438019968E-2</v>
      </c>
      <c r="DB7" s="94">
        <f t="shared" si="13"/>
        <v>0.54492804528811634</v>
      </c>
      <c r="DC7" s="94">
        <f t="shared" si="14"/>
        <v>0.10668771971002278</v>
      </c>
      <c r="DD7" s="94">
        <f t="shared" si="14"/>
        <v>0.13623201132202908</v>
      </c>
      <c r="DE7" s="94">
        <f t="shared" si="14"/>
        <v>3.7751039282008056E-2</v>
      </c>
      <c r="DF7" s="94">
        <f t="shared" si="14"/>
        <v>0</v>
      </c>
      <c r="DG7" s="94">
        <f t="shared" si="14"/>
        <v>0</v>
      </c>
      <c r="DH7" s="95">
        <f t="shared" si="14"/>
        <v>0.78784777632016811</v>
      </c>
      <c r="DI7" s="96" t="e">
        <f>#REF!</f>
        <v>#REF!</v>
      </c>
      <c r="DJ7" s="95">
        <f t="shared" ref="DJ7:DJ36" si="64">IF($O7&lt;&gt;0,IF($O7&lt;&gt;0,BH7/$O7*10,0)," ")</f>
        <v>-0.54821074435611694</v>
      </c>
      <c r="DK7" s="96" t="e">
        <f>#REF!</f>
        <v>#REF!</v>
      </c>
      <c r="DL7" s="95">
        <f t="shared" si="15"/>
        <v>1.978891424317988</v>
      </c>
      <c r="DM7" s="96">
        <f t="shared" si="16"/>
        <v>0</v>
      </c>
      <c r="DN7" s="94">
        <f t="shared" si="17"/>
        <v>3.5803594473411984</v>
      </c>
      <c r="DO7" s="100">
        <v>3.4</v>
      </c>
      <c r="DP7" s="94">
        <f>IF($O7&lt;&gt;0,IF($O7&lt;&gt;0,BL7/$O7*10,0)," ")</f>
        <v>5.0110401273030689</v>
      </c>
      <c r="DQ7" s="94">
        <f>IF($P7&lt;&gt;0,IF($P7&lt;&gt;0,BM7/$P7*10,0)," ")</f>
        <v>4.3097498464822657</v>
      </c>
      <c r="DR7" s="101" t="str">
        <f t="shared" si="18"/>
        <v>3,45 hL/NhL</v>
      </c>
      <c r="DS7" s="116"/>
      <c r="DT7" s="103">
        <v>2</v>
      </c>
      <c r="DU7" s="76">
        <v>612580</v>
      </c>
      <c r="DV7" s="76">
        <v>23796</v>
      </c>
      <c r="DW7" s="77">
        <v>5103542</v>
      </c>
      <c r="DX7" s="76">
        <v>105842</v>
      </c>
      <c r="DY7" s="76">
        <v>81737</v>
      </c>
      <c r="DZ7" s="76">
        <v>371877</v>
      </c>
      <c r="EA7" s="76">
        <v>215238</v>
      </c>
      <c r="EB7" s="77">
        <v>50051</v>
      </c>
      <c r="EC7" s="77">
        <v>378353</v>
      </c>
      <c r="ED7" s="77">
        <v>45165</v>
      </c>
      <c r="EE7" s="77">
        <v>36816</v>
      </c>
      <c r="EF7" s="77">
        <v>38850</v>
      </c>
      <c r="EG7" s="76">
        <v>89588</v>
      </c>
      <c r="EH7" s="76">
        <v>176631</v>
      </c>
      <c r="EI7" s="76">
        <v>29720</v>
      </c>
      <c r="EJ7" s="77">
        <v>38149</v>
      </c>
      <c r="EK7" s="77"/>
      <c r="EL7" s="76">
        <v>683285</v>
      </c>
      <c r="EM7" s="76">
        <v>0</v>
      </c>
      <c r="EN7" s="77">
        <v>40611</v>
      </c>
      <c r="EO7" s="76">
        <v>2890163</v>
      </c>
      <c r="EP7" s="77">
        <v>2796464</v>
      </c>
      <c r="EQ7" s="77">
        <v>525</v>
      </c>
      <c r="ER7" s="77">
        <v>567</v>
      </c>
      <c r="ES7" s="77">
        <v>296043</v>
      </c>
      <c r="ET7" s="77">
        <v>3120465</v>
      </c>
      <c r="EU7" s="77">
        <v>385298</v>
      </c>
      <c r="EV7" s="77">
        <v>116724</v>
      </c>
      <c r="EW7" s="77">
        <v>79454</v>
      </c>
      <c r="EX7" s="76">
        <v>199460</v>
      </c>
      <c r="EY7" s="117">
        <v>1583872</v>
      </c>
      <c r="EZ7" s="76">
        <v>715841</v>
      </c>
      <c r="FA7" s="76">
        <v>726247</v>
      </c>
      <c r="FB7" s="77">
        <v>30503</v>
      </c>
      <c r="FC7" s="76">
        <v>3387</v>
      </c>
      <c r="FD7" s="104">
        <f t="shared" si="19"/>
        <v>3053</v>
      </c>
      <c r="FE7" s="105">
        <f t="shared" si="20"/>
        <v>0</v>
      </c>
      <c r="FF7" s="105">
        <f t="shared" si="20"/>
        <v>0</v>
      </c>
      <c r="FG7" s="105">
        <f t="shared" si="20"/>
        <v>1913</v>
      </c>
      <c r="FH7" s="105">
        <f t="shared" si="20"/>
        <v>176</v>
      </c>
      <c r="FI7" s="105">
        <f t="shared" si="20"/>
        <v>60</v>
      </c>
      <c r="FJ7" s="105">
        <f t="shared" si="20"/>
        <v>65</v>
      </c>
      <c r="FK7" s="105">
        <f t="shared" si="20"/>
        <v>0</v>
      </c>
      <c r="FL7" s="105">
        <f t="shared" si="20"/>
        <v>839</v>
      </c>
      <c r="FM7" s="105">
        <f t="shared" si="20"/>
        <v>0</v>
      </c>
      <c r="FN7" s="80">
        <f>IF(FO7="",0,(FO7-FO6))</f>
        <v>0</v>
      </c>
      <c r="FO7" s="77">
        <v>66314</v>
      </c>
      <c r="FP7" s="106">
        <v>984096</v>
      </c>
      <c r="FR7" s="64"/>
      <c r="FS7" s="64"/>
      <c r="FT7" s="64"/>
      <c r="FU7" s="64"/>
      <c r="FV7" s="64"/>
      <c r="FW7" s="64"/>
      <c r="FX7" s="64"/>
      <c r="FY7" s="64">
        <v>2</v>
      </c>
      <c r="FZ7" s="107"/>
      <c r="GA7" s="107">
        <v>83</v>
      </c>
      <c r="GB7" s="108"/>
      <c r="GC7" s="109"/>
      <c r="GD7" s="110"/>
      <c r="GE7" s="110"/>
      <c r="GF7" s="111"/>
      <c r="GG7" s="111"/>
      <c r="GH7" s="111"/>
      <c r="GI7" s="112"/>
      <c r="GJ7" s="111" t="e">
        <f t="shared" ref="GJ7:GJ37" si="65">(SUM(EQ6+ER6)/(GB7+GI7))</f>
        <v>#DIV/0!</v>
      </c>
      <c r="GK7" s="118"/>
    </row>
    <row r="8" spans="1:194" s="119" customFormat="1" ht="15" customHeight="1">
      <c r="B8" s="573">
        <v>42828</v>
      </c>
      <c r="D8" s="86">
        <v>1284</v>
      </c>
      <c r="E8" s="86"/>
      <c r="F8" s="86">
        <v>1994.5440000000001</v>
      </c>
      <c r="G8" s="308">
        <v>2128.5520000000001</v>
      </c>
      <c r="H8" s="308">
        <v>4482.5079999999998</v>
      </c>
      <c r="I8" s="308">
        <v>1087.347</v>
      </c>
      <c r="J8" s="308">
        <v>4012.8</v>
      </c>
      <c r="K8" s="308"/>
      <c r="L8" s="308"/>
      <c r="M8" s="115">
        <f t="shared" si="21"/>
        <v>5100.1469999999999</v>
      </c>
      <c r="N8" s="88">
        <f t="shared" si="0"/>
        <v>9889.6039999999994</v>
      </c>
      <c r="O8" s="88">
        <f t="shared" si="22"/>
        <v>12439.6775</v>
      </c>
      <c r="P8" s="89">
        <f t="shared" si="23"/>
        <v>33633.483</v>
      </c>
      <c r="R8" s="90">
        <f t="shared" si="24"/>
        <v>1</v>
      </c>
      <c r="S8" s="90">
        <f t="shared" si="25"/>
        <v>0</v>
      </c>
      <c r="T8" s="90" t="str">
        <f t="shared" si="1"/>
        <v/>
      </c>
      <c r="U8" s="90">
        <f>IF(FB8=0,"",((EN8-EN7)/10))</f>
        <v>10.199999999999999</v>
      </c>
      <c r="V8" s="90">
        <f t="shared" si="26"/>
        <v>939</v>
      </c>
      <c r="W8" s="91">
        <f t="shared" si="2"/>
        <v>1579.1</v>
      </c>
      <c r="X8" s="90">
        <f t="shared" si="27"/>
        <v>939</v>
      </c>
      <c r="Y8" s="90" t="str">
        <f t="shared" si="28"/>
        <v>0</v>
      </c>
      <c r="Z8" s="90">
        <f t="shared" si="3"/>
        <v>123</v>
      </c>
      <c r="AA8" s="90">
        <f t="shared" si="29"/>
        <v>950.2</v>
      </c>
      <c r="AB8" s="90">
        <f t="shared" si="30"/>
        <v>84</v>
      </c>
      <c r="AC8" s="90">
        <f t="shared" si="30"/>
        <v>102</v>
      </c>
      <c r="AD8" s="90">
        <f t="shared" si="31"/>
        <v>325</v>
      </c>
      <c r="AE8" s="90">
        <f t="shared" si="32"/>
        <v>139</v>
      </c>
      <c r="AF8" s="90">
        <f t="shared" si="33"/>
        <v>0</v>
      </c>
      <c r="AG8" s="90">
        <f t="shared" si="33"/>
        <v>0</v>
      </c>
      <c r="AH8" s="90">
        <f t="shared" si="34"/>
        <v>9</v>
      </c>
      <c r="AI8" s="90">
        <f t="shared" si="35"/>
        <v>9</v>
      </c>
      <c r="AJ8" s="90">
        <f t="shared" si="36"/>
        <v>233</v>
      </c>
      <c r="AK8" s="90">
        <f t="shared" si="36"/>
        <v>133</v>
      </c>
      <c r="AL8" s="90">
        <f t="shared" si="37"/>
        <v>426</v>
      </c>
      <c r="AM8" s="90">
        <f t="shared" si="38"/>
        <v>60</v>
      </c>
      <c r="AN8" s="90">
        <f t="shared" si="39"/>
        <v>26</v>
      </c>
      <c r="AO8" s="90">
        <f t="shared" si="4"/>
        <v>90</v>
      </c>
      <c r="AP8" s="90">
        <f t="shared" si="40"/>
        <v>16</v>
      </c>
      <c r="AQ8" s="90">
        <f t="shared" si="5"/>
        <v>27</v>
      </c>
      <c r="AR8" s="90">
        <f t="shared" si="41"/>
        <v>74.995999999999995</v>
      </c>
      <c r="AS8" s="90">
        <f t="shared" si="42"/>
        <v>109.99599999999998</v>
      </c>
      <c r="AT8" s="90">
        <f t="shared" si="43"/>
        <v>751.99599999999998</v>
      </c>
      <c r="AU8" s="90">
        <f t="shared" si="44"/>
        <v>186</v>
      </c>
      <c r="AV8" s="90">
        <f t="shared" ref="AV8:AV36" si="66">IF(EI8=0,"",(EI8-EI7))</f>
        <v>43</v>
      </c>
      <c r="AW8" s="90">
        <f t="shared" si="45"/>
        <v>456</v>
      </c>
      <c r="AX8" s="90">
        <f t="shared" ref="AX8:AX36" si="67">IF(EJ8=0,"",(EJ8-EJ7))</f>
        <v>36</v>
      </c>
      <c r="AY8" s="90" t="str">
        <f t="shared" si="46"/>
        <v/>
      </c>
      <c r="AZ8" s="90">
        <f t="shared" si="47"/>
        <v>353</v>
      </c>
      <c r="BA8" s="90">
        <v>38</v>
      </c>
      <c r="BB8" s="90">
        <f t="shared" si="48"/>
        <v>33</v>
      </c>
      <c r="BC8" s="90">
        <f t="shared" si="48"/>
        <v>0</v>
      </c>
      <c r="BD8" s="91">
        <f t="shared" si="49"/>
        <v>27</v>
      </c>
      <c r="BE8" s="90"/>
      <c r="BF8" s="90"/>
      <c r="BG8" s="90">
        <f t="shared" si="6"/>
        <v>386</v>
      </c>
      <c r="BH8" s="90">
        <f t="shared" si="50"/>
        <v>-177</v>
      </c>
      <c r="BI8" s="90">
        <f t="shared" si="51"/>
        <v>1425.8040000000001</v>
      </c>
      <c r="BJ8" s="90">
        <f t="shared" si="7"/>
        <v>2402.1959999999999</v>
      </c>
      <c r="BK8" s="92"/>
      <c r="BL8" s="93">
        <f t="shared" si="52"/>
        <v>3651</v>
      </c>
      <c r="BM8" s="93">
        <f t="shared" si="53"/>
        <v>12785</v>
      </c>
      <c r="BN8" s="92" t="s">
        <v>125</v>
      </c>
      <c r="BO8" s="94">
        <f t="shared" si="54"/>
        <v>1.0111628332135443E-3</v>
      </c>
      <c r="BP8" s="94">
        <f t="shared" si="54"/>
        <v>0</v>
      </c>
      <c r="BQ8" s="94" t="e">
        <f t="shared" si="55"/>
        <v>#VALUE!</v>
      </c>
      <c r="BR8" s="94">
        <f t="shared" ref="BR8:BR36" si="68">IF($N8&lt;&gt;0,IF($N8&lt;&gt;0,(V8)/$N8*10,0)," ")</f>
        <v>0.94948190038751812</v>
      </c>
      <c r="BS8" s="94">
        <f t="shared" si="8"/>
        <v>0</v>
      </c>
      <c r="BT8" s="94">
        <f t="shared" si="8"/>
        <v>0.12437302848526595</v>
      </c>
      <c r="BU8" s="95">
        <f t="shared" si="8"/>
        <v>0.96080692411950985</v>
      </c>
      <c r="BV8" s="94">
        <f t="shared" si="9"/>
        <v>8.0387936102041231E-4</v>
      </c>
      <c r="BW8" s="94">
        <f t="shared" si="9"/>
        <v>0</v>
      </c>
      <c r="BX8" s="94" t="e">
        <f t="shared" si="9"/>
        <v>#VALUE!</v>
      </c>
      <c r="BY8" s="94">
        <f t="shared" si="56"/>
        <v>0.75484271999816721</v>
      </c>
      <c r="BZ8" s="95">
        <f t="shared" si="10"/>
        <v>0.76384616884159584</v>
      </c>
      <c r="CA8" s="96" t="e">
        <f>#REF!</f>
        <v>#REF!</v>
      </c>
      <c r="CB8" s="94">
        <f t="shared" si="11"/>
        <v>6.0287736559086834E-2</v>
      </c>
      <c r="CC8" s="95">
        <f t="shared" si="11"/>
        <v>8.8423514194801267E-2</v>
      </c>
      <c r="CD8" s="97">
        <f t="shared" si="12"/>
        <v>0.14704674198606432</v>
      </c>
      <c r="CE8" s="98">
        <f t="shared" si="12"/>
        <v>0.21567221493811842</v>
      </c>
      <c r="CF8" s="94">
        <f t="shared" si="57"/>
        <v>0.65420560747663548</v>
      </c>
      <c r="CG8" s="94">
        <f t="shared" si="57"/>
        <v>0.79439252336448596</v>
      </c>
      <c r="CH8" s="95">
        <f t="shared" si="58"/>
        <v>2.5311526479750777</v>
      </c>
      <c r="CI8" s="96" t="e">
        <f>#REF!</f>
        <v>#REF!</v>
      </c>
      <c r="CJ8" s="94" t="str">
        <f t="shared" si="59"/>
        <v>0,00</v>
      </c>
      <c r="CK8" s="94" t="str">
        <f t="shared" si="59"/>
        <v>0,00</v>
      </c>
      <c r="CL8" s="95" t="str">
        <f t="shared" ref="CL8:CL36" si="69">IF($E8&lt;&gt;0,IF($E8&lt;&gt;0,AH8/$E8*10,0),"0,00 ")</f>
        <v xml:space="preserve">0,00 </v>
      </c>
      <c r="CM8" s="95" t="e">
        <f>#REF!</f>
        <v>#REF!</v>
      </c>
      <c r="CN8" s="94">
        <f t="shared" si="60"/>
        <v>1.1681868136275759</v>
      </c>
      <c r="CO8" s="94">
        <f t="shared" si="60"/>
        <v>0.66681908245694255</v>
      </c>
      <c r="CP8" s="95">
        <f t="shared" si="61"/>
        <v>2.1358265347868985</v>
      </c>
      <c r="CQ8" s="95" t="e">
        <f>#REF!</f>
        <v>#REF!</v>
      </c>
      <c r="CR8" s="97">
        <f t="shared" ref="CR8:CS36" si="70">IF($G8&lt;&gt;0,IF($G8&lt;&gt;0,AN8/$G8*10,0),"0,00 ")</f>
        <v>0.12214876592162183</v>
      </c>
      <c r="CS8" s="95">
        <f t="shared" si="70"/>
        <v>0.42282265126715246</v>
      </c>
      <c r="CT8" s="96" t="e">
        <f>#REF!</f>
        <v>#REF!</v>
      </c>
      <c r="CU8" s="97">
        <f t="shared" ref="CU8:CU36" si="71">IF($H8&lt;&gt;0,IF($H8&lt;&gt;0,AP8/$H8*10,0),"0,00 ")</f>
        <v>3.5694303278432524E-2</v>
      </c>
      <c r="CV8" s="95">
        <f t="shared" si="62"/>
        <v>6.0234136782354876E-2</v>
      </c>
      <c r="CW8" s="96" t="e">
        <f>#REF!</f>
        <v>#REF!</v>
      </c>
      <c r="CX8" s="99">
        <f t="shared" si="63"/>
        <v>0.1495215611497967</v>
      </c>
      <c r="CY8" s="95">
        <f t="shared" si="63"/>
        <v>3.4566812523877728E-2</v>
      </c>
      <c r="CZ8" s="99">
        <f t="shared" si="63"/>
        <v>0.36656898862530807</v>
      </c>
      <c r="DA8" s="95">
        <f t="shared" si="63"/>
        <v>2.8939656996734842E-2</v>
      </c>
      <c r="DB8" s="94">
        <f t="shared" si="13"/>
        <v>0.28376941444020554</v>
      </c>
      <c r="DC8" s="94">
        <f t="shared" si="14"/>
        <v>2.6528018913673609E-2</v>
      </c>
      <c r="DD8" s="94">
        <f t="shared" si="14"/>
        <v>0</v>
      </c>
      <c r="DE8" s="94">
        <f t="shared" si="14"/>
        <v>2.1704742747551131E-2</v>
      </c>
      <c r="DF8" s="94">
        <f t="shared" si="14"/>
        <v>0</v>
      </c>
      <c r="DG8" s="94">
        <f t="shared" si="14"/>
        <v>0</v>
      </c>
      <c r="DH8" s="95">
        <f t="shared" si="14"/>
        <v>0.31029743335387916</v>
      </c>
      <c r="DI8" s="96" t="e">
        <f>#REF!</f>
        <v>#REF!</v>
      </c>
      <c r="DJ8" s="95">
        <f t="shared" si="64"/>
        <v>-0.14228664690061299</v>
      </c>
      <c r="DK8" s="96" t="e">
        <f>#REF!</f>
        <v>#REF!</v>
      </c>
      <c r="DL8" s="95">
        <f t="shared" si="15"/>
        <v>1.146174408460348</v>
      </c>
      <c r="DM8" s="96">
        <f t="shared" si="16"/>
        <v>0</v>
      </c>
      <c r="DN8" s="94">
        <f t="shared" si="17"/>
        <v>1.9310757855257905</v>
      </c>
      <c r="DO8" s="100">
        <v>3.4</v>
      </c>
      <c r="DP8" s="94">
        <f>IF($O8&lt;&gt;0,IF($O8&lt;&gt;0,BL8/$O8*10,0)," ")</f>
        <v>2.9349635470855255</v>
      </c>
      <c r="DQ8" s="94">
        <f>IF($P8&lt;&gt;0,IF($P8&lt;&gt;0,BM8/$P8*10,0)," ")</f>
        <v>3.801271488890996</v>
      </c>
      <c r="DR8" s="101" t="str">
        <f t="shared" si="18"/>
        <v>3,45 hL/NhL</v>
      </c>
      <c r="DS8" s="116"/>
      <c r="DT8" s="103">
        <v>3</v>
      </c>
      <c r="DU8" s="120">
        <v>612664</v>
      </c>
      <c r="DV8" s="120">
        <v>23898</v>
      </c>
      <c r="DW8" s="120">
        <v>5103867</v>
      </c>
      <c r="DX8" s="76">
        <v>105842</v>
      </c>
      <c r="DY8" s="120">
        <v>81737</v>
      </c>
      <c r="DZ8" s="120">
        <v>371886</v>
      </c>
      <c r="EA8" s="120">
        <v>215471</v>
      </c>
      <c r="EB8" s="121">
        <v>50184</v>
      </c>
      <c r="EC8" s="120">
        <v>378779</v>
      </c>
      <c r="ED8" s="120">
        <v>45191</v>
      </c>
      <c r="EE8" s="122">
        <v>36848</v>
      </c>
      <c r="EF8" s="121">
        <v>38908</v>
      </c>
      <c r="EG8" s="120">
        <v>89604</v>
      </c>
      <c r="EH8" s="120">
        <v>176658</v>
      </c>
      <c r="EI8" s="120">
        <v>29763</v>
      </c>
      <c r="EJ8" s="121">
        <v>38185</v>
      </c>
      <c r="EK8" s="121"/>
      <c r="EL8" s="120">
        <v>683286</v>
      </c>
      <c r="EM8" s="121">
        <v>0</v>
      </c>
      <c r="EN8" s="121">
        <v>40713</v>
      </c>
      <c r="EO8" s="120">
        <v>2891102</v>
      </c>
      <c r="EP8" s="121">
        <v>2812255</v>
      </c>
      <c r="EQ8" s="121"/>
      <c r="ER8" s="121">
        <v>1230</v>
      </c>
      <c r="ES8" s="121">
        <v>296720</v>
      </c>
      <c r="ET8" s="121">
        <v>3195461</v>
      </c>
      <c r="EU8" s="121">
        <v>385754</v>
      </c>
      <c r="EV8" s="121">
        <v>116910</v>
      </c>
      <c r="EW8" s="121">
        <v>79807</v>
      </c>
      <c r="EX8" s="120">
        <v>199493</v>
      </c>
      <c r="EY8" s="120">
        <v>1583872</v>
      </c>
      <c r="EZ8" s="120">
        <v>715841</v>
      </c>
      <c r="FA8" s="120">
        <v>726274</v>
      </c>
      <c r="FB8" s="77">
        <v>30545</v>
      </c>
      <c r="FC8" s="77">
        <v>3828</v>
      </c>
      <c r="FD8" s="104">
        <f t="shared" si="19"/>
        <v>3016</v>
      </c>
      <c r="FE8" s="105">
        <f t="shared" si="20"/>
        <v>0</v>
      </c>
      <c r="FF8" s="105">
        <f t="shared" si="20"/>
        <v>299</v>
      </c>
      <c r="FG8" s="105">
        <f t="shared" si="20"/>
        <v>0</v>
      </c>
      <c r="FH8" s="105">
        <f t="shared" si="20"/>
        <v>466</v>
      </c>
      <c r="FI8" s="105">
        <f t="shared" si="20"/>
        <v>155</v>
      </c>
      <c r="FJ8" s="105">
        <f t="shared" si="20"/>
        <v>195</v>
      </c>
      <c r="FK8" s="105">
        <f t="shared" si="20"/>
        <v>0</v>
      </c>
      <c r="FL8" s="105">
        <f t="shared" si="20"/>
        <v>1901</v>
      </c>
      <c r="FM8" s="105">
        <f t="shared" si="20"/>
        <v>0</v>
      </c>
      <c r="FN8" s="124">
        <f>IF(FO8="",0,(FO8-FO7))</f>
        <v>635</v>
      </c>
      <c r="FO8" s="77">
        <f>FO7+635</f>
        <v>66949</v>
      </c>
      <c r="FP8" s="106">
        <v>984714</v>
      </c>
      <c r="FY8" s="119">
        <v>3</v>
      </c>
      <c r="FZ8" s="107"/>
      <c r="GA8" s="107">
        <v>0</v>
      </c>
      <c r="GB8" s="108"/>
      <c r="GC8" s="109"/>
      <c r="GD8" s="110"/>
      <c r="GE8" s="110"/>
      <c r="GF8" s="111"/>
      <c r="GG8" s="111"/>
      <c r="GH8" s="111"/>
      <c r="GI8" s="112"/>
      <c r="GJ8" s="111" t="e">
        <f t="shared" si="65"/>
        <v>#DIV/0!</v>
      </c>
      <c r="GK8" s="113"/>
    </row>
    <row r="9" spans="1:194" s="119" customFormat="1" ht="15" customHeight="1">
      <c r="B9" s="573">
        <v>42829</v>
      </c>
      <c r="D9" s="86">
        <v>2501.7600000000002</v>
      </c>
      <c r="E9" s="86"/>
      <c r="F9" s="86">
        <v>1897.3440000000001</v>
      </c>
      <c r="G9" s="308">
        <v>6269.1440000000002</v>
      </c>
      <c r="H9" s="308">
        <v>5938.6850000000004</v>
      </c>
      <c r="I9" s="308">
        <v>528.47199999999998</v>
      </c>
      <c r="J9" s="308">
        <v>5241</v>
      </c>
      <c r="K9" s="308"/>
      <c r="L9" s="308"/>
      <c r="M9" s="115">
        <f t="shared" si="21"/>
        <v>5769.4719999999998</v>
      </c>
      <c r="N9" s="88">
        <f t="shared" si="0"/>
        <v>16606.933000000001</v>
      </c>
      <c r="O9" s="88">
        <f t="shared" si="22"/>
        <v>19491.669000000002</v>
      </c>
      <c r="P9" s="89">
        <f t="shared" si="23"/>
        <v>53125.152000000002</v>
      </c>
      <c r="R9" s="90">
        <f t="shared" si="24"/>
        <v>13</v>
      </c>
      <c r="S9" s="90">
        <f t="shared" si="25"/>
        <v>1046.2</v>
      </c>
      <c r="T9" s="90">
        <f t="shared" si="1"/>
        <v>488.2</v>
      </c>
      <c r="U9" s="90">
        <f>IF(FB9=0,"",((EN9-EN8)/10))</f>
        <v>12</v>
      </c>
      <c r="V9" s="90">
        <f t="shared" si="26"/>
        <v>1247</v>
      </c>
      <c r="W9" s="91">
        <f t="shared" si="2"/>
        <v>1547.9</v>
      </c>
      <c r="X9" s="90">
        <f t="shared" si="27"/>
        <v>1247</v>
      </c>
      <c r="Y9" s="90" t="str">
        <f t="shared" si="28"/>
        <v>0</v>
      </c>
      <c r="Z9" s="90">
        <f t="shared" si="3"/>
        <v>147.30000000000001</v>
      </c>
      <c r="AA9" s="90">
        <f t="shared" si="29"/>
        <v>2806.4</v>
      </c>
      <c r="AB9" s="90">
        <f t="shared" si="30"/>
        <v>180</v>
      </c>
      <c r="AC9" s="90">
        <f t="shared" si="30"/>
        <v>31</v>
      </c>
      <c r="AD9" s="90">
        <f t="shared" si="31"/>
        <v>379</v>
      </c>
      <c r="AE9" s="90">
        <f t="shared" si="32"/>
        <v>168</v>
      </c>
      <c r="AF9" s="90">
        <f t="shared" si="33"/>
        <v>0</v>
      </c>
      <c r="AG9" s="90">
        <f t="shared" si="33"/>
        <v>0</v>
      </c>
      <c r="AH9" s="90">
        <f t="shared" si="34"/>
        <v>46</v>
      </c>
      <c r="AI9" s="90">
        <f t="shared" si="35"/>
        <v>46</v>
      </c>
      <c r="AJ9" s="90">
        <f t="shared" si="36"/>
        <v>247</v>
      </c>
      <c r="AK9" s="90">
        <f t="shared" si="36"/>
        <v>32</v>
      </c>
      <c r="AL9" s="90">
        <f t="shared" si="37"/>
        <v>343</v>
      </c>
      <c r="AM9" s="90">
        <f t="shared" si="38"/>
        <v>64</v>
      </c>
      <c r="AN9" s="90">
        <f t="shared" si="39"/>
        <v>27</v>
      </c>
      <c r="AO9" s="90">
        <f t="shared" si="4"/>
        <v>90</v>
      </c>
      <c r="AP9" s="90">
        <f t="shared" si="40"/>
        <v>15</v>
      </c>
      <c r="AQ9" s="90">
        <f t="shared" si="5"/>
        <v>33</v>
      </c>
      <c r="AR9" s="90">
        <f t="shared" si="41"/>
        <v>35.438000000000002</v>
      </c>
      <c r="AS9" s="90">
        <f t="shared" si="42"/>
        <v>90.437999999999988</v>
      </c>
      <c r="AT9" s="90">
        <f t="shared" si="43"/>
        <v>721.43799999999999</v>
      </c>
      <c r="AU9" s="90">
        <f t="shared" si="44"/>
        <v>117</v>
      </c>
      <c r="AV9" s="90">
        <f t="shared" si="66"/>
        <v>30</v>
      </c>
      <c r="AW9" s="90">
        <f t="shared" si="45"/>
        <v>514</v>
      </c>
      <c r="AX9" s="90">
        <f t="shared" si="67"/>
        <v>6</v>
      </c>
      <c r="AY9" s="90" t="str">
        <f t="shared" si="46"/>
        <v/>
      </c>
      <c r="AZ9" s="90">
        <f t="shared" si="47"/>
        <v>212</v>
      </c>
      <c r="BA9" s="90">
        <v>67</v>
      </c>
      <c r="BB9" s="90">
        <f t="shared" si="48"/>
        <v>54</v>
      </c>
      <c r="BC9" s="90">
        <f t="shared" si="48"/>
        <v>0</v>
      </c>
      <c r="BD9" s="91">
        <f t="shared" si="49"/>
        <v>35</v>
      </c>
      <c r="BE9" s="90"/>
      <c r="BF9" s="90"/>
      <c r="BG9" s="90">
        <f t="shared" si="6"/>
        <v>266</v>
      </c>
      <c r="BH9" s="90">
        <f t="shared" si="50"/>
        <v>657</v>
      </c>
      <c r="BI9" s="90">
        <f t="shared" si="51"/>
        <v>418.16199999999981</v>
      </c>
      <c r="BJ9" s="90">
        <f t="shared" si="7"/>
        <v>4089.8380000000002</v>
      </c>
      <c r="BK9" s="92"/>
      <c r="BL9" s="93">
        <f t="shared" si="52"/>
        <v>5165</v>
      </c>
      <c r="BM9" s="93">
        <f t="shared" si="53"/>
        <v>17950</v>
      </c>
      <c r="BN9" s="92"/>
      <c r="BO9" s="94">
        <f t="shared" si="54"/>
        <v>7.8280559089387546E-3</v>
      </c>
      <c r="BP9" s="94">
        <f t="shared" si="54"/>
        <v>0.62997785322551736</v>
      </c>
      <c r="BQ9" s="94">
        <f t="shared" si="55"/>
        <v>0.29397360728799232</v>
      </c>
      <c r="BR9" s="94">
        <f t="shared" si="68"/>
        <v>0.75089120911127893</v>
      </c>
      <c r="BS9" s="94">
        <f t="shared" si="8"/>
        <v>0</v>
      </c>
      <c r="BT9" s="94">
        <f t="shared" si="8"/>
        <v>8.8697895029744511E-2</v>
      </c>
      <c r="BU9" s="95">
        <f t="shared" si="8"/>
        <v>1.6898966232958246</v>
      </c>
      <c r="BV9" s="94">
        <f t="shared" si="9"/>
        <v>6.6695160891558341E-3</v>
      </c>
      <c r="BW9" s="94">
        <f t="shared" si="9"/>
        <v>0.53674213326729481</v>
      </c>
      <c r="BX9" s="94">
        <f t="shared" si="9"/>
        <v>0.25046598113275981</v>
      </c>
      <c r="BY9" s="94">
        <f t="shared" si="56"/>
        <v>0.63976050485979419</v>
      </c>
      <c r="BZ9" s="95">
        <f t="shared" si="10"/>
        <v>1.4397946117389946</v>
      </c>
      <c r="CA9" s="96" t="e">
        <f>#REF!</f>
        <v>#REF!</v>
      </c>
      <c r="CB9" s="94">
        <f t="shared" si="11"/>
        <v>1.8181100859038804E-2</v>
      </c>
      <c r="CC9" s="95">
        <f t="shared" si="11"/>
        <v>4.6398284313159621E-2</v>
      </c>
      <c r="CD9" s="97">
        <f t="shared" si="12"/>
        <v>6.142329835381817E-2</v>
      </c>
      <c r="CE9" s="98">
        <f t="shared" si="12"/>
        <v>0.15675264564937658</v>
      </c>
      <c r="CF9" s="94">
        <f t="shared" si="57"/>
        <v>0.71949347659247886</v>
      </c>
      <c r="CG9" s="94">
        <f t="shared" si="57"/>
        <v>0.12391276541314913</v>
      </c>
      <c r="CH9" s="95">
        <f t="shared" si="58"/>
        <v>1.5149334868252748</v>
      </c>
      <c r="CI9" s="96" t="e">
        <f>#REF!</f>
        <v>#REF!</v>
      </c>
      <c r="CJ9" s="94" t="str">
        <f t="shared" si="59"/>
        <v>0,00</v>
      </c>
      <c r="CK9" s="94" t="str">
        <f t="shared" si="59"/>
        <v>0,00</v>
      </c>
      <c r="CL9" s="95" t="str">
        <f t="shared" si="69"/>
        <v xml:space="preserve">0,00 </v>
      </c>
      <c r="CM9" s="95" t="e">
        <f>#REF!</f>
        <v>#REF!</v>
      </c>
      <c r="CN9" s="94">
        <f t="shared" si="60"/>
        <v>1.3018198070566012</v>
      </c>
      <c r="CO9" s="94">
        <f t="shared" si="60"/>
        <v>0.16865681710854755</v>
      </c>
      <c r="CP9" s="95">
        <f t="shared" si="61"/>
        <v>1.8077902583822438</v>
      </c>
      <c r="CQ9" s="95" t="e">
        <f>#REF!</f>
        <v>#REF!</v>
      </c>
      <c r="CR9" s="97">
        <f t="shared" si="70"/>
        <v>4.306808074595192E-2</v>
      </c>
      <c r="CS9" s="95">
        <f t="shared" si="70"/>
        <v>0.14356026915317305</v>
      </c>
      <c r="CT9" s="96" t="e">
        <f>#REF!</f>
        <v>#REF!</v>
      </c>
      <c r="CU9" s="97">
        <f t="shared" si="71"/>
        <v>2.5258116906352164E-2</v>
      </c>
      <c r="CV9" s="95">
        <f t="shared" si="62"/>
        <v>5.5567857193974751E-2</v>
      </c>
      <c r="CW9" s="96" t="e">
        <f>#REF!</f>
        <v>#REF!</v>
      </c>
      <c r="CX9" s="99">
        <f t="shared" si="63"/>
        <v>6.0025644802402495E-2</v>
      </c>
      <c r="CY9" s="95">
        <f t="shared" si="63"/>
        <v>1.5391190974974999E-2</v>
      </c>
      <c r="CZ9" s="99">
        <f t="shared" si="63"/>
        <v>0.26370240537123829</v>
      </c>
      <c r="DA9" s="95">
        <f t="shared" si="63"/>
        <v>3.0782381949949998E-3</v>
      </c>
      <c r="DB9" s="94">
        <f t="shared" si="13"/>
        <v>0.10876441622315666</v>
      </c>
      <c r="DC9" s="94">
        <f t="shared" si="14"/>
        <v>2.7704143754954998E-2</v>
      </c>
      <c r="DD9" s="94">
        <f t="shared" si="14"/>
        <v>0</v>
      </c>
      <c r="DE9" s="94">
        <f t="shared" si="14"/>
        <v>1.7956389470804166E-2</v>
      </c>
      <c r="DF9" s="94">
        <f t="shared" si="14"/>
        <v>0</v>
      </c>
      <c r="DG9" s="94">
        <f t="shared" si="14"/>
        <v>0</v>
      </c>
      <c r="DH9" s="95">
        <f t="shared" si="14"/>
        <v>0.13646855997811166</v>
      </c>
      <c r="DI9" s="96" t="e">
        <f>#REF!</f>
        <v>#REF!</v>
      </c>
      <c r="DJ9" s="95">
        <f t="shared" si="64"/>
        <v>0.33706708235195249</v>
      </c>
      <c r="DK9" s="96" t="e">
        <f>#REF!</f>
        <v>#REF!</v>
      </c>
      <c r="DL9" s="95">
        <f t="shared" si="15"/>
        <v>0.21453370668258309</v>
      </c>
      <c r="DM9" s="96">
        <f t="shared" si="16"/>
        <v>0</v>
      </c>
      <c r="DN9" s="94">
        <f t="shared" si="17"/>
        <v>2.0982492571569935</v>
      </c>
      <c r="DO9" s="100">
        <v>3.4</v>
      </c>
      <c r="DP9" s="94">
        <f t="shared" ref="DP9:DP33" si="72">IF($O9&lt;&gt;0,IF($O9&lt;&gt;0,BL9/$O9*10,0)," ")</f>
        <v>2.6498500461915291</v>
      </c>
      <c r="DQ9" s="94">
        <f t="shared" ref="DQ9:DQ34" si="73">IF($P9&lt;&gt;0,IF($P9&lt;&gt;0,BM9/$P9*10,0)," ")</f>
        <v>3.3788138620290442</v>
      </c>
      <c r="DR9" s="101" t="str">
        <f t="shared" si="18"/>
        <v>3,45 hL/NhL</v>
      </c>
      <c r="DS9" s="116"/>
      <c r="DT9" s="103">
        <v>4</v>
      </c>
      <c r="DU9" s="76">
        <v>612844</v>
      </c>
      <c r="DV9" s="76">
        <v>23929</v>
      </c>
      <c r="DW9" s="77">
        <v>5104246</v>
      </c>
      <c r="DX9" s="124">
        <v>105842</v>
      </c>
      <c r="DY9" s="77">
        <v>81737</v>
      </c>
      <c r="DZ9" s="77">
        <v>371932</v>
      </c>
      <c r="EA9" s="76">
        <v>215718</v>
      </c>
      <c r="EB9" s="77">
        <v>50216</v>
      </c>
      <c r="EC9" s="77">
        <v>379122</v>
      </c>
      <c r="ED9" s="76">
        <v>45218</v>
      </c>
      <c r="EE9" s="125">
        <v>36886</v>
      </c>
      <c r="EF9" s="77">
        <v>38960</v>
      </c>
      <c r="EG9" s="76">
        <v>89619</v>
      </c>
      <c r="EH9" s="76">
        <v>176691</v>
      </c>
      <c r="EI9" s="76">
        <v>29793</v>
      </c>
      <c r="EJ9" s="77">
        <v>38191</v>
      </c>
      <c r="EK9" s="77"/>
      <c r="EL9" s="76">
        <v>683299</v>
      </c>
      <c r="EM9" s="77">
        <v>4882</v>
      </c>
      <c r="EN9" s="77">
        <v>40833</v>
      </c>
      <c r="EO9" s="76">
        <v>2892349</v>
      </c>
      <c r="EP9" s="77">
        <v>2827734</v>
      </c>
      <c r="EQ9" s="77"/>
      <c r="ER9" s="77">
        <v>1473</v>
      </c>
      <c r="ES9" s="124">
        <v>297406</v>
      </c>
      <c r="ET9" s="77">
        <v>3230899</v>
      </c>
      <c r="EU9" s="77">
        <v>386268</v>
      </c>
      <c r="EV9" s="77">
        <v>117027</v>
      </c>
      <c r="EW9" s="77">
        <v>80019</v>
      </c>
      <c r="EX9" s="76">
        <v>199547</v>
      </c>
      <c r="EY9" s="76">
        <v>1583872</v>
      </c>
      <c r="EZ9" s="126">
        <v>726303</v>
      </c>
      <c r="FA9" s="127">
        <v>726309</v>
      </c>
      <c r="FB9" s="125">
        <v>30617</v>
      </c>
      <c r="FC9" s="77">
        <v>4508</v>
      </c>
      <c r="FD9" s="77">
        <f>SUM(FE9:FM9)</f>
        <v>4547</v>
      </c>
      <c r="FE9" s="105">
        <f t="shared" si="20"/>
        <v>0</v>
      </c>
      <c r="FF9" s="105">
        <f t="shared" si="20"/>
        <v>877</v>
      </c>
      <c r="FG9" s="105">
        <f t="shared" si="20"/>
        <v>0</v>
      </c>
      <c r="FH9" s="105">
        <f t="shared" si="20"/>
        <v>2242</v>
      </c>
      <c r="FI9" s="105">
        <f t="shared" si="20"/>
        <v>625</v>
      </c>
      <c r="FJ9" s="105">
        <f t="shared" si="20"/>
        <v>803</v>
      </c>
      <c r="FK9" s="105">
        <f t="shared" si="20"/>
        <v>0</v>
      </c>
      <c r="FL9" s="105">
        <f t="shared" si="20"/>
        <v>0</v>
      </c>
      <c r="FM9" s="105">
        <f t="shared" si="20"/>
        <v>0</v>
      </c>
      <c r="FN9" s="124">
        <f t="shared" ref="FN9:FN36" si="74">IF(FO9="",0,(FO9-FO8))</f>
        <v>618</v>
      </c>
      <c r="FO9" s="77">
        <f>FO8+618</f>
        <v>67567</v>
      </c>
      <c r="FP9" s="106">
        <v>985957</v>
      </c>
      <c r="FY9" s="119">
        <v>4</v>
      </c>
      <c r="FZ9" s="107"/>
      <c r="GA9" s="107">
        <v>0</v>
      </c>
      <c r="GB9" s="108"/>
      <c r="GC9" s="109"/>
      <c r="GD9" s="110"/>
      <c r="GE9" s="110"/>
      <c r="GF9" s="111"/>
      <c r="GG9" s="111"/>
      <c r="GH9" s="111"/>
      <c r="GI9" s="112"/>
      <c r="GJ9" s="111" t="e">
        <f t="shared" si="65"/>
        <v>#DIV/0!</v>
      </c>
      <c r="GK9" s="113"/>
    </row>
    <row r="10" spans="1:194" s="119" customFormat="1" ht="15" customHeight="1">
      <c r="B10" s="573">
        <v>42830</v>
      </c>
      <c r="D10" s="128">
        <v>4752.6000000000004</v>
      </c>
      <c r="E10" s="128">
        <v>0</v>
      </c>
      <c r="F10" s="128">
        <v>2435.2559999999999</v>
      </c>
      <c r="G10" s="308">
        <v>5281.357</v>
      </c>
      <c r="H10" s="308">
        <v>4286.7420000000002</v>
      </c>
      <c r="I10" s="308">
        <v>1576.4290000000001</v>
      </c>
      <c r="J10" s="308">
        <v>7461</v>
      </c>
      <c r="K10" s="308">
        <v>0</v>
      </c>
      <c r="L10" s="308">
        <v>0</v>
      </c>
      <c r="M10" s="115">
        <f t="shared" si="21"/>
        <v>9037.4290000000001</v>
      </c>
      <c r="N10" s="88">
        <f t="shared" si="0"/>
        <v>16755.955000000002</v>
      </c>
      <c r="O10" s="88">
        <f t="shared" si="22"/>
        <v>21274.669500000004</v>
      </c>
      <c r="P10" s="89">
        <f t="shared" si="23"/>
        <v>74399.821500000005</v>
      </c>
      <c r="R10" s="90">
        <f t="shared" si="24"/>
        <v>113</v>
      </c>
      <c r="S10" s="90">
        <f t="shared" si="25"/>
        <v>-695.7</v>
      </c>
      <c r="T10" s="90">
        <f t="shared" si="1"/>
        <v>762.6</v>
      </c>
      <c r="U10" s="90">
        <f>IF(FB10=0,"",((EN10-EN9)/10))</f>
        <v>1.9</v>
      </c>
      <c r="V10" s="90">
        <f t="shared" si="26"/>
        <v>1344</v>
      </c>
      <c r="W10" s="91">
        <f t="shared" si="2"/>
        <v>584.5</v>
      </c>
      <c r="X10" s="90">
        <f t="shared" si="27"/>
        <v>1344</v>
      </c>
      <c r="Y10" s="90" t="str">
        <f t="shared" si="28"/>
        <v>0</v>
      </c>
      <c r="Z10" s="90">
        <f t="shared" si="3"/>
        <v>112.2</v>
      </c>
      <c r="AA10" s="90">
        <f t="shared" si="29"/>
        <v>1525.8</v>
      </c>
      <c r="AB10" s="90">
        <f t="shared" si="30"/>
        <v>255</v>
      </c>
      <c r="AC10" s="90">
        <f t="shared" si="30"/>
        <v>20</v>
      </c>
      <c r="AD10" s="90">
        <f t="shared" si="31"/>
        <v>488</v>
      </c>
      <c r="AE10" s="90">
        <f t="shared" si="32"/>
        <v>213</v>
      </c>
      <c r="AF10" s="90">
        <f t="shared" si="33"/>
        <v>66</v>
      </c>
      <c r="AG10" s="90">
        <f t="shared" si="33"/>
        <v>0</v>
      </c>
      <c r="AH10" s="90">
        <f t="shared" si="34"/>
        <v>97</v>
      </c>
      <c r="AI10" s="90">
        <f t="shared" si="35"/>
        <v>31</v>
      </c>
      <c r="AJ10" s="90">
        <f t="shared" si="36"/>
        <v>242</v>
      </c>
      <c r="AK10" s="90">
        <f t="shared" si="36"/>
        <v>50</v>
      </c>
      <c r="AL10" s="90">
        <f t="shared" si="37"/>
        <v>375</v>
      </c>
      <c r="AM10" s="90">
        <f t="shared" si="38"/>
        <v>83</v>
      </c>
      <c r="AN10" s="90">
        <f t="shared" si="39"/>
        <v>33</v>
      </c>
      <c r="AO10" s="90">
        <f t="shared" si="4"/>
        <v>106</v>
      </c>
      <c r="AP10" s="90">
        <f t="shared" si="40"/>
        <v>0</v>
      </c>
      <c r="AQ10" s="90">
        <f t="shared" si="5"/>
        <v>70</v>
      </c>
      <c r="AR10" s="90">
        <f t="shared" si="41"/>
        <v>58.725000000000001</v>
      </c>
      <c r="AS10" s="90">
        <f t="shared" si="42"/>
        <v>64.725000000000023</v>
      </c>
      <c r="AT10" s="90">
        <f t="shared" si="43"/>
        <v>838.72500000000002</v>
      </c>
      <c r="AU10" s="90">
        <f t="shared" si="44"/>
        <v>261</v>
      </c>
      <c r="AV10" s="90">
        <f t="shared" si="66"/>
        <v>25</v>
      </c>
      <c r="AW10" s="90">
        <f t="shared" si="45"/>
        <v>513</v>
      </c>
      <c r="AX10" s="90">
        <f t="shared" si="67"/>
        <v>25</v>
      </c>
      <c r="AY10" s="90" t="str">
        <f t="shared" si="46"/>
        <v/>
      </c>
      <c r="AZ10" s="90">
        <f t="shared" si="47"/>
        <v>337</v>
      </c>
      <c r="BA10" s="90">
        <v>38</v>
      </c>
      <c r="BB10" s="90">
        <f t="shared" si="48"/>
        <v>77</v>
      </c>
      <c r="BC10" s="90">
        <f t="shared" si="48"/>
        <v>188</v>
      </c>
      <c r="BD10" s="91">
        <f t="shared" si="49"/>
        <v>347</v>
      </c>
      <c r="BE10" s="90"/>
      <c r="BF10" s="90"/>
      <c r="BG10" s="90">
        <f t="shared" si="6"/>
        <v>602</v>
      </c>
      <c r="BH10" s="90">
        <f t="shared" si="50"/>
        <v>-186.09999999997672</v>
      </c>
      <c r="BI10" s="90">
        <f t="shared" si="51"/>
        <v>3434.4749999999999</v>
      </c>
      <c r="BJ10" s="90">
        <f t="shared" si="7"/>
        <v>3378.5250000000001</v>
      </c>
      <c r="BK10" s="92"/>
      <c r="BL10" s="93">
        <f t="shared" si="52"/>
        <v>6626.9000000000233</v>
      </c>
      <c r="BM10" s="93">
        <f t="shared" si="53"/>
        <v>24576.900000000023</v>
      </c>
      <c r="BN10" s="92"/>
      <c r="BO10" s="94">
        <f t="shared" si="54"/>
        <v>6.743871059572551E-2</v>
      </c>
      <c r="BP10" s="94">
        <f t="shared" si="54"/>
        <v>-0.41519567222518794</v>
      </c>
      <c r="BQ10" s="94">
        <f t="shared" si="55"/>
        <v>0.45512177610885207</v>
      </c>
      <c r="BR10" s="94">
        <f t="shared" si="68"/>
        <v>0.80210289416508929</v>
      </c>
      <c r="BS10" s="94">
        <f t="shared" si="8"/>
        <v>0</v>
      </c>
      <c r="BT10" s="94">
        <f t="shared" si="8"/>
        <v>6.6961268396817722E-2</v>
      </c>
      <c r="BU10" s="95">
        <f t="shared" si="8"/>
        <v>0.91060163386688486</v>
      </c>
      <c r="BV10" s="94">
        <f t="shared" si="9"/>
        <v>5.3114808669530666E-2</v>
      </c>
      <c r="BW10" s="94">
        <f t="shared" si="9"/>
        <v>-0.3270086052335619</v>
      </c>
      <c r="BX10" s="94">
        <f t="shared" si="9"/>
        <v>0.35845445213614241</v>
      </c>
      <c r="BY10" s="94">
        <f t="shared" si="56"/>
        <v>0.63173719337919665</v>
      </c>
      <c r="BZ10" s="95">
        <f t="shared" si="10"/>
        <v>0.7171909298050434</v>
      </c>
      <c r="CA10" s="96" t="e">
        <f>#REF!</f>
        <v>#REF!</v>
      </c>
      <c r="CB10" s="94">
        <f t="shared" si="11"/>
        <v>2.7603249018745037E-2</v>
      </c>
      <c r="CC10" s="95">
        <f t="shared" si="11"/>
        <v>3.0423504346330746E-2</v>
      </c>
      <c r="CD10" s="97">
        <f t="shared" si="12"/>
        <v>6.4979763603122076E-2</v>
      </c>
      <c r="CE10" s="98">
        <f t="shared" si="12"/>
        <v>7.1618819909954501E-2</v>
      </c>
      <c r="CF10" s="94">
        <f t="shared" si="57"/>
        <v>0.53654841560409028</v>
      </c>
      <c r="CG10" s="94">
        <f t="shared" si="57"/>
        <v>4.2082228674830614E-2</v>
      </c>
      <c r="CH10" s="95">
        <f t="shared" si="58"/>
        <v>1.0268063796658671</v>
      </c>
      <c r="CI10" s="96" t="e">
        <f>#REF!</f>
        <v>#REF!</v>
      </c>
      <c r="CJ10" s="94" t="str">
        <f t="shared" si="59"/>
        <v>0,00</v>
      </c>
      <c r="CK10" s="94" t="str">
        <f t="shared" si="59"/>
        <v>0,00</v>
      </c>
      <c r="CL10" s="95" t="str">
        <f t="shared" si="69"/>
        <v xml:space="preserve">0,00 </v>
      </c>
      <c r="CM10" s="95" t="e">
        <f>#REF!</f>
        <v>#REF!</v>
      </c>
      <c r="CN10" s="94">
        <f t="shared" si="60"/>
        <v>0.99373536088197711</v>
      </c>
      <c r="CO10" s="94">
        <f t="shared" si="60"/>
        <v>0.20531722332272254</v>
      </c>
      <c r="CP10" s="95">
        <f t="shared" si="61"/>
        <v>1.539879174920419</v>
      </c>
      <c r="CQ10" s="95" t="e">
        <f>#REF!</f>
        <v>#REF!</v>
      </c>
      <c r="CR10" s="97">
        <f t="shared" si="70"/>
        <v>6.248394115376029E-2</v>
      </c>
      <c r="CS10" s="95">
        <f t="shared" si="70"/>
        <v>0.20070599279692702</v>
      </c>
      <c r="CT10" s="96" t="e">
        <f>#REF!</f>
        <v>#REF!</v>
      </c>
      <c r="CU10" s="97">
        <f t="shared" si="71"/>
        <v>0</v>
      </c>
      <c r="CV10" s="95">
        <f t="shared" si="62"/>
        <v>0.16329417539007479</v>
      </c>
      <c r="CW10" s="96" t="e">
        <f>#REF!</f>
        <v>#REF!</v>
      </c>
      <c r="CX10" s="99">
        <f t="shared" si="63"/>
        <v>0.12268110674997793</v>
      </c>
      <c r="CY10" s="95">
        <f t="shared" si="63"/>
        <v>1.1751063864940414E-2</v>
      </c>
      <c r="CZ10" s="99">
        <f t="shared" si="63"/>
        <v>0.24113183050857731</v>
      </c>
      <c r="DA10" s="95">
        <f t="shared" si="63"/>
        <v>1.1751063864940414E-2</v>
      </c>
      <c r="DB10" s="94">
        <f t="shared" si="13"/>
        <v>0.15840434089939678</v>
      </c>
      <c r="DC10" s="94">
        <f t="shared" si="14"/>
        <v>3.619327670401648E-2</v>
      </c>
      <c r="DD10" s="94">
        <f t="shared" si="14"/>
        <v>8.8368000264351917E-2</v>
      </c>
      <c r="DE10" s="94">
        <f t="shared" si="14"/>
        <v>0.16310476644537297</v>
      </c>
      <c r="DF10" s="94">
        <f t="shared" si="14"/>
        <v>0</v>
      </c>
      <c r="DG10" s="94">
        <f t="shared" si="14"/>
        <v>0</v>
      </c>
      <c r="DH10" s="95">
        <f t="shared" si="14"/>
        <v>0.2829656178677652</v>
      </c>
      <c r="DI10" s="96" t="e">
        <f>#REF!</f>
        <v>#REF!</v>
      </c>
      <c r="DJ10" s="95">
        <f t="shared" si="64"/>
        <v>-8.7474919410605506E-2</v>
      </c>
      <c r="DK10" s="96" t="e">
        <f>#REF!</f>
        <v>#REF!</v>
      </c>
      <c r="DL10" s="95">
        <f t="shared" si="15"/>
        <v>1.6143494027016492</v>
      </c>
      <c r="DM10" s="96">
        <f t="shared" si="16"/>
        <v>0</v>
      </c>
      <c r="DN10" s="94">
        <f t="shared" si="17"/>
        <v>1.5880505217719127</v>
      </c>
      <c r="DO10" s="100">
        <v>3.4</v>
      </c>
      <c r="DP10" s="94">
        <f>IF($O10&lt;&gt;0,IF($O10&lt;&gt;0,BL10/$O10*10,0)," ")</f>
        <v>3.1149250050629562</v>
      </c>
      <c r="DQ10" s="94">
        <f>IF($P10&lt;&gt;0,IF($P10&lt;&gt;0,BM10/$P10*10,0)," ")</f>
        <v>3.3033546995808343</v>
      </c>
      <c r="DR10" s="101" t="str">
        <f t="shared" si="18"/>
        <v>3,45 hL/NhL</v>
      </c>
      <c r="DS10" s="116"/>
      <c r="DT10" s="103">
        <v>5</v>
      </c>
      <c r="DU10" s="76">
        <v>613099</v>
      </c>
      <c r="DV10" s="76">
        <v>23949</v>
      </c>
      <c r="DW10" s="76">
        <v>5104734</v>
      </c>
      <c r="DX10" s="129">
        <v>105908</v>
      </c>
      <c r="DY10" s="76">
        <v>81737</v>
      </c>
      <c r="DZ10" s="76">
        <v>372029</v>
      </c>
      <c r="EA10" s="76">
        <v>215960</v>
      </c>
      <c r="EB10" s="77">
        <v>50266</v>
      </c>
      <c r="EC10" s="76">
        <v>379497</v>
      </c>
      <c r="ED10" s="76">
        <v>45251</v>
      </c>
      <c r="EE10" s="77">
        <v>36927</v>
      </c>
      <c r="EF10" s="77">
        <v>39025</v>
      </c>
      <c r="EG10" s="76">
        <v>89619</v>
      </c>
      <c r="EH10" s="76">
        <v>176761</v>
      </c>
      <c r="EI10" s="76">
        <v>29818</v>
      </c>
      <c r="EJ10" s="77">
        <v>38216</v>
      </c>
      <c r="EK10" s="77"/>
      <c r="EL10" s="76">
        <v>683412</v>
      </c>
      <c r="EM10" s="77">
        <v>7626</v>
      </c>
      <c r="EN10" s="77">
        <v>40852</v>
      </c>
      <c r="EO10" s="76">
        <v>2893693</v>
      </c>
      <c r="EP10" s="77">
        <v>2833579</v>
      </c>
      <c r="EQ10" s="77">
        <v>0</v>
      </c>
      <c r="ER10" s="77">
        <v>1122</v>
      </c>
      <c r="ES10" s="124">
        <v>298186</v>
      </c>
      <c r="ET10" s="77">
        <v>3289624</v>
      </c>
      <c r="EU10" s="77">
        <v>386781</v>
      </c>
      <c r="EV10" s="77">
        <v>117288</v>
      </c>
      <c r="EW10" s="77">
        <v>80356</v>
      </c>
      <c r="EX10" s="76">
        <v>199624</v>
      </c>
      <c r="EY10" s="76">
        <v>1584060</v>
      </c>
      <c r="EZ10" s="76">
        <v>719346</v>
      </c>
      <c r="FA10" s="130">
        <v>726656</v>
      </c>
      <c r="FB10" s="77">
        <v>30653</v>
      </c>
      <c r="FC10" s="77">
        <v>6813</v>
      </c>
      <c r="FD10" s="77">
        <f>SUM(FE10:FM10)</f>
        <v>6005.9000000000233</v>
      </c>
      <c r="FE10" s="105">
        <f t="shared" si="20"/>
        <v>0</v>
      </c>
      <c r="FF10" s="105">
        <f t="shared" si="20"/>
        <v>676</v>
      </c>
      <c r="FG10" s="105">
        <f t="shared" si="20"/>
        <v>1785</v>
      </c>
      <c r="FH10" s="105">
        <f t="shared" si="20"/>
        <v>1925</v>
      </c>
      <c r="FI10" s="105">
        <f t="shared" si="20"/>
        <v>511</v>
      </c>
      <c r="FJ10" s="105">
        <f t="shared" si="20"/>
        <v>593</v>
      </c>
      <c r="FK10" s="105">
        <f t="shared" si="20"/>
        <v>0</v>
      </c>
      <c r="FL10" s="105">
        <f t="shared" si="20"/>
        <v>515.90000000002328</v>
      </c>
      <c r="FM10" s="105">
        <f t="shared" si="20"/>
        <v>0</v>
      </c>
      <c r="FN10" s="124">
        <f t="shared" si="74"/>
        <v>621</v>
      </c>
      <c r="FO10" s="77">
        <f>FO9+621</f>
        <v>68188</v>
      </c>
      <c r="FP10" s="106">
        <v>986836</v>
      </c>
      <c r="FY10" s="119">
        <v>5</v>
      </c>
      <c r="FZ10" s="107">
        <v>3949</v>
      </c>
      <c r="GA10" s="107">
        <v>188</v>
      </c>
      <c r="GB10" s="108">
        <f>GA10/FZ10/0.1</f>
        <v>0.4760698911116738</v>
      </c>
      <c r="GC10" s="109"/>
      <c r="GD10" s="110"/>
      <c r="GE10" s="110"/>
      <c r="GF10" s="111"/>
      <c r="GG10" s="111"/>
      <c r="GH10" s="111"/>
      <c r="GI10" s="112"/>
      <c r="GJ10" s="111">
        <f t="shared" si="65"/>
        <v>3094.0835106382983</v>
      </c>
      <c r="GK10" s="113"/>
    </row>
    <row r="11" spans="1:194" s="119" customFormat="1" ht="15.75" customHeight="1">
      <c r="B11" s="573">
        <v>42831</v>
      </c>
      <c r="D11" s="131">
        <v>5414.04</v>
      </c>
      <c r="E11" s="131">
        <v>1344</v>
      </c>
      <c r="F11" s="131">
        <v>3035.232</v>
      </c>
      <c r="G11" s="308">
        <v>4137.3330000000005</v>
      </c>
      <c r="H11" s="308">
        <v>0</v>
      </c>
      <c r="I11" s="308">
        <v>1723.8620000000001</v>
      </c>
      <c r="J11" s="308">
        <v>4077.36</v>
      </c>
      <c r="K11" s="308">
        <v>17.236999999999998</v>
      </c>
      <c r="L11" s="308"/>
      <c r="M11" s="115">
        <f t="shared" si="21"/>
        <v>5801.2219999999998</v>
      </c>
      <c r="N11" s="88">
        <f t="shared" si="0"/>
        <v>13930.605000000001</v>
      </c>
      <c r="O11" s="88">
        <f>N11+L11+K11+((J11+I11)*0.5)</f>
        <v>16848.453000000001</v>
      </c>
      <c r="P11" s="89">
        <f t="shared" si="23"/>
        <v>91248.2745</v>
      </c>
      <c r="R11" s="90">
        <f t="shared" si="24"/>
        <v>211</v>
      </c>
      <c r="S11" s="90">
        <f t="shared" si="25"/>
        <v>30.6</v>
      </c>
      <c r="T11" s="90">
        <f t="shared" si="1"/>
        <v>569.6</v>
      </c>
      <c r="U11" s="90">
        <f t="shared" ref="U11:U35" si="75">IF(FB11=0,"",((EN11-EN10)/10))</f>
        <v>4.8</v>
      </c>
      <c r="V11" s="90">
        <f t="shared" si="26"/>
        <v>1413</v>
      </c>
      <c r="W11" s="91">
        <f t="shared" si="2"/>
        <v>942.7</v>
      </c>
      <c r="X11" s="90">
        <f t="shared" si="27"/>
        <v>1413</v>
      </c>
      <c r="Y11" s="90" t="str">
        <f t="shared" si="28"/>
        <v>0</v>
      </c>
      <c r="Z11" s="90">
        <f t="shared" si="3"/>
        <v>117.1</v>
      </c>
      <c r="AA11" s="90">
        <f t="shared" si="29"/>
        <v>2229</v>
      </c>
      <c r="AB11" s="90">
        <f t="shared" si="30"/>
        <v>262</v>
      </c>
      <c r="AC11" s="90">
        <f t="shared" si="30"/>
        <v>22</v>
      </c>
      <c r="AD11" s="90">
        <f t="shared" si="31"/>
        <v>425</v>
      </c>
      <c r="AE11" s="90">
        <f t="shared" si="32"/>
        <v>141</v>
      </c>
      <c r="AF11" s="90">
        <f t="shared" si="33"/>
        <v>153</v>
      </c>
      <c r="AG11" s="90">
        <f t="shared" si="33"/>
        <v>57</v>
      </c>
      <c r="AH11" s="90">
        <f t="shared" si="34"/>
        <v>290</v>
      </c>
      <c r="AI11" s="90">
        <f t="shared" si="35"/>
        <v>80</v>
      </c>
      <c r="AJ11" s="90">
        <f t="shared" si="36"/>
        <v>308</v>
      </c>
      <c r="AK11" s="90">
        <f t="shared" si="36"/>
        <v>6</v>
      </c>
      <c r="AL11" s="90">
        <f t="shared" si="37"/>
        <v>362</v>
      </c>
      <c r="AM11" s="90">
        <f t="shared" si="38"/>
        <v>48</v>
      </c>
      <c r="AN11" s="90">
        <f t="shared" si="39"/>
        <v>35</v>
      </c>
      <c r="AO11" s="90">
        <f t="shared" si="4"/>
        <v>114</v>
      </c>
      <c r="AP11" s="90">
        <f t="shared" si="40"/>
        <v>0</v>
      </c>
      <c r="AQ11" s="90">
        <f t="shared" si="5"/>
        <v>7</v>
      </c>
      <c r="AR11" s="90">
        <f t="shared" si="41"/>
        <v>60.476999999999997</v>
      </c>
      <c r="AS11" s="90">
        <f t="shared" si="42"/>
        <v>165.47699999999998</v>
      </c>
      <c r="AT11" s="90">
        <f t="shared" si="43"/>
        <v>852.47699999999998</v>
      </c>
      <c r="AU11" s="90">
        <f t="shared" si="44"/>
        <v>198</v>
      </c>
      <c r="AV11" s="90">
        <f t="shared" si="66"/>
        <v>11</v>
      </c>
      <c r="AW11" s="90">
        <f t="shared" si="45"/>
        <v>489</v>
      </c>
      <c r="AX11" s="90">
        <f t="shared" si="67"/>
        <v>29</v>
      </c>
      <c r="AY11" s="90" t="str">
        <f t="shared" si="46"/>
        <v/>
      </c>
      <c r="AZ11" s="90">
        <f t="shared" si="47"/>
        <v>292</v>
      </c>
      <c r="BA11" s="90">
        <v>91</v>
      </c>
      <c r="BB11" s="90">
        <f t="shared" si="48"/>
        <v>97</v>
      </c>
      <c r="BC11" s="90">
        <f t="shared" si="48"/>
        <v>1148</v>
      </c>
      <c r="BD11" s="91">
        <f t="shared" si="49"/>
        <v>507</v>
      </c>
      <c r="BE11" s="90"/>
      <c r="BF11" s="90"/>
      <c r="BG11" s="90">
        <f t="shared" si="6"/>
        <v>1537</v>
      </c>
      <c r="BH11" s="90">
        <f t="shared" si="50"/>
        <v>-392</v>
      </c>
      <c r="BI11" s="90">
        <f t="shared" si="51"/>
        <v>2565.5230000000001</v>
      </c>
      <c r="BJ11" s="90">
        <f t="shared" si="7"/>
        <v>5169.4769999999999</v>
      </c>
      <c r="BK11" s="92"/>
      <c r="BL11" s="93">
        <f t="shared" si="52"/>
        <v>7343</v>
      </c>
      <c r="BM11" s="93">
        <f t="shared" si="53"/>
        <v>31919.900000000023</v>
      </c>
      <c r="BN11" s="92"/>
      <c r="BO11" s="94">
        <f t="shared" si="54"/>
        <v>0.1514650655876037</v>
      </c>
      <c r="BP11" s="94">
        <f t="shared" si="54"/>
        <v>2.1966023729766224E-2</v>
      </c>
      <c r="BQ11" s="94">
        <f t="shared" si="55"/>
        <v>0.40888389269525621</v>
      </c>
      <c r="BR11" s="94">
        <f t="shared" si="68"/>
        <v>1.0143134486980285</v>
      </c>
      <c r="BS11" s="94">
        <f t="shared" si="8"/>
        <v>0</v>
      </c>
      <c r="BT11" s="94">
        <f t="shared" si="8"/>
        <v>8.4059522181556351E-2</v>
      </c>
      <c r="BU11" s="95">
        <f t="shared" si="8"/>
        <v>1.6000740814917944</v>
      </c>
      <c r="BV11" s="94">
        <f t="shared" si="9"/>
        <v>0.12523404967803276</v>
      </c>
      <c r="BW11" s="94">
        <f t="shared" si="9"/>
        <v>1.8161904834823706E-2</v>
      </c>
      <c r="BX11" s="94">
        <f t="shared" si="9"/>
        <v>0.33807258150050923</v>
      </c>
      <c r="BY11" s="94">
        <f t="shared" si="56"/>
        <v>0.83865266443156516</v>
      </c>
      <c r="BZ11" s="95">
        <f t="shared" si="10"/>
        <v>1.3229701266935305</v>
      </c>
      <c r="CA11" s="96" t="e">
        <f>#REF!</f>
        <v>#REF!</v>
      </c>
      <c r="CB11" s="94">
        <f t="shared" si="11"/>
        <v>3.5894690153452063E-2</v>
      </c>
      <c r="CC11" s="95">
        <f t="shared" si="11"/>
        <v>9.8214951841572612E-2</v>
      </c>
      <c r="CD11" s="97">
        <f t="shared" si="12"/>
        <v>0.10424872552713894</v>
      </c>
      <c r="CE11" s="98">
        <f t="shared" si="12"/>
        <v>0.28524507422746448</v>
      </c>
      <c r="CF11" s="94">
        <f t="shared" si="57"/>
        <v>0.483926975050055</v>
      </c>
      <c r="CG11" s="94">
        <f t="shared" si="57"/>
        <v>4.0635089508019889E-2</v>
      </c>
      <c r="CH11" s="95">
        <f t="shared" si="58"/>
        <v>0.78499604731402062</v>
      </c>
      <c r="CI11" s="96" t="e">
        <f>#REF!</f>
        <v>#REF!</v>
      </c>
      <c r="CJ11" s="94">
        <f t="shared" si="59"/>
        <v>1.1383928571428572</v>
      </c>
      <c r="CK11" s="94">
        <f t="shared" si="59"/>
        <v>0.4241071428571429</v>
      </c>
      <c r="CL11" s="95">
        <f t="shared" si="69"/>
        <v>2.1577380952380953</v>
      </c>
      <c r="CM11" s="95" t="e">
        <f>#REF!</f>
        <v>#REF!</v>
      </c>
      <c r="CN11" s="94">
        <f t="shared" si="60"/>
        <v>1.0147494491360134</v>
      </c>
      <c r="CO11" s="94">
        <f t="shared" si="60"/>
        <v>1.9767846411740519E-2</v>
      </c>
      <c r="CP11" s="95">
        <f t="shared" si="61"/>
        <v>1.192660066841678</v>
      </c>
      <c r="CQ11" s="95" t="e">
        <f>#REF!</f>
        <v>#REF!</v>
      </c>
      <c r="CR11" s="97">
        <f t="shared" si="70"/>
        <v>8.4595559506571008E-2</v>
      </c>
      <c r="CS11" s="95">
        <f t="shared" si="70"/>
        <v>0.27553982239283131</v>
      </c>
      <c r="CT11" s="96" t="e">
        <f>#REF!</f>
        <v>#REF!</v>
      </c>
      <c r="CU11" s="97" t="str">
        <f t="shared" si="71"/>
        <v xml:space="preserve">0,00 </v>
      </c>
      <c r="CV11" s="95" t="str">
        <f t="shared" si="62"/>
        <v xml:space="preserve">0,00 </v>
      </c>
      <c r="CW11" s="96" t="e">
        <f>#REF!</f>
        <v>#REF!</v>
      </c>
      <c r="CX11" s="99">
        <f t="shared" si="63"/>
        <v>0.11751820775474162</v>
      </c>
      <c r="CY11" s="95">
        <f t="shared" si="63"/>
        <v>6.5287893197078688E-3</v>
      </c>
      <c r="CZ11" s="99">
        <f t="shared" si="63"/>
        <v>0.29023436157610433</v>
      </c>
      <c r="DA11" s="95">
        <f t="shared" si="63"/>
        <v>1.7212262751957107E-2</v>
      </c>
      <c r="DB11" s="94">
        <f t="shared" si="13"/>
        <v>0.17330968012315431</v>
      </c>
      <c r="DC11" s="94">
        <f t="shared" si="14"/>
        <v>5.7572051273787561E-2</v>
      </c>
      <c r="DD11" s="94">
        <f t="shared" si="14"/>
        <v>0.68136819445678487</v>
      </c>
      <c r="DE11" s="94">
        <f t="shared" si="14"/>
        <v>0.30091783500835356</v>
      </c>
      <c r="DF11" s="94">
        <f t="shared" si="14"/>
        <v>0</v>
      </c>
      <c r="DG11" s="94">
        <f t="shared" si="14"/>
        <v>0</v>
      </c>
      <c r="DH11" s="95">
        <f t="shared" si="14"/>
        <v>0.91224992585372666</v>
      </c>
      <c r="DI11" s="96" t="e">
        <f>#REF!</f>
        <v>#REF!</v>
      </c>
      <c r="DJ11" s="95">
        <f t="shared" si="64"/>
        <v>-0.23266231030231677</v>
      </c>
      <c r="DK11" s="96" t="e">
        <f>#REF!</f>
        <v>#REF!</v>
      </c>
      <c r="DL11" s="95">
        <f t="shared" si="15"/>
        <v>1.5227053783513536</v>
      </c>
      <c r="DM11" s="96">
        <f t="shared" si="16"/>
        <v>0</v>
      </c>
      <c r="DN11" s="94">
        <f t="shared" si="17"/>
        <v>3.0682205660068611</v>
      </c>
      <c r="DO11" s="100">
        <v>3.4</v>
      </c>
      <c r="DP11" s="94">
        <f>IF($O11&lt;&gt;0,IF($O11&lt;&gt;0,BL11/$O11*10,0)," ")</f>
        <v>4.3582636340558976</v>
      </c>
      <c r="DQ11" s="94">
        <f t="shared" si="73"/>
        <v>3.4981373812170031</v>
      </c>
      <c r="DR11" s="101" t="str">
        <f t="shared" si="18"/>
        <v>3,45 hL/NhL</v>
      </c>
      <c r="DS11" s="116"/>
      <c r="DT11" s="103">
        <v>6</v>
      </c>
      <c r="DU11" s="76">
        <v>613361</v>
      </c>
      <c r="DV11" s="76">
        <v>23971</v>
      </c>
      <c r="DW11" s="77">
        <v>5105159</v>
      </c>
      <c r="DX11" s="129">
        <v>106061</v>
      </c>
      <c r="DY11" s="76">
        <v>81794</v>
      </c>
      <c r="DZ11" s="76">
        <v>372319</v>
      </c>
      <c r="EA11" s="76">
        <v>216268</v>
      </c>
      <c r="EB11" s="77">
        <v>50272</v>
      </c>
      <c r="EC11" s="76">
        <v>379859</v>
      </c>
      <c r="ED11" s="76">
        <v>45286</v>
      </c>
      <c r="EE11" s="77">
        <v>36974</v>
      </c>
      <c r="EF11" s="77">
        <v>39092</v>
      </c>
      <c r="EG11" s="76">
        <v>89619</v>
      </c>
      <c r="EH11" s="76">
        <v>176768</v>
      </c>
      <c r="EI11" s="76">
        <v>29829</v>
      </c>
      <c r="EJ11" s="77">
        <v>38245</v>
      </c>
      <c r="EK11" s="77"/>
      <c r="EL11" s="76">
        <v>683623</v>
      </c>
      <c r="EM11" s="77">
        <v>5696</v>
      </c>
      <c r="EN11" s="77">
        <v>40900</v>
      </c>
      <c r="EO11" s="76">
        <v>2895106</v>
      </c>
      <c r="EP11" s="77">
        <v>2843006</v>
      </c>
      <c r="EQ11" s="77">
        <v>0</v>
      </c>
      <c r="ER11" s="77">
        <v>1171</v>
      </c>
      <c r="ES11" s="124">
        <v>298978</v>
      </c>
      <c r="ET11" s="77">
        <v>3350101</v>
      </c>
      <c r="EU11" s="77">
        <v>387270</v>
      </c>
      <c r="EV11" s="77">
        <v>117486</v>
      </c>
      <c r="EW11" s="77">
        <v>80648</v>
      </c>
      <c r="EX11" s="76">
        <v>199721</v>
      </c>
      <c r="EY11" s="76">
        <v>1585208</v>
      </c>
      <c r="EZ11" s="76">
        <v>719652</v>
      </c>
      <c r="FA11" s="76">
        <v>727163</v>
      </c>
      <c r="FB11" s="77">
        <v>30750</v>
      </c>
      <c r="FC11" s="77">
        <v>7735</v>
      </c>
      <c r="FD11" s="77">
        <f>SUM(FE11:FM11)</f>
        <v>6722</v>
      </c>
      <c r="FE11" s="105">
        <f t="shared" si="20"/>
        <v>0</v>
      </c>
      <c r="FF11" s="105">
        <f t="shared" si="20"/>
        <v>848</v>
      </c>
      <c r="FG11" s="105">
        <f t="shared" si="20"/>
        <v>986</v>
      </c>
      <c r="FH11" s="105">
        <f t="shared" si="20"/>
        <v>1633</v>
      </c>
      <c r="FI11" s="105">
        <f t="shared" si="20"/>
        <v>629</v>
      </c>
      <c r="FJ11" s="105">
        <f t="shared" si="20"/>
        <v>768</v>
      </c>
      <c r="FK11" s="105">
        <f t="shared" si="20"/>
        <v>0</v>
      </c>
      <c r="FL11" s="105">
        <f t="shared" si="20"/>
        <v>1858</v>
      </c>
      <c r="FM11" s="105">
        <f t="shared" si="20"/>
        <v>0</v>
      </c>
      <c r="FN11" s="124">
        <f t="shared" si="74"/>
        <v>621</v>
      </c>
      <c r="FO11" s="104">
        <f>FO10+621</f>
        <v>68809</v>
      </c>
      <c r="FP11" s="132">
        <v>987864</v>
      </c>
      <c r="FY11" s="119">
        <v>6</v>
      </c>
      <c r="FZ11" s="107">
        <v>9080</v>
      </c>
      <c r="GA11" s="107">
        <v>1148</v>
      </c>
      <c r="GB11" s="108">
        <f>GA11/FZ11/0.1</f>
        <v>1.2643171806167399</v>
      </c>
      <c r="GC11" s="109"/>
      <c r="GD11" s="110"/>
      <c r="GE11" s="110"/>
      <c r="GF11" s="111"/>
      <c r="GG11" s="111"/>
      <c r="GH11" s="111"/>
      <c r="GI11" s="112"/>
      <c r="GJ11" s="111">
        <f t="shared" si="65"/>
        <v>887.43554006968657</v>
      </c>
      <c r="GK11" s="113"/>
    </row>
    <row r="12" spans="1:194" s="119" customFormat="1" ht="15" customHeight="1">
      <c r="B12" s="573">
        <v>42832</v>
      </c>
      <c r="D12" s="131">
        <v>4305.6000000000004</v>
      </c>
      <c r="E12" s="131">
        <v>3998.04</v>
      </c>
      <c r="F12" s="131">
        <v>1110.528</v>
      </c>
      <c r="G12" s="308">
        <v>5675.3419999999996</v>
      </c>
      <c r="H12" s="308"/>
      <c r="I12" s="308">
        <v>1597.02</v>
      </c>
      <c r="J12" s="308">
        <v>6637.56</v>
      </c>
      <c r="K12" s="308"/>
      <c r="L12" s="321">
        <v>50</v>
      </c>
      <c r="M12" s="115">
        <f t="shared" si="21"/>
        <v>8234.58</v>
      </c>
      <c r="N12" s="88">
        <f t="shared" si="0"/>
        <v>15089.509999999998</v>
      </c>
      <c r="O12" s="88">
        <f>N12+L12+K12+((J12+I12)*0.5)</f>
        <v>19256.8</v>
      </c>
      <c r="P12" s="89">
        <f t="shared" si="23"/>
        <v>110505.0745</v>
      </c>
      <c r="R12" s="90">
        <f t="shared" si="24"/>
        <v>260</v>
      </c>
      <c r="S12" s="90">
        <f t="shared" si="25"/>
        <v>24.1</v>
      </c>
      <c r="T12" s="90">
        <f t="shared" si="1"/>
        <v>765.8</v>
      </c>
      <c r="U12" s="90">
        <f t="shared" si="75"/>
        <v>5.8</v>
      </c>
      <c r="V12" s="90">
        <f t="shared" si="26"/>
        <v>1413</v>
      </c>
      <c r="W12" s="91">
        <f t="shared" si="2"/>
        <v>421</v>
      </c>
      <c r="X12" s="90">
        <f t="shared" si="27"/>
        <v>1413</v>
      </c>
      <c r="Y12" s="90" t="str">
        <f t="shared" si="28"/>
        <v>0</v>
      </c>
      <c r="Z12" s="90">
        <f t="shared" si="3"/>
        <v>134.69999999999999</v>
      </c>
      <c r="AA12" s="90">
        <f t="shared" si="29"/>
        <v>2468.6999999999998</v>
      </c>
      <c r="AB12" s="90">
        <f t="shared" si="30"/>
        <v>236</v>
      </c>
      <c r="AC12" s="90">
        <f t="shared" si="30"/>
        <v>30</v>
      </c>
      <c r="AD12" s="90">
        <f t="shared" si="31"/>
        <v>469</v>
      </c>
      <c r="AE12" s="90">
        <f t="shared" si="32"/>
        <v>203</v>
      </c>
      <c r="AF12" s="90">
        <f t="shared" si="33"/>
        <v>234</v>
      </c>
      <c r="AG12" s="90">
        <f t="shared" si="33"/>
        <v>16</v>
      </c>
      <c r="AH12" s="90">
        <f t="shared" si="34"/>
        <v>340</v>
      </c>
      <c r="AI12" s="90">
        <f t="shared" si="35"/>
        <v>90</v>
      </c>
      <c r="AJ12" s="90">
        <f t="shared" si="36"/>
        <v>185</v>
      </c>
      <c r="AK12" s="90">
        <f t="shared" si="36"/>
        <v>63</v>
      </c>
      <c r="AL12" s="90">
        <f t="shared" si="37"/>
        <v>373</v>
      </c>
      <c r="AM12" s="90">
        <f t="shared" si="38"/>
        <v>125</v>
      </c>
      <c r="AN12" s="90">
        <f t="shared" si="39"/>
        <v>29</v>
      </c>
      <c r="AO12" s="90">
        <f t="shared" si="4"/>
        <v>105</v>
      </c>
      <c r="AP12" s="90">
        <f t="shared" si="40"/>
        <v>0</v>
      </c>
      <c r="AQ12" s="90">
        <f t="shared" si="5"/>
        <v>12</v>
      </c>
      <c r="AR12" s="90">
        <f t="shared" si="41"/>
        <v>72.308999999999997</v>
      </c>
      <c r="AS12" s="90">
        <f t="shared" si="42"/>
        <v>85.308999999999969</v>
      </c>
      <c r="AT12" s="90">
        <f t="shared" si="43"/>
        <v>895.30899999999997</v>
      </c>
      <c r="AU12" s="90">
        <f t="shared" si="44"/>
        <v>253</v>
      </c>
      <c r="AV12" s="90">
        <f t="shared" si="66"/>
        <v>0</v>
      </c>
      <c r="AW12" s="90">
        <f t="shared" si="45"/>
        <v>557</v>
      </c>
      <c r="AX12" s="90">
        <f t="shared" si="67"/>
        <v>0</v>
      </c>
      <c r="AY12" s="90" t="str">
        <f t="shared" si="46"/>
        <v/>
      </c>
      <c r="AZ12" s="90">
        <f t="shared" si="47"/>
        <v>448</v>
      </c>
      <c r="BA12" s="90">
        <v>25</v>
      </c>
      <c r="BB12" s="90">
        <f t="shared" si="48"/>
        <v>97</v>
      </c>
      <c r="BC12" s="90">
        <f t="shared" si="48"/>
        <v>1193</v>
      </c>
      <c r="BD12" s="91">
        <f t="shared" si="49"/>
        <v>371</v>
      </c>
      <c r="BE12" s="90"/>
      <c r="BF12" s="90"/>
      <c r="BG12" s="90">
        <f t="shared" si="6"/>
        <v>1738</v>
      </c>
      <c r="BH12" s="90">
        <f t="shared" si="50"/>
        <v>-926</v>
      </c>
      <c r="BI12" s="90">
        <f t="shared" si="51"/>
        <v>2446.991</v>
      </c>
      <c r="BJ12" s="90">
        <f t="shared" si="7"/>
        <v>5591.009</v>
      </c>
      <c r="BK12" s="92"/>
      <c r="BL12" s="93">
        <f t="shared" si="52"/>
        <v>7112</v>
      </c>
      <c r="BM12" s="93">
        <f t="shared" si="53"/>
        <v>39031.900000000023</v>
      </c>
      <c r="BN12" s="92"/>
      <c r="BO12" s="94">
        <f t="shared" si="54"/>
        <v>0.17230513118053539</v>
      </c>
      <c r="BP12" s="94">
        <f t="shared" si="54"/>
        <v>1.5971360236349624E-2</v>
      </c>
      <c r="BQ12" s="94">
        <f t="shared" si="55"/>
        <v>0.50750488253097681</v>
      </c>
      <c r="BR12" s="94">
        <f t="shared" si="68"/>
        <v>0.9364121167619095</v>
      </c>
      <c r="BS12" s="94">
        <f t="shared" si="8"/>
        <v>0</v>
      </c>
      <c r="BT12" s="94">
        <f t="shared" si="8"/>
        <v>8.9267312192377352E-2</v>
      </c>
      <c r="BU12" s="95">
        <f t="shared" si="8"/>
        <v>1.6360372205591833</v>
      </c>
      <c r="BV12" s="94">
        <f t="shared" si="9"/>
        <v>0.1350172406630385</v>
      </c>
      <c r="BW12" s="94">
        <f t="shared" si="9"/>
        <v>1.2515059615304724E-2</v>
      </c>
      <c r="BX12" s="94">
        <f t="shared" si="9"/>
        <v>0.39767770346059572</v>
      </c>
      <c r="BY12" s="94">
        <f t="shared" si="56"/>
        <v>0.73376677329566697</v>
      </c>
      <c r="BZ12" s="95">
        <f t="shared" si="10"/>
        <v>1.2819887000955508</v>
      </c>
      <c r="CA12" s="96" t="e">
        <f>#REF!</f>
        <v>#REF!</v>
      </c>
      <c r="CB12" s="94">
        <f t="shared" si="11"/>
        <v>3.7549852519629431E-2</v>
      </c>
      <c r="CC12" s="95">
        <f t="shared" si="11"/>
        <v>4.4300714552781346E-2</v>
      </c>
      <c r="CD12" s="97">
        <f t="shared" si="12"/>
        <v>8.7811400217133101E-2</v>
      </c>
      <c r="CE12" s="98">
        <f t="shared" si="12"/>
        <v>0.10359848346849501</v>
      </c>
      <c r="CF12" s="94">
        <f t="shared" si="57"/>
        <v>0.54812337421033064</v>
      </c>
      <c r="CG12" s="94">
        <f t="shared" si="57"/>
        <v>6.9676700111482706E-2</v>
      </c>
      <c r="CH12" s="95">
        <f t="shared" si="58"/>
        <v>1.0892790784095132</v>
      </c>
      <c r="CI12" s="96" t="e">
        <f>#REF!</f>
        <v>#REF!</v>
      </c>
      <c r="CJ12" s="94">
        <f t="shared" si="59"/>
        <v>0.58528679052735844</v>
      </c>
      <c r="CK12" s="94">
        <f t="shared" si="59"/>
        <v>4.0019609608708269E-2</v>
      </c>
      <c r="CL12" s="95">
        <f t="shared" si="69"/>
        <v>0.85041670418505066</v>
      </c>
      <c r="CM12" s="95" t="e">
        <f>#REF!</f>
        <v>#REF!</v>
      </c>
      <c r="CN12" s="94">
        <f t="shared" si="60"/>
        <v>1.6658742508068234</v>
      </c>
      <c r="CO12" s="94">
        <f t="shared" si="60"/>
        <v>0.56729771784232363</v>
      </c>
      <c r="CP12" s="95">
        <f t="shared" si="61"/>
        <v>3.3587626786537572</v>
      </c>
      <c r="CQ12" s="95" t="e">
        <f>#REF!</f>
        <v>#REF!</v>
      </c>
      <c r="CR12" s="97">
        <f t="shared" si="70"/>
        <v>5.1098242185228661E-2</v>
      </c>
      <c r="CS12" s="95">
        <f t="shared" si="70"/>
        <v>0.18501087687755208</v>
      </c>
      <c r="CT12" s="96" t="e">
        <f>#REF!</f>
        <v>#REF!</v>
      </c>
      <c r="CU12" s="97" t="str">
        <f t="shared" si="71"/>
        <v xml:space="preserve">0,00 </v>
      </c>
      <c r="CV12" s="95" t="str">
        <f t="shared" si="62"/>
        <v xml:space="preserve">0,00 </v>
      </c>
      <c r="CW12" s="96" t="e">
        <f>#REF!</f>
        <v>#REF!</v>
      </c>
      <c r="CX12" s="99">
        <f t="shared" si="63"/>
        <v>0.13138216110672593</v>
      </c>
      <c r="CY12" s="95">
        <f t="shared" si="63"/>
        <v>0</v>
      </c>
      <c r="CZ12" s="99">
        <f t="shared" si="63"/>
        <v>0.28924847326658637</v>
      </c>
      <c r="DA12" s="95">
        <f t="shared" si="63"/>
        <v>0</v>
      </c>
      <c r="DB12" s="94">
        <f t="shared" si="13"/>
        <v>0.23264509160400484</v>
      </c>
      <c r="DC12" s="94">
        <f t="shared" si="14"/>
        <v>5.0371816708902832E-2</v>
      </c>
      <c r="DD12" s="94">
        <f t="shared" si="14"/>
        <v>0.61952141581155751</v>
      </c>
      <c r="DE12" s="94">
        <f t="shared" si="14"/>
        <v>0.19265921648456652</v>
      </c>
      <c r="DF12" s="94">
        <f t="shared" si="14"/>
        <v>0</v>
      </c>
      <c r="DG12" s="94">
        <f t="shared" si="14"/>
        <v>0</v>
      </c>
      <c r="DH12" s="95">
        <f t="shared" si="14"/>
        <v>0.90253832412446511</v>
      </c>
      <c r="DI12" s="96" t="e">
        <f>#REF!</f>
        <v>#REF!</v>
      </c>
      <c r="DJ12" s="95">
        <f t="shared" si="64"/>
        <v>-0.48086909559220636</v>
      </c>
      <c r="DK12" s="96" t="e">
        <f>#REF!</f>
        <v>#REF!</v>
      </c>
      <c r="DL12" s="95">
        <f t="shared" si="15"/>
        <v>1.2707152797972665</v>
      </c>
      <c r="DM12" s="96">
        <f t="shared" si="16"/>
        <v>0</v>
      </c>
      <c r="DN12" s="94">
        <f t="shared" si="17"/>
        <v>2.9033946450085169</v>
      </c>
      <c r="DO12" s="100">
        <v>3.4</v>
      </c>
      <c r="DP12" s="94">
        <f>IF($O12&lt;&gt;0,IF($O12&lt;&gt;0,BL12/$O12*10,0)," ")</f>
        <v>3.6932408292135763</v>
      </c>
      <c r="DQ12" s="94">
        <f t="shared" si="73"/>
        <v>3.532136435960687</v>
      </c>
      <c r="DR12" s="101" t="str">
        <f t="shared" si="18"/>
        <v>3,45 hL/NhL</v>
      </c>
      <c r="DS12" s="116"/>
      <c r="DT12" s="134">
        <v>7</v>
      </c>
      <c r="DU12" s="135">
        <v>613597</v>
      </c>
      <c r="DV12" s="135">
        <v>24001</v>
      </c>
      <c r="DW12" s="135">
        <v>5105628</v>
      </c>
      <c r="DX12" s="136">
        <v>106295</v>
      </c>
      <c r="DY12" s="136">
        <v>81810</v>
      </c>
      <c r="DZ12" s="136">
        <v>372659</v>
      </c>
      <c r="EA12" s="136">
        <v>216453</v>
      </c>
      <c r="EB12" s="136">
        <v>50335</v>
      </c>
      <c r="EC12" s="136">
        <v>380232</v>
      </c>
      <c r="ED12" s="137">
        <v>45315</v>
      </c>
      <c r="EE12" s="136">
        <v>37021</v>
      </c>
      <c r="EF12" s="136">
        <v>39150</v>
      </c>
      <c r="EG12" s="135">
        <v>89619</v>
      </c>
      <c r="EH12" s="135">
        <v>176780</v>
      </c>
      <c r="EI12" s="135">
        <v>29829</v>
      </c>
      <c r="EJ12" s="136">
        <v>38245</v>
      </c>
      <c r="EK12" s="136"/>
      <c r="EL12" s="135">
        <v>683883</v>
      </c>
      <c r="EM12" s="136">
        <v>7658</v>
      </c>
      <c r="EN12" s="136">
        <v>40958</v>
      </c>
      <c r="EO12" s="135">
        <v>2896519</v>
      </c>
      <c r="EP12" s="136">
        <v>2847216</v>
      </c>
      <c r="EQ12" s="136">
        <v>0</v>
      </c>
      <c r="ER12" s="136">
        <v>1347</v>
      </c>
      <c r="ES12" s="136">
        <v>299801</v>
      </c>
      <c r="ET12" s="136">
        <v>3422410</v>
      </c>
      <c r="EU12" s="136">
        <v>387827</v>
      </c>
      <c r="EV12" s="136">
        <v>117739</v>
      </c>
      <c r="EW12" s="136">
        <v>81096</v>
      </c>
      <c r="EX12" s="135">
        <v>199818</v>
      </c>
      <c r="EY12" s="135">
        <v>1586401</v>
      </c>
      <c r="EZ12" s="135">
        <v>719893</v>
      </c>
      <c r="FA12" s="135">
        <v>727534</v>
      </c>
      <c r="FB12" s="136">
        <v>30776</v>
      </c>
      <c r="FC12" s="136">
        <v>8038</v>
      </c>
      <c r="FD12" s="104">
        <f t="shared" si="19"/>
        <v>7112</v>
      </c>
      <c r="FE12" s="105">
        <f t="shared" si="20"/>
        <v>0</v>
      </c>
      <c r="FF12" s="105">
        <f t="shared" si="20"/>
        <v>718</v>
      </c>
      <c r="FG12" s="105">
        <f t="shared" si="20"/>
        <v>1445</v>
      </c>
      <c r="FH12" s="105">
        <f t="shared" si="20"/>
        <v>2054</v>
      </c>
      <c r="FI12" s="105">
        <f t="shared" si="20"/>
        <v>624</v>
      </c>
      <c r="FJ12" s="105">
        <f t="shared" si="20"/>
        <v>761</v>
      </c>
      <c r="FK12" s="105">
        <f t="shared" si="20"/>
        <v>0</v>
      </c>
      <c r="FL12" s="105">
        <f t="shared" si="20"/>
        <v>1510</v>
      </c>
      <c r="FM12" s="105">
        <f t="shared" si="20"/>
        <v>0</v>
      </c>
      <c r="FN12" s="80">
        <f t="shared" si="74"/>
        <v>0</v>
      </c>
      <c r="FO12" s="104">
        <v>68809</v>
      </c>
      <c r="FP12" s="132">
        <v>988361</v>
      </c>
      <c r="FY12" s="119">
        <v>7</v>
      </c>
      <c r="FZ12" s="107">
        <v>9087</v>
      </c>
      <c r="GA12" s="107">
        <v>1193</v>
      </c>
      <c r="GB12" s="108">
        <f>GA12/FZ12/0.1</f>
        <v>1.312864531748652</v>
      </c>
      <c r="GC12" s="109"/>
      <c r="GD12" s="110"/>
      <c r="GE12" s="110"/>
      <c r="GF12" s="111"/>
      <c r="GG12" s="111"/>
      <c r="GH12" s="111"/>
      <c r="GI12" s="112"/>
      <c r="GJ12" s="111">
        <f t="shared" si="65"/>
        <v>891.94274937133275</v>
      </c>
      <c r="GK12" s="113"/>
    </row>
    <row r="13" spans="1:194" s="119" customFormat="1" ht="15" customHeight="1">
      <c r="B13" s="573">
        <v>42833</v>
      </c>
      <c r="D13" s="131">
        <v>5007.24</v>
      </c>
      <c r="E13" s="131">
        <v>1451.64</v>
      </c>
      <c r="F13" s="131">
        <v>2652.9839999999999</v>
      </c>
      <c r="G13" s="308">
        <v>1907.7349999999999</v>
      </c>
      <c r="H13" s="308"/>
      <c r="I13" s="308">
        <v>1459.768</v>
      </c>
      <c r="J13" s="308">
        <v>2991.48</v>
      </c>
      <c r="K13" s="326">
        <v>1.6850000000000001</v>
      </c>
      <c r="L13" s="321">
        <v>819.8</v>
      </c>
      <c r="M13" s="115">
        <f t="shared" si="21"/>
        <v>4451.2479999999996</v>
      </c>
      <c r="N13" s="88">
        <f t="shared" si="0"/>
        <v>11019.599</v>
      </c>
      <c r="O13" s="88">
        <f>N13+L13+K13+((J13+I13)*0.5)</f>
        <v>14066.707999999999</v>
      </c>
      <c r="P13" s="89">
        <f t="shared" si="23"/>
        <v>124571.7825</v>
      </c>
      <c r="R13" s="90">
        <f t="shared" si="24"/>
        <v>209</v>
      </c>
      <c r="S13" s="90">
        <f t="shared" si="25"/>
        <v>23.1</v>
      </c>
      <c r="T13" s="90">
        <f t="shared" si="1"/>
        <v>435.7</v>
      </c>
      <c r="U13" s="90">
        <f t="shared" si="75"/>
        <v>5</v>
      </c>
      <c r="V13" s="90">
        <f t="shared" si="26"/>
        <v>1522</v>
      </c>
      <c r="W13" s="91">
        <f t="shared" si="2"/>
        <v>654.4</v>
      </c>
      <c r="X13" s="90">
        <f t="shared" si="27"/>
        <v>1522</v>
      </c>
      <c r="Y13" s="90" t="str">
        <f t="shared" si="28"/>
        <v>0</v>
      </c>
      <c r="Z13" s="90">
        <f t="shared" si="3"/>
        <v>123.2</v>
      </c>
      <c r="AA13" s="90">
        <f t="shared" si="29"/>
        <v>2194.8000000000002</v>
      </c>
      <c r="AB13" s="90">
        <f t="shared" si="30"/>
        <v>0</v>
      </c>
      <c r="AC13" s="90">
        <f t="shared" si="30"/>
        <v>23</v>
      </c>
      <c r="AD13" s="90">
        <f t="shared" si="31"/>
        <v>360</v>
      </c>
      <c r="AE13" s="90">
        <f t="shared" si="32"/>
        <v>337</v>
      </c>
      <c r="AF13" s="90">
        <f t="shared" si="33"/>
        <v>53</v>
      </c>
      <c r="AG13" s="90">
        <f t="shared" si="33"/>
        <v>2</v>
      </c>
      <c r="AH13" s="90">
        <f t="shared" si="34"/>
        <v>81</v>
      </c>
      <c r="AI13" s="90">
        <f t="shared" si="35"/>
        <v>26</v>
      </c>
      <c r="AJ13" s="90">
        <f t="shared" si="36"/>
        <v>208</v>
      </c>
      <c r="AK13" s="90">
        <f t="shared" si="36"/>
        <v>39</v>
      </c>
      <c r="AL13" s="90">
        <f t="shared" si="37"/>
        <v>312</v>
      </c>
      <c r="AM13" s="90">
        <f t="shared" si="38"/>
        <v>65</v>
      </c>
      <c r="AN13" s="90">
        <f t="shared" si="39"/>
        <v>3</v>
      </c>
      <c r="AO13" s="90">
        <f t="shared" si="4"/>
        <v>1</v>
      </c>
      <c r="AP13" s="90">
        <f t="shared" si="40"/>
        <v>0</v>
      </c>
      <c r="AQ13" s="90">
        <f t="shared" si="5"/>
        <v>8</v>
      </c>
      <c r="AR13" s="90">
        <f t="shared" si="41"/>
        <v>96.316000000000003</v>
      </c>
      <c r="AS13" s="90">
        <f t="shared" si="42"/>
        <v>72.316000000000031</v>
      </c>
      <c r="AT13" s="90">
        <f t="shared" si="43"/>
        <v>486.31600000000003</v>
      </c>
      <c r="AU13" s="90">
        <f t="shared" si="44"/>
        <v>145</v>
      </c>
      <c r="AV13" s="90">
        <f t="shared" si="66"/>
        <v>77</v>
      </c>
      <c r="AW13" s="90">
        <f t="shared" si="45"/>
        <v>269</v>
      </c>
      <c r="AX13" s="90">
        <f t="shared" si="67"/>
        <v>101</v>
      </c>
      <c r="AY13" s="90" t="str">
        <f t="shared" si="46"/>
        <v/>
      </c>
      <c r="AZ13" s="90">
        <f t="shared" si="47"/>
        <v>418</v>
      </c>
      <c r="BA13" s="90">
        <v>0</v>
      </c>
      <c r="BB13" s="90">
        <f t="shared" si="48"/>
        <v>89</v>
      </c>
      <c r="BC13" s="90">
        <f t="shared" si="48"/>
        <v>1522</v>
      </c>
      <c r="BD13" s="91">
        <f t="shared" si="49"/>
        <v>390</v>
      </c>
      <c r="BE13" s="90"/>
      <c r="BF13" s="90"/>
      <c r="BG13" s="90">
        <f t="shared" si="6"/>
        <v>2029</v>
      </c>
      <c r="BH13" s="90">
        <f>BL13-FC13</f>
        <v>-159</v>
      </c>
      <c r="BI13" s="90">
        <f t="shared" si="51"/>
        <v>1520.884</v>
      </c>
      <c r="BJ13" s="90">
        <f t="shared" si="7"/>
        <v>5236.116</v>
      </c>
      <c r="BK13" s="92"/>
      <c r="BL13" s="93">
        <f t="shared" si="52"/>
        <v>6598</v>
      </c>
      <c r="BM13" s="93">
        <f t="shared" si="53"/>
        <v>45629.900000000023</v>
      </c>
      <c r="BN13" s="92"/>
      <c r="BO13" s="94">
        <f t="shared" si="54"/>
        <v>0.18966207391031198</v>
      </c>
      <c r="BP13" s="94">
        <f t="shared" si="54"/>
        <v>2.0962650274297639E-2</v>
      </c>
      <c r="BQ13" s="94">
        <f t="shared" si="55"/>
        <v>0.39538643829054032</v>
      </c>
      <c r="BR13" s="94">
        <f t="shared" si="68"/>
        <v>1.3811754856052385</v>
      </c>
      <c r="BS13" s="94">
        <f t="shared" si="8"/>
        <v>0</v>
      </c>
      <c r="BT13" s="94">
        <f t="shared" si="8"/>
        <v>0.11180080146292073</v>
      </c>
      <c r="BU13" s="95">
        <f t="shared" si="8"/>
        <v>1.9917240182696305</v>
      </c>
      <c r="BV13" s="94">
        <f t="shared" si="9"/>
        <v>0.14857776247292545</v>
      </c>
      <c r="BW13" s="94">
        <f t="shared" si="9"/>
        <v>1.6421752694375971E-2</v>
      </c>
      <c r="BX13" s="94">
        <f t="shared" si="9"/>
        <v>0.30973842636102206</v>
      </c>
      <c r="BY13" s="94">
        <f t="shared" si="56"/>
        <v>1.0819873420277153</v>
      </c>
      <c r="BZ13" s="95">
        <f t="shared" si="10"/>
        <v>1.5602797754812285</v>
      </c>
      <c r="CA13" s="96" t="e">
        <f>#REF!</f>
        <v>#REF!</v>
      </c>
      <c r="CB13" s="94">
        <f t="shared" si="11"/>
        <v>6.8470888853312387E-2</v>
      </c>
      <c r="CC13" s="95">
        <f t="shared" si="11"/>
        <v>5.1409327612402307E-2</v>
      </c>
      <c r="CD13" s="97">
        <f t="shared" si="12"/>
        <v>0.21637976585443008</v>
      </c>
      <c r="CE13" s="98">
        <f t="shared" si="12"/>
        <v>0.16246230270701617</v>
      </c>
      <c r="CF13" s="94">
        <f t="shared" si="57"/>
        <v>0</v>
      </c>
      <c r="CG13" s="94">
        <f t="shared" si="57"/>
        <v>4.5933488308928669E-2</v>
      </c>
      <c r="CH13" s="95">
        <f t="shared" si="58"/>
        <v>0.71895894744410094</v>
      </c>
      <c r="CI13" s="96" t="e">
        <f>#REF!</f>
        <v>#REF!</v>
      </c>
      <c r="CJ13" s="94">
        <f t="shared" si="59"/>
        <v>0.36510429583092224</v>
      </c>
      <c r="CK13" s="94">
        <f t="shared" si="59"/>
        <v>1.3777520597393293E-2</v>
      </c>
      <c r="CL13" s="95">
        <f t="shared" si="69"/>
        <v>0.55798958419442835</v>
      </c>
      <c r="CM13" s="95" t="e">
        <f>#REF!</f>
        <v>#REF!</v>
      </c>
      <c r="CN13" s="94">
        <f t="shared" si="60"/>
        <v>0.78402282109503862</v>
      </c>
      <c r="CO13" s="94">
        <f t="shared" si="60"/>
        <v>0.14700427895531976</v>
      </c>
      <c r="CP13" s="95">
        <f t="shared" si="61"/>
        <v>1.176034231642558</v>
      </c>
      <c r="CQ13" s="95" t="e">
        <f>#REF!</f>
        <v>#REF!</v>
      </c>
      <c r="CR13" s="97">
        <f t="shared" si="70"/>
        <v>1.5725454531158679E-2</v>
      </c>
      <c r="CS13" s="95">
        <f t="shared" si="70"/>
        <v>5.2418181770528928E-3</v>
      </c>
      <c r="CT13" s="96" t="e">
        <f>#REF!</f>
        <v>#REF!</v>
      </c>
      <c r="CU13" s="97" t="str">
        <f t="shared" si="71"/>
        <v xml:space="preserve">0,00 </v>
      </c>
      <c r="CV13" s="95" t="str">
        <f t="shared" si="62"/>
        <v xml:space="preserve">0,00 </v>
      </c>
      <c r="CW13" s="96" t="e">
        <f>#REF!</f>
        <v>#REF!</v>
      </c>
      <c r="CX13" s="99">
        <f t="shared" si="63"/>
        <v>0.10308026583049851</v>
      </c>
      <c r="CY13" s="95">
        <f t="shared" si="63"/>
        <v>5.4739175647919899E-2</v>
      </c>
      <c r="CZ13" s="99">
        <f t="shared" si="63"/>
        <v>0.19123166557520069</v>
      </c>
      <c r="DA13" s="95">
        <f t="shared" si="63"/>
        <v>7.180073688883E-2</v>
      </c>
      <c r="DB13" s="94">
        <f t="shared" si="13"/>
        <v>0.2971555249458509</v>
      </c>
      <c r="DC13" s="94">
        <f t="shared" si="14"/>
        <v>6.3269956268374949E-2</v>
      </c>
      <c r="DD13" s="94">
        <f t="shared" si="14"/>
        <v>1.0819873420277153</v>
      </c>
      <c r="DE13" s="94">
        <f t="shared" si="14"/>
        <v>0.27725037016478915</v>
      </c>
      <c r="DF13" s="94">
        <f t="shared" si="14"/>
        <v>0</v>
      </c>
      <c r="DG13" s="94">
        <f t="shared" si="14"/>
        <v>0</v>
      </c>
      <c r="DH13" s="95">
        <f t="shared" si="14"/>
        <v>1.4424128232419413</v>
      </c>
      <c r="DI13" s="96" t="e">
        <f>#REF!</f>
        <v>#REF!</v>
      </c>
      <c r="DJ13" s="95">
        <f t="shared" si="64"/>
        <v>-0.1130328432210294</v>
      </c>
      <c r="DK13" s="96" t="e">
        <f>#REF!</f>
        <v>#REF!</v>
      </c>
      <c r="DL13" s="95">
        <f t="shared" si="15"/>
        <v>1.0811939794300132</v>
      </c>
      <c r="DM13" s="96">
        <f t="shared" si="16"/>
        <v>0</v>
      </c>
      <c r="DN13" s="94">
        <f t="shared" si="17"/>
        <v>3.7223464082712177</v>
      </c>
      <c r="DO13" s="100">
        <v>3.4</v>
      </c>
      <c r="DP13" s="94">
        <f t="shared" si="72"/>
        <v>4.6905075444802016</v>
      </c>
      <c r="DQ13" s="94">
        <f t="shared" si="73"/>
        <v>3.6629402810383658</v>
      </c>
      <c r="DR13" s="101" t="str">
        <f t="shared" si="18"/>
        <v>3,45 hL/NhL</v>
      </c>
      <c r="DS13" s="116"/>
      <c r="DT13" s="134">
        <v>8</v>
      </c>
      <c r="DU13" s="135">
        <v>613597</v>
      </c>
      <c r="DV13" s="135">
        <v>24024</v>
      </c>
      <c r="DW13" s="135">
        <v>5105988</v>
      </c>
      <c r="DX13" s="136">
        <v>106348</v>
      </c>
      <c r="DY13" s="136">
        <v>81812</v>
      </c>
      <c r="DZ13" s="136">
        <v>372740</v>
      </c>
      <c r="EA13" s="136">
        <v>216661</v>
      </c>
      <c r="EB13" s="136">
        <v>50374</v>
      </c>
      <c r="EC13" s="136">
        <v>380544</v>
      </c>
      <c r="ED13" s="135">
        <v>45318</v>
      </c>
      <c r="EE13" s="136">
        <v>37022</v>
      </c>
      <c r="EF13" s="136">
        <v>39150</v>
      </c>
      <c r="EG13" s="135">
        <v>89619</v>
      </c>
      <c r="EH13" s="135">
        <v>176788</v>
      </c>
      <c r="EI13" s="135">
        <v>29906</v>
      </c>
      <c r="EJ13" s="136">
        <v>38346</v>
      </c>
      <c r="EK13" s="136"/>
      <c r="EL13" s="135">
        <v>684092</v>
      </c>
      <c r="EM13" s="135">
        <v>4357</v>
      </c>
      <c r="EN13" s="136">
        <v>41008</v>
      </c>
      <c r="EO13" s="135">
        <v>2898041</v>
      </c>
      <c r="EP13" s="136">
        <v>2853760</v>
      </c>
      <c r="EQ13" s="136">
        <v>0</v>
      </c>
      <c r="ER13" s="136">
        <v>1232</v>
      </c>
      <c r="ES13" s="139">
        <v>300191</v>
      </c>
      <c r="ET13" s="136">
        <v>3518726</v>
      </c>
      <c r="EU13" s="136">
        <v>388096</v>
      </c>
      <c r="EV13" s="136">
        <v>117884</v>
      </c>
      <c r="EW13" s="136">
        <v>81514</v>
      </c>
      <c r="EX13" s="135">
        <v>199907</v>
      </c>
      <c r="EY13" s="135">
        <v>1587923</v>
      </c>
      <c r="EZ13" s="140">
        <v>720124</v>
      </c>
      <c r="FA13" s="140">
        <v>727924</v>
      </c>
      <c r="FB13" s="136">
        <v>30776</v>
      </c>
      <c r="FC13" s="135">
        <v>6757</v>
      </c>
      <c r="FD13" s="104">
        <f t="shared" si="19"/>
        <v>6598</v>
      </c>
      <c r="FE13" s="105">
        <f t="shared" si="20"/>
        <v>0</v>
      </c>
      <c r="FF13" s="105">
        <f t="shared" si="20"/>
        <v>692</v>
      </c>
      <c r="FG13" s="105">
        <f t="shared" si="20"/>
        <v>1424</v>
      </c>
      <c r="FH13" s="105">
        <f t="shared" si="20"/>
        <v>1617</v>
      </c>
      <c r="FI13" s="105">
        <f t="shared" si="20"/>
        <v>609</v>
      </c>
      <c r="FJ13" s="105">
        <f t="shared" si="20"/>
        <v>755</v>
      </c>
      <c r="FK13" s="105">
        <f t="shared" si="20"/>
        <v>0</v>
      </c>
      <c r="FL13" s="105">
        <f t="shared" si="20"/>
        <v>1501</v>
      </c>
      <c r="FM13" s="105">
        <f t="shared" si="20"/>
        <v>0</v>
      </c>
      <c r="FN13" s="80">
        <f t="shared" si="74"/>
        <v>0</v>
      </c>
      <c r="FO13" s="104">
        <v>68809</v>
      </c>
      <c r="FP13" s="132">
        <v>988810</v>
      </c>
      <c r="FY13" s="119">
        <v>8</v>
      </c>
      <c r="FZ13" s="107">
        <v>8106</v>
      </c>
      <c r="GA13" s="107">
        <v>1522</v>
      </c>
      <c r="GB13" s="108">
        <f>GA13/FZ13/0.1</f>
        <v>1.8776215149272142</v>
      </c>
      <c r="GC13" s="109"/>
      <c r="GD13" s="110"/>
      <c r="GE13" s="110"/>
      <c r="GF13" s="111"/>
      <c r="GG13" s="111"/>
      <c r="GH13" s="111"/>
      <c r="GI13" s="112"/>
      <c r="GJ13" s="111">
        <f t="shared" si="65"/>
        <v>717.39697766097254</v>
      </c>
      <c r="GK13" s="113"/>
    </row>
    <row r="14" spans="1:194" s="141" customFormat="1" ht="15" customHeight="1">
      <c r="B14" s="573">
        <v>42834</v>
      </c>
      <c r="D14" s="86">
        <v>0</v>
      </c>
      <c r="E14" s="131">
        <v>0</v>
      </c>
      <c r="F14" s="131">
        <v>480.38400000000001</v>
      </c>
      <c r="G14" s="308">
        <v>0</v>
      </c>
      <c r="H14" s="308">
        <v>0</v>
      </c>
      <c r="I14" s="308">
        <v>0</v>
      </c>
      <c r="J14" s="308">
        <v>0</v>
      </c>
      <c r="K14" s="308">
        <v>0</v>
      </c>
      <c r="L14" s="321">
        <v>388.72</v>
      </c>
      <c r="M14" s="115">
        <f>I14+J14</f>
        <v>0</v>
      </c>
      <c r="N14" s="88">
        <f>SUM(D14:H14)</f>
        <v>480.38400000000001</v>
      </c>
      <c r="O14" s="88">
        <f>N14+L14+K14+((J14+I14)*0.5)</f>
        <v>869.10400000000004</v>
      </c>
      <c r="P14" s="89">
        <f t="shared" si="23"/>
        <v>125440.88650000001</v>
      </c>
      <c r="R14" s="90">
        <f t="shared" si="24"/>
        <v>188</v>
      </c>
      <c r="S14" s="90">
        <f t="shared" si="25"/>
        <v>36</v>
      </c>
      <c r="T14" s="90">
        <f t="shared" si="1"/>
        <v>491.7</v>
      </c>
      <c r="U14" s="90">
        <f t="shared" si="75"/>
        <v>5.5</v>
      </c>
      <c r="V14" s="90">
        <f t="shared" si="26"/>
        <v>1017</v>
      </c>
      <c r="W14" s="91">
        <f t="shared" si="2"/>
        <v>412.3</v>
      </c>
      <c r="X14" s="90">
        <f t="shared" si="27"/>
        <v>1017</v>
      </c>
      <c r="Y14" s="90" t="str">
        <f t="shared" si="28"/>
        <v>0</v>
      </c>
      <c r="Z14" s="90">
        <f t="shared" si="3"/>
        <v>81.5</v>
      </c>
      <c r="AA14" s="90">
        <f t="shared" si="29"/>
        <v>1738.2</v>
      </c>
      <c r="AB14" s="90">
        <f t="shared" si="30"/>
        <v>186</v>
      </c>
      <c r="AC14" s="90">
        <f t="shared" si="30"/>
        <v>0</v>
      </c>
      <c r="AD14" s="90">
        <f t="shared" si="31"/>
        <v>186</v>
      </c>
      <c r="AE14" s="90">
        <f t="shared" si="32"/>
        <v>0</v>
      </c>
      <c r="AF14" s="90">
        <f t="shared" si="33"/>
        <v>41</v>
      </c>
      <c r="AG14" s="90">
        <f t="shared" si="33"/>
        <v>10</v>
      </c>
      <c r="AH14" s="90">
        <f t="shared" si="34"/>
        <v>71</v>
      </c>
      <c r="AI14" s="90">
        <f t="shared" si="35"/>
        <v>20</v>
      </c>
      <c r="AJ14" s="90">
        <f t="shared" si="36"/>
        <v>62</v>
      </c>
      <c r="AK14" s="90">
        <f t="shared" si="36"/>
        <v>40</v>
      </c>
      <c r="AL14" s="90">
        <f t="shared" si="37"/>
        <v>156</v>
      </c>
      <c r="AM14" s="90">
        <f t="shared" si="38"/>
        <v>54</v>
      </c>
      <c r="AN14" s="90">
        <f t="shared" si="39"/>
        <v>1</v>
      </c>
      <c r="AO14" s="90">
        <f t="shared" si="4"/>
        <v>18</v>
      </c>
      <c r="AP14" s="90">
        <f t="shared" si="40"/>
        <v>0</v>
      </c>
      <c r="AQ14" s="90">
        <f t="shared" si="5"/>
        <v>1</v>
      </c>
      <c r="AR14" s="90">
        <f t="shared" si="41"/>
        <v>66.792000000000002</v>
      </c>
      <c r="AS14" s="90">
        <f t="shared" si="42"/>
        <v>-114.208</v>
      </c>
      <c r="AT14" s="90">
        <f t="shared" si="43"/>
        <v>110.792</v>
      </c>
      <c r="AU14" s="90">
        <f t="shared" si="44"/>
        <v>189</v>
      </c>
      <c r="AV14" s="90">
        <f t="shared" si="66"/>
        <v>64</v>
      </c>
      <c r="AW14" s="90">
        <f t="shared" si="45"/>
        <v>36</v>
      </c>
      <c r="AX14" s="90">
        <f t="shared" si="67"/>
        <v>29</v>
      </c>
      <c r="AY14" s="90" t="str">
        <f t="shared" si="46"/>
        <v/>
      </c>
      <c r="AZ14" s="90">
        <f t="shared" si="47"/>
        <v>369</v>
      </c>
      <c r="BA14" s="90">
        <v>0</v>
      </c>
      <c r="BB14" s="90">
        <f t="shared" si="48"/>
        <v>86</v>
      </c>
      <c r="BC14" s="90">
        <f t="shared" si="48"/>
        <v>660</v>
      </c>
      <c r="BD14" s="91">
        <f t="shared" si="49"/>
        <v>83</v>
      </c>
      <c r="BE14" s="90"/>
      <c r="BF14" s="90"/>
      <c r="BG14" s="90">
        <f t="shared" si="6"/>
        <v>1115</v>
      </c>
      <c r="BH14" s="90">
        <f t="shared" si="50"/>
        <v>687</v>
      </c>
      <c r="BI14" s="90">
        <f t="shared" si="51"/>
        <v>1910.0080000000003</v>
      </c>
      <c r="BJ14" s="90">
        <f t="shared" si="7"/>
        <v>3263.9919999999997</v>
      </c>
      <c r="BK14" s="92"/>
      <c r="BL14" s="93">
        <f>FD14+FN14</f>
        <v>5861</v>
      </c>
      <c r="BM14" s="93">
        <f t="shared" si="53"/>
        <v>51490.900000000023</v>
      </c>
      <c r="BN14" s="92"/>
      <c r="BO14" s="94">
        <f t="shared" si="54"/>
        <v>3.9135358379962697</v>
      </c>
      <c r="BP14" s="94">
        <f t="shared" si="54"/>
        <v>0.74940047961630685</v>
      </c>
      <c r="BQ14" s="94">
        <f t="shared" si="55"/>
        <v>10.235561550759391</v>
      </c>
      <c r="BR14" s="94">
        <f t="shared" si="68"/>
        <v>21.170563549160669</v>
      </c>
      <c r="BS14" s="94">
        <f t="shared" si="8"/>
        <v>0</v>
      </c>
      <c r="BT14" s="94">
        <f t="shared" si="8"/>
        <v>1.6965594191313615</v>
      </c>
      <c r="BU14" s="95">
        <f t="shared" si="8"/>
        <v>36.183553157474023</v>
      </c>
      <c r="BV14" s="94">
        <f t="shared" si="9"/>
        <v>2.1631473333456066</v>
      </c>
      <c r="BW14" s="94">
        <f t="shared" si="9"/>
        <v>0.41421970213000975</v>
      </c>
      <c r="BX14" s="94">
        <f t="shared" si="9"/>
        <v>5.6575507649257162</v>
      </c>
      <c r="BY14" s="94">
        <f t="shared" si="56"/>
        <v>11.701706585172776</v>
      </c>
      <c r="BZ14" s="95">
        <f t="shared" si="10"/>
        <v>19.999907951177306</v>
      </c>
      <c r="CA14" s="96" t="e">
        <f>#REF!</f>
        <v>#REF!</v>
      </c>
      <c r="CB14" s="94">
        <f t="shared" si="11"/>
        <v>0.76851562068521151</v>
      </c>
      <c r="CC14" s="95">
        <f t="shared" si="11"/>
        <v>-1.314088992801782</v>
      </c>
      <c r="CD14" s="97" t="str">
        <f t="shared" si="12"/>
        <v/>
      </c>
      <c r="CE14" s="98" t="str">
        <f t="shared" si="12"/>
        <v/>
      </c>
      <c r="CF14" s="94" t="str">
        <f t="shared" si="57"/>
        <v>0,00</v>
      </c>
      <c r="CG14" s="94" t="str">
        <f t="shared" si="57"/>
        <v>0,00</v>
      </c>
      <c r="CH14" s="95" t="str">
        <f t="shared" si="58"/>
        <v xml:space="preserve">0,00 </v>
      </c>
      <c r="CI14" s="96" t="e">
        <f>#REF!</f>
        <v>#REF!</v>
      </c>
      <c r="CJ14" s="94" t="str">
        <f t="shared" si="59"/>
        <v>0,00</v>
      </c>
      <c r="CK14" s="94" t="str">
        <f t="shared" si="59"/>
        <v>0,00</v>
      </c>
      <c r="CL14" s="95" t="str">
        <f t="shared" si="69"/>
        <v xml:space="preserve">0,00 </v>
      </c>
      <c r="CM14" s="95" t="e">
        <f>#REF!</f>
        <v>#REF!</v>
      </c>
      <c r="CN14" s="94">
        <f t="shared" si="60"/>
        <v>1.2906341593391955</v>
      </c>
      <c r="CO14" s="94">
        <f t="shared" si="60"/>
        <v>0.83266719957367441</v>
      </c>
      <c r="CP14" s="95">
        <f t="shared" si="61"/>
        <v>3.2474020783373305</v>
      </c>
      <c r="CQ14" s="95" t="e">
        <f>#REF!</f>
        <v>#REF!</v>
      </c>
      <c r="CR14" s="97" t="str">
        <f t="shared" si="70"/>
        <v xml:space="preserve">0,00 </v>
      </c>
      <c r="CS14" s="95" t="str">
        <f t="shared" si="70"/>
        <v xml:space="preserve">0,00 </v>
      </c>
      <c r="CT14" s="96" t="e">
        <f>#REF!</f>
        <v>#REF!</v>
      </c>
      <c r="CU14" s="97" t="str">
        <f t="shared" si="71"/>
        <v xml:space="preserve">0,00 </v>
      </c>
      <c r="CV14" s="95" t="str">
        <f t="shared" si="62"/>
        <v xml:space="preserve">0,00 </v>
      </c>
      <c r="CW14" s="96" t="e">
        <f>#REF!</f>
        <v>#REF!</v>
      </c>
      <c r="CX14" s="99">
        <f t="shared" si="63"/>
        <v>2.1746534361825511</v>
      </c>
      <c r="CY14" s="95">
        <f t="shared" si="63"/>
        <v>0.73639058156446169</v>
      </c>
      <c r="CZ14" s="99">
        <f t="shared" si="63"/>
        <v>0.41421970213000975</v>
      </c>
      <c r="DA14" s="95">
        <f t="shared" si="63"/>
        <v>0.33367698227139675</v>
      </c>
      <c r="DB14" s="94">
        <f t="shared" si="13"/>
        <v>4.2457519468326002</v>
      </c>
      <c r="DC14" s="94">
        <f t="shared" si="14"/>
        <v>0.98952484397724549</v>
      </c>
      <c r="DD14" s="94">
        <f t="shared" si="14"/>
        <v>7.5940278723835117</v>
      </c>
      <c r="DE14" s="94">
        <f t="shared" si="14"/>
        <v>0.95500653546641145</v>
      </c>
      <c r="DF14" s="94">
        <f t="shared" si="14"/>
        <v>0</v>
      </c>
      <c r="DG14" s="94">
        <f t="shared" si="14"/>
        <v>0</v>
      </c>
      <c r="DH14" s="95">
        <f t="shared" si="14"/>
        <v>12.829304663193357</v>
      </c>
      <c r="DI14" s="96" t="e">
        <f>#REF!</f>
        <v>#REF!</v>
      </c>
      <c r="DJ14" s="95">
        <f t="shared" si="64"/>
        <v>7.904692648981019</v>
      </c>
      <c r="DK14" s="96" t="e">
        <f>#REF!</f>
        <v>#REF!</v>
      </c>
      <c r="DL14" s="95">
        <f t="shared" si="15"/>
        <v>21.976748467387104</v>
      </c>
      <c r="DM14" s="96">
        <f t="shared" si="16"/>
        <v>0</v>
      </c>
      <c r="DN14" s="94">
        <f t="shared" si="17"/>
        <v>37.555827610964847</v>
      </c>
      <c r="DO14" s="100">
        <v>3.4</v>
      </c>
      <c r="DP14" s="94">
        <f t="shared" si="72"/>
        <v>67.437268727332977</v>
      </c>
      <c r="DQ14" s="94">
        <f t="shared" si="73"/>
        <v>4.1047940138720254</v>
      </c>
      <c r="DR14" s="101" t="str">
        <f t="shared" si="18"/>
        <v>3,45 hL/NhL</v>
      </c>
      <c r="DT14" s="142">
        <v>9</v>
      </c>
      <c r="DU14" s="135">
        <v>613783</v>
      </c>
      <c r="DV14" s="143">
        <v>24024</v>
      </c>
      <c r="DW14" s="135">
        <v>5105997</v>
      </c>
      <c r="DX14" s="136">
        <v>106389</v>
      </c>
      <c r="DY14" s="136">
        <v>81822</v>
      </c>
      <c r="DZ14" s="136">
        <v>372811</v>
      </c>
      <c r="EA14" s="136">
        <v>216723</v>
      </c>
      <c r="EB14" s="136">
        <v>50414</v>
      </c>
      <c r="EC14" s="136">
        <v>380700</v>
      </c>
      <c r="ED14" s="135">
        <v>45319</v>
      </c>
      <c r="EE14" s="136">
        <v>37030</v>
      </c>
      <c r="EF14" s="136">
        <v>39160</v>
      </c>
      <c r="EG14" s="135">
        <v>89619</v>
      </c>
      <c r="EH14" s="135">
        <v>176789</v>
      </c>
      <c r="EI14" s="135">
        <v>29970</v>
      </c>
      <c r="EJ14" s="136">
        <v>38375</v>
      </c>
      <c r="EK14" s="136"/>
      <c r="EL14" s="135">
        <v>684280</v>
      </c>
      <c r="EM14" s="136">
        <v>4917</v>
      </c>
      <c r="EN14" s="136">
        <v>41063</v>
      </c>
      <c r="EO14" s="135">
        <v>2899058</v>
      </c>
      <c r="EP14" s="136">
        <v>2857883</v>
      </c>
      <c r="EQ14" s="136">
        <v>0</v>
      </c>
      <c r="ER14" s="136">
        <v>815</v>
      </c>
      <c r="ES14" s="144">
        <v>300235</v>
      </c>
      <c r="ET14" s="136">
        <v>3585518</v>
      </c>
      <c r="EU14" s="136">
        <v>388132</v>
      </c>
      <c r="EV14" s="136">
        <v>118073</v>
      </c>
      <c r="EW14" s="136">
        <v>81883</v>
      </c>
      <c r="EX14" s="135">
        <v>199993</v>
      </c>
      <c r="EY14" s="135">
        <v>1588583</v>
      </c>
      <c r="EZ14" s="140">
        <v>720484</v>
      </c>
      <c r="FA14" s="140">
        <v>728007</v>
      </c>
      <c r="FB14" s="145">
        <v>30776</v>
      </c>
      <c r="FC14" s="146">
        <v>5174</v>
      </c>
      <c r="FD14" s="104">
        <f t="shared" ref="FD14:FD32" si="76">SUM(FE14:FM14)</f>
        <v>5861</v>
      </c>
      <c r="FE14" s="105">
        <f t="shared" si="20"/>
        <v>0</v>
      </c>
      <c r="FF14" s="105">
        <f t="shared" si="20"/>
        <v>612</v>
      </c>
      <c r="FG14" s="105">
        <f t="shared" si="20"/>
        <v>722</v>
      </c>
      <c r="FH14" s="105">
        <f t="shared" si="20"/>
        <v>2260</v>
      </c>
      <c r="FI14" s="105">
        <f t="shared" si="20"/>
        <v>476</v>
      </c>
      <c r="FJ14" s="105">
        <f t="shared" si="20"/>
        <v>589</v>
      </c>
      <c r="FK14" s="105">
        <f t="shared" si="20"/>
        <v>0</v>
      </c>
      <c r="FL14" s="105">
        <f t="shared" si="20"/>
        <v>1202</v>
      </c>
      <c r="FM14" s="105">
        <f t="shared" si="20"/>
        <v>0</v>
      </c>
      <c r="FN14" s="80">
        <f t="shared" si="74"/>
        <v>0</v>
      </c>
      <c r="FO14" s="136">
        <v>68809</v>
      </c>
      <c r="FP14" s="132">
        <v>989211</v>
      </c>
      <c r="FY14" s="141">
        <v>9</v>
      </c>
      <c r="FZ14" s="107"/>
      <c r="GA14" s="107">
        <v>660</v>
      </c>
      <c r="GB14" s="108"/>
      <c r="GC14" s="109"/>
      <c r="GD14" s="110"/>
      <c r="GE14" s="110"/>
      <c r="GF14" s="111"/>
      <c r="GG14" s="111"/>
      <c r="GH14" s="111"/>
      <c r="GI14" s="112"/>
      <c r="GJ14" s="111" t="e">
        <f t="shared" si="65"/>
        <v>#DIV/0!</v>
      </c>
      <c r="GK14" s="113"/>
    </row>
    <row r="15" spans="1:194" s="119" customFormat="1" ht="15" customHeight="1">
      <c r="A15" s="119" t="s">
        <v>125</v>
      </c>
      <c r="B15" s="573">
        <v>42835</v>
      </c>
      <c r="D15" s="131"/>
      <c r="E15" s="131">
        <v>2376</v>
      </c>
      <c r="F15" s="131">
        <v>2291.328</v>
      </c>
      <c r="G15" s="308">
        <v>5112.5110000000004</v>
      </c>
      <c r="H15" s="308"/>
      <c r="I15" s="308">
        <v>787.90200000000004</v>
      </c>
      <c r="J15" s="308">
        <v>5540.04</v>
      </c>
      <c r="K15" s="308"/>
      <c r="L15" s="321">
        <v>204.40799999999999</v>
      </c>
      <c r="M15" s="115">
        <f t="shared" si="21"/>
        <v>6327.942</v>
      </c>
      <c r="N15" s="88">
        <f t="shared" si="0"/>
        <v>9779.8389999999999</v>
      </c>
      <c r="O15" s="88">
        <f t="shared" si="22"/>
        <v>13148.217999999999</v>
      </c>
      <c r="P15" s="89">
        <f t="shared" si="23"/>
        <v>138589.10450000002</v>
      </c>
      <c r="R15" s="90">
        <f t="shared" si="24"/>
        <v>102</v>
      </c>
      <c r="S15" s="90">
        <f t="shared" si="25"/>
        <v>98.3</v>
      </c>
      <c r="T15" s="90">
        <f t="shared" si="1"/>
        <v>622.4</v>
      </c>
      <c r="U15" s="90">
        <f t="shared" si="75"/>
        <v>2.6</v>
      </c>
      <c r="V15" s="90">
        <f t="shared" si="26"/>
        <v>676</v>
      </c>
      <c r="W15" s="91">
        <f t="shared" si="2"/>
        <v>135.69999999999999</v>
      </c>
      <c r="X15" s="90">
        <f t="shared" si="27"/>
        <v>676</v>
      </c>
      <c r="Y15" s="90">
        <f t="shared" si="28"/>
        <v>54.6</v>
      </c>
      <c r="Z15" s="90">
        <f t="shared" si="3"/>
        <v>45.1</v>
      </c>
      <c r="AA15" s="90">
        <f t="shared" si="29"/>
        <v>1501.3000000000002</v>
      </c>
      <c r="AB15" s="90">
        <f t="shared" si="30"/>
        <v>155</v>
      </c>
      <c r="AC15" s="90">
        <f t="shared" si="30"/>
        <v>31</v>
      </c>
      <c r="AD15" s="90">
        <f t="shared" si="31"/>
        <v>265</v>
      </c>
      <c r="AE15" s="90">
        <f t="shared" si="32"/>
        <v>79</v>
      </c>
      <c r="AF15" s="90">
        <f t="shared" si="33"/>
        <v>183</v>
      </c>
      <c r="AG15" s="90">
        <f t="shared" si="33"/>
        <v>30</v>
      </c>
      <c r="AH15" s="90">
        <f t="shared" si="34"/>
        <v>295</v>
      </c>
      <c r="AI15" s="90">
        <f t="shared" si="35"/>
        <v>82</v>
      </c>
      <c r="AJ15" s="90">
        <f t="shared" si="36"/>
        <v>239</v>
      </c>
      <c r="AK15" s="90">
        <f t="shared" si="36"/>
        <v>103</v>
      </c>
      <c r="AL15" s="90">
        <f t="shared" si="37"/>
        <v>410</v>
      </c>
      <c r="AM15" s="90">
        <f t="shared" si="38"/>
        <v>68</v>
      </c>
      <c r="AN15" s="90">
        <f t="shared" si="39"/>
        <v>24</v>
      </c>
      <c r="AO15" s="90">
        <f t="shared" si="4"/>
        <v>90</v>
      </c>
      <c r="AP15" s="90">
        <f t="shared" si="40"/>
        <v>36</v>
      </c>
      <c r="AQ15" s="90">
        <f t="shared" si="5"/>
        <v>36</v>
      </c>
      <c r="AR15" s="90">
        <f t="shared" si="41"/>
        <v>146.02799999999999</v>
      </c>
      <c r="AS15" s="90">
        <f t="shared" si="42"/>
        <v>297.02800000000002</v>
      </c>
      <c r="AT15" s="90">
        <f t="shared" si="43"/>
        <v>1164.028</v>
      </c>
      <c r="AU15" s="90">
        <f t="shared" si="44"/>
        <v>207</v>
      </c>
      <c r="AV15" s="90">
        <f t="shared" si="66"/>
        <v>36</v>
      </c>
      <c r="AW15" s="90">
        <f t="shared" si="45"/>
        <v>660</v>
      </c>
      <c r="AX15" s="90">
        <f t="shared" si="67"/>
        <v>2</v>
      </c>
      <c r="AY15" s="90" t="str">
        <f t="shared" si="46"/>
        <v/>
      </c>
      <c r="AZ15" s="90">
        <f t="shared" si="47"/>
        <v>336</v>
      </c>
      <c r="BA15" s="90">
        <v>58</v>
      </c>
      <c r="BB15" s="90">
        <f t="shared" si="48"/>
        <v>67</v>
      </c>
      <c r="BC15" s="90">
        <f t="shared" si="48"/>
        <v>542</v>
      </c>
      <c r="BD15" s="91">
        <f t="shared" si="49"/>
        <v>396</v>
      </c>
      <c r="BE15" s="90"/>
      <c r="BF15" s="90"/>
      <c r="BG15" s="90">
        <f t="shared" si="6"/>
        <v>945</v>
      </c>
      <c r="BH15" s="90">
        <f t="shared" si="50"/>
        <v>-489</v>
      </c>
      <c r="BI15" s="90">
        <f>IF(FC15=0,"",(FC15-BJ15))</f>
        <v>3032.6719999999996</v>
      </c>
      <c r="BJ15" s="90">
        <f t="shared" si="7"/>
        <v>3877.3280000000004</v>
      </c>
      <c r="BK15" s="92"/>
      <c r="BL15" s="93">
        <f>FD15+FN15</f>
        <v>6421</v>
      </c>
      <c r="BM15" s="93">
        <f t="shared" si="53"/>
        <v>57911.900000000023</v>
      </c>
      <c r="BN15" s="92"/>
      <c r="BO15" s="94">
        <f t="shared" si="54"/>
        <v>0.10429619546906652</v>
      </c>
      <c r="BP15" s="94">
        <f t="shared" si="54"/>
        <v>0.10051290210401215</v>
      </c>
      <c r="BQ15" s="94">
        <f t="shared" si="55"/>
        <v>0.63641129470536262</v>
      </c>
      <c r="BR15" s="94">
        <f t="shared" si="68"/>
        <v>0.69121792291263695</v>
      </c>
      <c r="BS15" s="94">
        <f t="shared" si="8"/>
        <v>5.582913992755914E-2</v>
      </c>
      <c r="BT15" s="94">
        <f t="shared" si="8"/>
        <v>4.6115278584851961E-2</v>
      </c>
      <c r="BU15" s="95">
        <f t="shared" si="8"/>
        <v>1.5350968456638194</v>
      </c>
      <c r="BV15" s="94">
        <f t="shared" si="9"/>
        <v>7.7577052646982281E-2</v>
      </c>
      <c r="BW15" s="94">
        <f t="shared" si="9"/>
        <v>7.476298309017998E-2</v>
      </c>
      <c r="BX15" s="94">
        <f t="shared" si="9"/>
        <v>0.47337213301452713</v>
      </c>
      <c r="BY15" s="94">
        <f t="shared" si="56"/>
        <v>0.51413811362117667</v>
      </c>
      <c r="BZ15" s="95">
        <f t="shared" si="10"/>
        <v>1.1418277366560246</v>
      </c>
      <c r="CA15" s="96" t="e">
        <f>#REF!</f>
        <v>#REF!</v>
      </c>
      <c r="CB15" s="94">
        <f t="shared" si="11"/>
        <v>0.11106295925425028</v>
      </c>
      <c r="CC15" s="95">
        <f t="shared" si="11"/>
        <v>0.22590741954537114</v>
      </c>
      <c r="CD15" s="97">
        <f t="shared" si="12"/>
        <v>0.23076696973518404</v>
      </c>
      <c r="CE15" s="98">
        <f t="shared" si="12"/>
        <v>0.46939115434370293</v>
      </c>
      <c r="CF15" s="94" t="str">
        <f t="shared" si="57"/>
        <v>0,00</v>
      </c>
      <c r="CG15" s="94" t="str">
        <f t="shared" si="57"/>
        <v>0,00</v>
      </c>
      <c r="CH15" s="95" t="str">
        <f t="shared" si="58"/>
        <v xml:space="preserve">0,00 </v>
      </c>
      <c r="CI15" s="96" t="e">
        <f>#REF!</f>
        <v>#REF!</v>
      </c>
      <c r="CJ15" s="94">
        <f t="shared" si="59"/>
        <v>0.77020202020202011</v>
      </c>
      <c r="CK15" s="94">
        <f t="shared" si="59"/>
        <v>0.12626262626262627</v>
      </c>
      <c r="CL15" s="95">
        <f t="shared" si="69"/>
        <v>1.2415824915824916</v>
      </c>
      <c r="CM15" s="95" t="e">
        <f>#REF!</f>
        <v>#REF!</v>
      </c>
      <c r="CN15" s="94">
        <f t="shared" si="60"/>
        <v>1.0430632366906876</v>
      </c>
      <c r="CO15" s="94">
        <f t="shared" si="60"/>
        <v>0.44952097648176081</v>
      </c>
      <c r="CP15" s="95">
        <f t="shared" si="61"/>
        <v>1.7893553432769118</v>
      </c>
      <c r="CQ15" s="95" t="e">
        <f>#REF!</f>
        <v>#REF!</v>
      </c>
      <c r="CR15" s="97">
        <f t="shared" si="70"/>
        <v>4.6943664277690547E-2</v>
      </c>
      <c r="CS15" s="95">
        <f t="shared" si="70"/>
        <v>0.17603874104133957</v>
      </c>
      <c r="CT15" s="96" t="e">
        <f>#REF!</f>
        <v>#REF!</v>
      </c>
      <c r="CU15" s="97" t="str">
        <f t="shared" si="71"/>
        <v xml:space="preserve">0,00 </v>
      </c>
      <c r="CV15" s="95" t="str">
        <f t="shared" si="62"/>
        <v xml:space="preserve">0,00 </v>
      </c>
      <c r="CW15" s="96" t="e">
        <f>#REF!</f>
        <v>#REF!</v>
      </c>
      <c r="CX15" s="99">
        <f t="shared" si="63"/>
        <v>0.15743578331299346</v>
      </c>
      <c r="CY15" s="95">
        <f t="shared" si="63"/>
        <v>2.7380136228346688E-2</v>
      </c>
      <c r="CZ15" s="99">
        <f t="shared" si="63"/>
        <v>0.50196916418635595</v>
      </c>
      <c r="DA15" s="95">
        <f t="shared" si="63"/>
        <v>1.5211186793525938E-3</v>
      </c>
      <c r="DB15" s="94">
        <f t="shared" si="13"/>
        <v>0.25554793813123577</v>
      </c>
      <c r="DC15" s="94">
        <f t="shared" si="14"/>
        <v>5.0957475758311895E-2</v>
      </c>
      <c r="DD15" s="94">
        <f t="shared" si="14"/>
        <v>0.41222316210455295</v>
      </c>
      <c r="DE15" s="94">
        <f t="shared" si="14"/>
        <v>0.30118149851181353</v>
      </c>
      <c r="DF15" s="94">
        <f t="shared" si="14"/>
        <v>0</v>
      </c>
      <c r="DG15" s="94">
        <f t="shared" si="14"/>
        <v>0</v>
      </c>
      <c r="DH15" s="95">
        <f t="shared" si="14"/>
        <v>0.71872857599410067</v>
      </c>
      <c r="DI15" s="96" t="e">
        <f>#REF!</f>
        <v>#REF!</v>
      </c>
      <c r="DJ15" s="95">
        <f t="shared" si="64"/>
        <v>-0.37191351710170917</v>
      </c>
      <c r="DK15" s="96" t="e">
        <f>#REF!</f>
        <v>#REF!</v>
      </c>
      <c r="DL15" s="95">
        <f t="shared" si="15"/>
        <v>2.3065270137747942</v>
      </c>
      <c r="DM15" s="96">
        <f t="shared" si="16"/>
        <v>0</v>
      </c>
      <c r="DN15" s="94">
        <f t="shared" si="17"/>
        <v>2.948938023388417</v>
      </c>
      <c r="DO15" s="100">
        <v>3.4</v>
      </c>
      <c r="DP15" s="94">
        <f t="shared" si="72"/>
        <v>4.8835515200615021</v>
      </c>
      <c r="DQ15" s="94">
        <f t="shared" si="73"/>
        <v>4.1786762537310445</v>
      </c>
      <c r="DR15" s="101" t="str">
        <f t="shared" si="18"/>
        <v>3,45 hL/NhL</v>
      </c>
      <c r="DS15" s="147"/>
      <c r="DT15" s="134">
        <v>10</v>
      </c>
      <c r="DU15" s="76">
        <v>613938</v>
      </c>
      <c r="DV15" s="76">
        <v>24055</v>
      </c>
      <c r="DW15" s="76">
        <v>5106262</v>
      </c>
      <c r="DX15" s="77">
        <v>106572</v>
      </c>
      <c r="DY15" s="77">
        <v>81852</v>
      </c>
      <c r="DZ15" s="77">
        <v>373106</v>
      </c>
      <c r="EA15" s="77">
        <v>216962</v>
      </c>
      <c r="EB15" s="77">
        <v>50517</v>
      </c>
      <c r="EC15" s="77">
        <v>381110</v>
      </c>
      <c r="ED15" s="76">
        <v>45343</v>
      </c>
      <c r="EE15" s="77">
        <v>37076</v>
      </c>
      <c r="EF15" s="77">
        <v>39204</v>
      </c>
      <c r="EG15" s="76">
        <v>89655</v>
      </c>
      <c r="EH15" s="76">
        <v>176813</v>
      </c>
      <c r="EI15" s="76">
        <v>30006</v>
      </c>
      <c r="EJ15" s="77">
        <v>38377</v>
      </c>
      <c r="EK15" s="77"/>
      <c r="EL15" s="76">
        <v>684382</v>
      </c>
      <c r="EM15" s="77">
        <v>6224</v>
      </c>
      <c r="EN15" s="77">
        <v>41089</v>
      </c>
      <c r="EO15" s="76">
        <v>2899734</v>
      </c>
      <c r="EP15" s="77">
        <v>2859240</v>
      </c>
      <c r="EQ15" s="77">
        <v>546</v>
      </c>
      <c r="ER15" s="77">
        <v>451</v>
      </c>
      <c r="ES15" s="148">
        <v>301253</v>
      </c>
      <c r="ET15" s="77">
        <v>3731546</v>
      </c>
      <c r="EU15" s="77">
        <v>388792</v>
      </c>
      <c r="EV15" s="77">
        <v>118280</v>
      </c>
      <c r="EW15" s="77">
        <v>82219</v>
      </c>
      <c r="EX15" s="76">
        <v>200060</v>
      </c>
      <c r="EY15" s="76">
        <v>1589125</v>
      </c>
      <c r="EZ15" s="149">
        <v>721467</v>
      </c>
      <c r="FA15" s="150">
        <v>728403</v>
      </c>
      <c r="FB15" s="151">
        <v>29905</v>
      </c>
      <c r="FC15" s="127">
        <v>6910</v>
      </c>
      <c r="FD15" s="104">
        <f t="shared" si="76"/>
        <v>5542</v>
      </c>
      <c r="FE15" s="105">
        <f t="shared" si="20"/>
        <v>0</v>
      </c>
      <c r="FF15" s="105">
        <f t="shared" si="20"/>
        <v>804</v>
      </c>
      <c r="FG15" s="105">
        <f t="shared" si="20"/>
        <v>1317</v>
      </c>
      <c r="FH15" s="105">
        <f t="shared" si="20"/>
        <v>1648</v>
      </c>
      <c r="FI15" s="105">
        <f t="shared" si="20"/>
        <v>640</v>
      </c>
      <c r="FJ15" s="105">
        <f t="shared" si="20"/>
        <v>777</v>
      </c>
      <c r="FK15" s="105">
        <f t="shared" si="20"/>
        <v>0</v>
      </c>
      <c r="FL15" s="105">
        <f t="shared" si="20"/>
        <v>356</v>
      </c>
      <c r="FM15" s="105">
        <f t="shared" si="20"/>
        <v>0</v>
      </c>
      <c r="FN15" s="80">
        <f t="shared" si="74"/>
        <v>879</v>
      </c>
      <c r="FO15" s="136">
        <f>FO14+879</f>
        <v>69688</v>
      </c>
      <c r="FP15" s="106"/>
      <c r="FY15" s="119">
        <v>10</v>
      </c>
      <c r="FZ15" s="107"/>
      <c r="GA15" s="107"/>
      <c r="GB15" s="108"/>
      <c r="GC15" s="109"/>
      <c r="GD15" s="110"/>
      <c r="GE15" s="110"/>
      <c r="GF15" s="111"/>
      <c r="GG15" s="111"/>
      <c r="GH15" s="111"/>
      <c r="GI15" s="112"/>
      <c r="GJ15" s="111" t="e">
        <f t="shared" si="65"/>
        <v>#DIV/0!</v>
      </c>
      <c r="GK15" s="113"/>
    </row>
    <row r="16" spans="1:194" s="141" customFormat="1" ht="15" customHeight="1">
      <c r="A16" s="141">
        <v>0</v>
      </c>
      <c r="B16" s="573">
        <v>42836</v>
      </c>
      <c r="D16" s="128">
        <v>3363.84</v>
      </c>
      <c r="E16" s="128">
        <v>4274.2800000000007</v>
      </c>
      <c r="F16" s="128">
        <v>2562.192</v>
      </c>
      <c r="G16" s="308">
        <v>1935.9780000000001</v>
      </c>
      <c r="H16" s="308">
        <v>1786.9179999999999</v>
      </c>
      <c r="I16" s="326">
        <v>2348.9169999999999</v>
      </c>
      <c r="J16" s="308">
        <v>7327.848</v>
      </c>
      <c r="K16" s="308">
        <v>12.458</v>
      </c>
      <c r="L16" s="321">
        <v>190.72</v>
      </c>
      <c r="M16" s="115">
        <f t="shared" si="21"/>
        <v>9676.7649999999994</v>
      </c>
      <c r="N16" s="88">
        <f t="shared" si="0"/>
        <v>13923.208000000001</v>
      </c>
      <c r="O16" s="88">
        <f t="shared" si="22"/>
        <v>18952.3105</v>
      </c>
      <c r="P16" s="89">
        <f t="shared" si="23"/>
        <v>157541.41500000001</v>
      </c>
      <c r="Q16" s="152"/>
      <c r="R16" s="90">
        <f t="shared" si="24"/>
        <v>41</v>
      </c>
      <c r="S16" s="90">
        <f t="shared" si="25"/>
        <v>730.9</v>
      </c>
      <c r="T16" s="90">
        <f t="shared" si="1"/>
        <v>520.70000000000005</v>
      </c>
      <c r="U16" s="90">
        <f t="shared" si="75"/>
        <v>0</v>
      </c>
      <c r="V16" s="90">
        <f t="shared" si="26"/>
        <v>923</v>
      </c>
      <c r="W16" s="91">
        <f t="shared" si="2"/>
        <v>272.39999999999998</v>
      </c>
      <c r="X16" s="90">
        <f t="shared" si="27"/>
        <v>923</v>
      </c>
      <c r="Y16" s="90" t="str">
        <f t="shared" si="28"/>
        <v>0</v>
      </c>
      <c r="Z16" s="90">
        <f t="shared" si="3"/>
        <v>93.2</v>
      </c>
      <c r="AA16" s="90">
        <f t="shared" si="29"/>
        <v>2215.6</v>
      </c>
      <c r="AB16" s="90">
        <f t="shared" si="30"/>
        <v>215</v>
      </c>
      <c r="AC16" s="90">
        <f t="shared" si="30"/>
        <v>46</v>
      </c>
      <c r="AD16" s="90">
        <f t="shared" si="31"/>
        <v>452</v>
      </c>
      <c r="AE16" s="90">
        <f t="shared" si="32"/>
        <v>191</v>
      </c>
      <c r="AF16" s="90">
        <f t="shared" si="33"/>
        <v>190</v>
      </c>
      <c r="AG16" s="90">
        <f t="shared" si="33"/>
        <v>57</v>
      </c>
      <c r="AH16" s="90">
        <f t="shared" si="34"/>
        <v>341</v>
      </c>
      <c r="AI16" s="90">
        <f t="shared" si="35"/>
        <v>94</v>
      </c>
      <c r="AJ16" s="90">
        <f t="shared" si="36"/>
        <v>241</v>
      </c>
      <c r="AK16" s="90">
        <f t="shared" si="36"/>
        <v>43</v>
      </c>
      <c r="AL16" s="90">
        <f t="shared" si="37"/>
        <v>351</v>
      </c>
      <c r="AM16" s="90">
        <f t="shared" si="38"/>
        <v>67</v>
      </c>
      <c r="AN16" s="90">
        <f t="shared" si="39"/>
        <v>55</v>
      </c>
      <c r="AO16" s="90">
        <f t="shared" si="4"/>
        <v>111</v>
      </c>
      <c r="AP16" s="90">
        <f t="shared" si="40"/>
        <v>103</v>
      </c>
      <c r="AQ16" s="90">
        <f t="shared" si="5"/>
        <v>162</v>
      </c>
      <c r="AR16" s="90">
        <f t="shared" si="41"/>
        <v>129.31299999999999</v>
      </c>
      <c r="AS16" s="90">
        <f t="shared" si="42"/>
        <v>152.31299999999999</v>
      </c>
      <c r="AT16" s="90">
        <f t="shared" si="43"/>
        <v>979.31299999999999</v>
      </c>
      <c r="AU16" s="90">
        <f t="shared" si="44"/>
        <v>285</v>
      </c>
      <c r="AV16" s="90">
        <f t="shared" si="66"/>
        <v>12</v>
      </c>
      <c r="AW16" s="90">
        <f t="shared" si="45"/>
        <v>542</v>
      </c>
      <c r="AX16" s="90">
        <f t="shared" si="67"/>
        <v>22</v>
      </c>
      <c r="AY16" s="90" t="str">
        <f t="shared" si="46"/>
        <v/>
      </c>
      <c r="AZ16" s="90">
        <f t="shared" si="47"/>
        <v>418</v>
      </c>
      <c r="BA16" s="90">
        <v>0</v>
      </c>
      <c r="BB16" s="90">
        <f t="shared" si="48"/>
        <v>90</v>
      </c>
      <c r="BC16" s="90">
        <f t="shared" si="48"/>
        <v>23</v>
      </c>
      <c r="BD16" s="91">
        <f t="shared" si="49"/>
        <v>373</v>
      </c>
      <c r="BE16" s="90"/>
      <c r="BF16" s="90"/>
      <c r="BG16" s="90">
        <f t="shared" si="6"/>
        <v>531</v>
      </c>
      <c r="BH16" s="90">
        <f t="shared" si="50"/>
        <v>338</v>
      </c>
      <c r="BI16" s="90">
        <f t="shared" si="51"/>
        <v>1937.0869999999995</v>
      </c>
      <c r="BJ16" s="90">
        <f t="shared" si="7"/>
        <v>4349.9130000000005</v>
      </c>
      <c r="BK16" s="92"/>
      <c r="BL16" s="93">
        <f>FD16+FN16</f>
        <v>6625</v>
      </c>
      <c r="BM16" s="93">
        <f t="shared" si="53"/>
        <v>64536.900000000023</v>
      </c>
      <c r="BN16" s="92"/>
      <c r="BO16" s="94">
        <f t="shared" si="54"/>
        <v>2.9447236585131816E-2</v>
      </c>
      <c r="BP16" s="94">
        <f t="shared" si="54"/>
        <v>0.52495085902616689</v>
      </c>
      <c r="BQ16" s="94">
        <f t="shared" si="55"/>
        <v>0.37397990463117414</v>
      </c>
      <c r="BR16" s="94">
        <f t="shared" si="68"/>
        <v>0.66292193580674796</v>
      </c>
      <c r="BS16" s="94">
        <f t="shared" si="8"/>
        <v>0</v>
      </c>
      <c r="BT16" s="94">
        <f t="shared" si="8"/>
        <v>6.6938596334982572E-2</v>
      </c>
      <c r="BU16" s="95">
        <f t="shared" si="8"/>
        <v>1.5912999360492208</v>
      </c>
      <c r="BV16" s="94">
        <f t="shared" si="9"/>
        <v>2.1633246247205584E-2</v>
      </c>
      <c r="BW16" s="94">
        <f t="shared" si="9"/>
        <v>0.38565218736786733</v>
      </c>
      <c r="BX16" s="94">
        <f t="shared" si="9"/>
        <v>0.27474222733951098</v>
      </c>
      <c r="BY16" s="94">
        <f t="shared" si="56"/>
        <v>0.48701186063831109</v>
      </c>
      <c r="BZ16" s="95">
        <f t="shared" si="10"/>
        <v>1.1690395215928948</v>
      </c>
      <c r="CA16" s="96" t="e">
        <f>#REF!</f>
        <v>#REF!</v>
      </c>
      <c r="CB16" s="94">
        <f t="shared" si="11"/>
        <v>6.8230731023534039E-2</v>
      </c>
      <c r="CC16" s="95">
        <f t="shared" si="11"/>
        <v>8.0366454528063999E-2</v>
      </c>
      <c r="CD16" s="97">
        <f t="shared" si="12"/>
        <v>0.13363246911545335</v>
      </c>
      <c r="CE16" s="98">
        <f t="shared" si="12"/>
        <v>0.15740074291356668</v>
      </c>
      <c r="CF16" s="94">
        <f t="shared" si="57"/>
        <v>0.63915049467275498</v>
      </c>
      <c r="CG16" s="94">
        <f t="shared" si="57"/>
        <v>0.13674847792998479</v>
      </c>
      <c r="CH16" s="95">
        <f t="shared" si="58"/>
        <v>1.3437024353120242</v>
      </c>
      <c r="CI16" s="96" t="e">
        <f>#REF!</f>
        <v>#REF!</v>
      </c>
      <c r="CJ16" s="94">
        <f t="shared" si="59"/>
        <v>0.44451931085469359</v>
      </c>
      <c r="CK16" s="94">
        <f t="shared" si="59"/>
        <v>0.13335579325640809</v>
      </c>
      <c r="CL16" s="95">
        <f t="shared" si="69"/>
        <v>0.79779518421816065</v>
      </c>
      <c r="CM16" s="95" t="e">
        <f>#REF!</f>
        <v>#REF!</v>
      </c>
      <c r="CN16" s="94">
        <f t="shared" si="60"/>
        <v>0.94060086051318559</v>
      </c>
      <c r="CO16" s="94">
        <f t="shared" si="60"/>
        <v>0.1678250498011078</v>
      </c>
      <c r="CP16" s="95">
        <f t="shared" si="61"/>
        <v>1.3699207553532289</v>
      </c>
      <c r="CQ16" s="95" t="e">
        <f>#REF!</f>
        <v>#REF!</v>
      </c>
      <c r="CR16" s="97">
        <f t="shared" si="70"/>
        <v>0.28409413743337991</v>
      </c>
      <c r="CS16" s="95">
        <f t="shared" si="70"/>
        <v>0.57335362282009406</v>
      </c>
      <c r="CT16" s="96" t="e">
        <f>#REF!</f>
        <v>#REF!</v>
      </c>
      <c r="CU16" s="97">
        <f t="shared" si="71"/>
        <v>0.57641145256805293</v>
      </c>
      <c r="CV16" s="95">
        <f t="shared" si="62"/>
        <v>0.90658888656334546</v>
      </c>
      <c r="CW16" s="96" t="e">
        <f>#REF!</f>
        <v>#REF!</v>
      </c>
      <c r="CX16" s="99">
        <f t="shared" si="63"/>
        <v>0.15037744342569737</v>
      </c>
      <c r="CY16" s="95">
        <f t="shared" si="63"/>
        <v>6.3316818284504155E-3</v>
      </c>
      <c r="CZ16" s="99">
        <f t="shared" si="63"/>
        <v>0.28598096258501043</v>
      </c>
      <c r="DA16" s="95">
        <f t="shared" si="63"/>
        <v>1.1608083352159095E-2</v>
      </c>
      <c r="DB16" s="94">
        <f t="shared" si="13"/>
        <v>0.22055358369102279</v>
      </c>
      <c r="DC16" s="94">
        <f t="shared" si="14"/>
        <v>4.7487613713378111E-2</v>
      </c>
      <c r="DD16" s="94">
        <f t="shared" si="14"/>
        <v>1.2135723504529962E-2</v>
      </c>
      <c r="DE16" s="94">
        <f t="shared" si="14"/>
        <v>0.19680977683433376</v>
      </c>
      <c r="DF16" s="94">
        <f t="shared" si="14"/>
        <v>0</v>
      </c>
      <c r="DG16" s="94">
        <f t="shared" si="14"/>
        <v>0</v>
      </c>
      <c r="DH16" s="95">
        <f t="shared" si="14"/>
        <v>0.28017692090893087</v>
      </c>
      <c r="DI16" s="96" t="e">
        <f>#REF!</f>
        <v>#REF!</v>
      </c>
      <c r="DJ16" s="95">
        <f t="shared" si="64"/>
        <v>0.17834237150135338</v>
      </c>
      <c r="DK16" s="96" t="e">
        <f>#REF!</f>
        <v>#REF!</v>
      </c>
      <c r="DL16" s="95">
        <f t="shared" si="15"/>
        <v>1.0220848798356272</v>
      </c>
      <c r="DM16" s="96">
        <f t="shared" si="16"/>
        <v>0</v>
      </c>
      <c r="DN16" s="94">
        <f t="shared" si="17"/>
        <v>2.2951887581200197</v>
      </c>
      <c r="DO16" s="100">
        <v>3.4</v>
      </c>
      <c r="DP16" s="94">
        <f>IF($O16&lt;&gt;0,IF($O16&lt;&gt;0,BL16/$O16*10,0)," ")</f>
        <v>3.4956160094569997</v>
      </c>
      <c r="DQ16" s="94">
        <f>IF($P16&lt;&gt;0,IF($P16&lt;&gt;0,BM16/$P16*10,0)," ")</f>
        <v>4.0965037669618507</v>
      </c>
      <c r="DR16" s="101"/>
      <c r="DS16" s="153"/>
      <c r="DT16" s="142">
        <v>11</v>
      </c>
      <c r="DU16" s="120">
        <v>614153</v>
      </c>
      <c r="DV16" s="120">
        <v>24101</v>
      </c>
      <c r="DW16" s="120">
        <v>5106714</v>
      </c>
      <c r="DX16" s="120">
        <v>106762</v>
      </c>
      <c r="DY16" s="120">
        <v>81909</v>
      </c>
      <c r="DZ16" s="120">
        <v>373447</v>
      </c>
      <c r="EA16" s="120">
        <v>217203</v>
      </c>
      <c r="EB16" s="120">
        <v>50560</v>
      </c>
      <c r="EC16" s="120">
        <v>381461</v>
      </c>
      <c r="ED16" s="120">
        <v>45398</v>
      </c>
      <c r="EE16" s="120">
        <v>37093</v>
      </c>
      <c r="EF16" s="120">
        <v>39298</v>
      </c>
      <c r="EG16" s="120">
        <v>89758</v>
      </c>
      <c r="EH16" s="120">
        <v>176975</v>
      </c>
      <c r="EI16" s="120">
        <v>30018</v>
      </c>
      <c r="EJ16" s="120">
        <v>38399</v>
      </c>
      <c r="EK16" s="120"/>
      <c r="EL16" s="120">
        <v>684423</v>
      </c>
      <c r="EM16" s="120">
        <v>5207</v>
      </c>
      <c r="EN16" s="120">
        <v>41089</v>
      </c>
      <c r="EO16" s="120">
        <v>2900657</v>
      </c>
      <c r="EP16" s="120">
        <v>2861964</v>
      </c>
      <c r="EQ16" s="120">
        <v>0</v>
      </c>
      <c r="ER16" s="120">
        <v>932</v>
      </c>
      <c r="ES16" s="120">
        <v>302103</v>
      </c>
      <c r="ET16" s="120">
        <v>3860859</v>
      </c>
      <c r="EU16" s="120">
        <v>389334</v>
      </c>
      <c r="EV16" s="120">
        <v>118565</v>
      </c>
      <c r="EW16" s="120">
        <v>82637</v>
      </c>
      <c r="EX16" s="120">
        <v>200150</v>
      </c>
      <c r="EY16" s="120">
        <v>1589148</v>
      </c>
      <c r="EZ16" s="120">
        <v>728776</v>
      </c>
      <c r="FA16" s="149">
        <v>728776</v>
      </c>
      <c r="FB16" s="151">
        <v>29905</v>
      </c>
      <c r="FC16" s="127">
        <v>6287</v>
      </c>
      <c r="FD16" s="104">
        <f t="shared" si="76"/>
        <v>6625</v>
      </c>
      <c r="FE16" s="105">
        <f t="shared" si="20"/>
        <v>0</v>
      </c>
      <c r="FF16" s="105">
        <f t="shared" si="20"/>
        <v>754</v>
      </c>
      <c r="FG16" s="105">
        <f t="shared" si="20"/>
        <v>1567</v>
      </c>
      <c r="FH16" s="105">
        <f t="shared" si="20"/>
        <v>1028</v>
      </c>
      <c r="FI16" s="105">
        <f t="shared" si="20"/>
        <v>800</v>
      </c>
      <c r="FJ16" s="105">
        <f t="shared" si="20"/>
        <v>763</v>
      </c>
      <c r="FK16" s="105">
        <f t="shared" si="20"/>
        <v>0</v>
      </c>
      <c r="FL16" s="105">
        <f t="shared" si="20"/>
        <v>1713</v>
      </c>
      <c r="FM16" s="105">
        <f t="shared" si="20"/>
        <v>0</v>
      </c>
      <c r="FN16" s="80">
        <f t="shared" si="74"/>
        <v>0</v>
      </c>
      <c r="FO16" s="136">
        <v>69688</v>
      </c>
      <c r="FP16" s="106">
        <v>990265</v>
      </c>
      <c r="FY16" s="141">
        <v>11</v>
      </c>
      <c r="FZ16" s="107"/>
      <c r="GA16" s="107"/>
      <c r="GB16" s="107"/>
      <c r="GC16" s="109"/>
      <c r="GD16" s="110"/>
      <c r="GE16" s="110"/>
      <c r="GF16" s="111"/>
      <c r="GG16" s="111"/>
      <c r="GH16" s="111"/>
      <c r="GI16" s="112"/>
      <c r="GJ16" s="111" t="e">
        <f t="shared" si="65"/>
        <v>#DIV/0!</v>
      </c>
      <c r="GK16" s="113"/>
    </row>
    <row r="17" spans="1:193" s="119" customFormat="1" ht="15" customHeight="1">
      <c r="A17" s="119" t="s">
        <v>126</v>
      </c>
      <c r="B17" s="573">
        <v>42837</v>
      </c>
      <c r="D17" s="314">
        <v>3273.72</v>
      </c>
      <c r="E17" s="128">
        <v>3701.4</v>
      </c>
      <c r="F17" s="86">
        <v>2827.5839999999998</v>
      </c>
      <c r="G17" s="308">
        <v>4847.5820000000003</v>
      </c>
      <c r="H17" s="308">
        <v>4485.97</v>
      </c>
      <c r="I17" s="326">
        <v>1836.5409999999999</v>
      </c>
      <c r="J17" s="308">
        <v>7955.64</v>
      </c>
      <c r="K17" s="308"/>
      <c r="L17" s="321">
        <v>204.36</v>
      </c>
      <c r="M17" s="115">
        <f t="shared" si="21"/>
        <v>9792.1810000000005</v>
      </c>
      <c r="N17" s="88">
        <f t="shared" si="0"/>
        <v>19136.256000000001</v>
      </c>
      <c r="O17" s="88">
        <f t="shared" si="22"/>
        <v>24236.7065</v>
      </c>
      <c r="P17" s="89">
        <f t="shared" si="23"/>
        <v>181778.12150000001</v>
      </c>
      <c r="Q17" s="155"/>
      <c r="R17" s="90">
        <f t="shared" si="24"/>
        <v>10</v>
      </c>
      <c r="S17" s="90">
        <f t="shared" si="25"/>
        <v>16.399999999999999</v>
      </c>
      <c r="T17" s="90">
        <f t="shared" si="1"/>
        <v>489.8</v>
      </c>
      <c r="U17" s="90">
        <f t="shared" si="75"/>
        <v>0</v>
      </c>
      <c r="V17" s="90">
        <f t="shared" si="26"/>
        <v>1566</v>
      </c>
      <c r="W17" s="91">
        <f t="shared" si="2"/>
        <v>185.9</v>
      </c>
      <c r="X17" s="90">
        <f t="shared" si="27"/>
        <v>1566</v>
      </c>
      <c r="Y17" s="90">
        <f t="shared" si="28"/>
        <v>39.200000000000003</v>
      </c>
      <c r="Z17" s="90">
        <f t="shared" si="3"/>
        <v>136.6</v>
      </c>
      <c r="AA17" s="90">
        <f t="shared" si="29"/>
        <v>2082.1999999999998</v>
      </c>
      <c r="AB17" s="90">
        <f t="shared" si="30"/>
        <v>261</v>
      </c>
      <c r="AC17" s="90">
        <f t="shared" si="30"/>
        <v>11</v>
      </c>
      <c r="AD17" s="90">
        <f t="shared" si="31"/>
        <v>445</v>
      </c>
      <c r="AE17" s="90">
        <f t="shared" si="32"/>
        <v>173</v>
      </c>
      <c r="AF17" s="90">
        <f t="shared" si="33"/>
        <v>156</v>
      </c>
      <c r="AG17" s="90">
        <f t="shared" si="33"/>
        <v>100</v>
      </c>
      <c r="AH17" s="90">
        <f t="shared" si="34"/>
        <v>372</v>
      </c>
      <c r="AI17" s="90">
        <f t="shared" si="35"/>
        <v>116</v>
      </c>
      <c r="AJ17" s="90">
        <f t="shared" si="36"/>
        <v>243</v>
      </c>
      <c r="AK17" s="90">
        <f t="shared" si="36"/>
        <v>80</v>
      </c>
      <c r="AL17" s="90">
        <f t="shared" si="37"/>
        <v>394</v>
      </c>
      <c r="AM17" s="90">
        <f t="shared" si="38"/>
        <v>71</v>
      </c>
      <c r="AN17" s="90">
        <f t="shared" si="39"/>
        <v>28</v>
      </c>
      <c r="AO17" s="90">
        <f t="shared" si="4"/>
        <v>94</v>
      </c>
      <c r="AP17" s="90">
        <f t="shared" si="40"/>
        <v>14</v>
      </c>
      <c r="AQ17" s="90">
        <f t="shared" si="5"/>
        <v>29</v>
      </c>
      <c r="AR17" s="90">
        <f t="shared" si="41"/>
        <v>79.117999999999995</v>
      </c>
      <c r="AS17" s="90">
        <f t="shared" si="42"/>
        <v>284.11799999999994</v>
      </c>
      <c r="AT17" s="90">
        <f t="shared" si="43"/>
        <v>1154.1179999999999</v>
      </c>
      <c r="AU17" s="90">
        <f t="shared" si="44"/>
        <v>271</v>
      </c>
      <c r="AV17" s="90">
        <f t="shared" si="66"/>
        <v>12</v>
      </c>
      <c r="AW17" s="90">
        <f t="shared" si="45"/>
        <v>599</v>
      </c>
      <c r="AX17" s="90">
        <f t="shared" si="67"/>
        <v>14</v>
      </c>
      <c r="AY17" s="90" t="str">
        <f t="shared" si="46"/>
        <v/>
      </c>
      <c r="AZ17" s="90">
        <f t="shared" si="47"/>
        <v>360</v>
      </c>
      <c r="BA17" s="90">
        <v>38</v>
      </c>
      <c r="BB17" s="90">
        <f t="shared" si="48"/>
        <v>80</v>
      </c>
      <c r="BC17" s="90">
        <f t="shared" si="48"/>
        <v>0</v>
      </c>
      <c r="BD17" s="91">
        <f t="shared" si="49"/>
        <v>346</v>
      </c>
      <c r="BE17" s="90"/>
      <c r="BF17" s="90"/>
      <c r="BG17" s="90">
        <f t="shared" si="6"/>
        <v>440</v>
      </c>
      <c r="BH17" s="90">
        <f t="shared" si="50"/>
        <v>-447</v>
      </c>
      <c r="BI17" s="90">
        <f t="shared" si="51"/>
        <v>3106.6820000000007</v>
      </c>
      <c r="BJ17" s="90">
        <f t="shared" si="7"/>
        <v>4166.3179999999993</v>
      </c>
      <c r="BK17" s="92"/>
      <c r="BL17" s="93">
        <f>FD17+FN17</f>
        <v>6826</v>
      </c>
      <c r="BM17" s="93">
        <f t="shared" si="53"/>
        <v>71362.900000000023</v>
      </c>
      <c r="BN17" s="92"/>
      <c r="BO17" s="94">
        <f t="shared" si="54"/>
        <v>5.2256825995638852E-3</v>
      </c>
      <c r="BP17" s="94">
        <f t="shared" si="54"/>
        <v>8.570119463284771E-3</v>
      </c>
      <c r="BQ17" s="94">
        <f t="shared" si="55"/>
        <v>0.2559539337266391</v>
      </c>
      <c r="BR17" s="94">
        <f t="shared" si="68"/>
        <v>0.81834189509170441</v>
      </c>
      <c r="BS17" s="94">
        <f t="shared" si="8"/>
        <v>2.0484675790290431E-2</v>
      </c>
      <c r="BT17" s="94">
        <f t="shared" si="8"/>
        <v>7.138282431004267E-2</v>
      </c>
      <c r="BU17" s="95">
        <f t="shared" si="8"/>
        <v>1.0880916308811921</v>
      </c>
      <c r="BV17" s="94">
        <f t="shared" si="9"/>
        <v>4.1259731391309297E-3</v>
      </c>
      <c r="BW17" s="94">
        <f t="shared" si="9"/>
        <v>6.766595948174723E-3</v>
      </c>
      <c r="BX17" s="94">
        <f t="shared" si="9"/>
        <v>0.20209016435463295</v>
      </c>
      <c r="BY17" s="94">
        <f t="shared" si="56"/>
        <v>0.6461273935879035</v>
      </c>
      <c r="BZ17" s="95">
        <f t="shared" si="10"/>
        <v>0.85911012702984202</v>
      </c>
      <c r="CA17" s="96" t="e">
        <f>#REF!</f>
        <v>#REF!</v>
      </c>
      <c r="CB17" s="94">
        <f t="shared" si="11"/>
        <v>3.2643874282176084E-2</v>
      </c>
      <c r="CC17" s="95">
        <f t="shared" si="11"/>
        <v>0.11722632363436011</v>
      </c>
      <c r="CD17" s="97">
        <f t="shared" si="12"/>
        <v>8.0797117618638781E-2</v>
      </c>
      <c r="CE17" s="98">
        <f t="shared" si="12"/>
        <v>0.29014782304371206</v>
      </c>
      <c r="CF17" s="94">
        <f t="shared" si="57"/>
        <v>0.79725816502327629</v>
      </c>
      <c r="CG17" s="94">
        <f t="shared" si="57"/>
        <v>3.3600918832398616E-2</v>
      </c>
      <c r="CH17" s="95">
        <f t="shared" si="58"/>
        <v>1.3593098982197624</v>
      </c>
      <c r="CI17" s="96" t="e">
        <f>#REF!</f>
        <v>#REF!</v>
      </c>
      <c r="CJ17" s="94">
        <f t="shared" si="59"/>
        <v>0.42146214945696225</v>
      </c>
      <c r="CK17" s="94">
        <f t="shared" si="59"/>
        <v>0.27016804452369375</v>
      </c>
      <c r="CL17" s="95">
        <f t="shared" si="69"/>
        <v>1.0050251256281406</v>
      </c>
      <c r="CM17" s="95" t="e">
        <f>#REF!</f>
        <v>#REF!</v>
      </c>
      <c r="CN17" s="94">
        <f t="shared" si="60"/>
        <v>0.85939091464656747</v>
      </c>
      <c r="CO17" s="94">
        <f t="shared" si="60"/>
        <v>0.28292705008940494</v>
      </c>
      <c r="CP17" s="95">
        <f t="shared" si="61"/>
        <v>1.3934157216903196</v>
      </c>
      <c r="CQ17" s="95" t="e">
        <f>#REF!</f>
        <v>#REF!</v>
      </c>
      <c r="CR17" s="97">
        <f t="shared" si="70"/>
        <v>5.7760755774734697E-2</v>
      </c>
      <c r="CS17" s="95">
        <f t="shared" si="70"/>
        <v>0.19391110867232361</v>
      </c>
      <c r="CT17" s="96" t="e">
        <f>#REF!</f>
        <v>#REF!</v>
      </c>
      <c r="CU17" s="97">
        <f t="shared" si="71"/>
        <v>3.1208412004538593E-2</v>
      </c>
      <c r="CV17" s="95">
        <f t="shared" si="62"/>
        <v>6.4645996295115665E-2</v>
      </c>
      <c r="CW17" s="96" t="e">
        <f>#REF!</f>
        <v>#REF!</v>
      </c>
      <c r="CX17" s="99">
        <f t="shared" si="63"/>
        <v>0.11181387207044818</v>
      </c>
      <c r="CY17" s="95">
        <f t="shared" si="63"/>
        <v>4.9511677669571152E-3</v>
      </c>
      <c r="CZ17" s="99">
        <f t="shared" si="63"/>
        <v>0.24714579103394266</v>
      </c>
      <c r="DA17" s="95">
        <f t="shared" si="63"/>
        <v>5.7763623947833017E-3</v>
      </c>
      <c r="DB17" s="94">
        <f t="shared" si="13"/>
        <v>0.14853503300871346</v>
      </c>
      <c r="DC17" s="94">
        <f t="shared" si="14"/>
        <v>3.3007785113047437E-2</v>
      </c>
      <c r="DD17" s="94">
        <f t="shared" si="14"/>
        <v>0</v>
      </c>
      <c r="DE17" s="94">
        <f t="shared" si="14"/>
        <v>0.14275867061393016</v>
      </c>
      <c r="DF17" s="94">
        <f t="shared" si="14"/>
        <v>0</v>
      </c>
      <c r="DG17" s="94">
        <f t="shared" si="14"/>
        <v>0</v>
      </c>
      <c r="DH17" s="95">
        <f t="shared" si="14"/>
        <v>0.18154281812176087</v>
      </c>
      <c r="DI17" s="96" t="e">
        <f>#REF!</f>
        <v>#REF!</v>
      </c>
      <c r="DJ17" s="95">
        <f t="shared" si="64"/>
        <v>-0.18443099931915255</v>
      </c>
      <c r="DK17" s="96" t="e">
        <f>#REF!</f>
        <v>#REF!</v>
      </c>
      <c r="DL17" s="95">
        <f t="shared" si="15"/>
        <v>1.2818086483821556</v>
      </c>
      <c r="DM17" s="96">
        <f t="shared" si="16"/>
        <v>0</v>
      </c>
      <c r="DN17" s="94">
        <f t="shared" si="17"/>
        <v>1.7190116157077693</v>
      </c>
      <c r="DO17" s="100">
        <v>3.4</v>
      </c>
      <c r="DP17" s="94">
        <f>IF($O17&lt;&gt;0,IF($O17&lt;&gt;0,BL17/$O17*10,0)," ")</f>
        <v>2.8163892647707724</v>
      </c>
      <c r="DQ17" s="94">
        <f>IF($P17&lt;&gt;0,IF($P17&lt;&gt;0,BM17/$P17*10,0)," ")</f>
        <v>3.9258244837787046</v>
      </c>
      <c r="DR17" s="101" t="str">
        <f t="shared" si="18"/>
        <v>3,45 hL/NhL</v>
      </c>
      <c r="DS17" s="147"/>
      <c r="DT17" s="134">
        <v>12</v>
      </c>
      <c r="DU17" s="120">
        <v>614414</v>
      </c>
      <c r="DV17" s="120">
        <v>24112</v>
      </c>
      <c r="DW17" s="120">
        <v>5107159</v>
      </c>
      <c r="DX17" s="120">
        <v>106918</v>
      </c>
      <c r="DY17" s="120">
        <v>82009</v>
      </c>
      <c r="DZ17" s="120">
        <v>373819</v>
      </c>
      <c r="EA17" s="120">
        <v>217446</v>
      </c>
      <c r="EB17" s="120">
        <v>50640</v>
      </c>
      <c r="EC17" s="120">
        <v>381855</v>
      </c>
      <c r="ED17" s="120">
        <v>45426</v>
      </c>
      <c r="EE17" s="120">
        <v>37136</v>
      </c>
      <c r="EF17" s="120">
        <v>39349</v>
      </c>
      <c r="EG17" s="120">
        <v>89772</v>
      </c>
      <c r="EH17" s="120">
        <v>177004</v>
      </c>
      <c r="EI17" s="120">
        <v>30030</v>
      </c>
      <c r="EJ17" s="120">
        <v>38413</v>
      </c>
      <c r="EK17" s="120"/>
      <c r="EL17" s="120">
        <v>684433</v>
      </c>
      <c r="EM17" s="120">
        <v>4898</v>
      </c>
      <c r="EN17" s="120">
        <v>41089</v>
      </c>
      <c r="EO17" s="120">
        <v>2902223</v>
      </c>
      <c r="EP17" s="120">
        <v>2863823</v>
      </c>
      <c r="EQ17" s="120">
        <v>392</v>
      </c>
      <c r="ER17" s="120">
        <v>1366</v>
      </c>
      <c r="ES17" s="120">
        <v>303178</v>
      </c>
      <c r="ET17" s="120">
        <v>3939977</v>
      </c>
      <c r="EU17" s="120">
        <v>389933</v>
      </c>
      <c r="EV17" s="120">
        <v>118836</v>
      </c>
      <c r="EW17" s="120">
        <v>82997</v>
      </c>
      <c r="EX17" s="120">
        <v>200230</v>
      </c>
      <c r="EY17" s="120">
        <v>1589148</v>
      </c>
      <c r="EZ17" s="120">
        <v>728940</v>
      </c>
      <c r="FA17" s="77">
        <v>729122</v>
      </c>
      <c r="FB17" s="77">
        <v>29957</v>
      </c>
      <c r="FC17" s="77">
        <v>7273</v>
      </c>
      <c r="FD17" s="104">
        <f t="shared" si="76"/>
        <v>5798</v>
      </c>
      <c r="FE17" s="105">
        <f t="shared" si="20"/>
        <v>0</v>
      </c>
      <c r="FF17" s="105">
        <f t="shared" si="20"/>
        <v>738</v>
      </c>
      <c r="FG17" s="105">
        <f t="shared" si="20"/>
        <v>1376</v>
      </c>
      <c r="FH17" s="105">
        <f t="shared" si="20"/>
        <v>1116</v>
      </c>
      <c r="FI17" s="105">
        <f t="shared" si="20"/>
        <v>646</v>
      </c>
      <c r="FJ17" s="105">
        <f t="shared" si="20"/>
        <v>774</v>
      </c>
      <c r="FK17" s="105">
        <f t="shared" si="20"/>
        <v>0</v>
      </c>
      <c r="FL17" s="105">
        <f t="shared" si="20"/>
        <v>1148</v>
      </c>
      <c r="FM17" s="105">
        <f t="shared" si="20"/>
        <v>0</v>
      </c>
      <c r="FN17" s="80">
        <f>IF(FO17="",0,(FO17-FO16))</f>
        <v>1028</v>
      </c>
      <c r="FO17" s="77">
        <f>FO16+1028</f>
        <v>70716</v>
      </c>
      <c r="FP17" s="106">
        <v>990935</v>
      </c>
      <c r="FY17" s="119">
        <v>12</v>
      </c>
      <c r="FZ17" s="107"/>
      <c r="GA17" s="107"/>
      <c r="GB17" s="107"/>
      <c r="GC17" s="109"/>
      <c r="GD17" s="110"/>
      <c r="GE17" s="110"/>
      <c r="GF17" s="111"/>
      <c r="GG17" s="111"/>
      <c r="GH17" s="111"/>
      <c r="GI17" s="112"/>
      <c r="GJ17" s="111" t="e">
        <f t="shared" si="65"/>
        <v>#DIV/0!</v>
      </c>
      <c r="GK17" s="113"/>
    </row>
    <row r="18" spans="1:193" s="119" customFormat="1" ht="15" customHeight="1">
      <c r="B18" s="573">
        <v>42838</v>
      </c>
      <c r="D18" s="314">
        <v>4976.28</v>
      </c>
      <c r="E18" s="128">
        <v>2469.6</v>
      </c>
      <c r="F18" s="128">
        <v>992.16</v>
      </c>
      <c r="G18" s="308">
        <v>6272.9350000000004</v>
      </c>
      <c r="H18" s="308">
        <v>6894.3529999999992</v>
      </c>
      <c r="I18" s="308">
        <v>2545.38</v>
      </c>
      <c r="J18" s="308">
        <v>3946.3440000000001</v>
      </c>
      <c r="K18" s="308">
        <v>25.067</v>
      </c>
      <c r="L18" s="321"/>
      <c r="M18" s="115">
        <f t="shared" si="21"/>
        <v>6491.7240000000002</v>
      </c>
      <c r="N18" s="88">
        <f t="shared" si="0"/>
        <v>21605.327999999998</v>
      </c>
      <c r="O18" s="88">
        <f t="shared" si="22"/>
        <v>24851.19</v>
      </c>
      <c r="P18" s="89">
        <f t="shared" si="23"/>
        <v>206629.31150000001</v>
      </c>
      <c r="R18" s="90">
        <f t="shared" si="24"/>
        <v>50</v>
      </c>
      <c r="S18" s="90">
        <f t="shared" si="25"/>
        <v>-562</v>
      </c>
      <c r="T18" s="90">
        <f t="shared" si="1"/>
        <v>450.7</v>
      </c>
      <c r="U18" s="90">
        <f t="shared" si="75"/>
        <v>0.4</v>
      </c>
      <c r="V18" s="90">
        <f t="shared" si="26"/>
        <v>1255</v>
      </c>
      <c r="W18" s="91">
        <f t="shared" si="2"/>
        <v>165.5</v>
      </c>
      <c r="X18" s="90">
        <f t="shared" si="27"/>
        <v>1255</v>
      </c>
      <c r="Y18" s="90">
        <f t="shared" si="28"/>
        <v>19.600000000000001</v>
      </c>
      <c r="Z18" s="90">
        <f t="shared" si="3"/>
        <v>134.4</v>
      </c>
      <c r="AA18" s="90">
        <f t="shared" si="29"/>
        <v>1194.0999999999999</v>
      </c>
      <c r="AB18" s="90">
        <f t="shared" si="30"/>
        <v>229</v>
      </c>
      <c r="AC18" s="90">
        <f t="shared" si="30"/>
        <v>22</v>
      </c>
      <c r="AD18" s="90">
        <f t="shared" si="31"/>
        <v>415</v>
      </c>
      <c r="AE18" s="90">
        <f t="shared" si="32"/>
        <v>164</v>
      </c>
      <c r="AF18" s="90">
        <f t="shared" si="33"/>
        <v>121</v>
      </c>
      <c r="AG18" s="90">
        <f t="shared" si="33"/>
        <v>100</v>
      </c>
      <c r="AH18" s="90">
        <f t="shared" si="34"/>
        <v>289</v>
      </c>
      <c r="AI18" s="90">
        <f t="shared" si="35"/>
        <v>68</v>
      </c>
      <c r="AJ18" s="90">
        <f t="shared" si="36"/>
        <v>114</v>
      </c>
      <c r="AK18" s="90">
        <f t="shared" si="36"/>
        <v>86</v>
      </c>
      <c r="AL18" s="90">
        <f t="shared" si="37"/>
        <v>305</v>
      </c>
      <c r="AM18" s="90">
        <f t="shared" si="38"/>
        <v>105</v>
      </c>
      <c r="AN18" s="90">
        <f t="shared" si="39"/>
        <v>31</v>
      </c>
      <c r="AO18" s="90">
        <f t="shared" si="4"/>
        <v>103</v>
      </c>
      <c r="AP18" s="90">
        <f t="shared" si="40"/>
        <v>25</v>
      </c>
      <c r="AQ18" s="90">
        <f>IF(AP18=0.1,0,(IF(AP18&gt;=(EH18-EH17),(AP18),(EH18-EH17))))</f>
        <v>38</v>
      </c>
      <c r="AR18" s="90">
        <f t="shared" si="41"/>
        <v>128.97499999999999</v>
      </c>
      <c r="AS18" s="90">
        <f t="shared" si="42"/>
        <v>112.97500000000002</v>
      </c>
      <c r="AT18" s="90">
        <f t="shared" si="43"/>
        <v>757.97500000000002</v>
      </c>
      <c r="AU18" s="90">
        <f t="shared" si="44"/>
        <v>276</v>
      </c>
      <c r="AV18" s="90">
        <f t="shared" si="66"/>
        <v>27</v>
      </c>
      <c r="AW18" s="90">
        <f t="shared" si="45"/>
        <v>369</v>
      </c>
      <c r="AX18" s="90">
        <f t="shared" si="67"/>
        <v>14</v>
      </c>
      <c r="AY18" s="90" t="str">
        <f t="shared" si="46"/>
        <v/>
      </c>
      <c r="AZ18" s="90">
        <f t="shared" si="47"/>
        <v>344</v>
      </c>
      <c r="BA18" s="90">
        <v>64</v>
      </c>
      <c r="BB18" s="90">
        <f t="shared" si="48"/>
        <v>107</v>
      </c>
      <c r="BC18" s="90">
        <f t="shared" si="48"/>
        <v>0</v>
      </c>
      <c r="BD18" s="91">
        <f t="shared" si="49"/>
        <v>396</v>
      </c>
      <c r="BE18" s="90"/>
      <c r="BF18" s="90"/>
      <c r="BG18" s="90">
        <f t="shared" si="6"/>
        <v>451</v>
      </c>
      <c r="BH18" s="90">
        <f t="shared" si="50"/>
        <v>426</v>
      </c>
      <c r="BI18" s="90">
        <f t="shared" si="51"/>
        <v>3365.9250000000002</v>
      </c>
      <c r="BJ18" s="90">
        <f t="shared" si="7"/>
        <v>2949.0749999999998</v>
      </c>
      <c r="BK18" s="92"/>
      <c r="BL18" s="93">
        <f>FD18+FN18</f>
        <v>6741</v>
      </c>
      <c r="BM18" s="93">
        <f t="shared" si="53"/>
        <v>78103.900000000023</v>
      </c>
      <c r="BN18" s="92"/>
      <c r="BO18" s="94">
        <f t="shared" si="54"/>
        <v>2.3142439679693826E-2</v>
      </c>
      <c r="BP18" s="94">
        <f t="shared" si="54"/>
        <v>-0.26012102199975862</v>
      </c>
      <c r="BQ18" s="94">
        <f t="shared" si="55"/>
        <v>0.20860595127276016</v>
      </c>
      <c r="BR18" s="94">
        <f t="shared" si="68"/>
        <v>0.58087523596031509</v>
      </c>
      <c r="BS18" s="94">
        <f t="shared" si="8"/>
        <v>9.0718363544399806E-3</v>
      </c>
      <c r="BT18" s="94">
        <f t="shared" si="8"/>
        <v>6.2206877859017004E-2</v>
      </c>
      <c r="BU18" s="95">
        <f t="shared" si="8"/>
        <v>0.55268774443044788</v>
      </c>
      <c r="BV18" s="94">
        <f t="shared" si="9"/>
        <v>2.011976086457027E-2</v>
      </c>
      <c r="BW18" s="94">
        <f t="shared" si="9"/>
        <v>-0.2261461121177698</v>
      </c>
      <c r="BX18" s="94">
        <f t="shared" si="9"/>
        <v>0.18135952443323639</v>
      </c>
      <c r="BY18" s="94">
        <f t="shared" si="56"/>
        <v>0.50500599770071375</v>
      </c>
      <c r="BZ18" s="95">
        <f t="shared" si="10"/>
        <v>0.48050012896766714</v>
      </c>
      <c r="CA18" s="96" t="e">
        <f>#REF!</f>
        <v>#REF!</v>
      </c>
      <c r="CB18" s="94">
        <f t="shared" si="11"/>
        <v>5.1898923150159003E-2</v>
      </c>
      <c r="CC18" s="95">
        <f t="shared" si="11"/>
        <v>4.5460599673496534E-2</v>
      </c>
      <c r="CD18" s="97">
        <f t="shared" si="12"/>
        <v>0.19867603736696138</v>
      </c>
      <c r="CE18" s="98">
        <f t="shared" si="12"/>
        <v>0.17402927173120733</v>
      </c>
      <c r="CF18" s="94">
        <f t="shared" si="57"/>
        <v>0.46018310866751871</v>
      </c>
      <c r="CG18" s="94">
        <f t="shared" si="57"/>
        <v>4.4209730963691754E-2</v>
      </c>
      <c r="CH18" s="95">
        <f t="shared" si="58"/>
        <v>0.83395628863327631</v>
      </c>
      <c r="CI18" s="96" t="e">
        <f>#REF!</f>
        <v>#REF!</v>
      </c>
      <c r="CJ18" s="94">
        <f t="shared" si="59"/>
        <v>0.48995788791707162</v>
      </c>
      <c r="CK18" s="94">
        <f t="shared" si="59"/>
        <v>0.40492387431162946</v>
      </c>
      <c r="CL18" s="95">
        <f t="shared" si="69"/>
        <v>1.1702299967606091</v>
      </c>
      <c r="CM18" s="95" t="e">
        <f>#REF!</f>
        <v>#REF!</v>
      </c>
      <c r="CN18" s="94">
        <f t="shared" si="60"/>
        <v>1.1490082244799227</v>
      </c>
      <c r="CO18" s="94">
        <f t="shared" si="60"/>
        <v>0.86679567811643277</v>
      </c>
      <c r="CP18" s="95">
        <f t="shared" si="61"/>
        <v>3.074100951459442</v>
      </c>
      <c r="CQ18" s="95" t="e">
        <f>#REF!</f>
        <v>#REF!</v>
      </c>
      <c r="CR18" s="97">
        <f t="shared" si="70"/>
        <v>4.9418653309814299E-2</v>
      </c>
      <c r="CS18" s="95">
        <f t="shared" si="70"/>
        <v>0.16419746099712496</v>
      </c>
      <c r="CT18" s="96" t="e">
        <f>#REF!</f>
        <v>#REF!</v>
      </c>
      <c r="CU18" s="97">
        <f t="shared" si="71"/>
        <v>3.6261560729483971E-2</v>
      </c>
      <c r="CV18" s="95">
        <f t="shared" si="62"/>
        <v>5.5117572308815636E-2</v>
      </c>
      <c r="CW18" s="96" t="e">
        <f>#REF!</f>
        <v>#REF!</v>
      </c>
      <c r="CX18" s="99">
        <f t="shared" si="63"/>
        <v>0.1110610799724279</v>
      </c>
      <c r="CY18" s="95">
        <f t="shared" si="63"/>
        <v>1.0864670866867945E-2</v>
      </c>
      <c r="CZ18" s="99">
        <f t="shared" si="63"/>
        <v>0.1484838351805286</v>
      </c>
      <c r="DA18" s="95">
        <f t="shared" si="63"/>
        <v>5.6335330420796761E-3</v>
      </c>
      <c r="DB18" s="94">
        <f t="shared" si="13"/>
        <v>0.13842395474824346</v>
      </c>
      <c r="DC18" s="94">
        <f t="shared" si="14"/>
        <v>4.3056288250180381E-2</v>
      </c>
      <c r="DD18" s="94">
        <f t="shared" si="14"/>
        <v>0</v>
      </c>
      <c r="DE18" s="94">
        <f t="shared" si="14"/>
        <v>0.15934850604739653</v>
      </c>
      <c r="DF18" s="94">
        <f t="shared" si="14"/>
        <v>0</v>
      </c>
      <c r="DG18" s="94">
        <f t="shared" si="14"/>
        <v>0</v>
      </c>
      <c r="DH18" s="95">
        <f t="shared" si="14"/>
        <v>0.18148024299842383</v>
      </c>
      <c r="DI18" s="96" t="e">
        <f>#REF!</f>
        <v>#REF!</v>
      </c>
      <c r="DJ18" s="95">
        <f t="shared" si="64"/>
        <v>0.17142036256613868</v>
      </c>
      <c r="DK18" s="96" t="e">
        <f>#REF!</f>
        <v>#REF!</v>
      </c>
      <c r="DL18" s="95">
        <f t="shared" si="15"/>
        <v>1.3544321217615738</v>
      </c>
      <c r="DM18" s="96">
        <f t="shared" si="16"/>
        <v>0</v>
      </c>
      <c r="DN18" s="94">
        <f t="shared" si="17"/>
        <v>1.1866936754336512</v>
      </c>
      <c r="DO18" s="100">
        <v>3.4</v>
      </c>
      <c r="DP18" s="94">
        <f>IF($O18&lt;&gt;0,IF($O18&lt;&gt;0,BL18/$O18*10,0)," ")</f>
        <v>2.7125461597613638</v>
      </c>
      <c r="DQ18" s="94">
        <f t="shared" si="73"/>
        <v>3.7799041884723126</v>
      </c>
      <c r="DR18" s="101" t="str">
        <f t="shared" si="18"/>
        <v>3,45 hL/NhL</v>
      </c>
      <c r="DS18" s="147"/>
      <c r="DT18" s="134">
        <v>13</v>
      </c>
      <c r="DU18" s="120">
        <v>614643</v>
      </c>
      <c r="DV18" s="120">
        <v>24134</v>
      </c>
      <c r="DW18" s="120">
        <v>5107574</v>
      </c>
      <c r="DX18" s="120">
        <v>107039</v>
      </c>
      <c r="DY18" s="120">
        <v>82109</v>
      </c>
      <c r="DZ18" s="120">
        <v>374108</v>
      </c>
      <c r="EA18" s="120">
        <v>217560</v>
      </c>
      <c r="EB18" s="120">
        <v>50726</v>
      </c>
      <c r="EC18" s="120">
        <v>382160</v>
      </c>
      <c r="ED18" s="120">
        <v>45457</v>
      </c>
      <c r="EE18" s="120">
        <v>37183</v>
      </c>
      <c r="EF18" s="120">
        <v>39405</v>
      </c>
      <c r="EG18" s="120">
        <v>89797</v>
      </c>
      <c r="EH18" s="120">
        <v>177042</v>
      </c>
      <c r="EI18" s="120">
        <v>30057</v>
      </c>
      <c r="EJ18" s="120">
        <v>38427</v>
      </c>
      <c r="EK18" s="120"/>
      <c r="EL18" s="120">
        <v>684483</v>
      </c>
      <c r="EM18" s="120">
        <v>4507</v>
      </c>
      <c r="EN18" s="120">
        <v>41093</v>
      </c>
      <c r="EO18" s="120">
        <v>2903478</v>
      </c>
      <c r="EP18" s="120">
        <v>2865478</v>
      </c>
      <c r="EQ18" s="120">
        <v>196</v>
      </c>
      <c r="ER18" s="120">
        <v>1344</v>
      </c>
      <c r="ES18" s="120">
        <v>303807</v>
      </c>
      <c r="ET18" s="120">
        <v>4068952</v>
      </c>
      <c r="EU18" s="120">
        <v>390302</v>
      </c>
      <c r="EV18" s="120">
        <v>119112</v>
      </c>
      <c r="EW18" s="120">
        <v>83341</v>
      </c>
      <c r="EX18" s="120">
        <v>200337</v>
      </c>
      <c r="EY18" s="120">
        <v>1589148</v>
      </c>
      <c r="EZ18" s="120">
        <v>723320</v>
      </c>
      <c r="FA18" s="151">
        <v>729518</v>
      </c>
      <c r="FB18" s="77">
        <v>30013</v>
      </c>
      <c r="FC18" s="77">
        <v>6315</v>
      </c>
      <c r="FD18" s="104">
        <f t="shared" si="76"/>
        <v>6244</v>
      </c>
      <c r="FE18" s="105">
        <f t="shared" si="20"/>
        <v>0</v>
      </c>
      <c r="FF18" s="105">
        <f t="shared" si="20"/>
        <v>70</v>
      </c>
      <c r="FG18" s="105">
        <f t="shared" si="20"/>
        <v>1986</v>
      </c>
      <c r="FH18" s="105">
        <f t="shared" si="20"/>
        <v>2148</v>
      </c>
      <c r="FI18" s="105">
        <f t="shared" si="20"/>
        <v>621</v>
      </c>
      <c r="FJ18" s="105">
        <f t="shared" si="20"/>
        <v>833</v>
      </c>
      <c r="FK18" s="105">
        <f t="shared" si="20"/>
        <v>0</v>
      </c>
      <c r="FL18" s="105">
        <f t="shared" si="20"/>
        <v>586</v>
      </c>
      <c r="FM18" s="105">
        <f t="shared" si="20"/>
        <v>0</v>
      </c>
      <c r="FN18" s="124">
        <f t="shared" si="74"/>
        <v>497</v>
      </c>
      <c r="FO18" s="77">
        <f>FO17+497</f>
        <v>71213</v>
      </c>
      <c r="FP18" s="132">
        <v>991518</v>
      </c>
      <c r="FY18" s="119">
        <v>13</v>
      </c>
      <c r="FZ18" s="107"/>
      <c r="GA18" s="107"/>
      <c r="GB18" s="107"/>
      <c r="GC18" s="109"/>
      <c r="GD18" s="110"/>
      <c r="GE18" s="110"/>
      <c r="GF18" s="111"/>
      <c r="GG18" s="111"/>
      <c r="GH18" s="111"/>
      <c r="GI18" s="112"/>
      <c r="GJ18" s="111" t="e">
        <f t="shared" si="65"/>
        <v>#DIV/0!</v>
      </c>
      <c r="GK18" s="113"/>
    </row>
    <row r="19" spans="1:193" s="119" customFormat="1" ht="15" customHeight="1">
      <c r="A19" s="119">
        <v>0</v>
      </c>
      <c r="B19" s="573">
        <v>42839</v>
      </c>
      <c r="D19" s="322">
        <v>4203.84</v>
      </c>
      <c r="E19" s="128"/>
      <c r="F19" s="128">
        <v>2819.4479999999999</v>
      </c>
      <c r="G19" s="308">
        <v>2859.6950000000002</v>
      </c>
      <c r="H19" s="308">
        <v>4514.2359999999999</v>
      </c>
      <c r="I19" s="308">
        <v>1176.079</v>
      </c>
      <c r="J19" s="308">
        <v>1551.24</v>
      </c>
      <c r="K19" s="308"/>
      <c r="L19" s="321"/>
      <c r="M19" s="115">
        <f t="shared" si="21"/>
        <v>2727.319</v>
      </c>
      <c r="N19" s="88">
        <f t="shared" si="0"/>
        <v>14397.219000000001</v>
      </c>
      <c r="O19" s="88">
        <f t="shared" si="22"/>
        <v>15760.878500000001</v>
      </c>
      <c r="P19" s="89">
        <f t="shared" si="23"/>
        <v>222390.19</v>
      </c>
      <c r="R19" s="90">
        <f t="shared" si="24"/>
        <v>53</v>
      </c>
      <c r="S19" s="90">
        <f t="shared" si="25"/>
        <v>42</v>
      </c>
      <c r="T19" s="90">
        <f t="shared" si="1"/>
        <v>440.1</v>
      </c>
      <c r="U19" s="90">
        <f t="shared" si="75"/>
        <v>2.5</v>
      </c>
      <c r="V19" s="90">
        <f t="shared" si="26"/>
        <v>1253</v>
      </c>
      <c r="W19" s="91">
        <f t="shared" si="2"/>
        <v>284.5</v>
      </c>
      <c r="X19" s="90">
        <f t="shared" si="27"/>
        <v>1253</v>
      </c>
      <c r="Y19" s="90" t="str">
        <f t="shared" si="28"/>
        <v>0</v>
      </c>
      <c r="Z19" s="90">
        <f t="shared" si="3"/>
        <v>102.8</v>
      </c>
      <c r="AA19" s="90">
        <f t="shared" si="29"/>
        <v>1790.6</v>
      </c>
      <c r="AB19" s="90">
        <f t="shared" si="30"/>
        <v>185</v>
      </c>
      <c r="AC19" s="90">
        <f t="shared" si="30"/>
        <v>23</v>
      </c>
      <c r="AD19" s="90">
        <f t="shared" si="31"/>
        <v>317</v>
      </c>
      <c r="AE19" s="90">
        <f t="shared" si="32"/>
        <v>109</v>
      </c>
      <c r="AF19" s="90">
        <f t="shared" si="33"/>
        <v>0</v>
      </c>
      <c r="AG19" s="90">
        <f t="shared" si="33"/>
        <v>0</v>
      </c>
      <c r="AH19" s="90">
        <f t="shared" si="34"/>
        <v>65</v>
      </c>
      <c r="AI19" s="90">
        <f t="shared" si="35"/>
        <v>65</v>
      </c>
      <c r="AJ19" s="90">
        <f t="shared" si="36"/>
        <v>233</v>
      </c>
      <c r="AK19" s="90">
        <f t="shared" si="36"/>
        <v>14</v>
      </c>
      <c r="AL19" s="90">
        <f t="shared" si="37"/>
        <v>330</v>
      </c>
      <c r="AM19" s="90">
        <f t="shared" si="38"/>
        <v>83</v>
      </c>
      <c r="AN19" s="90">
        <f t="shared" si="39"/>
        <v>18</v>
      </c>
      <c r="AO19" s="90">
        <f t="shared" si="4"/>
        <v>25</v>
      </c>
      <c r="AP19" s="90">
        <f t="shared" si="40"/>
        <v>21</v>
      </c>
      <c r="AQ19" s="90">
        <f t="shared" si="5"/>
        <v>76</v>
      </c>
      <c r="AR19" s="90">
        <f t="shared" si="41"/>
        <v>83.548000000000002</v>
      </c>
      <c r="AS19" s="90">
        <f t="shared" si="42"/>
        <v>200.548</v>
      </c>
      <c r="AT19" s="90">
        <f t="shared" si="43"/>
        <v>651.548</v>
      </c>
      <c r="AU19" s="90">
        <f t="shared" si="44"/>
        <v>186</v>
      </c>
      <c r="AV19" s="90">
        <f t="shared" si="66"/>
        <v>41</v>
      </c>
      <c r="AW19" s="90">
        <f t="shared" si="45"/>
        <v>265</v>
      </c>
      <c r="AX19" s="90">
        <f t="shared" si="67"/>
        <v>38</v>
      </c>
      <c r="AY19" s="90" t="str">
        <f t="shared" si="46"/>
        <v/>
      </c>
      <c r="AZ19" s="90">
        <f t="shared" si="47"/>
        <v>313</v>
      </c>
      <c r="BA19" s="90">
        <v>42</v>
      </c>
      <c r="BB19" s="90">
        <f t="shared" si="48"/>
        <v>116</v>
      </c>
      <c r="BC19" s="90">
        <f t="shared" si="48"/>
        <v>500</v>
      </c>
      <c r="BD19" s="91">
        <f t="shared" si="49"/>
        <v>369</v>
      </c>
      <c r="BE19" s="90"/>
      <c r="BF19" s="90"/>
      <c r="BG19" s="90">
        <f t="shared" si="6"/>
        <v>929</v>
      </c>
      <c r="BH19" s="90">
        <f t="shared" si="50"/>
        <v>363</v>
      </c>
      <c r="BI19" s="90">
        <f t="shared" si="51"/>
        <v>2370.8519999999999</v>
      </c>
      <c r="BJ19" s="90">
        <f t="shared" si="7"/>
        <v>3812.1480000000001</v>
      </c>
      <c r="BK19" s="92"/>
      <c r="BL19" s="93">
        <f t="shared" si="52"/>
        <v>6546</v>
      </c>
      <c r="BM19" s="93">
        <f t="shared" si="53"/>
        <v>84649.900000000023</v>
      </c>
      <c r="BN19" s="92"/>
      <c r="BO19" s="94">
        <f t="shared" si="54"/>
        <v>3.6812665001483967E-2</v>
      </c>
      <c r="BP19" s="94">
        <f t="shared" si="54"/>
        <v>2.9172300567213708E-2</v>
      </c>
      <c r="BQ19" s="94">
        <f t="shared" si="55"/>
        <v>0.30568403522930365</v>
      </c>
      <c r="BR19" s="94">
        <f t="shared" si="68"/>
        <v>0.87030696692187559</v>
      </c>
      <c r="BS19" s="94">
        <f t="shared" si="8"/>
        <v>0</v>
      </c>
      <c r="BT19" s="94">
        <f t="shared" si="8"/>
        <v>7.1402678531180222E-2</v>
      </c>
      <c r="BU19" s="95">
        <f t="shared" si="8"/>
        <v>1.2437124141822111</v>
      </c>
      <c r="BV19" s="94">
        <f t="shared" si="9"/>
        <v>3.3627567143544694E-2</v>
      </c>
      <c r="BW19" s="94">
        <f t="shared" si="9"/>
        <v>2.6648260755261832E-2</v>
      </c>
      <c r="BX19" s="94">
        <f t="shared" si="9"/>
        <v>0.27923570377120793</v>
      </c>
      <c r="BY19" s="94">
        <f t="shared" si="56"/>
        <v>0.79500644586531144</v>
      </c>
      <c r="BZ19" s="95">
        <f t="shared" si="10"/>
        <v>1.1361041835326626</v>
      </c>
      <c r="CA19" s="96" t="e">
        <f>#REF!</f>
        <v>#REF!</v>
      </c>
      <c r="CB19" s="94">
        <f t="shared" si="11"/>
        <v>5.3009735466205132E-2</v>
      </c>
      <c r="CC19" s="95">
        <f t="shared" si="11"/>
        <v>0.12724417614157738</v>
      </c>
      <c r="CD19" s="97">
        <f t="shared" si="12"/>
        <v>0.30633746914094023</v>
      </c>
      <c r="CE19" s="98">
        <f t="shared" si="12"/>
        <v>0.73533019056443349</v>
      </c>
      <c r="CF19" s="94">
        <f t="shared" si="57"/>
        <v>0.44007383725355864</v>
      </c>
      <c r="CG19" s="94">
        <f t="shared" si="57"/>
        <v>5.4711882469361338E-2</v>
      </c>
      <c r="CH19" s="95">
        <f t="shared" si="58"/>
        <v>0.75407246707771936</v>
      </c>
      <c r="CI19" s="96" t="e">
        <f>#REF!</f>
        <v>#REF!</v>
      </c>
      <c r="CJ19" s="94" t="str">
        <f t="shared" si="59"/>
        <v>0,00</v>
      </c>
      <c r="CK19" s="94" t="str">
        <f t="shared" si="59"/>
        <v>0,00</v>
      </c>
      <c r="CL19" s="95" t="str">
        <f t="shared" si="69"/>
        <v xml:space="preserve">0,00 </v>
      </c>
      <c r="CM19" s="95" t="e">
        <f>#REF!</f>
        <v>#REF!</v>
      </c>
      <c r="CN19" s="94">
        <f t="shared" si="60"/>
        <v>0.8264028987234382</v>
      </c>
      <c r="CO19" s="94">
        <f t="shared" si="60"/>
        <v>4.9655109794541345E-2</v>
      </c>
      <c r="CP19" s="95">
        <f t="shared" si="61"/>
        <v>1.1704418737284745</v>
      </c>
      <c r="CQ19" s="95" t="e">
        <f>#REF!</f>
        <v>#REF!</v>
      </c>
      <c r="CR19" s="97">
        <f t="shared" si="70"/>
        <v>6.2943775472559138E-2</v>
      </c>
      <c r="CS19" s="95">
        <f t="shared" si="70"/>
        <v>8.742191037855436E-2</v>
      </c>
      <c r="CT19" s="96" t="e">
        <f>#REF!</f>
        <v>#REF!</v>
      </c>
      <c r="CU19" s="97">
        <f t="shared" si="71"/>
        <v>4.6519499645122676E-2</v>
      </c>
      <c r="CV19" s="95">
        <f t="shared" si="62"/>
        <v>0.16835628442996775</v>
      </c>
      <c r="CW19" s="96" t="e">
        <f>#REF!</f>
        <v>#REF!</v>
      </c>
      <c r="CX19" s="99">
        <f t="shared" si="63"/>
        <v>0.11801372620187384</v>
      </c>
      <c r="CY19" s="95">
        <f t="shared" si="63"/>
        <v>2.6013778356327025E-2</v>
      </c>
      <c r="CZ19" s="99">
        <f t="shared" si="63"/>
        <v>0.16813783571772348</v>
      </c>
      <c r="DA19" s="95">
        <f t="shared" si="63"/>
        <v>2.4110331159522613E-2</v>
      </c>
      <c r="DB19" s="94">
        <f t="shared" si="13"/>
        <v>0.19859299086659413</v>
      </c>
      <c r="DC19" s="94">
        <f t="shared" si="14"/>
        <v>7.3599958276437449E-2</v>
      </c>
      <c r="DD19" s="94">
        <f t="shared" si="14"/>
        <v>0.31724119946740281</v>
      </c>
      <c r="DE19" s="94">
        <f t="shared" si="14"/>
        <v>0.23412400520694324</v>
      </c>
      <c r="DF19" s="94">
        <f t="shared" si="14"/>
        <v>0</v>
      </c>
      <c r="DG19" s="94">
        <f t="shared" si="14"/>
        <v>0</v>
      </c>
      <c r="DH19" s="95">
        <f t="shared" si="14"/>
        <v>0.58943414861043442</v>
      </c>
      <c r="DI19" s="96" t="e">
        <f>#REF!</f>
        <v>#REF!</v>
      </c>
      <c r="DJ19" s="95">
        <f t="shared" si="64"/>
        <v>0.23031711081333439</v>
      </c>
      <c r="DK19" s="96" t="e">
        <f>#REF!</f>
        <v>#REF!</v>
      </c>
      <c r="DL19" s="95">
        <f t="shared" si="15"/>
        <v>1.5042638644793815</v>
      </c>
      <c r="DM19" s="96">
        <f t="shared" si="16"/>
        <v>0</v>
      </c>
      <c r="DN19" s="94">
        <f t="shared" si="17"/>
        <v>2.4187408081345212</v>
      </c>
      <c r="DO19" s="100">
        <v>3.4</v>
      </c>
      <c r="DP19" s="94">
        <f>IF($O19&lt;&gt;0,IF($O19&lt;&gt;0,BL19/$O19*10,0)," ")</f>
        <v>4.1533217834272378</v>
      </c>
      <c r="DQ19" s="94">
        <f t="shared" si="73"/>
        <v>3.8063684373847617</v>
      </c>
      <c r="DR19" s="101" t="str">
        <f t="shared" si="18"/>
        <v>3,45 hL/NhL</v>
      </c>
      <c r="DS19" s="147"/>
      <c r="DT19" s="103">
        <v>14</v>
      </c>
      <c r="DU19" s="120">
        <v>614828</v>
      </c>
      <c r="DV19" s="120">
        <v>24157</v>
      </c>
      <c r="DW19" s="120">
        <v>5107891</v>
      </c>
      <c r="DX19" s="120">
        <v>107039</v>
      </c>
      <c r="DY19" s="120">
        <v>82109</v>
      </c>
      <c r="DZ19" s="120">
        <v>374173</v>
      </c>
      <c r="EA19" s="120">
        <v>217793</v>
      </c>
      <c r="EB19" s="120">
        <v>50740</v>
      </c>
      <c r="EC19" s="120">
        <v>382490</v>
      </c>
      <c r="ED19" s="120">
        <v>45475</v>
      </c>
      <c r="EE19" s="120">
        <v>37208</v>
      </c>
      <c r="EF19" s="120">
        <v>39405</v>
      </c>
      <c r="EG19" s="120">
        <v>89818</v>
      </c>
      <c r="EH19" s="120">
        <v>177118</v>
      </c>
      <c r="EI19" s="120">
        <v>30098</v>
      </c>
      <c r="EJ19" s="120">
        <v>38465</v>
      </c>
      <c r="EK19" s="120"/>
      <c r="EL19" s="120">
        <v>684536</v>
      </c>
      <c r="EM19" s="120">
        <v>4401</v>
      </c>
      <c r="EN19" s="120">
        <v>41118</v>
      </c>
      <c r="EO19" s="120">
        <v>2904731</v>
      </c>
      <c r="EP19" s="120">
        <v>2868323</v>
      </c>
      <c r="EQ19" s="120">
        <v>0</v>
      </c>
      <c r="ER19" s="120">
        <v>1028</v>
      </c>
      <c r="ES19" s="120">
        <v>304375</v>
      </c>
      <c r="ET19" s="120">
        <v>4152500</v>
      </c>
      <c r="EU19" s="120">
        <v>390567</v>
      </c>
      <c r="EV19" s="120">
        <v>119298</v>
      </c>
      <c r="EW19" s="120">
        <v>83654</v>
      </c>
      <c r="EX19" s="120">
        <v>200453</v>
      </c>
      <c r="EY19" s="120">
        <v>1589648</v>
      </c>
      <c r="EZ19" s="120">
        <v>723740</v>
      </c>
      <c r="FA19" s="151">
        <v>729887</v>
      </c>
      <c r="FB19" s="77">
        <v>30062</v>
      </c>
      <c r="FC19" s="77">
        <v>6183</v>
      </c>
      <c r="FD19" s="104">
        <f t="shared" si="76"/>
        <v>6097</v>
      </c>
      <c r="FE19" s="105">
        <f t="shared" si="20"/>
        <v>0</v>
      </c>
      <c r="FF19" s="105">
        <f t="shared" si="20"/>
        <v>0</v>
      </c>
      <c r="FG19" s="105">
        <f t="shared" si="20"/>
        <v>1988</v>
      </c>
      <c r="FH19" s="105">
        <f t="shared" si="20"/>
        <v>2000</v>
      </c>
      <c r="FI19" s="105">
        <f t="shared" si="20"/>
        <v>639</v>
      </c>
      <c r="FJ19" s="105">
        <f t="shared" si="20"/>
        <v>771</v>
      </c>
      <c r="FK19" s="105">
        <f t="shared" si="20"/>
        <v>0</v>
      </c>
      <c r="FL19" s="105">
        <f t="shared" si="20"/>
        <v>699</v>
      </c>
      <c r="FM19" s="105">
        <f t="shared" si="20"/>
        <v>0</v>
      </c>
      <c r="FN19" s="124">
        <f>IF(FO19="",0,(FO19-FO18))</f>
        <v>449</v>
      </c>
      <c r="FO19" s="77">
        <f>FO18+449</f>
        <v>71662</v>
      </c>
      <c r="FP19" s="158">
        <v>991712</v>
      </c>
      <c r="FY19" s="119">
        <v>14</v>
      </c>
      <c r="FZ19" s="107"/>
      <c r="GA19" s="107"/>
      <c r="GB19" s="107"/>
      <c r="GC19" s="109"/>
      <c r="GD19" s="110"/>
      <c r="GE19" s="110"/>
      <c r="GF19" s="111"/>
      <c r="GG19" s="111"/>
      <c r="GH19" s="111"/>
      <c r="GI19" s="112"/>
      <c r="GJ19" s="111" t="e">
        <f t="shared" si="65"/>
        <v>#DIV/0!</v>
      </c>
      <c r="GK19" s="113"/>
    </row>
    <row r="20" spans="1:193" s="119" customFormat="1" ht="15" customHeight="1">
      <c r="B20" s="573">
        <v>42840</v>
      </c>
      <c r="D20" s="323"/>
      <c r="E20" s="128"/>
      <c r="F20" s="86">
        <v>3214.08</v>
      </c>
      <c r="G20" s="308"/>
      <c r="H20" s="308">
        <v>4706.482</v>
      </c>
      <c r="I20" s="308">
        <v>1330.0820000000001</v>
      </c>
      <c r="J20" s="308">
        <v>5028.3600000000006</v>
      </c>
      <c r="K20" s="308"/>
      <c r="L20" s="321"/>
      <c r="M20" s="115">
        <f t="shared" si="21"/>
        <v>6358.4420000000009</v>
      </c>
      <c r="N20" s="88">
        <f t="shared" si="0"/>
        <v>7920.5619999999999</v>
      </c>
      <c r="O20" s="88">
        <f t="shared" si="22"/>
        <v>11099.782999999999</v>
      </c>
      <c r="P20" s="89">
        <f t="shared" si="23"/>
        <v>233489.973</v>
      </c>
      <c r="R20" s="90">
        <f t="shared" si="24"/>
        <v>45</v>
      </c>
      <c r="S20" s="90">
        <f t="shared" si="25"/>
        <v>116.4</v>
      </c>
      <c r="T20" s="90">
        <f t="shared" si="1"/>
        <v>486.8</v>
      </c>
      <c r="U20" s="90">
        <f t="shared" si="75"/>
        <v>1.2</v>
      </c>
      <c r="V20" s="90">
        <f t="shared" si="26"/>
        <v>1223</v>
      </c>
      <c r="W20" s="91">
        <f t="shared" si="2"/>
        <v>182.4</v>
      </c>
      <c r="X20" s="90">
        <f t="shared" si="27"/>
        <v>1223</v>
      </c>
      <c r="Y20" s="90">
        <f t="shared" si="28"/>
        <v>16.3</v>
      </c>
      <c r="Z20" s="90">
        <f t="shared" si="3"/>
        <v>139.69999999999999</v>
      </c>
      <c r="AA20" s="90">
        <f t="shared" si="29"/>
        <v>1872.4</v>
      </c>
      <c r="AB20" s="90">
        <f t="shared" si="30"/>
        <v>0</v>
      </c>
      <c r="AC20" s="90">
        <f t="shared" si="30"/>
        <v>0</v>
      </c>
      <c r="AD20" s="90">
        <f t="shared" si="31"/>
        <v>9</v>
      </c>
      <c r="AE20" s="90">
        <f t="shared" si="32"/>
        <v>9</v>
      </c>
      <c r="AF20" s="90">
        <f t="shared" si="33"/>
        <v>0</v>
      </c>
      <c r="AG20" s="90">
        <f t="shared" si="33"/>
        <v>0</v>
      </c>
      <c r="AH20" s="90">
        <f t="shared" si="34"/>
        <v>0</v>
      </c>
      <c r="AI20" s="90">
        <f t="shared" si="35"/>
        <v>0</v>
      </c>
      <c r="AJ20" s="90">
        <f t="shared" si="36"/>
        <v>261</v>
      </c>
      <c r="AK20" s="90">
        <f t="shared" si="36"/>
        <v>27</v>
      </c>
      <c r="AL20" s="90">
        <f t="shared" si="37"/>
        <v>348</v>
      </c>
      <c r="AM20" s="90">
        <f t="shared" si="38"/>
        <v>60</v>
      </c>
      <c r="AN20" s="90">
        <f t="shared" si="39"/>
        <v>0</v>
      </c>
      <c r="AO20" s="90">
        <f t="shared" si="4"/>
        <v>0</v>
      </c>
      <c r="AP20" s="90">
        <f t="shared" si="40"/>
        <v>18</v>
      </c>
      <c r="AQ20" s="90">
        <f t="shared" si="5"/>
        <v>32</v>
      </c>
      <c r="AR20" s="90">
        <f t="shared" si="41"/>
        <v>94.652000000000001</v>
      </c>
      <c r="AS20" s="90">
        <f t="shared" si="42"/>
        <v>109.65200000000004</v>
      </c>
      <c r="AT20" s="90">
        <f t="shared" si="43"/>
        <v>667.65200000000004</v>
      </c>
      <c r="AU20" s="90">
        <f t="shared" si="44"/>
        <v>224</v>
      </c>
      <c r="AV20" s="90">
        <f t="shared" si="66"/>
        <v>44</v>
      </c>
      <c r="AW20" s="90">
        <f t="shared" si="45"/>
        <v>334</v>
      </c>
      <c r="AX20" s="90">
        <f t="shared" si="67"/>
        <v>30</v>
      </c>
      <c r="AY20" s="90" t="str">
        <f t="shared" si="46"/>
        <v/>
      </c>
      <c r="AZ20" s="90">
        <f t="shared" si="47"/>
        <v>298</v>
      </c>
      <c r="BA20" s="90">
        <v>63</v>
      </c>
      <c r="BB20" s="90">
        <f t="shared" si="48"/>
        <v>65</v>
      </c>
      <c r="BC20" s="90">
        <f t="shared" si="48"/>
        <v>0</v>
      </c>
      <c r="BD20" s="91">
        <f t="shared" si="49"/>
        <v>239</v>
      </c>
      <c r="BE20" s="90"/>
      <c r="BF20" s="90"/>
      <c r="BG20" s="90">
        <f t="shared" si="6"/>
        <v>363</v>
      </c>
      <c r="BH20" s="90">
        <f t="shared" si="50"/>
        <v>526</v>
      </c>
      <c r="BI20" s="90">
        <f t="shared" si="51"/>
        <v>2451.9479999999999</v>
      </c>
      <c r="BJ20" s="90">
        <f t="shared" si="7"/>
        <v>2808.0520000000001</v>
      </c>
      <c r="BK20" s="92"/>
      <c r="BL20" s="93">
        <f t="shared" si="52"/>
        <v>5786</v>
      </c>
      <c r="BM20" s="93">
        <f t="shared" si="53"/>
        <v>90435.900000000023</v>
      </c>
      <c r="BN20" s="92"/>
      <c r="BO20" s="94">
        <f t="shared" si="54"/>
        <v>5.68141503090311E-2</v>
      </c>
      <c r="BP20" s="94">
        <f t="shared" si="54"/>
        <v>0.14695926879936044</v>
      </c>
      <c r="BQ20" s="94">
        <f t="shared" si="55"/>
        <v>0.61460285267636316</v>
      </c>
      <c r="BR20" s="94">
        <f t="shared" si="68"/>
        <v>1.5440823517321121</v>
      </c>
      <c r="BS20" s="94">
        <f t="shared" si="8"/>
        <v>2.0579347778604602E-2</v>
      </c>
      <c r="BT20" s="94">
        <f t="shared" si="8"/>
        <v>0.1763763732927032</v>
      </c>
      <c r="BU20" s="95">
        <f t="shared" si="8"/>
        <v>2.3639736675251073</v>
      </c>
      <c r="BV20" s="94">
        <f t="shared" si="9"/>
        <v>4.0541333105340888E-2</v>
      </c>
      <c r="BW20" s="94">
        <f t="shared" si="9"/>
        <v>0.10486691496581511</v>
      </c>
      <c r="BX20" s="94">
        <f t="shared" si="9"/>
        <v>0.43856713234844324</v>
      </c>
      <c r="BY20" s="94">
        <f t="shared" si="56"/>
        <v>1.1018233419518202</v>
      </c>
      <c r="BZ20" s="95">
        <f t="shared" si="10"/>
        <v>1.6868798245875618</v>
      </c>
      <c r="CA20" s="96" t="e">
        <f>#REF!</f>
        <v>#REF!</v>
      </c>
      <c r="CB20" s="94">
        <f t="shared" si="11"/>
        <v>8.5273739135260582E-2</v>
      </c>
      <c r="CC20" s="95">
        <f t="shared" si="11"/>
        <v>9.8787516837040915E-2</v>
      </c>
      <c r="CD20" s="97">
        <f t="shared" si="12"/>
        <v>0.14886036547946807</v>
      </c>
      <c r="CE20" s="98">
        <f t="shared" si="12"/>
        <v>0.17245105011573594</v>
      </c>
      <c r="CF20" s="94" t="str">
        <f t="shared" si="57"/>
        <v>0,00</v>
      </c>
      <c r="CG20" s="94" t="str">
        <f t="shared" si="57"/>
        <v>0,00</v>
      </c>
      <c r="CH20" s="95" t="str">
        <f t="shared" si="58"/>
        <v xml:space="preserve">0,00 </v>
      </c>
      <c r="CI20" s="96" t="e">
        <f>#REF!</f>
        <v>#REF!</v>
      </c>
      <c r="CJ20" s="94" t="str">
        <f t="shared" si="59"/>
        <v>0,00</v>
      </c>
      <c r="CK20" s="94" t="str">
        <f t="shared" si="59"/>
        <v>0,00</v>
      </c>
      <c r="CL20" s="95" t="str">
        <f t="shared" si="69"/>
        <v xml:space="preserve">0,00 </v>
      </c>
      <c r="CM20" s="95" t="e">
        <f>#REF!</f>
        <v>#REF!</v>
      </c>
      <c r="CN20" s="94">
        <f t="shared" si="60"/>
        <v>0.81205197132616491</v>
      </c>
      <c r="CO20" s="94">
        <f t="shared" si="60"/>
        <v>8.4005376344086016E-2</v>
      </c>
      <c r="CP20" s="95">
        <f t="shared" si="61"/>
        <v>1.08273596176822</v>
      </c>
      <c r="CQ20" s="95" t="e">
        <f>#REF!</f>
        <v>#REF!</v>
      </c>
      <c r="CR20" s="97" t="str">
        <f t="shared" si="70"/>
        <v xml:space="preserve">0,00 </v>
      </c>
      <c r="CS20" s="95" t="str">
        <f t="shared" si="70"/>
        <v xml:space="preserve">0,00 </v>
      </c>
      <c r="CT20" s="96" t="e">
        <f>#REF!</f>
        <v>#REF!</v>
      </c>
      <c r="CU20" s="97">
        <f t="shared" si="71"/>
        <v>3.8245126614741116E-2</v>
      </c>
      <c r="CV20" s="95">
        <f t="shared" si="62"/>
        <v>6.7991336203984204E-2</v>
      </c>
      <c r="CW20" s="96" t="e">
        <f>#REF!</f>
        <v>#REF!</v>
      </c>
      <c r="CX20" s="99">
        <f t="shared" si="63"/>
        <v>0.20180574701325243</v>
      </c>
      <c r="CY20" s="95">
        <f t="shared" si="63"/>
        <v>3.964041459188887E-2</v>
      </c>
      <c r="CZ20" s="99">
        <f t="shared" si="63"/>
        <v>0.30090678349297462</v>
      </c>
      <c r="DA20" s="95">
        <f t="shared" si="63"/>
        <v>2.7027555403560593E-2</v>
      </c>
      <c r="DB20" s="94">
        <f t="shared" si="13"/>
        <v>0.26847371700870193</v>
      </c>
      <c r="DC20" s="94">
        <f t="shared" si="14"/>
        <v>5.8559703374381288E-2</v>
      </c>
      <c r="DD20" s="94">
        <f t="shared" si="14"/>
        <v>0</v>
      </c>
      <c r="DE20" s="94">
        <f t="shared" si="14"/>
        <v>0.21531952471503274</v>
      </c>
      <c r="DF20" s="94">
        <f t="shared" si="14"/>
        <v>0</v>
      </c>
      <c r="DG20" s="94">
        <f t="shared" si="14"/>
        <v>0</v>
      </c>
      <c r="DH20" s="95">
        <f t="shared" si="14"/>
        <v>0.3270334203830832</v>
      </c>
      <c r="DI20" s="96" t="e">
        <f>#REF!</f>
        <v>#REF!</v>
      </c>
      <c r="DJ20" s="95">
        <f t="shared" si="64"/>
        <v>0.47388313807576243</v>
      </c>
      <c r="DK20" s="96" t="e">
        <f>#REF!</f>
        <v>#REF!</v>
      </c>
      <c r="DL20" s="95">
        <f t="shared" si="15"/>
        <v>2.2090053472216526</v>
      </c>
      <c r="DM20" s="96">
        <f t="shared" si="16"/>
        <v>0</v>
      </c>
      <c r="DN20" s="94">
        <f t="shared" si="17"/>
        <v>2.5298260335359712</v>
      </c>
      <c r="DO20" s="100">
        <v>3.4</v>
      </c>
      <c r="DP20" s="94">
        <f>IF($O20&lt;&gt;0,IF($O20&lt;&gt;0,BL20/$O20*10,0)," ")</f>
        <v>5.212714518833387</v>
      </c>
      <c r="DQ20" s="94">
        <f>IF($P20&lt;&gt;0,IF($P20&lt;&gt;0,BM20/$P20*10,0)," ")</f>
        <v>3.8732241405501395</v>
      </c>
      <c r="DR20" s="101" t="str">
        <f t="shared" si="18"/>
        <v>3,45 hL/NhL</v>
      </c>
      <c r="DS20" s="147"/>
      <c r="DT20" s="103">
        <v>15</v>
      </c>
      <c r="DU20" s="120">
        <v>614828</v>
      </c>
      <c r="DV20" s="120">
        <v>24157</v>
      </c>
      <c r="DW20" s="120">
        <v>5107900</v>
      </c>
      <c r="DX20" s="120">
        <v>107039</v>
      </c>
      <c r="DY20" s="120">
        <v>82109</v>
      </c>
      <c r="DZ20" s="120">
        <v>374173</v>
      </c>
      <c r="EA20" s="120">
        <v>218054</v>
      </c>
      <c r="EB20" s="120">
        <v>50767</v>
      </c>
      <c r="EC20" s="120">
        <v>382838</v>
      </c>
      <c r="ED20" s="120">
        <v>45475</v>
      </c>
      <c r="EE20" s="120">
        <v>37208</v>
      </c>
      <c r="EF20" s="120">
        <v>39405</v>
      </c>
      <c r="EG20" s="120">
        <v>89836</v>
      </c>
      <c r="EH20" s="120">
        <v>177150</v>
      </c>
      <c r="EI20" s="120">
        <v>30142</v>
      </c>
      <c r="EJ20" s="120">
        <v>38495</v>
      </c>
      <c r="EK20" s="120"/>
      <c r="EL20" s="120">
        <v>684581</v>
      </c>
      <c r="EM20" s="120">
        <v>4868</v>
      </c>
      <c r="EN20" s="120">
        <v>41130</v>
      </c>
      <c r="EO20" s="120">
        <v>2905954</v>
      </c>
      <c r="EP20" s="120">
        <v>2870147</v>
      </c>
      <c r="EQ20" s="120">
        <v>163</v>
      </c>
      <c r="ER20" s="120">
        <v>1397</v>
      </c>
      <c r="ES20" s="120">
        <v>304948</v>
      </c>
      <c r="ET20" s="120">
        <v>4247152</v>
      </c>
      <c r="EU20" s="120">
        <v>390901</v>
      </c>
      <c r="EV20" s="120">
        <v>119522</v>
      </c>
      <c r="EW20" s="120">
        <v>83952</v>
      </c>
      <c r="EX20" s="120">
        <v>200518</v>
      </c>
      <c r="EY20" s="120">
        <v>1589648</v>
      </c>
      <c r="EZ20" s="120">
        <v>724904</v>
      </c>
      <c r="FA20" s="151">
        <v>730126</v>
      </c>
      <c r="FB20" s="77">
        <v>30128</v>
      </c>
      <c r="FC20" s="77">
        <v>5260</v>
      </c>
      <c r="FD20" s="104">
        <f t="shared" si="76"/>
        <v>5786</v>
      </c>
      <c r="FE20" s="105">
        <f t="shared" si="20"/>
        <v>0</v>
      </c>
      <c r="FF20" s="105">
        <f t="shared" si="20"/>
        <v>0</v>
      </c>
      <c r="FG20" s="105">
        <f t="shared" si="20"/>
        <v>1341</v>
      </c>
      <c r="FH20" s="105">
        <f t="shared" si="20"/>
        <v>1460</v>
      </c>
      <c r="FI20" s="105">
        <f t="shared" si="20"/>
        <v>420</v>
      </c>
      <c r="FJ20" s="105">
        <f t="shared" si="20"/>
        <v>582</v>
      </c>
      <c r="FK20" s="105">
        <f t="shared" si="20"/>
        <v>0</v>
      </c>
      <c r="FL20" s="105">
        <f t="shared" si="20"/>
        <v>1983</v>
      </c>
      <c r="FM20" s="105">
        <f t="shared" si="20"/>
        <v>0</v>
      </c>
      <c r="FN20" s="124">
        <f>IF(FO20="",0,(FO20-FO19))</f>
        <v>0</v>
      </c>
      <c r="FO20" s="77">
        <v>71662</v>
      </c>
      <c r="FP20" s="158">
        <v>992693</v>
      </c>
      <c r="FY20" s="119">
        <v>15</v>
      </c>
      <c r="FZ20" s="107"/>
      <c r="GA20" s="107"/>
      <c r="GB20" s="107"/>
      <c r="GC20" s="109"/>
      <c r="GD20" s="110"/>
      <c r="GE20" s="110"/>
      <c r="GF20" s="111"/>
      <c r="GG20" s="111"/>
      <c r="GH20" s="111"/>
      <c r="GI20" s="112"/>
      <c r="GJ20" s="111" t="e">
        <f t="shared" si="65"/>
        <v>#DIV/0!</v>
      </c>
      <c r="GK20" s="113"/>
    </row>
    <row r="21" spans="1:193" s="119" customFormat="1" ht="15" customHeight="1">
      <c r="B21" s="573">
        <v>42841</v>
      </c>
      <c r="D21" s="323"/>
      <c r="E21" s="128"/>
      <c r="F21" s="86">
        <v>3120.768</v>
      </c>
      <c r="G21" s="308"/>
      <c r="H21" s="308">
        <v>5448.393</v>
      </c>
      <c r="I21" s="308">
        <v>322.709</v>
      </c>
      <c r="J21" s="308">
        <v>5202.96</v>
      </c>
      <c r="K21" s="308"/>
      <c r="L21" s="321"/>
      <c r="M21" s="115">
        <f t="shared" si="21"/>
        <v>5525.6689999999999</v>
      </c>
      <c r="N21" s="88">
        <f t="shared" si="0"/>
        <v>8569.1610000000001</v>
      </c>
      <c r="O21" s="88">
        <f t="shared" si="22"/>
        <v>11331.995500000001</v>
      </c>
      <c r="P21" s="89">
        <f t="shared" si="23"/>
        <v>244821.96849999999</v>
      </c>
      <c r="R21" s="90">
        <f t="shared" si="24"/>
        <v>255</v>
      </c>
      <c r="S21" s="90">
        <f t="shared" si="25"/>
        <v>36.299999999999997</v>
      </c>
      <c r="T21" s="90">
        <f t="shared" si="1"/>
        <v>481.4</v>
      </c>
      <c r="U21" s="90">
        <f t="shared" si="75"/>
        <v>5.7</v>
      </c>
      <c r="V21" s="90">
        <f t="shared" si="26"/>
        <v>1131</v>
      </c>
      <c r="W21" s="91">
        <f t="shared" si="2"/>
        <v>319.39999999999998</v>
      </c>
      <c r="X21" s="90">
        <f t="shared" si="27"/>
        <v>1131</v>
      </c>
      <c r="Y21" s="90" t="str">
        <f t="shared" si="28"/>
        <v>0</v>
      </c>
      <c r="Z21" s="90">
        <f t="shared" si="3"/>
        <v>112.4</v>
      </c>
      <c r="AA21" s="90">
        <f t="shared" si="29"/>
        <v>1909.4</v>
      </c>
      <c r="AB21" s="90">
        <f t="shared" si="30"/>
        <v>50</v>
      </c>
      <c r="AC21" s="90">
        <f t="shared" si="30"/>
        <v>6</v>
      </c>
      <c r="AD21" s="90">
        <f t="shared" si="31"/>
        <v>65</v>
      </c>
      <c r="AE21" s="90">
        <f t="shared" si="32"/>
        <v>9</v>
      </c>
      <c r="AF21" s="90">
        <f t="shared" si="33"/>
        <v>66</v>
      </c>
      <c r="AG21" s="90">
        <f t="shared" si="33"/>
        <v>21</v>
      </c>
      <c r="AH21" s="90">
        <f t="shared" si="34"/>
        <v>87</v>
      </c>
      <c r="AI21" s="90">
        <f t="shared" si="35"/>
        <v>0</v>
      </c>
      <c r="AJ21" s="90">
        <f t="shared" si="36"/>
        <v>233</v>
      </c>
      <c r="AK21" s="90">
        <f>IF(EB21=0,"",(EB21-EB20))</f>
        <v>98</v>
      </c>
      <c r="AL21" s="90">
        <f t="shared" si="37"/>
        <v>420</v>
      </c>
      <c r="AM21" s="90">
        <f t="shared" si="38"/>
        <v>89</v>
      </c>
      <c r="AN21" s="90">
        <f t="shared" si="39"/>
        <v>0</v>
      </c>
      <c r="AO21" s="90">
        <f t="shared" si="4"/>
        <v>0</v>
      </c>
      <c r="AP21" s="90">
        <f t="shared" si="40"/>
        <v>23</v>
      </c>
      <c r="AQ21" s="90">
        <f t="shared" si="5"/>
        <v>35</v>
      </c>
      <c r="AR21" s="90">
        <f t="shared" si="41"/>
        <v>83.114000000000004</v>
      </c>
      <c r="AS21" s="90">
        <f t="shared" si="42"/>
        <v>211.11400000000003</v>
      </c>
      <c r="AT21" s="90">
        <f t="shared" si="43"/>
        <v>825.11400000000003</v>
      </c>
      <c r="AU21" s="90">
        <f t="shared" si="44"/>
        <v>26</v>
      </c>
      <c r="AV21" s="90">
        <f t="shared" si="66"/>
        <v>47</v>
      </c>
      <c r="AW21" s="90">
        <f t="shared" si="45"/>
        <v>588</v>
      </c>
      <c r="AX21" s="90">
        <f t="shared" si="67"/>
        <v>4</v>
      </c>
      <c r="AY21" s="90" t="str">
        <f t="shared" si="46"/>
        <v/>
      </c>
      <c r="AZ21" s="90">
        <f t="shared" si="47"/>
        <v>405</v>
      </c>
      <c r="BA21" s="90">
        <v>0</v>
      </c>
      <c r="BB21" s="90">
        <f t="shared" si="48"/>
        <v>70</v>
      </c>
      <c r="BC21" s="90">
        <f t="shared" si="48"/>
        <v>1053</v>
      </c>
      <c r="BD21" s="91">
        <f t="shared" si="49"/>
        <v>116</v>
      </c>
      <c r="BE21" s="90"/>
      <c r="BF21" s="90"/>
      <c r="BG21" s="90">
        <f t="shared" si="6"/>
        <v>1528</v>
      </c>
      <c r="BH21" s="90">
        <f t="shared" si="50"/>
        <v>145</v>
      </c>
      <c r="BI21" s="90">
        <f t="shared" si="51"/>
        <v>1639.4859999999999</v>
      </c>
      <c r="BJ21" s="90">
        <f t="shared" si="7"/>
        <v>4306.5140000000001</v>
      </c>
      <c r="BK21" s="92"/>
      <c r="BL21" s="93">
        <f t="shared" si="52"/>
        <v>6091</v>
      </c>
      <c r="BM21" s="93">
        <f t="shared" si="53"/>
        <v>96526.900000000023</v>
      </c>
      <c r="BN21" s="92"/>
      <c r="BO21" s="94">
        <f t="shared" si="54"/>
        <v>0.29757872445155364</v>
      </c>
      <c r="BP21" s="94">
        <f t="shared" si="54"/>
        <v>4.2361206657221165E-2</v>
      </c>
      <c r="BQ21" s="94">
        <f t="shared" si="55"/>
        <v>0.56178195274893306</v>
      </c>
      <c r="BR21" s="94">
        <f t="shared" si="68"/>
        <v>1.319849166096891</v>
      </c>
      <c r="BS21" s="94">
        <f t="shared" si="8"/>
        <v>0</v>
      </c>
      <c r="BT21" s="94">
        <f t="shared" si="8"/>
        <v>0.13116803383668485</v>
      </c>
      <c r="BU21" s="95">
        <f t="shared" si="8"/>
        <v>2.2282228096776335</v>
      </c>
      <c r="BV21" s="94">
        <f t="shared" si="9"/>
        <v>0.2250265630620838</v>
      </c>
      <c r="BW21" s="94">
        <f t="shared" si="9"/>
        <v>3.2033193094720164E-2</v>
      </c>
      <c r="BX21" s="94">
        <f t="shared" si="9"/>
        <v>0.4248148527768123</v>
      </c>
      <c r="BY21" s="94">
        <f t="shared" si="56"/>
        <v>0.99805899146359522</v>
      </c>
      <c r="BZ21" s="95">
        <f t="shared" si="10"/>
        <v>1.6849636059244815</v>
      </c>
      <c r="CA21" s="96" t="e">
        <f>#REF!</f>
        <v>#REF!</v>
      </c>
      <c r="CB21" s="94">
        <f t="shared" si="11"/>
        <v>7.3344540244478562E-2</v>
      </c>
      <c r="CC21" s="95">
        <f t="shared" si="11"/>
        <v>0.1862990503305442</v>
      </c>
      <c r="CD21" s="97">
        <f t="shared" si="12"/>
        <v>0.15041436611566855</v>
      </c>
      <c r="CE21" s="98">
        <f t="shared" si="12"/>
        <v>0.38206052515993999</v>
      </c>
      <c r="CF21" s="94" t="str">
        <f t="shared" si="57"/>
        <v>0,00</v>
      </c>
      <c r="CG21" s="94" t="str">
        <f t="shared" si="57"/>
        <v>0,00</v>
      </c>
      <c r="CH21" s="95" t="str">
        <f t="shared" si="58"/>
        <v xml:space="preserve">0,00 </v>
      </c>
      <c r="CI21" s="96" t="e">
        <f>#REF!</f>
        <v>#REF!</v>
      </c>
      <c r="CJ21" s="94" t="str">
        <f t="shared" si="59"/>
        <v>0,00</v>
      </c>
      <c r="CK21" s="94" t="str">
        <f t="shared" si="59"/>
        <v>0,00</v>
      </c>
      <c r="CL21" s="95" t="str">
        <f t="shared" si="69"/>
        <v xml:space="preserve">0,00 </v>
      </c>
      <c r="CM21" s="95" t="e">
        <f>#REF!</f>
        <v>#REF!</v>
      </c>
      <c r="CN21" s="94">
        <f t="shared" si="60"/>
        <v>0.74661109060333863</v>
      </c>
      <c r="CO21" s="94">
        <f t="shared" si="60"/>
        <v>0.31402526557565319</v>
      </c>
      <c r="CP21" s="95">
        <f t="shared" si="61"/>
        <v>1.3458225667527992</v>
      </c>
      <c r="CQ21" s="95" t="e">
        <f>#REF!</f>
        <v>#REF!</v>
      </c>
      <c r="CR21" s="97" t="str">
        <f t="shared" si="70"/>
        <v xml:space="preserve">0,00 </v>
      </c>
      <c r="CS21" s="95" t="str">
        <f t="shared" si="70"/>
        <v xml:space="preserve">0,00 </v>
      </c>
      <c r="CT21" s="96" t="e">
        <f>#REF!</f>
        <v>#REF!</v>
      </c>
      <c r="CU21" s="97">
        <f t="shared" si="71"/>
        <v>4.221428226634899E-2</v>
      </c>
      <c r="CV21" s="95">
        <f t="shared" si="62"/>
        <v>6.423912518792238E-2</v>
      </c>
      <c r="CW21" s="96" t="e">
        <f>#REF!</f>
        <v>#REF!</v>
      </c>
      <c r="CX21" s="99">
        <f t="shared" si="63"/>
        <v>2.2943884861232073E-2</v>
      </c>
      <c r="CY21" s="95">
        <f t="shared" si="63"/>
        <v>4.1475484172227212E-2</v>
      </c>
      <c r="CZ21" s="99">
        <f t="shared" si="63"/>
        <v>0.51888478070786381</v>
      </c>
      <c r="DA21" s="95">
        <f t="shared" si="63"/>
        <v>3.5298284401895498E-3</v>
      </c>
      <c r="DB21" s="94">
        <f t="shared" si="13"/>
        <v>0.35739512956919189</v>
      </c>
      <c r="DC21" s="94">
        <f t="shared" si="14"/>
        <v>6.1771997703317122E-2</v>
      </c>
      <c r="DD21" s="94">
        <f t="shared" si="14"/>
        <v>0.92922733687989889</v>
      </c>
      <c r="DE21" s="94">
        <f t="shared" si="14"/>
        <v>0.10236502476549694</v>
      </c>
      <c r="DF21" s="94">
        <f t="shared" si="14"/>
        <v>0</v>
      </c>
      <c r="DG21" s="94">
        <f t="shared" si="14"/>
        <v>0</v>
      </c>
      <c r="DH21" s="95">
        <f t="shared" si="14"/>
        <v>1.3483944641524079</v>
      </c>
      <c r="DI21" s="96" t="e">
        <f>#REF!</f>
        <v>#REF!</v>
      </c>
      <c r="DJ21" s="95">
        <f t="shared" si="64"/>
        <v>0.12795628095687117</v>
      </c>
      <c r="DK21" s="96" t="e">
        <f>#REF!</f>
        <v>#REF!</v>
      </c>
      <c r="DL21" s="95">
        <f t="shared" si="15"/>
        <v>1.4467760775231508</v>
      </c>
      <c r="DM21" s="96">
        <f t="shared" si="16"/>
        <v>0</v>
      </c>
      <c r="DN21" s="94">
        <f t="shared" si="17"/>
        <v>3.8003138988186147</v>
      </c>
      <c r="DO21" s="100">
        <v>3.4</v>
      </c>
      <c r="DP21" s="94">
        <f t="shared" si="72"/>
        <v>5.3750462572986368</v>
      </c>
      <c r="DQ21" s="94">
        <f t="shared" si="73"/>
        <v>3.9427384965250791</v>
      </c>
      <c r="DR21" s="101" t="str">
        <f t="shared" si="18"/>
        <v>3,45 hL/NhL</v>
      </c>
      <c r="DS21" s="147"/>
      <c r="DT21" s="103">
        <v>16</v>
      </c>
      <c r="DU21" s="120">
        <v>614878</v>
      </c>
      <c r="DV21" s="120">
        <v>24163</v>
      </c>
      <c r="DW21" s="120">
        <v>5107965</v>
      </c>
      <c r="DX21" s="120">
        <v>107105</v>
      </c>
      <c r="DY21" s="120">
        <v>82130</v>
      </c>
      <c r="DZ21" s="120">
        <v>374247</v>
      </c>
      <c r="EA21" s="120">
        <v>218287</v>
      </c>
      <c r="EB21" s="120">
        <v>50865</v>
      </c>
      <c r="EC21" s="120">
        <v>383258</v>
      </c>
      <c r="ED21" s="120">
        <v>45475</v>
      </c>
      <c r="EE21" s="120">
        <v>37208</v>
      </c>
      <c r="EF21" s="120">
        <v>39405</v>
      </c>
      <c r="EG21" s="120">
        <v>89859</v>
      </c>
      <c r="EH21" s="120">
        <v>177185</v>
      </c>
      <c r="EI21" s="120">
        <v>30189</v>
      </c>
      <c r="EJ21" s="120">
        <v>38499</v>
      </c>
      <c r="EK21" s="120"/>
      <c r="EL21" s="120">
        <v>684836</v>
      </c>
      <c r="EM21" s="120">
        <v>4814</v>
      </c>
      <c r="EN21" s="120">
        <v>41187</v>
      </c>
      <c r="EO21" s="120">
        <v>2907085</v>
      </c>
      <c r="EP21" s="120">
        <v>2873341</v>
      </c>
      <c r="EQ21" s="120">
        <v>0</v>
      </c>
      <c r="ER21" s="120">
        <v>1124</v>
      </c>
      <c r="ES21" s="120">
        <v>305690</v>
      </c>
      <c r="ET21" s="120">
        <v>4330266</v>
      </c>
      <c r="EU21" s="120">
        <v>391489</v>
      </c>
      <c r="EV21" s="120">
        <v>119548</v>
      </c>
      <c r="EW21" s="120">
        <v>84357</v>
      </c>
      <c r="EX21" s="120">
        <v>200588</v>
      </c>
      <c r="EY21" s="120">
        <v>1590701</v>
      </c>
      <c r="EZ21" s="120">
        <v>725267</v>
      </c>
      <c r="FA21" s="151">
        <v>730242</v>
      </c>
      <c r="FB21" s="77">
        <v>30126</v>
      </c>
      <c r="FC21" s="77">
        <v>5946</v>
      </c>
      <c r="FD21" s="104">
        <f t="shared" si="76"/>
        <v>6091</v>
      </c>
      <c r="FE21" s="105">
        <f t="shared" si="20"/>
        <v>0</v>
      </c>
      <c r="FF21" s="105">
        <f t="shared" si="20"/>
        <v>0</v>
      </c>
      <c r="FG21" s="105">
        <f t="shared" si="20"/>
        <v>1808</v>
      </c>
      <c r="FH21" s="105">
        <f t="shared" si="20"/>
        <v>1865</v>
      </c>
      <c r="FI21" s="105">
        <f t="shared" si="20"/>
        <v>560</v>
      </c>
      <c r="FJ21" s="105">
        <f t="shared" si="20"/>
        <v>472</v>
      </c>
      <c r="FK21" s="105">
        <f t="shared" si="20"/>
        <v>0</v>
      </c>
      <c r="FL21" s="105">
        <f t="shared" si="20"/>
        <v>1386</v>
      </c>
      <c r="FM21" s="105">
        <f t="shared" si="20"/>
        <v>0</v>
      </c>
      <c r="FN21" s="80">
        <f t="shared" si="74"/>
        <v>0</v>
      </c>
      <c r="FO21" s="77">
        <v>71662</v>
      </c>
      <c r="FP21" s="162">
        <f>FP19-FP18</f>
        <v>194</v>
      </c>
      <c r="FY21" s="119">
        <v>16</v>
      </c>
      <c r="FZ21" s="107"/>
      <c r="GA21" s="163"/>
      <c r="GB21" s="107"/>
      <c r="GC21" s="109"/>
      <c r="GD21" s="110"/>
      <c r="GE21" s="110"/>
      <c r="GF21" s="111"/>
      <c r="GG21" s="111"/>
      <c r="GH21" s="111"/>
      <c r="GI21" s="164"/>
      <c r="GJ21" s="111" t="e">
        <f t="shared" si="65"/>
        <v>#DIV/0!</v>
      </c>
      <c r="GK21" s="113"/>
    </row>
    <row r="22" spans="1:193" ht="15" customHeight="1">
      <c r="B22" s="573">
        <v>42842</v>
      </c>
      <c r="D22" s="323">
        <v>3420</v>
      </c>
      <c r="E22" s="128">
        <v>3422.28</v>
      </c>
      <c r="F22" s="86">
        <v>2097.864</v>
      </c>
      <c r="G22" s="86"/>
      <c r="H22" s="86">
        <v>7594.5439999999999</v>
      </c>
      <c r="I22" s="86">
        <v>1689.7630000000001</v>
      </c>
      <c r="J22" s="86">
        <v>7649.52</v>
      </c>
      <c r="K22" s="284"/>
      <c r="L22" s="327">
        <v>80</v>
      </c>
      <c r="M22" s="115">
        <f t="shared" si="21"/>
        <v>9339.2830000000013</v>
      </c>
      <c r="N22" s="88">
        <f t="shared" si="0"/>
        <v>16534.688000000002</v>
      </c>
      <c r="O22" s="88">
        <f t="shared" si="22"/>
        <v>21284.329500000003</v>
      </c>
      <c r="P22" s="89">
        <f t="shared" si="23"/>
        <v>266106.29800000001</v>
      </c>
      <c r="Q22" s="168"/>
      <c r="R22" s="90">
        <f t="shared" si="24"/>
        <v>80</v>
      </c>
      <c r="S22" s="90">
        <f t="shared" si="25"/>
        <v>41.5</v>
      </c>
      <c r="T22" s="90">
        <f t="shared" si="1"/>
        <v>665.7</v>
      </c>
      <c r="U22" s="90">
        <f t="shared" si="75"/>
        <v>0.7</v>
      </c>
      <c r="V22" s="90">
        <f t="shared" si="26"/>
        <v>983</v>
      </c>
      <c r="W22" s="91">
        <f t="shared" si="2"/>
        <v>817.2</v>
      </c>
      <c r="X22" s="90">
        <f t="shared" si="27"/>
        <v>983</v>
      </c>
      <c r="Y22" s="90" t="str">
        <f t="shared" si="28"/>
        <v>0</v>
      </c>
      <c r="Z22" s="90">
        <f t="shared" si="3"/>
        <v>88</v>
      </c>
      <c r="AA22" s="90">
        <f t="shared" si="29"/>
        <v>1770.9</v>
      </c>
      <c r="AB22" s="90">
        <f t="shared" si="30"/>
        <v>255</v>
      </c>
      <c r="AC22" s="90">
        <f t="shared" si="30"/>
        <v>22</v>
      </c>
      <c r="AD22" s="90">
        <f t="shared" si="31"/>
        <v>418</v>
      </c>
      <c r="AE22" s="90">
        <f t="shared" si="32"/>
        <v>141</v>
      </c>
      <c r="AF22" s="90">
        <f t="shared" si="33"/>
        <v>234</v>
      </c>
      <c r="AG22" s="90">
        <f t="shared" si="33"/>
        <v>39</v>
      </c>
      <c r="AH22" s="90">
        <f t="shared" si="34"/>
        <v>363</v>
      </c>
      <c r="AI22" s="90">
        <f t="shared" si="35"/>
        <v>90</v>
      </c>
      <c r="AJ22" s="90">
        <f t="shared" si="36"/>
        <v>192</v>
      </c>
      <c r="AK22" s="169">
        <f t="shared" si="36"/>
        <v>239</v>
      </c>
      <c r="AL22" s="90">
        <f t="shared" si="37"/>
        <v>514</v>
      </c>
      <c r="AM22" s="90">
        <f t="shared" si="38"/>
        <v>83</v>
      </c>
      <c r="AN22" s="90">
        <f t="shared" si="39"/>
        <v>0</v>
      </c>
      <c r="AO22" s="90">
        <f t="shared" si="4"/>
        <v>0</v>
      </c>
      <c r="AP22" s="90">
        <f t="shared" si="40"/>
        <v>22</v>
      </c>
      <c r="AQ22" s="90">
        <f t="shared" si="5"/>
        <v>63</v>
      </c>
      <c r="AR22" s="90">
        <f t="shared" si="41"/>
        <v>105.631</v>
      </c>
      <c r="AS22" s="90">
        <f t="shared" si="42"/>
        <v>58.630999999999972</v>
      </c>
      <c r="AT22" s="90">
        <f t="shared" si="43"/>
        <v>873.63099999999997</v>
      </c>
      <c r="AU22" s="90">
        <f t="shared" si="44"/>
        <v>266</v>
      </c>
      <c r="AV22" s="90">
        <f t="shared" si="66"/>
        <v>24</v>
      </c>
      <c r="AW22" s="90">
        <f t="shared" si="45"/>
        <v>549</v>
      </c>
      <c r="AX22" s="90">
        <f t="shared" si="67"/>
        <v>20</v>
      </c>
      <c r="AY22" s="90" t="str">
        <f t="shared" si="46"/>
        <v/>
      </c>
      <c r="AZ22" s="90">
        <f t="shared" si="47"/>
        <v>434</v>
      </c>
      <c r="BA22" s="90">
        <v>0</v>
      </c>
      <c r="BB22" s="90">
        <f t="shared" si="48"/>
        <v>125</v>
      </c>
      <c r="BC22" s="90">
        <f t="shared" si="48"/>
        <v>317</v>
      </c>
      <c r="BD22" s="91">
        <f t="shared" si="49"/>
        <v>279</v>
      </c>
      <c r="BE22" s="90"/>
      <c r="BF22" s="90"/>
      <c r="BG22" s="90">
        <f t="shared" si="6"/>
        <v>876</v>
      </c>
      <c r="BH22" s="90">
        <f t="shared" si="50"/>
        <v>-741</v>
      </c>
      <c r="BI22" s="90">
        <f t="shared" si="51"/>
        <v>2688.4690000000001</v>
      </c>
      <c r="BJ22" s="90">
        <f t="shared" si="7"/>
        <v>4107.5309999999999</v>
      </c>
      <c r="BK22" s="92"/>
      <c r="BL22" s="93">
        <f t="shared" si="52"/>
        <v>6055</v>
      </c>
      <c r="BM22" s="93">
        <f t="shared" si="53"/>
        <v>102581.90000000002</v>
      </c>
      <c r="BN22" s="92"/>
      <c r="BO22" s="94">
        <f t="shared" si="54"/>
        <v>4.8383132478822699E-2</v>
      </c>
      <c r="BP22" s="94">
        <f t="shared" si="54"/>
        <v>2.5098749973389275E-2</v>
      </c>
      <c r="BQ22" s="94">
        <f t="shared" si="55"/>
        <v>0.40260814113940341</v>
      </c>
      <c r="BR22" s="94">
        <f t="shared" si="68"/>
        <v>0.59450774033353393</v>
      </c>
      <c r="BS22" s="94">
        <f t="shared" ref="BS22:BU36" si="77">IF($N22&lt;&gt;0,IF($N22&lt;&gt;0,Y22/$N22*10,0)," ")</f>
        <v>0</v>
      </c>
      <c r="BT22" s="94">
        <f t="shared" si="77"/>
        <v>5.3221445726704966E-2</v>
      </c>
      <c r="BU22" s="95">
        <f t="shared" si="77"/>
        <v>1.0710211163343391</v>
      </c>
      <c r="BV22" s="94">
        <f t="shared" si="9"/>
        <v>3.7586337873598497E-2</v>
      </c>
      <c r="BW22" s="94">
        <f t="shared" si="9"/>
        <v>1.9497912771929221E-2</v>
      </c>
      <c r="BX22" s="94">
        <f t="shared" si="9"/>
        <v>0.31276531403068158</v>
      </c>
      <c r="BY22" s="94">
        <f t="shared" si="56"/>
        <v>0.46184212662184154</v>
      </c>
      <c r="BZ22" s="95">
        <f t="shared" si="10"/>
        <v>0.83202057175444488</v>
      </c>
      <c r="CA22" s="96" t="e">
        <f>#REF!</f>
        <v>#REF!</v>
      </c>
      <c r="CB22" s="94">
        <f t="shared" si="11"/>
        <v>4.9628530699076044E-2</v>
      </c>
      <c r="CC22" s="95">
        <f t="shared" si="11"/>
        <v>2.7546557198336909E-2</v>
      </c>
      <c r="CD22" s="97">
        <f t="shared" si="12"/>
        <v>0.11310397168604912</v>
      </c>
      <c r="CE22" s="98">
        <f t="shared" si="12"/>
        <v>6.2778909258879897E-2</v>
      </c>
      <c r="CF22" s="94">
        <f t="shared" si="57"/>
        <v>0.74561403508771928</v>
      </c>
      <c r="CG22" s="94">
        <f t="shared" si="57"/>
        <v>6.4327485380116955E-2</v>
      </c>
      <c r="CH22" s="95">
        <f t="shared" si="58"/>
        <v>1.2222222222222221</v>
      </c>
      <c r="CI22" s="96" t="e">
        <f>#REF!</f>
        <v>#REF!</v>
      </c>
      <c r="CJ22" s="94">
        <f t="shared" si="59"/>
        <v>0.6837546898558855</v>
      </c>
      <c r="CK22" s="94">
        <f t="shared" si="59"/>
        <v>0.11395911497598091</v>
      </c>
      <c r="CL22" s="95">
        <f t="shared" si="69"/>
        <v>1.0606963778533609</v>
      </c>
      <c r="CM22" s="95" t="e">
        <f>#REF!</f>
        <v>#REF!</v>
      </c>
      <c r="CN22" s="94">
        <f t="shared" si="60"/>
        <v>0.91521662033382523</v>
      </c>
      <c r="CO22" s="94">
        <f t="shared" si="60"/>
        <v>1.1392540221863761</v>
      </c>
      <c r="CP22" s="95">
        <f t="shared" si="61"/>
        <v>2.4501111606853447</v>
      </c>
      <c r="CQ22" s="95" t="e">
        <f>#REF!</f>
        <v>#REF!</v>
      </c>
      <c r="CR22" s="97" t="str">
        <f t="shared" si="70"/>
        <v xml:space="preserve">0,00 </v>
      </c>
      <c r="CS22" s="95" t="str">
        <f t="shared" si="70"/>
        <v xml:space="preserve">0,00 </v>
      </c>
      <c r="CT22" s="96" t="e">
        <f>#REF!</f>
        <v>#REF!</v>
      </c>
      <c r="CU22" s="97">
        <f t="shared" si="71"/>
        <v>2.8968164513893131E-2</v>
      </c>
      <c r="CV22" s="95">
        <f t="shared" si="62"/>
        <v>8.2954289289784877E-2</v>
      </c>
      <c r="CW22" s="96" t="e">
        <f>#REF!</f>
        <v>#REF!</v>
      </c>
      <c r="CX22" s="99">
        <f t="shared" si="63"/>
        <v>0.12497457342971502</v>
      </c>
      <c r="CY22" s="95">
        <f t="shared" si="63"/>
        <v>1.127590136207955E-2</v>
      </c>
      <c r="CZ22" s="99">
        <f t="shared" si="63"/>
        <v>0.25793624365756973</v>
      </c>
      <c r="DA22" s="95">
        <f t="shared" si="63"/>
        <v>9.3965844683996241E-3</v>
      </c>
      <c r="DB22" s="94">
        <f t="shared" si="13"/>
        <v>0.20390588296427187</v>
      </c>
      <c r="DC22" s="94">
        <f t="shared" si="14"/>
        <v>5.8728652927497661E-2</v>
      </c>
      <c r="DD22" s="94">
        <f t="shared" si="14"/>
        <v>0.14893586382413407</v>
      </c>
      <c r="DE22" s="94">
        <f t="shared" si="14"/>
        <v>0.13108235333417478</v>
      </c>
      <c r="DF22" s="94">
        <f t="shared" si="14"/>
        <v>0</v>
      </c>
      <c r="DG22" s="94">
        <f t="shared" si="14"/>
        <v>0</v>
      </c>
      <c r="DH22" s="95">
        <f t="shared" si="14"/>
        <v>0.41157039971590365</v>
      </c>
      <c r="DI22" s="96" t="e">
        <f>#REF!</f>
        <v>#REF!</v>
      </c>
      <c r="DJ22" s="95">
        <f t="shared" si="64"/>
        <v>-0.34814345455420614</v>
      </c>
      <c r="DK22" s="96" t="e">
        <f>#REF!</f>
        <v>#REF!</v>
      </c>
      <c r="DL22" s="95">
        <f t="shared" si="15"/>
        <v>1.2631213024586938</v>
      </c>
      <c r="DM22" s="96">
        <f t="shared" si="16"/>
        <v>0</v>
      </c>
      <c r="DN22" s="94">
        <f t="shared" si="17"/>
        <v>1.9298380999034992</v>
      </c>
      <c r="DO22" s="100">
        <v>3.4</v>
      </c>
      <c r="DP22" s="94">
        <f t="shared" si="72"/>
        <v>2.8448159478079864</v>
      </c>
      <c r="DQ22" s="94">
        <f t="shared" si="73"/>
        <v>3.8549219154519982</v>
      </c>
      <c r="DR22" s="101" t="str">
        <f t="shared" si="18"/>
        <v>3,45 hL/NhL</v>
      </c>
      <c r="DS22" s="116"/>
      <c r="DT22" s="103">
        <v>17</v>
      </c>
      <c r="DU22" s="120">
        <v>615133</v>
      </c>
      <c r="DV22" s="120">
        <v>24185</v>
      </c>
      <c r="DW22" s="120">
        <v>5108383</v>
      </c>
      <c r="DX22" s="120">
        <v>107339</v>
      </c>
      <c r="DY22" s="120">
        <v>82169</v>
      </c>
      <c r="DZ22" s="120">
        <v>374610</v>
      </c>
      <c r="EA22" s="120">
        <v>218479</v>
      </c>
      <c r="EB22" s="120">
        <v>51104</v>
      </c>
      <c r="EC22" s="120">
        <v>383772</v>
      </c>
      <c r="ED22" s="120">
        <v>45475</v>
      </c>
      <c r="EE22" s="120">
        <v>37208</v>
      </c>
      <c r="EF22" s="120">
        <v>39405</v>
      </c>
      <c r="EG22" s="120">
        <v>89881</v>
      </c>
      <c r="EH22" s="120">
        <v>177248</v>
      </c>
      <c r="EI22" s="120">
        <v>30213</v>
      </c>
      <c r="EJ22" s="120">
        <v>38519</v>
      </c>
      <c r="EK22" s="120"/>
      <c r="EL22" s="120">
        <v>684916</v>
      </c>
      <c r="EM22" s="120">
        <v>6657</v>
      </c>
      <c r="EN22" s="120">
        <v>41194</v>
      </c>
      <c r="EO22" s="120">
        <v>2908068</v>
      </c>
      <c r="EP22" s="120">
        <v>2881513</v>
      </c>
      <c r="EQ22" s="120">
        <v>0</v>
      </c>
      <c r="ER22" s="120">
        <v>880</v>
      </c>
      <c r="ES22" s="120">
        <v>306458</v>
      </c>
      <c r="ET22" s="120">
        <v>4435897</v>
      </c>
      <c r="EU22" s="120">
        <v>392038</v>
      </c>
      <c r="EV22" s="120">
        <v>119814</v>
      </c>
      <c r="EW22" s="120">
        <v>84791</v>
      </c>
      <c r="EX22" s="120">
        <v>200713</v>
      </c>
      <c r="EY22" s="120">
        <v>1591018</v>
      </c>
      <c r="EZ22" s="120">
        <v>725682</v>
      </c>
      <c r="FA22" s="151">
        <v>730521</v>
      </c>
      <c r="FB22" s="77">
        <v>30126</v>
      </c>
      <c r="FC22" s="77">
        <v>6796</v>
      </c>
      <c r="FD22" s="104">
        <f t="shared" si="76"/>
        <v>6055</v>
      </c>
      <c r="FE22" s="105">
        <f t="shared" ref="FE22:FM35" si="78">FE55-FE54</f>
        <v>0</v>
      </c>
      <c r="FF22" s="105">
        <f t="shared" si="78"/>
        <v>0</v>
      </c>
      <c r="FG22" s="105">
        <f t="shared" si="78"/>
        <v>1714</v>
      </c>
      <c r="FH22" s="105">
        <f t="shared" si="78"/>
        <v>1391</v>
      </c>
      <c r="FI22" s="105">
        <f t="shared" si="78"/>
        <v>395</v>
      </c>
      <c r="FJ22" s="105">
        <f t="shared" si="78"/>
        <v>687</v>
      </c>
      <c r="FK22" s="105">
        <f t="shared" si="78"/>
        <v>0</v>
      </c>
      <c r="FL22" s="105">
        <f t="shared" si="78"/>
        <v>1868</v>
      </c>
      <c r="FM22" s="105">
        <f t="shared" si="78"/>
        <v>0</v>
      </c>
      <c r="FN22" s="80">
        <f t="shared" si="74"/>
        <v>0</v>
      </c>
      <c r="FO22" s="77">
        <v>71662</v>
      </c>
      <c r="FP22" s="162">
        <f>FP20-FP19</f>
        <v>981</v>
      </c>
      <c r="FR22" s="64"/>
      <c r="FS22" s="64"/>
      <c r="FT22" s="64"/>
      <c r="FU22" s="64"/>
      <c r="FV22" s="64"/>
      <c r="FW22" s="64"/>
      <c r="FX22" s="64"/>
      <c r="FY22" s="64">
        <v>17</v>
      </c>
      <c r="FZ22" s="107"/>
      <c r="GA22" s="107"/>
      <c r="GB22" s="107"/>
      <c r="GC22" s="109"/>
      <c r="GD22" s="110"/>
      <c r="GE22" s="110"/>
      <c r="GF22" s="111"/>
      <c r="GG22" s="111"/>
      <c r="GH22" s="111"/>
      <c r="GI22" s="164"/>
      <c r="GJ22" s="111" t="e">
        <f t="shared" si="65"/>
        <v>#DIV/0!</v>
      </c>
      <c r="GK22" s="118"/>
    </row>
    <row r="23" spans="1:193" s="119" customFormat="1" ht="15" customHeight="1">
      <c r="B23" s="573">
        <v>42843</v>
      </c>
      <c r="D23" s="324">
        <v>5437.92</v>
      </c>
      <c r="E23" s="128">
        <v>4491.6000000000004</v>
      </c>
      <c r="F23" s="86">
        <v>2902.3199999999997</v>
      </c>
      <c r="G23" s="86"/>
      <c r="H23" s="86"/>
      <c r="I23" s="86">
        <v>1082.9099999999999</v>
      </c>
      <c r="J23" s="86">
        <v>5367.96</v>
      </c>
      <c r="K23" s="284"/>
      <c r="L23" s="327">
        <v>80</v>
      </c>
      <c r="M23" s="115">
        <f t="shared" si="21"/>
        <v>6450.87</v>
      </c>
      <c r="N23" s="88">
        <f t="shared" si="0"/>
        <v>12831.84</v>
      </c>
      <c r="O23" s="88">
        <f t="shared" si="22"/>
        <v>16137.275</v>
      </c>
      <c r="P23" s="89">
        <f t="shared" si="23"/>
        <v>282243.57300000003</v>
      </c>
      <c r="R23" s="90">
        <f t="shared" si="24"/>
        <v>3</v>
      </c>
      <c r="S23" s="90">
        <f t="shared" si="25"/>
        <v>38.5</v>
      </c>
      <c r="T23" s="90">
        <f t="shared" si="1"/>
        <v>443.7</v>
      </c>
      <c r="U23" s="90">
        <f t="shared" si="75"/>
        <v>1.2</v>
      </c>
      <c r="V23" s="90">
        <f t="shared" si="26"/>
        <v>1115</v>
      </c>
      <c r="W23" s="91">
        <f t="shared" si="2"/>
        <v>403.6</v>
      </c>
      <c r="X23" s="90">
        <f t="shared" si="27"/>
        <v>1115</v>
      </c>
      <c r="Y23" s="90">
        <f t="shared" si="28"/>
        <v>4.5</v>
      </c>
      <c r="Z23" s="90">
        <f t="shared" si="3"/>
        <v>116.4</v>
      </c>
      <c r="AA23" s="90">
        <f t="shared" si="29"/>
        <v>1601.4</v>
      </c>
      <c r="AB23" s="90">
        <f t="shared" si="30"/>
        <v>261</v>
      </c>
      <c r="AC23" s="90">
        <f t="shared" si="30"/>
        <v>19</v>
      </c>
      <c r="AD23" s="90">
        <f t="shared" si="31"/>
        <v>443</v>
      </c>
      <c r="AE23" s="90">
        <f t="shared" si="32"/>
        <v>163</v>
      </c>
      <c r="AF23" s="90">
        <f t="shared" si="33"/>
        <v>198</v>
      </c>
      <c r="AG23" s="90">
        <f t="shared" si="33"/>
        <v>19</v>
      </c>
      <c r="AH23" s="90">
        <f t="shared" si="34"/>
        <v>316</v>
      </c>
      <c r="AI23" s="90">
        <f t="shared" si="35"/>
        <v>99</v>
      </c>
      <c r="AJ23" s="90">
        <f t="shared" si="36"/>
        <v>268</v>
      </c>
      <c r="AK23" s="90">
        <f t="shared" si="36"/>
        <v>27</v>
      </c>
      <c r="AL23" s="90">
        <f t="shared" si="37"/>
        <v>358</v>
      </c>
      <c r="AM23" s="90">
        <f t="shared" si="38"/>
        <v>63</v>
      </c>
      <c r="AN23" s="90">
        <f t="shared" si="39"/>
        <v>0</v>
      </c>
      <c r="AO23" s="90">
        <f t="shared" si="4"/>
        <v>0</v>
      </c>
      <c r="AP23" s="90">
        <f t="shared" si="40"/>
        <v>24</v>
      </c>
      <c r="AQ23" s="90">
        <f t="shared" si="5"/>
        <v>55</v>
      </c>
      <c r="AR23" s="90">
        <f t="shared" si="41"/>
        <v>136.416</v>
      </c>
      <c r="AS23" s="90">
        <f t="shared" si="42"/>
        <v>255.41599999999994</v>
      </c>
      <c r="AT23" s="90">
        <f t="shared" si="43"/>
        <v>838.41599999999994</v>
      </c>
      <c r="AU23" s="90">
        <f t="shared" si="44"/>
        <v>137</v>
      </c>
      <c r="AV23" s="90">
        <f t="shared" si="66"/>
        <v>35</v>
      </c>
      <c r="AW23" s="90">
        <f t="shared" si="45"/>
        <v>446</v>
      </c>
      <c r="AX23" s="90">
        <f t="shared" si="67"/>
        <v>45</v>
      </c>
      <c r="AY23" s="90" t="str">
        <f t="shared" si="46"/>
        <v/>
      </c>
      <c r="AZ23" s="90">
        <f t="shared" si="47"/>
        <v>272</v>
      </c>
      <c r="BA23" s="90">
        <v>90</v>
      </c>
      <c r="BB23" s="90">
        <f t="shared" si="48"/>
        <v>137</v>
      </c>
      <c r="BC23" s="90">
        <f t="shared" si="48"/>
        <v>0</v>
      </c>
      <c r="BD23" s="91">
        <f t="shared" si="49"/>
        <v>351</v>
      </c>
      <c r="BE23" s="90"/>
      <c r="BF23" s="90"/>
      <c r="BG23" s="90">
        <f t="shared" si="6"/>
        <v>409</v>
      </c>
      <c r="BH23" s="90">
        <f t="shared" si="50"/>
        <v>580</v>
      </c>
      <c r="BI23" s="90">
        <f t="shared" si="51"/>
        <v>2394.1840000000002</v>
      </c>
      <c r="BJ23" s="90">
        <f t="shared" si="7"/>
        <v>3517.8159999999998</v>
      </c>
      <c r="BK23" s="92"/>
      <c r="BL23" s="93">
        <f t="shared" si="52"/>
        <v>6492</v>
      </c>
      <c r="BM23" s="93">
        <f t="shared" si="53"/>
        <v>109073.90000000002</v>
      </c>
      <c r="BN23" s="92"/>
      <c r="BO23" s="94">
        <f t="shared" si="54"/>
        <v>2.3379343882093291E-3</v>
      </c>
      <c r="BP23" s="94">
        <f t="shared" si="54"/>
        <v>3.000349131535306E-2</v>
      </c>
      <c r="BQ23" s="94">
        <f t="shared" si="55"/>
        <v>0.34578049601615979</v>
      </c>
      <c r="BR23" s="94">
        <f t="shared" si="68"/>
        <v>0.86893228095113406</v>
      </c>
      <c r="BS23" s="94">
        <f t="shared" si="77"/>
        <v>3.5069015823139941E-3</v>
      </c>
      <c r="BT23" s="94">
        <f>IF($N23&lt;&gt;0,IF($N23&lt;&gt;0,Z23/$N23*10,0)," ")</f>
        <v>9.0711854262521971E-2</v>
      </c>
      <c r="BU23" s="95">
        <f t="shared" si="77"/>
        <v>1.2479893764261401</v>
      </c>
      <c r="BV23" s="94">
        <f t="shared" si="9"/>
        <v>1.8590499325319796E-3</v>
      </c>
      <c r="BW23" s="94">
        <f t="shared" si="9"/>
        <v>2.385780746749374E-2</v>
      </c>
      <c r="BX23" s="94">
        <f t="shared" si="9"/>
        <v>0.27495348502147976</v>
      </c>
      <c r="BY23" s="94">
        <f t="shared" si="56"/>
        <v>0.69094689159105238</v>
      </c>
      <c r="BZ23" s="95">
        <f t="shared" si="10"/>
        <v>0.99236085398557083</v>
      </c>
      <c r="CA23" s="96" t="e">
        <f>#REF!</f>
        <v>#REF!</v>
      </c>
      <c r="CB23" s="94">
        <f t="shared" si="11"/>
        <v>8.4534718532094169E-2</v>
      </c>
      <c r="CC23" s="95">
        <f t="shared" si="11"/>
        <v>0.15827703252252934</v>
      </c>
      <c r="CD23" s="97">
        <f t="shared" si="12"/>
        <v>0.21146915067269995</v>
      </c>
      <c r="CE23" s="98">
        <f t="shared" si="12"/>
        <v>0.39594039253620045</v>
      </c>
      <c r="CF23" s="94">
        <f t="shared" si="57"/>
        <v>0.47996292700150056</v>
      </c>
      <c r="CG23" s="94">
        <f t="shared" si="57"/>
        <v>3.4939829934975138E-2</v>
      </c>
      <c r="CH23" s="95">
        <f t="shared" si="58"/>
        <v>0.81464971901020977</v>
      </c>
      <c r="CI23" s="96" t="e">
        <f>#REF!</f>
        <v>#REF!</v>
      </c>
      <c r="CJ23" s="94">
        <f t="shared" si="59"/>
        <v>0.44082286935613141</v>
      </c>
      <c r="CK23" s="94">
        <f t="shared" si="59"/>
        <v>4.2301184433164128E-2</v>
      </c>
      <c r="CL23" s="95">
        <f t="shared" si="69"/>
        <v>0.70353548846736125</v>
      </c>
      <c r="CM23" s="95" t="e">
        <f>#REF!</f>
        <v>#REF!</v>
      </c>
      <c r="CN23" s="94">
        <f t="shared" si="60"/>
        <v>0.92339921166515071</v>
      </c>
      <c r="CO23" s="94">
        <f t="shared" si="60"/>
        <v>9.3029025055817435E-2</v>
      </c>
      <c r="CP23" s="95">
        <f t="shared" si="61"/>
        <v>1.2334959618512089</v>
      </c>
      <c r="CQ23" s="95" t="e">
        <f>#REF!</f>
        <v>#REF!</v>
      </c>
      <c r="CR23" s="97" t="str">
        <f t="shared" si="70"/>
        <v xml:space="preserve">0,00 </v>
      </c>
      <c r="CS23" s="95" t="str">
        <f t="shared" si="70"/>
        <v xml:space="preserve">0,00 </v>
      </c>
      <c r="CT23" s="96" t="e">
        <f>#REF!</f>
        <v>#REF!</v>
      </c>
      <c r="CU23" s="97" t="str">
        <f t="shared" si="71"/>
        <v xml:space="preserve">0,00 </v>
      </c>
      <c r="CV23" s="95" t="str">
        <f t="shared" si="62"/>
        <v xml:space="preserve">0,00 </v>
      </c>
      <c r="CW23" s="96" t="e">
        <f>#REF!</f>
        <v>#REF!</v>
      </c>
      <c r="CX23" s="99">
        <f t="shared" si="63"/>
        <v>8.4896613585627057E-2</v>
      </c>
      <c r="CY23" s="95">
        <f t="shared" si="63"/>
        <v>2.1688915879539764E-2</v>
      </c>
      <c r="CZ23" s="99">
        <f t="shared" si="63"/>
        <v>0.27637875663642097</v>
      </c>
      <c r="DA23" s="95">
        <f t="shared" si="63"/>
        <v>2.7885748987979693E-2</v>
      </c>
      <c r="DB23" s="94">
        <f t="shared" si="13"/>
        <v>0.16855386054956617</v>
      </c>
      <c r="DC23" s="94">
        <f t="shared" si="14"/>
        <v>8.4896613585627057E-2</v>
      </c>
      <c r="DD23" s="94">
        <f t="shared" si="14"/>
        <v>0</v>
      </c>
      <c r="DE23" s="94">
        <f t="shared" si="14"/>
        <v>0.21750884210624161</v>
      </c>
      <c r="DF23" s="94">
        <f t="shared" si="14"/>
        <v>0</v>
      </c>
      <c r="DG23" s="94">
        <f t="shared" si="14"/>
        <v>0</v>
      </c>
      <c r="DH23" s="95">
        <f t="shared" si="14"/>
        <v>0.25345047413519323</v>
      </c>
      <c r="DI23" s="96" t="e">
        <f>#REF!</f>
        <v>#REF!</v>
      </c>
      <c r="DJ23" s="95">
        <f t="shared" si="64"/>
        <v>0.35941632028951609</v>
      </c>
      <c r="DK23" s="96" t="e">
        <f>#REF!</f>
        <v>#REF!</v>
      </c>
      <c r="DL23" s="95">
        <f t="shared" si="15"/>
        <v>1.4836358678897152</v>
      </c>
      <c r="DM23" s="96">
        <f t="shared" si="16"/>
        <v>0</v>
      </c>
      <c r="DN23" s="94">
        <f t="shared" si="17"/>
        <v>2.1799318658199724</v>
      </c>
      <c r="DO23" s="100">
        <v>3.4</v>
      </c>
      <c r="DP23" s="94">
        <f>IF($O23&lt;&gt;0,IF($O23&lt;&gt;0,BL23/$O23*10,0)," ")</f>
        <v>4.0229840539992043</v>
      </c>
      <c r="DQ23" s="94">
        <f>IF($P23&lt;&gt;0,IF($P23&lt;&gt;0,BM23/$P23*10,0)," ")</f>
        <v>3.8645308674575207</v>
      </c>
      <c r="DR23" s="101" t="str">
        <f t="shared" si="18"/>
        <v>3,45 hL/NhL</v>
      </c>
      <c r="DS23" s="171"/>
      <c r="DT23" s="103">
        <v>18</v>
      </c>
      <c r="DU23" s="120">
        <v>615394</v>
      </c>
      <c r="DV23" s="120">
        <v>24204</v>
      </c>
      <c r="DW23" s="120">
        <v>5108826</v>
      </c>
      <c r="DX23" s="120">
        <v>107537</v>
      </c>
      <c r="DY23" s="120">
        <v>82188</v>
      </c>
      <c r="DZ23" s="120">
        <v>374926</v>
      </c>
      <c r="EA23" s="120">
        <v>218747</v>
      </c>
      <c r="EB23" s="120">
        <v>51131</v>
      </c>
      <c r="EC23" s="120">
        <v>384130</v>
      </c>
      <c r="ED23" s="120">
        <v>45475</v>
      </c>
      <c r="EE23" s="120">
        <v>37208</v>
      </c>
      <c r="EF23" s="120">
        <v>39405</v>
      </c>
      <c r="EG23" s="120">
        <v>89905</v>
      </c>
      <c r="EH23" s="120">
        <v>177303</v>
      </c>
      <c r="EI23" s="120">
        <v>30248</v>
      </c>
      <c r="EJ23" s="120">
        <v>38564</v>
      </c>
      <c r="EK23" s="120"/>
      <c r="EL23" s="120">
        <v>684919</v>
      </c>
      <c r="EM23" s="120">
        <v>4437</v>
      </c>
      <c r="EN23" s="120">
        <v>41206</v>
      </c>
      <c r="EO23" s="120">
        <v>2909183</v>
      </c>
      <c r="EP23" s="120">
        <v>2885549</v>
      </c>
      <c r="EQ23" s="120">
        <v>45</v>
      </c>
      <c r="ER23" s="120">
        <v>1164</v>
      </c>
      <c r="ES23" s="120">
        <v>307160</v>
      </c>
      <c r="ET23" s="120">
        <v>4572313</v>
      </c>
      <c r="EU23" s="120">
        <v>392484</v>
      </c>
      <c r="EV23" s="120">
        <v>119951</v>
      </c>
      <c r="EW23" s="120">
        <v>85063</v>
      </c>
      <c r="EX23" s="120">
        <v>200850</v>
      </c>
      <c r="EY23" s="120">
        <v>1591018</v>
      </c>
      <c r="EZ23" s="120">
        <v>726067</v>
      </c>
      <c r="FA23" s="151">
        <v>730872</v>
      </c>
      <c r="FB23" s="77">
        <v>30233</v>
      </c>
      <c r="FC23" s="77">
        <v>5912</v>
      </c>
      <c r="FD23" s="104">
        <f t="shared" si="76"/>
        <v>6492</v>
      </c>
      <c r="FE23" s="105">
        <f t="shared" si="78"/>
        <v>0</v>
      </c>
      <c r="FF23" s="105">
        <f t="shared" si="78"/>
        <v>0</v>
      </c>
      <c r="FG23" s="105">
        <f t="shared" si="78"/>
        <v>1946</v>
      </c>
      <c r="FH23" s="105">
        <f t="shared" si="78"/>
        <v>2040</v>
      </c>
      <c r="FI23" s="105">
        <f t="shared" si="78"/>
        <v>6</v>
      </c>
      <c r="FJ23" s="105">
        <f t="shared" si="78"/>
        <v>692</v>
      </c>
      <c r="FK23" s="105">
        <f t="shared" si="78"/>
        <v>0</v>
      </c>
      <c r="FL23" s="105">
        <f t="shared" si="78"/>
        <v>1808</v>
      </c>
      <c r="FM23" s="105">
        <f t="shared" si="78"/>
        <v>0</v>
      </c>
      <c r="FN23" s="80">
        <f>IF(FO23="",0,(FO23-FO22))</f>
        <v>0</v>
      </c>
      <c r="FO23" s="77">
        <v>71662</v>
      </c>
      <c r="FP23" s="162"/>
      <c r="FY23" s="119">
        <v>18</v>
      </c>
      <c r="FZ23" s="107"/>
      <c r="GA23" s="107"/>
      <c r="GB23" s="107"/>
      <c r="GC23" s="109"/>
      <c r="GD23" s="110"/>
      <c r="GE23" s="110"/>
      <c r="GF23" s="111"/>
      <c r="GG23" s="111"/>
      <c r="GH23" s="111"/>
      <c r="GI23" s="164"/>
      <c r="GJ23" s="111" t="e">
        <f t="shared" si="65"/>
        <v>#DIV/0!</v>
      </c>
    </row>
    <row r="24" spans="1:193" s="119" customFormat="1" ht="15" customHeight="1">
      <c r="B24" s="573">
        <v>42844</v>
      </c>
      <c r="D24" s="324">
        <v>5723.76</v>
      </c>
      <c r="E24" s="128">
        <v>1073.6400000000001</v>
      </c>
      <c r="F24" s="86">
        <v>3149.28</v>
      </c>
      <c r="G24" s="86"/>
      <c r="H24" s="86">
        <v>3525.42</v>
      </c>
      <c r="I24" s="86">
        <v>1844.8740000000003</v>
      </c>
      <c r="J24" s="86">
        <v>4292.3999999999996</v>
      </c>
      <c r="K24" s="284"/>
      <c r="L24" s="327">
        <v>100</v>
      </c>
      <c r="M24" s="115">
        <f t="shared" si="21"/>
        <v>6137.2739999999994</v>
      </c>
      <c r="N24" s="88">
        <f t="shared" si="0"/>
        <v>13472.1</v>
      </c>
      <c r="O24" s="88">
        <f t="shared" si="22"/>
        <v>16640.737000000001</v>
      </c>
      <c r="P24" s="89">
        <f t="shared" si="23"/>
        <v>298884.31000000006</v>
      </c>
      <c r="R24" s="90">
        <f t="shared" si="24"/>
        <v>21</v>
      </c>
      <c r="S24" s="90">
        <f t="shared" si="25"/>
        <v>20.6</v>
      </c>
      <c r="T24" s="90">
        <f t="shared" si="1"/>
        <v>437.8</v>
      </c>
      <c r="U24" s="90">
        <f t="shared" si="75"/>
        <v>0.9</v>
      </c>
      <c r="V24" s="90">
        <f t="shared" si="26"/>
        <v>1260</v>
      </c>
      <c r="W24" s="91">
        <f t="shared" si="2"/>
        <v>281.89999999999998</v>
      </c>
      <c r="X24" s="90">
        <f t="shared" si="27"/>
        <v>1260</v>
      </c>
      <c r="Y24" s="90" t="str">
        <f t="shared" si="28"/>
        <v>0</v>
      </c>
      <c r="Z24" s="90">
        <f t="shared" si="3"/>
        <v>112.4</v>
      </c>
      <c r="AA24" s="90">
        <f t="shared" si="29"/>
        <v>1740.3</v>
      </c>
      <c r="AB24" s="90">
        <f t="shared" si="30"/>
        <v>220</v>
      </c>
      <c r="AC24" s="90">
        <f t="shared" si="30"/>
        <v>21</v>
      </c>
      <c r="AD24" s="90">
        <f>(IF(SUM(AB24:AC24)&gt;=(DW24-DW23),(SUM(AB24:AC24)),(DW24-DW23)))</f>
        <v>421</v>
      </c>
      <c r="AE24" s="90">
        <f t="shared" si="32"/>
        <v>180</v>
      </c>
      <c r="AF24" s="90">
        <f t="shared" si="33"/>
        <v>165</v>
      </c>
      <c r="AG24" s="90">
        <f t="shared" si="33"/>
        <v>104</v>
      </c>
      <c r="AH24" s="90">
        <f t="shared" si="34"/>
        <v>367</v>
      </c>
      <c r="AI24" s="90">
        <f>IF(AF24="","",(AH24-AG24-AF24))</f>
        <v>98</v>
      </c>
      <c r="AJ24" s="90">
        <f t="shared" si="36"/>
        <v>230</v>
      </c>
      <c r="AK24" s="90">
        <f t="shared" si="36"/>
        <v>32</v>
      </c>
      <c r="AL24" s="90">
        <f t="shared" si="37"/>
        <v>344</v>
      </c>
      <c r="AM24" s="90">
        <f t="shared" si="38"/>
        <v>82</v>
      </c>
      <c r="AN24" s="90">
        <f t="shared" si="39"/>
        <v>0</v>
      </c>
      <c r="AO24" s="90">
        <f t="shared" si="4"/>
        <v>0</v>
      </c>
      <c r="AP24" s="90">
        <f t="shared" si="40"/>
        <v>34</v>
      </c>
      <c r="AQ24" s="90">
        <f t="shared" si="5"/>
        <v>60</v>
      </c>
      <c r="AR24" s="90">
        <f t="shared" si="41"/>
        <v>79.659000000000006</v>
      </c>
      <c r="AS24" s="90">
        <f t="shared" si="42"/>
        <v>51.658999999999992</v>
      </c>
      <c r="AT24" s="90">
        <f t="shared" si="43"/>
        <v>764.65899999999999</v>
      </c>
      <c r="AU24" s="90">
        <f t="shared" si="44"/>
        <v>260</v>
      </c>
      <c r="AV24" s="90">
        <f t="shared" si="66"/>
        <v>29</v>
      </c>
      <c r="AW24" s="90">
        <f t="shared" si="45"/>
        <v>453</v>
      </c>
      <c r="AX24" s="90">
        <f t="shared" si="67"/>
        <v>35</v>
      </c>
      <c r="AY24" s="90" t="str">
        <f t="shared" si="46"/>
        <v/>
      </c>
      <c r="AZ24" s="90">
        <f t="shared" si="47"/>
        <v>339</v>
      </c>
      <c r="BA24" s="90">
        <v>43</v>
      </c>
      <c r="BB24" s="90">
        <f t="shared" si="48"/>
        <v>149</v>
      </c>
      <c r="BC24" s="90">
        <f t="shared" si="48"/>
        <v>0</v>
      </c>
      <c r="BD24" s="91">
        <f t="shared" si="49"/>
        <v>381</v>
      </c>
      <c r="BE24" s="90"/>
      <c r="BF24" s="90"/>
      <c r="BG24" s="90">
        <f t="shared" si="6"/>
        <v>488</v>
      </c>
      <c r="BH24" s="90">
        <f t="shared" si="50"/>
        <v>216</v>
      </c>
      <c r="BI24" s="90">
        <f t="shared" si="51"/>
        <v>2426.0409999999997</v>
      </c>
      <c r="BJ24" s="90">
        <f t="shared" si="7"/>
        <v>3535.9590000000003</v>
      </c>
      <c r="BK24" s="92"/>
      <c r="BL24" s="93">
        <f t="shared" si="52"/>
        <v>6178</v>
      </c>
      <c r="BM24" s="93">
        <f t="shared" si="53"/>
        <v>115251.90000000002</v>
      </c>
      <c r="BN24" s="92"/>
      <c r="BO24" s="94">
        <f t="shared" si="54"/>
        <v>1.5587770280802545E-2</v>
      </c>
      <c r="BP24" s="94">
        <f t="shared" si="54"/>
        <v>1.5290860370692024E-2</v>
      </c>
      <c r="BQ24" s="94">
        <f t="shared" si="55"/>
        <v>0.32496789661596925</v>
      </c>
      <c r="BR24" s="94">
        <f t="shared" si="68"/>
        <v>0.93526621684815281</v>
      </c>
      <c r="BS24" s="94">
        <f t="shared" si="77"/>
        <v>0</v>
      </c>
      <c r="BT24" s="94">
        <f t="shared" si="77"/>
        <v>8.3431684741057444E-2</v>
      </c>
      <c r="BU24" s="95">
        <f t="shared" si="77"/>
        <v>1.2917807914133652</v>
      </c>
      <c r="BV24" s="94">
        <f t="shared" si="9"/>
        <v>1.2619633373209371E-2</v>
      </c>
      <c r="BW24" s="94">
        <f t="shared" si="9"/>
        <v>1.2379259404195859E-2</v>
      </c>
      <c r="BX24" s="94">
        <f t="shared" si="9"/>
        <v>0.26308930908528871</v>
      </c>
      <c r="BY24" s="94">
        <f t="shared" si="56"/>
        <v>0.75717800239256228</v>
      </c>
      <c r="BZ24" s="95">
        <f t="shared" si="10"/>
        <v>1.0458070456855366</v>
      </c>
      <c r="CA24" s="96" t="e">
        <f>#REF!</f>
        <v>#REF!</v>
      </c>
      <c r="CB24" s="94">
        <f t="shared" si="11"/>
        <v>4.786987499411835E-2</v>
      </c>
      <c r="CC24" s="95">
        <f t="shared" si="11"/>
        <v>3.1043697163172512E-2</v>
      </c>
      <c r="CD24" s="97">
        <f t="shared" si="12"/>
        <v>0.12979541079638943</v>
      </c>
      <c r="CE24" s="98">
        <f t="shared" si="12"/>
        <v>8.4172549571682798E-2</v>
      </c>
      <c r="CF24" s="94">
        <f t="shared" si="57"/>
        <v>0.38436272659929832</v>
      </c>
      <c r="CG24" s="94">
        <f t="shared" si="57"/>
        <v>3.6689169357205752E-2</v>
      </c>
      <c r="CH24" s="95">
        <f t="shared" si="58"/>
        <v>0.73553049044683905</v>
      </c>
      <c r="CI24" s="96" t="e">
        <f>#REF!</f>
        <v>#REF!</v>
      </c>
      <c r="CJ24" s="94">
        <f t="shared" si="59"/>
        <v>1.5368279870347601</v>
      </c>
      <c r="CK24" s="94">
        <f t="shared" si="59"/>
        <v>0.96866733728251553</v>
      </c>
      <c r="CL24" s="95">
        <f t="shared" si="69"/>
        <v>3.4182780075257995</v>
      </c>
      <c r="CM24" s="95" t="e">
        <f>#REF!</f>
        <v>#REF!</v>
      </c>
      <c r="CN24" s="94">
        <f t="shared" si="60"/>
        <v>0.73032566173855606</v>
      </c>
      <c r="CO24" s="94">
        <f t="shared" si="60"/>
        <v>0.10161052685058172</v>
      </c>
      <c r="CP24" s="95">
        <f t="shared" si="61"/>
        <v>1.0923131636437535</v>
      </c>
      <c r="CQ24" s="95" t="e">
        <f>#REF!</f>
        <v>#REF!</v>
      </c>
      <c r="CR24" s="97" t="str">
        <f t="shared" si="70"/>
        <v xml:space="preserve">0,00 </v>
      </c>
      <c r="CS24" s="95" t="str">
        <f t="shared" si="70"/>
        <v xml:space="preserve">0,00 </v>
      </c>
      <c r="CT24" s="96" t="e">
        <f>#REF!</f>
        <v>#REF!</v>
      </c>
      <c r="CU24" s="97">
        <f t="shared" si="71"/>
        <v>9.6442409698702575E-2</v>
      </c>
      <c r="CV24" s="95">
        <f t="shared" si="62"/>
        <v>0.17019248770359277</v>
      </c>
      <c r="CW24" s="96" t="e">
        <f>#REF!</f>
        <v>#REF!</v>
      </c>
      <c r="CX24" s="99">
        <f t="shared" si="63"/>
        <v>0.15624307985878269</v>
      </c>
      <c r="CY24" s="95">
        <f t="shared" si="63"/>
        <v>1.7427112753479607E-2</v>
      </c>
      <c r="CZ24" s="99">
        <f t="shared" si="63"/>
        <v>0.27222351990780214</v>
      </c>
      <c r="DA24" s="95">
        <f t="shared" si="63"/>
        <v>2.1032722288682283E-2</v>
      </c>
      <c r="DB24" s="94">
        <f t="shared" si="13"/>
        <v>0.20371693873895125</v>
      </c>
      <c r="DC24" s="94">
        <f t="shared" si="14"/>
        <v>8.9539303457533151E-2</v>
      </c>
      <c r="DD24" s="94">
        <f t="shared" si="14"/>
        <v>0</v>
      </c>
      <c r="DE24" s="94">
        <f t="shared" si="14"/>
        <v>0.22895620548537002</v>
      </c>
      <c r="DF24" s="94">
        <f t="shared" si="14"/>
        <v>0</v>
      </c>
      <c r="DG24" s="94">
        <f t="shared" si="14"/>
        <v>0</v>
      </c>
      <c r="DH24" s="95">
        <f t="shared" si="14"/>
        <v>0.29325624219648444</v>
      </c>
      <c r="DI24" s="96" t="e">
        <f>#REF!</f>
        <v>#REF!</v>
      </c>
      <c r="DJ24" s="95">
        <f t="shared" si="64"/>
        <v>0.12980194326729638</v>
      </c>
      <c r="DK24" s="96" t="e">
        <f>#REF!</f>
        <v>#REF!</v>
      </c>
      <c r="DL24" s="95">
        <f t="shared" si="15"/>
        <v>1.457892760398773</v>
      </c>
      <c r="DM24" s="96">
        <f t="shared" si="16"/>
        <v>0</v>
      </c>
      <c r="DN24" s="94">
        <f t="shared" si="17"/>
        <v>2.1248812477476209</v>
      </c>
      <c r="DO24" s="100">
        <v>3.4</v>
      </c>
      <c r="DP24" s="94">
        <f t="shared" si="72"/>
        <v>3.7125759514136902</v>
      </c>
      <c r="DQ24" s="94">
        <f t="shared" si="73"/>
        <v>3.8560705980183436</v>
      </c>
      <c r="DR24" s="101" t="str">
        <f t="shared" si="18"/>
        <v>3,45 hL/NhL</v>
      </c>
      <c r="DT24" s="103">
        <v>19</v>
      </c>
      <c r="DU24" s="120">
        <v>615614</v>
      </c>
      <c r="DV24" s="120">
        <v>24225</v>
      </c>
      <c r="DW24" s="120">
        <v>5109247</v>
      </c>
      <c r="DX24" s="120">
        <v>107702</v>
      </c>
      <c r="DY24" s="120">
        <v>82292</v>
      </c>
      <c r="DZ24" s="120">
        <v>375293</v>
      </c>
      <c r="EA24" s="120">
        <v>218977</v>
      </c>
      <c r="EB24" s="120">
        <v>51163</v>
      </c>
      <c r="EC24" s="120">
        <v>384474</v>
      </c>
      <c r="ED24" s="120">
        <v>45475</v>
      </c>
      <c r="EE24" s="120">
        <v>37208</v>
      </c>
      <c r="EF24" s="120">
        <v>39405</v>
      </c>
      <c r="EG24" s="120">
        <v>89939</v>
      </c>
      <c r="EH24" s="120">
        <v>177363</v>
      </c>
      <c r="EI24" s="120">
        <v>30277</v>
      </c>
      <c r="EJ24" s="120">
        <v>38599</v>
      </c>
      <c r="EK24" s="120"/>
      <c r="EL24" s="120">
        <v>684940</v>
      </c>
      <c r="EM24" s="120">
        <v>4378</v>
      </c>
      <c r="EN24" s="120">
        <v>41215</v>
      </c>
      <c r="EO24" s="120">
        <v>2910443</v>
      </c>
      <c r="EP24" s="120">
        <v>2888368</v>
      </c>
      <c r="EQ24" s="120">
        <v>0</v>
      </c>
      <c r="ER24" s="120">
        <v>1124</v>
      </c>
      <c r="ES24" s="120">
        <v>307845</v>
      </c>
      <c r="ET24" s="120">
        <v>4651972</v>
      </c>
      <c r="EU24" s="120">
        <v>392937</v>
      </c>
      <c r="EV24" s="120">
        <v>120211</v>
      </c>
      <c r="EW24" s="120">
        <v>85402</v>
      </c>
      <c r="EX24" s="120">
        <v>200999</v>
      </c>
      <c r="EY24" s="120">
        <v>1591018</v>
      </c>
      <c r="EZ24" s="120">
        <v>726273</v>
      </c>
      <c r="FA24" s="151">
        <v>731253</v>
      </c>
      <c r="FB24" s="77">
        <v>29886</v>
      </c>
      <c r="FC24" s="77">
        <v>5962</v>
      </c>
      <c r="FD24" s="104">
        <f t="shared" si="76"/>
        <v>6178</v>
      </c>
      <c r="FE24" s="105">
        <f t="shared" si="78"/>
        <v>0</v>
      </c>
      <c r="FF24" s="105">
        <f t="shared" si="78"/>
        <v>0</v>
      </c>
      <c r="FG24" s="105">
        <f t="shared" si="78"/>
        <v>1814</v>
      </c>
      <c r="FH24" s="105">
        <f t="shared" si="78"/>
        <v>1395</v>
      </c>
      <c r="FI24" s="105">
        <f t="shared" si="78"/>
        <v>134</v>
      </c>
      <c r="FJ24" s="105">
        <f t="shared" si="78"/>
        <v>733</v>
      </c>
      <c r="FK24" s="105">
        <f t="shared" si="78"/>
        <v>0</v>
      </c>
      <c r="FL24" s="105">
        <f t="shared" si="78"/>
        <v>2102</v>
      </c>
      <c r="FM24" s="105">
        <f t="shared" si="78"/>
        <v>0</v>
      </c>
      <c r="FN24" s="80">
        <f t="shared" si="74"/>
        <v>0</v>
      </c>
      <c r="FO24" s="77">
        <v>71662</v>
      </c>
      <c r="FP24" s="162"/>
      <c r="FY24" s="119">
        <v>19</v>
      </c>
      <c r="FZ24" s="107"/>
      <c r="GA24" s="107"/>
      <c r="GB24" s="107"/>
      <c r="GC24" s="109"/>
      <c r="GD24" s="110"/>
      <c r="GE24" s="110"/>
      <c r="GF24" s="111"/>
      <c r="GG24" s="111"/>
      <c r="GH24" s="111"/>
      <c r="GI24" s="164"/>
      <c r="GJ24" s="111" t="e">
        <f t="shared" si="65"/>
        <v>#DIV/0!</v>
      </c>
    </row>
    <row r="25" spans="1:193" ht="15" customHeight="1">
      <c r="B25" s="573">
        <v>42845</v>
      </c>
      <c r="D25" s="308">
        <v>880.68</v>
      </c>
      <c r="E25" s="86">
        <v>4057.08</v>
      </c>
      <c r="F25" s="86"/>
      <c r="G25" s="86"/>
      <c r="H25" s="86">
        <v>5811.9970000000003</v>
      </c>
      <c r="I25" s="86">
        <v>2007.3240000000001</v>
      </c>
      <c r="J25" s="86">
        <v>6466.32</v>
      </c>
      <c r="K25" s="284">
        <v>6.12</v>
      </c>
      <c r="L25" s="167"/>
      <c r="M25" s="115">
        <f t="shared" si="21"/>
        <v>8473.6440000000002</v>
      </c>
      <c r="N25" s="88">
        <f t="shared" si="0"/>
        <v>10749.757000000001</v>
      </c>
      <c r="O25" s="88">
        <f t="shared" si="22"/>
        <v>14986.579000000002</v>
      </c>
      <c r="P25" s="89">
        <f t="shared" si="23"/>
        <v>313870.88900000008</v>
      </c>
      <c r="R25" s="90">
        <f t="shared" si="24"/>
        <v>179</v>
      </c>
      <c r="S25" s="90">
        <f t="shared" si="25"/>
        <v>143.5</v>
      </c>
      <c r="T25" s="90">
        <f t="shared" si="1"/>
        <v>414.7</v>
      </c>
      <c r="U25" s="90">
        <f t="shared" si="75"/>
        <v>1.4</v>
      </c>
      <c r="V25" s="90">
        <f t="shared" si="26"/>
        <v>1080</v>
      </c>
      <c r="W25" s="91">
        <f t="shared" si="2"/>
        <v>683.5</v>
      </c>
      <c r="X25" s="90">
        <f t="shared" si="27"/>
        <v>1080</v>
      </c>
      <c r="Y25" s="90" t="str">
        <f t="shared" si="28"/>
        <v>0</v>
      </c>
      <c r="Z25" s="90">
        <f t="shared" si="3"/>
        <v>97.6</v>
      </c>
      <c r="AA25" s="90">
        <f t="shared" si="29"/>
        <v>1818.6</v>
      </c>
      <c r="AB25" s="90">
        <f t="shared" si="30"/>
        <v>195</v>
      </c>
      <c r="AC25" s="90">
        <f t="shared" si="30"/>
        <v>14</v>
      </c>
      <c r="AD25" s="90">
        <f t="shared" si="31"/>
        <v>324</v>
      </c>
      <c r="AE25" s="90">
        <f t="shared" si="32"/>
        <v>115</v>
      </c>
      <c r="AF25" s="90">
        <f t="shared" si="33"/>
        <v>191</v>
      </c>
      <c r="AG25" s="90">
        <f t="shared" si="33"/>
        <v>8</v>
      </c>
      <c r="AH25" s="90">
        <f t="shared" si="34"/>
        <v>267</v>
      </c>
      <c r="AI25" s="90">
        <f t="shared" si="35"/>
        <v>68</v>
      </c>
      <c r="AJ25" s="90">
        <f t="shared" si="36"/>
        <v>0</v>
      </c>
      <c r="AK25" s="90">
        <f t="shared" si="36"/>
        <v>0</v>
      </c>
      <c r="AL25" s="90">
        <f t="shared" si="37"/>
        <v>76</v>
      </c>
      <c r="AM25" s="90">
        <f t="shared" si="38"/>
        <v>76</v>
      </c>
      <c r="AN25" s="90">
        <f t="shared" si="39"/>
        <v>0</v>
      </c>
      <c r="AO25" s="90">
        <f t="shared" si="4"/>
        <v>0</v>
      </c>
      <c r="AP25" s="90">
        <f t="shared" si="40"/>
        <v>22</v>
      </c>
      <c r="AQ25" s="90">
        <f t="shared" si="5"/>
        <v>77</v>
      </c>
      <c r="AR25" s="90">
        <f t="shared" si="41"/>
        <v>63.265000000000001</v>
      </c>
      <c r="AS25" s="90">
        <f t="shared" si="42"/>
        <v>164.2650000000001</v>
      </c>
      <c r="AT25" s="90">
        <f t="shared" si="43"/>
        <v>1079.2650000000001</v>
      </c>
      <c r="AU25" s="90">
        <f t="shared" si="44"/>
        <v>289</v>
      </c>
      <c r="AV25" s="90">
        <f t="shared" si="66"/>
        <v>25</v>
      </c>
      <c r="AW25" s="90">
        <f t="shared" si="45"/>
        <v>626</v>
      </c>
      <c r="AX25" s="90">
        <f t="shared" si="67"/>
        <v>5</v>
      </c>
      <c r="AY25" s="90" t="str">
        <f t="shared" si="46"/>
        <v/>
      </c>
      <c r="AZ25" s="90">
        <f t="shared" si="47"/>
        <v>326</v>
      </c>
      <c r="BA25" s="90">
        <v>36</v>
      </c>
      <c r="BB25" s="90">
        <f t="shared" si="48"/>
        <v>117</v>
      </c>
      <c r="BC25" s="90">
        <f t="shared" si="48"/>
        <v>19</v>
      </c>
      <c r="BD25" s="91">
        <f t="shared" si="49"/>
        <v>340</v>
      </c>
      <c r="BE25" s="90"/>
      <c r="BF25" s="90"/>
      <c r="BG25" s="90">
        <f t="shared" si="6"/>
        <v>462</v>
      </c>
      <c r="BH25" s="90">
        <f t="shared" si="50"/>
        <v>-355</v>
      </c>
      <c r="BI25" s="90">
        <f t="shared" si="51"/>
        <v>2691.1350000000002</v>
      </c>
      <c r="BJ25" s="90">
        <f t="shared" si="7"/>
        <v>3218.8649999999998</v>
      </c>
      <c r="BK25" s="92"/>
      <c r="BL25" s="93">
        <f t="shared" si="52"/>
        <v>5555</v>
      </c>
      <c r="BM25" s="93">
        <f t="shared" si="53"/>
        <v>120806.90000000002</v>
      </c>
      <c r="BN25" s="92"/>
      <c r="BO25" s="94">
        <f t="shared" si="54"/>
        <v>0.16651539192932452</v>
      </c>
      <c r="BP25" s="94">
        <f t="shared" si="54"/>
        <v>0.13349138961931881</v>
      </c>
      <c r="BQ25" s="94">
        <f t="shared" si="55"/>
        <v>0.38577616219603844</v>
      </c>
      <c r="BR25" s="94">
        <f t="shared" si="68"/>
        <v>1.0046738730931313</v>
      </c>
      <c r="BS25" s="94">
        <f t="shared" si="77"/>
        <v>0</v>
      </c>
      <c r="BT25" s="94">
        <f t="shared" si="77"/>
        <v>9.0792750012860732E-2</v>
      </c>
      <c r="BU25" s="95">
        <f t="shared" si="77"/>
        <v>1.691759171858489</v>
      </c>
      <c r="BV25" s="94">
        <f t="shared" si="9"/>
        <v>0.11944020046202672</v>
      </c>
      <c r="BW25" s="94">
        <f t="shared" si="9"/>
        <v>9.5752339476540965E-2</v>
      </c>
      <c r="BX25" s="94">
        <f t="shared" si="9"/>
        <v>0.27671425213185741</v>
      </c>
      <c r="BY25" s="94">
        <f t="shared" si="56"/>
        <v>0.72064478491055228</v>
      </c>
      <c r="BZ25" s="95">
        <f t="shared" si="10"/>
        <v>1.213485746146602</v>
      </c>
      <c r="CA25" s="96" t="e">
        <f>#REF!</f>
        <v>#REF!</v>
      </c>
      <c r="CB25" s="94">
        <f t="shared" si="11"/>
        <v>4.2214437330894528E-2</v>
      </c>
      <c r="CC25" s="95">
        <f t="shared" si="11"/>
        <v>0.10960806999382587</v>
      </c>
      <c r="CD25" s="97">
        <f t="shared" si="12"/>
        <v>7.4660913297750056E-2</v>
      </c>
      <c r="CE25" s="98">
        <f t="shared" si="12"/>
        <v>0.19385402549363662</v>
      </c>
      <c r="CF25" s="94">
        <f t="shared" si="57"/>
        <v>2.2141981196348279</v>
      </c>
      <c r="CG25" s="94">
        <f t="shared" si="57"/>
        <v>0.15896807012762865</v>
      </c>
      <c r="CH25" s="95">
        <f t="shared" si="58"/>
        <v>3.6789753372394065</v>
      </c>
      <c r="CI25" s="96" t="e">
        <f>#REF!</f>
        <v>#REF!</v>
      </c>
      <c r="CJ25" s="94">
        <f t="shared" si="59"/>
        <v>0.4707819416920544</v>
      </c>
      <c r="CK25" s="94">
        <f t="shared" si="59"/>
        <v>1.9718615358829506E-2</v>
      </c>
      <c r="CL25" s="95">
        <f t="shared" si="69"/>
        <v>0.65810878760093461</v>
      </c>
      <c r="CM25" s="95" t="e">
        <f>#REF!</f>
        <v>#REF!</v>
      </c>
      <c r="CN25" s="94" t="str">
        <f t="shared" si="60"/>
        <v>0,00</v>
      </c>
      <c r="CO25" s="94" t="str">
        <f t="shared" si="60"/>
        <v>0,00</v>
      </c>
      <c r="CP25" s="95" t="str">
        <f t="shared" si="61"/>
        <v xml:space="preserve">0,00 </v>
      </c>
      <c r="CQ25" s="95" t="e">
        <f>#REF!</f>
        <v>#REF!</v>
      </c>
      <c r="CR25" s="97" t="str">
        <f t="shared" si="70"/>
        <v xml:space="preserve">0,00 </v>
      </c>
      <c r="CS25" s="95" t="str">
        <f t="shared" si="70"/>
        <v xml:space="preserve">0,00 </v>
      </c>
      <c r="CT25" s="96" t="e">
        <f>#REF!</f>
        <v>#REF!</v>
      </c>
      <c r="CU25" s="97">
        <f t="shared" si="71"/>
        <v>3.7852738051998305E-2</v>
      </c>
      <c r="CV25" s="95">
        <f t="shared" si="62"/>
        <v>0.13248458318199408</v>
      </c>
      <c r="CW25" s="96" t="e">
        <f>#REF!</f>
        <v>#REF!</v>
      </c>
      <c r="CX25" s="99">
        <f t="shared" si="63"/>
        <v>0.19283920633254592</v>
      </c>
      <c r="CY25" s="95">
        <f t="shared" si="63"/>
        <v>1.668159224329982E-2</v>
      </c>
      <c r="CZ25" s="99">
        <f t="shared" si="63"/>
        <v>0.41770706977222749</v>
      </c>
      <c r="DA25" s="95">
        <f t="shared" si="63"/>
        <v>3.3363184486599642E-3</v>
      </c>
      <c r="DB25" s="94">
        <f t="shared" si="13"/>
        <v>0.21752796285262965</v>
      </c>
      <c r="DC25" s="94">
        <f t="shared" si="14"/>
        <v>7.8069851698643167E-2</v>
      </c>
      <c r="DD25" s="94">
        <f t="shared" si="14"/>
        <v>1.2678010104907862E-2</v>
      </c>
      <c r="DE25" s="94">
        <f t="shared" si="14"/>
        <v>0.22686965450887753</v>
      </c>
      <c r="DF25" s="94">
        <f t="shared" si="14"/>
        <v>0</v>
      </c>
      <c r="DG25" s="94">
        <f t="shared" si="14"/>
        <v>0</v>
      </c>
      <c r="DH25" s="95">
        <f t="shared" si="14"/>
        <v>0.3082758246561807</v>
      </c>
      <c r="DI25" s="96" t="e">
        <f>#REF!</f>
        <v>#REF!</v>
      </c>
      <c r="DJ25" s="95">
        <f t="shared" si="64"/>
        <v>-0.23687860985485742</v>
      </c>
      <c r="DK25" s="96" t="e">
        <f>#REF!</f>
        <v>#REF!</v>
      </c>
      <c r="DL25" s="95">
        <f t="shared" si="15"/>
        <v>1.7956966696669066</v>
      </c>
      <c r="DM25" s="96">
        <f t="shared" si="16"/>
        <v>0</v>
      </c>
      <c r="DN25" s="94">
        <f t="shared" si="17"/>
        <v>2.147831736649171</v>
      </c>
      <c r="DO25" s="100">
        <v>3.4</v>
      </c>
      <c r="DP25" s="94">
        <f t="shared" si="72"/>
        <v>3.7066497964612202</v>
      </c>
      <c r="DQ25" s="94">
        <f t="shared" si="73"/>
        <v>3.8489361146200469</v>
      </c>
      <c r="DR25" s="101" t="str">
        <f t="shared" si="18"/>
        <v>3,45 hL/NhL</v>
      </c>
      <c r="DS25" s="173"/>
      <c r="DT25" s="103">
        <v>20</v>
      </c>
      <c r="DU25" s="120">
        <v>615809</v>
      </c>
      <c r="DV25" s="120">
        <v>24239</v>
      </c>
      <c r="DW25" s="120">
        <v>5109571</v>
      </c>
      <c r="DX25" s="120">
        <v>107893</v>
      </c>
      <c r="DY25" s="120">
        <v>82300</v>
      </c>
      <c r="DZ25" s="120">
        <v>375560</v>
      </c>
      <c r="EA25" s="120">
        <v>218977</v>
      </c>
      <c r="EB25" s="120">
        <v>51163</v>
      </c>
      <c r="EC25" s="120">
        <v>384550</v>
      </c>
      <c r="ED25" s="120">
        <v>45475</v>
      </c>
      <c r="EE25" s="120">
        <v>37208</v>
      </c>
      <c r="EF25" s="120">
        <v>39405</v>
      </c>
      <c r="EG25" s="120">
        <v>89961</v>
      </c>
      <c r="EH25" s="120">
        <v>177440</v>
      </c>
      <c r="EI25" s="120">
        <v>30302</v>
      </c>
      <c r="EJ25" s="120">
        <v>38604</v>
      </c>
      <c r="EK25" s="120"/>
      <c r="EL25" s="120">
        <v>685119</v>
      </c>
      <c r="EM25" s="120">
        <v>4147</v>
      </c>
      <c r="EN25" s="120">
        <v>41229</v>
      </c>
      <c r="EO25" s="120">
        <v>2911523</v>
      </c>
      <c r="EP25" s="120">
        <v>2895203</v>
      </c>
      <c r="EQ25" s="120">
        <v>0</v>
      </c>
      <c r="ER25" s="120">
        <v>976</v>
      </c>
      <c r="ES25" s="120">
        <v>308861</v>
      </c>
      <c r="ET25" s="120">
        <v>4715237</v>
      </c>
      <c r="EU25" s="120">
        <v>393563</v>
      </c>
      <c r="EV25" s="120">
        <v>120500</v>
      </c>
      <c r="EW25" s="120">
        <v>85728</v>
      </c>
      <c r="EX25" s="120">
        <v>201116</v>
      </c>
      <c r="EY25" s="120">
        <v>1591037</v>
      </c>
      <c r="EZ25" s="120">
        <v>727708</v>
      </c>
      <c r="FA25" s="151">
        <v>731593</v>
      </c>
      <c r="FB25" s="77">
        <v>29928</v>
      </c>
      <c r="FC25" s="77">
        <v>5910</v>
      </c>
      <c r="FD25" s="104">
        <f t="shared" si="76"/>
        <v>5154</v>
      </c>
      <c r="FE25" s="105">
        <f t="shared" si="78"/>
        <v>0</v>
      </c>
      <c r="FF25" s="105">
        <f t="shared" si="78"/>
        <v>0</v>
      </c>
      <c r="FG25" s="105">
        <f t="shared" si="78"/>
        <v>2010</v>
      </c>
      <c r="FH25" s="105">
        <f t="shared" si="78"/>
        <v>767</v>
      </c>
      <c r="FI25" s="105">
        <f t="shared" si="78"/>
        <v>807</v>
      </c>
      <c r="FJ25" s="105">
        <f t="shared" si="78"/>
        <v>987</v>
      </c>
      <c r="FK25" s="105">
        <f t="shared" si="78"/>
        <v>0</v>
      </c>
      <c r="FL25" s="105">
        <f t="shared" si="78"/>
        <v>583</v>
      </c>
      <c r="FM25" s="105">
        <f t="shared" si="78"/>
        <v>0</v>
      </c>
      <c r="FN25" s="124">
        <f t="shared" si="74"/>
        <v>401</v>
      </c>
      <c r="FO25" s="174">
        <f>FO24+401</f>
        <v>72063</v>
      </c>
      <c r="FP25" s="162"/>
      <c r="FQ25" s="175"/>
      <c r="FR25" s="64"/>
      <c r="FS25" s="64"/>
      <c r="FT25" s="64"/>
      <c r="FU25" s="64"/>
      <c r="FV25" s="64"/>
      <c r="FW25" s="64"/>
      <c r="FX25" s="64"/>
      <c r="FY25" s="64">
        <v>20</v>
      </c>
      <c r="FZ25" s="107"/>
      <c r="GA25" s="107"/>
      <c r="GB25" s="107"/>
      <c r="GC25" s="109"/>
      <c r="GD25" s="110"/>
      <c r="GE25" s="110"/>
      <c r="GF25" s="111"/>
      <c r="GG25" s="111"/>
      <c r="GH25" s="111"/>
      <c r="GI25" s="164"/>
      <c r="GJ25" s="111" t="e">
        <f t="shared" si="65"/>
        <v>#DIV/0!</v>
      </c>
      <c r="GK25" s="118"/>
    </row>
    <row r="26" spans="1:193" s="119" customFormat="1" ht="15" customHeight="1">
      <c r="B26" s="573">
        <v>42846</v>
      </c>
      <c r="D26" s="308">
        <v>3858.96</v>
      </c>
      <c r="E26" s="86">
        <v>4885.68</v>
      </c>
      <c r="F26" s="86"/>
      <c r="G26" s="86"/>
      <c r="H26" s="86">
        <v>4947.1450000000004</v>
      </c>
      <c r="I26" s="86">
        <v>1937.56</v>
      </c>
      <c r="J26" s="284">
        <v>7402.08</v>
      </c>
      <c r="K26" s="284"/>
      <c r="L26" s="167"/>
      <c r="M26" s="115">
        <f t="shared" si="21"/>
        <v>9339.64</v>
      </c>
      <c r="N26" s="88">
        <f t="shared" si="0"/>
        <v>13691.785</v>
      </c>
      <c r="O26" s="88">
        <f t="shared" si="22"/>
        <v>18361.605</v>
      </c>
      <c r="P26" s="89">
        <f t="shared" si="23"/>
        <v>332232.49400000006</v>
      </c>
      <c r="R26" s="90">
        <f t="shared" si="24"/>
        <v>289</v>
      </c>
      <c r="S26" s="90">
        <f t="shared" si="25"/>
        <v>103.4</v>
      </c>
      <c r="T26" s="90">
        <f t="shared" si="1"/>
        <v>169.7</v>
      </c>
      <c r="U26" s="90">
        <f t="shared" si="75"/>
        <v>5.2</v>
      </c>
      <c r="V26" s="90">
        <f t="shared" si="26"/>
        <v>1209</v>
      </c>
      <c r="W26" s="91">
        <f t="shared" si="2"/>
        <v>376.4</v>
      </c>
      <c r="X26" s="90">
        <f t="shared" si="27"/>
        <v>1209</v>
      </c>
      <c r="Y26" s="90" t="str">
        <f t="shared" si="28"/>
        <v>0</v>
      </c>
      <c r="Z26" s="90">
        <f t="shared" si="3"/>
        <v>117.9</v>
      </c>
      <c r="AA26" s="90">
        <f t="shared" si="29"/>
        <v>1776.3</v>
      </c>
      <c r="AB26" s="90">
        <f t="shared" si="30"/>
        <v>243</v>
      </c>
      <c r="AC26" s="90">
        <f t="shared" si="30"/>
        <v>52</v>
      </c>
      <c r="AD26" s="90">
        <f t="shared" si="31"/>
        <v>489</v>
      </c>
      <c r="AE26" s="90">
        <f t="shared" si="32"/>
        <v>194</v>
      </c>
      <c r="AF26" s="90">
        <f t="shared" si="33"/>
        <v>206</v>
      </c>
      <c r="AG26" s="90">
        <f t="shared" si="33"/>
        <v>10</v>
      </c>
      <c r="AH26" s="90">
        <f t="shared" si="34"/>
        <v>289</v>
      </c>
      <c r="AI26" s="90">
        <f t="shared" si="35"/>
        <v>73</v>
      </c>
      <c r="AJ26" s="90">
        <f t="shared" si="36"/>
        <v>128</v>
      </c>
      <c r="AK26" s="90">
        <f t="shared" si="36"/>
        <v>0</v>
      </c>
      <c r="AL26" s="90">
        <f t="shared" si="37"/>
        <v>178</v>
      </c>
      <c r="AM26" s="90">
        <f t="shared" si="38"/>
        <v>50</v>
      </c>
      <c r="AN26" s="90">
        <f t="shared" si="39"/>
        <v>0</v>
      </c>
      <c r="AO26" s="90">
        <f t="shared" si="4"/>
        <v>0</v>
      </c>
      <c r="AP26" s="90">
        <f t="shared" si="40"/>
        <v>23</v>
      </c>
      <c r="AQ26" s="90">
        <f t="shared" si="5"/>
        <v>54</v>
      </c>
      <c r="AR26" s="90">
        <f t="shared" si="41"/>
        <v>52.908999999999999</v>
      </c>
      <c r="AS26" s="90">
        <f t="shared" si="42"/>
        <v>-5.0910000000000082</v>
      </c>
      <c r="AT26" s="90">
        <f t="shared" si="43"/>
        <v>904.90899999999999</v>
      </c>
      <c r="AU26" s="90">
        <f t="shared" si="44"/>
        <v>311</v>
      </c>
      <c r="AV26" s="90">
        <f t="shared" si="66"/>
        <v>14</v>
      </c>
      <c r="AW26" s="90">
        <f t="shared" si="45"/>
        <v>599</v>
      </c>
      <c r="AX26" s="90">
        <f t="shared" si="67"/>
        <v>49</v>
      </c>
      <c r="AY26" s="90" t="str">
        <f t="shared" si="46"/>
        <v/>
      </c>
      <c r="AZ26" s="90">
        <f t="shared" si="47"/>
        <v>422</v>
      </c>
      <c r="BA26" s="90">
        <v>17</v>
      </c>
      <c r="BB26" s="90">
        <f t="shared" si="48"/>
        <v>123</v>
      </c>
      <c r="BC26" s="90">
        <f t="shared" si="48"/>
        <v>962</v>
      </c>
      <c r="BD26" s="91">
        <f t="shared" si="49"/>
        <v>54</v>
      </c>
      <c r="BE26" s="90"/>
      <c r="BF26" s="90"/>
      <c r="BG26" s="90">
        <f t="shared" si="6"/>
        <v>1507</v>
      </c>
      <c r="BH26" s="90">
        <f t="shared" si="50"/>
        <v>509</v>
      </c>
      <c r="BI26" s="90">
        <f t="shared" si="51"/>
        <v>1889.7910000000002</v>
      </c>
      <c r="BJ26" s="90">
        <f t="shared" si="7"/>
        <v>4351.2089999999998</v>
      </c>
      <c r="BK26" s="92"/>
      <c r="BL26" s="93">
        <f t="shared" si="52"/>
        <v>6750</v>
      </c>
      <c r="BM26" s="93">
        <f t="shared" si="53"/>
        <v>127556.90000000002</v>
      </c>
      <c r="BN26" s="92"/>
      <c r="BO26" s="94">
        <f t="shared" si="54"/>
        <v>0.21107547335865995</v>
      </c>
      <c r="BP26" s="94">
        <f t="shared" si="54"/>
        <v>7.551973683489771E-2</v>
      </c>
      <c r="BQ26" s="94">
        <f t="shared" si="55"/>
        <v>0.12394293366423734</v>
      </c>
      <c r="BR26" s="94">
        <f t="shared" si="68"/>
        <v>0.88301123629972278</v>
      </c>
      <c r="BS26" s="94">
        <f t="shared" si="77"/>
        <v>0</v>
      </c>
      <c r="BT26" s="94">
        <f t="shared" si="77"/>
        <v>8.611002875081665E-2</v>
      </c>
      <c r="BU26" s="95">
        <f t="shared" si="77"/>
        <v>1.2973472779480542</v>
      </c>
      <c r="BV26" s="94">
        <f t="shared" si="9"/>
        <v>0.15739364832213742</v>
      </c>
      <c r="BW26" s="94">
        <f t="shared" si="9"/>
        <v>5.6313159987920455E-2</v>
      </c>
      <c r="BX26" s="94">
        <f t="shared" si="9"/>
        <v>9.2421114602999038E-2</v>
      </c>
      <c r="BY26" s="94">
        <f t="shared" si="56"/>
        <v>0.65843917239260952</v>
      </c>
      <c r="BZ26" s="95">
        <f t="shared" si="10"/>
        <v>0.96739909174606464</v>
      </c>
      <c r="CA26" s="96" t="e">
        <f>#REF!</f>
        <v>#REF!</v>
      </c>
      <c r="CB26" s="94">
        <f t="shared" si="11"/>
        <v>2.8815019166352832E-2</v>
      </c>
      <c r="CC26" s="95">
        <f t="shared" si="11"/>
        <v>-2.7726334380899754E-3</v>
      </c>
      <c r="CD26" s="97">
        <f t="shared" si="12"/>
        <v>5.6649935115272117E-2</v>
      </c>
      <c r="CE26" s="98">
        <f t="shared" si="12"/>
        <v>-5.4509595658933409E-3</v>
      </c>
      <c r="CF26" s="94">
        <f t="shared" si="57"/>
        <v>0.6297033397599352</v>
      </c>
      <c r="CG26" s="94">
        <f t="shared" si="57"/>
        <v>0.13475133196508904</v>
      </c>
      <c r="CH26" s="95">
        <f t="shared" si="58"/>
        <v>1.2671807948255489</v>
      </c>
      <c r="CI26" s="96" t="e">
        <f>#REF!</f>
        <v>#REF!</v>
      </c>
      <c r="CJ26" s="94">
        <f t="shared" si="59"/>
        <v>0.42164038578048502</v>
      </c>
      <c r="CK26" s="94">
        <f t="shared" si="59"/>
        <v>2.0467979892256554E-2</v>
      </c>
      <c r="CL26" s="95">
        <f t="shared" si="69"/>
        <v>0.59152461888621433</v>
      </c>
      <c r="CM26" s="95" t="e">
        <f>#REF!</f>
        <v>#REF!</v>
      </c>
      <c r="CN26" s="94" t="str">
        <f t="shared" si="60"/>
        <v>0,00</v>
      </c>
      <c r="CO26" s="94" t="str">
        <f t="shared" si="60"/>
        <v>0,00</v>
      </c>
      <c r="CP26" s="95" t="str">
        <f t="shared" si="61"/>
        <v xml:space="preserve">0,00 </v>
      </c>
      <c r="CQ26" s="95" t="e">
        <f>#REF!</f>
        <v>#REF!</v>
      </c>
      <c r="CR26" s="97" t="str">
        <f t="shared" si="70"/>
        <v xml:space="preserve">0,00 </v>
      </c>
      <c r="CS26" s="95" t="str">
        <f t="shared" si="70"/>
        <v xml:space="preserve">0,00 </v>
      </c>
      <c r="CT26" s="96" t="e">
        <f>#REF!</f>
        <v>#REF!</v>
      </c>
      <c r="CU26" s="97">
        <f t="shared" si="71"/>
        <v>4.6491461236733506E-2</v>
      </c>
      <c r="CV26" s="95">
        <f t="shared" si="62"/>
        <v>0.10915386551233085</v>
      </c>
      <c r="CW26" s="96" t="e">
        <f>#REF!</f>
        <v>#REF!</v>
      </c>
      <c r="CX26" s="99">
        <f t="shared" si="63"/>
        <v>0.16937517172382263</v>
      </c>
      <c r="CY26" s="95">
        <f t="shared" si="63"/>
        <v>7.6246058010724007E-3</v>
      </c>
      <c r="CZ26" s="99">
        <f t="shared" si="63"/>
        <v>0.32622420534588348</v>
      </c>
      <c r="DA26" s="95">
        <f t="shared" si="63"/>
        <v>2.6686120303753402E-2</v>
      </c>
      <c r="DB26" s="94">
        <f t="shared" si="13"/>
        <v>0.22982740343232524</v>
      </c>
      <c r="DC26" s="94">
        <f t="shared" si="14"/>
        <v>6.6987608109421809E-2</v>
      </c>
      <c r="DD26" s="94">
        <f t="shared" si="14"/>
        <v>0.52391934147368924</v>
      </c>
      <c r="DE26" s="94">
        <f t="shared" si="14"/>
        <v>2.9409193804136403E-2</v>
      </c>
      <c r="DF26" s="94">
        <f t="shared" si="14"/>
        <v>0</v>
      </c>
      <c r="DG26" s="94">
        <f t="shared" si="14"/>
        <v>0</v>
      </c>
      <c r="DH26" s="95">
        <f t="shared" si="14"/>
        <v>0.8207343530154364</v>
      </c>
      <c r="DI26" s="96" t="e">
        <f>#REF!</f>
        <v>#REF!</v>
      </c>
      <c r="DJ26" s="95">
        <f t="shared" si="64"/>
        <v>0.27720888233898944</v>
      </c>
      <c r="DK26" s="96" t="e">
        <f>#REF!</f>
        <v>#REF!</v>
      </c>
      <c r="DL26" s="95">
        <f t="shared" si="15"/>
        <v>1.0292079586724583</v>
      </c>
      <c r="DM26" s="96">
        <f t="shared" si="16"/>
        <v>0</v>
      </c>
      <c r="DN26" s="94">
        <f t="shared" si="17"/>
        <v>2.3697323845056029</v>
      </c>
      <c r="DO26" s="100">
        <v>3.4</v>
      </c>
      <c r="DP26" s="94">
        <f>IF($O26&lt;&gt;0,IF($O26&lt;&gt;0,BL26/$O26*10,0)," ")</f>
        <v>3.67614922551705</v>
      </c>
      <c r="DQ26" s="94">
        <f>IF($P26&lt;&gt;0,IF($P26&lt;&gt;0,BM26/$P26*10,0)," ")</f>
        <v>3.8393866434991155</v>
      </c>
      <c r="DR26" s="101" t="str">
        <f t="shared" si="18"/>
        <v>3,45 hL/NhL</v>
      </c>
      <c r="DS26" s="173"/>
      <c r="DT26" s="103">
        <v>21</v>
      </c>
      <c r="DU26" s="120">
        <v>616052</v>
      </c>
      <c r="DV26" s="120">
        <v>24291</v>
      </c>
      <c r="DW26" s="120">
        <v>5110060</v>
      </c>
      <c r="DX26" s="120">
        <v>108099</v>
      </c>
      <c r="DY26" s="120">
        <v>82310</v>
      </c>
      <c r="DZ26" s="120">
        <v>375849</v>
      </c>
      <c r="EA26" s="120">
        <v>219105</v>
      </c>
      <c r="EB26" s="120">
        <v>51163</v>
      </c>
      <c r="EC26" s="120">
        <v>384728</v>
      </c>
      <c r="ED26" s="120">
        <v>45475</v>
      </c>
      <c r="EE26" s="120">
        <v>37208</v>
      </c>
      <c r="EF26" s="120">
        <v>39405</v>
      </c>
      <c r="EG26" s="120">
        <v>89984</v>
      </c>
      <c r="EH26" s="120">
        <v>177494</v>
      </c>
      <c r="EI26" s="120">
        <v>30316</v>
      </c>
      <c r="EJ26" s="120">
        <v>38653</v>
      </c>
      <c r="EK26" s="120"/>
      <c r="EL26" s="120">
        <v>685408</v>
      </c>
      <c r="EM26" s="120">
        <v>1697</v>
      </c>
      <c r="EN26" s="120">
        <v>41281</v>
      </c>
      <c r="EO26" s="120">
        <v>2912732</v>
      </c>
      <c r="EP26" s="120">
        <v>2898967</v>
      </c>
      <c r="EQ26" s="120">
        <v>0</v>
      </c>
      <c r="ER26" s="120">
        <v>1179</v>
      </c>
      <c r="ES26" s="120">
        <v>309713</v>
      </c>
      <c r="ET26" s="120">
        <v>4768146</v>
      </c>
      <c r="EU26" s="120">
        <v>394162</v>
      </c>
      <c r="EV26" s="120">
        <v>120811</v>
      </c>
      <c r="EW26" s="120">
        <v>86150</v>
      </c>
      <c r="EX26" s="120">
        <v>201239</v>
      </c>
      <c r="EY26" s="120">
        <v>1591999</v>
      </c>
      <c r="EZ26" s="120">
        <v>728742</v>
      </c>
      <c r="FA26" s="145">
        <v>731647</v>
      </c>
      <c r="FB26" s="136">
        <v>29937</v>
      </c>
      <c r="FC26" s="136">
        <v>6241</v>
      </c>
      <c r="FD26" s="104">
        <f t="shared" si="76"/>
        <v>6750</v>
      </c>
      <c r="FE26" s="105">
        <f t="shared" si="78"/>
        <v>0</v>
      </c>
      <c r="FF26" s="105">
        <f t="shared" si="78"/>
        <v>453</v>
      </c>
      <c r="FG26" s="105">
        <f t="shared" si="78"/>
        <v>2006</v>
      </c>
      <c r="FH26" s="105">
        <f t="shared" si="78"/>
        <v>2288</v>
      </c>
      <c r="FI26" s="105">
        <f t="shared" si="78"/>
        <v>620</v>
      </c>
      <c r="FJ26" s="105">
        <f t="shared" si="78"/>
        <v>775</v>
      </c>
      <c r="FK26" s="105">
        <f t="shared" si="78"/>
        <v>0</v>
      </c>
      <c r="FL26" s="105">
        <f t="shared" si="78"/>
        <v>608</v>
      </c>
      <c r="FM26" s="105">
        <f t="shared" si="78"/>
        <v>0</v>
      </c>
      <c r="FN26" s="80">
        <f t="shared" si="74"/>
        <v>0</v>
      </c>
      <c r="FO26" s="174">
        <v>72063</v>
      </c>
      <c r="FP26" s="162"/>
      <c r="FY26" s="119">
        <v>21</v>
      </c>
      <c r="FZ26" s="107"/>
      <c r="GA26" s="107"/>
      <c r="GB26" s="107"/>
      <c r="GC26" s="109"/>
      <c r="GD26" s="110"/>
      <c r="GE26" s="110"/>
      <c r="GF26" s="111"/>
      <c r="GG26" s="111"/>
      <c r="GH26" s="111"/>
      <c r="GI26" s="164"/>
      <c r="GJ26" s="111" t="e">
        <f t="shared" si="65"/>
        <v>#DIV/0!</v>
      </c>
      <c r="GK26" s="113"/>
    </row>
    <row r="27" spans="1:193" s="119" customFormat="1" ht="15" customHeight="1">
      <c r="B27" s="573">
        <v>42847</v>
      </c>
      <c r="D27" s="308">
        <v>4994.2800000000007</v>
      </c>
      <c r="E27" s="86">
        <v>3405</v>
      </c>
      <c r="F27" s="86">
        <v>1347.84</v>
      </c>
      <c r="G27" s="86"/>
      <c r="H27" s="86">
        <v>4079.2849999999999</v>
      </c>
      <c r="I27" s="86">
        <v>2246.6179999999999</v>
      </c>
      <c r="J27" s="86">
        <v>6093.24</v>
      </c>
      <c r="K27" s="284"/>
      <c r="L27" s="167"/>
      <c r="M27" s="115">
        <f t="shared" si="21"/>
        <v>8339.8580000000002</v>
      </c>
      <c r="N27" s="88">
        <f t="shared" si="0"/>
        <v>13826.405000000001</v>
      </c>
      <c r="O27" s="88">
        <f t="shared" si="22"/>
        <v>17996.334000000003</v>
      </c>
      <c r="P27" s="89">
        <f t="shared" si="23"/>
        <v>350228.8280000001</v>
      </c>
      <c r="R27" s="90">
        <f t="shared" si="24"/>
        <v>246</v>
      </c>
      <c r="S27" s="90">
        <f t="shared" si="25"/>
        <v>74</v>
      </c>
      <c r="T27" s="90">
        <f t="shared" si="1"/>
        <v>385.7</v>
      </c>
      <c r="U27" s="90">
        <f t="shared" si="75"/>
        <v>5.3</v>
      </c>
      <c r="V27" s="90">
        <f t="shared" si="26"/>
        <v>1391</v>
      </c>
      <c r="W27" s="91">
        <f t="shared" si="2"/>
        <v>202.6</v>
      </c>
      <c r="X27" s="90">
        <f t="shared" si="27"/>
        <v>1391</v>
      </c>
      <c r="Y27" s="90" t="str">
        <f t="shared" si="28"/>
        <v>0</v>
      </c>
      <c r="Z27" s="90">
        <f t="shared" si="3"/>
        <v>148.9</v>
      </c>
      <c r="AA27" s="90">
        <f t="shared" si="29"/>
        <v>2102</v>
      </c>
      <c r="AB27" s="90">
        <f t="shared" si="30"/>
        <v>0</v>
      </c>
      <c r="AC27" s="90">
        <f t="shared" si="30"/>
        <v>0</v>
      </c>
      <c r="AD27" s="90">
        <f t="shared" si="31"/>
        <v>355</v>
      </c>
      <c r="AE27" s="90">
        <f t="shared" si="32"/>
        <v>355</v>
      </c>
      <c r="AF27" s="90">
        <f t="shared" si="33"/>
        <v>146</v>
      </c>
      <c r="AG27" s="90">
        <f t="shared" si="33"/>
        <v>11</v>
      </c>
      <c r="AH27" s="90">
        <f t="shared" si="34"/>
        <v>228</v>
      </c>
      <c r="AI27" s="90">
        <f t="shared" si="35"/>
        <v>71</v>
      </c>
      <c r="AJ27" s="90">
        <f t="shared" si="36"/>
        <v>172</v>
      </c>
      <c r="AK27" s="90">
        <f t="shared" si="36"/>
        <v>137</v>
      </c>
      <c r="AL27" s="90">
        <f t="shared" si="37"/>
        <v>374</v>
      </c>
      <c r="AM27" s="90">
        <f t="shared" si="38"/>
        <v>65</v>
      </c>
      <c r="AN27" s="90">
        <f t="shared" si="39"/>
        <v>34</v>
      </c>
      <c r="AO27" s="90">
        <f t="shared" si="4"/>
        <v>0</v>
      </c>
      <c r="AP27" s="90">
        <f t="shared" si="40"/>
        <v>21</v>
      </c>
      <c r="AQ27" s="90">
        <f t="shared" si="5"/>
        <v>30</v>
      </c>
      <c r="AR27" s="90">
        <f t="shared" si="41"/>
        <v>97.322999999999993</v>
      </c>
      <c r="AS27" s="90">
        <f t="shared" si="42"/>
        <v>-12.677000000000021</v>
      </c>
      <c r="AT27" s="90">
        <f t="shared" si="43"/>
        <v>928.32299999999998</v>
      </c>
      <c r="AU27" s="90">
        <f t="shared" si="44"/>
        <v>453</v>
      </c>
      <c r="AV27" s="90">
        <f t="shared" si="66"/>
        <v>62</v>
      </c>
      <c r="AW27" s="90">
        <f t="shared" si="45"/>
        <v>488</v>
      </c>
      <c r="AX27" s="90">
        <f t="shared" si="67"/>
        <v>32</v>
      </c>
      <c r="AY27" s="90" t="str">
        <f t="shared" si="46"/>
        <v/>
      </c>
      <c r="AZ27" s="90">
        <f t="shared" si="47"/>
        <v>355</v>
      </c>
      <c r="BA27" s="90">
        <v>45</v>
      </c>
      <c r="BB27" s="90">
        <f t="shared" si="48"/>
        <v>96</v>
      </c>
      <c r="BC27" s="90">
        <f t="shared" si="48"/>
        <v>975</v>
      </c>
      <c r="BD27" s="91">
        <f t="shared" si="49"/>
        <v>0</v>
      </c>
      <c r="BE27" s="90"/>
      <c r="BF27" s="90"/>
      <c r="BG27" s="90">
        <f t="shared" si="6"/>
        <v>1426</v>
      </c>
      <c r="BH27" s="90">
        <f t="shared" si="50"/>
        <v>2026</v>
      </c>
      <c r="BI27" s="90">
        <f t="shared" si="51"/>
        <v>2023.6769999999997</v>
      </c>
      <c r="BJ27" s="90">
        <f t="shared" si="7"/>
        <v>4596.3230000000003</v>
      </c>
      <c r="BK27" s="92"/>
      <c r="BL27" s="93">
        <f t="shared" si="52"/>
        <v>8646</v>
      </c>
      <c r="BM27" s="93">
        <f t="shared" si="53"/>
        <v>136202.90000000002</v>
      </c>
      <c r="BN27" s="92"/>
      <c r="BO27" s="94">
        <f t="shared" si="54"/>
        <v>0.17792043557237039</v>
      </c>
      <c r="BP27" s="94">
        <f t="shared" si="54"/>
        <v>5.3520781432339064E-2</v>
      </c>
      <c r="BQ27" s="94">
        <f t="shared" si="55"/>
        <v>0.27895899187098888</v>
      </c>
      <c r="BR27" s="94">
        <f t="shared" si="68"/>
        <v>1.0060460401673463</v>
      </c>
      <c r="BS27" s="94">
        <f t="shared" si="77"/>
        <v>0</v>
      </c>
      <c r="BT27" s="94">
        <f t="shared" si="77"/>
        <v>0.10769249128750387</v>
      </c>
      <c r="BU27" s="95">
        <f t="shared" si="77"/>
        <v>1.5202794941996853</v>
      </c>
      <c r="BV27" s="94">
        <f t="shared" si="9"/>
        <v>0.13669450678121442</v>
      </c>
      <c r="BW27" s="94">
        <f t="shared" si="9"/>
        <v>4.1119485779714908E-2</v>
      </c>
      <c r="BX27" s="94">
        <f t="shared" si="9"/>
        <v>0.2143214279085951</v>
      </c>
      <c r="BY27" s="94">
        <f t="shared" si="56"/>
        <v>0.77293519891328977</v>
      </c>
      <c r="BZ27" s="95">
        <f t="shared" si="10"/>
        <v>1.1680156636346046</v>
      </c>
      <c r="CA27" s="96" t="e">
        <f>#REF!</f>
        <v>#REF!</v>
      </c>
      <c r="CB27" s="94">
        <f t="shared" si="11"/>
        <v>5.407934749377289E-2</v>
      </c>
      <c r="CC27" s="95">
        <f t="shared" si="11"/>
        <v>-7.044212449046577E-3</v>
      </c>
      <c r="CD27" s="97">
        <f t="shared" si="12"/>
        <v>0.11669623151857021</v>
      </c>
      <c r="CE27" s="98">
        <f t="shared" si="12"/>
        <v>-1.5200498617602387E-2</v>
      </c>
      <c r="CF27" s="94">
        <f t="shared" si="57"/>
        <v>0</v>
      </c>
      <c r="CG27" s="94">
        <f t="shared" si="57"/>
        <v>0</v>
      </c>
      <c r="CH27" s="95">
        <f t="shared" si="58"/>
        <v>0.71081317026678514</v>
      </c>
      <c r="CI27" s="96" t="e">
        <f>#REF!</f>
        <v>#REF!</v>
      </c>
      <c r="CJ27" s="94">
        <f t="shared" si="59"/>
        <v>0.42878120411160059</v>
      </c>
      <c r="CK27" s="94">
        <f t="shared" si="59"/>
        <v>3.2305433186490456E-2</v>
      </c>
      <c r="CL27" s="95">
        <f t="shared" si="69"/>
        <v>0.66960352422907488</v>
      </c>
      <c r="CM27" s="95" t="e">
        <f>#REF!</f>
        <v>#REF!</v>
      </c>
      <c r="CN27" s="94">
        <f t="shared" si="60"/>
        <v>1.2761158594491928</v>
      </c>
      <c r="CO27" s="94">
        <f t="shared" si="60"/>
        <v>1.0164411206077875</v>
      </c>
      <c r="CP27" s="95">
        <f t="shared" si="61"/>
        <v>2.7748100664767335</v>
      </c>
      <c r="CQ27" s="95" t="e">
        <f>#REF!</f>
        <v>#REF!</v>
      </c>
      <c r="CR27" s="97" t="str">
        <f t="shared" si="70"/>
        <v xml:space="preserve">0,00 </v>
      </c>
      <c r="CS27" s="95" t="str">
        <f t="shared" si="70"/>
        <v xml:space="preserve">0,00 </v>
      </c>
      <c r="CT27" s="96" t="e">
        <f>#REF!</f>
        <v>#REF!</v>
      </c>
      <c r="CU27" s="97">
        <f t="shared" si="71"/>
        <v>5.1479609784557831E-2</v>
      </c>
      <c r="CV27" s="95">
        <f t="shared" si="62"/>
        <v>7.3542299692225477E-2</v>
      </c>
      <c r="CW27" s="96" t="e">
        <f>#REF!</f>
        <v>#REF!</v>
      </c>
      <c r="CX27" s="99">
        <f t="shared" si="63"/>
        <v>0.2517179332190656</v>
      </c>
      <c r="CY27" s="95">
        <f t="shared" si="63"/>
        <v>3.4451461058680057E-2</v>
      </c>
      <c r="CZ27" s="99">
        <f t="shared" si="63"/>
        <v>0.27116633865541723</v>
      </c>
      <c r="DA27" s="95">
        <f t="shared" si="63"/>
        <v>1.7781399256092931E-2</v>
      </c>
      <c r="DB27" s="94">
        <f t="shared" si="13"/>
        <v>0.19726239799728096</v>
      </c>
      <c r="DC27" s="94">
        <f t="shared" si="14"/>
        <v>5.3344197768278798E-2</v>
      </c>
      <c r="DD27" s="94">
        <f t="shared" si="14"/>
        <v>0.54177700858408151</v>
      </c>
      <c r="DE27" s="94">
        <f t="shared" si="14"/>
        <v>0</v>
      </c>
      <c r="DF27" s="94">
        <f t="shared" si="14"/>
        <v>0</v>
      </c>
      <c r="DG27" s="94">
        <f t="shared" si="14"/>
        <v>0</v>
      </c>
      <c r="DH27" s="95">
        <f t="shared" si="14"/>
        <v>0.79238360434964128</v>
      </c>
      <c r="DI27" s="96" t="e">
        <f>#REF!</f>
        <v>#REF!</v>
      </c>
      <c r="DJ27" s="95">
        <f t="shared" si="64"/>
        <v>1.1257848404013839</v>
      </c>
      <c r="DK27" s="96" t="e">
        <f>#REF!</f>
        <v>#REF!</v>
      </c>
      <c r="DL27" s="95">
        <f t="shared" si="15"/>
        <v>1.1244940219491366</v>
      </c>
      <c r="DM27" s="96">
        <f t="shared" si="16"/>
        <v>0</v>
      </c>
      <c r="DN27" s="94">
        <f t="shared" si="17"/>
        <v>2.554032949155089</v>
      </c>
      <c r="DO27" s="100">
        <v>3.4</v>
      </c>
      <c r="DP27" s="94">
        <f t="shared" si="72"/>
        <v>4.8043118115056096</v>
      </c>
      <c r="DQ27" s="94">
        <f t="shared" si="73"/>
        <v>3.888968842964577</v>
      </c>
      <c r="DR27" s="101" t="str">
        <f t="shared" si="18"/>
        <v>3,45 hL/NhL</v>
      </c>
      <c r="DS27" s="173"/>
      <c r="DT27" s="103">
        <v>22</v>
      </c>
      <c r="DU27" s="120">
        <v>616052</v>
      </c>
      <c r="DV27" s="120">
        <v>24291</v>
      </c>
      <c r="DW27" s="120">
        <v>5110415</v>
      </c>
      <c r="DX27" s="120">
        <v>108245</v>
      </c>
      <c r="DY27" s="120">
        <v>82321</v>
      </c>
      <c r="DZ27" s="120">
        <v>376077</v>
      </c>
      <c r="EA27" s="120">
        <v>219277</v>
      </c>
      <c r="EB27" s="120">
        <v>51300</v>
      </c>
      <c r="EC27" s="120">
        <v>385102</v>
      </c>
      <c r="ED27" s="120">
        <v>45509</v>
      </c>
      <c r="EE27" s="120">
        <v>37208</v>
      </c>
      <c r="EF27" s="120">
        <v>39405</v>
      </c>
      <c r="EG27" s="120">
        <v>90005</v>
      </c>
      <c r="EH27" s="120">
        <v>177524</v>
      </c>
      <c r="EI27" s="120">
        <v>30378</v>
      </c>
      <c r="EJ27" s="120">
        <v>38685</v>
      </c>
      <c r="EK27" s="120"/>
      <c r="EL27" s="120">
        <v>685654</v>
      </c>
      <c r="EM27" s="120">
        <v>3857</v>
      </c>
      <c r="EN27" s="120">
        <v>41334</v>
      </c>
      <c r="EO27" s="120">
        <v>2914123</v>
      </c>
      <c r="EP27" s="120">
        <v>2900993</v>
      </c>
      <c r="EQ27" s="120">
        <v>0</v>
      </c>
      <c r="ER27" s="120">
        <v>1489</v>
      </c>
      <c r="ES27" s="120">
        <v>310544</v>
      </c>
      <c r="ET27" s="120">
        <v>4865469</v>
      </c>
      <c r="EU27" s="120">
        <v>394650</v>
      </c>
      <c r="EV27" s="120">
        <v>121264</v>
      </c>
      <c r="EW27" s="120">
        <v>86505</v>
      </c>
      <c r="EX27" s="120">
        <v>201335</v>
      </c>
      <c r="EY27" s="120">
        <v>1592974</v>
      </c>
      <c r="EZ27" s="120">
        <v>729482</v>
      </c>
      <c r="FA27" s="151">
        <v>731647</v>
      </c>
      <c r="FB27" s="77">
        <v>29986</v>
      </c>
      <c r="FC27" s="176">
        <v>6620</v>
      </c>
      <c r="FD27" s="104">
        <f t="shared" si="76"/>
        <v>8646</v>
      </c>
      <c r="FE27" s="105">
        <f t="shared" si="78"/>
        <v>0</v>
      </c>
      <c r="FF27" s="105">
        <f t="shared" si="78"/>
        <v>777</v>
      </c>
      <c r="FG27" s="105">
        <f t="shared" si="78"/>
        <v>1989</v>
      </c>
      <c r="FH27" s="105">
        <f t="shared" si="78"/>
        <v>2074</v>
      </c>
      <c r="FI27" s="105">
        <f t="shared" si="78"/>
        <v>615</v>
      </c>
      <c r="FJ27" s="105">
        <f t="shared" si="78"/>
        <v>807</v>
      </c>
      <c r="FK27" s="105">
        <f t="shared" si="78"/>
        <v>0</v>
      </c>
      <c r="FL27" s="105">
        <f t="shared" si="78"/>
        <v>2384</v>
      </c>
      <c r="FM27" s="105">
        <f t="shared" si="78"/>
        <v>0</v>
      </c>
      <c r="FN27" s="80">
        <f t="shared" si="74"/>
        <v>0</v>
      </c>
      <c r="FO27" s="174">
        <v>72063</v>
      </c>
      <c r="FP27" s="162"/>
      <c r="FY27" s="119">
        <v>22</v>
      </c>
      <c r="FZ27" s="107"/>
      <c r="GA27" s="107"/>
      <c r="GB27" s="107"/>
      <c r="GC27" s="109"/>
      <c r="GD27" s="110"/>
      <c r="GE27" s="110"/>
      <c r="GF27" s="111"/>
      <c r="GG27" s="111"/>
      <c r="GH27" s="111"/>
      <c r="GI27" s="112"/>
      <c r="GJ27" s="111" t="e">
        <f t="shared" si="65"/>
        <v>#DIV/0!</v>
      </c>
      <c r="GK27" s="113"/>
    </row>
    <row r="28" spans="1:193" ht="15" customHeight="1">
      <c r="B28" s="573">
        <v>42848</v>
      </c>
      <c r="D28" s="321"/>
      <c r="E28" s="85"/>
      <c r="F28" s="85">
        <v>3037.8240000000001</v>
      </c>
      <c r="G28" s="85"/>
      <c r="H28" s="85">
        <v>6498.3950000000004</v>
      </c>
      <c r="I28" s="85"/>
      <c r="J28" s="85">
        <v>4742.88</v>
      </c>
      <c r="K28" s="167"/>
      <c r="L28" s="167"/>
      <c r="M28" s="115">
        <f t="shared" si="21"/>
        <v>4742.88</v>
      </c>
      <c r="N28" s="88">
        <f t="shared" si="0"/>
        <v>9536.219000000001</v>
      </c>
      <c r="O28" s="88">
        <f t="shared" si="22"/>
        <v>11907.659000000001</v>
      </c>
      <c r="P28" s="89">
        <f t="shared" si="23"/>
        <v>362136.48700000008</v>
      </c>
      <c r="R28" s="90">
        <f t="shared" si="24"/>
        <v>272</v>
      </c>
      <c r="S28" s="90">
        <f t="shared" si="25"/>
        <v>91.9</v>
      </c>
      <c r="T28" s="90">
        <f t="shared" si="1"/>
        <v>589.1</v>
      </c>
      <c r="U28" s="90">
        <f t="shared" si="75"/>
        <v>5.6</v>
      </c>
      <c r="V28" s="90">
        <f t="shared" si="26"/>
        <v>1391</v>
      </c>
      <c r="W28" s="91">
        <f t="shared" si="2"/>
        <v>182.5</v>
      </c>
      <c r="X28" s="90">
        <f t="shared" si="27"/>
        <v>1391</v>
      </c>
      <c r="Y28" s="90" t="str">
        <f t="shared" si="28"/>
        <v>0</v>
      </c>
      <c r="Z28" s="90">
        <f t="shared" si="3"/>
        <v>144.19999999999999</v>
      </c>
      <c r="AA28" s="90">
        <f t="shared" si="29"/>
        <v>2349.6</v>
      </c>
      <c r="AB28" s="90">
        <f t="shared" si="30"/>
        <v>244</v>
      </c>
      <c r="AC28" s="90">
        <f t="shared" si="30"/>
        <v>34</v>
      </c>
      <c r="AD28" s="90">
        <f t="shared" si="31"/>
        <v>278</v>
      </c>
      <c r="AE28" s="90">
        <f t="shared" si="32"/>
        <v>0</v>
      </c>
      <c r="AF28" s="90">
        <f t="shared" si="33"/>
        <v>45</v>
      </c>
      <c r="AG28" s="90">
        <f t="shared" si="33"/>
        <v>20</v>
      </c>
      <c r="AH28" s="90">
        <f t="shared" si="34"/>
        <v>85</v>
      </c>
      <c r="AI28" s="90">
        <f t="shared" si="35"/>
        <v>20</v>
      </c>
      <c r="AJ28" s="90">
        <f t="shared" si="36"/>
        <v>257</v>
      </c>
      <c r="AK28" s="90">
        <f t="shared" si="36"/>
        <v>86</v>
      </c>
      <c r="AL28" s="90">
        <f t="shared" si="37"/>
        <v>407</v>
      </c>
      <c r="AM28" s="90">
        <f t="shared" si="38"/>
        <v>64</v>
      </c>
      <c r="AN28" s="90">
        <f t="shared" si="39"/>
        <v>0</v>
      </c>
      <c r="AO28" s="90">
        <f t="shared" si="4"/>
        <v>33</v>
      </c>
      <c r="AP28" s="90">
        <f t="shared" si="40"/>
        <v>17</v>
      </c>
      <c r="AQ28" s="90">
        <f t="shared" si="5"/>
        <v>28</v>
      </c>
      <c r="AR28" s="90">
        <f t="shared" si="41"/>
        <v>114.73699999999999</v>
      </c>
      <c r="AS28" s="90">
        <f t="shared" si="42"/>
        <v>60.736999999999966</v>
      </c>
      <c r="AT28" s="90">
        <f t="shared" si="43"/>
        <v>680.73699999999997</v>
      </c>
      <c r="AU28" s="90">
        <f t="shared" si="44"/>
        <v>110</v>
      </c>
      <c r="AV28" s="90">
        <f t="shared" si="66"/>
        <v>42</v>
      </c>
      <c r="AW28" s="90">
        <f t="shared" si="45"/>
        <v>510</v>
      </c>
      <c r="AX28" s="90">
        <f t="shared" si="67"/>
        <v>9</v>
      </c>
      <c r="AY28" s="90" t="str">
        <f t="shared" si="46"/>
        <v/>
      </c>
      <c r="AZ28" s="90">
        <f t="shared" si="47"/>
        <v>372</v>
      </c>
      <c r="BA28" s="90">
        <v>0</v>
      </c>
      <c r="BB28" s="90">
        <f t="shared" si="48"/>
        <v>98</v>
      </c>
      <c r="BC28" s="90">
        <f t="shared" si="48"/>
        <v>1013</v>
      </c>
      <c r="BD28" s="91">
        <f t="shared" si="49"/>
        <v>144</v>
      </c>
      <c r="BE28" s="90"/>
      <c r="BF28" s="90"/>
      <c r="BG28" s="90">
        <f t="shared" si="6"/>
        <v>1483</v>
      </c>
      <c r="BH28" s="90">
        <f t="shared" si="50"/>
        <v>-1016</v>
      </c>
      <c r="BI28" s="90">
        <f t="shared" si="51"/>
        <v>1861.6629999999996</v>
      </c>
      <c r="BJ28" s="90">
        <f t="shared" si="7"/>
        <v>4775.3370000000004</v>
      </c>
      <c r="BK28" s="92"/>
      <c r="BL28" s="93">
        <f t="shared" si="52"/>
        <v>5621</v>
      </c>
      <c r="BM28" s="93">
        <f t="shared" si="53"/>
        <v>141823.90000000002</v>
      </c>
      <c r="BN28" s="92"/>
      <c r="BO28" s="94">
        <f t="shared" si="54"/>
        <v>0.28522834888754128</v>
      </c>
      <c r="BP28" s="94">
        <f t="shared" si="54"/>
        <v>9.6369431113106779E-2</v>
      </c>
      <c r="BQ28" s="94">
        <f t="shared" si="55"/>
        <v>0.61775007474136234</v>
      </c>
      <c r="BR28" s="94">
        <f t="shared" si="68"/>
        <v>1.4586493871418011</v>
      </c>
      <c r="BS28" s="94">
        <f t="shared" si="77"/>
        <v>0</v>
      </c>
      <c r="BT28" s="94">
        <f t="shared" si="77"/>
        <v>0.15121297025582148</v>
      </c>
      <c r="BU28" s="95">
        <f t="shared" si="77"/>
        <v>2.4638695902432604</v>
      </c>
      <c r="BV28" s="94">
        <f t="shared" si="9"/>
        <v>0.22842441154890308</v>
      </c>
      <c r="BW28" s="94">
        <f t="shared" si="9"/>
        <v>7.7177218460824246E-2</v>
      </c>
      <c r="BX28" s="94">
        <f t="shared" si="9"/>
        <v>0.49472360604212795</v>
      </c>
      <c r="BY28" s="94">
        <f t="shared" si="56"/>
        <v>1.1681557222960448</v>
      </c>
      <c r="BZ28" s="95">
        <f t="shared" si="10"/>
        <v>1.973183813879789</v>
      </c>
      <c r="CA28" s="96" t="e">
        <f>#REF!</f>
        <v>#REF!</v>
      </c>
      <c r="CB28" s="94">
        <f t="shared" si="11"/>
        <v>9.6355631278994464E-2</v>
      </c>
      <c r="CC28" s="95">
        <f t="shared" si="11"/>
        <v>5.1006667221491608E-2</v>
      </c>
      <c r="CD28" s="97">
        <f t="shared" si="12"/>
        <v>0.24191419559423807</v>
      </c>
      <c r="CE28" s="98">
        <f t="shared" si="12"/>
        <v>0.12805932260567413</v>
      </c>
      <c r="CF28" s="94" t="str">
        <f t="shared" si="57"/>
        <v>0,00</v>
      </c>
      <c r="CG28" s="94" t="str">
        <f t="shared" si="57"/>
        <v>0,00</v>
      </c>
      <c r="CH28" s="95" t="str">
        <f t="shared" si="58"/>
        <v xml:space="preserve">0,00 </v>
      </c>
      <c r="CI28" s="96" t="e">
        <f>#REF!</f>
        <v>#REF!</v>
      </c>
      <c r="CJ28" s="94" t="str">
        <f t="shared" si="59"/>
        <v>0,00</v>
      </c>
      <c r="CK28" s="94" t="str">
        <f t="shared" si="59"/>
        <v>0,00</v>
      </c>
      <c r="CL28" s="95" t="str">
        <f t="shared" si="69"/>
        <v xml:space="preserve">0,00 </v>
      </c>
      <c r="CM28" s="95" t="e">
        <f>#REF!</f>
        <v>#REF!</v>
      </c>
      <c r="CN28" s="94">
        <f t="shared" si="60"/>
        <v>0.84600029494796269</v>
      </c>
      <c r="CO28" s="94">
        <f t="shared" si="60"/>
        <v>0.28309737496313148</v>
      </c>
      <c r="CP28" s="95">
        <f t="shared" si="61"/>
        <v>1.3397747861627272</v>
      </c>
      <c r="CQ28" s="95" t="e">
        <f>#REF!</f>
        <v>#REF!</v>
      </c>
      <c r="CR28" s="97" t="str">
        <f t="shared" si="70"/>
        <v xml:space="preserve">0,00 </v>
      </c>
      <c r="CS28" s="95" t="str">
        <f t="shared" si="70"/>
        <v xml:space="preserve">0,00 </v>
      </c>
      <c r="CT28" s="96" t="e">
        <f>#REF!</f>
        <v>#REF!</v>
      </c>
      <c r="CU28" s="97">
        <f t="shared" si="71"/>
        <v>2.6160305737031986E-2</v>
      </c>
      <c r="CV28" s="95">
        <f t="shared" si="62"/>
        <v>4.3087562390405627E-2</v>
      </c>
      <c r="CW28" s="96" t="e">
        <f>#REF!</f>
        <v>#REF!</v>
      </c>
      <c r="CX28" s="99">
        <f t="shared" si="63"/>
        <v>9.2377519376394629E-2</v>
      </c>
      <c r="CY28" s="95">
        <f t="shared" si="63"/>
        <v>3.5271416489168858E-2</v>
      </c>
      <c r="CZ28" s="99">
        <f t="shared" si="63"/>
        <v>0.42829577165419325</v>
      </c>
      <c r="DA28" s="95">
        <f t="shared" si="63"/>
        <v>7.5581606762504692E-3</v>
      </c>
      <c r="DB28" s="94">
        <f t="shared" si="13"/>
        <v>0.31240397461835273</v>
      </c>
      <c r="DC28" s="94">
        <f t="shared" si="14"/>
        <v>8.2299971808060673E-2</v>
      </c>
      <c r="DD28" s="94">
        <f t="shared" si="14"/>
        <v>0.85071297389352507</v>
      </c>
      <c r="DE28" s="94">
        <f t="shared" si="14"/>
        <v>0.12093057082000751</v>
      </c>
      <c r="DF28" s="94">
        <f t="shared" si="14"/>
        <v>0</v>
      </c>
      <c r="DG28" s="94">
        <f t="shared" si="14"/>
        <v>0</v>
      </c>
      <c r="DH28" s="95">
        <f t="shared" si="14"/>
        <v>1.2454169203199386</v>
      </c>
      <c r="DI28" s="96" t="e">
        <f>#REF!</f>
        <v>#REF!</v>
      </c>
      <c r="DJ28" s="95">
        <f t="shared" si="64"/>
        <v>-0.85323236078560849</v>
      </c>
      <c r="DK28" s="96" t="e">
        <f>#REF!</f>
        <v>#REF!</v>
      </c>
      <c r="DL28" s="95">
        <f t="shared" si="15"/>
        <v>1.5634164532256081</v>
      </c>
      <c r="DM28" s="96">
        <f t="shared" si="16"/>
        <v>0</v>
      </c>
      <c r="DN28" s="94">
        <f t="shared" si="17"/>
        <v>4.0103071476937657</v>
      </c>
      <c r="DO28" s="100">
        <v>3.4</v>
      </c>
      <c r="DP28" s="94">
        <f>IF($O28&lt;&gt;0,IF($O28&lt;&gt;0,BL28/$O28*10,0)," ")</f>
        <v>4.7204912401337653</v>
      </c>
      <c r="DQ28" s="94">
        <f t="shared" si="73"/>
        <v>3.9163107030416406</v>
      </c>
      <c r="DR28" s="101" t="str">
        <f t="shared" si="18"/>
        <v>3,45 hL/NhL</v>
      </c>
      <c r="DS28" s="173"/>
      <c r="DT28" s="103">
        <v>23</v>
      </c>
      <c r="DU28" s="120">
        <v>616296</v>
      </c>
      <c r="DV28" s="120">
        <v>24325</v>
      </c>
      <c r="DW28" s="120">
        <v>5110512</v>
      </c>
      <c r="DX28" s="120">
        <v>108290</v>
      </c>
      <c r="DY28" s="120">
        <v>82341</v>
      </c>
      <c r="DZ28" s="120">
        <v>376162</v>
      </c>
      <c r="EA28" s="120">
        <v>219534</v>
      </c>
      <c r="EB28" s="120">
        <v>51386</v>
      </c>
      <c r="EC28" s="120">
        <v>385509</v>
      </c>
      <c r="ED28" s="120">
        <v>45509</v>
      </c>
      <c r="EE28" s="120">
        <v>37208</v>
      </c>
      <c r="EF28" s="120">
        <v>39438</v>
      </c>
      <c r="EG28" s="120">
        <v>90022</v>
      </c>
      <c r="EH28" s="120">
        <v>177552</v>
      </c>
      <c r="EI28" s="120">
        <v>30420</v>
      </c>
      <c r="EJ28" s="120">
        <v>38694</v>
      </c>
      <c r="EK28" s="120"/>
      <c r="EL28" s="120">
        <v>685926</v>
      </c>
      <c r="EM28" s="120">
        <v>5891</v>
      </c>
      <c r="EN28" s="120">
        <v>41390</v>
      </c>
      <c r="EO28" s="120">
        <v>2915514</v>
      </c>
      <c r="EP28" s="120">
        <v>2902818</v>
      </c>
      <c r="EQ28" s="120">
        <v>0</v>
      </c>
      <c r="ER28" s="120">
        <v>1442</v>
      </c>
      <c r="ES28" s="120">
        <v>311110</v>
      </c>
      <c r="ET28" s="120">
        <v>4980206</v>
      </c>
      <c r="EU28" s="120">
        <v>395160</v>
      </c>
      <c r="EV28" s="120">
        <v>121374</v>
      </c>
      <c r="EW28" s="120">
        <v>86877</v>
      </c>
      <c r="EX28" s="120">
        <v>201433</v>
      </c>
      <c r="EY28" s="120">
        <v>1593987</v>
      </c>
      <c r="EZ28" s="120">
        <v>730401</v>
      </c>
      <c r="FA28" s="151">
        <v>731791</v>
      </c>
      <c r="FB28" s="150">
        <v>29988</v>
      </c>
      <c r="FC28" s="177">
        <v>6637</v>
      </c>
      <c r="FD28" s="104">
        <f t="shared" si="76"/>
        <v>5621</v>
      </c>
      <c r="FE28" s="105">
        <f t="shared" si="78"/>
        <v>0</v>
      </c>
      <c r="FF28" s="105">
        <f t="shared" si="78"/>
        <v>565</v>
      </c>
      <c r="FG28" s="105">
        <f t="shared" si="78"/>
        <v>1804</v>
      </c>
      <c r="FH28" s="105">
        <f t="shared" si="78"/>
        <v>1883</v>
      </c>
      <c r="FI28" s="105">
        <f t="shared" si="78"/>
        <v>565</v>
      </c>
      <c r="FJ28" s="105">
        <f t="shared" si="78"/>
        <v>762</v>
      </c>
      <c r="FK28" s="105">
        <f t="shared" si="78"/>
        <v>0</v>
      </c>
      <c r="FL28" s="105">
        <f t="shared" si="78"/>
        <v>42</v>
      </c>
      <c r="FM28" s="105">
        <f t="shared" si="78"/>
        <v>0</v>
      </c>
      <c r="FN28" s="80">
        <f t="shared" si="74"/>
        <v>0</v>
      </c>
      <c r="FO28" s="174">
        <v>72063</v>
      </c>
      <c r="FP28" s="162"/>
      <c r="FR28" s="64"/>
      <c r="FS28" s="64"/>
      <c r="FT28" s="64"/>
      <c r="FU28" s="64"/>
      <c r="FV28" s="64"/>
      <c r="FW28" s="64"/>
      <c r="FX28" s="64"/>
      <c r="FY28" s="64">
        <v>23</v>
      </c>
      <c r="FZ28" s="107"/>
      <c r="GA28" s="107"/>
      <c r="GB28" s="107"/>
      <c r="GC28" s="109"/>
      <c r="GD28" s="110"/>
      <c r="GE28" s="110"/>
      <c r="GF28" s="111"/>
      <c r="GG28" s="111"/>
      <c r="GH28" s="111"/>
      <c r="GI28" s="112"/>
      <c r="GJ28" s="111" t="e">
        <f t="shared" si="65"/>
        <v>#DIV/0!</v>
      </c>
      <c r="GK28" s="118"/>
    </row>
    <row r="29" spans="1:193" ht="15" customHeight="1">
      <c r="B29" s="573">
        <v>42849</v>
      </c>
      <c r="D29" s="321">
        <v>4639.92</v>
      </c>
      <c r="E29" s="85">
        <v>3269.4</v>
      </c>
      <c r="F29" s="85">
        <v>3069.6480000000001</v>
      </c>
      <c r="G29" s="85">
        <v>1430.423</v>
      </c>
      <c r="H29" s="85">
        <v>7073.2039999999997</v>
      </c>
      <c r="I29" s="85">
        <v>1685.354</v>
      </c>
      <c r="J29" s="85">
        <v>3207.6</v>
      </c>
      <c r="K29" s="167"/>
      <c r="L29" s="327">
        <v>50</v>
      </c>
      <c r="M29" s="115">
        <f t="shared" si="21"/>
        <v>4892.9539999999997</v>
      </c>
      <c r="N29" s="88">
        <f t="shared" si="0"/>
        <v>19482.595000000001</v>
      </c>
      <c r="O29" s="88">
        <f t="shared" si="22"/>
        <v>21979.072</v>
      </c>
      <c r="P29" s="89">
        <f t="shared" si="23"/>
        <v>384115.55900000007</v>
      </c>
      <c r="R29" s="90">
        <f t="shared" si="24"/>
        <v>94</v>
      </c>
      <c r="S29" s="90">
        <f t="shared" si="25"/>
        <v>75</v>
      </c>
      <c r="T29" s="90">
        <f t="shared" si="1"/>
        <v>486.6</v>
      </c>
      <c r="U29" s="90">
        <f t="shared" si="75"/>
        <v>1.8</v>
      </c>
      <c r="V29" s="90">
        <f t="shared" si="26"/>
        <v>1330</v>
      </c>
      <c r="W29" s="91">
        <f t="shared" si="2"/>
        <v>391.4</v>
      </c>
      <c r="X29" s="90">
        <f t="shared" si="27"/>
        <v>1330</v>
      </c>
      <c r="Y29" s="90" t="str">
        <f t="shared" si="28"/>
        <v>0</v>
      </c>
      <c r="Z29" s="90">
        <f t="shared" si="3"/>
        <v>126.2</v>
      </c>
      <c r="AA29" s="90">
        <f t="shared" si="29"/>
        <v>1987.4</v>
      </c>
      <c r="AB29" s="90">
        <f t="shared" si="30"/>
        <v>254</v>
      </c>
      <c r="AC29" s="90">
        <f t="shared" si="30"/>
        <v>23</v>
      </c>
      <c r="AD29" s="90">
        <f t="shared" si="31"/>
        <v>449</v>
      </c>
      <c r="AE29" s="90">
        <f t="shared" si="32"/>
        <v>172</v>
      </c>
      <c r="AF29" s="90">
        <f t="shared" si="33"/>
        <v>134</v>
      </c>
      <c r="AG29" s="90">
        <f t="shared" si="33"/>
        <v>19</v>
      </c>
      <c r="AH29" s="90">
        <f t="shared" si="34"/>
        <v>200</v>
      </c>
      <c r="AI29" s="90">
        <f t="shared" si="35"/>
        <v>47</v>
      </c>
      <c r="AJ29" s="90">
        <f t="shared" si="36"/>
        <v>175</v>
      </c>
      <c r="AK29" s="90">
        <f t="shared" si="36"/>
        <v>48</v>
      </c>
      <c r="AL29" s="90">
        <f t="shared" si="37"/>
        <v>378</v>
      </c>
      <c r="AM29" s="90">
        <f t="shared" si="38"/>
        <v>155</v>
      </c>
      <c r="AN29" s="90">
        <f t="shared" si="39"/>
        <v>10</v>
      </c>
      <c r="AO29" s="90">
        <f t="shared" si="4"/>
        <v>57</v>
      </c>
      <c r="AP29" s="90">
        <f t="shared" si="40"/>
        <v>18</v>
      </c>
      <c r="AQ29" s="90">
        <f t="shared" si="5"/>
        <v>49</v>
      </c>
      <c r="AR29" s="90">
        <f t="shared" si="41"/>
        <v>100.971</v>
      </c>
      <c r="AS29" s="90">
        <f t="shared" si="42"/>
        <v>207.971</v>
      </c>
      <c r="AT29" s="90">
        <f t="shared" si="43"/>
        <v>651.971</v>
      </c>
      <c r="AU29" s="90">
        <f t="shared" si="44"/>
        <v>243</v>
      </c>
      <c r="AV29" s="90">
        <f t="shared" si="66"/>
        <v>53</v>
      </c>
      <c r="AW29" s="90">
        <f t="shared" si="45"/>
        <v>201</v>
      </c>
      <c r="AX29" s="90">
        <f t="shared" si="67"/>
        <v>28</v>
      </c>
      <c r="AY29" s="90" t="str">
        <f t="shared" si="46"/>
        <v/>
      </c>
      <c r="AZ29" s="90">
        <f t="shared" si="47"/>
        <v>254</v>
      </c>
      <c r="BA29" s="90">
        <v>85</v>
      </c>
      <c r="BB29" s="90">
        <f t="shared" si="48"/>
        <v>122</v>
      </c>
      <c r="BC29" s="90">
        <f t="shared" si="48"/>
        <v>434</v>
      </c>
      <c r="BD29" s="91">
        <f t="shared" si="49"/>
        <v>452</v>
      </c>
      <c r="BE29" s="90"/>
      <c r="BF29" s="90"/>
      <c r="BG29" s="90">
        <f t="shared" si="6"/>
        <v>810</v>
      </c>
      <c r="BH29" s="90">
        <f t="shared" si="50"/>
        <v>-702.40000000002328</v>
      </c>
      <c r="BI29" s="90">
        <f t="shared" si="51"/>
        <v>2914.6289999999999</v>
      </c>
      <c r="BJ29" s="90">
        <f>IF(BH29=0,"",(AA29+AD29+AO29+BG29+AH29+AL29+AQ29+AS29+AX29+AV29))</f>
        <v>4219.3710000000001</v>
      </c>
      <c r="BK29" s="92"/>
      <c r="BL29" s="93">
        <f t="shared" si="52"/>
        <v>6431.5999999999767</v>
      </c>
      <c r="BM29" s="93">
        <f t="shared" si="53"/>
        <v>148255.5</v>
      </c>
      <c r="BN29" s="92"/>
      <c r="BO29" s="94">
        <f t="shared" si="54"/>
        <v>4.8248192810044041E-2</v>
      </c>
      <c r="BP29" s="94">
        <f t="shared" si="54"/>
        <v>3.8495898518652164E-2</v>
      </c>
      <c r="BQ29" s="94">
        <f t="shared" si="55"/>
        <v>0.24976138958901523</v>
      </c>
      <c r="BR29" s="94">
        <f t="shared" si="68"/>
        <v>0.68266060039743159</v>
      </c>
      <c r="BS29" s="94">
        <f t="shared" si="77"/>
        <v>0</v>
      </c>
      <c r="BT29" s="94">
        <f t="shared" si="77"/>
        <v>6.4775765240718694E-2</v>
      </c>
      <c r="BU29" s="95">
        <f t="shared" si="77"/>
        <v>1.0200899828795909</v>
      </c>
      <c r="BV29" s="94">
        <f t="shared" si="9"/>
        <v>4.2767956718099832E-2</v>
      </c>
      <c r="BW29" s="94">
        <f t="shared" si="9"/>
        <v>3.4123369721888168E-2</v>
      </c>
      <c r="BX29" s="94">
        <f t="shared" si="9"/>
        <v>0.22139242275561044</v>
      </c>
      <c r="BY29" s="94">
        <f t="shared" si="56"/>
        <v>0.60512108973481682</v>
      </c>
      <c r="BZ29" s="95">
        <f t="shared" si="10"/>
        <v>0.90422379980374057</v>
      </c>
      <c r="CA29" s="96" t="e">
        <f>#REF!</f>
        <v>#REF!</v>
      </c>
      <c r="CB29" s="94">
        <f t="shared" si="11"/>
        <v>4.5939610189183605E-2</v>
      </c>
      <c r="CC29" s="95">
        <f t="shared" si="11"/>
        <v>9.4622284325744044E-2</v>
      </c>
      <c r="CD29" s="97">
        <f t="shared" si="12"/>
        <v>0.2063600025669565</v>
      </c>
      <c r="CE29" s="98">
        <f t="shared" si="12"/>
        <v>0.42504180501185995</v>
      </c>
      <c r="CF29" s="94">
        <f t="shared" si="57"/>
        <v>0.5474232314350248</v>
      </c>
      <c r="CG29" s="94">
        <f t="shared" si="57"/>
        <v>4.9569820169313265E-2</v>
      </c>
      <c r="CH29" s="95">
        <f t="shared" si="58"/>
        <v>0.96768909808789805</v>
      </c>
      <c r="CI29" s="96" t="e">
        <f>#REF!</f>
        <v>#REF!</v>
      </c>
      <c r="CJ29" s="94">
        <f t="shared" si="59"/>
        <v>0.40986113659998774</v>
      </c>
      <c r="CK29" s="94">
        <f t="shared" si="59"/>
        <v>5.8114638771640054E-2</v>
      </c>
      <c r="CL29" s="95">
        <f t="shared" si="69"/>
        <v>0.6117330397014743</v>
      </c>
      <c r="CM29" s="95" t="e">
        <f>#REF!</f>
        <v>#REF!</v>
      </c>
      <c r="CN29" s="94">
        <f t="shared" si="60"/>
        <v>0.57009793956831523</v>
      </c>
      <c r="CO29" s="94">
        <f t="shared" si="60"/>
        <v>0.15636972056730936</v>
      </c>
      <c r="CP29" s="95">
        <f t="shared" si="61"/>
        <v>1.231411549467561</v>
      </c>
      <c r="CQ29" s="95" t="e">
        <f>#REF!</f>
        <v>#REF!</v>
      </c>
      <c r="CR29" s="97">
        <f t="shared" si="70"/>
        <v>6.9909390439051949E-2</v>
      </c>
      <c r="CS29" s="95">
        <f t="shared" si="70"/>
        <v>0.39848352550259603</v>
      </c>
      <c r="CT29" s="96" t="e">
        <f>#REF!</f>
        <v>#REF!</v>
      </c>
      <c r="CU29" s="97">
        <f t="shared" si="71"/>
        <v>2.5448156167982714E-2</v>
      </c>
      <c r="CV29" s="95">
        <f t="shared" si="62"/>
        <v>6.927553623506405E-2</v>
      </c>
      <c r="CW29" s="96" t="e">
        <f>#REF!</f>
        <v>#REF!</v>
      </c>
      <c r="CX29" s="99">
        <f t="shared" si="63"/>
        <v>0.11055971789891766</v>
      </c>
      <c r="CY29" s="95">
        <f t="shared" si="63"/>
        <v>2.4113847936800971E-2</v>
      </c>
      <c r="CZ29" s="99">
        <f t="shared" si="63"/>
        <v>9.1450630854660292E-2</v>
      </c>
      <c r="DA29" s="95">
        <f t="shared" si="63"/>
        <v>1.2739391362838248E-2</v>
      </c>
      <c r="DB29" s="94">
        <f t="shared" si="13"/>
        <v>0.11556447879146127</v>
      </c>
      <c r="DC29" s="94">
        <f t="shared" si="14"/>
        <v>5.5507348080938088E-2</v>
      </c>
      <c r="DD29" s="94">
        <f t="shared" si="14"/>
        <v>0.19746056612399285</v>
      </c>
      <c r="DE29" s="94">
        <f t="shared" si="14"/>
        <v>0.20565017485724602</v>
      </c>
      <c r="DF29" s="94">
        <f t="shared" si="14"/>
        <v>0</v>
      </c>
      <c r="DG29" s="94">
        <f t="shared" si="14"/>
        <v>0</v>
      </c>
      <c r="DH29" s="95">
        <f t="shared" si="14"/>
        <v>0.36853239299639218</v>
      </c>
      <c r="DI29" s="96" t="e">
        <f>#REF!</f>
        <v>#REF!</v>
      </c>
      <c r="DJ29" s="95">
        <f t="shared" si="64"/>
        <v>-0.31957673190206726</v>
      </c>
      <c r="DK29" s="96" t="e">
        <f>#REF!</f>
        <v>#REF!</v>
      </c>
      <c r="DL29" s="95">
        <f t="shared" si="15"/>
        <v>1.3260928395884957</v>
      </c>
      <c r="DM29" s="96">
        <f t="shared" si="16"/>
        <v>0</v>
      </c>
      <c r="DN29" s="94">
        <f t="shared" si="17"/>
        <v>1.9197220883575068</v>
      </c>
      <c r="DO29" s="100">
        <v>3.4</v>
      </c>
      <c r="DP29" s="94">
        <f t="shared" si="72"/>
        <v>2.9262381960439354</v>
      </c>
      <c r="DQ29" s="94">
        <f t="shared" si="73"/>
        <v>3.8596588064791195</v>
      </c>
      <c r="DR29" s="101" t="str">
        <f t="shared" si="18"/>
        <v>3,45 hL/NhL</v>
      </c>
      <c r="DS29" s="178"/>
      <c r="DT29" s="103">
        <v>24</v>
      </c>
      <c r="DU29" s="120">
        <v>616550</v>
      </c>
      <c r="DV29" s="120">
        <v>24348</v>
      </c>
      <c r="DW29" s="120">
        <v>5110961</v>
      </c>
      <c r="DX29" s="120">
        <v>108424</v>
      </c>
      <c r="DY29" s="120">
        <v>82360</v>
      </c>
      <c r="DZ29" s="120">
        <v>376362</v>
      </c>
      <c r="EA29" s="120">
        <v>219709</v>
      </c>
      <c r="EB29" s="120">
        <v>51434</v>
      </c>
      <c r="EC29" s="120">
        <v>385887</v>
      </c>
      <c r="ED29" s="120">
        <v>45519</v>
      </c>
      <c r="EE29" s="120">
        <v>37249</v>
      </c>
      <c r="EF29" s="120">
        <v>39454</v>
      </c>
      <c r="EG29" s="120">
        <v>90040</v>
      </c>
      <c r="EH29" s="120">
        <v>177601</v>
      </c>
      <c r="EI29" s="120">
        <v>30473</v>
      </c>
      <c r="EJ29" s="120">
        <v>38722</v>
      </c>
      <c r="EK29" s="120"/>
      <c r="EL29" s="120">
        <v>686020</v>
      </c>
      <c r="EM29" s="120">
        <v>4866</v>
      </c>
      <c r="EN29" s="120">
        <v>41408</v>
      </c>
      <c r="EO29" s="120">
        <v>2916844</v>
      </c>
      <c r="EP29" s="120">
        <v>2906732</v>
      </c>
      <c r="EQ29" s="120">
        <v>0</v>
      </c>
      <c r="ER29" s="120">
        <v>1262</v>
      </c>
      <c r="ES29" s="120">
        <v>311661</v>
      </c>
      <c r="ET29" s="120">
        <v>5081177</v>
      </c>
      <c r="EU29" s="120">
        <v>395361</v>
      </c>
      <c r="EV29" s="120">
        <v>121617</v>
      </c>
      <c r="EW29" s="120">
        <v>87131</v>
      </c>
      <c r="EX29" s="120">
        <v>201555</v>
      </c>
      <c r="EY29" s="120">
        <v>1594421</v>
      </c>
      <c r="EZ29" s="120">
        <v>731151</v>
      </c>
      <c r="FA29" s="151">
        <v>732243</v>
      </c>
      <c r="FB29" s="151">
        <v>30089</v>
      </c>
      <c r="FC29" s="149">
        <v>7134</v>
      </c>
      <c r="FD29" s="104">
        <f t="shared" si="76"/>
        <v>5968.5999999999767</v>
      </c>
      <c r="FE29" s="105">
        <f t="shared" si="78"/>
        <v>0</v>
      </c>
      <c r="FF29" s="105">
        <f t="shared" si="78"/>
        <v>0</v>
      </c>
      <c r="FG29" s="105">
        <f t="shared" si="78"/>
        <v>1999</v>
      </c>
      <c r="FH29" s="105">
        <f t="shared" si="78"/>
        <v>2322</v>
      </c>
      <c r="FI29" s="105">
        <f t="shared" si="78"/>
        <v>719</v>
      </c>
      <c r="FJ29" s="105">
        <f t="shared" si="78"/>
        <v>923</v>
      </c>
      <c r="FK29" s="105">
        <f t="shared" si="78"/>
        <v>0</v>
      </c>
      <c r="FL29" s="105">
        <f t="shared" si="78"/>
        <v>5.5999999999767169</v>
      </c>
      <c r="FM29" s="105">
        <f t="shared" si="78"/>
        <v>0</v>
      </c>
      <c r="FN29" s="80">
        <f t="shared" si="74"/>
        <v>463</v>
      </c>
      <c r="FO29" s="77">
        <f>FO28+463</f>
        <v>72526</v>
      </c>
      <c r="FP29" s="81"/>
      <c r="FR29" s="64"/>
      <c r="FS29" s="64"/>
      <c r="FT29" s="64"/>
      <c r="FU29" s="64"/>
      <c r="FV29" s="64"/>
      <c r="FW29" s="64"/>
      <c r="FX29" s="64"/>
      <c r="FY29" s="64">
        <v>24</v>
      </c>
      <c r="FZ29" s="107"/>
      <c r="GA29" s="107"/>
      <c r="GB29" s="107"/>
      <c r="GC29" s="109"/>
      <c r="GD29" s="110"/>
      <c r="GE29" s="110"/>
      <c r="GF29" s="111"/>
      <c r="GG29" s="111"/>
      <c r="GH29" s="111"/>
      <c r="GI29" s="179"/>
      <c r="GJ29" s="111" t="e">
        <f t="shared" si="65"/>
        <v>#DIV/0!</v>
      </c>
      <c r="GK29" s="113"/>
    </row>
    <row r="30" spans="1:193" ht="15" customHeight="1">
      <c r="B30" s="573">
        <v>42850</v>
      </c>
      <c r="D30" s="321">
        <v>4911.7199999999993</v>
      </c>
      <c r="E30" s="85">
        <v>2666.64</v>
      </c>
      <c r="F30" s="85">
        <v>2703.384</v>
      </c>
      <c r="G30" s="85">
        <v>4320.62</v>
      </c>
      <c r="H30" s="85">
        <v>3369.7280000000001</v>
      </c>
      <c r="I30" s="85">
        <v>1787.681</v>
      </c>
      <c r="J30" s="85">
        <v>4887.72</v>
      </c>
      <c r="K30" s="167"/>
      <c r="L30" s="327">
        <v>80</v>
      </c>
      <c r="M30" s="115">
        <f t="shared" si="21"/>
        <v>6675.4009999999998</v>
      </c>
      <c r="N30" s="88">
        <f t="shared" si="0"/>
        <v>17972.091999999997</v>
      </c>
      <c r="O30" s="88">
        <f t="shared" si="22"/>
        <v>21389.792499999996</v>
      </c>
      <c r="P30" s="89">
        <f t="shared" si="23"/>
        <v>405505.35150000005</v>
      </c>
      <c r="R30" s="90">
        <f t="shared" si="24"/>
        <v>361</v>
      </c>
      <c r="S30" s="90">
        <f t="shared" si="25"/>
        <v>103.9</v>
      </c>
      <c r="T30" s="90">
        <f t="shared" si="1"/>
        <v>499.6</v>
      </c>
      <c r="U30" s="90">
        <f t="shared" si="75"/>
        <v>0.2</v>
      </c>
      <c r="V30" s="90">
        <f t="shared" si="26"/>
        <v>1307</v>
      </c>
      <c r="W30" s="91">
        <f>IF(EP30=0,"",(EP30-EP29)/10)</f>
        <v>246</v>
      </c>
      <c r="X30" s="90">
        <f t="shared" si="27"/>
        <v>1307</v>
      </c>
      <c r="Y30" s="90" t="str">
        <f t="shared" si="28"/>
        <v>0</v>
      </c>
      <c r="Z30" s="90">
        <f t="shared" si="3"/>
        <v>140.9</v>
      </c>
      <c r="AA30" s="90">
        <f t="shared" si="29"/>
        <v>2271.6999999999998</v>
      </c>
      <c r="AB30" s="90">
        <f t="shared" si="30"/>
        <v>275</v>
      </c>
      <c r="AC30" s="90">
        <f t="shared" si="30"/>
        <v>23</v>
      </c>
      <c r="AD30" s="90">
        <f t="shared" si="31"/>
        <v>480</v>
      </c>
      <c r="AE30" s="90">
        <f t="shared" si="32"/>
        <v>182</v>
      </c>
      <c r="AF30" s="90">
        <f t="shared" si="33"/>
        <v>191</v>
      </c>
      <c r="AG30" s="90">
        <f t="shared" si="33"/>
        <v>31</v>
      </c>
      <c r="AH30" s="90">
        <f t="shared" si="34"/>
        <v>335</v>
      </c>
      <c r="AI30" s="90">
        <f t="shared" si="35"/>
        <v>113</v>
      </c>
      <c r="AJ30" s="90">
        <f>IF(EA30=0,"",(EA30-EA29))</f>
        <v>310</v>
      </c>
      <c r="AK30" s="90">
        <f>IF(EB30=0,"",(EB30-EB29))</f>
        <v>46</v>
      </c>
      <c r="AL30" s="90">
        <f t="shared" si="37"/>
        <v>368</v>
      </c>
      <c r="AM30" s="90">
        <f t="shared" si="38"/>
        <v>12</v>
      </c>
      <c r="AN30" s="90">
        <f t="shared" si="39"/>
        <v>41</v>
      </c>
      <c r="AO30" s="90">
        <f t="shared" si="4"/>
        <v>114</v>
      </c>
      <c r="AP30" s="90">
        <f t="shared" si="40"/>
        <v>21</v>
      </c>
      <c r="AQ30" s="90">
        <f>IF(AP30=0.1,0,(IF(AP30&gt;=(EH30-EH29),(AP30),(EH30-EH29))))</f>
        <v>83</v>
      </c>
      <c r="AR30" s="90">
        <f t="shared" si="41"/>
        <v>122.806</v>
      </c>
      <c r="AS30" s="90">
        <f t="shared" si="42"/>
        <v>104.80600000000004</v>
      </c>
      <c r="AT30" s="90">
        <f t="shared" si="43"/>
        <v>871.80600000000004</v>
      </c>
      <c r="AU30" s="90">
        <f t="shared" si="44"/>
        <v>252</v>
      </c>
      <c r="AV30" s="90">
        <f t="shared" si="66"/>
        <v>36</v>
      </c>
      <c r="AW30" s="90">
        <f t="shared" si="45"/>
        <v>515</v>
      </c>
      <c r="AX30" s="90">
        <f t="shared" si="67"/>
        <v>46</v>
      </c>
      <c r="AY30" s="90" t="str">
        <f t="shared" si="46"/>
        <v/>
      </c>
      <c r="AZ30" s="90">
        <f t="shared" si="47"/>
        <v>357</v>
      </c>
      <c r="BA30" s="90">
        <v>65</v>
      </c>
      <c r="BB30" s="90">
        <f t="shared" si="48"/>
        <v>105</v>
      </c>
      <c r="BC30" s="90">
        <f t="shared" si="48"/>
        <v>0</v>
      </c>
      <c r="BD30" s="91">
        <f t="shared" si="49"/>
        <v>345</v>
      </c>
      <c r="BE30" s="90"/>
      <c r="BF30" s="90"/>
      <c r="BG30" s="90">
        <f t="shared" si="6"/>
        <v>462</v>
      </c>
      <c r="BH30" s="90">
        <f t="shared" si="50"/>
        <v>785</v>
      </c>
      <c r="BI30" s="90">
        <f t="shared" si="51"/>
        <v>2629.4940000000006</v>
      </c>
      <c r="BJ30" s="90">
        <f t="shared" si="7"/>
        <v>4300.5059999999994</v>
      </c>
      <c r="BK30" s="92"/>
      <c r="BL30" s="93">
        <f t="shared" si="52"/>
        <v>7715</v>
      </c>
      <c r="BM30" s="93">
        <f t="shared" si="53"/>
        <v>155970.5</v>
      </c>
      <c r="BN30" s="92"/>
      <c r="BO30" s="94">
        <f t="shared" si="54"/>
        <v>0.20086698866219918</v>
      </c>
      <c r="BP30" s="94">
        <f t="shared" si="54"/>
        <v>5.7811856293635722E-2</v>
      </c>
      <c r="BQ30" s="94">
        <f t="shared" si="55"/>
        <v>0.27798655827045626</v>
      </c>
      <c r="BR30" s="94">
        <f t="shared" si="68"/>
        <v>0.72723865424236656</v>
      </c>
      <c r="BS30" s="94">
        <f t="shared" si="77"/>
        <v>0</v>
      </c>
      <c r="BT30" s="94">
        <f t="shared" si="77"/>
        <v>7.8399331585883289E-2</v>
      </c>
      <c r="BU30" s="95">
        <f t="shared" si="77"/>
        <v>1.2640153411188859</v>
      </c>
      <c r="BV30" s="94">
        <f t="shared" si="9"/>
        <v>0.1687720907063498</v>
      </c>
      <c r="BW30" s="94">
        <f t="shared" si="9"/>
        <v>4.8574571258697352E-2</v>
      </c>
      <c r="BX30" s="94">
        <f t="shared" si="9"/>
        <v>0.23356935323238881</v>
      </c>
      <c r="BY30" s="94">
        <f t="shared" si="56"/>
        <v>0.61103912064598109</v>
      </c>
      <c r="BZ30" s="95">
        <f t="shared" si="10"/>
        <v>1.0620486383867447</v>
      </c>
      <c r="CA30" s="96" t="e">
        <f>#REF!</f>
        <v>#REF!</v>
      </c>
      <c r="CB30" s="94">
        <f t="shared" si="11"/>
        <v>5.7413366679457047E-2</v>
      </c>
      <c r="CC30" s="95">
        <f t="shared" si="11"/>
        <v>4.899813777997148E-2</v>
      </c>
      <c r="CD30" s="97">
        <f t="shared" si="12"/>
        <v>0.18396797435839435</v>
      </c>
      <c r="CE30" s="98">
        <f t="shared" si="12"/>
        <v>0.15700330212372268</v>
      </c>
      <c r="CF30" s="94">
        <f t="shared" si="57"/>
        <v>0.55988533548329311</v>
      </c>
      <c r="CG30" s="94">
        <f t="shared" si="57"/>
        <v>4.6826773513148144E-2</v>
      </c>
      <c r="CH30" s="95">
        <f t="shared" si="58"/>
        <v>0.97725440375265704</v>
      </c>
      <c r="CI30" s="96" t="e">
        <f>#REF!</f>
        <v>#REF!</v>
      </c>
      <c r="CJ30" s="94">
        <f t="shared" si="59"/>
        <v>0.71625716257162575</v>
      </c>
      <c r="CK30" s="94">
        <f t="shared" si="59"/>
        <v>0.11625116251162512</v>
      </c>
      <c r="CL30" s="95">
        <f t="shared" si="69"/>
        <v>1.2562625626256263</v>
      </c>
      <c r="CM30" s="95" t="e">
        <f>#REF!</f>
        <v>#REF!</v>
      </c>
      <c r="CN30" s="94">
        <f t="shared" si="60"/>
        <v>1.1467109371069741</v>
      </c>
      <c r="CO30" s="94">
        <f t="shared" si="60"/>
        <v>0.17015710679651874</v>
      </c>
      <c r="CP30" s="95">
        <f t="shared" si="61"/>
        <v>1.3612568543721499</v>
      </c>
      <c r="CQ30" s="95" t="e">
        <f>#REF!</f>
        <v>#REF!</v>
      </c>
      <c r="CR30" s="97">
        <f t="shared" si="70"/>
        <v>9.4893788391480854E-2</v>
      </c>
      <c r="CS30" s="95">
        <f t="shared" si="70"/>
        <v>0.26385102138119065</v>
      </c>
      <c r="CT30" s="96" t="e">
        <f>#REF!</f>
        <v>#REF!</v>
      </c>
      <c r="CU30" s="97">
        <f t="shared" si="71"/>
        <v>6.2319570006837348E-2</v>
      </c>
      <c r="CV30" s="95">
        <f t="shared" si="62"/>
        <v>0.2463106814555952</v>
      </c>
      <c r="CW30" s="96" t="e">
        <f>#REF!</f>
        <v>#REF!</v>
      </c>
      <c r="CX30" s="99">
        <f t="shared" si="63"/>
        <v>0.1178132045927982</v>
      </c>
      <c r="CY30" s="95">
        <f t="shared" si="63"/>
        <v>1.6830457798971171E-2</v>
      </c>
      <c r="CZ30" s="99">
        <f t="shared" si="63"/>
        <v>0.24076904906861538</v>
      </c>
      <c r="DA30" s="95">
        <f t="shared" si="63"/>
        <v>2.1505584965352053E-2</v>
      </c>
      <c r="DB30" s="94">
        <f t="shared" si="13"/>
        <v>0.16690203983979746</v>
      </c>
      <c r="DC30" s="94">
        <f t="shared" si="14"/>
        <v>4.9088835246999252E-2</v>
      </c>
      <c r="DD30" s="94">
        <f t="shared" si="14"/>
        <v>0</v>
      </c>
      <c r="DE30" s="94">
        <f t="shared" si="14"/>
        <v>0.16129188724014037</v>
      </c>
      <c r="DF30" s="94">
        <f t="shared" si="14"/>
        <v>0</v>
      </c>
      <c r="DG30" s="94">
        <f t="shared" si="14"/>
        <v>0</v>
      </c>
      <c r="DH30" s="95">
        <f t="shared" si="14"/>
        <v>0.21599087508679671</v>
      </c>
      <c r="DI30" s="96" t="e">
        <f>#REF!</f>
        <v>#REF!</v>
      </c>
      <c r="DJ30" s="95">
        <f t="shared" si="64"/>
        <v>0.36699748256089915</v>
      </c>
      <c r="DK30" s="96" t="e">
        <f>#REF!</f>
        <v>#REF!</v>
      </c>
      <c r="DL30" s="95">
        <f t="shared" si="15"/>
        <v>1.2293218833235531</v>
      </c>
      <c r="DM30" s="96">
        <f t="shared" si="16"/>
        <v>0</v>
      </c>
      <c r="DN30" s="94">
        <f t="shared" si="17"/>
        <v>2.0105412429783973</v>
      </c>
      <c r="DO30" s="100">
        <v>3.4</v>
      </c>
      <c r="DP30" s="94">
        <f>IF($O30&lt;&gt;0,IF($O30&lt;&gt;0,BL30/$O30*10,0)," ")</f>
        <v>3.6068606088628496</v>
      </c>
      <c r="DQ30" s="94">
        <f>IF($P30&lt;&gt;0,IF($P30&lt;&gt;0,BM30/$P30*10,0)," ")</f>
        <v>3.8463240848253015</v>
      </c>
      <c r="DR30" s="101" t="str">
        <f t="shared" si="18"/>
        <v>3,45 hL/NhL</v>
      </c>
      <c r="DT30" s="103">
        <v>25</v>
      </c>
      <c r="DU30" s="120">
        <v>616825</v>
      </c>
      <c r="DV30" s="120">
        <v>24371</v>
      </c>
      <c r="DW30" s="120">
        <v>5111441</v>
      </c>
      <c r="DX30" s="120">
        <v>108615</v>
      </c>
      <c r="DY30" s="120">
        <v>82391</v>
      </c>
      <c r="DZ30" s="120">
        <v>376697</v>
      </c>
      <c r="EA30" s="120">
        <v>220019</v>
      </c>
      <c r="EB30" s="120">
        <v>51480</v>
      </c>
      <c r="EC30" s="120">
        <v>386255</v>
      </c>
      <c r="ED30" s="120">
        <v>45560</v>
      </c>
      <c r="EE30" s="120">
        <v>37293</v>
      </c>
      <c r="EF30" s="120">
        <v>39524</v>
      </c>
      <c r="EG30" s="120">
        <v>90061</v>
      </c>
      <c r="EH30" s="120">
        <v>177684</v>
      </c>
      <c r="EI30" s="120">
        <v>30509</v>
      </c>
      <c r="EJ30" s="120">
        <v>38768</v>
      </c>
      <c r="EK30" s="120"/>
      <c r="EL30" s="120">
        <v>686381</v>
      </c>
      <c r="EM30" s="120">
        <v>4996</v>
      </c>
      <c r="EN30" s="120">
        <v>41410</v>
      </c>
      <c r="EO30" s="120">
        <v>2918151</v>
      </c>
      <c r="EP30" s="120">
        <v>2909192</v>
      </c>
      <c r="EQ30" s="120">
        <v>0</v>
      </c>
      <c r="ER30" s="120">
        <v>1409</v>
      </c>
      <c r="ES30" s="120">
        <v>312410</v>
      </c>
      <c r="ET30" s="120">
        <v>5203983</v>
      </c>
      <c r="EU30" s="120">
        <v>395876</v>
      </c>
      <c r="EV30" s="120">
        <v>121869</v>
      </c>
      <c r="EW30" s="120">
        <v>87488</v>
      </c>
      <c r="EX30" s="120">
        <v>201660</v>
      </c>
      <c r="EY30" s="120">
        <v>1594421</v>
      </c>
      <c r="EZ30" s="120">
        <v>732190</v>
      </c>
      <c r="FA30" s="149">
        <v>732588</v>
      </c>
      <c r="FB30" s="151">
        <v>30148</v>
      </c>
      <c r="FC30" s="127">
        <v>6930</v>
      </c>
      <c r="FD30" s="104">
        <f t="shared" si="76"/>
        <v>7124</v>
      </c>
      <c r="FE30" s="105">
        <f t="shared" si="78"/>
        <v>0</v>
      </c>
      <c r="FF30" s="105">
        <f t="shared" si="78"/>
        <v>0</v>
      </c>
      <c r="FG30" s="105">
        <f t="shared" si="78"/>
        <v>2040</v>
      </c>
      <c r="FH30" s="105">
        <f t="shared" si="78"/>
        <v>2383</v>
      </c>
      <c r="FI30" s="105">
        <f t="shared" si="78"/>
        <v>617</v>
      </c>
      <c r="FJ30" s="105">
        <f t="shared" si="78"/>
        <v>772</v>
      </c>
      <c r="FK30" s="105">
        <f t="shared" si="78"/>
        <v>0</v>
      </c>
      <c r="FL30" s="105">
        <f t="shared" si="78"/>
        <v>1312</v>
      </c>
      <c r="FM30" s="105">
        <f t="shared" si="78"/>
        <v>0</v>
      </c>
      <c r="FN30" s="80">
        <f t="shared" si="74"/>
        <v>591</v>
      </c>
      <c r="FO30" s="77">
        <f>FO29+591</f>
        <v>73117</v>
      </c>
      <c r="FP30" s="162"/>
      <c r="FR30" s="64"/>
      <c r="FS30" s="64"/>
      <c r="FT30" s="64"/>
      <c r="FU30" s="64"/>
      <c r="FV30" s="64"/>
      <c r="FW30" s="64"/>
      <c r="FX30" s="64"/>
      <c r="FY30" s="64">
        <v>25</v>
      </c>
      <c r="FZ30" s="107"/>
      <c r="GA30" s="107"/>
      <c r="GB30" s="180"/>
      <c r="GC30" s="109"/>
      <c r="GD30" s="110"/>
      <c r="GE30" s="110"/>
      <c r="GF30" s="111"/>
      <c r="GG30" s="111"/>
      <c r="GH30" s="111"/>
      <c r="GI30" s="164"/>
      <c r="GJ30" s="111" t="e">
        <f t="shared" si="65"/>
        <v>#DIV/0!</v>
      </c>
    </row>
    <row r="31" spans="1:193" ht="15" customHeight="1">
      <c r="B31" s="573">
        <v>42851</v>
      </c>
      <c r="D31" s="321">
        <v>4417.08</v>
      </c>
      <c r="E31" s="85">
        <v>1249.44</v>
      </c>
      <c r="F31" s="85">
        <v>3169.8719999999998</v>
      </c>
      <c r="G31" s="85">
        <v>5182.4179999999997</v>
      </c>
      <c r="H31" s="85">
        <v>6868.0159999999996</v>
      </c>
      <c r="I31" s="85">
        <v>1645.425</v>
      </c>
      <c r="J31" s="85">
        <v>5191.08</v>
      </c>
      <c r="K31" s="167">
        <v>0</v>
      </c>
      <c r="L31" s="327">
        <v>50</v>
      </c>
      <c r="M31" s="115">
        <f t="shared" si="21"/>
        <v>6836.5050000000001</v>
      </c>
      <c r="N31" s="88">
        <f t="shared" si="0"/>
        <v>20886.826000000001</v>
      </c>
      <c r="O31" s="88">
        <f t="shared" si="22"/>
        <v>24355.0785</v>
      </c>
      <c r="P31" s="89">
        <f t="shared" si="23"/>
        <v>429860.43000000005</v>
      </c>
      <c r="R31" s="90">
        <f t="shared" si="24"/>
        <v>261</v>
      </c>
      <c r="S31" s="90">
        <f t="shared" si="25"/>
        <v>74.7</v>
      </c>
      <c r="T31" s="90">
        <f t="shared" si="1"/>
        <v>449.1</v>
      </c>
      <c r="U31" s="90">
        <f t="shared" si="75"/>
        <v>5.5</v>
      </c>
      <c r="V31" s="90">
        <f t="shared" si="26"/>
        <v>1518</v>
      </c>
      <c r="W31" s="91">
        <f t="shared" si="2"/>
        <v>191.5</v>
      </c>
      <c r="X31" s="90">
        <f t="shared" si="27"/>
        <v>1518</v>
      </c>
      <c r="Y31" s="90" t="str">
        <f t="shared" si="28"/>
        <v>0</v>
      </c>
      <c r="Z31" s="90">
        <f t="shared" si="3"/>
        <v>172.7</v>
      </c>
      <c r="AA31" s="90">
        <f t="shared" si="29"/>
        <v>2308.3000000000002</v>
      </c>
      <c r="AB31" s="90">
        <f t="shared" si="30"/>
        <v>254</v>
      </c>
      <c r="AC31" s="90">
        <f t="shared" si="30"/>
        <v>31</v>
      </c>
      <c r="AD31" s="90">
        <f t="shared" si="31"/>
        <v>468</v>
      </c>
      <c r="AE31" s="90">
        <f t="shared" si="32"/>
        <v>183</v>
      </c>
      <c r="AF31" s="90">
        <f t="shared" si="33"/>
        <v>176</v>
      </c>
      <c r="AG31" s="90">
        <f t="shared" si="33"/>
        <v>61</v>
      </c>
      <c r="AH31" s="90">
        <f t="shared" si="34"/>
        <v>339</v>
      </c>
      <c r="AI31" s="90">
        <f t="shared" si="35"/>
        <v>102</v>
      </c>
      <c r="AJ31" s="90">
        <f t="shared" si="36"/>
        <v>251</v>
      </c>
      <c r="AK31" s="90">
        <f t="shared" si="36"/>
        <v>14</v>
      </c>
      <c r="AL31" s="90">
        <f t="shared" si="37"/>
        <v>337</v>
      </c>
      <c r="AM31" s="90">
        <f t="shared" si="38"/>
        <v>72</v>
      </c>
      <c r="AN31" s="90">
        <f t="shared" si="39"/>
        <v>29</v>
      </c>
      <c r="AO31" s="90">
        <f t="shared" si="4"/>
        <v>97</v>
      </c>
      <c r="AP31" s="90">
        <f t="shared" si="40"/>
        <v>9</v>
      </c>
      <c r="AQ31" s="90">
        <f t="shared" si="5"/>
        <v>24</v>
      </c>
      <c r="AR31" s="90">
        <f t="shared" si="41"/>
        <v>116.92100000000001</v>
      </c>
      <c r="AS31" s="90">
        <f t="shared" si="42"/>
        <v>181.92100000000005</v>
      </c>
      <c r="AT31" s="90">
        <f t="shared" si="43"/>
        <v>883.92100000000005</v>
      </c>
      <c r="AU31" s="90">
        <f t="shared" si="44"/>
        <v>273</v>
      </c>
      <c r="AV31" s="90">
        <f t="shared" si="66"/>
        <v>34</v>
      </c>
      <c r="AW31" s="90">
        <f t="shared" si="45"/>
        <v>429</v>
      </c>
      <c r="AX31" s="90">
        <f t="shared" si="67"/>
        <v>35</v>
      </c>
      <c r="AY31" s="90" t="str">
        <f t="shared" si="46"/>
        <v/>
      </c>
      <c r="AZ31" s="90">
        <f t="shared" si="47"/>
        <v>354</v>
      </c>
      <c r="BA31" s="90">
        <v>56</v>
      </c>
      <c r="BB31" s="90">
        <f t="shared" si="48"/>
        <v>105</v>
      </c>
      <c r="BC31" s="90">
        <f t="shared" si="48"/>
        <v>859</v>
      </c>
      <c r="BD31" s="91">
        <f t="shared" si="49"/>
        <v>1018</v>
      </c>
      <c r="BE31" s="90"/>
      <c r="BF31" s="90"/>
      <c r="BG31" s="90">
        <f t="shared" ref="BG31:BG36" si="79">IFERROR(SUM(BB31:BC31)+AZ31,"")</f>
        <v>1318</v>
      </c>
      <c r="BH31" s="90">
        <f t="shared" si="50"/>
        <v>515</v>
      </c>
      <c r="BI31" s="90">
        <f t="shared" si="51"/>
        <v>2561.7789999999995</v>
      </c>
      <c r="BJ31" s="90">
        <f t="shared" si="7"/>
        <v>5142.2210000000005</v>
      </c>
      <c r="BK31" s="92"/>
      <c r="BL31" s="93">
        <f t="shared" si="52"/>
        <v>8219</v>
      </c>
      <c r="BM31" s="93">
        <f t="shared" si="53"/>
        <v>164189.5</v>
      </c>
      <c r="BN31" s="92"/>
      <c r="BO31" s="94">
        <f t="shared" si="54"/>
        <v>0.12495914889126762</v>
      </c>
      <c r="BP31" s="94">
        <f t="shared" si="54"/>
        <v>3.5764170199914527E-2</v>
      </c>
      <c r="BQ31" s="94">
        <f t="shared" si="55"/>
        <v>0.2150159148163536</v>
      </c>
      <c r="BR31" s="94">
        <f t="shared" si="68"/>
        <v>0.72677390044806234</v>
      </c>
      <c r="BS31" s="94">
        <f t="shared" si="77"/>
        <v>0</v>
      </c>
      <c r="BT31" s="94">
        <f t="shared" si="77"/>
        <v>8.2683697369815776E-2</v>
      </c>
      <c r="BU31" s="95">
        <f t="shared" si="77"/>
        <v>1.1051463731253375</v>
      </c>
      <c r="BV31" s="94">
        <f t="shared" si="9"/>
        <v>0.10716450780480959</v>
      </c>
      <c r="BW31" s="94">
        <f t="shared" si="9"/>
        <v>3.0671221199307569E-2</v>
      </c>
      <c r="BX31" s="94">
        <f t="shared" si="9"/>
        <v>0.18439685998137922</v>
      </c>
      <c r="BY31" s="94">
        <f t="shared" si="56"/>
        <v>0.62327863160038677</v>
      </c>
      <c r="BZ31" s="95">
        <f t="shared" si="10"/>
        <v>0.94776947649747878</v>
      </c>
      <c r="CA31" s="96" t="e">
        <f>#REF!</f>
        <v>#REF!</v>
      </c>
      <c r="CB31" s="94">
        <f t="shared" si="11"/>
        <v>4.8006825352667211E-2</v>
      </c>
      <c r="CC31" s="95">
        <f t="shared" si="11"/>
        <v>7.4695304307888011E-2</v>
      </c>
      <c r="CD31" s="97">
        <f t="shared" si="12"/>
        <v>0.17102452203282234</v>
      </c>
      <c r="CE31" s="98">
        <f t="shared" si="12"/>
        <v>0.26610234322947185</v>
      </c>
      <c r="CF31" s="94">
        <f t="shared" si="57"/>
        <v>0.57504052450940446</v>
      </c>
      <c r="CG31" s="94">
        <f t="shared" si="57"/>
        <v>7.0182111259021795E-2</v>
      </c>
      <c r="CH31" s="95">
        <f t="shared" si="58"/>
        <v>1.059523486103942</v>
      </c>
      <c r="CI31" s="96" t="e">
        <f>#REF!</f>
        <v>#REF!</v>
      </c>
      <c r="CJ31" s="94">
        <f t="shared" si="59"/>
        <v>1.4086310667178894</v>
      </c>
      <c r="CK31" s="94">
        <f t="shared" si="59"/>
        <v>0.48821872198745037</v>
      </c>
      <c r="CL31" s="95">
        <f t="shared" si="69"/>
        <v>2.7132155205532076</v>
      </c>
      <c r="CM31" s="95" t="e">
        <f>#REF!</f>
        <v>#REF!</v>
      </c>
      <c r="CN31" s="94">
        <f t="shared" si="60"/>
        <v>0.79183008020513135</v>
      </c>
      <c r="CO31" s="94">
        <f t="shared" si="60"/>
        <v>4.416582120666071E-2</v>
      </c>
      <c r="CP31" s="95">
        <f t="shared" si="61"/>
        <v>1.0631344104746185</v>
      </c>
      <c r="CQ31" s="95" t="e">
        <f>#REF!</f>
        <v>#REF!</v>
      </c>
      <c r="CR31" s="97">
        <f t="shared" si="70"/>
        <v>5.5958434846436547E-2</v>
      </c>
      <c r="CS31" s="95">
        <f t="shared" si="70"/>
        <v>0.18717131655532226</v>
      </c>
      <c r="CT31" s="96" t="e">
        <f>#REF!</f>
        <v>#REF!</v>
      </c>
      <c r="CU31" s="97">
        <f t="shared" si="71"/>
        <v>1.3104221073451199E-2</v>
      </c>
      <c r="CV31" s="95">
        <f t="shared" si="62"/>
        <v>3.4944589529203193E-2</v>
      </c>
      <c r="CW31" s="96" t="e">
        <f>#REF!</f>
        <v>#REF!</v>
      </c>
      <c r="CX31" s="99">
        <f t="shared" si="63"/>
        <v>0.11209161161192727</v>
      </c>
      <c r="CY31" s="95">
        <f t="shared" si="63"/>
        <v>1.3960127453500098E-2</v>
      </c>
      <c r="CZ31" s="99">
        <f t="shared" si="63"/>
        <v>0.17614396110445713</v>
      </c>
      <c r="DA31" s="95">
        <f t="shared" si="63"/>
        <v>1.4370719437426571E-2</v>
      </c>
      <c r="DB31" s="94">
        <f t="shared" si="13"/>
        <v>0.14534956230997162</v>
      </c>
      <c r="DC31" s="94">
        <f t="shared" si="14"/>
        <v>4.3112158312279721E-2</v>
      </c>
      <c r="DD31" s="94">
        <f t="shared" si="14"/>
        <v>0.35269851419284071</v>
      </c>
      <c r="DE31" s="94">
        <f t="shared" si="14"/>
        <v>0.41798263963714999</v>
      </c>
      <c r="DF31" s="94">
        <f t="shared" si="14"/>
        <v>0</v>
      </c>
      <c r="DG31" s="94">
        <f t="shared" si="14"/>
        <v>0</v>
      </c>
      <c r="DH31" s="95">
        <f t="shared" si="14"/>
        <v>0.54116023481509212</v>
      </c>
      <c r="DI31" s="96" t="e">
        <f>#REF!</f>
        <v>#REF!</v>
      </c>
      <c r="DJ31" s="95">
        <f t="shared" si="64"/>
        <v>0.21145487172213384</v>
      </c>
      <c r="DK31" s="96" t="e">
        <f>#REF!</f>
        <v>#REF!</v>
      </c>
      <c r="DL31" s="95">
        <f t="shared" si="15"/>
        <v>1.0518459219911771</v>
      </c>
      <c r="DM31" s="96">
        <f t="shared" si="16"/>
        <v>0</v>
      </c>
      <c r="DN31" s="94">
        <f t="shared" si="17"/>
        <v>2.1113547221783744</v>
      </c>
      <c r="DO31" s="100">
        <v>3.4</v>
      </c>
      <c r="DP31" s="94">
        <f t="shared" si="72"/>
        <v>3.3746555158916856</v>
      </c>
      <c r="DQ31" s="94">
        <f t="shared" si="73"/>
        <v>3.8196002362906483</v>
      </c>
      <c r="DR31" s="101" t="str">
        <f t="shared" si="18"/>
        <v>3,45 hL/NhL</v>
      </c>
      <c r="DT31" s="182">
        <v>26</v>
      </c>
      <c r="DU31" s="183">
        <v>617079</v>
      </c>
      <c r="DV31" s="135">
        <v>24402</v>
      </c>
      <c r="DW31" s="135">
        <v>5111909</v>
      </c>
      <c r="DX31" s="135">
        <v>108791</v>
      </c>
      <c r="DY31" s="135">
        <v>82452</v>
      </c>
      <c r="DZ31" s="135">
        <v>377036</v>
      </c>
      <c r="EA31" s="136">
        <v>220270</v>
      </c>
      <c r="EB31" s="136">
        <v>51494</v>
      </c>
      <c r="EC31" s="136">
        <v>386592</v>
      </c>
      <c r="ED31" s="136">
        <v>45589</v>
      </c>
      <c r="EE31" s="136">
        <v>37338</v>
      </c>
      <c r="EF31" s="136">
        <v>39576</v>
      </c>
      <c r="EG31" s="135">
        <v>90070</v>
      </c>
      <c r="EH31" s="135">
        <v>177708</v>
      </c>
      <c r="EI31" s="135">
        <v>30543</v>
      </c>
      <c r="EJ31" s="136">
        <v>38803</v>
      </c>
      <c r="EK31" s="136"/>
      <c r="EL31" s="135">
        <v>686642</v>
      </c>
      <c r="EM31" s="135">
        <v>4491</v>
      </c>
      <c r="EN31" s="136">
        <v>41465</v>
      </c>
      <c r="EO31" s="135">
        <v>2919669</v>
      </c>
      <c r="EP31" s="139">
        <v>2911107</v>
      </c>
      <c r="EQ31" s="139">
        <v>0</v>
      </c>
      <c r="ER31" s="139">
        <v>1727</v>
      </c>
      <c r="ES31" s="136">
        <v>313177</v>
      </c>
      <c r="ET31" s="136">
        <v>5320904</v>
      </c>
      <c r="EU31" s="136">
        <v>396305</v>
      </c>
      <c r="EV31" s="136">
        <v>122142</v>
      </c>
      <c r="EW31" s="136">
        <v>87842</v>
      </c>
      <c r="EX31" s="135">
        <v>201765</v>
      </c>
      <c r="EY31" s="135">
        <v>1595280</v>
      </c>
      <c r="EZ31" s="136">
        <v>732937</v>
      </c>
      <c r="FA31" s="145">
        <v>733606</v>
      </c>
      <c r="FB31" s="145">
        <v>30229</v>
      </c>
      <c r="FC31" s="140">
        <v>7704</v>
      </c>
      <c r="FD31" s="104">
        <f>SUM(FE31:FM31)</f>
        <v>7549</v>
      </c>
      <c r="FE31" s="105">
        <f t="shared" si="78"/>
        <v>0</v>
      </c>
      <c r="FF31" s="105">
        <f t="shared" si="78"/>
        <v>0</v>
      </c>
      <c r="FG31" s="105">
        <f t="shared" si="78"/>
        <v>1999</v>
      </c>
      <c r="FH31" s="105">
        <f t="shared" si="78"/>
        <v>1744</v>
      </c>
      <c r="FI31" s="105">
        <f t="shared" si="78"/>
        <v>640</v>
      </c>
      <c r="FJ31" s="105">
        <f t="shared" si="78"/>
        <v>804</v>
      </c>
      <c r="FK31" s="105">
        <f t="shared" si="78"/>
        <v>0</v>
      </c>
      <c r="FL31" s="105">
        <f t="shared" si="78"/>
        <v>2362</v>
      </c>
      <c r="FM31" s="105">
        <f t="shared" si="78"/>
        <v>0</v>
      </c>
      <c r="FN31" s="124">
        <f t="shared" si="74"/>
        <v>670</v>
      </c>
      <c r="FO31" s="136">
        <f>FO30+670</f>
        <v>73787</v>
      </c>
      <c r="FP31" s="184"/>
      <c r="FQ31" s="185"/>
      <c r="FR31" s="64"/>
      <c r="FS31" s="64"/>
      <c r="FT31" s="64"/>
      <c r="FU31" s="64"/>
      <c r="FV31" s="64"/>
      <c r="FW31" s="64"/>
      <c r="FX31" s="64"/>
      <c r="FY31" s="64">
        <v>26</v>
      </c>
      <c r="FZ31" s="107"/>
      <c r="GA31" s="107"/>
      <c r="GB31" s="180"/>
      <c r="GC31" s="109"/>
      <c r="GD31" s="110"/>
      <c r="GE31" s="110"/>
      <c r="GF31" s="111"/>
      <c r="GG31" s="111"/>
      <c r="GH31" s="111"/>
      <c r="GI31" s="112"/>
      <c r="GJ31" s="111" t="e">
        <f t="shared" si="65"/>
        <v>#DIV/0!</v>
      </c>
      <c r="GK31" s="118"/>
    </row>
    <row r="32" spans="1:193" s="119" customFormat="1" ht="15" customHeight="1">
      <c r="B32" s="573">
        <v>42852</v>
      </c>
      <c r="D32" s="85">
        <v>3553.56</v>
      </c>
      <c r="E32" s="85">
        <v>4173.6000000000004</v>
      </c>
      <c r="F32" s="85">
        <v>2872.5839999999998</v>
      </c>
      <c r="G32" s="85">
        <v>4322.1319999999996</v>
      </c>
      <c r="H32" s="85">
        <v>6412.0640000000003</v>
      </c>
      <c r="I32" s="86">
        <v>1875.3330000000001</v>
      </c>
      <c r="J32" s="85">
        <v>6456.4679999999998</v>
      </c>
      <c r="K32" s="167"/>
      <c r="L32" s="167"/>
      <c r="M32" s="115">
        <f t="shared" si="21"/>
        <v>8331.8009999999995</v>
      </c>
      <c r="N32" s="88">
        <f t="shared" si="0"/>
        <v>21333.94</v>
      </c>
      <c r="O32" s="88">
        <f t="shared" si="22"/>
        <v>25499.840499999998</v>
      </c>
      <c r="P32" s="89">
        <f t="shared" si="23"/>
        <v>455360.27050000004</v>
      </c>
      <c r="R32" s="90">
        <f t="shared" si="24"/>
        <v>281</v>
      </c>
      <c r="S32" s="90">
        <f t="shared" si="25"/>
        <v>2.1</v>
      </c>
      <c r="T32" s="90">
        <f t="shared" si="1"/>
        <v>437</v>
      </c>
      <c r="U32" s="90">
        <f t="shared" si="75"/>
        <v>5</v>
      </c>
      <c r="V32" s="90">
        <f t="shared" si="26"/>
        <v>1582</v>
      </c>
      <c r="W32" s="91">
        <f t="shared" si="2"/>
        <v>235.6</v>
      </c>
      <c r="X32" s="90">
        <f t="shared" si="27"/>
        <v>1582</v>
      </c>
      <c r="Y32" s="90" t="str">
        <f t="shared" si="28"/>
        <v>0</v>
      </c>
      <c r="Z32" s="90">
        <f t="shared" si="3"/>
        <v>164.5</v>
      </c>
      <c r="AA32" s="90">
        <f t="shared" si="29"/>
        <v>2307.1</v>
      </c>
      <c r="AB32" s="90">
        <f t="shared" si="30"/>
        <v>197</v>
      </c>
      <c r="AC32" s="90">
        <f t="shared" si="30"/>
        <v>30</v>
      </c>
      <c r="AD32" s="90">
        <f t="shared" si="31"/>
        <v>427</v>
      </c>
      <c r="AE32" s="90">
        <f t="shared" si="32"/>
        <v>200</v>
      </c>
      <c r="AF32" s="90">
        <f t="shared" si="33"/>
        <v>203</v>
      </c>
      <c r="AG32" s="90">
        <f t="shared" si="33"/>
        <v>11</v>
      </c>
      <c r="AH32" s="90">
        <f t="shared" si="34"/>
        <v>255</v>
      </c>
      <c r="AI32" s="90">
        <f t="shared" si="35"/>
        <v>41</v>
      </c>
      <c r="AJ32" s="90">
        <f>IF(EA32=0,"",(EA32-EA31))</f>
        <v>246</v>
      </c>
      <c r="AK32" s="90">
        <f t="shared" si="36"/>
        <v>9</v>
      </c>
      <c r="AL32" s="90">
        <f t="shared" si="37"/>
        <v>336</v>
      </c>
      <c r="AM32" s="90">
        <f t="shared" si="38"/>
        <v>81</v>
      </c>
      <c r="AN32" s="90">
        <f t="shared" si="39"/>
        <v>12</v>
      </c>
      <c r="AO32" s="90">
        <f t="shared" si="4"/>
        <v>26</v>
      </c>
      <c r="AP32" s="90">
        <f t="shared" si="40"/>
        <v>15</v>
      </c>
      <c r="AQ32" s="90">
        <f t="shared" si="5"/>
        <v>35</v>
      </c>
      <c r="AR32" s="90">
        <f t="shared" si="41"/>
        <v>61.46</v>
      </c>
      <c r="AS32" s="90">
        <f t="shared" si="42"/>
        <v>153.46000000000004</v>
      </c>
      <c r="AT32" s="90">
        <f t="shared" si="43"/>
        <v>865.46</v>
      </c>
      <c r="AU32" s="90">
        <f t="shared" si="44"/>
        <v>226</v>
      </c>
      <c r="AV32" s="90">
        <f t="shared" si="66"/>
        <v>12</v>
      </c>
      <c r="AW32" s="90">
        <f t="shared" si="45"/>
        <v>486</v>
      </c>
      <c r="AX32" s="90">
        <f t="shared" si="67"/>
        <v>4</v>
      </c>
      <c r="AY32" s="90" t="str">
        <f t="shared" si="46"/>
        <v/>
      </c>
      <c r="AZ32" s="90">
        <f t="shared" si="47"/>
        <v>408</v>
      </c>
      <c r="BA32" s="90">
        <v>64</v>
      </c>
      <c r="BB32" s="90">
        <f t="shared" si="48"/>
        <v>121</v>
      </c>
      <c r="BC32" s="90">
        <f t="shared" si="48"/>
        <v>935</v>
      </c>
      <c r="BD32" s="91">
        <f t="shared" si="49"/>
        <v>942</v>
      </c>
      <c r="BE32" s="90"/>
      <c r="BF32" s="90"/>
      <c r="BG32" s="90">
        <f t="shared" si="79"/>
        <v>1464</v>
      </c>
      <c r="BH32" s="90">
        <f t="shared" si="50"/>
        <v>1186</v>
      </c>
      <c r="BI32" s="90">
        <f t="shared" si="51"/>
        <v>2431.4399999999996</v>
      </c>
      <c r="BJ32" s="90">
        <f t="shared" si="7"/>
        <v>5019.5600000000004</v>
      </c>
      <c r="BK32" s="92"/>
      <c r="BL32" s="93">
        <f t="shared" si="52"/>
        <v>8637</v>
      </c>
      <c r="BM32" s="93">
        <f t="shared" si="53"/>
        <v>172826.5</v>
      </c>
      <c r="BN32" s="92"/>
      <c r="BO32" s="94">
        <f t="shared" si="54"/>
        <v>0.13171500435456368</v>
      </c>
      <c r="BP32" s="94">
        <f t="shared" si="54"/>
        <v>9.8434700763197058E-4</v>
      </c>
      <c r="BQ32" s="94">
        <f t="shared" si="55"/>
        <v>0.20483792492151004</v>
      </c>
      <c r="BR32" s="94">
        <f t="shared" si="68"/>
        <v>0.74154141241608451</v>
      </c>
      <c r="BS32" s="94">
        <f t="shared" si="77"/>
        <v>0</v>
      </c>
      <c r="BT32" s="94">
        <f t="shared" si="77"/>
        <v>7.7107182264504359E-2</v>
      </c>
      <c r="BU32" s="95">
        <f t="shared" si="77"/>
        <v>1.0814223720512948</v>
      </c>
      <c r="BV32" s="94">
        <f t="shared" si="9"/>
        <v>0.11019676770135092</v>
      </c>
      <c r="BW32" s="94">
        <f t="shared" si="9"/>
        <v>8.2353456289265816E-4</v>
      </c>
      <c r="BX32" s="94">
        <f t="shared" si="9"/>
        <v>0.17137362094480552</v>
      </c>
      <c r="BY32" s="94">
        <f t="shared" si="56"/>
        <v>0.62039603737913585</v>
      </c>
      <c r="BZ32" s="95">
        <f t="shared" si="10"/>
        <v>0.90475075716650077</v>
      </c>
      <c r="CA32" s="96" t="e">
        <f>#REF!</f>
        <v>#REF!</v>
      </c>
      <c r="CB32" s="94">
        <f t="shared" si="11"/>
        <v>2.4102111540658461E-2</v>
      </c>
      <c r="CC32" s="95">
        <f t="shared" si="11"/>
        <v>6.0180768581670166E-2</v>
      </c>
      <c r="CD32" s="97">
        <f t="shared" si="12"/>
        <v>7.376556401191052E-2</v>
      </c>
      <c r="CE32" s="98">
        <f t="shared" si="12"/>
        <v>0.18418586809742582</v>
      </c>
      <c r="CF32" s="94">
        <f t="shared" si="57"/>
        <v>0.5543736422066885</v>
      </c>
      <c r="CG32" s="94">
        <f t="shared" si="57"/>
        <v>8.4422382061932269E-2</v>
      </c>
      <c r="CH32" s="95">
        <f t="shared" si="58"/>
        <v>1.2016119046815026</v>
      </c>
      <c r="CI32" s="96" t="e">
        <f>#REF!</f>
        <v>#REF!</v>
      </c>
      <c r="CJ32" s="94">
        <f t="shared" si="59"/>
        <v>0.486390645965114</v>
      </c>
      <c r="CK32" s="94">
        <f t="shared" si="59"/>
        <v>2.6356143377419972E-2</v>
      </c>
      <c r="CL32" s="95">
        <f t="shared" si="69"/>
        <v>0.6109833237492811</v>
      </c>
      <c r="CM32" s="95" t="e">
        <f>#REF!</f>
        <v>#REF!</v>
      </c>
      <c r="CN32" s="94">
        <f t="shared" si="60"/>
        <v>0.85637182411375967</v>
      </c>
      <c r="CO32" s="94">
        <f t="shared" si="60"/>
        <v>3.1330676491966816E-2</v>
      </c>
      <c r="CP32" s="95">
        <f t="shared" si="61"/>
        <v>1.1696785890334278</v>
      </c>
      <c r="CQ32" s="95" t="e">
        <f>#REF!</f>
        <v>#REF!</v>
      </c>
      <c r="CR32" s="97">
        <f t="shared" si="70"/>
        <v>2.7764075692274095E-2</v>
      </c>
      <c r="CS32" s="95">
        <f t="shared" si="70"/>
        <v>6.0155497333260539E-2</v>
      </c>
      <c r="CT32" s="96" t="e">
        <f>#REF!</f>
        <v>#REF!</v>
      </c>
      <c r="CU32" s="97">
        <f t="shared" si="71"/>
        <v>2.3393403434525915E-2</v>
      </c>
      <c r="CV32" s="95">
        <f t="shared" si="62"/>
        <v>5.4584608013893809E-2</v>
      </c>
      <c r="CW32" s="96" t="e">
        <f>#REF!</f>
        <v>#REF!</v>
      </c>
      <c r="CX32" s="99">
        <f t="shared" si="63"/>
        <v>8.8628005339876553E-2</v>
      </c>
      <c r="CY32" s="95">
        <f t="shared" si="63"/>
        <v>4.705911787958047E-3</v>
      </c>
      <c r="CZ32" s="99">
        <f t="shared" si="63"/>
        <v>0.19058942741230089</v>
      </c>
      <c r="DA32" s="95">
        <f t="shared" si="63"/>
        <v>1.5686372626526823E-3</v>
      </c>
      <c r="DB32" s="94">
        <f t="shared" si="13"/>
        <v>0.16000100079057358</v>
      </c>
      <c r="DC32" s="94">
        <f t="shared" si="14"/>
        <v>4.7451277195243641E-2</v>
      </c>
      <c r="DD32" s="94">
        <f t="shared" si="14"/>
        <v>0.3666689601450645</v>
      </c>
      <c r="DE32" s="94">
        <f t="shared" si="14"/>
        <v>0.36941407535470661</v>
      </c>
      <c r="DF32" s="94">
        <f t="shared" si="14"/>
        <v>0</v>
      </c>
      <c r="DG32" s="94">
        <f t="shared" si="14"/>
        <v>0</v>
      </c>
      <c r="DH32" s="95">
        <f t="shared" si="14"/>
        <v>0.57412123813088167</v>
      </c>
      <c r="DI32" s="96" t="e">
        <f>#REF!</f>
        <v>#REF!</v>
      </c>
      <c r="DJ32" s="95">
        <f t="shared" si="64"/>
        <v>0.46510094837652027</v>
      </c>
      <c r="DK32" s="96" t="e">
        <f>#REF!</f>
        <v>#REF!</v>
      </c>
      <c r="DL32" s="95">
        <f t="shared" si="15"/>
        <v>0.95351184647605924</v>
      </c>
      <c r="DM32" s="96">
        <f t="shared" si="16"/>
        <v>0</v>
      </c>
      <c r="DN32" s="94">
        <f>IF($O32&lt;&gt;0,BJ32/$O32*10,"")</f>
        <v>1.9684672145302247</v>
      </c>
      <c r="DO32" s="100">
        <v>3.4</v>
      </c>
      <c r="DP32" s="94">
        <f t="shared" si="72"/>
        <v>3.387080009382804</v>
      </c>
      <c r="DQ32" s="94">
        <f t="shared" si="73"/>
        <v>3.7953794214464738</v>
      </c>
      <c r="DR32" s="101"/>
      <c r="DS32" s="173"/>
      <c r="DT32" s="134">
        <v>27</v>
      </c>
      <c r="DU32" s="120">
        <v>617276</v>
      </c>
      <c r="DV32" s="120">
        <v>24432</v>
      </c>
      <c r="DW32" s="120">
        <v>5112336</v>
      </c>
      <c r="DX32" s="120">
        <v>108994</v>
      </c>
      <c r="DY32" s="120">
        <v>82463</v>
      </c>
      <c r="DZ32" s="120">
        <v>377291</v>
      </c>
      <c r="EA32" s="120">
        <v>220516</v>
      </c>
      <c r="EB32" s="120">
        <v>51503</v>
      </c>
      <c r="EC32" s="120">
        <v>386928</v>
      </c>
      <c r="ED32" s="120">
        <v>45601</v>
      </c>
      <c r="EE32" s="120">
        <v>37364</v>
      </c>
      <c r="EF32" s="120">
        <v>39576</v>
      </c>
      <c r="EG32" s="120">
        <v>90085</v>
      </c>
      <c r="EH32" s="120">
        <v>177743</v>
      </c>
      <c r="EI32" s="120">
        <v>30555</v>
      </c>
      <c r="EJ32" s="120">
        <v>38807</v>
      </c>
      <c r="EK32" s="120"/>
      <c r="EL32" s="120">
        <v>686923</v>
      </c>
      <c r="EM32" s="120">
        <v>4370</v>
      </c>
      <c r="EN32" s="120">
        <v>41515</v>
      </c>
      <c r="EO32" s="120">
        <v>2921251</v>
      </c>
      <c r="EP32" s="120">
        <v>2913463</v>
      </c>
      <c r="EQ32" s="120">
        <v>0</v>
      </c>
      <c r="ER32" s="120">
        <v>1645</v>
      </c>
      <c r="ES32" s="120">
        <v>313981</v>
      </c>
      <c r="ET32" s="120">
        <v>5382364</v>
      </c>
      <c r="EU32" s="120">
        <v>396791</v>
      </c>
      <c r="EV32" s="120">
        <v>122368</v>
      </c>
      <c r="EW32" s="120">
        <v>88250</v>
      </c>
      <c r="EX32" s="120">
        <v>201886</v>
      </c>
      <c r="EY32" s="120">
        <v>1596215</v>
      </c>
      <c r="EZ32" s="120">
        <v>732958</v>
      </c>
      <c r="FA32" s="151">
        <v>734548</v>
      </c>
      <c r="FB32" s="151">
        <v>30290</v>
      </c>
      <c r="FC32" s="149">
        <v>7451</v>
      </c>
      <c r="FD32" s="104">
        <f t="shared" si="76"/>
        <v>8054</v>
      </c>
      <c r="FE32" s="105">
        <f t="shared" si="78"/>
        <v>0</v>
      </c>
      <c r="FF32" s="105">
        <f t="shared" si="78"/>
        <v>814</v>
      </c>
      <c r="FG32" s="105">
        <f t="shared" si="78"/>
        <v>1996</v>
      </c>
      <c r="FH32" s="105">
        <f t="shared" si="78"/>
        <v>2289</v>
      </c>
      <c r="FI32" s="105">
        <f t="shared" si="78"/>
        <v>635</v>
      </c>
      <c r="FJ32" s="105">
        <f t="shared" si="78"/>
        <v>768</v>
      </c>
      <c r="FK32" s="105">
        <f t="shared" si="78"/>
        <v>0</v>
      </c>
      <c r="FL32" s="105">
        <f t="shared" si="78"/>
        <v>1552</v>
      </c>
      <c r="FM32" s="105">
        <f t="shared" si="78"/>
        <v>0</v>
      </c>
      <c r="FN32" s="124">
        <f t="shared" si="74"/>
        <v>583</v>
      </c>
      <c r="FO32" s="77">
        <f>FO31+583</f>
        <v>74370</v>
      </c>
      <c r="FP32" s="81"/>
      <c r="FQ32" s="186"/>
      <c r="FY32" s="119">
        <v>27</v>
      </c>
      <c r="FZ32" s="107"/>
      <c r="GA32" s="107"/>
      <c r="GB32" s="180"/>
      <c r="GC32" s="109"/>
      <c r="GD32" s="110"/>
      <c r="GE32" s="110"/>
      <c r="GF32" s="111"/>
      <c r="GG32" s="111"/>
      <c r="GH32" s="111"/>
      <c r="GI32" s="164"/>
      <c r="GJ32" s="111" t="e">
        <f t="shared" si="65"/>
        <v>#DIV/0!</v>
      </c>
    </row>
    <row r="33" spans="1:193" s="119" customFormat="1" ht="15" customHeight="1">
      <c r="A33" s="119">
        <v>0</v>
      </c>
      <c r="B33" s="573">
        <v>42853</v>
      </c>
      <c r="D33" s="85">
        <v>1866.72</v>
      </c>
      <c r="E33" s="85">
        <v>4761.96</v>
      </c>
      <c r="F33" s="85">
        <v>2694.5280000000002</v>
      </c>
      <c r="G33" s="85">
        <v>1753.097</v>
      </c>
      <c r="H33" s="85">
        <v>7809.95</v>
      </c>
      <c r="I33" s="85">
        <v>2399.8809999999999</v>
      </c>
      <c r="J33" s="85"/>
      <c r="K33" s="167">
        <v>33.414999999999999</v>
      </c>
      <c r="L33" s="167"/>
      <c r="M33" s="115">
        <f t="shared" si="21"/>
        <v>2399.8809999999999</v>
      </c>
      <c r="N33" s="88">
        <f t="shared" si="0"/>
        <v>18886.255000000001</v>
      </c>
      <c r="O33" s="88">
        <f t="shared" si="22"/>
        <v>20086.195500000002</v>
      </c>
      <c r="P33" s="89">
        <f t="shared" si="23"/>
        <v>475446.46600000001</v>
      </c>
      <c r="R33" s="90">
        <f t="shared" si="24"/>
        <v>313</v>
      </c>
      <c r="S33" s="90">
        <f t="shared" si="25"/>
        <v>238.6</v>
      </c>
      <c r="T33" s="90">
        <f t="shared" si="1"/>
        <v>200.3</v>
      </c>
      <c r="U33" s="90">
        <f t="shared" si="75"/>
        <v>5.8</v>
      </c>
      <c r="V33" s="90">
        <f t="shared" si="26"/>
        <v>1798</v>
      </c>
      <c r="W33" s="91">
        <f t="shared" si="2"/>
        <v>163.30000000000001</v>
      </c>
      <c r="X33" s="90">
        <f t="shared" si="27"/>
        <v>1798</v>
      </c>
      <c r="Y33" s="90" t="str">
        <f t="shared" si="28"/>
        <v>0</v>
      </c>
      <c r="Z33" s="90">
        <f t="shared" si="3"/>
        <v>211.3</v>
      </c>
      <c r="AA33" s="90">
        <f t="shared" si="29"/>
        <v>2555.6999999999998</v>
      </c>
      <c r="AB33" s="90">
        <f t="shared" si="30"/>
        <v>222</v>
      </c>
      <c r="AC33" s="90">
        <f t="shared" si="30"/>
        <v>38</v>
      </c>
      <c r="AD33" s="90">
        <f>(IF(SUM(AB33:AC33)&gt;=(DW33-DW32),(SUM(AB33:AC33)),(DW33-DW32)))</f>
        <v>381</v>
      </c>
      <c r="AE33" s="90">
        <f t="shared" si="32"/>
        <v>121</v>
      </c>
      <c r="AF33" s="90">
        <f t="shared" si="33"/>
        <v>200</v>
      </c>
      <c r="AG33" s="90">
        <f t="shared" si="33"/>
        <v>11</v>
      </c>
      <c r="AH33" s="90">
        <f t="shared" si="34"/>
        <v>269</v>
      </c>
      <c r="AI33" s="90">
        <f t="shared" si="35"/>
        <v>58</v>
      </c>
      <c r="AJ33" s="90">
        <f>IF(EA33=0,"",(EA33-EA32))</f>
        <v>232</v>
      </c>
      <c r="AK33" s="90">
        <f t="shared" si="36"/>
        <v>79</v>
      </c>
      <c r="AL33" s="90">
        <f t="shared" si="37"/>
        <v>399</v>
      </c>
      <c r="AM33" s="90">
        <f t="shared" si="38"/>
        <v>88</v>
      </c>
      <c r="AN33" s="90">
        <f t="shared" si="39"/>
        <v>15</v>
      </c>
      <c r="AO33" s="90">
        <f t="shared" si="4"/>
        <v>72</v>
      </c>
      <c r="AP33" s="90">
        <f t="shared" si="40"/>
        <v>5</v>
      </c>
      <c r="AQ33" s="90">
        <f t="shared" si="5"/>
        <v>19</v>
      </c>
      <c r="AR33" s="90">
        <f t="shared" si="41"/>
        <v>98.156999999999996</v>
      </c>
      <c r="AS33" s="90">
        <f t="shared" si="42"/>
        <v>208.15700000000004</v>
      </c>
      <c r="AT33" s="90">
        <f t="shared" si="43"/>
        <v>922.15700000000004</v>
      </c>
      <c r="AU33" s="90">
        <f t="shared" si="44"/>
        <v>325</v>
      </c>
      <c r="AV33" s="90">
        <f t="shared" si="66"/>
        <v>13</v>
      </c>
      <c r="AW33" s="90">
        <f t="shared" si="45"/>
        <v>389</v>
      </c>
      <c r="AX33" s="90">
        <f t="shared" si="67"/>
        <v>3</v>
      </c>
      <c r="AY33" s="90" t="str">
        <f t="shared" si="46"/>
        <v/>
      </c>
      <c r="AZ33" s="90">
        <f t="shared" si="47"/>
        <v>385</v>
      </c>
      <c r="BA33" s="90">
        <v>52</v>
      </c>
      <c r="BB33" s="90">
        <f t="shared" si="48"/>
        <v>135</v>
      </c>
      <c r="BC33" s="90">
        <f t="shared" si="48"/>
        <v>1061</v>
      </c>
      <c r="BD33" s="91">
        <f t="shared" si="49"/>
        <v>-1590</v>
      </c>
      <c r="BE33" s="90"/>
      <c r="BF33" s="90"/>
      <c r="BG33" s="90">
        <f t="shared" si="79"/>
        <v>1581</v>
      </c>
      <c r="BH33" s="90">
        <f t="shared" si="50"/>
        <v>605</v>
      </c>
      <c r="BI33" s="90">
        <f t="shared" si="51"/>
        <v>1309.143</v>
      </c>
      <c r="BJ33" s="90">
        <f t="shared" si="7"/>
        <v>5500.857</v>
      </c>
      <c r="BK33" s="92"/>
      <c r="BL33" s="93">
        <f t="shared" si="52"/>
        <v>7415</v>
      </c>
      <c r="BM33" s="93">
        <f t="shared" si="53"/>
        <v>180241.5</v>
      </c>
      <c r="BN33" s="92"/>
      <c r="BO33" s="94">
        <f t="shared" si="54"/>
        <v>0.16572899179853284</v>
      </c>
      <c r="BP33" s="94">
        <f t="shared" si="54"/>
        <v>0.12633526339658124</v>
      </c>
      <c r="BQ33" s="94">
        <f t="shared" si="55"/>
        <v>0.10605596503912502</v>
      </c>
      <c r="BR33" s="94">
        <f t="shared" si="68"/>
        <v>0.95201510304716308</v>
      </c>
      <c r="BS33" s="94">
        <f t="shared" si="77"/>
        <v>0</v>
      </c>
      <c r="BT33" s="94">
        <f t="shared" si="77"/>
        <v>0.11188030660392967</v>
      </c>
      <c r="BU33" s="95">
        <f t="shared" si="77"/>
        <v>1.3532063397428447</v>
      </c>
      <c r="BV33" s="94">
        <f t="shared" si="9"/>
        <v>0.15582841459449101</v>
      </c>
      <c r="BW33" s="94">
        <f t="shared" si="9"/>
        <v>0.11878805023081647</v>
      </c>
      <c r="BX33" s="94">
        <f t="shared" si="9"/>
        <v>9.9720228253279711E-2</v>
      </c>
      <c r="BY33" s="94">
        <f t="shared" si="56"/>
        <v>0.89514213878880144</v>
      </c>
      <c r="BZ33" s="95">
        <f t="shared" si="10"/>
        <v>1.272366387153804</v>
      </c>
      <c r="CA33" s="96" t="e">
        <f>#REF!</f>
        <v>#REF!</v>
      </c>
      <c r="CB33" s="94">
        <f t="shared" si="11"/>
        <v>4.8867890387704331E-2</v>
      </c>
      <c r="CC33" s="95">
        <f t="shared" si="11"/>
        <v>0.10363186995765326</v>
      </c>
      <c r="CD33" s="97">
        <f t="shared" si="12"/>
        <v>0.40900777996909016</v>
      </c>
      <c r="CE33" s="98">
        <f t="shared" si="12"/>
        <v>0.86736384012373979</v>
      </c>
      <c r="CF33" s="94">
        <f t="shared" si="57"/>
        <v>1.1892517356646954</v>
      </c>
      <c r="CG33" s="94">
        <f t="shared" si="57"/>
        <v>0.20356561241107396</v>
      </c>
      <c r="CH33" s="95">
        <f t="shared" si="58"/>
        <v>2.0410131139110312</v>
      </c>
      <c r="CI33" s="96" t="e">
        <f>#REF!</f>
        <v>#REF!</v>
      </c>
      <c r="CJ33" s="94">
        <f t="shared" si="59"/>
        <v>0.41999512805651451</v>
      </c>
      <c r="CK33" s="94">
        <f t="shared" si="59"/>
        <v>2.3099732043108299E-2</v>
      </c>
      <c r="CL33" s="95">
        <f t="shared" si="69"/>
        <v>0.56489344723601209</v>
      </c>
      <c r="CM33" s="95" t="e">
        <f>#REF!</f>
        <v>#REF!</v>
      </c>
      <c r="CN33" s="94">
        <f t="shared" si="60"/>
        <v>0.86100422782765651</v>
      </c>
      <c r="CO33" s="94">
        <f t="shared" si="60"/>
        <v>0.29318678447579688</v>
      </c>
      <c r="CP33" s="95">
        <f t="shared" si="61"/>
        <v>1.4807788228587715</v>
      </c>
      <c r="CQ33" s="95" t="e">
        <f>#REF!</f>
        <v>#REF!</v>
      </c>
      <c r="CR33" s="97">
        <f t="shared" si="70"/>
        <v>8.5562863891729887E-2</v>
      </c>
      <c r="CS33" s="95">
        <f t="shared" si="70"/>
        <v>0.41070174668030346</v>
      </c>
      <c r="CT33" s="96" t="e">
        <f>#REF!</f>
        <v>#REF!</v>
      </c>
      <c r="CU33" s="97">
        <f t="shared" si="71"/>
        <v>6.4020896420591677E-3</v>
      </c>
      <c r="CV33" s="95">
        <f t="shared" si="62"/>
        <v>2.4327940639824842E-2</v>
      </c>
      <c r="CW33" s="96" t="e">
        <f>#REF!</f>
        <v>#REF!</v>
      </c>
      <c r="CX33" s="99">
        <f t="shared" si="63"/>
        <v>0.1618026669112127</v>
      </c>
      <c r="CY33" s="95">
        <f t="shared" si="63"/>
        <v>6.4721066764485084E-3</v>
      </c>
      <c r="CZ33" s="99">
        <f t="shared" si="63"/>
        <v>0.19366534593372844</v>
      </c>
      <c r="DA33" s="95">
        <f t="shared" si="63"/>
        <v>1.4935630791804251E-3</v>
      </c>
      <c r="DB33" s="94">
        <f t="shared" si="13"/>
        <v>0.19167392849482123</v>
      </c>
      <c r="DC33" s="94">
        <f t="shared" si="14"/>
        <v>6.7210338563119129E-2</v>
      </c>
      <c r="DD33" s="94">
        <f t="shared" si="14"/>
        <v>0.52822347567014361</v>
      </c>
      <c r="DE33" s="94">
        <f t="shared" si="14"/>
        <v>-0.79158843196562523</v>
      </c>
      <c r="DF33" s="94">
        <f t="shared" si="14"/>
        <v>0</v>
      </c>
      <c r="DG33" s="94">
        <f t="shared" si="14"/>
        <v>0</v>
      </c>
      <c r="DH33" s="95">
        <f t="shared" si="14"/>
        <v>0.78710774272808393</v>
      </c>
      <c r="DI33" s="96" t="e">
        <f>#REF!</f>
        <v>#REF!</v>
      </c>
      <c r="DJ33" s="95">
        <f t="shared" si="64"/>
        <v>0.30120188763471906</v>
      </c>
      <c r="DK33" s="96" t="e">
        <f>#REF!</f>
        <v>#REF!</v>
      </c>
      <c r="DL33" s="95">
        <f t="shared" si="15"/>
        <v>0.65176255005583317</v>
      </c>
      <c r="DM33" s="96">
        <f t="shared" si="16"/>
        <v>0</v>
      </c>
      <c r="DN33" s="94">
        <f t="shared" si="17"/>
        <v>2.7386256396837316</v>
      </c>
      <c r="DO33" s="100">
        <v>3.4</v>
      </c>
      <c r="DP33" s="94">
        <f t="shared" si="72"/>
        <v>3.6915900773742836</v>
      </c>
      <c r="DQ33" s="94">
        <f t="shared" si="73"/>
        <v>3.7909946311389762</v>
      </c>
      <c r="DR33" s="101" t="str">
        <f t="shared" si="18"/>
        <v>3,45 hL/NhL</v>
      </c>
      <c r="DT33" s="134">
        <v>28</v>
      </c>
      <c r="DU33" s="135">
        <v>617498</v>
      </c>
      <c r="DV33" s="135">
        <v>24470</v>
      </c>
      <c r="DW33" s="135">
        <v>5112717</v>
      </c>
      <c r="DX33" s="135">
        <v>109194</v>
      </c>
      <c r="DY33" s="135">
        <v>82474</v>
      </c>
      <c r="DZ33" s="135">
        <v>377560</v>
      </c>
      <c r="EA33" s="136">
        <v>220748</v>
      </c>
      <c r="EB33" s="136">
        <v>51582</v>
      </c>
      <c r="EC33" s="136">
        <v>387327</v>
      </c>
      <c r="ED33" s="135">
        <v>45616</v>
      </c>
      <c r="EE33" s="136">
        <v>37392</v>
      </c>
      <c r="EF33" s="136">
        <v>39620</v>
      </c>
      <c r="EG33" s="135">
        <v>90090</v>
      </c>
      <c r="EH33" s="135">
        <v>177762</v>
      </c>
      <c r="EI33" s="135">
        <v>30568</v>
      </c>
      <c r="EJ33" s="136">
        <v>38810</v>
      </c>
      <c r="EK33" s="136"/>
      <c r="EL33" s="135">
        <v>687236</v>
      </c>
      <c r="EM33" s="135">
        <v>2003</v>
      </c>
      <c r="EN33" s="136">
        <v>41573</v>
      </c>
      <c r="EO33" s="135">
        <v>2923049</v>
      </c>
      <c r="EP33" s="136">
        <v>2915096</v>
      </c>
      <c r="EQ33" s="136">
        <v>0</v>
      </c>
      <c r="ER33" s="136">
        <v>2113</v>
      </c>
      <c r="ES33" s="136">
        <v>314805</v>
      </c>
      <c r="ET33" s="136">
        <v>5480521</v>
      </c>
      <c r="EU33" s="136">
        <v>397180</v>
      </c>
      <c r="EV33" s="136">
        <v>122693</v>
      </c>
      <c r="EW33" s="136">
        <v>88635</v>
      </c>
      <c r="EX33" s="135">
        <v>202021</v>
      </c>
      <c r="EY33" s="135">
        <v>1597276</v>
      </c>
      <c r="EZ33" s="140">
        <v>735344</v>
      </c>
      <c r="FA33" s="145">
        <v>732958</v>
      </c>
      <c r="FB33" s="145">
        <v>30334</v>
      </c>
      <c r="FC33" s="145">
        <v>6810</v>
      </c>
      <c r="FD33" s="104">
        <f>SUM(FE33:FM33)</f>
        <v>7221</v>
      </c>
      <c r="FE33" s="105">
        <f t="shared" si="78"/>
        <v>0</v>
      </c>
      <c r="FF33" s="105">
        <f t="shared" si="78"/>
        <v>740</v>
      </c>
      <c r="FG33" s="105">
        <f t="shared" si="78"/>
        <v>1983</v>
      </c>
      <c r="FH33" s="105">
        <f t="shared" si="78"/>
        <v>2063</v>
      </c>
      <c r="FI33" s="105">
        <f t="shared" si="78"/>
        <v>564</v>
      </c>
      <c r="FJ33" s="105">
        <f t="shared" si="78"/>
        <v>758</v>
      </c>
      <c r="FK33" s="105">
        <f t="shared" si="78"/>
        <v>0</v>
      </c>
      <c r="FL33" s="105">
        <f t="shared" si="78"/>
        <v>1113</v>
      </c>
      <c r="FM33" s="105">
        <f t="shared" si="78"/>
        <v>0</v>
      </c>
      <c r="FN33" s="187">
        <f>IF(FO33="",0,(FO33-FO32))</f>
        <v>194</v>
      </c>
      <c r="FO33" s="77">
        <f>FO32+194</f>
        <v>74564</v>
      </c>
      <c r="FP33" s="188"/>
      <c r="FY33" s="119">
        <v>28</v>
      </c>
      <c r="FZ33" s="107"/>
      <c r="GA33" s="107"/>
      <c r="GB33" s="180"/>
      <c r="GC33" s="109"/>
      <c r="GD33" s="110"/>
      <c r="GE33" s="110"/>
      <c r="GF33" s="111"/>
      <c r="GG33" s="111"/>
      <c r="GH33" s="111"/>
      <c r="GI33" s="164"/>
      <c r="GJ33" s="111" t="e">
        <f t="shared" si="65"/>
        <v>#DIV/0!</v>
      </c>
      <c r="GK33" s="113"/>
    </row>
    <row r="34" spans="1:193" s="119" customFormat="1" ht="15" customHeight="1">
      <c r="B34" s="573">
        <v>42854</v>
      </c>
      <c r="D34" s="85">
        <v>3613.8</v>
      </c>
      <c r="E34" s="85">
        <v>4547.16</v>
      </c>
      <c r="F34" s="85">
        <v>2063.232</v>
      </c>
      <c r="G34" s="85">
        <v>6365.6540000000005</v>
      </c>
      <c r="H34" s="85">
        <v>8397.8690000000006</v>
      </c>
      <c r="I34" s="85">
        <v>1892.9099999999999</v>
      </c>
      <c r="J34" s="85">
        <v>9258.48</v>
      </c>
      <c r="K34" s="167">
        <v>1.4E-2</v>
      </c>
      <c r="L34" s="167"/>
      <c r="M34" s="115">
        <f t="shared" si="21"/>
        <v>11151.39</v>
      </c>
      <c r="N34" s="88">
        <f t="shared" si="0"/>
        <v>24987.714999999997</v>
      </c>
      <c r="O34" s="88">
        <f t="shared" si="22"/>
        <v>30563.409999999996</v>
      </c>
      <c r="P34" s="89">
        <f t="shared" si="23"/>
        <v>506009.87599999999</v>
      </c>
      <c r="R34" s="90">
        <f t="shared" si="24"/>
        <v>248</v>
      </c>
      <c r="S34" s="90">
        <f t="shared" si="25"/>
        <v>61.1</v>
      </c>
      <c r="T34" s="90">
        <f t="shared" si="1"/>
        <v>633.6</v>
      </c>
      <c r="U34" s="90">
        <f t="shared" si="75"/>
        <v>4.9000000000000004</v>
      </c>
      <c r="V34" s="90">
        <f t="shared" si="26"/>
        <v>1369</v>
      </c>
      <c r="W34" s="91">
        <f t="shared" si="2"/>
        <v>134.19999999999999</v>
      </c>
      <c r="X34" s="90">
        <f t="shared" si="27"/>
        <v>1369</v>
      </c>
      <c r="Y34" s="90" t="str">
        <f t="shared" si="28"/>
        <v>0</v>
      </c>
      <c r="Z34" s="90">
        <f t="shared" si="3"/>
        <v>137.6</v>
      </c>
      <c r="AA34" s="90">
        <f t="shared" si="29"/>
        <v>2316.6</v>
      </c>
      <c r="AB34" s="90">
        <f t="shared" si="30"/>
        <v>200</v>
      </c>
      <c r="AC34" s="90">
        <f t="shared" si="30"/>
        <v>27</v>
      </c>
      <c r="AD34" s="90">
        <f t="shared" si="31"/>
        <v>389</v>
      </c>
      <c r="AE34" s="90">
        <f t="shared" si="32"/>
        <v>162</v>
      </c>
      <c r="AF34" s="90">
        <f t="shared" si="33"/>
        <v>213</v>
      </c>
      <c r="AG34" s="90">
        <f t="shared" si="33"/>
        <v>14</v>
      </c>
      <c r="AH34" s="90">
        <f t="shared" si="34"/>
        <v>291</v>
      </c>
      <c r="AI34" s="90">
        <f t="shared" si="35"/>
        <v>64</v>
      </c>
      <c r="AJ34" s="90">
        <f>IF(EA34=0,"",(EA34-EA33))</f>
        <v>256</v>
      </c>
      <c r="AK34" s="90">
        <f t="shared" si="36"/>
        <v>134</v>
      </c>
      <c r="AL34" s="90">
        <f t="shared" si="37"/>
        <v>458</v>
      </c>
      <c r="AM34" s="90">
        <f t="shared" si="38"/>
        <v>68</v>
      </c>
      <c r="AN34" s="90">
        <f t="shared" si="39"/>
        <v>28</v>
      </c>
      <c r="AO34" s="90">
        <f t="shared" si="4"/>
        <v>80</v>
      </c>
      <c r="AP34" s="90">
        <f t="shared" si="40"/>
        <v>6</v>
      </c>
      <c r="AQ34" s="90">
        <f t="shared" si="5"/>
        <v>19</v>
      </c>
      <c r="AR34" s="90">
        <f t="shared" si="41"/>
        <v>85.094999999999999</v>
      </c>
      <c r="AS34" s="90">
        <f t="shared" si="42"/>
        <v>36.095000000000027</v>
      </c>
      <c r="AT34" s="90">
        <f t="shared" si="43"/>
        <v>815.09500000000003</v>
      </c>
      <c r="AU34" s="90">
        <f t="shared" si="44"/>
        <v>228</v>
      </c>
      <c r="AV34" s="90">
        <f t="shared" si="66"/>
        <v>45</v>
      </c>
      <c r="AW34" s="90">
        <f t="shared" si="45"/>
        <v>551</v>
      </c>
      <c r="AX34" s="90">
        <f t="shared" si="67"/>
        <v>27</v>
      </c>
      <c r="AY34" s="90" t="str">
        <f t="shared" si="46"/>
        <v/>
      </c>
      <c r="AZ34" s="90">
        <f t="shared" si="47"/>
        <v>325</v>
      </c>
      <c r="BA34" s="90">
        <v>46</v>
      </c>
      <c r="BB34" s="90">
        <f t="shared" si="48"/>
        <v>166</v>
      </c>
      <c r="BC34" s="90">
        <f t="shared" si="48"/>
        <v>955</v>
      </c>
      <c r="BD34" s="91">
        <f t="shared" si="49"/>
        <v>0</v>
      </c>
      <c r="BE34" s="90"/>
      <c r="BF34" s="90"/>
      <c r="BG34" s="90">
        <f t="shared" si="79"/>
        <v>1446</v>
      </c>
      <c r="BH34" s="90">
        <f t="shared" si="50"/>
        <v>1747</v>
      </c>
      <c r="BI34" s="90">
        <f t="shared" si="51"/>
        <v>1766.3049999999994</v>
      </c>
      <c r="BJ34" s="90">
        <f t="shared" si="7"/>
        <v>5107.6950000000006</v>
      </c>
      <c r="BK34" s="92"/>
      <c r="BL34" s="93">
        <f t="shared" si="52"/>
        <v>8621</v>
      </c>
      <c r="BM34" s="93">
        <f t="shared" si="53"/>
        <v>188862.5</v>
      </c>
      <c r="BN34" s="92"/>
      <c r="BO34" s="94">
        <f t="shared" si="54"/>
        <v>9.9248770845993733E-2</v>
      </c>
      <c r="BP34" s="94">
        <f>IF($N34&lt;&gt;0,IF($N34&lt;&gt;0,S34/$N34*10,0)," ")</f>
        <v>2.4452015720525071E-2</v>
      </c>
      <c r="BQ34" s="94">
        <f t="shared" si="55"/>
        <v>0.25356460164524852</v>
      </c>
      <c r="BR34" s="94">
        <f t="shared" si="68"/>
        <v>0.54786922293615092</v>
      </c>
      <c r="BS34" s="94">
        <f>IF($N34&lt;&gt;0,IF($N34&lt;&gt;0,Y34/$N34*10,0)," ")</f>
        <v>0</v>
      </c>
      <c r="BT34" s="94">
        <f t="shared" si="77"/>
        <v>5.5067059953261034E-2</v>
      </c>
      <c r="BU34" s="95">
        <f t="shared" si="77"/>
        <v>0.9270955747654398</v>
      </c>
      <c r="BV34" s="94">
        <f t="shared" si="9"/>
        <v>8.1142778243658023E-2</v>
      </c>
      <c r="BW34" s="94">
        <f t="shared" si="9"/>
        <v>1.9991224801159301E-2</v>
      </c>
      <c r="BX34" s="94">
        <f t="shared" si="9"/>
        <v>0.20730671086766825</v>
      </c>
      <c r="BY34" s="94">
        <f t="shared" si="56"/>
        <v>0.44792122344987034</v>
      </c>
      <c r="BZ34" s="95">
        <f t="shared" si="10"/>
        <v>0.75796516160991201</v>
      </c>
      <c r="CA34" s="96" t="e">
        <f>#REF!</f>
        <v>#REF!</v>
      </c>
      <c r="CB34" s="94">
        <f t="shared" si="11"/>
        <v>2.7842115784855161E-2</v>
      </c>
      <c r="CC34" s="95">
        <f t="shared" si="11"/>
        <v>1.1809873309293705E-2</v>
      </c>
      <c r="CD34" s="97">
        <f t="shared" si="12"/>
        <v>7.63088727055551E-2</v>
      </c>
      <c r="CE34" s="98">
        <f t="shared" si="12"/>
        <v>3.2368162175298351E-2</v>
      </c>
      <c r="CF34" s="94">
        <f t="shared" si="57"/>
        <v>0.5534340583319497</v>
      </c>
      <c r="CG34" s="94">
        <f t="shared" si="57"/>
        <v>7.4713597874813215E-2</v>
      </c>
      <c r="CH34" s="95">
        <f t="shared" si="58"/>
        <v>1.0764292434556422</v>
      </c>
      <c r="CI34" s="96" t="e">
        <f>#REF!</f>
        <v>#REF!</v>
      </c>
      <c r="CJ34" s="94">
        <f t="shared" si="59"/>
        <v>0.46842424722244214</v>
      </c>
      <c r="CK34" s="94">
        <f t="shared" si="59"/>
        <v>3.0788448174245024E-2</v>
      </c>
      <c r="CL34" s="95">
        <f t="shared" si="69"/>
        <v>0.63995988705037865</v>
      </c>
      <c r="CM34" s="95" t="e">
        <f>#REF!</f>
        <v>#REF!</v>
      </c>
      <c r="CN34" s="94">
        <f t="shared" si="60"/>
        <v>1.2407717600347417</v>
      </c>
      <c r="CO34" s="94">
        <f t="shared" si="60"/>
        <v>0.64946646814318509</v>
      </c>
      <c r="CP34" s="95">
        <f t="shared" si="61"/>
        <v>2.2198182269371549</v>
      </c>
      <c r="CQ34" s="95" t="e">
        <f>#REF!</f>
        <v>#REF!</v>
      </c>
      <c r="CR34" s="97">
        <f t="shared" si="70"/>
        <v>4.3986053907422551E-2</v>
      </c>
      <c r="CS34" s="95">
        <f t="shared" si="70"/>
        <v>0.125674439735493</v>
      </c>
      <c r="CT34" s="96" t="e">
        <f>#REF!</f>
        <v>#REF!</v>
      </c>
      <c r="CU34" s="97">
        <f t="shared" si="71"/>
        <v>7.1446696775098531E-3</v>
      </c>
      <c r="CV34" s="95">
        <f t="shared" si="62"/>
        <v>2.2624787312114536E-2</v>
      </c>
      <c r="CW34" s="96" t="e">
        <f>#REF!</f>
        <v>#REF!</v>
      </c>
      <c r="CX34" s="99">
        <f t="shared" si="63"/>
        <v>7.4599005804653354E-2</v>
      </c>
      <c r="CY34" s="95">
        <f t="shared" si="63"/>
        <v>1.472348798776053E-2</v>
      </c>
      <c r="CZ34" s="99">
        <f t="shared" si="63"/>
        <v>0.18028093069457893</v>
      </c>
      <c r="DA34" s="95">
        <f t="shared" si="63"/>
        <v>8.8340927926563173E-3</v>
      </c>
      <c r="DB34" s="94">
        <f t="shared" si="13"/>
        <v>0.10633630213382606</v>
      </c>
      <c r="DC34" s="94">
        <f t="shared" si="14"/>
        <v>5.4313311243738845E-2</v>
      </c>
      <c r="DD34" s="94">
        <f t="shared" si="14"/>
        <v>0.3124651339624735</v>
      </c>
      <c r="DE34" s="94">
        <f t="shared" si="14"/>
        <v>0</v>
      </c>
      <c r="DF34" s="94">
        <f t="shared" si="14"/>
        <v>0</v>
      </c>
      <c r="DG34" s="94">
        <f t="shared" si="14"/>
        <v>0</v>
      </c>
      <c r="DH34" s="95">
        <f t="shared" si="14"/>
        <v>0.47311474734003833</v>
      </c>
      <c r="DI34" s="96" t="e">
        <f>#REF!</f>
        <v>#REF!</v>
      </c>
      <c r="DJ34" s="95">
        <f t="shared" si="64"/>
        <v>0.57159852254705878</v>
      </c>
      <c r="DK34" s="96" t="e">
        <f>#REF!</f>
        <v>#REF!</v>
      </c>
      <c r="DL34" s="95">
        <f t="shared" si="15"/>
        <v>0.57791489889380787</v>
      </c>
      <c r="DM34" s="96">
        <f t="shared" si="16"/>
        <v>0</v>
      </c>
      <c r="DN34" s="94">
        <f t="shared" si="17"/>
        <v>1.6711796883921006</v>
      </c>
      <c r="DO34" s="100">
        <v>3.4</v>
      </c>
      <c r="DP34" s="94">
        <f>IF($O34&lt;&gt;0,IF($O34&lt;&gt;0,BL34/$O34*10,0)," ")</f>
        <v>2.8206931098329675</v>
      </c>
      <c r="DQ34" s="94">
        <f t="shared" si="73"/>
        <v>3.7323876263632449</v>
      </c>
      <c r="DR34" s="101" t="str">
        <f t="shared" si="18"/>
        <v>3,45 hL/NhL</v>
      </c>
      <c r="DT34" s="134">
        <v>29</v>
      </c>
      <c r="DU34" s="135">
        <v>617698</v>
      </c>
      <c r="DV34" s="76">
        <v>24497</v>
      </c>
      <c r="DW34" s="77">
        <v>5113106</v>
      </c>
      <c r="DX34" s="76">
        <v>109407</v>
      </c>
      <c r="DY34" s="76">
        <v>82488</v>
      </c>
      <c r="DZ34" s="76">
        <v>377851</v>
      </c>
      <c r="EA34" s="77">
        <v>221004</v>
      </c>
      <c r="EB34" s="77">
        <v>51716</v>
      </c>
      <c r="EC34" s="77">
        <v>387785</v>
      </c>
      <c r="ED34" s="77">
        <v>45644</v>
      </c>
      <c r="EE34" s="77">
        <v>37432</v>
      </c>
      <c r="EF34" s="77">
        <v>39660</v>
      </c>
      <c r="EG34" s="76">
        <v>90096</v>
      </c>
      <c r="EH34" s="76">
        <v>177781</v>
      </c>
      <c r="EI34" s="76">
        <v>30613</v>
      </c>
      <c r="EJ34" s="77">
        <v>38837</v>
      </c>
      <c r="EK34" s="77"/>
      <c r="EL34" s="76">
        <v>687484</v>
      </c>
      <c r="EM34" s="76">
        <v>6336</v>
      </c>
      <c r="EN34" s="77">
        <v>41622</v>
      </c>
      <c r="EO34" s="76">
        <v>2924418</v>
      </c>
      <c r="EP34" s="77">
        <v>2916438</v>
      </c>
      <c r="EQ34" s="77">
        <v>0</v>
      </c>
      <c r="ER34" s="77">
        <v>1376</v>
      </c>
      <c r="ES34" s="77">
        <v>315535</v>
      </c>
      <c r="ET34" s="136">
        <v>5565616</v>
      </c>
      <c r="EU34" s="77">
        <v>397731</v>
      </c>
      <c r="EV34" s="77">
        <v>122921</v>
      </c>
      <c r="EW34" s="77">
        <v>88960</v>
      </c>
      <c r="EX34" s="76">
        <v>202187</v>
      </c>
      <c r="EY34" s="76">
        <v>1598231</v>
      </c>
      <c r="EZ34" s="149">
        <v>735955</v>
      </c>
      <c r="FA34" s="149">
        <v>732958</v>
      </c>
      <c r="FB34" s="151">
        <v>30381</v>
      </c>
      <c r="FC34" s="149">
        <v>6874</v>
      </c>
      <c r="FD34" s="104">
        <f>SUM(FE34:FM34)</f>
        <v>7640</v>
      </c>
      <c r="FE34" s="105">
        <f t="shared" si="78"/>
        <v>0</v>
      </c>
      <c r="FF34" s="105">
        <f t="shared" si="78"/>
        <v>702</v>
      </c>
      <c r="FG34" s="105">
        <f t="shared" si="78"/>
        <v>1983</v>
      </c>
      <c r="FH34" s="105">
        <f t="shared" si="78"/>
        <v>2237</v>
      </c>
      <c r="FI34" s="105">
        <f t="shared" si="78"/>
        <v>600</v>
      </c>
      <c r="FJ34" s="105">
        <f t="shared" si="78"/>
        <v>821</v>
      </c>
      <c r="FK34" s="105">
        <f t="shared" si="78"/>
        <v>0</v>
      </c>
      <c r="FL34" s="105">
        <f t="shared" si="78"/>
        <v>1297</v>
      </c>
      <c r="FM34" s="105">
        <f t="shared" si="78"/>
        <v>0</v>
      </c>
      <c r="FN34" s="80">
        <f t="shared" si="74"/>
        <v>981</v>
      </c>
      <c r="FO34" s="77">
        <f>FO33+981</f>
        <v>75545</v>
      </c>
      <c r="FP34" s="189"/>
      <c r="FY34" s="119">
        <v>29</v>
      </c>
      <c r="FZ34" s="190"/>
      <c r="GA34" s="191"/>
      <c r="GB34" s="107"/>
      <c r="GC34" s="109"/>
      <c r="GD34" s="110"/>
      <c r="GE34" s="110"/>
      <c r="GF34" s="111"/>
      <c r="GG34" s="111"/>
      <c r="GH34" s="111"/>
      <c r="GI34" s="112"/>
      <c r="GJ34" s="111" t="e">
        <f t="shared" si="65"/>
        <v>#DIV/0!</v>
      </c>
      <c r="GK34" s="113"/>
    </row>
    <row r="35" spans="1:193" s="119" customFormat="1" ht="15" customHeight="1">
      <c r="B35" s="573">
        <v>42855</v>
      </c>
      <c r="D35" s="85">
        <v>5061.84</v>
      </c>
      <c r="E35" s="85">
        <v>2433.96</v>
      </c>
      <c r="F35" s="85">
        <v>4033.152</v>
      </c>
      <c r="G35" s="85">
        <v>4369.8019999999997</v>
      </c>
      <c r="H35" s="85">
        <v>8621.5030000000006</v>
      </c>
      <c r="I35" s="85">
        <v>1463.3510000000001</v>
      </c>
      <c r="J35" s="85">
        <v>8891.52</v>
      </c>
      <c r="K35" s="167"/>
      <c r="L35" s="167"/>
      <c r="M35" s="115">
        <f t="shared" si="21"/>
        <v>10354.871000000001</v>
      </c>
      <c r="N35" s="88">
        <f t="shared" si="0"/>
        <v>24520.257000000001</v>
      </c>
      <c r="O35" s="88">
        <f t="shared" si="22"/>
        <v>29697.692500000001</v>
      </c>
      <c r="P35" s="89">
        <f t="shared" si="23"/>
        <v>535707.56849999994</v>
      </c>
      <c r="R35" s="90">
        <f t="shared" si="24"/>
        <v>212</v>
      </c>
      <c r="S35" s="90">
        <f t="shared" si="25"/>
        <v>21.2</v>
      </c>
      <c r="T35" s="90">
        <f t="shared" si="1"/>
        <v>405.9</v>
      </c>
      <c r="U35" s="90">
        <f t="shared" si="75"/>
        <v>4.3</v>
      </c>
      <c r="V35" s="90">
        <f t="shared" si="26"/>
        <v>1407</v>
      </c>
      <c r="W35" s="91">
        <f t="shared" si="2"/>
        <v>126</v>
      </c>
      <c r="X35" s="90">
        <f t="shared" si="27"/>
        <v>1407</v>
      </c>
      <c r="Y35" s="90" t="str">
        <f t="shared" si="28"/>
        <v>0</v>
      </c>
      <c r="Z35" s="90">
        <f t="shared" si="3"/>
        <v>161</v>
      </c>
      <c r="AA35" s="90">
        <f t="shared" si="29"/>
        <v>2050.3999999999996</v>
      </c>
      <c r="AB35" s="90">
        <f t="shared" si="30"/>
        <v>0</v>
      </c>
      <c r="AC35" s="90">
        <f t="shared" si="30"/>
        <v>21</v>
      </c>
      <c r="AD35" s="90">
        <f t="shared" si="31"/>
        <v>383</v>
      </c>
      <c r="AE35" s="90">
        <f t="shared" si="32"/>
        <v>362</v>
      </c>
      <c r="AF35" s="90">
        <f t="shared" si="33"/>
        <v>71</v>
      </c>
      <c r="AG35" s="90">
        <f t="shared" si="33"/>
        <v>20</v>
      </c>
      <c r="AH35" s="90">
        <f t="shared" si="34"/>
        <v>201</v>
      </c>
      <c r="AI35" s="90">
        <f t="shared" si="35"/>
        <v>110</v>
      </c>
      <c r="AJ35" s="90">
        <f t="shared" si="36"/>
        <v>269</v>
      </c>
      <c r="AK35" s="90">
        <f t="shared" si="36"/>
        <v>20</v>
      </c>
      <c r="AL35" s="90">
        <f t="shared" si="37"/>
        <v>362</v>
      </c>
      <c r="AM35" s="90">
        <f t="shared" si="38"/>
        <v>73</v>
      </c>
      <c r="AN35" s="90">
        <f t="shared" si="39"/>
        <v>19</v>
      </c>
      <c r="AO35" s="90">
        <f t="shared" si="4"/>
        <v>48</v>
      </c>
      <c r="AP35" s="90">
        <f t="shared" si="40"/>
        <v>8</v>
      </c>
      <c r="AQ35" s="90">
        <f t="shared" si="5"/>
        <v>26</v>
      </c>
      <c r="AR35" s="90">
        <f t="shared" si="41"/>
        <v>80.319999999999993</v>
      </c>
      <c r="AS35" s="90">
        <f t="shared" si="42"/>
        <v>181.31999999999994</v>
      </c>
      <c r="AT35" s="90">
        <f t="shared" si="43"/>
        <v>1045.32</v>
      </c>
      <c r="AU35" s="90">
        <f t="shared" si="44"/>
        <v>219</v>
      </c>
      <c r="AV35" s="90">
        <f t="shared" si="66"/>
        <v>31</v>
      </c>
      <c r="AW35" s="90">
        <f t="shared" si="45"/>
        <v>645</v>
      </c>
      <c r="AX35" s="90">
        <f t="shared" si="67"/>
        <v>2</v>
      </c>
      <c r="AY35" s="90" t="str">
        <f t="shared" si="46"/>
        <v/>
      </c>
      <c r="AZ35" s="90">
        <f t="shared" si="47"/>
        <v>391</v>
      </c>
      <c r="BA35" s="90">
        <v>0</v>
      </c>
      <c r="BB35" s="90">
        <f t="shared" si="48"/>
        <v>132</v>
      </c>
      <c r="BC35" s="90">
        <f t="shared" si="48"/>
        <v>790</v>
      </c>
      <c r="BD35" s="91">
        <f t="shared" si="49"/>
        <v>0</v>
      </c>
      <c r="BE35" s="90"/>
      <c r="BF35" s="90"/>
      <c r="BG35" s="90">
        <f t="shared" si="79"/>
        <v>1313</v>
      </c>
      <c r="BH35" s="90">
        <f t="shared" si="50"/>
        <v>675</v>
      </c>
      <c r="BI35" s="90">
        <f t="shared" si="51"/>
        <v>1669.2800000000007</v>
      </c>
      <c r="BJ35" s="90">
        <f t="shared" si="7"/>
        <v>4597.7199999999993</v>
      </c>
      <c r="BK35" s="92"/>
      <c r="BL35" s="93">
        <f t="shared" si="52"/>
        <v>6942</v>
      </c>
      <c r="BM35" s="93">
        <f t="shared" si="53"/>
        <v>195804.5</v>
      </c>
      <c r="BN35" s="92"/>
      <c r="BO35" s="94">
        <f t="shared" si="54"/>
        <v>8.6459126427590044E-2</v>
      </c>
      <c r="BP35" s="94">
        <f t="shared" si="54"/>
        <v>8.6459126427590044E-3</v>
      </c>
      <c r="BQ35" s="94">
        <f t="shared" si="55"/>
        <v>0.16553660102339054</v>
      </c>
      <c r="BR35" s="94">
        <f t="shared" si="68"/>
        <v>0.57381127775292073</v>
      </c>
      <c r="BS35" s="94">
        <f t="shared" si="77"/>
        <v>0</v>
      </c>
      <c r="BT35" s="94">
        <f t="shared" si="77"/>
        <v>6.5659996956801872E-2</v>
      </c>
      <c r="BU35" s="95">
        <f t="shared" si="77"/>
        <v>0.83620656993929521</v>
      </c>
      <c r="BV35" s="94">
        <f t="shared" si="9"/>
        <v>7.1386017617362019E-2</v>
      </c>
      <c r="BW35" s="94">
        <f t="shared" si="9"/>
        <v>7.1386017617362015E-3</v>
      </c>
      <c r="BX35" s="94">
        <f t="shared" si="9"/>
        <v>0.13667728561739265</v>
      </c>
      <c r="BY35" s="94">
        <f t="shared" si="56"/>
        <v>0.4737741829605111</v>
      </c>
      <c r="BZ35" s="95">
        <f t="shared" si="10"/>
        <v>0.69042401189924085</v>
      </c>
      <c r="CA35" s="96" t="e">
        <f>#REF!</f>
        <v>#REF!</v>
      </c>
      <c r="CB35" s="94">
        <f t="shared" si="11"/>
        <v>2.7045872335030741E-2</v>
      </c>
      <c r="CC35" s="95">
        <f t="shared" si="11"/>
        <v>6.1055248652736212E-2</v>
      </c>
      <c r="CD35" s="97">
        <f t="shared" si="12"/>
        <v>7.7567359361598989E-2</v>
      </c>
      <c r="CE35" s="98">
        <f t="shared" si="12"/>
        <v>0.17510599600902793</v>
      </c>
      <c r="CF35" s="94">
        <f t="shared" si="57"/>
        <v>0</v>
      </c>
      <c r="CG35" s="94">
        <f t="shared" si="57"/>
        <v>4.1486890142714901E-2</v>
      </c>
      <c r="CH35" s="95">
        <f t="shared" si="58"/>
        <v>0.75664185355522884</v>
      </c>
      <c r="CI35" s="96" t="e">
        <f>#REF!</f>
        <v>#REF!</v>
      </c>
      <c r="CJ35" s="94">
        <f t="shared" si="59"/>
        <v>0.29170569771072652</v>
      </c>
      <c r="CK35" s="94">
        <f t="shared" si="59"/>
        <v>8.2170619073444084E-2</v>
      </c>
      <c r="CL35" s="95">
        <f t="shared" si="69"/>
        <v>0.8258147216881131</v>
      </c>
      <c r="CM35" s="95" t="e">
        <f>#REF!</f>
        <v>#REF!</v>
      </c>
      <c r="CN35" s="94">
        <f t="shared" si="60"/>
        <v>0.66697213494557106</v>
      </c>
      <c r="CO35" s="94">
        <f t="shared" si="60"/>
        <v>4.958900631565584E-2</v>
      </c>
      <c r="CP35" s="95">
        <f t="shared" si="61"/>
        <v>0.89756101431337076</v>
      </c>
      <c r="CQ35" s="95" t="e">
        <f>#REF!</f>
        <v>#REF!</v>
      </c>
      <c r="CR35" s="97">
        <f t="shared" si="70"/>
        <v>4.3480230912064211E-2</v>
      </c>
      <c r="CS35" s="95">
        <f t="shared" si="70"/>
        <v>0.10984479388310958</v>
      </c>
      <c r="CT35" s="96" t="e">
        <f>#REF!</f>
        <v>#REF!</v>
      </c>
      <c r="CU35" s="97">
        <f t="shared" si="71"/>
        <v>9.2791245331585448E-3</v>
      </c>
      <c r="CV35" s="95">
        <f t="shared" si="62"/>
        <v>3.0157154732765271E-2</v>
      </c>
      <c r="CW35" s="96" t="e">
        <f>#REF!</f>
        <v>#REF!</v>
      </c>
      <c r="CX35" s="99">
        <f t="shared" si="63"/>
        <v>7.3743103104727745E-2</v>
      </c>
      <c r="CY35" s="95">
        <f t="shared" si="63"/>
        <v>1.0438521444048219E-2</v>
      </c>
      <c r="CZ35" s="99">
        <f t="shared" si="63"/>
        <v>0.21718859133584201</v>
      </c>
      <c r="DA35" s="95">
        <f t="shared" si="63"/>
        <v>6.734529963902077E-4</v>
      </c>
      <c r="DB35" s="94">
        <f t="shared" si="13"/>
        <v>0.1316600607942856</v>
      </c>
      <c r="DC35" s="94">
        <f t="shared" si="14"/>
        <v>4.4447897761753709E-2</v>
      </c>
      <c r="DD35" s="94">
        <f t="shared" si="14"/>
        <v>0.26601393357413206</v>
      </c>
      <c r="DE35" s="94">
        <f t="shared" si="14"/>
        <v>0</v>
      </c>
      <c r="DF35" s="94">
        <f t="shared" si="14"/>
        <v>0</v>
      </c>
      <c r="DG35" s="94">
        <f t="shared" si="14"/>
        <v>0</v>
      </c>
      <c r="DH35" s="95">
        <f t="shared" si="14"/>
        <v>0.44212189213017139</v>
      </c>
      <c r="DI35" s="96" t="e">
        <f>#REF!</f>
        <v>#REF!</v>
      </c>
      <c r="DJ35" s="95">
        <f t="shared" si="64"/>
        <v>0.22729038628169509</v>
      </c>
      <c r="DK35" s="96" t="e">
        <f>#REF!</f>
        <v>#REF!</v>
      </c>
      <c r="DL35" s="95">
        <f t="shared" si="15"/>
        <v>0.56209080890712315</v>
      </c>
      <c r="DM35" s="96">
        <f t="shared" si="16"/>
        <v>0</v>
      </c>
      <c r="DN35" s="94">
        <f t="shared" si="17"/>
        <v>1.5481741552815929</v>
      </c>
      <c r="DO35" s="100">
        <v>3.4</v>
      </c>
      <c r="DP35" s="94">
        <f>IF($O35&lt;&gt;0,IF($O35&lt;&gt;0,BL35/$O35*10,0)," ")</f>
        <v>2.337555350470411</v>
      </c>
      <c r="DQ35" s="94">
        <f>IF($P35&lt;&gt;0,IF($P35&lt;&gt;0,BM35/$P35*10,0)," ")</f>
        <v>3.6550631634393276</v>
      </c>
      <c r="DR35" s="101" t="str">
        <f t="shared" si="18"/>
        <v>3,45 hL/NhL</v>
      </c>
      <c r="DS35" s="173"/>
      <c r="DT35" s="134">
        <v>30</v>
      </c>
      <c r="DU35" s="76">
        <v>617698</v>
      </c>
      <c r="DV35" s="76">
        <v>24518</v>
      </c>
      <c r="DW35" s="76">
        <v>5113489</v>
      </c>
      <c r="DX35" s="76">
        <v>109478</v>
      </c>
      <c r="DY35" s="76">
        <v>82508</v>
      </c>
      <c r="DZ35" s="76">
        <v>378052</v>
      </c>
      <c r="EA35" s="77">
        <v>221273</v>
      </c>
      <c r="EB35" s="77">
        <v>51736</v>
      </c>
      <c r="EC35" s="77">
        <v>388147</v>
      </c>
      <c r="ED35" s="76">
        <v>45663</v>
      </c>
      <c r="EE35" s="77">
        <v>37461</v>
      </c>
      <c r="EF35" s="77">
        <v>39679</v>
      </c>
      <c r="EG35" s="76">
        <v>90104</v>
      </c>
      <c r="EH35" s="76">
        <v>177807</v>
      </c>
      <c r="EI35" s="76">
        <v>30644</v>
      </c>
      <c r="EJ35" s="77">
        <v>38839</v>
      </c>
      <c r="EK35" s="77"/>
      <c r="EL35" s="76">
        <v>687696</v>
      </c>
      <c r="EM35" s="76">
        <v>4059</v>
      </c>
      <c r="EN35" s="77">
        <v>41665</v>
      </c>
      <c r="EO35" s="76">
        <v>2925825</v>
      </c>
      <c r="EP35" s="77">
        <v>2917698</v>
      </c>
      <c r="EQ35" s="77">
        <v>0</v>
      </c>
      <c r="ER35" s="77">
        <v>1610</v>
      </c>
      <c r="ES35" s="77">
        <v>316500</v>
      </c>
      <c r="ET35" s="77">
        <v>5645936</v>
      </c>
      <c r="EU35" s="77">
        <v>398376</v>
      </c>
      <c r="EV35" s="77">
        <v>123140</v>
      </c>
      <c r="EW35" s="77">
        <v>89351</v>
      </c>
      <c r="EX35" s="76">
        <v>202319</v>
      </c>
      <c r="EY35" s="76">
        <v>1599021</v>
      </c>
      <c r="EZ35" s="149">
        <v>736167</v>
      </c>
      <c r="FA35" s="149">
        <v>732958</v>
      </c>
      <c r="FB35" s="151">
        <v>29846</v>
      </c>
      <c r="FC35" s="149">
        <v>6267</v>
      </c>
      <c r="FD35" s="104">
        <f>SUM(FE35:FM35)</f>
        <v>6942</v>
      </c>
      <c r="FE35" s="105">
        <f t="shared" si="78"/>
        <v>0</v>
      </c>
      <c r="FF35" s="105">
        <f t="shared" si="78"/>
        <v>658</v>
      </c>
      <c r="FG35" s="105">
        <f t="shared" si="78"/>
        <v>1845</v>
      </c>
      <c r="FH35" s="105">
        <f t="shared" si="78"/>
        <v>2040</v>
      </c>
      <c r="FI35" s="105">
        <f t="shared" si="78"/>
        <v>589</v>
      </c>
      <c r="FJ35" s="105">
        <f t="shared" si="78"/>
        <v>715</v>
      </c>
      <c r="FK35" s="105">
        <f t="shared" si="78"/>
        <v>0</v>
      </c>
      <c r="FL35" s="105">
        <f t="shared" si="78"/>
        <v>1095</v>
      </c>
      <c r="FM35" s="105">
        <f t="shared" si="78"/>
        <v>0</v>
      </c>
      <c r="FN35" s="80">
        <f t="shared" si="74"/>
        <v>0</v>
      </c>
      <c r="FO35" s="77"/>
      <c r="FP35" s="189"/>
      <c r="FY35" s="119">
        <v>30</v>
      </c>
      <c r="FZ35" s="190"/>
      <c r="GA35" s="192"/>
      <c r="GB35" s="190"/>
      <c r="GC35" s="109"/>
      <c r="GD35" s="110"/>
      <c r="GE35" s="110"/>
      <c r="GF35" s="111"/>
      <c r="GG35" s="111"/>
      <c r="GH35" s="111"/>
      <c r="GI35" s="112"/>
      <c r="GJ35" s="111" t="e">
        <f t="shared" si="65"/>
        <v>#DIV/0!</v>
      </c>
      <c r="GK35" s="113"/>
    </row>
    <row r="36" spans="1:193" s="119" customFormat="1" ht="15" customHeight="1">
      <c r="B36" s="573">
        <v>42856</v>
      </c>
      <c r="D36" s="85"/>
      <c r="E36" s="85"/>
      <c r="F36" s="85"/>
      <c r="G36" s="85"/>
      <c r="H36" s="85"/>
      <c r="I36" s="85"/>
      <c r="J36" s="85"/>
      <c r="K36" s="167"/>
      <c r="L36" s="167"/>
      <c r="M36" s="115">
        <f t="shared" si="21"/>
        <v>0</v>
      </c>
      <c r="N36" s="88">
        <f t="shared" si="0"/>
        <v>0</v>
      </c>
      <c r="O36" s="88">
        <f t="shared" si="22"/>
        <v>0</v>
      </c>
      <c r="P36" s="89">
        <f t="shared" si="23"/>
        <v>535707.56849999994</v>
      </c>
      <c r="R36" s="90" t="str">
        <f t="shared" si="24"/>
        <v/>
      </c>
      <c r="S36" s="90" t="str">
        <f t="shared" si="25"/>
        <v/>
      </c>
      <c r="T36" s="90" t="str">
        <f t="shared" si="1"/>
        <v/>
      </c>
      <c r="U36" s="90" t="str">
        <f>IF(FB36=0,"",((EN36-EN35)/10))</f>
        <v/>
      </c>
      <c r="V36" s="90" t="str">
        <f t="shared" si="26"/>
        <v/>
      </c>
      <c r="W36" s="91" t="str">
        <f t="shared" si="2"/>
        <v/>
      </c>
      <c r="X36" s="90" t="str">
        <f t="shared" si="27"/>
        <v/>
      </c>
      <c r="Y36" s="90" t="str">
        <f t="shared" si="28"/>
        <v>0</v>
      </c>
      <c r="Z36" s="90" t="str">
        <f t="shared" si="3"/>
        <v/>
      </c>
      <c r="AA36" s="90" t="str">
        <f t="shared" si="29"/>
        <v/>
      </c>
      <c r="AB36" s="90" t="str">
        <f t="shared" si="30"/>
        <v/>
      </c>
      <c r="AC36" s="90" t="str">
        <f t="shared" si="30"/>
        <v/>
      </c>
      <c r="AD36" s="90">
        <f>(IF(SUM(AB36:AC36)&gt;=(DW36-DW35),(SUM(AB36:AC36)),(DW36-DW35)))</f>
        <v>0</v>
      </c>
      <c r="AE36" s="90" t="str">
        <f t="shared" si="32"/>
        <v/>
      </c>
      <c r="AF36" s="90" t="str">
        <f t="shared" si="33"/>
        <v/>
      </c>
      <c r="AG36" s="90" t="str">
        <f t="shared" si="33"/>
        <v/>
      </c>
      <c r="AH36" s="90">
        <f t="shared" si="34"/>
        <v>0</v>
      </c>
      <c r="AI36" s="90" t="str">
        <f t="shared" si="35"/>
        <v/>
      </c>
      <c r="AJ36" s="90" t="str">
        <f>IF(EA36=0,"",(EA36-EA35))</f>
        <v/>
      </c>
      <c r="AK36" s="90" t="str">
        <f>IF(EB36=0,"",(EB36-EB35))</f>
        <v/>
      </c>
      <c r="AL36" s="90">
        <f t="shared" si="37"/>
        <v>0</v>
      </c>
      <c r="AM36" s="90" t="str">
        <f t="shared" si="38"/>
        <v/>
      </c>
      <c r="AN36" s="90" t="str">
        <f t="shared" si="39"/>
        <v/>
      </c>
      <c r="AO36" s="90" t="str">
        <f t="shared" si="4"/>
        <v/>
      </c>
      <c r="AP36" s="90" t="str">
        <f t="shared" si="40"/>
        <v/>
      </c>
      <c r="AQ36" s="90" t="str">
        <f t="shared" si="5"/>
        <v/>
      </c>
      <c r="AR36" s="90" t="str">
        <f t="shared" si="41"/>
        <v/>
      </c>
      <c r="AS36" s="90" t="str">
        <f t="shared" si="42"/>
        <v/>
      </c>
      <c r="AT36" s="90" t="str">
        <f t="shared" si="43"/>
        <v/>
      </c>
      <c r="AU36" s="90" t="str">
        <f t="shared" si="44"/>
        <v/>
      </c>
      <c r="AV36" s="90" t="str">
        <f t="shared" si="66"/>
        <v/>
      </c>
      <c r="AW36" s="90" t="str">
        <f t="shared" si="45"/>
        <v/>
      </c>
      <c r="AX36" s="90" t="str">
        <f t="shared" si="67"/>
        <v/>
      </c>
      <c r="AY36" s="90" t="str">
        <f t="shared" si="46"/>
        <v/>
      </c>
      <c r="AZ36" s="90" t="str">
        <f t="shared" si="47"/>
        <v/>
      </c>
      <c r="BA36" s="90"/>
      <c r="BB36" s="90" t="str">
        <f t="shared" si="48"/>
        <v/>
      </c>
      <c r="BC36" s="90" t="str">
        <f t="shared" si="48"/>
        <v/>
      </c>
      <c r="BD36" s="91" t="str">
        <f t="shared" si="49"/>
        <v/>
      </c>
      <c r="BE36" s="90"/>
      <c r="BF36" s="90"/>
      <c r="BG36" s="90" t="str">
        <f t="shared" si="79"/>
        <v/>
      </c>
      <c r="BH36" s="90">
        <f t="shared" si="50"/>
        <v>0</v>
      </c>
      <c r="BI36" s="90" t="str">
        <f t="shared" si="51"/>
        <v/>
      </c>
      <c r="BJ36" s="90" t="str">
        <f t="shared" si="7"/>
        <v/>
      </c>
      <c r="BK36" s="92"/>
      <c r="BL36" s="93">
        <f t="shared" si="52"/>
        <v>0</v>
      </c>
      <c r="BM36" s="93">
        <f t="shared" si="53"/>
        <v>195804.5</v>
      </c>
      <c r="BN36" s="92"/>
      <c r="BO36" s="94" t="str">
        <f>IF($N36&lt;&gt;0,IF($N36&lt;&gt;0,R36/$N36*10,0)," ")</f>
        <v xml:space="preserve"> </v>
      </c>
      <c r="BP36" s="94" t="str">
        <f>IF($N36&lt;&gt;0,IF($N36&lt;&gt;0,S36/$N36*10,0)," ")</f>
        <v xml:space="preserve"> </v>
      </c>
      <c r="BQ36" s="94" t="str">
        <f t="shared" si="55"/>
        <v xml:space="preserve"> </v>
      </c>
      <c r="BR36" s="94" t="str">
        <f t="shared" si="68"/>
        <v xml:space="preserve"> </v>
      </c>
      <c r="BS36" s="94" t="str">
        <f t="shared" si="77"/>
        <v xml:space="preserve"> </v>
      </c>
      <c r="BT36" s="94" t="str">
        <f t="shared" si="77"/>
        <v xml:space="preserve"> </v>
      </c>
      <c r="BU36" s="95" t="str">
        <f t="shared" si="77"/>
        <v xml:space="preserve"> </v>
      </c>
      <c r="BV36" s="94" t="str">
        <f>IF($O36&lt;&gt;0,IF($O36&lt;&gt;0,R36/$O36*10,0)," ")</f>
        <v xml:space="preserve"> </v>
      </c>
      <c r="BW36" s="94" t="str">
        <f>IF($O36&lt;&gt;0,IF($O36&lt;&gt;0,S36/$O36*10,0)," ")</f>
        <v xml:space="preserve"> </v>
      </c>
      <c r="BX36" s="94" t="str">
        <f>IF($O36&lt;&gt;0,IF($O36&lt;&gt;0,T36/$O36*10,0)," ")</f>
        <v xml:space="preserve"> </v>
      </c>
      <c r="BY36" s="94" t="str">
        <f t="shared" si="56"/>
        <v xml:space="preserve"> </v>
      </c>
      <c r="BZ36" s="95" t="str">
        <f t="shared" si="10"/>
        <v xml:space="preserve"> </v>
      </c>
      <c r="CA36" s="96" t="e">
        <f>#REF!</f>
        <v>#REF!</v>
      </c>
      <c r="CB36" s="94" t="str">
        <f t="shared" si="11"/>
        <v xml:space="preserve"> </v>
      </c>
      <c r="CC36" s="95" t="str">
        <f t="shared" si="11"/>
        <v xml:space="preserve"> </v>
      </c>
      <c r="CD36" s="97" t="str">
        <f>IFERROR(AR36*10/($I36+$J36),"")</f>
        <v/>
      </c>
      <c r="CE36" s="98" t="str">
        <f>IFERROR(AS36*10/($I36+$J36),"")</f>
        <v/>
      </c>
      <c r="CF36" s="94" t="str">
        <f t="shared" si="57"/>
        <v>0,00</v>
      </c>
      <c r="CG36" s="94" t="str">
        <f t="shared" si="57"/>
        <v>0,00</v>
      </c>
      <c r="CH36" s="95" t="str">
        <f t="shared" si="58"/>
        <v xml:space="preserve">0,00 </v>
      </c>
      <c r="CI36" s="96" t="e">
        <f>#REF!</f>
        <v>#REF!</v>
      </c>
      <c r="CJ36" s="94" t="str">
        <f t="shared" si="59"/>
        <v>0,00</v>
      </c>
      <c r="CK36" s="94" t="str">
        <f t="shared" si="59"/>
        <v>0,00</v>
      </c>
      <c r="CL36" s="95" t="str">
        <f t="shared" si="69"/>
        <v xml:space="preserve">0,00 </v>
      </c>
      <c r="CM36" s="95" t="e">
        <f>#REF!</f>
        <v>#REF!</v>
      </c>
      <c r="CN36" s="94" t="str">
        <f t="shared" si="60"/>
        <v>0,00</v>
      </c>
      <c r="CO36" s="94" t="str">
        <f t="shared" si="60"/>
        <v>0,00</v>
      </c>
      <c r="CP36" s="95" t="str">
        <f t="shared" si="61"/>
        <v xml:space="preserve">0,00 </v>
      </c>
      <c r="CQ36" s="95" t="e">
        <f>#REF!</f>
        <v>#REF!</v>
      </c>
      <c r="CR36" s="97" t="str">
        <f t="shared" si="70"/>
        <v xml:space="preserve">0,00 </v>
      </c>
      <c r="CS36" s="95" t="str">
        <f t="shared" si="70"/>
        <v xml:space="preserve">0,00 </v>
      </c>
      <c r="CT36" s="96" t="e">
        <f>#REF!</f>
        <v>#REF!</v>
      </c>
      <c r="CU36" s="97" t="str">
        <f t="shared" si="71"/>
        <v xml:space="preserve">0,00 </v>
      </c>
      <c r="CV36" s="95" t="str">
        <f t="shared" si="62"/>
        <v xml:space="preserve">0,00 </v>
      </c>
      <c r="CW36" s="96" t="e">
        <f>#REF!</f>
        <v>#REF!</v>
      </c>
      <c r="CX36" s="99" t="str">
        <f t="shared" si="63"/>
        <v xml:space="preserve"> </v>
      </c>
      <c r="CY36" s="95" t="str">
        <f t="shared" si="63"/>
        <v xml:space="preserve"> </v>
      </c>
      <c r="CZ36" s="99" t="str">
        <f t="shared" si="63"/>
        <v xml:space="preserve"> </v>
      </c>
      <c r="DA36" s="95" t="str">
        <f t="shared" si="63"/>
        <v xml:space="preserve"> </v>
      </c>
      <c r="DB36" s="94" t="str">
        <f t="shared" si="13"/>
        <v xml:space="preserve"> </v>
      </c>
      <c r="DC36" s="94" t="str">
        <f t="shared" ref="DC36:DH36" si="80">IF($O36&lt;&gt;0,IF($O36&lt;&gt;0,BB36/$O36*10,0)," ")</f>
        <v xml:space="preserve"> </v>
      </c>
      <c r="DD36" s="94" t="str">
        <f t="shared" si="80"/>
        <v xml:space="preserve"> </v>
      </c>
      <c r="DE36" s="94" t="str">
        <f t="shared" si="80"/>
        <v xml:space="preserve"> </v>
      </c>
      <c r="DF36" s="94" t="str">
        <f t="shared" si="80"/>
        <v xml:space="preserve"> </v>
      </c>
      <c r="DG36" s="94" t="str">
        <f t="shared" si="80"/>
        <v xml:space="preserve"> </v>
      </c>
      <c r="DH36" s="95" t="str">
        <f t="shared" si="80"/>
        <v xml:space="preserve"> </v>
      </c>
      <c r="DI36" s="96" t="e">
        <f>#REF!</f>
        <v>#REF!</v>
      </c>
      <c r="DJ36" s="95" t="str">
        <f t="shared" si="64"/>
        <v xml:space="preserve"> </v>
      </c>
      <c r="DK36" s="96" t="e">
        <f>#REF!</f>
        <v>#REF!</v>
      </c>
      <c r="DL36" s="95" t="str">
        <f t="shared" si="15"/>
        <v xml:space="preserve"> </v>
      </c>
      <c r="DM36" s="96">
        <f t="shared" si="16"/>
        <v>0</v>
      </c>
      <c r="DN36" s="94" t="str">
        <f t="shared" si="17"/>
        <v/>
      </c>
      <c r="DO36" s="100">
        <v>3.4</v>
      </c>
      <c r="DP36" s="94" t="str">
        <f>IF($O36&lt;&gt;0,IF($O36&lt;&gt;0,BL36/$O36*10,0)," ")</f>
        <v xml:space="preserve"> </v>
      </c>
      <c r="DQ36" s="94">
        <f>IF($P36&lt;&gt;0,IF($P36&lt;&gt;0,BM36/$P36*10,0)," ")</f>
        <v>3.6550631634393276</v>
      </c>
      <c r="DR36" s="101"/>
      <c r="DS36" s="173"/>
      <c r="DT36" s="134">
        <v>31</v>
      </c>
      <c r="DU36" s="76"/>
      <c r="DV36" s="76"/>
      <c r="DW36" s="76"/>
      <c r="DX36" s="76"/>
      <c r="DY36" s="76"/>
      <c r="DZ36" s="76"/>
      <c r="EA36" s="77"/>
      <c r="EB36" s="77"/>
      <c r="EC36" s="77"/>
      <c r="ED36" s="76"/>
      <c r="EE36" s="77"/>
      <c r="EF36" s="77"/>
      <c r="EG36" s="76"/>
      <c r="EH36" s="76"/>
      <c r="EI36" s="76"/>
      <c r="EJ36" s="77"/>
      <c r="EK36" s="77"/>
      <c r="EL36" s="76"/>
      <c r="EM36" s="76"/>
      <c r="EN36" s="77"/>
      <c r="EO36" s="76"/>
      <c r="EP36" s="77"/>
      <c r="EQ36" s="77"/>
      <c r="ER36" s="77"/>
      <c r="ES36" s="77"/>
      <c r="ET36" s="77"/>
      <c r="EU36" s="77"/>
      <c r="EV36" s="77"/>
      <c r="EW36" s="77"/>
      <c r="EX36" s="76"/>
      <c r="EY36" s="76"/>
      <c r="EZ36" s="76"/>
      <c r="FA36" s="76"/>
      <c r="FB36" s="77"/>
      <c r="FC36" s="76"/>
      <c r="FD36" s="104"/>
      <c r="FE36" s="105"/>
      <c r="FF36" s="79"/>
      <c r="FG36" s="79"/>
      <c r="FH36" s="77"/>
      <c r="FI36" s="79"/>
      <c r="FJ36" s="77"/>
      <c r="FK36" s="79"/>
      <c r="FL36" s="79"/>
      <c r="FM36" s="79"/>
      <c r="FN36" s="80">
        <f t="shared" si="74"/>
        <v>0</v>
      </c>
      <c r="FO36" s="77"/>
      <c r="FP36" s="189"/>
      <c r="FY36" s="119">
        <v>31</v>
      </c>
      <c r="FZ36" s="190"/>
      <c r="GA36" s="192"/>
      <c r="GB36" s="190"/>
      <c r="GC36" s="109"/>
      <c r="GD36" s="110"/>
      <c r="GE36" s="110"/>
      <c r="GF36" s="111"/>
      <c r="GG36" s="111"/>
      <c r="GH36" s="111"/>
      <c r="GI36" s="164"/>
      <c r="GJ36" s="111" t="e">
        <f t="shared" si="65"/>
        <v>#DIV/0!</v>
      </c>
    </row>
    <row r="37" spans="1:193" s="10" customFormat="1" ht="15" customHeight="1">
      <c r="A37" s="64" t="s">
        <v>127</v>
      </c>
      <c r="B37" s="193" t="s">
        <v>128</v>
      </c>
      <c r="C37" s="194"/>
      <c r="D37" s="328">
        <f>SUM(D6:D36)</f>
        <v>94558.2</v>
      </c>
      <c r="E37" s="196">
        <f t="shared" ref="E37:M37" si="81">SUM(E6:E36)</f>
        <v>69199.44</v>
      </c>
      <c r="F37" s="196">
        <f t="shared" si="81"/>
        <v>67292.784</v>
      </c>
      <c r="G37" s="196">
        <f t="shared" si="81"/>
        <v>74172.31</v>
      </c>
      <c r="H37" s="196">
        <f t="shared" si="81"/>
        <v>130935.61200000001</v>
      </c>
      <c r="I37" s="328">
        <f t="shared" si="81"/>
        <v>43593.457000000002</v>
      </c>
      <c r="J37" s="196">
        <f t="shared" si="81"/>
        <v>150871.12800000003</v>
      </c>
      <c r="K37" s="196">
        <f t="shared" si="81"/>
        <v>95.995999999999995</v>
      </c>
      <c r="L37" s="196">
        <f t="shared" si="81"/>
        <v>2298.0079999999998</v>
      </c>
      <c r="M37" s="197">
        <f t="shared" si="81"/>
        <v>194464.58500000005</v>
      </c>
      <c r="N37" s="198">
        <f>SUM(N6:N36)</f>
        <v>436158.34600000002</v>
      </c>
      <c r="O37" s="199">
        <f>SUM(O6:O36)</f>
        <v>535707.56849999994</v>
      </c>
      <c r="P37" s="200">
        <f>P36</f>
        <v>535707.56849999994</v>
      </c>
      <c r="Q37" s="201">
        <f>SUM(Q6:Q33)</f>
        <v>0</v>
      </c>
      <c r="R37" s="196">
        <f>SUM(R6:R36)</f>
        <v>4593</v>
      </c>
      <c r="S37" s="196">
        <f t="shared" ref="S37:Z37" si="82">SUM(S6:S36)</f>
        <v>2037</v>
      </c>
      <c r="T37" s="196">
        <f t="shared" si="82"/>
        <v>13364.000000000002</v>
      </c>
      <c r="U37" s="196">
        <f t="shared" si="82"/>
        <v>111.30000000000001</v>
      </c>
      <c r="V37" s="196">
        <f t="shared" si="82"/>
        <v>37803</v>
      </c>
      <c r="W37" s="202">
        <f t="shared" si="82"/>
        <v>15154.5</v>
      </c>
      <c r="X37" s="196">
        <f t="shared" si="82"/>
        <v>37803</v>
      </c>
      <c r="Y37" s="196">
        <f t="shared" si="82"/>
        <v>270.39999999999998</v>
      </c>
      <c r="Z37" s="196">
        <f t="shared" si="82"/>
        <v>3737.6</v>
      </c>
      <c r="AA37" s="203">
        <f>SUM(R37:V37)</f>
        <v>57908.3</v>
      </c>
      <c r="AB37" s="196">
        <f t="shared" ref="AB37:AZ37" si="83">SUM(AB6:AB36)</f>
        <v>5315</v>
      </c>
      <c r="AC37" s="196">
        <f t="shared" si="83"/>
        <v>756</v>
      </c>
      <c r="AD37" s="203">
        <f t="shared" si="83"/>
        <v>10753</v>
      </c>
      <c r="AE37" s="203">
        <f t="shared" si="83"/>
        <v>4682</v>
      </c>
      <c r="AF37" s="196">
        <f>SUM(AF6:AF36)</f>
        <v>3904</v>
      </c>
      <c r="AG37" s="196">
        <f>SUM(AG6:AG36)</f>
        <v>778</v>
      </c>
      <c r="AH37" s="203">
        <f t="shared" si="83"/>
        <v>6600</v>
      </c>
      <c r="AI37" s="203">
        <f t="shared" si="83"/>
        <v>1918</v>
      </c>
      <c r="AJ37" s="196">
        <f t="shared" si="83"/>
        <v>6342</v>
      </c>
      <c r="AK37" s="196">
        <f t="shared" si="83"/>
        <v>1794</v>
      </c>
      <c r="AL37" s="203">
        <f t="shared" si="83"/>
        <v>10379</v>
      </c>
      <c r="AM37" s="203">
        <f t="shared" si="83"/>
        <v>2243</v>
      </c>
      <c r="AN37" s="196">
        <f t="shared" si="83"/>
        <v>498</v>
      </c>
      <c r="AO37" s="203">
        <f t="shared" si="83"/>
        <v>1504</v>
      </c>
      <c r="AP37" s="196">
        <f t="shared" si="83"/>
        <v>539</v>
      </c>
      <c r="AQ37" s="203">
        <f t="shared" si="83"/>
        <v>1295</v>
      </c>
      <c r="AR37" s="196">
        <f t="shared" si="83"/>
        <v>2686.8480000000009</v>
      </c>
      <c r="AS37" s="203">
        <f t="shared" si="83"/>
        <v>3705.848</v>
      </c>
      <c r="AT37" s="203">
        <f t="shared" si="83"/>
        <v>23841.847999999998</v>
      </c>
      <c r="AU37" s="204">
        <f t="shared" si="83"/>
        <v>6665</v>
      </c>
      <c r="AV37" s="203">
        <f t="shared" si="83"/>
        <v>1256</v>
      </c>
      <c r="AW37" s="204">
        <f t="shared" si="83"/>
        <v>13471</v>
      </c>
      <c r="AX37" s="203">
        <f t="shared" si="83"/>
        <v>1178</v>
      </c>
      <c r="AY37" s="203">
        <f t="shared" si="83"/>
        <v>0</v>
      </c>
      <c r="AZ37" s="196">
        <f t="shared" si="83"/>
        <v>10527</v>
      </c>
      <c r="BA37" s="196">
        <f>SUM(BA6:BA36)</f>
        <v>1172</v>
      </c>
      <c r="BB37" s="196">
        <f>SUM(BB6:BB35)</f>
        <v>3041</v>
      </c>
      <c r="BC37" s="196">
        <f t="shared" ref="BC37:BJ37" si="84">SUM(BC6:BC36)</f>
        <v>16478</v>
      </c>
      <c r="BD37" s="202">
        <f t="shared" si="84"/>
        <v>6778</v>
      </c>
      <c r="BE37" s="196">
        <f t="shared" si="84"/>
        <v>0</v>
      </c>
      <c r="BF37" s="196">
        <f t="shared" si="84"/>
        <v>0</v>
      </c>
      <c r="BG37" s="203">
        <f t="shared" si="84"/>
        <v>30046</v>
      </c>
      <c r="BH37" s="203">
        <f t="shared" si="84"/>
        <v>6263.5</v>
      </c>
      <c r="BI37" s="196">
        <f t="shared" si="84"/>
        <v>64915.851999999992</v>
      </c>
      <c r="BJ37" s="196">
        <f t="shared" si="84"/>
        <v>124625.14800000003</v>
      </c>
      <c r="BK37" s="205"/>
      <c r="BL37" s="196">
        <f>SUM(BL6:BL36)</f>
        <v>195804.5</v>
      </c>
      <c r="BM37" s="196">
        <f>BM36</f>
        <v>195804.5</v>
      </c>
      <c r="BN37" s="205"/>
      <c r="BO37" s="94">
        <f>IF($N37&lt;&gt;0,IF($N37&lt;&gt;0,R37/$N37*10,0)," ")</f>
        <v>0.10530579185569454</v>
      </c>
      <c r="BP37" s="206">
        <f>S37/$N$37/0.1</f>
        <v>4.6703221861539246E-2</v>
      </c>
      <c r="BQ37" s="94">
        <f>IF($N37&lt;&gt;0,IF($N37&lt;&gt;0,T37/$N37*10,0)," ")</f>
        <v>0.30640248255160069</v>
      </c>
      <c r="BR37" s="94">
        <f>IF($N37&lt;&gt;0,IF($N37&lt;&gt;0,(V37)/$N37*10,0)," ")</f>
        <v>0.86672650762482484</v>
      </c>
      <c r="BS37" s="206">
        <f>IF($N37&lt;&gt;0,IF($N37&lt;&gt;0,Y37/$N37*10,0)," ")</f>
        <v>6.1995833045460046E-3</v>
      </c>
      <c r="BT37" s="206">
        <f>IF($N37&lt;&gt;0,IF($N37&lt;&gt;0,Z37/$N37*10,0)," ")</f>
        <v>8.5693648517274956E-2</v>
      </c>
      <c r="BU37" s="207">
        <f>IF($N37&lt;&gt;0,IF($N37&lt;&gt;0,AA37/$N37*10,0)," ")</f>
        <v>1.3276898294180528</v>
      </c>
      <c r="BV37" s="206">
        <f>R37/$O$37/0.1</f>
        <v>8.5737075040036526E-2</v>
      </c>
      <c r="BW37" s="206">
        <f>S37/$O$37/0.1</f>
        <v>3.8024476781309463E-2</v>
      </c>
      <c r="BX37" s="206">
        <f>(T37+U37)/$O$37/0.1</f>
        <v>0.25154208736925848</v>
      </c>
      <c r="BY37" s="206">
        <f>(V37)/$O$37/0.1</f>
        <v>0.70566484819039854</v>
      </c>
      <c r="BZ37" s="198">
        <f>AA37/$O$37/0.1</f>
        <v>1.080968487381003</v>
      </c>
      <c r="CA37" s="208" t="e">
        <f>#REF!</f>
        <v>#REF!</v>
      </c>
      <c r="CB37" s="209">
        <f>IF($O37&lt;&gt;0,IF($O37&lt;&gt;0,AR37/$O37*10,0)," ")</f>
        <v>5.0155124885079935E-2</v>
      </c>
      <c r="CC37" s="210">
        <f>IF($O37&lt;&gt;0,IF($O37&lt;&gt;0,AS37/$O37*10,0)," ")</f>
        <v>6.9176696726098247E-2</v>
      </c>
      <c r="CD37" s="211">
        <f>IFERROR(AR37*10/($I37+$J37),"")</f>
        <v>0.13816644300554781</v>
      </c>
      <c r="CE37" s="212">
        <f>IFERROR(AS37*10/(($I37+$J37)),"")</f>
        <v>0.19056672966956936</v>
      </c>
      <c r="CF37" s="206">
        <f>AB37/$D$37/0.1</f>
        <v>0.56208768779439533</v>
      </c>
      <c r="CG37" s="206">
        <f>AC37/$D$37/0.1</f>
        <v>7.9950760484019362E-2</v>
      </c>
      <c r="CH37" s="198">
        <f>AD37/$D$37/0.1</f>
        <v>1.1371832374135717</v>
      </c>
      <c r="CI37" s="208" t="e">
        <f>#REF!</f>
        <v>#REF!</v>
      </c>
      <c r="CJ37" s="206">
        <f>AF37/$E$37/0.1</f>
        <v>0.56416641521954503</v>
      </c>
      <c r="CK37" s="206">
        <f>AG37/$E$37/0.1</f>
        <v>0.11242865549200975</v>
      </c>
      <c r="CL37" s="198">
        <f>AH37/$E$37/0.1</f>
        <v>0.95376494376255061</v>
      </c>
      <c r="CM37" s="95" t="e">
        <f>#REF!</f>
        <v>#REF!</v>
      </c>
      <c r="CN37" s="206">
        <f>AJ37/$F$37/0.1</f>
        <v>0.94244874755070318</v>
      </c>
      <c r="CO37" s="206">
        <f>AK37/$F$37/0.1</f>
        <v>0.26659619254272493</v>
      </c>
      <c r="CP37" s="198">
        <f>AL37/$F$37/0.1</f>
        <v>1.5423644829436689</v>
      </c>
      <c r="CQ37" s="213" t="e">
        <f>#REF!</f>
        <v>#REF!</v>
      </c>
      <c r="CR37" s="214">
        <f>AN37/$G$37/0.1</f>
        <v>6.7140958667729234E-2</v>
      </c>
      <c r="CS37" s="198">
        <f>AO37/$G$37/0.1</f>
        <v>0.20277108802462807</v>
      </c>
      <c r="CT37" s="208" t="e">
        <f>#REF!</f>
        <v>#REF!</v>
      </c>
      <c r="CU37" s="214">
        <f>AP37/$H$37/0.1</f>
        <v>4.1165271370175435E-2</v>
      </c>
      <c r="CV37" s="198">
        <f>AQ37/$H$37/0.1</f>
        <v>9.890357407120072E-2</v>
      </c>
      <c r="CW37" s="96" t="e">
        <f>#REF!</f>
        <v>#REF!</v>
      </c>
      <c r="CX37" s="99">
        <f t="shared" si="63"/>
        <v>0.12441489334679805</v>
      </c>
      <c r="CY37" s="95">
        <f t="shared" si="63"/>
        <v>2.3445627313365094E-2</v>
      </c>
      <c r="CZ37" s="99">
        <f t="shared" si="63"/>
        <v>0.25146181969613152</v>
      </c>
      <c r="DA37" s="198">
        <f>IF($O37&lt;&gt;0,IF($O37&lt;&gt;0,AX37/$O37*10,0)," ")</f>
        <v>2.1989609056643378E-2</v>
      </c>
      <c r="DB37" s="206">
        <f>AZ37/$O$37/0.1</f>
        <v>0.19650646395525026</v>
      </c>
      <c r="DC37" s="206">
        <f t="shared" ref="DC37:DH37" si="85">BB37/$O$37/0.1</f>
        <v>5.6766045111419784E-2</v>
      </c>
      <c r="DD37" s="215">
        <f t="shared" si="85"/>
        <v>0.30759319018282644</v>
      </c>
      <c r="DE37" s="215">
        <f t="shared" si="85"/>
        <v>0.12652425312897181</v>
      </c>
      <c r="DF37" s="215">
        <f t="shared" si="85"/>
        <v>0</v>
      </c>
      <c r="DG37" s="215">
        <f t="shared" si="85"/>
        <v>0</v>
      </c>
      <c r="DH37" s="216">
        <f t="shared" si="85"/>
        <v>0.56086569924949647</v>
      </c>
      <c r="DI37" s="217" t="e">
        <f>#REF!</f>
        <v>#REF!</v>
      </c>
      <c r="DJ37" s="216">
        <f>BH37/$O$37/0.1</f>
        <v>0.11692013270482662</v>
      </c>
      <c r="DK37" s="217" t="e">
        <f>#REF!</f>
        <v>#REF!</v>
      </c>
      <c r="DL37" s="213">
        <f>BI37/$O$37/0.1</f>
        <v>1.2117777649057053</v>
      </c>
      <c r="DM37" s="96">
        <f t="shared" si="16"/>
        <v>0</v>
      </c>
      <c r="DN37" s="206">
        <f>BJ37/$O$37/0.1</f>
        <v>2.3263652658287959</v>
      </c>
      <c r="DO37" s="100">
        <v>3.4</v>
      </c>
      <c r="DP37" s="206">
        <f>BL37/$O$37/0.1</f>
        <v>3.6550631634393276</v>
      </c>
      <c r="DQ37" s="218" t="str">
        <f>IF($Q37&lt;&gt;0,IF($Q37&lt;&gt;0,BM37/$Q37*10,0)," ")</f>
        <v xml:space="preserve"> </v>
      </c>
      <c r="DR37" s="101" t="e">
        <f>#REF!</f>
        <v>#REF!</v>
      </c>
      <c r="DS37" s="64"/>
      <c r="DT37" s="64"/>
      <c r="DU37" s="219"/>
      <c r="DV37" s="219"/>
      <c r="DW37" s="219"/>
      <c r="DX37" s="219"/>
      <c r="DY37" s="219"/>
      <c r="DZ37" s="219"/>
      <c r="EA37" s="219"/>
      <c r="EB37" s="220"/>
      <c r="EC37" s="219"/>
      <c r="ED37" s="219"/>
      <c r="EE37" s="219"/>
      <c r="EF37" s="219"/>
      <c r="EG37" s="219"/>
      <c r="EH37" s="219"/>
      <c r="EI37" s="219"/>
      <c r="EJ37" s="220"/>
      <c r="EK37" s="220"/>
      <c r="EL37" s="219"/>
      <c r="EM37" s="219"/>
      <c r="EN37" s="220"/>
      <c r="EO37" s="219"/>
      <c r="EP37" s="220"/>
      <c r="EQ37" s="220"/>
      <c r="ER37" s="220"/>
      <c r="ES37" s="220"/>
      <c r="ET37" s="220"/>
      <c r="EU37" s="220"/>
      <c r="EV37" s="220"/>
      <c r="EW37" s="220"/>
      <c r="EX37" s="219"/>
      <c r="EY37" s="219"/>
      <c r="EZ37" s="219"/>
      <c r="FA37" s="219"/>
      <c r="FB37" s="219"/>
      <c r="FC37" s="219"/>
      <c r="FD37" s="220"/>
      <c r="FE37" s="574" t="s">
        <v>129</v>
      </c>
      <c r="FF37" s="575"/>
      <c r="FG37" s="575"/>
      <c r="FH37" s="575"/>
      <c r="FI37" s="575"/>
      <c r="FJ37" s="575"/>
      <c r="FK37" s="575"/>
      <c r="FL37" s="575"/>
      <c r="FM37" s="576"/>
      <c r="FN37" s="220"/>
      <c r="FO37" s="220"/>
      <c r="FP37" s="64"/>
      <c r="FQ37" s="64"/>
      <c r="FR37" s="64"/>
      <c r="FS37" s="64"/>
      <c r="FT37" s="64"/>
      <c r="FU37" s="64"/>
      <c r="FV37" s="64"/>
      <c r="FW37" s="64"/>
      <c r="FX37" s="64"/>
      <c r="FY37" s="64"/>
      <c r="FZ37" s="221">
        <f>SUM(FZ6:FZ36)</f>
        <v>38276</v>
      </c>
      <c r="GA37" s="221">
        <f t="shared" ref="GA37:GI37" si="86">SUM(GA6:GA36)</f>
        <v>6040</v>
      </c>
      <c r="GB37" s="221">
        <f t="shared" si="86"/>
        <v>6.4779304812053722</v>
      </c>
      <c r="GC37" s="221">
        <f t="shared" si="86"/>
        <v>0</v>
      </c>
      <c r="GD37" s="221">
        <f t="shared" si="86"/>
        <v>0</v>
      </c>
      <c r="GE37" s="221">
        <f t="shared" si="86"/>
        <v>0</v>
      </c>
      <c r="GF37" s="221">
        <f t="shared" si="86"/>
        <v>0</v>
      </c>
      <c r="GG37" s="221">
        <f t="shared" si="86"/>
        <v>0</v>
      </c>
      <c r="GH37" s="221">
        <f t="shared" si="86"/>
        <v>0</v>
      </c>
      <c r="GI37" s="221">
        <f t="shared" si="86"/>
        <v>0</v>
      </c>
      <c r="GJ37" s="111">
        <f t="shared" si="65"/>
        <v>0</v>
      </c>
      <c r="GK37" s="222"/>
    </row>
    <row r="38" spans="1:193" s="10" customFormat="1">
      <c r="A38" s="64"/>
      <c r="B38" s="223" t="s">
        <v>130</v>
      </c>
      <c r="C38" s="64"/>
      <c r="F38" s="224"/>
      <c r="G38" s="224"/>
      <c r="M38" s="226"/>
      <c r="N38" s="227"/>
      <c r="O38" s="227"/>
      <c r="P38" s="102"/>
      <c r="Q38" s="64"/>
      <c r="R38" s="228"/>
      <c r="S38" s="228"/>
      <c r="T38" s="228"/>
      <c r="U38" s="228"/>
      <c r="V38" s="229"/>
      <c r="W38" s="229"/>
      <c r="X38" s="229"/>
      <c r="Y38" s="229"/>
      <c r="Z38" s="229"/>
      <c r="AA38" s="230"/>
      <c r="AB38" s="152"/>
      <c r="AC38" s="152"/>
      <c r="AD38" s="153"/>
      <c r="AE38" s="231"/>
      <c r="AF38" s="152"/>
      <c r="AG38" s="152"/>
      <c r="AH38" s="152"/>
      <c r="AI38" s="231"/>
      <c r="AJ38" s="152"/>
      <c r="AK38" s="152"/>
      <c r="AL38" s="152"/>
      <c r="AM38" s="231"/>
      <c r="AN38" s="152"/>
      <c r="AO38" s="231"/>
      <c r="AP38" s="152"/>
      <c r="AQ38" s="231"/>
      <c r="AR38" s="232"/>
      <c r="AS38" s="230"/>
      <c r="AT38" s="230"/>
      <c r="AU38" s="232"/>
      <c r="AV38" s="152"/>
      <c r="AW38" s="232"/>
      <c r="AX38" s="152"/>
      <c r="AY38" s="152"/>
      <c r="AZ38" s="152"/>
      <c r="BA38" s="152"/>
      <c r="BB38" s="152"/>
      <c r="BC38" s="152"/>
      <c r="BD38" s="228"/>
      <c r="BE38" s="228"/>
      <c r="BF38" s="228"/>
      <c r="BG38" s="152"/>
      <c r="BH38" s="152"/>
      <c r="BI38" s="233"/>
      <c r="BJ38" s="233"/>
      <c r="BK38" s="234"/>
      <c r="BL38" s="235"/>
      <c r="BM38" s="233"/>
      <c r="BN38" s="234"/>
      <c r="BO38" s="178"/>
      <c r="BP38" s="178"/>
      <c r="BQ38" s="178"/>
      <c r="BR38" s="178"/>
      <c r="BS38" s="178"/>
      <c r="BT38" s="178"/>
      <c r="BU38" s="178"/>
      <c r="BV38" s="178"/>
      <c r="BW38" s="178"/>
      <c r="BX38" s="178"/>
      <c r="BY38" s="178"/>
      <c r="BZ38" s="64"/>
      <c r="CA38" s="236"/>
      <c r="CB38" s="236"/>
      <c r="CC38" s="236"/>
      <c r="CD38" s="236"/>
      <c r="CE38" s="236"/>
      <c r="CF38" s="237"/>
      <c r="CG38" s="237"/>
      <c r="CH38" s="64"/>
      <c r="CI38" s="236"/>
      <c r="CJ38" s="236"/>
      <c r="CK38" s="236"/>
      <c r="CL38" s="236"/>
      <c r="CM38" s="236"/>
      <c r="CN38" s="236"/>
      <c r="CO38" s="236"/>
      <c r="CP38" s="236"/>
      <c r="CQ38" s="236"/>
      <c r="CR38" s="64"/>
      <c r="CS38" s="238"/>
      <c r="CT38" s="236"/>
      <c r="CU38" s="236"/>
      <c r="CV38" s="239"/>
      <c r="CW38" s="236"/>
      <c r="CX38" s="236"/>
      <c r="CY38" s="236"/>
      <c r="CZ38" s="236"/>
      <c r="DA38" s="236"/>
      <c r="DB38" s="64"/>
      <c r="DC38" s="64"/>
      <c r="DD38" s="64"/>
      <c r="DE38" s="64"/>
      <c r="DF38" s="64"/>
      <c r="DG38" s="64"/>
      <c r="DH38" s="240"/>
      <c r="DI38" s="236"/>
      <c r="DJ38" s="241"/>
      <c r="DK38" s="242"/>
      <c r="DL38" s="243"/>
      <c r="DM38" s="242"/>
      <c r="DN38" s="64"/>
      <c r="DO38" s="100"/>
      <c r="DP38" s="240"/>
      <c r="DQ38" s="244"/>
      <c r="DR38" s="245"/>
      <c r="DS38" s="64"/>
      <c r="DT38" s="64"/>
      <c r="DU38" s="246"/>
      <c r="DV38" s="246"/>
      <c r="DW38" s="246"/>
      <c r="DX38" s="219"/>
      <c r="DY38" s="219"/>
      <c r="DZ38" s="219"/>
      <c r="EA38" s="246"/>
      <c r="EB38" s="246"/>
      <c r="EC38" s="9"/>
      <c r="ED38" s="9"/>
      <c r="EE38" s="246"/>
      <c r="EF38" s="246"/>
      <c r="EG38" s="9"/>
      <c r="EH38" s="9"/>
      <c r="EI38" s="9"/>
      <c r="EJ38" s="64"/>
      <c r="EK38" s="64"/>
      <c r="EL38" s="9"/>
      <c r="EM38" s="9"/>
      <c r="EN38" s="64"/>
      <c r="EO38" s="9"/>
      <c r="EP38" s="220"/>
      <c r="EQ38" s="64"/>
      <c r="ER38" s="64"/>
      <c r="ES38" s="247"/>
      <c r="ET38" s="248"/>
      <c r="EU38" s="220"/>
      <c r="EV38" s="220"/>
      <c r="EW38" s="246"/>
      <c r="EX38" s="64"/>
      <c r="EY38" s="64"/>
      <c r="EZ38" s="64"/>
      <c r="FA38" s="64"/>
      <c r="FB38" s="64"/>
      <c r="FC38" s="152"/>
      <c r="FD38" s="249" t="s">
        <v>53</v>
      </c>
      <c r="FE38" s="250">
        <v>1181282</v>
      </c>
      <c r="FF38" s="250">
        <v>866667</v>
      </c>
      <c r="FG38" s="250">
        <v>568747</v>
      </c>
      <c r="FH38" s="250">
        <v>785572</v>
      </c>
      <c r="FI38" s="250">
        <v>731666</v>
      </c>
      <c r="FJ38" s="250">
        <v>656353</v>
      </c>
      <c r="FK38" s="250">
        <v>1175438</v>
      </c>
      <c r="FL38" s="250">
        <v>907416</v>
      </c>
      <c r="FM38" s="250">
        <v>556200</v>
      </c>
      <c r="FN38" s="220"/>
      <c r="FO38" s="152"/>
      <c r="FP38" s="220"/>
      <c r="FQ38" s="9"/>
      <c r="FR38" s="64"/>
      <c r="FS38" s="64"/>
      <c r="FT38" s="64"/>
      <c r="FU38" s="64"/>
      <c r="FV38" s="64"/>
      <c r="FW38" s="64"/>
      <c r="FX38" s="64"/>
      <c r="FY38" s="64"/>
      <c r="FZ38" s="9"/>
      <c r="GA38" s="64"/>
      <c r="GB38" s="64"/>
      <c r="GC38" s="64"/>
      <c r="GD38" s="64"/>
      <c r="GE38" s="64"/>
      <c r="GF38" s="64"/>
      <c r="GG38" s="64"/>
      <c r="GH38" s="64"/>
      <c r="GI38" s="64"/>
      <c r="GJ38" s="64"/>
    </row>
    <row r="39" spans="1:193" s="10" customFormat="1">
      <c r="A39" s="64"/>
      <c r="B39" s="64"/>
      <c r="C39" s="64"/>
      <c r="E39" s="64"/>
      <c r="F39" s="224">
        <v>501</v>
      </c>
      <c r="G39" s="10">
        <v>502</v>
      </c>
      <c r="H39" s="10">
        <v>503</v>
      </c>
      <c r="I39" s="10">
        <v>511</v>
      </c>
      <c r="J39" s="10">
        <v>512</v>
      </c>
      <c r="K39" s="10">
        <v>561</v>
      </c>
      <c r="L39" s="10">
        <v>562</v>
      </c>
      <c r="M39" s="254">
        <v>563</v>
      </c>
      <c r="N39" s="255"/>
      <c r="O39" s="256"/>
      <c r="P39" s="257"/>
      <c r="Q39" s="64"/>
      <c r="R39" s="258"/>
      <c r="S39" s="258"/>
      <c r="T39" s="258"/>
      <c r="U39" s="258"/>
      <c r="V39" s="258"/>
      <c r="W39" s="258"/>
      <c r="X39" s="258"/>
      <c r="Y39" s="258"/>
      <c r="Z39" s="258"/>
      <c r="AA39" s="258"/>
      <c r="AB39" s="152"/>
      <c r="AC39" s="152"/>
      <c r="AD39" s="231"/>
      <c r="AE39" s="152"/>
      <c r="AF39" s="152"/>
      <c r="AG39" s="152"/>
      <c r="AH39" s="152"/>
      <c r="AI39" s="152"/>
      <c r="AJ39" s="152"/>
      <c r="AK39" s="152"/>
      <c r="AL39" s="152"/>
      <c r="AM39" s="152"/>
      <c r="AN39" s="152"/>
      <c r="AO39" s="152"/>
      <c r="AP39" s="152"/>
      <c r="AQ39" s="152"/>
      <c r="AR39" s="258"/>
      <c r="AS39" s="258"/>
      <c r="AT39" s="258"/>
      <c r="AU39" s="258"/>
      <c r="AV39" s="152"/>
      <c r="AW39" s="258"/>
      <c r="AX39" s="152"/>
      <c r="AY39" s="152"/>
      <c r="AZ39" s="152"/>
      <c r="BA39" s="152"/>
      <c r="BB39" s="152"/>
      <c r="BC39" s="231"/>
      <c r="BD39" s="231"/>
      <c r="BE39" s="231"/>
      <c r="BF39" s="231"/>
      <c r="BG39" s="152"/>
      <c r="BH39" s="231"/>
      <c r="BI39" s="116"/>
      <c r="BJ39" s="116"/>
      <c r="BK39" s="259"/>
      <c r="BL39" s="260"/>
      <c r="BM39" s="165"/>
      <c r="BN39" s="259"/>
      <c r="BO39" s="64"/>
      <c r="BP39" s="64"/>
      <c r="BQ39" s="64"/>
      <c r="BR39" s="116"/>
      <c r="BS39" s="116"/>
      <c r="BT39" s="116"/>
      <c r="BU39" s="116"/>
      <c r="BV39" s="64"/>
      <c r="BW39" s="64"/>
      <c r="BX39" s="64"/>
      <c r="BY39" s="116"/>
      <c r="BZ39" s="243"/>
      <c r="CA39" s="243"/>
      <c r="CB39" s="243"/>
      <c r="CC39" s="243"/>
      <c r="CD39" s="243"/>
      <c r="CE39" s="243"/>
      <c r="CF39" s="141"/>
      <c r="CG39" s="237"/>
      <c r="CH39" s="243"/>
      <c r="CI39" s="243"/>
      <c r="CJ39" s="243"/>
      <c r="CK39" s="243"/>
      <c r="CL39" s="243"/>
      <c r="CM39" s="243"/>
      <c r="CN39" s="243"/>
      <c r="CO39" s="243"/>
      <c r="CP39" s="243"/>
      <c r="CQ39" s="243"/>
      <c r="CR39" s="243"/>
      <c r="CS39" s="243"/>
      <c r="CT39" s="243"/>
      <c r="CU39" s="243"/>
      <c r="CV39" s="243"/>
      <c r="CW39" s="243"/>
      <c r="CX39" s="243"/>
      <c r="CY39" s="116"/>
      <c r="CZ39" s="243"/>
      <c r="DA39" s="243"/>
      <c r="DB39" s="243"/>
      <c r="DC39" s="243"/>
      <c r="DD39" s="116"/>
      <c r="DE39" s="116"/>
      <c r="DF39" s="116"/>
      <c r="DG39" s="116"/>
      <c r="DH39" s="243"/>
      <c r="DI39" s="243"/>
      <c r="DJ39" s="64"/>
      <c r="DK39" s="64"/>
      <c r="DL39" s="74"/>
      <c r="DM39" s="64"/>
      <c r="DN39" s="74"/>
      <c r="DO39" s="261"/>
      <c r="DP39" s="262"/>
      <c r="DQ39" s="263"/>
      <c r="DR39" s="244"/>
      <c r="DS39" s="64"/>
      <c r="DT39" s="64"/>
      <c r="DU39" s="246"/>
      <c r="DV39" s="246"/>
      <c r="DW39" s="246"/>
      <c r="DX39" s="219"/>
      <c r="DY39" s="219"/>
      <c r="DZ39" s="219"/>
      <c r="EA39" s="246"/>
      <c r="EB39" s="246"/>
      <c r="EC39" s="9"/>
      <c r="ED39" s="9"/>
      <c r="EE39" s="246"/>
      <c r="EF39" s="246"/>
      <c r="EG39" s="9"/>
      <c r="EH39" s="9"/>
      <c r="EI39" s="9"/>
      <c r="EJ39" s="64"/>
      <c r="EK39" s="64"/>
      <c r="EL39" s="9"/>
      <c r="EM39" s="9"/>
      <c r="EN39" s="64"/>
      <c r="EO39" s="9"/>
      <c r="EP39" s="220"/>
      <c r="EQ39" s="64"/>
      <c r="ER39" s="64"/>
      <c r="ES39" s="257"/>
      <c r="ET39" s="74"/>
      <c r="EU39" s="64"/>
      <c r="EV39" s="64"/>
      <c r="EW39" s="246"/>
      <c r="EX39" s="64"/>
      <c r="EY39" s="64"/>
      <c r="EZ39" s="64"/>
      <c r="FA39" s="64"/>
      <c r="FB39" s="64"/>
      <c r="FC39" s="152"/>
      <c r="FD39" s="249">
        <v>1</v>
      </c>
      <c r="FE39" s="250">
        <v>1181282</v>
      </c>
      <c r="FF39" s="250">
        <v>867253</v>
      </c>
      <c r="FG39" s="250">
        <v>569452</v>
      </c>
      <c r="FH39" s="250">
        <v>787456</v>
      </c>
      <c r="FI39" s="250">
        <v>732261</v>
      </c>
      <c r="FJ39" s="250">
        <v>657121</v>
      </c>
      <c r="FK39" s="250">
        <v>1175438</v>
      </c>
      <c r="FL39" s="250">
        <v>908959</v>
      </c>
      <c r="FM39" s="250">
        <v>556200</v>
      </c>
      <c r="FN39" s="152"/>
      <c r="FO39" s="152"/>
      <c r="FP39" s="64"/>
      <c r="FQ39" s="9"/>
      <c r="FR39" s="9"/>
      <c r="FS39" s="9"/>
      <c r="FT39" s="9"/>
      <c r="FU39" s="9"/>
      <c r="FV39" s="9"/>
      <c r="FW39" s="9"/>
      <c r="FX39" s="9"/>
      <c r="FY39" s="9"/>
      <c r="FZ39" s="246"/>
      <c r="GA39" s="64"/>
      <c r="GB39" s="64"/>
      <c r="GC39" s="64"/>
      <c r="GD39" s="64"/>
      <c r="GE39" s="64"/>
      <c r="GF39" s="64"/>
      <c r="GG39" s="64"/>
      <c r="GH39" s="64"/>
      <c r="GI39" s="64"/>
      <c r="GJ39" s="64"/>
    </row>
    <row r="40" spans="1:193">
      <c r="D40" s="64">
        <v>4033.152</v>
      </c>
      <c r="E40" s="64">
        <v>70100003</v>
      </c>
      <c r="F40" s="64">
        <f>D42+D43+D50</f>
        <v>5061.84</v>
      </c>
      <c r="G40" s="64">
        <f>D44+D51</f>
        <v>2433.96</v>
      </c>
      <c r="H40" s="64">
        <f>D40</f>
        <v>4033.152</v>
      </c>
      <c r="I40" s="64">
        <f>D45</f>
        <v>4369.8019999999997</v>
      </c>
      <c r="J40" s="64">
        <f>D46+D49</f>
        <v>8621.5030000000006</v>
      </c>
      <c r="K40" s="64">
        <f>D47+D48</f>
        <v>1463.3510000000001</v>
      </c>
      <c r="L40" s="64">
        <f>D41</f>
        <v>8891.52</v>
      </c>
      <c r="FC40" s="220"/>
      <c r="FD40" s="249">
        <v>2</v>
      </c>
      <c r="FE40" s="250">
        <v>1181282</v>
      </c>
      <c r="FF40" s="250">
        <v>867253</v>
      </c>
      <c r="FG40" s="250">
        <v>571365</v>
      </c>
      <c r="FH40" s="250">
        <v>787632</v>
      </c>
      <c r="FI40" s="250">
        <v>732321</v>
      </c>
      <c r="FJ40" s="250">
        <v>657186</v>
      </c>
      <c r="FK40" s="250">
        <v>1175438</v>
      </c>
      <c r="FL40" s="250">
        <v>909798</v>
      </c>
      <c r="FM40" s="250">
        <v>556200</v>
      </c>
    </row>
    <row r="41" spans="1:193">
      <c r="B41" s="220"/>
      <c r="D41" s="64">
        <v>8891.52</v>
      </c>
      <c r="E41" s="64" t="s">
        <v>131</v>
      </c>
      <c r="CH41" s="178"/>
      <c r="CP41" s="178"/>
      <c r="FC41" s="220"/>
      <c r="FD41" s="249">
        <v>3</v>
      </c>
      <c r="FE41" s="250">
        <v>1181282</v>
      </c>
      <c r="FF41" s="250">
        <v>867552</v>
      </c>
      <c r="FG41" s="250">
        <v>571365</v>
      </c>
      <c r="FH41" s="250">
        <v>788098</v>
      </c>
      <c r="FI41" s="250">
        <v>732476</v>
      </c>
      <c r="FJ41" s="250">
        <v>657381</v>
      </c>
      <c r="FK41" s="250">
        <v>1175438</v>
      </c>
      <c r="FL41" s="250">
        <v>911699</v>
      </c>
      <c r="FM41" s="250">
        <v>556200</v>
      </c>
    </row>
    <row r="42" spans="1:193">
      <c r="D42" s="64">
        <v>817.8</v>
      </c>
      <c r="E42" s="64">
        <v>70100001</v>
      </c>
      <c r="FC42" s="220"/>
      <c r="FD42" s="249">
        <v>4</v>
      </c>
      <c r="FE42" s="250">
        <v>1181282</v>
      </c>
      <c r="FF42" s="250">
        <v>868429</v>
      </c>
      <c r="FG42" s="250">
        <v>571365</v>
      </c>
      <c r="FH42" s="250">
        <v>790340</v>
      </c>
      <c r="FI42" s="250">
        <v>733101</v>
      </c>
      <c r="FJ42" s="250">
        <v>658184</v>
      </c>
      <c r="FK42" s="250">
        <v>1175438</v>
      </c>
      <c r="FL42" s="250">
        <v>911699</v>
      </c>
      <c r="FM42" s="250">
        <v>556200</v>
      </c>
    </row>
    <row r="43" spans="1:193">
      <c r="D43" s="64">
        <v>2398.56</v>
      </c>
      <c r="E43" s="64">
        <v>70100001</v>
      </c>
      <c r="FC43" s="220"/>
      <c r="FD43" s="249">
        <v>5</v>
      </c>
      <c r="FE43" s="250">
        <v>1181282</v>
      </c>
      <c r="FF43" s="250">
        <v>869105</v>
      </c>
      <c r="FG43" s="250">
        <v>573150</v>
      </c>
      <c r="FH43" s="250">
        <v>792265</v>
      </c>
      <c r="FI43" s="250">
        <v>733612</v>
      </c>
      <c r="FJ43" s="250">
        <v>658777</v>
      </c>
      <c r="FK43" s="250">
        <v>1175438</v>
      </c>
      <c r="FL43" s="250">
        <v>912214.9</v>
      </c>
      <c r="FM43" s="250">
        <v>556200</v>
      </c>
    </row>
    <row r="44" spans="1:193">
      <c r="B44" s="220"/>
      <c r="D44" s="64">
        <v>717.96</v>
      </c>
      <c r="E44" s="64">
        <v>70100002</v>
      </c>
      <c r="FC44" s="220"/>
      <c r="FD44" s="249">
        <v>6</v>
      </c>
      <c r="FE44" s="250">
        <v>1181282</v>
      </c>
      <c r="FF44" s="250">
        <v>869953</v>
      </c>
      <c r="FG44" s="250">
        <v>574136</v>
      </c>
      <c r="FH44" s="250">
        <v>793898</v>
      </c>
      <c r="FI44" s="250">
        <v>734241</v>
      </c>
      <c r="FJ44" s="250">
        <v>659545</v>
      </c>
      <c r="FK44" s="250">
        <v>1175438</v>
      </c>
      <c r="FL44" s="250">
        <v>914072.9</v>
      </c>
      <c r="FM44" s="250">
        <v>556200</v>
      </c>
    </row>
    <row r="45" spans="1:193">
      <c r="B45" s="220"/>
      <c r="D45" s="64">
        <v>4369.8019999999997</v>
      </c>
      <c r="E45" s="64">
        <v>74100011</v>
      </c>
      <c r="FC45" s="220"/>
      <c r="FD45" s="249">
        <v>7</v>
      </c>
      <c r="FE45" s="250">
        <v>1181282</v>
      </c>
      <c r="FF45" s="250">
        <v>870671</v>
      </c>
      <c r="FG45" s="250">
        <v>575581</v>
      </c>
      <c r="FH45" s="250">
        <v>795952</v>
      </c>
      <c r="FI45" s="265">
        <v>734865</v>
      </c>
      <c r="FJ45" s="250">
        <v>660306</v>
      </c>
      <c r="FK45" s="250">
        <v>1175438</v>
      </c>
      <c r="FL45" s="250">
        <v>915582.9</v>
      </c>
      <c r="FM45" s="250">
        <v>556200</v>
      </c>
    </row>
    <row r="46" spans="1:193">
      <c r="B46" s="220"/>
      <c r="D46" s="64">
        <v>4227.8819999999996</v>
      </c>
      <c r="E46" s="64">
        <v>74100012</v>
      </c>
      <c r="FC46" s="220"/>
      <c r="FD46" s="249">
        <v>8</v>
      </c>
      <c r="FE46" s="250">
        <v>1181282</v>
      </c>
      <c r="FF46" s="250">
        <v>871363</v>
      </c>
      <c r="FG46" s="250">
        <v>577005</v>
      </c>
      <c r="FH46" s="250">
        <v>797569</v>
      </c>
      <c r="FI46" s="250">
        <v>735474</v>
      </c>
      <c r="FJ46" s="250">
        <v>661061</v>
      </c>
      <c r="FK46" s="250">
        <v>1175438</v>
      </c>
      <c r="FL46" s="250">
        <v>917083.9</v>
      </c>
      <c r="FM46" s="250">
        <v>556200</v>
      </c>
    </row>
    <row r="47" spans="1:193">
      <c r="B47" s="220"/>
      <c r="C47" s="220"/>
      <c r="D47" s="64">
        <v>368.58199999999999</v>
      </c>
      <c r="E47" s="64" t="s">
        <v>133</v>
      </c>
      <c r="FC47" s="220"/>
      <c r="FD47" s="249">
        <v>9</v>
      </c>
      <c r="FE47" s="250">
        <v>1181282</v>
      </c>
      <c r="FF47" s="250">
        <v>871975</v>
      </c>
      <c r="FG47" s="250">
        <v>577727</v>
      </c>
      <c r="FH47" s="250">
        <v>799829</v>
      </c>
      <c r="FI47" s="250">
        <v>735950</v>
      </c>
      <c r="FJ47" s="250">
        <v>661650</v>
      </c>
      <c r="FK47" s="250">
        <v>1175438</v>
      </c>
      <c r="FL47" s="250">
        <v>918285.9</v>
      </c>
      <c r="FM47" s="250">
        <v>556200</v>
      </c>
    </row>
    <row r="48" spans="1:193">
      <c r="B48" s="220"/>
      <c r="D48" s="64">
        <v>1094.769</v>
      </c>
      <c r="E48" s="64" t="s">
        <v>133</v>
      </c>
      <c r="FC48" s="220"/>
      <c r="FD48" s="249">
        <v>10</v>
      </c>
      <c r="FE48" s="250">
        <v>1181282</v>
      </c>
      <c r="FF48" s="220">
        <v>872779</v>
      </c>
      <c r="FG48" s="250">
        <v>579044</v>
      </c>
      <c r="FH48" s="250">
        <v>801477</v>
      </c>
      <c r="FI48" s="250">
        <v>736590</v>
      </c>
      <c r="FJ48" s="250">
        <v>662427</v>
      </c>
      <c r="FK48" s="250">
        <v>1175438</v>
      </c>
      <c r="FL48" s="250">
        <v>918641.9</v>
      </c>
      <c r="FM48" s="250">
        <v>556200</v>
      </c>
    </row>
    <row r="49" spans="2:169">
      <c r="B49" s="220"/>
      <c r="C49" s="220"/>
      <c r="D49" s="64">
        <v>4393.6210000000001</v>
      </c>
      <c r="E49" s="64">
        <v>74100012</v>
      </c>
      <c r="FC49" s="220"/>
      <c r="FD49" s="249">
        <v>11</v>
      </c>
      <c r="FE49" s="250">
        <v>1181282</v>
      </c>
      <c r="FF49" s="250">
        <v>873533</v>
      </c>
      <c r="FG49" s="250">
        <v>580611</v>
      </c>
      <c r="FH49" s="250">
        <v>802505</v>
      </c>
      <c r="FI49" s="250">
        <v>737390</v>
      </c>
      <c r="FJ49" s="250">
        <v>663190</v>
      </c>
      <c r="FK49" s="250">
        <v>1175438</v>
      </c>
      <c r="FL49" s="250">
        <v>920354.9</v>
      </c>
      <c r="FM49" s="250">
        <v>556200</v>
      </c>
    </row>
    <row r="50" spans="2:169">
      <c r="B50" s="220"/>
      <c r="C50" s="220"/>
      <c r="D50" s="64">
        <v>1845.48</v>
      </c>
      <c r="E50" s="64">
        <v>70100001</v>
      </c>
      <c r="FC50" s="220"/>
      <c r="FD50" s="249">
        <v>12</v>
      </c>
      <c r="FE50" s="250">
        <v>1181282</v>
      </c>
      <c r="FF50" s="250">
        <v>874271</v>
      </c>
      <c r="FG50" s="250">
        <v>581987</v>
      </c>
      <c r="FH50" s="250">
        <v>803621</v>
      </c>
      <c r="FI50" s="250">
        <v>738036</v>
      </c>
      <c r="FJ50" s="250">
        <v>663964</v>
      </c>
      <c r="FK50" s="250">
        <v>1175438</v>
      </c>
      <c r="FL50" s="250">
        <v>921502.9</v>
      </c>
      <c r="FM50" s="250">
        <v>556200</v>
      </c>
    </row>
    <row r="51" spans="2:169">
      <c r="B51" s="220"/>
      <c r="C51" s="220"/>
      <c r="D51" s="64">
        <v>1716</v>
      </c>
      <c r="E51" s="64">
        <v>70100002</v>
      </c>
      <c r="FC51" s="220"/>
      <c r="FD51" s="249">
        <v>13</v>
      </c>
      <c r="FE51" s="250">
        <v>1181282</v>
      </c>
      <c r="FF51" s="250">
        <v>874341</v>
      </c>
      <c r="FG51" s="250">
        <v>583973</v>
      </c>
      <c r="FH51" s="250">
        <v>805769</v>
      </c>
      <c r="FI51" s="250">
        <v>738657</v>
      </c>
      <c r="FJ51" s="250">
        <v>664797</v>
      </c>
      <c r="FK51" s="250">
        <v>1175438</v>
      </c>
      <c r="FL51" s="250">
        <v>922088.9</v>
      </c>
      <c r="FM51" s="250">
        <v>556200</v>
      </c>
    </row>
    <row r="52" spans="2:169">
      <c r="B52" s="220"/>
      <c r="C52" s="220"/>
      <c r="FC52" s="220"/>
      <c r="FD52" s="249">
        <v>14</v>
      </c>
      <c r="FE52" s="250">
        <v>1181282</v>
      </c>
      <c r="FF52" s="250">
        <v>874341</v>
      </c>
      <c r="FG52" s="250">
        <v>585961</v>
      </c>
      <c r="FH52" s="250">
        <v>807769</v>
      </c>
      <c r="FI52" s="250">
        <v>739296</v>
      </c>
      <c r="FJ52" s="250">
        <v>665568</v>
      </c>
      <c r="FK52" s="250">
        <v>1175438</v>
      </c>
      <c r="FL52" s="250">
        <v>922787.9</v>
      </c>
      <c r="FM52" s="250">
        <v>556200</v>
      </c>
    </row>
    <row r="53" spans="2:169">
      <c r="C53" s="220"/>
      <c r="FC53" s="220"/>
      <c r="FD53" s="249">
        <v>15</v>
      </c>
      <c r="FE53" s="250">
        <v>1181282</v>
      </c>
      <c r="FF53" s="250">
        <v>874341</v>
      </c>
      <c r="FG53" s="250">
        <v>587302</v>
      </c>
      <c r="FH53" s="250">
        <v>809229</v>
      </c>
      <c r="FI53" s="250">
        <v>739716</v>
      </c>
      <c r="FJ53" s="250">
        <v>666150</v>
      </c>
      <c r="FK53" s="250">
        <v>1175438</v>
      </c>
      <c r="FL53" s="250">
        <v>924770.9</v>
      </c>
      <c r="FM53" s="250">
        <v>556200</v>
      </c>
    </row>
    <row r="54" spans="2:169">
      <c r="B54" s="220"/>
      <c r="C54" s="220"/>
      <c r="FC54" s="220"/>
      <c r="FD54" s="249">
        <v>16</v>
      </c>
      <c r="FE54" s="250">
        <v>1181282</v>
      </c>
      <c r="FF54" s="250">
        <v>874341</v>
      </c>
      <c r="FG54" s="250">
        <v>589110</v>
      </c>
      <c r="FH54" s="250">
        <v>811094</v>
      </c>
      <c r="FI54" s="250">
        <v>740276</v>
      </c>
      <c r="FJ54" s="250">
        <v>666622</v>
      </c>
      <c r="FK54" s="250">
        <v>1175438</v>
      </c>
      <c r="FL54" s="250">
        <v>926156.9</v>
      </c>
      <c r="FM54" s="250">
        <v>556200</v>
      </c>
    </row>
    <row r="55" spans="2:169">
      <c r="B55" s="220"/>
      <c r="C55" s="220"/>
      <c r="FC55" s="220"/>
      <c r="FD55" s="249">
        <v>17</v>
      </c>
      <c r="FE55" s="250">
        <v>1181282</v>
      </c>
      <c r="FF55" s="250">
        <v>874341</v>
      </c>
      <c r="FG55" s="250">
        <v>590824</v>
      </c>
      <c r="FH55" s="250">
        <v>812485</v>
      </c>
      <c r="FI55" s="250">
        <v>740671</v>
      </c>
      <c r="FJ55" s="250">
        <v>667309</v>
      </c>
      <c r="FK55" s="250">
        <v>1175438</v>
      </c>
      <c r="FL55" s="250">
        <v>928024.9</v>
      </c>
      <c r="FM55" s="250">
        <v>556200</v>
      </c>
    </row>
    <row r="56" spans="2:169">
      <c r="B56" s="220"/>
      <c r="C56" s="220"/>
      <c r="FC56" s="220"/>
      <c r="FD56" s="249">
        <v>18</v>
      </c>
      <c r="FE56" s="250">
        <v>1181282</v>
      </c>
      <c r="FF56" s="250">
        <v>874341</v>
      </c>
      <c r="FG56" s="250">
        <v>592770</v>
      </c>
      <c r="FH56" s="250">
        <v>814525</v>
      </c>
      <c r="FI56" s="250">
        <v>740677</v>
      </c>
      <c r="FJ56" s="250">
        <v>668001</v>
      </c>
      <c r="FK56" s="250">
        <v>1175438</v>
      </c>
      <c r="FL56" s="250">
        <v>929832.9</v>
      </c>
      <c r="FM56" s="250">
        <v>556200</v>
      </c>
    </row>
    <row r="57" spans="2:169">
      <c r="B57" s="220"/>
      <c r="C57" s="220"/>
      <c r="FC57" s="220"/>
      <c r="FD57" s="249">
        <v>19</v>
      </c>
      <c r="FE57" s="250">
        <v>1181282</v>
      </c>
      <c r="FF57" s="250">
        <v>874341</v>
      </c>
      <c r="FG57" s="250">
        <v>594584</v>
      </c>
      <c r="FH57" s="250">
        <v>815920</v>
      </c>
      <c r="FI57" s="250">
        <v>740811</v>
      </c>
      <c r="FJ57" s="250">
        <v>668734</v>
      </c>
      <c r="FK57" s="250">
        <v>1175438</v>
      </c>
      <c r="FL57" s="250">
        <v>931934.9</v>
      </c>
      <c r="FM57" s="250">
        <v>556200</v>
      </c>
    </row>
    <row r="58" spans="2:169">
      <c r="C58" s="220"/>
      <c r="FC58" s="220"/>
      <c r="FD58" s="249">
        <v>20</v>
      </c>
      <c r="FE58" s="250">
        <v>1181282</v>
      </c>
      <c r="FF58" s="250">
        <v>874341</v>
      </c>
      <c r="FG58" s="250">
        <v>596594</v>
      </c>
      <c r="FH58" s="250">
        <v>816687</v>
      </c>
      <c r="FI58" s="250">
        <v>741618</v>
      </c>
      <c r="FJ58" s="250">
        <v>669721</v>
      </c>
      <c r="FK58" s="250">
        <v>1175438</v>
      </c>
      <c r="FL58" s="250">
        <v>932517.9</v>
      </c>
      <c r="FM58" s="250">
        <v>556200</v>
      </c>
    </row>
    <row r="59" spans="2:169">
      <c r="FC59" s="220"/>
      <c r="FD59" s="249">
        <v>21</v>
      </c>
      <c r="FE59" s="250">
        <v>1181282</v>
      </c>
      <c r="FF59" s="250">
        <v>874794</v>
      </c>
      <c r="FG59" s="250">
        <v>598600</v>
      </c>
      <c r="FH59" s="250">
        <v>818975</v>
      </c>
      <c r="FI59" s="250">
        <v>742238</v>
      </c>
      <c r="FJ59" s="250">
        <v>670496</v>
      </c>
      <c r="FK59" s="250">
        <v>1175438</v>
      </c>
      <c r="FL59" s="250">
        <v>933125.9</v>
      </c>
      <c r="FM59" s="250">
        <v>556200</v>
      </c>
    </row>
    <row r="60" spans="2:169">
      <c r="FC60" s="220"/>
      <c r="FD60" s="249">
        <v>22</v>
      </c>
      <c r="FE60" s="250">
        <v>1181282</v>
      </c>
      <c r="FF60" s="250">
        <v>875571</v>
      </c>
      <c r="FG60" s="250">
        <v>600589</v>
      </c>
      <c r="FH60" s="250">
        <v>821049</v>
      </c>
      <c r="FI60" s="250">
        <v>742853</v>
      </c>
      <c r="FJ60" s="250">
        <v>671303</v>
      </c>
      <c r="FK60" s="250">
        <v>1175438</v>
      </c>
      <c r="FL60" s="250">
        <v>935509.9</v>
      </c>
      <c r="FM60" s="250">
        <v>556200</v>
      </c>
    </row>
    <row r="61" spans="2:169">
      <c r="FC61" s="220"/>
      <c r="FD61" s="249">
        <v>23</v>
      </c>
      <c r="FE61" s="250">
        <v>1181282</v>
      </c>
      <c r="FF61" s="250">
        <v>876136</v>
      </c>
      <c r="FG61" s="250">
        <v>602393</v>
      </c>
      <c r="FH61" s="250">
        <v>822932</v>
      </c>
      <c r="FI61" s="250">
        <v>743418</v>
      </c>
      <c r="FJ61" s="250">
        <v>672065</v>
      </c>
      <c r="FK61" s="250">
        <v>1175438</v>
      </c>
      <c r="FL61" s="250">
        <v>935551.9</v>
      </c>
      <c r="FM61" s="250">
        <v>556200</v>
      </c>
    </row>
    <row r="62" spans="2:169">
      <c r="FD62" s="249">
        <v>24</v>
      </c>
      <c r="FE62" s="250">
        <v>1181282</v>
      </c>
      <c r="FF62" s="250">
        <v>876136</v>
      </c>
      <c r="FG62" s="250">
        <v>604392</v>
      </c>
      <c r="FH62" s="250">
        <v>825254</v>
      </c>
      <c r="FI62" s="250">
        <v>744137</v>
      </c>
      <c r="FJ62" s="250">
        <v>672988</v>
      </c>
      <c r="FK62" s="250">
        <v>1175438</v>
      </c>
      <c r="FL62" s="250">
        <v>935557.5</v>
      </c>
      <c r="FM62" s="250">
        <v>556200</v>
      </c>
    </row>
    <row r="63" spans="2:169">
      <c r="FD63" s="249">
        <v>25</v>
      </c>
      <c r="FE63" s="250">
        <v>1181282</v>
      </c>
      <c r="FF63" s="250">
        <v>876136</v>
      </c>
      <c r="FG63" s="250">
        <v>606432</v>
      </c>
      <c r="FH63" s="250">
        <v>827637</v>
      </c>
      <c r="FI63" s="250">
        <v>744754</v>
      </c>
      <c r="FJ63" s="250">
        <v>673760</v>
      </c>
      <c r="FK63" s="250">
        <v>1175438</v>
      </c>
      <c r="FL63" s="250">
        <v>936869.5</v>
      </c>
      <c r="FM63" s="250">
        <v>556200</v>
      </c>
    </row>
    <row r="64" spans="2:169">
      <c r="FD64" s="249">
        <v>26</v>
      </c>
      <c r="FE64" s="250">
        <v>1181282</v>
      </c>
      <c r="FF64" s="250">
        <v>876136</v>
      </c>
      <c r="FG64" s="250">
        <v>608431</v>
      </c>
      <c r="FH64" s="250">
        <v>829381</v>
      </c>
      <c r="FI64" s="250">
        <v>745394</v>
      </c>
      <c r="FJ64" s="250">
        <v>674564</v>
      </c>
      <c r="FK64" s="250">
        <v>1175438</v>
      </c>
      <c r="FL64" s="250">
        <v>939231.5</v>
      </c>
      <c r="FM64" s="250">
        <v>556200</v>
      </c>
    </row>
    <row r="65" spans="160:169">
      <c r="FD65" s="249">
        <v>27</v>
      </c>
      <c r="FE65" s="250">
        <v>1181282</v>
      </c>
      <c r="FF65" s="250">
        <v>876950</v>
      </c>
      <c r="FG65" s="250">
        <v>610427</v>
      </c>
      <c r="FH65" s="250">
        <v>831670</v>
      </c>
      <c r="FI65" s="250">
        <v>746029</v>
      </c>
      <c r="FJ65" s="250">
        <v>675332</v>
      </c>
      <c r="FK65" s="250">
        <v>1175438</v>
      </c>
      <c r="FL65" s="250">
        <v>940783.5</v>
      </c>
      <c r="FM65" s="250">
        <v>556200</v>
      </c>
    </row>
    <row r="66" spans="160:169">
      <c r="FD66" s="249">
        <v>28</v>
      </c>
      <c r="FE66" s="250">
        <v>1181282</v>
      </c>
      <c r="FF66" s="250">
        <v>877690</v>
      </c>
      <c r="FG66" s="250">
        <v>612410</v>
      </c>
      <c r="FH66" s="250">
        <v>833733</v>
      </c>
      <c r="FI66" s="250">
        <v>746593</v>
      </c>
      <c r="FJ66" s="220">
        <f>FJ65+758</f>
        <v>676090</v>
      </c>
      <c r="FK66" s="250">
        <v>1175438</v>
      </c>
      <c r="FL66" s="250">
        <v>941896.5</v>
      </c>
      <c r="FM66" s="250">
        <v>556200</v>
      </c>
    </row>
    <row r="67" spans="160:169">
      <c r="FD67" s="249">
        <v>29</v>
      </c>
      <c r="FE67" s="250">
        <v>1181282</v>
      </c>
      <c r="FF67" s="250">
        <v>878392</v>
      </c>
      <c r="FG67" s="250">
        <v>614393</v>
      </c>
      <c r="FH67" s="250">
        <v>835970</v>
      </c>
      <c r="FI67" s="250">
        <v>747193</v>
      </c>
      <c r="FJ67" s="250">
        <f>FJ66+821</f>
        <v>676911</v>
      </c>
      <c r="FK67" s="250">
        <v>1175438</v>
      </c>
      <c r="FL67" s="250">
        <v>943193.5</v>
      </c>
      <c r="FM67" s="250">
        <v>556200</v>
      </c>
    </row>
    <row r="68" spans="160:169">
      <c r="FD68" s="249">
        <v>30</v>
      </c>
      <c r="FE68" s="250">
        <v>1181282</v>
      </c>
      <c r="FF68" s="267">
        <v>879050</v>
      </c>
      <c r="FG68" s="267">
        <v>616238</v>
      </c>
      <c r="FH68" s="267">
        <v>838010</v>
      </c>
      <c r="FI68" s="267">
        <v>747782</v>
      </c>
      <c r="FJ68" s="267">
        <v>677626</v>
      </c>
      <c r="FK68" s="250">
        <v>1175438</v>
      </c>
      <c r="FL68" s="267">
        <v>944288.5</v>
      </c>
      <c r="FM68" s="250">
        <v>556200</v>
      </c>
    </row>
    <row r="69" spans="160:169">
      <c r="FD69" s="249">
        <v>31</v>
      </c>
      <c r="FE69" s="267"/>
      <c r="FF69" s="267"/>
      <c r="FG69" s="267"/>
      <c r="FH69" s="267"/>
      <c r="FI69" s="267"/>
      <c r="FJ69" s="267"/>
      <c r="FK69" s="267"/>
      <c r="FL69" s="267"/>
      <c r="FM69" s="267"/>
    </row>
    <row r="70" spans="160:169">
      <c r="FE70" s="79"/>
      <c r="FF70" s="79"/>
      <c r="FG70" s="79"/>
      <c r="FH70" s="79"/>
      <c r="FI70" s="79"/>
      <c r="FJ70" s="79"/>
      <c r="FK70" s="79"/>
      <c r="FL70" s="79"/>
      <c r="FM70" s="79"/>
    </row>
    <row r="71" spans="160:169">
      <c r="FE71" s="306">
        <v>2362.4</v>
      </c>
      <c r="FF71" s="582" t="s">
        <v>168</v>
      </c>
      <c r="FG71" s="582"/>
    </row>
    <row r="72" spans="160:169">
      <c r="FE72" s="325">
        <v>806.4</v>
      </c>
      <c r="FF72" s="582" t="s">
        <v>151</v>
      </c>
      <c r="FG72" s="582"/>
    </row>
    <row r="73" spans="160:169">
      <c r="FE73" s="306">
        <v>2610.8000000000002</v>
      </c>
      <c r="FF73" s="582" t="s">
        <v>169</v>
      </c>
      <c r="FG73" s="582"/>
    </row>
    <row r="74" spans="160:169">
      <c r="FE74" s="325">
        <f>FE73-FE71</f>
        <v>248.40000000000009</v>
      </c>
      <c r="FF74" s="582" t="s">
        <v>170</v>
      </c>
      <c r="FG74" s="582"/>
    </row>
    <row r="75" spans="160:169">
      <c r="FE75" s="306">
        <v>2846.4</v>
      </c>
      <c r="FF75" s="582" t="s">
        <v>191</v>
      </c>
      <c r="FG75" s="582"/>
    </row>
    <row r="76" spans="160:169">
      <c r="FE76" s="325">
        <f>FE75-FE73</f>
        <v>235.59999999999991</v>
      </c>
      <c r="FF76" s="582" t="s">
        <v>192</v>
      </c>
      <c r="FG76" s="582"/>
    </row>
    <row r="77" spans="160:169">
      <c r="FE77" s="306">
        <v>3036.5</v>
      </c>
      <c r="FF77" s="582" t="s">
        <v>196</v>
      </c>
      <c r="FG77" s="582"/>
    </row>
    <row r="78" spans="160:169">
      <c r="FE78" s="325">
        <f>FE77-FE75</f>
        <v>190.09999999999991</v>
      </c>
      <c r="FF78" s="582" t="s">
        <v>197</v>
      </c>
      <c r="FG78" s="582"/>
    </row>
  </sheetData>
  <sheetProtection formatCells="0" formatColumns="0" formatRows="0" insertColumns="0" insertRows="0" insertHyperlinks="0" deleteColumns="0" deleteRows="0" selectLockedCells="1" sort="0" autoFilter="0" pivotTables="0" selectUnlockedCells="1"/>
  <customSheetViews>
    <customSheetView guid="{CAAAA4EE-AC24-494B-BD01-DBAF6444BECB}" scale="90" showGridLines="0" hiddenColumns="1">
      <pane xSplit="3" ySplit="5" topLeftCell="D21" activePane="bottomRight" state="frozen"/>
      <selection pane="bottomRight" activeCell="P37" sqref="P37"/>
      <pageMargins left="0.7" right="0.7" top="0.75" bottom="0.75" header="0.3" footer="0.3"/>
      <pageSetup orientation="portrait" r:id="rId1"/>
    </customSheetView>
    <customSheetView guid="{34EDC84D-4B3C-44BF-BB1A-7A0DFA8F65E7}" scale="90" showGridLines="0" hiddenColumns="1">
      <pane xSplit="3" ySplit="5" topLeftCell="D21" activePane="bottomRight" state="frozen"/>
      <selection pane="bottomRight" activeCell="P37" sqref="P37"/>
      <pageMargins left="0.7" right="0.7" top="0.75" bottom="0.75" header="0.3" footer="0.3"/>
      <pageSetup orientation="portrait" r:id="rId2"/>
    </customSheetView>
  </customSheetViews>
  <mergeCells count="15">
    <mergeCell ref="FC3:FC4"/>
    <mergeCell ref="CF4:CH4"/>
    <mergeCell ref="CJ4:CL4"/>
    <mergeCell ref="CN4:CP4"/>
    <mergeCell ref="CR4:CT4"/>
    <mergeCell ref="CU4:CW4"/>
    <mergeCell ref="FF76:FG76"/>
    <mergeCell ref="FF77:FG77"/>
    <mergeCell ref="FF78:FG78"/>
    <mergeCell ref="FE37:FM37"/>
    <mergeCell ref="FF71:FG71"/>
    <mergeCell ref="FF72:FG72"/>
    <mergeCell ref="FF73:FG73"/>
    <mergeCell ref="FF74:FG74"/>
    <mergeCell ref="FF75:FG75"/>
  </mergeCells>
  <conditionalFormatting sqref="DR39 DQ38:DQ39">
    <cfRule type="cellIs" dxfId="991" priority="95" stopIfTrue="1" operator="lessThanOrEqual">
      <formula>0.145</formula>
    </cfRule>
    <cfRule type="cellIs" dxfId="990" priority="96" stopIfTrue="1" operator="greaterThan">
      <formula>0.15</formula>
    </cfRule>
  </conditionalFormatting>
  <conditionalFormatting sqref="D6:F7 E10:F21 N15:N36 G15:M21 H10:N14 N6:N9 G6:M8 H9:L9 G9:G14 D10:D15 D23:M36">
    <cfRule type="expression" dxfId="989" priority="94" stopIfTrue="1">
      <formula>OR($B6=TODAY(),$B6=TODAY()-1)</formula>
    </cfRule>
  </conditionalFormatting>
  <conditionalFormatting sqref="G15:G21 G10:G13 G6 I7:M8 H17">
    <cfRule type="expression" dxfId="988" priority="93" stopIfTrue="1">
      <formula>OR($B6=TODAY(),$B6=TODAY()-1)</formula>
    </cfRule>
  </conditionalFormatting>
  <conditionalFormatting sqref="D6:F7">
    <cfRule type="expression" dxfId="987" priority="92" stopIfTrue="1">
      <formula>OR($B6=TODAY(),$B6=TODAY()-1)</formula>
    </cfRule>
  </conditionalFormatting>
  <conditionalFormatting sqref="I7:M8">
    <cfRule type="expression" dxfId="986" priority="91" stopIfTrue="1">
      <formula>OR($B7=TODAY(),$B7=TODAY()-1)</formula>
    </cfRule>
  </conditionalFormatting>
  <conditionalFormatting sqref="I7:M8">
    <cfRule type="expression" dxfId="985" priority="90" stopIfTrue="1">
      <formula>OR($B7=TODAY(),$B7=TODAY()-1)</formula>
    </cfRule>
  </conditionalFormatting>
  <conditionalFormatting sqref="D6:F6">
    <cfRule type="expression" dxfId="984" priority="89" stopIfTrue="1">
      <formula>OR($B6=TODAY(),$B6=TODAY()-1)</formula>
    </cfRule>
  </conditionalFormatting>
  <conditionalFormatting sqref="D6:F7 G6:L21">
    <cfRule type="expression" dxfId="983" priority="88" stopIfTrue="1">
      <formula>OR($B6=TODAY(),$B6=TODAY()-1)</formula>
    </cfRule>
  </conditionalFormatting>
  <conditionalFormatting sqref="G15:G21 G10:G13 G6 I7:M8 H17">
    <cfRule type="expression" dxfId="982" priority="87" stopIfTrue="1">
      <formula>OR($B6=TODAY(),$B6=TODAY()-1)</formula>
    </cfRule>
  </conditionalFormatting>
  <conditionalFormatting sqref="D6:F7 G6:L21">
    <cfRule type="expression" dxfId="981" priority="86" stopIfTrue="1">
      <formula>OR($B6=TODAY(),$B6=TODAY()-1)</formula>
    </cfRule>
  </conditionalFormatting>
  <conditionalFormatting sqref="G15:G21 G10:G13 G6 I7:M8 H17">
    <cfRule type="expression" dxfId="980" priority="85" stopIfTrue="1">
      <formula>OR($B6=TODAY(),$B6=TODAY()-1)</formula>
    </cfRule>
  </conditionalFormatting>
  <conditionalFormatting sqref="D6:F7 G6:L21">
    <cfRule type="expression" dxfId="979" priority="84" stopIfTrue="1">
      <formula>OR($B6=TODAY(),$B6=TODAY()-1)</formula>
    </cfRule>
  </conditionalFormatting>
  <conditionalFormatting sqref="G15:G21 G10:G13 G6 I7:M8 H17">
    <cfRule type="expression" dxfId="978" priority="83" stopIfTrue="1">
      <formula>OR($B6=TODAY(),$B6=TODAY()-1)</formula>
    </cfRule>
  </conditionalFormatting>
  <conditionalFormatting sqref="D6:F7 G6:L21">
    <cfRule type="expression" dxfId="977" priority="82" stopIfTrue="1">
      <formula>OR($B6=TODAY(),$B6=TODAY()-1)</formula>
    </cfRule>
  </conditionalFormatting>
  <conditionalFormatting sqref="G15:G21 G10:G13 G6 I7:M8 H17">
    <cfRule type="expression" dxfId="976" priority="81" stopIfTrue="1">
      <formula>OR($B6=TODAY(),$B6=TODAY()-1)</formula>
    </cfRule>
  </conditionalFormatting>
  <conditionalFormatting sqref="D6:F7 G6:L21">
    <cfRule type="expression" dxfId="975" priority="80" stopIfTrue="1">
      <formula>OR($B6=TODAY(),$B6=TODAY()-1)</formula>
    </cfRule>
  </conditionalFormatting>
  <conditionalFormatting sqref="G15:G21 G10:G13 G6 I7:M8 H17">
    <cfRule type="expression" dxfId="974" priority="79" stopIfTrue="1">
      <formula>OR($B6=TODAY(),$B6=TODAY()-1)</formula>
    </cfRule>
  </conditionalFormatting>
  <conditionalFormatting sqref="D6:F7 G6:L21">
    <cfRule type="expression" dxfId="973" priority="78" stopIfTrue="1">
      <formula>OR($B6=TODAY(),$B6=TODAY()-1)</formula>
    </cfRule>
  </conditionalFormatting>
  <conditionalFormatting sqref="G15:G21 G10:G13 G6 I7:M8 H17">
    <cfRule type="expression" dxfId="972" priority="77" stopIfTrue="1">
      <formula>OR($B6=TODAY(),$B6=TODAY()-1)</formula>
    </cfRule>
  </conditionalFormatting>
  <conditionalFormatting sqref="D6:F7 G6:L21">
    <cfRule type="expression" dxfId="971" priority="76" stopIfTrue="1">
      <formula>OR($B6=TODAY(),$B6=TODAY()-1)</formula>
    </cfRule>
  </conditionalFormatting>
  <conditionalFormatting sqref="D6:F7 G6:L21">
    <cfRule type="expression" dxfId="970" priority="75" stopIfTrue="1">
      <formula>OR($B6=TODAY(),$B6=TODAY()-1)</formula>
    </cfRule>
  </conditionalFormatting>
  <conditionalFormatting sqref="G15:G21 G10:G13 G6 I7:M8 H17">
    <cfRule type="expression" dxfId="969" priority="74" stopIfTrue="1">
      <formula>OR($B6=TODAY(),$B6=TODAY()-1)</formula>
    </cfRule>
  </conditionalFormatting>
  <conditionalFormatting sqref="D6:F7 G6:L21">
    <cfRule type="expression" dxfId="968" priority="73" stopIfTrue="1">
      <formula>OR($B6=TODAY(),$B6=TODAY()-1)</formula>
    </cfRule>
  </conditionalFormatting>
  <conditionalFormatting sqref="G15:G21 G10:G13 G6 I7:M8 H17">
    <cfRule type="expression" dxfId="967" priority="72" stopIfTrue="1">
      <formula>OR($B6=TODAY(),$B6=TODAY()-1)</formula>
    </cfRule>
  </conditionalFormatting>
  <conditionalFormatting sqref="D6:F7">
    <cfRule type="expression" dxfId="966" priority="71" stopIfTrue="1">
      <formula>OR($B6=TODAY(),$B6=TODAY()-1)</formula>
    </cfRule>
  </conditionalFormatting>
  <conditionalFormatting sqref="G15:G21 G10:G13 G6 I7:M8 H17">
    <cfRule type="expression" dxfId="965" priority="70" stopIfTrue="1">
      <formula>OR($B6=TODAY(),$B6=TODAY()-1)</formula>
    </cfRule>
  </conditionalFormatting>
  <conditionalFormatting sqref="D29 D30:F31">
    <cfRule type="expression" dxfId="964" priority="69" stopIfTrue="1">
      <formula>OR($B29=TODAY(),$B29=TODAY()-1)</formula>
    </cfRule>
  </conditionalFormatting>
  <conditionalFormatting sqref="D29 D30:F31">
    <cfRule type="expression" dxfId="963" priority="68" stopIfTrue="1">
      <formula>OR($B29=TODAY(),$B29=TODAY()-1)</formula>
    </cfRule>
  </conditionalFormatting>
  <conditionalFormatting sqref="D29 D30:F31">
    <cfRule type="expression" dxfId="962" priority="67" stopIfTrue="1">
      <formula>OR($B29=TODAY(),$B29=TODAY()-1)</formula>
    </cfRule>
  </conditionalFormatting>
  <conditionalFormatting sqref="D29 D30:F31">
    <cfRule type="expression" dxfId="961" priority="66" stopIfTrue="1">
      <formula>OR($B29=TODAY(),$B29=TODAY()-1)</formula>
    </cfRule>
  </conditionalFormatting>
  <conditionalFormatting sqref="D29 D30:F31">
    <cfRule type="expression" dxfId="960" priority="65" stopIfTrue="1">
      <formula>OR($B29=TODAY(),$B29=TODAY()-1)</formula>
    </cfRule>
  </conditionalFormatting>
  <conditionalFormatting sqref="D29 D30:F31">
    <cfRule type="expression" dxfId="959" priority="64" stopIfTrue="1">
      <formula>OR($B29=TODAY(),$B29=TODAY()-1)</formula>
    </cfRule>
  </conditionalFormatting>
  <conditionalFormatting sqref="D29 D30:F31">
    <cfRule type="expression" dxfId="958" priority="63" stopIfTrue="1">
      <formula>OR($B29=TODAY(),$B29=TODAY()-1)</formula>
    </cfRule>
  </conditionalFormatting>
  <conditionalFormatting sqref="D29 D30:F31">
    <cfRule type="expression" dxfId="957" priority="62" stopIfTrue="1">
      <formula>OR($B29=TODAY(),$B29=TODAY()-1)</formula>
    </cfRule>
  </conditionalFormatting>
  <conditionalFormatting sqref="D29 D30:F31">
    <cfRule type="expression" dxfId="956" priority="61" stopIfTrue="1">
      <formula>OR($B29=TODAY(),$B29=TODAY()-1)</formula>
    </cfRule>
  </conditionalFormatting>
  <conditionalFormatting sqref="D29 D30:F31">
    <cfRule type="expression" dxfId="955" priority="60" stopIfTrue="1">
      <formula>OR($B29=TODAY(),$B29=TODAY()-1)</formula>
    </cfRule>
  </conditionalFormatting>
  <conditionalFormatting sqref="D29 D30:F31">
    <cfRule type="expression" dxfId="954" priority="59" stopIfTrue="1">
      <formula>OR($B29=TODAY(),$B29=TODAY()-1)</formula>
    </cfRule>
  </conditionalFormatting>
  <conditionalFormatting sqref="DP6:DQ37">
    <cfRule type="cellIs" dxfId="953" priority="57" stopIfTrue="1" operator="lessThanOrEqual">
      <formula>$D$2</formula>
    </cfRule>
    <cfRule type="cellIs" dxfId="952" priority="58" stopIfTrue="1" operator="greaterThan">
      <formula>$D$2</formula>
    </cfRule>
  </conditionalFormatting>
  <conditionalFormatting sqref="BZ6:BZ37 DH6:DH37 DJ6:DJ37 CS6:CS37">
    <cfRule type="cellIs" dxfId="951" priority="55" stopIfTrue="1" operator="lessThanOrEqual">
      <formula>#REF!</formula>
    </cfRule>
    <cfRule type="cellIs" dxfId="950" priority="56" stopIfTrue="1" operator="greaterThan">
      <formula>#REF!</formula>
    </cfRule>
  </conditionalFormatting>
  <conditionalFormatting sqref="DL6:DL37">
    <cfRule type="cellIs" dxfId="949" priority="53" stopIfTrue="1" operator="greaterThan">
      <formula>$D$3</formula>
    </cfRule>
    <cfRule type="cellIs" dxfId="948" priority="54" stopIfTrue="1" operator="lessThanOrEqual">
      <formula>$D$3</formula>
    </cfRule>
  </conditionalFormatting>
  <conditionalFormatting sqref="E20:F20">
    <cfRule type="expression" dxfId="947" priority="52" stopIfTrue="1">
      <formula>OR($B20=TODAY(),$B20=TODAY()-1)</formula>
    </cfRule>
  </conditionalFormatting>
  <conditionalFormatting sqref="E20:F20">
    <cfRule type="expression" dxfId="946" priority="51" stopIfTrue="1">
      <formula>OR($B20=TODAY(),$B20=TODAY()-1)</formula>
    </cfRule>
  </conditionalFormatting>
  <conditionalFormatting sqref="E20:F20">
    <cfRule type="expression" dxfId="945" priority="50" stopIfTrue="1">
      <formula>OR($B20=TODAY(),$B20=TODAY()-1)</formula>
    </cfRule>
  </conditionalFormatting>
  <conditionalFormatting sqref="E20:F20">
    <cfRule type="expression" dxfId="944" priority="49" stopIfTrue="1">
      <formula>OR($B20=TODAY(),$B20=TODAY()-1)</formula>
    </cfRule>
  </conditionalFormatting>
  <conditionalFormatting sqref="E20:F20">
    <cfRule type="expression" dxfId="943" priority="48" stopIfTrue="1">
      <formula>OR($B20=TODAY(),$B20=TODAY()-1)</formula>
    </cfRule>
  </conditionalFormatting>
  <conditionalFormatting sqref="E20:F20">
    <cfRule type="expression" dxfId="942" priority="47" stopIfTrue="1">
      <formula>OR($B20=TODAY(),$B20=TODAY()-1)</formula>
    </cfRule>
  </conditionalFormatting>
  <conditionalFormatting sqref="E20:F20">
    <cfRule type="expression" dxfId="941" priority="46" stopIfTrue="1">
      <formula>OR($B20=TODAY(),$B20=TODAY()-1)</formula>
    </cfRule>
  </conditionalFormatting>
  <conditionalFormatting sqref="E20:F20">
    <cfRule type="expression" dxfId="940" priority="45" stopIfTrue="1">
      <formula>OR($B20=TODAY(),$B20=TODAY()-1)</formula>
    </cfRule>
  </conditionalFormatting>
  <conditionalFormatting sqref="E20:F20">
    <cfRule type="expression" dxfId="939" priority="44" stopIfTrue="1">
      <formula>OR($B20=TODAY(),$B20=TODAY()-1)</formula>
    </cfRule>
  </conditionalFormatting>
  <conditionalFormatting sqref="E20:F20">
    <cfRule type="expression" dxfId="938" priority="43" stopIfTrue="1">
      <formula>OR($B20=TODAY(),$B20=TODAY()-1)</formula>
    </cfRule>
  </conditionalFormatting>
  <conditionalFormatting sqref="D34:F34">
    <cfRule type="expression" dxfId="937" priority="42" stopIfTrue="1">
      <formula>OR($B34=TODAY(),$B34=TODAY()-1)</formula>
    </cfRule>
  </conditionalFormatting>
  <conditionalFormatting sqref="D34:F34">
    <cfRule type="expression" dxfId="936" priority="41" stopIfTrue="1">
      <formula>OR($B34=TODAY(),$B34=TODAY()-1)</formula>
    </cfRule>
  </conditionalFormatting>
  <conditionalFormatting sqref="CH6:CH37">
    <cfRule type="cellIs" dxfId="935" priority="39" stopIfTrue="1" operator="lessThanOrEqual">
      <formula>#REF!</formula>
    </cfRule>
    <cfRule type="cellIs" dxfId="934" priority="40" stopIfTrue="1" operator="greaterThan">
      <formula>#REF!</formula>
    </cfRule>
  </conditionalFormatting>
  <conditionalFormatting sqref="CL6:CL37 CP6:CP37 CV6:CV37">
    <cfRule type="cellIs" dxfId="933" priority="37" operator="greaterThan">
      <formula>#REF!</formula>
    </cfRule>
    <cfRule type="cellIs" dxfId="932" priority="38" operator="lessThanOrEqual">
      <formula>#REF!</formula>
    </cfRule>
  </conditionalFormatting>
  <conditionalFormatting sqref="G14">
    <cfRule type="expression" dxfId="931" priority="36" stopIfTrue="1">
      <formula>OR($B15=TODAY(),$B15=TODAY()-1)</formula>
    </cfRule>
  </conditionalFormatting>
  <conditionalFormatting sqref="I16:M18">
    <cfRule type="expression" dxfId="930" priority="35" stopIfTrue="1">
      <formula>OR($B16=TODAY(),$B16=TODAY()-1)</formula>
    </cfRule>
  </conditionalFormatting>
  <conditionalFormatting sqref="I16:M18">
    <cfRule type="expression" dxfId="929" priority="34" stopIfTrue="1">
      <formula>OR($B16=TODAY(),$B16=TODAY()-1)</formula>
    </cfRule>
  </conditionalFormatting>
  <conditionalFormatting sqref="I16:M18">
    <cfRule type="expression" dxfId="928" priority="33" stopIfTrue="1">
      <formula>OR($B16=TODAY(),$B16=TODAY()-1)</formula>
    </cfRule>
  </conditionalFormatting>
  <conditionalFormatting sqref="I16:M18">
    <cfRule type="expression" dxfId="927" priority="32" stopIfTrue="1">
      <formula>OR($B16=TODAY(),$B16=TODAY()-1)</formula>
    </cfRule>
  </conditionalFormatting>
  <conditionalFormatting sqref="D16">
    <cfRule type="expression" dxfId="926" priority="31" stopIfTrue="1">
      <formula>OR($B16=TODAY(),$B16=TODAY()-1)</formula>
    </cfRule>
  </conditionalFormatting>
  <conditionalFormatting sqref="G6:L21">
    <cfRule type="expression" dxfId="925" priority="30" stopIfTrue="1">
      <formula>OR($B6=TODAY(),$B6=TODAY()-1)</formula>
    </cfRule>
  </conditionalFormatting>
  <conditionalFormatting sqref="G6:L21">
    <cfRule type="expression" dxfId="924" priority="29" stopIfTrue="1">
      <formula>OR($B6=TODAY(),$B6=TODAY()-1)</formula>
    </cfRule>
  </conditionalFormatting>
  <conditionalFormatting sqref="G6:L21">
    <cfRule type="expression" dxfId="923" priority="28" stopIfTrue="1">
      <formula>OR($B6=TODAY(),$B6=TODAY()-1)</formula>
    </cfRule>
  </conditionalFormatting>
  <conditionalFormatting sqref="G15">
    <cfRule type="expression" dxfId="922" priority="27" stopIfTrue="1">
      <formula>OR($B16=TODAY(),$B16=TODAY()-1)</formula>
    </cfRule>
  </conditionalFormatting>
  <conditionalFormatting sqref="D6:J6">
    <cfRule type="expression" dxfId="921" priority="26" stopIfTrue="1">
      <formula>OR($B6=TODAY(),$B6=TODAY()-1)</formula>
    </cfRule>
  </conditionalFormatting>
  <conditionalFormatting sqref="G6">
    <cfRule type="expression" dxfId="920" priority="25" stopIfTrue="1">
      <formula>OR($B6=TODAY(),$B6=TODAY()-1)</formula>
    </cfRule>
  </conditionalFormatting>
  <conditionalFormatting sqref="D6:F6">
    <cfRule type="expression" dxfId="919" priority="24" stopIfTrue="1">
      <formula>OR($B6=TODAY(),$B6=TODAY()-1)</formula>
    </cfRule>
  </conditionalFormatting>
  <conditionalFormatting sqref="D6:F6">
    <cfRule type="expression" dxfId="918" priority="23" stopIfTrue="1">
      <formula>OR($B6=TODAY(),$B6=TODAY()-1)</formula>
    </cfRule>
  </conditionalFormatting>
  <conditionalFormatting sqref="D6:J6">
    <cfRule type="expression" dxfId="917" priority="22" stopIfTrue="1">
      <formula>OR($B6=TODAY(),$B6=TODAY()-1)</formula>
    </cfRule>
  </conditionalFormatting>
  <conditionalFormatting sqref="G6">
    <cfRule type="expression" dxfId="916" priority="21" stopIfTrue="1">
      <formula>OR($B6=TODAY(),$B6=TODAY()-1)</formula>
    </cfRule>
  </conditionalFormatting>
  <conditionalFormatting sqref="D6:J6">
    <cfRule type="expression" dxfId="915" priority="20" stopIfTrue="1">
      <formula>OR($B6=TODAY(),$B6=TODAY()-1)</formula>
    </cfRule>
  </conditionalFormatting>
  <conditionalFormatting sqref="G6">
    <cfRule type="expression" dxfId="914" priority="19" stopIfTrue="1">
      <formula>OR($B6=TODAY(),$B6=TODAY()-1)</formula>
    </cfRule>
  </conditionalFormatting>
  <conditionalFormatting sqref="D6:J6">
    <cfRule type="expression" dxfId="913" priority="18" stopIfTrue="1">
      <formula>OR($B6=TODAY(),$B6=TODAY()-1)</formula>
    </cfRule>
  </conditionalFormatting>
  <conditionalFormatting sqref="G6">
    <cfRule type="expression" dxfId="912" priority="17" stopIfTrue="1">
      <formula>OR($B6=TODAY(),$B6=TODAY()-1)</formula>
    </cfRule>
  </conditionalFormatting>
  <conditionalFormatting sqref="D6:J6">
    <cfRule type="expression" dxfId="911" priority="16" stopIfTrue="1">
      <formula>OR($B6=TODAY(),$B6=TODAY()-1)</formula>
    </cfRule>
  </conditionalFormatting>
  <conditionalFormatting sqref="G6">
    <cfRule type="expression" dxfId="910" priority="15" stopIfTrue="1">
      <formula>OR($B6=TODAY(),$B6=TODAY()-1)</formula>
    </cfRule>
  </conditionalFormatting>
  <conditionalFormatting sqref="D6:J6">
    <cfRule type="expression" dxfId="909" priority="14" stopIfTrue="1">
      <formula>OR($B6=TODAY(),$B6=TODAY()-1)</formula>
    </cfRule>
  </conditionalFormatting>
  <conditionalFormatting sqref="G6">
    <cfRule type="expression" dxfId="908" priority="13" stopIfTrue="1">
      <formula>OR($B6=TODAY(),$B6=TODAY()-1)</formula>
    </cfRule>
  </conditionalFormatting>
  <conditionalFormatting sqref="D6:J6">
    <cfRule type="expression" dxfId="907" priority="12" stopIfTrue="1">
      <formula>OR($B6=TODAY(),$B6=TODAY()-1)</formula>
    </cfRule>
  </conditionalFormatting>
  <conditionalFormatting sqref="G6">
    <cfRule type="expression" dxfId="906" priority="11" stopIfTrue="1">
      <formula>OR($B6=TODAY(),$B6=TODAY()-1)</formula>
    </cfRule>
  </conditionalFormatting>
  <conditionalFormatting sqref="D6:J6">
    <cfRule type="expression" dxfId="905" priority="10" stopIfTrue="1">
      <formula>OR($B6=TODAY(),$B6=TODAY()-1)</formula>
    </cfRule>
  </conditionalFormatting>
  <conditionalFormatting sqref="D6:J6">
    <cfRule type="expression" dxfId="904" priority="9" stopIfTrue="1">
      <formula>OR($B6=TODAY(),$B6=TODAY()-1)</formula>
    </cfRule>
  </conditionalFormatting>
  <conditionalFormatting sqref="G6">
    <cfRule type="expression" dxfId="903" priority="8" stopIfTrue="1">
      <formula>OR($B6=TODAY(),$B6=TODAY()-1)</formula>
    </cfRule>
  </conditionalFormatting>
  <conditionalFormatting sqref="D6:J6">
    <cfRule type="expression" dxfId="902" priority="7" stopIfTrue="1">
      <formula>OR($B6=TODAY(),$B6=TODAY()-1)</formula>
    </cfRule>
  </conditionalFormatting>
  <conditionalFormatting sqref="G6">
    <cfRule type="expression" dxfId="901" priority="6" stopIfTrue="1">
      <formula>OR($B6=TODAY(),$B6=TODAY()-1)</formula>
    </cfRule>
  </conditionalFormatting>
  <conditionalFormatting sqref="D6:F6">
    <cfRule type="expression" dxfId="900" priority="5" stopIfTrue="1">
      <formula>OR($B6=TODAY(),$B6=TODAY()-1)</formula>
    </cfRule>
  </conditionalFormatting>
  <conditionalFormatting sqref="G6">
    <cfRule type="expression" dxfId="899" priority="4" stopIfTrue="1">
      <formula>OR($B6=TODAY(),$B6=TODAY()-1)</formula>
    </cfRule>
  </conditionalFormatting>
  <conditionalFormatting sqref="G6:J6">
    <cfRule type="expression" dxfId="898" priority="3" stopIfTrue="1">
      <formula>OR($B6=TODAY(),$B6=TODAY()-1)</formula>
    </cfRule>
  </conditionalFormatting>
  <conditionalFormatting sqref="G6:J6">
    <cfRule type="expression" dxfId="897" priority="2" stopIfTrue="1">
      <formula>OR($B6=TODAY(),$B6=TODAY()-1)</formula>
    </cfRule>
  </conditionalFormatting>
  <conditionalFormatting sqref="G6:J6">
    <cfRule type="expression" dxfId="896" priority="1" stopIfTrue="1">
      <formula>OR($B6=TODAY(),$B6=TODAY()-1)</formula>
    </cfRule>
  </conditionalFormatting>
  <hyperlinks>
    <hyperlink ref="BA5" r:id="rId3" xr:uid="{00000000-0004-0000-1700-000000000000}"/>
  </hyperlinks>
  <pageMargins left="0.7" right="0.7" top="0.75" bottom="0.75" header="0.3" footer="0.3"/>
  <pageSetup orientation="portrait" r:id="rId4"/>
  <drawing r:id="rId5"/>
  <legacy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GL79"/>
  <sheetViews>
    <sheetView showGridLines="0" tabSelected="1" zoomScale="80" zoomScaleNormal="80" workbookViewId="0">
      <pane xSplit="3" ySplit="5" topLeftCell="D6" activePane="bottomRight" state="frozen"/>
      <selection activeCell="FD6" sqref="FD6:FD36"/>
      <selection pane="topRight" activeCell="FD6" sqref="FD6:FD36"/>
      <selection pane="bottomLeft" activeCell="FD6" sqref="FD6:FD36"/>
      <selection pane="bottomRight" activeCell="F4" sqref="F4"/>
    </sheetView>
  </sheetViews>
  <sheetFormatPr defaultRowHeight="15" outlineLevelCol="2"/>
  <cols>
    <col min="1" max="1" width="0.7109375" style="64" customWidth="1"/>
    <col min="2" max="2" width="9.140625" style="64" bestFit="1" customWidth="1"/>
    <col min="3" max="3" width="6.85546875" style="64" bestFit="1" customWidth="1"/>
    <col min="4" max="4" width="13.85546875" style="64" customWidth="1" outlineLevel="1"/>
    <col min="5" max="5" width="12" style="64" customWidth="1" outlineLevel="1"/>
    <col min="6" max="6" width="10" style="64" customWidth="1" outlineLevel="1"/>
    <col min="7" max="7" width="9.85546875" style="64" customWidth="1" outlineLevel="1"/>
    <col min="8" max="8" width="10.42578125" style="64" customWidth="1" outlineLevel="1"/>
    <col min="9" max="9" width="10.7109375" style="64" customWidth="1" outlineLevel="1"/>
    <col min="10" max="11" width="9.28515625" style="64" customWidth="1" outlineLevel="1"/>
    <col min="12" max="12" width="10.5703125" style="64" customWidth="1" outlineLevel="1"/>
    <col min="13" max="13" width="10.85546875" style="64" customWidth="1" outlineLevel="1"/>
    <col min="14" max="14" width="14.28515625" style="64" customWidth="1" outlineLevel="1"/>
    <col min="15" max="15" width="11" style="64" customWidth="1"/>
    <col min="16" max="16" width="11.85546875" style="64" customWidth="1" outlineLevel="1"/>
    <col min="17" max="17" width="1.42578125" style="64" customWidth="1"/>
    <col min="18" max="18" width="12.28515625" style="64" customWidth="1" outlineLevel="2"/>
    <col min="19" max="19" width="12.85546875" style="64" customWidth="1" outlineLevel="2"/>
    <col min="20" max="20" width="12.5703125" style="64" customWidth="1" outlineLevel="2"/>
    <col min="21" max="21" width="14.140625" style="64" customWidth="1" outlineLevel="2"/>
    <col min="22" max="22" width="9.42578125" style="64" customWidth="1" outlineLevel="2"/>
    <col min="23" max="23" width="10.7109375" style="64" customWidth="1" outlineLevel="2"/>
    <col min="24" max="24" width="11.5703125" style="64" customWidth="1" outlineLevel="2"/>
    <col min="25" max="26" width="10.7109375" style="64" customWidth="1" outlineLevel="2"/>
    <col min="27" max="27" width="11" style="64" customWidth="1" outlineLevel="1"/>
    <col min="28" max="29" width="12" style="64" customWidth="1" outlineLevel="2"/>
    <col min="30" max="31" width="10.85546875" style="64" customWidth="1" outlineLevel="1"/>
    <col min="32" max="32" width="12" style="64" customWidth="1" outlineLevel="2"/>
    <col min="33" max="33" width="8.140625" style="64" customWidth="1" outlineLevel="2"/>
    <col min="34" max="34" width="9.5703125" style="64" customWidth="1" outlineLevel="1"/>
    <col min="35" max="35" width="10.85546875" style="64" customWidth="1" outlineLevel="1"/>
    <col min="36" max="36" width="12" style="64" customWidth="1" outlineLevel="2"/>
    <col min="37" max="37" width="8.140625" style="64" customWidth="1" outlineLevel="2"/>
    <col min="38" max="38" width="9.5703125" style="64" customWidth="1" outlineLevel="1"/>
    <col min="39" max="39" width="10.85546875" style="64" customWidth="1" outlineLevel="1"/>
    <col min="40" max="40" width="9.5703125" style="64" customWidth="1" outlineLevel="2"/>
    <col min="41" max="41" width="9.5703125" style="64" customWidth="1" outlineLevel="1"/>
    <col min="42" max="42" width="9.5703125" style="64" customWidth="1" outlineLevel="2"/>
    <col min="43" max="43" width="9.5703125" style="64" customWidth="1" outlineLevel="1"/>
    <col min="44" max="44" width="11.28515625" style="64" customWidth="1" outlineLevel="2"/>
    <col min="45" max="45" width="9.140625" style="64" customWidth="1" outlineLevel="1"/>
    <col min="46" max="46" width="13.5703125" style="64" customWidth="1" outlineLevel="1"/>
    <col min="47" max="47" width="11.28515625" style="64" customWidth="1" outlineLevel="2"/>
    <col min="48" max="48" width="9.5703125" style="64" customWidth="1" outlineLevel="1"/>
    <col min="49" max="49" width="11.28515625" style="64" customWidth="1" outlineLevel="2"/>
    <col min="50" max="51" width="9.5703125" style="64" customWidth="1" outlineLevel="1"/>
    <col min="52" max="52" width="13.85546875" style="64" customWidth="1" outlineLevel="2"/>
    <col min="53" max="53" width="10.28515625" style="64" customWidth="1" outlineLevel="2"/>
    <col min="54" max="54" width="13.85546875" style="64" customWidth="1" outlineLevel="2"/>
    <col min="55" max="55" width="14.85546875" style="64" customWidth="1" outlineLevel="2"/>
    <col min="56" max="56" width="15.28515625" style="64" customWidth="1" outlineLevel="2"/>
    <col min="57" max="58" width="13.7109375" style="64" customWidth="1" outlineLevel="2"/>
    <col min="59" max="60" width="9.5703125" style="64" customWidth="1" outlineLevel="1"/>
    <col min="61" max="61" width="17" style="64" customWidth="1" outlineLevel="1"/>
    <col min="62" max="62" width="19.140625" style="64" customWidth="1" outlineLevel="1"/>
    <col min="63" max="63" width="2.28515625" style="261" customWidth="1"/>
    <col min="64" max="64" width="19.28515625" style="64" customWidth="1"/>
    <col min="65" max="65" width="14.28515625" style="64" customWidth="1"/>
    <col min="66" max="66" width="0.85546875" style="64" customWidth="1"/>
    <col min="67" max="67" width="12.28515625" style="64" customWidth="1" outlineLevel="2"/>
    <col min="68" max="68" width="12.42578125" style="64" customWidth="1" outlineLevel="2"/>
    <col min="69" max="69" width="12.5703125" style="64" customWidth="1" outlineLevel="2"/>
    <col min="70" max="72" width="9.42578125" style="64" customWidth="1" outlineLevel="2"/>
    <col min="73" max="73" width="21.42578125" style="64" customWidth="1" outlineLevel="1"/>
    <col min="74" max="74" width="12.28515625" style="64" customWidth="1" outlineLevel="2"/>
    <col min="75" max="75" width="12.42578125" style="64" customWidth="1" outlineLevel="2"/>
    <col min="76" max="76" width="12.5703125" style="64" customWidth="1" outlineLevel="2"/>
    <col min="77" max="77" width="9.42578125" style="64" customWidth="1" outlineLevel="2"/>
    <col min="78" max="78" width="13.7109375" style="64" customWidth="1" outlineLevel="1"/>
    <col min="79" max="79" width="0.42578125" style="64" customWidth="1" outlineLevel="1"/>
    <col min="80" max="80" width="11.7109375" style="64" customWidth="1" outlineLevel="2"/>
    <col min="81" max="81" width="9.7109375" style="64" customWidth="1" outlineLevel="1"/>
    <col min="82" max="82" width="11.42578125" style="64" customWidth="1" outlineLevel="1"/>
    <col min="83" max="83" width="12.85546875" style="64" customWidth="1" outlineLevel="1"/>
    <col min="84" max="84" width="13.7109375" style="64" customWidth="1" outlineLevel="2"/>
    <col min="85" max="85" width="11" style="64" customWidth="1" outlineLevel="2"/>
    <col min="86" max="86" width="8.7109375" style="64" customWidth="1" outlineLevel="1"/>
    <col min="87" max="87" width="0.140625" style="64" customWidth="1" outlineLevel="1"/>
    <col min="88" max="89" width="11.7109375" style="64" customWidth="1" outlineLevel="2"/>
    <col min="90" max="90" width="10.28515625" style="64" customWidth="1" outlineLevel="1"/>
    <col min="91" max="91" width="0.5703125" style="64" customWidth="1" outlineLevel="1"/>
    <col min="92" max="93" width="11.7109375" style="64" customWidth="1" outlineLevel="2"/>
    <col min="94" max="94" width="8.7109375" style="64" customWidth="1" outlineLevel="1"/>
    <col min="95" max="95" width="0.28515625" style="64" customWidth="1" outlineLevel="1"/>
    <col min="96" max="96" width="14.42578125" style="64" customWidth="1" outlineLevel="2"/>
    <col min="97" max="97" width="6.7109375" style="64" customWidth="1" outlineLevel="1"/>
    <col min="98" max="98" width="0.28515625" style="64" customWidth="1" outlineLevel="1"/>
    <col min="99" max="99" width="11" style="64" customWidth="1" outlineLevel="2"/>
    <col min="100" max="100" width="7.28515625" style="64" customWidth="1" outlineLevel="1"/>
    <col min="101" max="101" width="0.42578125" style="64" customWidth="1" outlineLevel="1"/>
    <col min="102" max="104" width="8.140625" style="64" customWidth="1" outlineLevel="1"/>
    <col min="105" max="105" width="8.42578125" style="64" customWidth="1" outlineLevel="1"/>
    <col min="106" max="106" width="10.42578125" style="64" customWidth="1" outlineLevel="2"/>
    <col min="107" max="107" width="9.7109375" style="64" customWidth="1" outlineLevel="2"/>
    <col min="108" max="108" width="18.28515625" style="64" customWidth="1" outlineLevel="2"/>
    <col min="109" max="109" width="14.85546875" style="64" customWidth="1" outlineLevel="2"/>
    <col min="110" max="110" width="17" style="64" customWidth="1" outlineLevel="2"/>
    <col min="111" max="111" width="14.85546875" style="64" customWidth="1" outlineLevel="2"/>
    <col min="112" max="112" width="11" style="64" customWidth="1" outlineLevel="1"/>
    <col min="113" max="113" width="0.28515625" style="64" customWidth="1" outlineLevel="1"/>
    <col min="114" max="114" width="9.85546875" style="64" customWidth="1" outlineLevel="1"/>
    <col min="115" max="115" width="0.42578125" style="64" customWidth="1" outlineLevel="1"/>
    <col min="116" max="116" width="9.85546875" style="64" customWidth="1" outlineLevel="1"/>
    <col min="117" max="117" width="0.42578125" style="64" customWidth="1" outlineLevel="1"/>
    <col min="118" max="118" width="13.140625" style="64" customWidth="1" outlineLevel="2"/>
    <col min="119" max="119" width="1.7109375" style="261" customWidth="1"/>
    <col min="120" max="120" width="16.42578125" style="64" customWidth="1"/>
    <col min="121" max="121" width="15.140625" style="64" customWidth="1"/>
    <col min="122" max="122" width="3.42578125" style="64" customWidth="1"/>
    <col min="123" max="123" width="8.42578125" style="64" customWidth="1"/>
    <col min="124" max="124" width="9.140625" style="64" customWidth="1"/>
    <col min="125" max="131" width="15.7109375" style="219" customWidth="1" outlineLevel="1"/>
    <col min="132" max="132" width="15.7109375" style="220" customWidth="1" outlineLevel="1"/>
    <col min="133" max="139" width="15.7109375" style="219" customWidth="1" outlineLevel="1"/>
    <col min="140" max="141" width="15.7109375" style="220" customWidth="1" outlineLevel="1"/>
    <col min="142" max="143" width="15.7109375" style="219" customWidth="1" outlineLevel="1"/>
    <col min="144" max="144" width="15.7109375" style="220" customWidth="1" outlineLevel="1"/>
    <col min="145" max="145" width="15.7109375" style="219" customWidth="1" outlineLevel="1"/>
    <col min="146" max="153" width="15.7109375" style="220" customWidth="1" outlineLevel="1"/>
    <col min="154" max="159" width="15.7109375" style="219" customWidth="1" outlineLevel="1"/>
    <col min="160" max="160" width="20.5703125" style="220" customWidth="1"/>
    <col min="161" max="162" width="11.85546875" style="220" customWidth="1" outlineLevel="1"/>
    <col min="163" max="169" width="10.7109375" style="220" customWidth="1" outlineLevel="1"/>
    <col min="170" max="170" width="19.28515625" style="220" bestFit="1" customWidth="1"/>
    <col min="171" max="171" width="20.5703125" style="220" customWidth="1"/>
    <col min="172" max="172" width="77.140625" style="64" customWidth="1"/>
    <col min="173" max="173" width="9.140625" style="9"/>
    <col min="174" max="179" width="9.140625" style="9" hidden="1" customWidth="1"/>
    <col min="180" max="181" width="9.140625" style="9"/>
    <col min="182" max="182" width="12.28515625" style="9" customWidth="1"/>
    <col min="183" max="183" width="12" style="64" customWidth="1"/>
    <col min="184" max="184" width="9.28515625" style="64" bestFit="1" customWidth="1"/>
    <col min="185" max="185" width="9.140625" style="64"/>
    <col min="186" max="187" width="13.5703125" style="64" customWidth="1"/>
    <col min="188" max="188" width="9.7109375" style="64" bestFit="1" customWidth="1"/>
    <col min="189" max="189" width="9.140625" style="64"/>
    <col min="190" max="190" width="10.85546875" style="64" customWidth="1"/>
    <col min="191" max="191" width="15" style="64" customWidth="1"/>
    <col min="192" max="192" width="13.7109375" style="64" customWidth="1"/>
    <col min="193" max="194" width="9.140625" style="10"/>
    <col min="195" max="16384" width="9.140625" style="64"/>
  </cols>
  <sheetData>
    <row r="1" spans="1:194" s="4" customFormat="1">
      <c r="A1" s="1"/>
      <c r="B1" s="2" t="s">
        <v>0</v>
      </c>
      <c r="C1" s="1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AA1" s="5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5"/>
      <c r="AS1" s="5"/>
      <c r="AT1" s="5"/>
      <c r="AU1" s="5"/>
      <c r="AV1" s="6"/>
      <c r="AW1" s="5"/>
      <c r="AX1" s="6"/>
      <c r="AY1" s="6"/>
      <c r="AZ1" s="6"/>
      <c r="BA1" s="6"/>
      <c r="BB1" s="6"/>
      <c r="BD1" s="5"/>
      <c r="BE1" s="5"/>
      <c r="BF1" s="5"/>
      <c r="BG1" s="6"/>
      <c r="BK1" s="7"/>
      <c r="DO1" s="7"/>
      <c r="DU1" s="8"/>
      <c r="DV1" s="8"/>
      <c r="DW1" s="8"/>
      <c r="DX1" s="8"/>
      <c r="DY1" s="8"/>
      <c r="DZ1" s="8"/>
      <c r="EA1" s="8"/>
      <c r="EB1" s="3"/>
      <c r="EC1" s="8"/>
      <c r="ED1" s="8"/>
      <c r="EE1" s="8"/>
      <c r="EF1" s="8"/>
      <c r="EG1" s="8"/>
      <c r="EH1" s="8"/>
      <c r="EI1" s="8"/>
      <c r="EJ1" s="3"/>
      <c r="EK1" s="3"/>
      <c r="EL1" s="8"/>
      <c r="EM1" s="8"/>
      <c r="EN1" s="3"/>
      <c r="EO1" s="8"/>
      <c r="EP1" s="3"/>
      <c r="EQ1" s="3"/>
      <c r="ER1" s="3"/>
      <c r="ES1" s="3"/>
      <c r="ET1" s="3"/>
      <c r="EU1" s="3"/>
      <c r="EV1" s="3"/>
      <c r="EW1" s="3"/>
      <c r="EX1" s="8"/>
      <c r="EY1" s="8"/>
      <c r="EZ1" s="8"/>
      <c r="FA1" s="8"/>
      <c r="FB1" s="8"/>
      <c r="FC1" s="8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Q1" s="9"/>
      <c r="FR1" s="9"/>
      <c r="FS1" s="9"/>
      <c r="FT1" s="9"/>
      <c r="FU1" s="9"/>
      <c r="FV1" s="9"/>
      <c r="FW1" s="9"/>
      <c r="FX1" s="9"/>
      <c r="FY1" s="9"/>
      <c r="FZ1" s="9"/>
      <c r="GK1" s="10"/>
      <c r="GL1" s="10"/>
    </row>
    <row r="2" spans="1:194" s="4" customFormat="1" ht="13.5" customHeight="1">
      <c r="B2" s="11" t="s">
        <v>1</v>
      </c>
      <c r="C2" s="12"/>
      <c r="D2" s="13" t="s">
        <v>2</v>
      </c>
      <c r="E2" s="14"/>
      <c r="F2" s="14"/>
      <c r="G2" s="3"/>
      <c r="H2" s="12"/>
      <c r="I2" s="12"/>
      <c r="J2" s="12"/>
      <c r="K2" s="12"/>
      <c r="L2" s="12"/>
      <c r="M2" s="12"/>
      <c r="N2" s="12"/>
      <c r="R2" s="15"/>
      <c r="S2" s="15"/>
      <c r="T2" s="15"/>
      <c r="U2" s="15"/>
      <c r="V2" s="16"/>
      <c r="W2" s="16"/>
      <c r="X2" s="16"/>
      <c r="Y2" s="16"/>
      <c r="Z2" s="16"/>
      <c r="AA2" s="17"/>
      <c r="AB2" s="17"/>
      <c r="AC2" s="17"/>
      <c r="AD2" s="17"/>
      <c r="AE2" s="17"/>
      <c r="AF2" s="5"/>
      <c r="AG2" s="5"/>
      <c r="AH2" s="5"/>
      <c r="AI2" s="17"/>
      <c r="AJ2" s="5"/>
      <c r="AK2" s="5"/>
      <c r="AL2" s="5"/>
      <c r="AM2" s="17"/>
      <c r="AN2" s="5"/>
      <c r="AO2" s="5"/>
      <c r="AP2" s="5"/>
      <c r="AQ2" s="5"/>
      <c r="AR2" s="17"/>
      <c r="AS2" s="17"/>
      <c r="AT2" s="17"/>
      <c r="AU2" s="17"/>
      <c r="AV2" s="5"/>
      <c r="AW2" s="17"/>
      <c r="AX2" s="5"/>
      <c r="AY2" s="5"/>
      <c r="AZ2" s="5"/>
      <c r="BA2" s="5"/>
      <c r="BB2" s="5"/>
      <c r="BC2" s="6"/>
      <c r="BD2" s="18"/>
      <c r="BE2" s="18"/>
      <c r="BF2" s="18"/>
      <c r="BG2" s="5"/>
      <c r="BH2" s="5"/>
      <c r="BI2" s="19"/>
      <c r="BJ2" s="19"/>
      <c r="BK2" s="20"/>
      <c r="BL2" s="19"/>
      <c r="BM2" s="19"/>
      <c r="BN2" s="19"/>
      <c r="CG2" s="21"/>
      <c r="CK2" s="22"/>
      <c r="CO2" s="22"/>
      <c r="CU2" s="22"/>
      <c r="DO2" s="7"/>
      <c r="DU2" s="8" t="s">
        <v>3</v>
      </c>
      <c r="DV2" s="8"/>
      <c r="DW2" s="8"/>
      <c r="DX2" s="8"/>
      <c r="DY2" s="8"/>
      <c r="DZ2" s="8"/>
      <c r="EA2" s="8"/>
      <c r="EB2" s="3"/>
      <c r="EC2" s="8"/>
      <c r="ED2" s="8"/>
      <c r="EE2" s="8"/>
      <c r="EF2" s="8"/>
      <c r="EG2" s="8"/>
      <c r="EH2" s="8"/>
      <c r="EI2" s="8"/>
      <c r="EJ2" s="9"/>
      <c r="EK2" s="9"/>
      <c r="EL2" s="8"/>
      <c r="EM2" s="8"/>
      <c r="EN2" s="9"/>
      <c r="EO2" s="8"/>
      <c r="EP2" s="9"/>
      <c r="EQ2" s="9"/>
      <c r="ER2" s="9"/>
      <c r="ES2" s="9"/>
      <c r="ET2" s="9"/>
      <c r="EU2" s="9"/>
      <c r="EV2" s="9"/>
      <c r="EW2" s="3"/>
      <c r="EX2" s="8"/>
      <c r="EY2" s="8"/>
      <c r="EZ2" s="8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23"/>
      <c r="FQ2" s="9"/>
      <c r="FR2" s="9"/>
      <c r="GK2" s="10"/>
      <c r="GL2" s="10"/>
    </row>
    <row r="3" spans="1:194" s="4" customFormat="1" ht="30" customHeight="1">
      <c r="D3" s="21"/>
      <c r="E3" s="24"/>
      <c r="F3" s="24"/>
      <c r="G3" s="3"/>
      <c r="H3" s="3"/>
      <c r="I3" s="3"/>
      <c r="J3" s="3"/>
      <c r="K3" s="3"/>
      <c r="L3" s="3"/>
      <c r="M3" s="3"/>
      <c r="N3" s="3"/>
      <c r="P3" s="25"/>
      <c r="R3" s="26"/>
      <c r="S3" s="26"/>
      <c r="T3" s="26"/>
      <c r="U3" s="26"/>
      <c r="V3" s="27"/>
      <c r="W3" s="27"/>
      <c r="X3" s="27"/>
      <c r="Y3" s="27"/>
      <c r="Z3" s="27"/>
      <c r="AA3" s="27"/>
      <c r="AB3" s="27"/>
      <c r="AC3" s="27"/>
      <c r="AD3" s="28"/>
      <c r="AE3" s="28"/>
      <c r="AF3" s="26"/>
      <c r="AG3" s="26"/>
      <c r="AH3" s="28"/>
      <c r="AI3" s="28"/>
      <c r="AJ3" s="26"/>
      <c r="AK3" s="26"/>
      <c r="AL3" s="26"/>
      <c r="AM3" s="28"/>
      <c r="AN3" s="26"/>
      <c r="AO3" s="26"/>
      <c r="AP3" s="26"/>
      <c r="AQ3" s="26"/>
      <c r="AR3" s="27"/>
      <c r="AS3" s="27"/>
      <c r="AT3" s="27"/>
      <c r="AU3" s="27"/>
      <c r="AV3" s="26"/>
      <c r="AW3" s="27"/>
      <c r="AX3" s="26"/>
      <c r="AY3" s="26"/>
      <c r="AZ3" s="26"/>
      <c r="BA3" s="26"/>
      <c r="BB3" s="26"/>
      <c r="BC3" s="29"/>
      <c r="BD3" s="27"/>
      <c r="BE3" s="27"/>
      <c r="BF3" s="27"/>
      <c r="BG3" s="26"/>
      <c r="BH3" s="26"/>
      <c r="BI3" s="30"/>
      <c r="BJ3" s="30"/>
      <c r="BK3" s="31"/>
      <c r="BL3" s="30"/>
      <c r="BM3" s="30"/>
      <c r="BN3" s="30"/>
      <c r="BO3" s="32" t="s">
        <v>4</v>
      </c>
      <c r="DO3" s="7"/>
      <c r="DU3" s="33" t="s">
        <v>5</v>
      </c>
      <c r="DV3" s="34" t="s">
        <v>6</v>
      </c>
      <c r="DW3" s="34" t="s">
        <v>7</v>
      </c>
      <c r="DX3" s="34" t="s">
        <v>8</v>
      </c>
      <c r="DY3" s="34" t="s">
        <v>9</v>
      </c>
      <c r="DZ3" s="34" t="s">
        <v>10</v>
      </c>
      <c r="EA3" s="34" t="s">
        <v>11</v>
      </c>
      <c r="EB3" s="34" t="s">
        <v>12</v>
      </c>
      <c r="EC3" s="34" t="s">
        <v>13</v>
      </c>
      <c r="ED3" s="34" t="s">
        <v>14</v>
      </c>
      <c r="EE3" s="34" t="s">
        <v>15</v>
      </c>
      <c r="EF3" s="34" t="s">
        <v>16</v>
      </c>
      <c r="EG3" s="34" t="s">
        <v>17</v>
      </c>
      <c r="EH3" s="34" t="s">
        <v>18</v>
      </c>
      <c r="EI3" s="34" t="s">
        <v>19</v>
      </c>
      <c r="EJ3" s="34" t="s">
        <v>20</v>
      </c>
      <c r="EK3" s="34" t="s">
        <v>21</v>
      </c>
      <c r="EL3" s="34" t="s">
        <v>22</v>
      </c>
      <c r="EM3" s="34" t="s">
        <v>23</v>
      </c>
      <c r="EN3" s="34" t="s">
        <v>24</v>
      </c>
      <c r="EO3" s="35" t="s">
        <v>25</v>
      </c>
      <c r="EP3" s="35" t="s">
        <v>26</v>
      </c>
      <c r="EQ3" s="34" t="s">
        <v>27</v>
      </c>
      <c r="ER3" s="34" t="s">
        <v>28</v>
      </c>
      <c r="ES3" s="34" t="s">
        <v>29</v>
      </c>
      <c r="ET3" s="34" t="s">
        <v>30</v>
      </c>
      <c r="EU3" s="34" t="s">
        <v>31</v>
      </c>
      <c r="EV3" s="34" t="s">
        <v>32</v>
      </c>
      <c r="EW3" s="34" t="s">
        <v>33</v>
      </c>
      <c r="EX3" s="34" t="s">
        <v>34</v>
      </c>
      <c r="EY3" s="35" t="s">
        <v>35</v>
      </c>
      <c r="EZ3" s="34" t="s">
        <v>36</v>
      </c>
      <c r="FA3" s="35" t="s">
        <v>37</v>
      </c>
      <c r="FB3" s="36" t="s">
        <v>38</v>
      </c>
      <c r="FC3" s="577" t="s">
        <v>39</v>
      </c>
      <c r="FD3" s="37" t="s">
        <v>40</v>
      </c>
      <c r="FE3" s="38" t="s">
        <v>41</v>
      </c>
      <c r="FF3" s="38" t="s">
        <v>42</v>
      </c>
      <c r="FG3" s="38" t="s">
        <v>43</v>
      </c>
      <c r="FH3" s="38" t="s">
        <v>44</v>
      </c>
      <c r="FI3" s="38" t="s">
        <v>45</v>
      </c>
      <c r="FJ3" s="38" t="s">
        <v>46</v>
      </c>
      <c r="FK3" s="38" t="s">
        <v>47</v>
      </c>
      <c r="FL3" s="38" t="s">
        <v>48</v>
      </c>
      <c r="FM3" s="39" t="s">
        <v>49</v>
      </c>
      <c r="FN3" s="38" t="s">
        <v>50</v>
      </c>
      <c r="FO3" s="40" t="s">
        <v>51</v>
      </c>
      <c r="FP3" s="41" t="s">
        <v>52</v>
      </c>
      <c r="FQ3" s="9"/>
      <c r="GK3" s="10"/>
      <c r="GL3" s="10"/>
    </row>
    <row r="4" spans="1:194" s="4" customFormat="1" ht="26.25" customHeight="1">
      <c r="B4" s="33" t="s">
        <v>53</v>
      </c>
      <c r="C4" s="42"/>
      <c r="D4" s="43" t="s">
        <v>54</v>
      </c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2"/>
      <c r="R4" s="45" t="s">
        <v>55</v>
      </c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7"/>
      <c r="BL4" s="48" t="s">
        <v>55</v>
      </c>
      <c r="BM4" s="48"/>
      <c r="BN4" s="47"/>
      <c r="BO4" s="32" t="s">
        <v>56</v>
      </c>
      <c r="BP4" s="32"/>
      <c r="BQ4" s="32"/>
      <c r="BR4" s="32"/>
      <c r="BS4" s="32"/>
      <c r="BT4" s="32"/>
      <c r="BU4" s="32"/>
      <c r="BV4" s="32" t="s">
        <v>57</v>
      </c>
      <c r="BW4" s="32"/>
      <c r="BX4" s="32"/>
      <c r="BY4" s="32"/>
      <c r="BZ4" s="32"/>
      <c r="CA4" s="32"/>
      <c r="CB4" s="32"/>
      <c r="CC4" s="32"/>
      <c r="CD4" s="32"/>
      <c r="CE4" s="32"/>
      <c r="CF4" s="581" t="s">
        <v>56</v>
      </c>
      <c r="CG4" s="581"/>
      <c r="CH4" s="581"/>
      <c r="CI4" s="49"/>
      <c r="CJ4" s="581" t="s">
        <v>56</v>
      </c>
      <c r="CK4" s="581"/>
      <c r="CL4" s="581"/>
      <c r="CM4" s="49"/>
      <c r="CN4" s="581" t="s">
        <v>56</v>
      </c>
      <c r="CO4" s="581"/>
      <c r="CP4" s="581"/>
      <c r="CQ4" s="49"/>
      <c r="CR4" s="581" t="s">
        <v>56</v>
      </c>
      <c r="CS4" s="581"/>
      <c r="CT4" s="581"/>
      <c r="CU4" s="581" t="s">
        <v>56</v>
      </c>
      <c r="CV4" s="581"/>
      <c r="CW4" s="581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50"/>
      <c r="DP4" s="32" t="s">
        <v>58</v>
      </c>
      <c r="DQ4" s="51"/>
      <c r="DR4" s="52"/>
      <c r="DS4" s="53"/>
      <c r="DT4" s="33" t="s">
        <v>53</v>
      </c>
      <c r="DU4" s="34"/>
      <c r="DV4" s="34"/>
      <c r="DW4" s="34"/>
      <c r="DX4" s="34"/>
      <c r="DY4" s="34"/>
      <c r="DZ4" s="34"/>
      <c r="EA4" s="34"/>
      <c r="EB4" s="34"/>
      <c r="EC4" s="34"/>
      <c r="ED4" s="34"/>
      <c r="EE4" s="34"/>
      <c r="EF4" s="34"/>
      <c r="EG4" s="34"/>
      <c r="EH4" s="34"/>
      <c r="EI4" s="34"/>
      <c r="EJ4" s="34"/>
      <c r="EK4" s="34"/>
      <c r="EL4" s="34"/>
      <c r="EM4" s="34"/>
      <c r="EN4" s="34"/>
      <c r="EO4" s="34"/>
      <c r="EP4" s="34"/>
      <c r="EQ4" s="34"/>
      <c r="ER4" s="34"/>
      <c r="ES4" s="34"/>
      <c r="ET4" s="34"/>
      <c r="EU4" s="34"/>
      <c r="EV4" s="34"/>
      <c r="EW4" s="34"/>
      <c r="EX4" s="34"/>
      <c r="EY4" s="34"/>
      <c r="EZ4" s="34"/>
      <c r="FA4" s="34"/>
      <c r="FB4" s="54"/>
      <c r="FC4" s="578"/>
      <c r="FD4" s="55"/>
      <c r="FE4" s="54"/>
      <c r="FF4" s="54"/>
      <c r="FG4" s="54"/>
      <c r="FH4" s="54"/>
      <c r="FI4" s="54"/>
      <c r="FJ4" s="54"/>
      <c r="FK4" s="54"/>
      <c r="FL4" s="54"/>
      <c r="FM4" s="56"/>
      <c r="FN4" s="57"/>
      <c r="FO4" s="58"/>
      <c r="FP4" s="59"/>
      <c r="FZ4" s="60"/>
      <c r="GA4" s="60"/>
      <c r="GB4" s="60"/>
      <c r="GC4" s="60"/>
      <c r="GD4" s="61" t="s">
        <v>59</v>
      </c>
      <c r="GE4" s="61"/>
      <c r="GF4" s="61"/>
      <c r="GG4" s="62"/>
      <c r="GH4" s="34" t="s">
        <v>60</v>
      </c>
      <c r="GI4" s="63" t="s">
        <v>61</v>
      </c>
      <c r="GJ4" s="63"/>
    </row>
    <row r="5" spans="1:194" ht="36" customHeight="1">
      <c r="B5" s="34"/>
      <c r="C5" s="65"/>
      <c r="D5" s="66" t="s">
        <v>62</v>
      </c>
      <c r="E5" s="66" t="s">
        <v>63</v>
      </c>
      <c r="F5" s="66" t="s">
        <v>64</v>
      </c>
      <c r="G5" s="66" t="s">
        <v>65</v>
      </c>
      <c r="H5" s="66" t="s">
        <v>66</v>
      </c>
      <c r="I5" s="66" t="s">
        <v>19</v>
      </c>
      <c r="J5" s="66" t="s">
        <v>20</v>
      </c>
      <c r="K5" s="66" t="s">
        <v>21</v>
      </c>
      <c r="L5" s="67" t="s">
        <v>67</v>
      </c>
      <c r="M5" s="67" t="s">
        <v>68</v>
      </c>
      <c r="N5" s="66" t="s">
        <v>69</v>
      </c>
      <c r="O5" s="66" t="s">
        <v>70</v>
      </c>
      <c r="P5" s="66" t="s">
        <v>71</v>
      </c>
      <c r="Q5" s="65"/>
      <c r="R5" s="66" t="s">
        <v>22</v>
      </c>
      <c r="S5" s="66" t="s">
        <v>72</v>
      </c>
      <c r="T5" s="66" t="s">
        <v>23</v>
      </c>
      <c r="U5" s="68" t="s">
        <v>73</v>
      </c>
      <c r="V5" s="66" t="s">
        <v>74</v>
      </c>
      <c r="W5" s="68" t="s">
        <v>75</v>
      </c>
      <c r="X5" s="66" t="s">
        <v>76</v>
      </c>
      <c r="Y5" s="66" t="s">
        <v>27</v>
      </c>
      <c r="Z5" s="66" t="s">
        <v>28</v>
      </c>
      <c r="AA5" s="67" t="s">
        <v>77</v>
      </c>
      <c r="AB5" s="67" t="s">
        <v>78</v>
      </c>
      <c r="AC5" s="66" t="s">
        <v>6</v>
      </c>
      <c r="AD5" s="67" t="s">
        <v>79</v>
      </c>
      <c r="AE5" s="67" t="s">
        <v>80</v>
      </c>
      <c r="AF5" s="67" t="s">
        <v>8</v>
      </c>
      <c r="AG5" s="66" t="s">
        <v>9</v>
      </c>
      <c r="AH5" s="67" t="s">
        <v>81</v>
      </c>
      <c r="AI5" s="67" t="s">
        <v>82</v>
      </c>
      <c r="AJ5" s="67" t="s">
        <v>11</v>
      </c>
      <c r="AK5" s="66" t="s">
        <v>12</v>
      </c>
      <c r="AL5" s="67" t="s">
        <v>83</v>
      </c>
      <c r="AM5" s="67" t="s">
        <v>84</v>
      </c>
      <c r="AN5" s="66" t="s">
        <v>14</v>
      </c>
      <c r="AO5" s="66" t="s">
        <v>65</v>
      </c>
      <c r="AP5" s="66" t="s">
        <v>17</v>
      </c>
      <c r="AQ5" s="66" t="s">
        <v>66</v>
      </c>
      <c r="AR5" s="67" t="s">
        <v>85</v>
      </c>
      <c r="AS5" s="66" t="s">
        <v>86</v>
      </c>
      <c r="AT5" s="67" t="s">
        <v>87</v>
      </c>
      <c r="AU5" s="67" t="s">
        <v>88</v>
      </c>
      <c r="AV5" s="66">
        <v>561</v>
      </c>
      <c r="AW5" s="67" t="s">
        <v>89</v>
      </c>
      <c r="AX5" s="66">
        <v>562</v>
      </c>
      <c r="AY5" s="66" t="s">
        <v>21</v>
      </c>
      <c r="AZ5" s="66" t="s">
        <v>33</v>
      </c>
      <c r="BA5" s="66" t="s">
        <v>90</v>
      </c>
      <c r="BB5" s="66" t="s">
        <v>34</v>
      </c>
      <c r="BC5" s="67" t="s">
        <v>91</v>
      </c>
      <c r="BD5" s="68" t="s">
        <v>92</v>
      </c>
      <c r="BE5" s="67" t="s">
        <v>93</v>
      </c>
      <c r="BF5" s="67" t="s">
        <v>94</v>
      </c>
      <c r="BG5" s="66" t="s">
        <v>95</v>
      </c>
      <c r="BH5" s="66" t="s">
        <v>96</v>
      </c>
      <c r="BI5" s="66" t="s">
        <v>97</v>
      </c>
      <c r="BJ5" s="66" t="s">
        <v>98</v>
      </c>
      <c r="BK5" s="69"/>
      <c r="BL5" s="66" t="s">
        <v>99</v>
      </c>
      <c r="BM5" s="70" t="s">
        <v>71</v>
      </c>
      <c r="BN5" s="69"/>
      <c r="BO5" s="67" t="s">
        <v>22</v>
      </c>
      <c r="BP5" s="67" t="s">
        <v>100</v>
      </c>
      <c r="BQ5" s="67" t="s">
        <v>23</v>
      </c>
      <c r="BR5" s="67" t="s">
        <v>74</v>
      </c>
      <c r="BS5" s="67" t="s">
        <v>27</v>
      </c>
      <c r="BT5" s="67" t="s">
        <v>28</v>
      </c>
      <c r="BU5" s="67" t="s">
        <v>101</v>
      </c>
      <c r="BV5" s="67" t="s">
        <v>22</v>
      </c>
      <c r="BW5" s="67" t="s">
        <v>100</v>
      </c>
      <c r="BX5" s="67" t="s">
        <v>23</v>
      </c>
      <c r="BY5" s="67" t="s">
        <v>74</v>
      </c>
      <c r="BZ5" s="67" t="s">
        <v>102</v>
      </c>
      <c r="CA5" s="71" t="s">
        <v>1</v>
      </c>
      <c r="CB5" s="66" t="s">
        <v>103</v>
      </c>
      <c r="CC5" s="66" t="s">
        <v>86</v>
      </c>
      <c r="CD5" s="67" t="s">
        <v>104</v>
      </c>
      <c r="CE5" s="67" t="s">
        <v>105</v>
      </c>
      <c r="CF5" s="66" t="s">
        <v>78</v>
      </c>
      <c r="CG5" s="66" t="s">
        <v>6</v>
      </c>
      <c r="CH5" s="67" t="s">
        <v>106</v>
      </c>
      <c r="CI5" s="71" t="s">
        <v>1</v>
      </c>
      <c r="CJ5" s="66" t="s">
        <v>8</v>
      </c>
      <c r="CK5" s="66" t="s">
        <v>9</v>
      </c>
      <c r="CL5" s="67" t="s">
        <v>107</v>
      </c>
      <c r="CM5" s="71" t="s">
        <v>1</v>
      </c>
      <c r="CN5" s="66" t="s">
        <v>11</v>
      </c>
      <c r="CO5" s="66" t="s">
        <v>12</v>
      </c>
      <c r="CP5" s="66" t="s">
        <v>108</v>
      </c>
      <c r="CQ5" s="71" t="s">
        <v>1</v>
      </c>
      <c r="CR5" s="66" t="s">
        <v>109</v>
      </c>
      <c r="CS5" s="66" t="s">
        <v>65</v>
      </c>
      <c r="CT5" s="71" t="s">
        <v>1</v>
      </c>
      <c r="CU5" s="66" t="s">
        <v>17</v>
      </c>
      <c r="CV5" s="66" t="s">
        <v>66</v>
      </c>
      <c r="CW5" s="71" t="s">
        <v>1</v>
      </c>
      <c r="CX5" s="67" t="s">
        <v>110</v>
      </c>
      <c r="CY5" s="66" t="s">
        <v>19</v>
      </c>
      <c r="CZ5" s="67" t="s">
        <v>111</v>
      </c>
      <c r="DA5" s="66" t="s">
        <v>112</v>
      </c>
      <c r="DB5" s="66" t="s">
        <v>33</v>
      </c>
      <c r="DC5" s="66" t="s">
        <v>34</v>
      </c>
      <c r="DD5" s="66" t="s">
        <v>91</v>
      </c>
      <c r="DE5" s="66" t="s">
        <v>92</v>
      </c>
      <c r="DF5" s="66" t="s">
        <v>113</v>
      </c>
      <c r="DG5" s="66" t="s">
        <v>114</v>
      </c>
      <c r="DH5" s="67" t="s">
        <v>115</v>
      </c>
      <c r="DI5" s="71" t="s">
        <v>1</v>
      </c>
      <c r="DJ5" s="66" t="s">
        <v>96</v>
      </c>
      <c r="DK5" s="71" t="s">
        <v>1</v>
      </c>
      <c r="DL5" s="66" t="s">
        <v>97</v>
      </c>
      <c r="DM5" s="71" t="s">
        <v>1</v>
      </c>
      <c r="DN5" s="67" t="s">
        <v>98</v>
      </c>
      <c r="DO5" s="69"/>
      <c r="DP5" s="66" t="s">
        <v>116</v>
      </c>
      <c r="DQ5" s="72" t="s">
        <v>71</v>
      </c>
      <c r="DR5" s="73" t="s">
        <v>1</v>
      </c>
      <c r="DS5" s="74"/>
      <c r="DT5" s="75"/>
      <c r="DU5" s="76">
        <v>617698</v>
      </c>
      <c r="DV5" s="76">
        <v>24518</v>
      </c>
      <c r="DW5" s="76">
        <v>5113489</v>
      </c>
      <c r="DX5" s="76">
        <v>109478</v>
      </c>
      <c r="DY5" s="76">
        <v>82508</v>
      </c>
      <c r="DZ5" s="76">
        <v>378052</v>
      </c>
      <c r="EA5" s="77">
        <v>221273</v>
      </c>
      <c r="EB5" s="77">
        <v>51736</v>
      </c>
      <c r="EC5" s="77">
        <v>388147</v>
      </c>
      <c r="ED5" s="76">
        <v>45663</v>
      </c>
      <c r="EE5" s="77">
        <v>37461</v>
      </c>
      <c r="EF5" s="77">
        <v>39679</v>
      </c>
      <c r="EG5" s="76">
        <v>90104</v>
      </c>
      <c r="EH5" s="76">
        <v>177807</v>
      </c>
      <c r="EI5" s="76">
        <v>30644</v>
      </c>
      <c r="EJ5" s="77">
        <v>38839</v>
      </c>
      <c r="EK5" s="77"/>
      <c r="EL5" s="76">
        <v>687696</v>
      </c>
      <c r="EM5" s="76">
        <v>4059</v>
      </c>
      <c r="EN5" s="77">
        <v>41665</v>
      </c>
      <c r="EO5" s="76">
        <v>2925825</v>
      </c>
      <c r="EP5" s="77">
        <v>2917698</v>
      </c>
      <c r="EQ5" s="77">
        <v>0</v>
      </c>
      <c r="ER5" s="77">
        <v>1610</v>
      </c>
      <c r="ES5" s="77">
        <v>316500</v>
      </c>
      <c r="ET5" s="77">
        <v>5645936</v>
      </c>
      <c r="EU5" s="77">
        <v>398376</v>
      </c>
      <c r="EV5" s="77">
        <v>123140</v>
      </c>
      <c r="EW5" s="77">
        <v>89351</v>
      </c>
      <c r="EX5" s="76">
        <v>202319</v>
      </c>
      <c r="EY5" s="76">
        <v>1599021</v>
      </c>
      <c r="EZ5" s="76">
        <v>736167</v>
      </c>
      <c r="FA5" s="76">
        <v>732958</v>
      </c>
      <c r="FB5" s="77">
        <v>29846</v>
      </c>
      <c r="FC5" s="76">
        <v>6267</v>
      </c>
      <c r="FD5" s="78">
        <v>2337</v>
      </c>
      <c r="FE5" s="77"/>
      <c r="FF5" s="79"/>
      <c r="FG5" s="79"/>
      <c r="FH5" s="77"/>
      <c r="FI5" s="79"/>
      <c r="FJ5" s="77"/>
      <c r="FK5" s="79"/>
      <c r="FL5" s="79"/>
      <c r="FM5" s="79"/>
      <c r="FN5" s="80">
        <v>0</v>
      </c>
      <c r="FO5" s="77">
        <v>992693</v>
      </c>
      <c r="FP5" s="81"/>
      <c r="FQ5" s="64"/>
      <c r="FR5" s="64"/>
      <c r="FS5" s="64"/>
      <c r="FT5" s="64"/>
      <c r="FU5" s="64"/>
      <c r="FV5" s="64"/>
      <c r="FW5" s="64"/>
      <c r="FX5" s="64"/>
      <c r="FY5" s="64"/>
      <c r="FZ5" s="82" t="s">
        <v>117</v>
      </c>
      <c r="GA5" s="82" t="s">
        <v>118</v>
      </c>
      <c r="GB5" s="82" t="s">
        <v>119</v>
      </c>
      <c r="GC5" s="70" t="s">
        <v>120</v>
      </c>
      <c r="GD5" s="70" t="s">
        <v>121</v>
      </c>
      <c r="GE5" s="70" t="s">
        <v>122</v>
      </c>
      <c r="GF5" s="70" t="s">
        <v>74</v>
      </c>
      <c r="GG5" s="70" t="s">
        <v>120</v>
      </c>
      <c r="GH5" s="70" t="s">
        <v>120</v>
      </c>
      <c r="GI5" s="83" t="s">
        <v>123</v>
      </c>
      <c r="GJ5" s="70" t="s">
        <v>124</v>
      </c>
      <c r="GK5" s="64"/>
      <c r="GL5" s="64"/>
    </row>
    <row r="6" spans="1:194" ht="15" customHeight="1">
      <c r="A6" s="4"/>
      <c r="B6" s="573">
        <v>42856</v>
      </c>
      <c r="C6" s="53"/>
      <c r="D6" s="85"/>
      <c r="E6" s="85"/>
      <c r="F6" s="86">
        <v>485.28</v>
      </c>
      <c r="G6" s="86"/>
      <c r="H6" s="86">
        <v>5704.8339999999998</v>
      </c>
      <c r="I6" s="86">
        <v>1441.2819999999999</v>
      </c>
      <c r="J6" s="86">
        <v>2810.6759999999999</v>
      </c>
      <c r="K6" s="86"/>
      <c r="L6" s="86"/>
      <c r="M6" s="87">
        <f>I6+J6</f>
        <v>4251.9579999999996</v>
      </c>
      <c r="N6" s="88">
        <f t="shared" ref="N6:N33" si="0">SUM(D6:H6)</f>
        <v>6190.1139999999996</v>
      </c>
      <c r="O6" s="88">
        <f>N6+L6+((J6+I6)*0.5)</f>
        <v>8316.0929999999989</v>
      </c>
      <c r="P6" s="89">
        <f>O6</f>
        <v>8316.0929999999989</v>
      </c>
      <c r="Q6" s="74"/>
      <c r="R6" s="90">
        <f>IF(EL6=0,"",(EL6-EL5))</f>
        <v>215</v>
      </c>
      <c r="S6" s="90">
        <f>IF(EZ6=0,"",((EZ6-EZ5)/10))</f>
        <v>105.1</v>
      </c>
      <c r="T6" s="90">
        <f t="shared" ref="T6:T36" si="1">IF(EM6=0,"",((EM6/10)))</f>
        <v>543.5</v>
      </c>
      <c r="U6" s="91">
        <f>IF(FB6=0,"",((EN6-EN5)/10))</f>
        <v>4.9000000000000004</v>
      </c>
      <c r="V6" s="90">
        <f>IF(EO6=0,"",(EO6-EO5))</f>
        <v>1567</v>
      </c>
      <c r="W6" s="91">
        <f t="shared" ref="W6:W36" si="2">IF(EP6=0,"",(EP6-EP5)/10)</f>
        <v>166.8</v>
      </c>
      <c r="X6" s="170">
        <f>IF(V6="","",V6)</f>
        <v>1567</v>
      </c>
      <c r="Y6" s="170" t="str">
        <f>IF(EQ6=0,"0",(EQ6/10))</f>
        <v>0</v>
      </c>
      <c r="Z6" s="170">
        <f t="shared" ref="Z6:Z36" si="3">IF(ER6=0,"",(ER6/10))</f>
        <v>130.30000000000001</v>
      </c>
      <c r="AA6" s="170">
        <f>IF(SUM(R6:V6)=0,"",SUM(R6:V6))</f>
        <v>2435.5</v>
      </c>
      <c r="AB6" s="170">
        <f>IF(DU6=0,"",(DU6-DU5))</f>
        <v>0</v>
      </c>
      <c r="AC6" s="170">
        <f>IF(DV6=0,"",(DV6-DV5))</f>
        <v>0</v>
      </c>
      <c r="AD6" s="170">
        <f>(IF(SUM(AB6:AC6)&gt;=(DW6-DW5),(SUM(AB6:AC6)),(DW6-DW5)))</f>
        <v>14</v>
      </c>
      <c r="AE6" s="170">
        <f>IF(AB6="","",(AD6-AC6-AB6))</f>
        <v>14</v>
      </c>
      <c r="AF6" s="170">
        <f>IF(DX6=0,"",(DX6-DX5))</f>
        <v>23</v>
      </c>
      <c r="AG6" s="170">
        <f>IF(DY6=0,"",(DY6-DY5))</f>
        <v>28</v>
      </c>
      <c r="AH6" s="170">
        <f>(IF(SUM(AF6:AG6)&gt;=(DZ6-DZ5),(SUM(AF6:AG6)),(DZ6-DZ5)))</f>
        <v>145</v>
      </c>
      <c r="AI6" s="170">
        <f>IF(AF6="","",(AH6-AG6-AF6))</f>
        <v>94</v>
      </c>
      <c r="AJ6" s="170">
        <f>IF(EA6=0,"",(EA6-EA5))</f>
        <v>110</v>
      </c>
      <c r="AK6" s="170">
        <f>IF(EB6=0,"",(EB6-EB5))</f>
        <v>148</v>
      </c>
      <c r="AL6" s="170">
        <f>(IF(SUM(AJ6:AK6)&gt;=(EC6-EC5),(SUM(AJ6:AK6)),(EC6-EC5)))</f>
        <v>361</v>
      </c>
      <c r="AM6" s="170">
        <f>IF(AJ6="","",(AL6-AK6-AJ6))</f>
        <v>103</v>
      </c>
      <c r="AN6" s="170">
        <f>IF(ED6=0,"",(ED6-ED5))</f>
        <v>0</v>
      </c>
      <c r="AO6" s="170">
        <f t="shared" ref="AO6:AO36" si="4">IF(AN6="","",(EE6-EE5)+(EF6-EF5))</f>
        <v>200</v>
      </c>
      <c r="AP6" s="170">
        <f>IF(EG6=0,"",(EG6-EG5))</f>
        <v>17</v>
      </c>
      <c r="AQ6" s="170">
        <f t="shared" ref="AQ6:AQ36" si="5">IF(AP6=0.1,0,(IF(AP6&gt;=(EH6-EH5),(AP6),(EH6-EH5))))</f>
        <v>29</v>
      </c>
      <c r="AR6" s="170">
        <f>IF(ET6=0,"",(ET6-ET5)/1000)</f>
        <v>30.780999999999999</v>
      </c>
      <c r="AS6" s="170">
        <f>IF(AR6="","",(ES6-ES5)+((ET6-ET5)/1000)-AW6-AU6)</f>
        <v>-119.21899999999999</v>
      </c>
      <c r="AT6" s="170">
        <f>IF(AR6="","",ES6-ES5+((ET6-ET5)/1000))</f>
        <v>469.78100000000001</v>
      </c>
      <c r="AU6" s="170">
        <f>IF(EV6="","",(EV6-EV5))</f>
        <v>242</v>
      </c>
      <c r="AV6" s="170">
        <f>IF(EI6=0,"",(EI6-EI5))</f>
        <v>32</v>
      </c>
      <c r="AW6" s="170">
        <f>IF(EU6="","",(EU6-EU5))</f>
        <v>347</v>
      </c>
      <c r="AX6" s="170">
        <f>IF(EJ6=0,"",(EJ6-EJ5))</f>
        <v>56</v>
      </c>
      <c r="AY6" s="170">
        <v>0</v>
      </c>
      <c r="AZ6" s="170">
        <f>IF(EW6=0,"",EW6-EW5)</f>
        <v>256</v>
      </c>
      <c r="BA6" s="170">
        <v>102</v>
      </c>
      <c r="BB6" s="170">
        <f>IF(EX6=0,"",(EX6-EX5))</f>
        <v>105</v>
      </c>
      <c r="BC6" s="170">
        <f>IF(EY6=0,"",(EY6-EY5))</f>
        <v>928</v>
      </c>
      <c r="BD6" s="91">
        <f>IF(FA6=0,"",(FA6-FA5))</f>
        <v>0</v>
      </c>
      <c r="BE6" s="90"/>
      <c r="BF6" s="90"/>
      <c r="BG6" s="170">
        <f t="shared" ref="BG6:BG29" si="6">IFERROR(SUM(BB6:BC6)+AZ6,"")</f>
        <v>1289</v>
      </c>
      <c r="BH6" s="170">
        <f>BL6-FC6</f>
        <v>223</v>
      </c>
      <c r="BI6" s="170">
        <f>IF(FC6=0,"",(FC6-BJ6))</f>
        <v>1303.7190000000001</v>
      </c>
      <c r="BJ6" s="170">
        <f t="shared" ref="BJ6:BJ33" si="7">IF(BH6=0,"",(AA6+AD6+AO6+BG6+AH6+AL6+AQ6+AT6+AX6+AV6))</f>
        <v>5031.2809999999999</v>
      </c>
      <c r="BK6" s="92"/>
      <c r="BL6" s="331">
        <f>FD6+FN6</f>
        <v>6558</v>
      </c>
      <c r="BM6" s="331">
        <f>BL6</f>
        <v>6558</v>
      </c>
      <c r="BN6" s="92"/>
      <c r="BO6" s="97">
        <f>IF($N6&lt;&gt;0,IF($N6&lt;&gt;0,R6/$N6*10,0)," ")</f>
        <v>0.34732801366824584</v>
      </c>
      <c r="BP6" s="97">
        <f>IF($N6&lt;&gt;0,IF($N6&lt;&gt;0,S6/$N6*10,0)," ")</f>
        <v>0.16978685691410531</v>
      </c>
      <c r="BQ6" s="97">
        <f>IF($N6&lt;&gt;0,IF($N6&lt;&gt;0,T6/$N6*10,0)," ")</f>
        <v>0.87801290897065876</v>
      </c>
      <c r="BR6" s="97">
        <f>IF($N6&lt;&gt;0,IF($N6&lt;&gt;0,(V6)/$N6*10,0)," ")</f>
        <v>2.5314558019448432</v>
      </c>
      <c r="BS6" s="97">
        <f t="shared" ref="BS6:BU21" si="8">IF($N6&lt;&gt;0,IF($N6&lt;&gt;0,Y6/$N6*10,0)," ")</f>
        <v>0</v>
      </c>
      <c r="BT6" s="97">
        <f t="shared" si="8"/>
        <v>0.21049693107429043</v>
      </c>
      <c r="BU6" s="97">
        <f>IF($N6&lt;&gt;0,IF($N6&lt;&gt;0,AA6/$N6*10,0)," ")</f>
        <v>3.9344994292512228</v>
      </c>
      <c r="BV6" s="97">
        <f t="shared" ref="BV6:BX35" si="9">IF($O6&lt;&gt;0,IF($O6&lt;&gt;0,R6/$O6*10,0)," ")</f>
        <v>0.25853486727481284</v>
      </c>
      <c r="BW6" s="97">
        <f t="shared" si="9"/>
        <v>0.12638146302596664</v>
      </c>
      <c r="BX6" s="97">
        <f t="shared" si="9"/>
        <v>0.65355209471563158</v>
      </c>
      <c r="BY6" s="97">
        <f>IF($O6&lt;&gt;0,IF($O6&lt;&gt;0,(V6)/$O6*10,0)," ")</f>
        <v>1.8842983117192174</v>
      </c>
      <c r="BZ6" s="97">
        <f t="shared" ref="BZ6:BZ36" si="10">IF($O6&lt;&gt;0,IF($O6&lt;&gt;0,AA6/$O6*10,0)," ")</f>
        <v>2.9286589267339846</v>
      </c>
      <c r="CA6" s="504" t="e">
        <f>#REF!</f>
        <v>#REF!</v>
      </c>
      <c r="CB6" s="97">
        <f t="shared" ref="CB6:CC36" si="11">IF($O6&lt;&gt;0,IF($O6&lt;&gt;0,AR6/$O6*10,0)," ")</f>
        <v>3.7013775579469832E-2</v>
      </c>
      <c r="CC6" s="97">
        <f>IF($O6&lt;&gt;0,IF($O6&lt;&gt;0,AS6/$O6*10,0)," ")</f>
        <v>-0.14335938763551587</v>
      </c>
      <c r="CD6" s="97">
        <f t="shared" ref="CD6:CE35" si="12">IFERROR(AR6*10/($I6+$J6),"")</f>
        <v>7.2392530688214704E-2</v>
      </c>
      <c r="CE6" s="97">
        <f>IFERROR(AS6*10/($I6+$J6),"")</f>
        <v>-0.28038611858348556</v>
      </c>
      <c r="CF6" s="97" t="str">
        <f>IF($D6&lt;&gt;0,IF($D6&lt;&gt;0,AB6/$D6*10,0),"0,00")</f>
        <v>0,00</v>
      </c>
      <c r="CG6" s="97" t="str">
        <f>IF($D6&lt;&gt;0,IF($D6&lt;&gt;0,AC6/$D6*10,0),"0,00")</f>
        <v>0,00</v>
      </c>
      <c r="CH6" s="97" t="str">
        <f>IF($D6&lt;&gt;0,IF($O6&lt;&gt;0,AD6/$D6*10,0),"0,00 ")</f>
        <v xml:space="preserve">0,00 </v>
      </c>
      <c r="CI6" s="504" t="e">
        <f>#REF!</f>
        <v>#REF!</v>
      </c>
      <c r="CJ6" s="97" t="str">
        <f>IF($E6&lt;&gt;0,IF($E6&lt;&gt;0,AF6/$E6*10,0),"0,00")</f>
        <v>0,00</v>
      </c>
      <c r="CK6" s="97" t="str">
        <f>IF($E6&lt;&gt;0,IF($E6&lt;&gt;0,AG6/$E6*10,0),"0,00")</f>
        <v>0,00</v>
      </c>
      <c r="CL6" s="97" t="str">
        <f>IF($E6&lt;&gt;0,IF($E6&lt;&gt;0,AH6/$E6*10,0),"0,00 ")</f>
        <v xml:space="preserve">0,00 </v>
      </c>
      <c r="CM6" s="97" t="e">
        <f>#REF!</f>
        <v>#REF!</v>
      </c>
      <c r="CN6" s="97">
        <f>IF($F6&lt;&gt;0,IF($F6&lt;&gt;0,AJ6/$F6*10,0),"0,00")</f>
        <v>2.266732607978899</v>
      </c>
      <c r="CO6" s="97">
        <f>IF($F6&lt;&gt;0,IF($F6&lt;&gt;0,AK6/$F6*10,0),"0,00")</f>
        <v>3.0497856907352459</v>
      </c>
      <c r="CP6" s="97">
        <f>IF($F6&lt;&gt;0,IF($F6&lt;&gt;0,AL6/$F6*10,0),"0,00 ")</f>
        <v>7.4390042861852956</v>
      </c>
      <c r="CQ6" s="97" t="e">
        <f>#REF!</f>
        <v>#REF!</v>
      </c>
      <c r="CR6" s="97" t="str">
        <f>IF($G6&lt;&gt;0,IF($G6&lt;&gt;0,AN6/$G6*10,0),"0,00 ")</f>
        <v xml:space="preserve">0,00 </v>
      </c>
      <c r="CS6" s="97" t="str">
        <f>IF($G6&lt;&gt;0,IF($G6&lt;&gt;0,AO6/$G6*10,0),"0,00 ")</f>
        <v xml:space="preserve">0,00 </v>
      </c>
      <c r="CT6" s="504" t="e">
        <f>#REF!</f>
        <v>#REF!</v>
      </c>
      <c r="CU6" s="97">
        <f>IF($H6&lt;&gt;0,IF($H6&lt;&gt;0,AP6/$H6*10,0),"0,00 ")</f>
        <v>2.979928951482199E-2</v>
      </c>
      <c r="CV6" s="97">
        <f>IF($H6&lt;&gt;0,IF($H6&lt;&gt;0,AQ6/$H6*10,0),"0,00 ")</f>
        <v>5.0834082113519877E-2</v>
      </c>
      <c r="CW6" s="504" t="e">
        <f>#REF!</f>
        <v>#REF!</v>
      </c>
      <c r="CX6" s="97">
        <f>IF($O6&lt;&gt;0,IF($O6&lt;&gt;0,AU6/$O6*10,0)," ")</f>
        <v>0.29100203665351032</v>
      </c>
      <c r="CY6" s="97">
        <f>IF($O6&lt;&gt;0,IF($O6&lt;&gt;0,AV6/$O6*10,0)," ")</f>
        <v>3.8479608152530285E-2</v>
      </c>
      <c r="CZ6" s="97">
        <f>IF($O6&lt;&gt;0,IF($O6&lt;&gt;0,AW6/$O6*10,0)," ")</f>
        <v>0.41726325090400029</v>
      </c>
      <c r="DA6" s="97">
        <f>IF($O6&lt;&gt;0,IF($O6&lt;&gt;0,AX6/$O6*10,0)," ")</f>
        <v>6.7339314266928005E-2</v>
      </c>
      <c r="DB6" s="97">
        <f t="shared" ref="DB6:DB36" si="13">IF($O6&lt;&gt;0,IF($O6&lt;&gt;0,AZ6/$O6*10,0)," ")</f>
        <v>0.30783686522024228</v>
      </c>
      <c r="DC6" s="97">
        <f t="shared" ref="DC6:DH35" si="14">IF($O6&lt;&gt;0,IF($O6&lt;&gt;0,BB6/$O6*10,0)," ")</f>
        <v>0.12626121425049</v>
      </c>
      <c r="DD6" s="97">
        <f t="shared" si="14"/>
        <v>1.1159086364233783</v>
      </c>
      <c r="DE6" s="97">
        <f t="shared" si="14"/>
        <v>0</v>
      </c>
      <c r="DF6" s="97">
        <f t="shared" si="14"/>
        <v>0</v>
      </c>
      <c r="DG6" s="97">
        <f t="shared" si="14"/>
        <v>0</v>
      </c>
      <c r="DH6" s="97">
        <f>IF($O6&lt;&gt;0,IF($O6&lt;&gt;0,BG6/$O6*10,0)," ")</f>
        <v>1.5500067158941104</v>
      </c>
      <c r="DI6" s="504" t="e">
        <f>#REF!</f>
        <v>#REF!</v>
      </c>
      <c r="DJ6" s="97">
        <f>IF($O6&lt;&gt;0,IF($O6&lt;&gt;0,BH6/$O6*10,0)," ")</f>
        <v>0.26815476931294541</v>
      </c>
      <c r="DK6" s="504" t="e">
        <f>#REF!</f>
        <v>#REF!</v>
      </c>
      <c r="DL6" s="97">
        <f t="shared" ref="DL6:DL36" si="15">IF($O6&lt;&gt;0,BI6/$O6*10," ")</f>
        <v>1.5677061331565199</v>
      </c>
      <c r="DM6" s="504">
        <f t="shared" ref="DM6:DM37" si="16">$D$3</f>
        <v>0</v>
      </c>
      <c r="DN6" s="97">
        <f t="shared" ref="DN6:DN36" si="17">IF($O6&lt;&gt;0,BJ6/$O6*10,"")</f>
        <v>6.0500537932897105</v>
      </c>
      <c r="DO6" s="100">
        <v>3.4</v>
      </c>
      <c r="DP6" s="97">
        <f t="shared" ref="DP6:DP36" si="18">IF($O6&lt;&gt;0,IF($O6&lt;&gt;0,BL6/$O6*10,0)," ")</f>
        <v>7.8859146957591753</v>
      </c>
      <c r="DQ6" s="97">
        <f>IF($P6&lt;&gt;0,IF($P6&lt;&gt;0,BM6/$P6*10,0)," ")</f>
        <v>7.8859146957591753</v>
      </c>
      <c r="DR6" s="101" t="str">
        <f t="shared" ref="DR6:DR35" si="19">$D$2</f>
        <v>3,315, hL/NhL</v>
      </c>
      <c r="DS6" s="102"/>
      <c r="DT6" s="103">
        <v>1</v>
      </c>
      <c r="DU6" s="120">
        <v>617698</v>
      </c>
      <c r="DV6" s="120">
        <v>24518</v>
      </c>
      <c r="DW6" s="120">
        <v>5113503</v>
      </c>
      <c r="DX6" s="120">
        <v>109501</v>
      </c>
      <c r="DY6" s="120">
        <v>82536</v>
      </c>
      <c r="DZ6" s="120">
        <v>378197</v>
      </c>
      <c r="EA6" s="121">
        <v>221383</v>
      </c>
      <c r="EB6" s="121">
        <v>51884</v>
      </c>
      <c r="EC6" s="121">
        <v>388508</v>
      </c>
      <c r="ED6" s="120">
        <v>45663</v>
      </c>
      <c r="EE6" s="121">
        <v>37461</v>
      </c>
      <c r="EF6" s="121">
        <v>39879</v>
      </c>
      <c r="EG6" s="120">
        <v>90121</v>
      </c>
      <c r="EH6" s="120">
        <v>177836</v>
      </c>
      <c r="EI6" s="120">
        <v>30676</v>
      </c>
      <c r="EJ6" s="121">
        <v>38895</v>
      </c>
      <c r="EK6" s="121"/>
      <c r="EL6" s="120">
        <v>687911</v>
      </c>
      <c r="EM6" s="120">
        <v>5435</v>
      </c>
      <c r="EN6" s="121">
        <v>41714</v>
      </c>
      <c r="EO6" s="120">
        <v>2927392</v>
      </c>
      <c r="EP6" s="121">
        <v>2919366</v>
      </c>
      <c r="EQ6" s="121">
        <v>0</v>
      </c>
      <c r="ER6" s="121">
        <v>1303</v>
      </c>
      <c r="ES6" s="121">
        <v>316939</v>
      </c>
      <c r="ET6" s="121">
        <v>5676717</v>
      </c>
      <c r="EU6" s="121">
        <v>398723</v>
      </c>
      <c r="EV6" s="121">
        <v>123382</v>
      </c>
      <c r="EW6" s="121">
        <v>89607</v>
      </c>
      <c r="EX6" s="120">
        <v>202424</v>
      </c>
      <c r="EY6" s="120">
        <v>1599949</v>
      </c>
      <c r="EZ6" s="120">
        <v>737218</v>
      </c>
      <c r="FA6" s="120">
        <v>732958</v>
      </c>
      <c r="FB6" s="121">
        <v>29954</v>
      </c>
      <c r="FC6" s="120">
        <v>6335</v>
      </c>
      <c r="FD6" s="105">
        <f t="shared" ref="FD6:FD13" si="20">SUM(FE6:FM6)</f>
        <v>6558</v>
      </c>
      <c r="FE6" s="105">
        <f>FE39-FE38</f>
        <v>0</v>
      </c>
      <c r="FF6" s="105">
        <f>FF39-FF38</f>
        <v>697</v>
      </c>
      <c r="FG6" s="105">
        <f>FG39-FG38</f>
        <v>1996</v>
      </c>
      <c r="FH6" s="105">
        <f t="shared" ref="FH6:FM6" si="21">FH39-FH38</f>
        <v>1442</v>
      </c>
      <c r="FI6" s="105">
        <f t="shared" si="21"/>
        <v>566</v>
      </c>
      <c r="FJ6" s="105">
        <f t="shared" si="21"/>
        <v>720</v>
      </c>
      <c r="FK6" s="105">
        <f t="shared" si="21"/>
        <v>0</v>
      </c>
      <c r="FL6" s="105">
        <f t="shared" si="21"/>
        <v>1137</v>
      </c>
      <c r="FM6" s="105">
        <f t="shared" si="21"/>
        <v>0</v>
      </c>
      <c r="FN6" s="105">
        <f>IF(FO6="",0,(FO6-FO5))</f>
        <v>0</v>
      </c>
      <c r="FO6" s="121">
        <v>992693</v>
      </c>
      <c r="FP6" s="106"/>
      <c r="FR6" s="64"/>
      <c r="FS6" s="64"/>
      <c r="FT6" s="64"/>
      <c r="FU6" s="64"/>
      <c r="FV6" s="64"/>
      <c r="FW6" s="64"/>
      <c r="FX6" s="64"/>
      <c r="FY6" s="64">
        <v>1</v>
      </c>
      <c r="FZ6" s="107">
        <v>8054</v>
      </c>
      <c r="GA6" s="107">
        <v>1246</v>
      </c>
      <c r="GB6" s="108">
        <f>GA6/FZ6/0.1</f>
        <v>1.5470573628010924</v>
      </c>
      <c r="GC6" s="109"/>
      <c r="GD6" s="110"/>
      <c r="GE6" s="110"/>
      <c r="GF6" s="111"/>
      <c r="GG6" s="111"/>
      <c r="GH6" s="111"/>
      <c r="GI6" s="112"/>
      <c r="GJ6" s="111">
        <f>(SUM(ER5+ES5)/(GB6+GI6))</f>
        <v>205622.62760834675</v>
      </c>
      <c r="GK6" s="113"/>
    </row>
    <row r="7" spans="1:194" ht="15" customHeight="1">
      <c r="B7" s="573">
        <v>42857</v>
      </c>
      <c r="D7" s="86"/>
      <c r="E7" s="86">
        <v>3912</v>
      </c>
      <c r="F7" s="86">
        <v>1655.9280000000001</v>
      </c>
      <c r="G7" s="86"/>
      <c r="H7" s="86">
        <v>6289.4619999999995</v>
      </c>
      <c r="I7" s="86">
        <v>1998.0229999999999</v>
      </c>
      <c r="J7" s="86">
        <v>4053.6</v>
      </c>
      <c r="K7" s="86"/>
      <c r="L7" s="86">
        <v>613.08000000000004</v>
      </c>
      <c r="M7" s="115">
        <f t="shared" ref="M7:M33" si="22">I7+J7</f>
        <v>6051.6229999999996</v>
      </c>
      <c r="N7" s="88">
        <f t="shared" si="0"/>
        <v>11857.39</v>
      </c>
      <c r="O7" s="88">
        <f>N7+L7+((J7+I7)*0.5)</f>
        <v>15496.281499999999</v>
      </c>
      <c r="P7" s="89">
        <f t="shared" ref="P7:P36" si="23">P6+O7</f>
        <v>23812.374499999998</v>
      </c>
      <c r="R7" s="90">
        <f t="shared" ref="R7:R34" si="24">IF(EL7=0,"",(EL7-EL6))</f>
        <v>18</v>
      </c>
      <c r="S7" s="90">
        <f t="shared" ref="S7:S35" si="25">IF(EZ7=0,"",((EZ7-EZ6)/10))</f>
        <v>57.2</v>
      </c>
      <c r="T7" s="90">
        <f t="shared" si="1"/>
        <v>484.7</v>
      </c>
      <c r="U7" s="91">
        <f>IF(FB7=0,"",((EN7-EN6)/10))</f>
        <v>0</v>
      </c>
      <c r="V7" s="90">
        <f t="shared" ref="V7:V36" si="26">IF(EO7=0,"",(EO7-EO6))</f>
        <v>1326</v>
      </c>
      <c r="W7" s="91">
        <f t="shared" si="2"/>
        <v>-23336.400000000001</v>
      </c>
      <c r="X7" s="170">
        <f t="shared" ref="X7:X36" si="27">IF(V7="","",V7)</f>
        <v>1326</v>
      </c>
      <c r="Y7" s="170" t="str">
        <f t="shared" ref="Y7:Y36" si="28">IF(EQ7=0,"0",(EQ7/10))</f>
        <v>0</v>
      </c>
      <c r="Z7" s="170">
        <f t="shared" si="3"/>
        <v>149.69999999999999</v>
      </c>
      <c r="AA7" s="170">
        <f t="shared" ref="AA7:AA35" si="29">IF(SUM(R7:V7)=0,"",SUM(R7:V7))</f>
        <v>1885.9</v>
      </c>
      <c r="AB7" s="170">
        <f t="shared" ref="AB7:AC36" si="30">IF(DU7=0,"",(DU7-DU6))</f>
        <v>404</v>
      </c>
      <c r="AC7" s="170">
        <f t="shared" si="30"/>
        <v>41</v>
      </c>
      <c r="AD7" s="170">
        <f t="shared" ref="AD7:AD35" si="31">(IF(SUM(AB7:AC7)&gt;=(DW7-DW6),(SUM(AB7:AC7)),(DW7-DW6)))</f>
        <v>445</v>
      </c>
      <c r="AE7" s="170">
        <f t="shared" ref="AE7:AE36" si="32">IF(AB7="","",(AD7-AC7-AB7))</f>
        <v>0</v>
      </c>
      <c r="AF7" s="170">
        <f t="shared" ref="AF7:AG36" si="33">IF(DX7=0,"",(DX7-DX6))</f>
        <v>173</v>
      </c>
      <c r="AG7" s="170">
        <f t="shared" si="33"/>
        <v>14</v>
      </c>
      <c r="AH7" s="170">
        <f t="shared" ref="AH7:AH36" si="34">(IF(SUM(AF7:AG7)&gt;=(DZ7-DZ6),(SUM(AF7:AG7)),(DZ7-DZ6)))</f>
        <v>198</v>
      </c>
      <c r="AI7" s="170">
        <f t="shared" ref="AI7:AI35" si="35">IF(AF7="","",(AH7-AG7-AF7))</f>
        <v>11</v>
      </c>
      <c r="AJ7" s="170">
        <f t="shared" ref="AJ7:AK35" si="36">IF(EA7=0,"",(EA7-EA6))</f>
        <v>189</v>
      </c>
      <c r="AK7" s="170">
        <f t="shared" si="36"/>
        <v>87</v>
      </c>
      <c r="AL7" s="170">
        <f t="shared" ref="AL7:AL36" si="37">(IF(SUM(AJ7:AK7)&gt;=(EC7-EC6),(SUM(AJ7:AK7)),(EC7-EC6)))</f>
        <v>341</v>
      </c>
      <c r="AM7" s="170">
        <f t="shared" ref="AM7:AM36" si="38">IF(AJ7="","",(AL7-AK7-AJ7))</f>
        <v>65</v>
      </c>
      <c r="AN7" s="170">
        <f t="shared" ref="AN7:AN36" si="39">IF(ED7=0,"",(ED7-ED6))</f>
        <v>29</v>
      </c>
      <c r="AO7" s="170">
        <f t="shared" si="4"/>
        <v>0</v>
      </c>
      <c r="AP7" s="170">
        <f t="shared" ref="AP7:AP35" si="40">IF(EG7=0,"",(EG7-EG6))</f>
        <v>20</v>
      </c>
      <c r="AQ7" s="170">
        <f t="shared" si="5"/>
        <v>79</v>
      </c>
      <c r="AR7" s="170">
        <f t="shared" ref="AR7:AR36" si="41">IF(ET7=0,"",(ET7-ET6)/1000)</f>
        <v>76.906999999999996</v>
      </c>
      <c r="AS7" s="170">
        <f t="shared" ref="AS7:AS33" si="42">IF(AR7="","",(ES7-ES6)+((ET7-ET6)/1000)-AW7-AU7)</f>
        <v>264.90700000000004</v>
      </c>
      <c r="AT7" s="170">
        <f t="shared" ref="AT7:AT35" si="43">IF(AR7="","",ES7-ES6+((ET7-ET6)/1000))</f>
        <v>1017.907</v>
      </c>
      <c r="AU7" s="170">
        <f t="shared" ref="AU7:AU36" si="44">IF(EV7="","",(EV7-EV6))</f>
        <v>291</v>
      </c>
      <c r="AV7" s="170">
        <f>IF(EI7=0,"",(EI7-EI6))</f>
        <v>12</v>
      </c>
      <c r="AW7" s="170">
        <f t="shared" ref="AW7:AW36" si="45">IF(EU7="","",(EU7-EU6))</f>
        <v>462</v>
      </c>
      <c r="AX7" s="170">
        <f>IF(EJ7=0,"",(EJ7-EJ6))</f>
        <v>47</v>
      </c>
      <c r="AY7" s="170">
        <v>15.1</v>
      </c>
      <c r="AZ7" s="170">
        <f t="shared" ref="AZ7:AZ36" si="46">IF(EW7=0,"",EW7-EW6)</f>
        <v>287</v>
      </c>
      <c r="BA7" s="170">
        <v>80</v>
      </c>
      <c r="BB7" s="170">
        <f t="shared" ref="BB7:BC36" si="47">IF(EX7=0,"",(EX7-EX6))</f>
        <v>64</v>
      </c>
      <c r="BC7" s="170">
        <f t="shared" si="47"/>
        <v>59</v>
      </c>
      <c r="BD7" s="91">
        <f t="shared" ref="BD7:BD36" si="48">IF(FA7=0,"",(FA7-FA6))</f>
        <v>0</v>
      </c>
      <c r="BE7" s="90"/>
      <c r="BF7" s="90"/>
      <c r="BG7" s="170">
        <f t="shared" si="6"/>
        <v>410</v>
      </c>
      <c r="BH7" s="170">
        <f t="shared" ref="BH7:BH36" si="49">BL7-FC7</f>
        <v>-313</v>
      </c>
      <c r="BI7" s="170">
        <f t="shared" ref="BI7:BI35" si="50">IF(FC7=0,"",(FC7-BJ7))</f>
        <v>2103.1930000000002</v>
      </c>
      <c r="BJ7" s="170">
        <f t="shared" si="7"/>
        <v>4435.8069999999998</v>
      </c>
      <c r="BK7" s="92"/>
      <c r="BL7" s="331">
        <f t="shared" ref="BL7:BL33" si="51">FD7+FN7</f>
        <v>6226</v>
      </c>
      <c r="BM7" s="331">
        <f t="shared" ref="BM7:BM36" si="52">BL7+BM6</f>
        <v>12784</v>
      </c>
      <c r="BN7" s="92"/>
      <c r="BO7" s="97">
        <f t="shared" ref="BO7:BP35" si="53">IF($N7&lt;&gt;0,IF($N7&lt;&gt;0,R7/$N7*10,0)," ")</f>
        <v>1.5180406480684199E-2</v>
      </c>
      <c r="BP7" s="97">
        <f>IF($N7&lt;&gt;0,IF($N7&lt;&gt;0,S7/$N7*10,0)," ")</f>
        <v>4.823995837195201E-2</v>
      </c>
      <c r="BQ7" s="97">
        <f t="shared" ref="BQ7:BQ36" si="54">IF($N7&lt;&gt;0,IF($N7&lt;&gt;0,T7/$N7*10,0)," ")</f>
        <v>0.40877461228820167</v>
      </c>
      <c r="BR7" s="97">
        <f>IF($N7&lt;&gt;0,IF($N7&lt;&gt;0,(V7)/$N7*10,0)," ")</f>
        <v>1.1182899440770693</v>
      </c>
      <c r="BS7" s="97">
        <f t="shared" si="8"/>
        <v>0</v>
      </c>
      <c r="BT7" s="97">
        <f t="shared" si="8"/>
        <v>0.12625038056435692</v>
      </c>
      <c r="BU7" s="97">
        <f t="shared" si="8"/>
        <v>1.5904849212179073</v>
      </c>
      <c r="BV7" s="97">
        <f t="shared" si="9"/>
        <v>1.161568986727558E-2</v>
      </c>
      <c r="BW7" s="97">
        <f t="shared" si="9"/>
        <v>3.6912081133786842E-2</v>
      </c>
      <c r="BX7" s="97">
        <f t="shared" si="9"/>
        <v>0.31278471548158182</v>
      </c>
      <c r="BY7" s="97">
        <f t="shared" ref="BY7:BY36" si="55">IF($O7&lt;&gt;0,IF($O7&lt;&gt;0,(V7)/$O7*10,0)," ")</f>
        <v>0.85568915355596764</v>
      </c>
      <c r="BZ7" s="97">
        <f t="shared" si="10"/>
        <v>1.2170016400386121</v>
      </c>
      <c r="CA7" s="504" t="e">
        <f>#REF!</f>
        <v>#REF!</v>
      </c>
      <c r="CB7" s="97">
        <f t="shared" si="11"/>
        <v>4.9629325590142381E-2</v>
      </c>
      <c r="CC7" s="97">
        <f t="shared" si="11"/>
        <v>0.17094875309279847</v>
      </c>
      <c r="CD7" s="97">
        <f t="shared" si="12"/>
        <v>0.12708491589776824</v>
      </c>
      <c r="CE7" s="97">
        <f>IFERROR(AS7*10/($I7+$J7),"")</f>
        <v>0.43774537838857458</v>
      </c>
      <c r="CF7" s="97" t="str">
        <f t="shared" ref="CF7:CG36" si="56">IF($D7&lt;&gt;0,IF($D7&lt;&gt;0,AB7/$D7*10,0),"0,00")</f>
        <v>0,00</v>
      </c>
      <c r="CG7" s="97" t="str">
        <f t="shared" si="56"/>
        <v>0,00</v>
      </c>
      <c r="CH7" s="97" t="str">
        <f t="shared" ref="CH7:CH36" si="57">IF($D7&lt;&gt;0,IF($O7&lt;&gt;0,AD7/$D7*10,0),"0,00 ")</f>
        <v xml:space="preserve">0,00 </v>
      </c>
      <c r="CI7" s="504" t="e">
        <f>#REF!</f>
        <v>#REF!</v>
      </c>
      <c r="CJ7" s="97">
        <f t="shared" ref="CJ7:CK36" si="58">IF($E7&lt;&gt;0,IF($E7&lt;&gt;0,AF7/$E7*10,0),"0,00")</f>
        <v>0.44222903885480569</v>
      </c>
      <c r="CK7" s="97">
        <f t="shared" si="58"/>
        <v>3.5787321063394682E-2</v>
      </c>
      <c r="CL7" s="97">
        <f>IF($E7&lt;&gt;0,IF($E7&lt;&gt;0,AH7/$E7*10,0),"0,00 ")</f>
        <v>0.50613496932515334</v>
      </c>
      <c r="CM7" s="97" t="e">
        <f>#REF!</f>
        <v>#REF!</v>
      </c>
      <c r="CN7" s="97">
        <f t="shared" ref="CN7:CO36" si="59">IF($F7&lt;&gt;0,IF($F7&lt;&gt;0,AJ7/$F7*10,0),"0,00")</f>
        <v>1.1413539719118222</v>
      </c>
      <c r="CO7" s="97">
        <f t="shared" si="59"/>
        <v>0.52538516167369587</v>
      </c>
      <c r="CP7" s="97">
        <f t="shared" ref="CP7:CP36" si="60">IF($F7&lt;&gt;0,IF($F7&lt;&gt;0,AL7/$F7*10,0),"0,00 ")</f>
        <v>2.059268277364716</v>
      </c>
      <c r="CQ7" s="97" t="e">
        <f>#REF!</f>
        <v>#REF!</v>
      </c>
      <c r="CR7" s="97" t="str">
        <f>IF($G7&lt;&gt;0,IF($G7&lt;&gt;0,AN7/$G7*10,0),"0,00 ")</f>
        <v xml:space="preserve">0,00 </v>
      </c>
      <c r="CS7" s="97" t="str">
        <f>IF($G7&lt;&gt;0,IF($G7&lt;&gt;0,AO7/$G7*10,0),"0,00 ")</f>
        <v xml:space="preserve">0,00 </v>
      </c>
      <c r="CT7" s="504" t="e">
        <f>#REF!</f>
        <v>#REF!</v>
      </c>
      <c r="CU7" s="97">
        <f>IF($H7&lt;&gt;0,IF($H7&lt;&gt;0,AP7/$H7*10,0),"0,00 ")</f>
        <v>3.1799222254622103E-2</v>
      </c>
      <c r="CV7" s="97">
        <f t="shared" ref="CV7:CV36" si="61">IF($H7&lt;&gt;0,IF($H7&lt;&gt;0,AQ7/$H7*10,0),"0,00 ")</f>
        <v>0.12560692790575728</v>
      </c>
      <c r="CW7" s="504" t="e">
        <f>#REF!</f>
        <v>#REF!</v>
      </c>
      <c r="CX7" s="97">
        <f t="shared" ref="CX7:DA37" si="62">IF($O7&lt;&gt;0,IF($O7&lt;&gt;0,AU7/$O7*10,0)," ")</f>
        <v>0.18778698618762188</v>
      </c>
      <c r="CY7" s="97">
        <f t="shared" si="62"/>
        <v>7.7437932448503862E-3</v>
      </c>
      <c r="CZ7" s="97">
        <f t="shared" si="62"/>
        <v>0.29813603992673987</v>
      </c>
      <c r="DA7" s="97">
        <f t="shared" si="62"/>
        <v>3.0329856875664012E-2</v>
      </c>
      <c r="DB7" s="97">
        <f t="shared" si="13"/>
        <v>0.18520572177267172</v>
      </c>
      <c r="DC7" s="97">
        <f t="shared" si="14"/>
        <v>4.130023063920206E-2</v>
      </c>
      <c r="DD7" s="97">
        <f t="shared" si="14"/>
        <v>3.8073650120514398E-2</v>
      </c>
      <c r="DE7" s="97">
        <f t="shared" si="14"/>
        <v>0</v>
      </c>
      <c r="DF7" s="97">
        <f t="shared" si="14"/>
        <v>0</v>
      </c>
      <c r="DG7" s="97">
        <f t="shared" si="14"/>
        <v>0</v>
      </c>
      <c r="DH7" s="97">
        <f t="shared" si="14"/>
        <v>0.26457960253238816</v>
      </c>
      <c r="DI7" s="504" t="e">
        <f>#REF!</f>
        <v>#REF!</v>
      </c>
      <c r="DJ7" s="97">
        <f t="shared" ref="DJ7:DJ36" si="63">IF($O7&lt;&gt;0,IF($O7&lt;&gt;0,BH7/$O7*10,0)," ")</f>
        <v>-0.20198394046984758</v>
      </c>
      <c r="DK7" s="504" t="e">
        <f>#REF!</f>
        <v>#REF!</v>
      </c>
      <c r="DL7" s="97">
        <f t="shared" si="15"/>
        <v>1.3572243121680516</v>
      </c>
      <c r="DM7" s="504">
        <f t="shared" si="16"/>
        <v>0</v>
      </c>
      <c r="DN7" s="97">
        <f t="shared" si="17"/>
        <v>2.8624976901716712</v>
      </c>
      <c r="DO7" s="100">
        <v>3.4</v>
      </c>
      <c r="DP7" s="97">
        <f t="shared" si="18"/>
        <v>4.0177380618698759</v>
      </c>
      <c r="DQ7" s="97">
        <f>IF($P7&lt;&gt;0,IF($P7&lt;&gt;0,BM7/$P7*10,0)," ")</f>
        <v>5.3686372184344746</v>
      </c>
      <c r="DR7" s="101" t="str">
        <f t="shared" si="19"/>
        <v>3,315, hL/NhL</v>
      </c>
      <c r="DS7" s="116"/>
      <c r="DT7" s="103">
        <v>2</v>
      </c>
      <c r="DU7" s="120">
        <v>618102</v>
      </c>
      <c r="DV7" s="120">
        <v>24559</v>
      </c>
      <c r="DW7" s="121">
        <v>5113764</v>
      </c>
      <c r="DX7" s="120">
        <v>109674</v>
      </c>
      <c r="DY7" s="120">
        <v>82550</v>
      </c>
      <c r="DZ7" s="120">
        <v>378395</v>
      </c>
      <c r="EA7" s="120">
        <v>221572</v>
      </c>
      <c r="EB7" s="121">
        <v>51971</v>
      </c>
      <c r="EC7" s="121">
        <v>388849</v>
      </c>
      <c r="ED7" s="121">
        <v>45692</v>
      </c>
      <c r="EE7" s="121">
        <v>37461</v>
      </c>
      <c r="EF7" s="121">
        <v>39879</v>
      </c>
      <c r="EG7" s="120">
        <v>90141</v>
      </c>
      <c r="EH7" s="120">
        <v>177915</v>
      </c>
      <c r="EI7" s="120">
        <v>30688</v>
      </c>
      <c r="EJ7" s="121">
        <v>38942</v>
      </c>
      <c r="EK7" s="121"/>
      <c r="EL7" s="120">
        <v>687929</v>
      </c>
      <c r="EM7" s="120">
        <v>4847</v>
      </c>
      <c r="EN7" s="121">
        <v>41714</v>
      </c>
      <c r="EO7" s="120">
        <v>2928718</v>
      </c>
      <c r="EP7" s="121">
        <v>2686002</v>
      </c>
      <c r="EQ7" s="121">
        <v>0</v>
      </c>
      <c r="ER7" s="121">
        <v>1497</v>
      </c>
      <c r="ES7" s="121">
        <v>317880</v>
      </c>
      <c r="ET7" s="121">
        <v>5753624</v>
      </c>
      <c r="EU7" s="121">
        <v>399185</v>
      </c>
      <c r="EV7" s="121">
        <v>123673</v>
      </c>
      <c r="EW7" s="121">
        <v>89894</v>
      </c>
      <c r="EX7" s="120">
        <v>202488</v>
      </c>
      <c r="EY7" s="117">
        <v>1600008</v>
      </c>
      <c r="EZ7" s="120">
        <v>737790</v>
      </c>
      <c r="FA7" s="120">
        <v>732958</v>
      </c>
      <c r="FB7" s="121">
        <v>30050</v>
      </c>
      <c r="FC7" s="120">
        <v>6539</v>
      </c>
      <c r="FD7" s="105">
        <f t="shared" si="20"/>
        <v>6226</v>
      </c>
      <c r="FE7" s="105">
        <f t="shared" ref="FE7:FM8" si="64">FE40-FE39</f>
        <v>0</v>
      </c>
      <c r="FF7" s="105">
        <f t="shared" si="64"/>
        <v>721</v>
      </c>
      <c r="FG7" s="105">
        <f t="shared" si="64"/>
        <v>1997</v>
      </c>
      <c r="FH7" s="105">
        <f t="shared" si="64"/>
        <v>920</v>
      </c>
      <c r="FI7" s="105">
        <f t="shared" si="64"/>
        <v>525</v>
      </c>
      <c r="FJ7" s="105">
        <f t="shared" si="64"/>
        <v>365</v>
      </c>
      <c r="FK7" s="105">
        <f t="shared" si="64"/>
        <v>0</v>
      </c>
      <c r="FL7" s="105">
        <f t="shared" si="64"/>
        <v>1698</v>
      </c>
      <c r="FM7" s="105">
        <f t="shared" si="64"/>
        <v>0</v>
      </c>
      <c r="FN7" s="105">
        <f>IF(FO7="",0,(FO7-FO6))</f>
        <v>0</v>
      </c>
      <c r="FO7" s="121">
        <v>992693</v>
      </c>
      <c r="FP7" s="106"/>
      <c r="FR7" s="64"/>
      <c r="FS7" s="64"/>
      <c r="FT7" s="64"/>
      <c r="FU7" s="64"/>
      <c r="FV7" s="64"/>
      <c r="FW7" s="64"/>
      <c r="FX7" s="64"/>
      <c r="FY7" s="64">
        <v>2</v>
      </c>
      <c r="FZ7" s="107"/>
      <c r="GA7" s="107">
        <v>83</v>
      </c>
      <c r="GB7" s="108"/>
      <c r="GC7" s="109"/>
      <c r="GD7" s="110"/>
      <c r="GE7" s="110"/>
      <c r="GF7" s="111"/>
      <c r="GG7" s="111"/>
      <c r="GH7" s="111"/>
      <c r="GI7" s="112"/>
      <c r="GJ7" s="111" t="e">
        <f t="shared" ref="GJ7:GJ37" si="65">(SUM(EQ6+ER6)/(GB7+GI7))</f>
        <v>#DIV/0!</v>
      </c>
      <c r="GK7" s="118"/>
    </row>
    <row r="8" spans="1:194" s="119" customFormat="1" ht="15" customHeight="1">
      <c r="B8" s="573">
        <v>42858</v>
      </c>
      <c r="D8" s="86">
        <v>4608</v>
      </c>
      <c r="E8" s="86">
        <v>5463.84</v>
      </c>
      <c r="F8" s="86">
        <v>1560.8879999999999</v>
      </c>
      <c r="G8" s="86"/>
      <c r="H8" s="86">
        <v>6206.0810000000001</v>
      </c>
      <c r="I8" s="86">
        <v>2371.0709999999999</v>
      </c>
      <c r="J8" s="86">
        <v>5703.7199999999993</v>
      </c>
      <c r="K8" s="86"/>
      <c r="L8" s="86">
        <v>613.08000000000004</v>
      </c>
      <c r="M8" s="115">
        <f t="shared" si="22"/>
        <v>8074.7909999999993</v>
      </c>
      <c r="N8" s="88">
        <f t="shared" si="0"/>
        <v>17838.809000000001</v>
      </c>
      <c r="O8" s="88">
        <f t="shared" ref="O8:O33" si="66">N8+L8+((J8+I8)*0.5)</f>
        <v>22489.284500000002</v>
      </c>
      <c r="P8" s="89">
        <f t="shared" si="23"/>
        <v>46301.659</v>
      </c>
      <c r="R8" s="90">
        <f t="shared" si="24"/>
        <v>168</v>
      </c>
      <c r="S8" s="90">
        <f t="shared" si="25"/>
        <v>141.5</v>
      </c>
      <c r="T8" s="90">
        <f t="shared" si="1"/>
        <v>298.3</v>
      </c>
      <c r="U8" s="91">
        <f>IF(FB8=0,"",((EN8-EN7)/10))</f>
        <v>2.2999999999999998</v>
      </c>
      <c r="V8" s="90">
        <f t="shared" si="26"/>
        <v>1380</v>
      </c>
      <c r="W8" s="91">
        <f t="shared" si="2"/>
        <v>319.39999999999998</v>
      </c>
      <c r="X8" s="170">
        <f t="shared" si="27"/>
        <v>1380</v>
      </c>
      <c r="Y8" s="170" t="str">
        <f t="shared" si="28"/>
        <v>0</v>
      </c>
      <c r="Z8" s="170">
        <f t="shared" si="3"/>
        <v>148.9</v>
      </c>
      <c r="AA8" s="170">
        <f t="shared" si="29"/>
        <v>1990.1</v>
      </c>
      <c r="AB8" s="170">
        <f t="shared" si="30"/>
        <v>236</v>
      </c>
      <c r="AC8" s="170">
        <f t="shared" si="30"/>
        <v>29</v>
      </c>
      <c r="AD8" s="170">
        <f t="shared" si="31"/>
        <v>451</v>
      </c>
      <c r="AE8" s="170">
        <f t="shared" si="32"/>
        <v>186</v>
      </c>
      <c r="AF8" s="170">
        <f t="shared" si="33"/>
        <v>194</v>
      </c>
      <c r="AG8" s="170">
        <f t="shared" si="33"/>
        <v>18</v>
      </c>
      <c r="AH8" s="170">
        <f t="shared" si="34"/>
        <v>440</v>
      </c>
      <c r="AI8" s="170">
        <f t="shared" si="35"/>
        <v>228</v>
      </c>
      <c r="AJ8" s="170">
        <f t="shared" si="36"/>
        <v>244</v>
      </c>
      <c r="AK8" s="170">
        <f t="shared" si="36"/>
        <v>11</v>
      </c>
      <c r="AL8" s="170">
        <f t="shared" si="37"/>
        <v>329</v>
      </c>
      <c r="AM8" s="170">
        <f t="shared" si="38"/>
        <v>74</v>
      </c>
      <c r="AN8" s="170">
        <f t="shared" si="39"/>
        <v>44</v>
      </c>
      <c r="AO8" s="170">
        <f t="shared" si="4"/>
        <v>-177</v>
      </c>
      <c r="AP8" s="170">
        <f t="shared" si="40"/>
        <v>14</v>
      </c>
      <c r="AQ8" s="170">
        <f t="shared" si="5"/>
        <v>36</v>
      </c>
      <c r="AR8" s="170">
        <f t="shared" si="41"/>
        <v>92.444999999999993</v>
      </c>
      <c r="AS8" s="170">
        <f t="shared" si="42"/>
        <v>119.44499999999994</v>
      </c>
      <c r="AT8" s="170">
        <f t="shared" si="43"/>
        <v>805.44499999999994</v>
      </c>
      <c r="AU8" s="170">
        <f t="shared" si="44"/>
        <v>250</v>
      </c>
      <c r="AV8" s="170">
        <f t="shared" ref="AV8:AV36" si="67">IF(EI8=0,"",(EI8-EI7))</f>
        <v>39</v>
      </c>
      <c r="AW8" s="170">
        <f t="shared" si="45"/>
        <v>436</v>
      </c>
      <c r="AX8" s="170">
        <f t="shared" ref="AX8:AX36" si="68">IF(EJ8=0,"",(EJ8-EJ7))</f>
        <v>56</v>
      </c>
      <c r="AY8" s="170">
        <v>8.6</v>
      </c>
      <c r="AZ8" s="170">
        <f t="shared" si="46"/>
        <v>344</v>
      </c>
      <c r="BA8" s="170">
        <v>45</v>
      </c>
      <c r="BB8" s="170">
        <f t="shared" si="47"/>
        <v>123</v>
      </c>
      <c r="BC8" s="170">
        <f t="shared" si="47"/>
        <v>439</v>
      </c>
      <c r="BD8" s="91">
        <f t="shared" si="48"/>
        <v>1141</v>
      </c>
      <c r="BE8" s="90"/>
      <c r="BF8" s="90"/>
      <c r="BG8" s="170">
        <f t="shared" si="6"/>
        <v>906</v>
      </c>
      <c r="BH8" s="170">
        <f t="shared" si="49"/>
        <v>256</v>
      </c>
      <c r="BI8" s="170">
        <f t="shared" si="50"/>
        <v>1826.4549999999999</v>
      </c>
      <c r="BJ8" s="170">
        <f t="shared" si="7"/>
        <v>4875.5450000000001</v>
      </c>
      <c r="BK8" s="92"/>
      <c r="BL8" s="331">
        <f t="shared" si="51"/>
        <v>6958</v>
      </c>
      <c r="BM8" s="331">
        <f t="shared" si="52"/>
        <v>19742</v>
      </c>
      <c r="BN8" s="92" t="s">
        <v>125</v>
      </c>
      <c r="BO8" s="97">
        <f t="shared" si="53"/>
        <v>9.4176690831770216E-2</v>
      </c>
      <c r="BP8" s="97">
        <f t="shared" si="53"/>
        <v>7.9321439004139793E-2</v>
      </c>
      <c r="BQ8" s="97">
        <f t="shared" si="54"/>
        <v>0.16721968378045865</v>
      </c>
      <c r="BR8" s="97">
        <f t="shared" ref="BR8:BR36" si="69">IF($N8&lt;&gt;0,IF($N8&lt;&gt;0,(V8)/$N8*10,0)," ")</f>
        <v>0.77359424611811234</v>
      </c>
      <c r="BS8" s="97">
        <f t="shared" si="8"/>
        <v>0</v>
      </c>
      <c r="BT8" s="97">
        <f t="shared" si="8"/>
        <v>8.3469698005063014E-2</v>
      </c>
      <c r="BU8" s="97">
        <f t="shared" si="8"/>
        <v>1.1156013834780112</v>
      </c>
      <c r="BV8" s="97">
        <f t="shared" si="9"/>
        <v>7.4702243194975801E-2</v>
      </c>
      <c r="BW8" s="97">
        <f t="shared" si="9"/>
        <v>6.2918853643387354E-2</v>
      </c>
      <c r="BX8" s="97">
        <f t="shared" si="9"/>
        <v>0.13264094729203144</v>
      </c>
      <c r="BY8" s="97">
        <f t="shared" si="55"/>
        <v>0.61362556910158694</v>
      </c>
      <c r="BZ8" s="97">
        <f t="shared" si="10"/>
        <v>0.88491032251381763</v>
      </c>
      <c r="CA8" s="504" t="e">
        <f>#REF!</f>
        <v>#REF!</v>
      </c>
      <c r="CB8" s="97">
        <f t="shared" si="11"/>
        <v>4.1106243286663915E-2</v>
      </c>
      <c r="CC8" s="97">
        <f t="shared" si="11"/>
        <v>5.3111960942999289E-2</v>
      </c>
      <c r="CD8" s="97">
        <f t="shared" si="12"/>
        <v>0.11448593530160719</v>
      </c>
      <c r="CE8" s="97">
        <f t="shared" si="12"/>
        <v>0.14792333324788215</v>
      </c>
      <c r="CF8" s="97">
        <f t="shared" si="56"/>
        <v>0.51215277777777779</v>
      </c>
      <c r="CG8" s="97">
        <f t="shared" si="56"/>
        <v>6.2934027777777776E-2</v>
      </c>
      <c r="CH8" s="97">
        <f t="shared" si="57"/>
        <v>0.97873263888888895</v>
      </c>
      <c r="CI8" s="504" t="e">
        <f>#REF!</f>
        <v>#REF!</v>
      </c>
      <c r="CJ8" s="97">
        <f t="shared" si="58"/>
        <v>0.35506164162933029</v>
      </c>
      <c r="CK8" s="97">
        <f t="shared" si="58"/>
        <v>3.2943863656329612E-2</v>
      </c>
      <c r="CL8" s="97">
        <f t="shared" ref="CL8:CL36" si="70">IF($E8&lt;&gt;0,IF($E8&lt;&gt;0,AH8/$E8*10,0),"0,00 ")</f>
        <v>0.80529444493250169</v>
      </c>
      <c r="CM8" s="97" t="e">
        <f>#REF!</f>
        <v>#REF!</v>
      </c>
      <c r="CN8" s="97">
        <f t="shared" si="59"/>
        <v>1.5632127353147696</v>
      </c>
      <c r="CO8" s="97">
        <f t="shared" si="59"/>
        <v>7.0472705280583872E-2</v>
      </c>
      <c r="CP8" s="97">
        <f t="shared" si="60"/>
        <v>2.107774548846554</v>
      </c>
      <c r="CQ8" s="97" t="e">
        <f>#REF!</f>
        <v>#REF!</v>
      </c>
      <c r="CR8" s="97" t="str">
        <f t="shared" ref="CR8:CS36" si="71">IF($G8&lt;&gt;0,IF($G8&lt;&gt;0,AN8/$G8*10,0),"0,00 ")</f>
        <v xml:space="preserve">0,00 </v>
      </c>
      <c r="CS8" s="97" t="str">
        <f t="shared" si="71"/>
        <v xml:space="preserve">0,00 </v>
      </c>
      <c r="CT8" s="504" t="e">
        <f>#REF!</f>
        <v>#REF!</v>
      </c>
      <c r="CU8" s="97">
        <f t="shared" ref="CU8:CU36" si="72">IF($H8&lt;&gt;0,IF($H8&lt;&gt;0,AP8/$H8*10,0),"0,00 ")</f>
        <v>2.2558519619708478E-2</v>
      </c>
      <c r="CV8" s="97">
        <f t="shared" si="61"/>
        <v>5.8007621879250369E-2</v>
      </c>
      <c r="CW8" s="504" t="e">
        <f>#REF!</f>
        <v>#REF!</v>
      </c>
      <c r="CX8" s="97">
        <f t="shared" si="62"/>
        <v>0.1111640523734759</v>
      </c>
      <c r="CY8" s="97">
        <f t="shared" si="62"/>
        <v>1.7341592170262241E-2</v>
      </c>
      <c r="CZ8" s="97">
        <f t="shared" si="62"/>
        <v>0.19387010733934198</v>
      </c>
      <c r="DA8" s="97">
        <f t="shared" si="62"/>
        <v>2.4900747731658599E-2</v>
      </c>
      <c r="DB8" s="97">
        <f t="shared" si="13"/>
        <v>0.15296173606590285</v>
      </c>
      <c r="DC8" s="97">
        <f t="shared" si="14"/>
        <v>5.4692713767750145E-2</v>
      </c>
      <c r="DD8" s="97">
        <f t="shared" si="14"/>
        <v>0.19520407596782369</v>
      </c>
      <c r="DE8" s="97">
        <f t="shared" si="14"/>
        <v>0.50735273503254397</v>
      </c>
      <c r="DF8" s="97">
        <f t="shared" si="14"/>
        <v>0</v>
      </c>
      <c r="DG8" s="97">
        <f t="shared" si="14"/>
        <v>0</v>
      </c>
      <c r="DH8" s="97">
        <f t="shared" si="14"/>
        <v>0.40285852580147669</v>
      </c>
      <c r="DI8" s="504" t="e">
        <f>#REF!</f>
        <v>#REF!</v>
      </c>
      <c r="DJ8" s="97">
        <f t="shared" si="63"/>
        <v>0.11383198963043932</v>
      </c>
      <c r="DK8" s="504" t="e">
        <f>#REF!</f>
        <v>#REF!</v>
      </c>
      <c r="DL8" s="97">
        <f t="shared" si="15"/>
        <v>0.8121445571111876</v>
      </c>
      <c r="DM8" s="504">
        <f t="shared" si="16"/>
        <v>0</v>
      </c>
      <c r="DN8" s="97">
        <f t="shared" si="17"/>
        <v>2.1679413589169543</v>
      </c>
      <c r="DO8" s="100">
        <v>3.4</v>
      </c>
      <c r="DP8" s="97">
        <f t="shared" si="18"/>
        <v>3.0939179056585813</v>
      </c>
      <c r="DQ8" s="97">
        <f>IF($P8&lt;&gt;0,IF($P8&lt;&gt;0,BM8/$P8*10,0)," ")</f>
        <v>4.263778107821147</v>
      </c>
      <c r="DR8" s="101" t="str">
        <f t="shared" si="19"/>
        <v>3,315, hL/NhL</v>
      </c>
      <c r="DS8" s="116"/>
      <c r="DT8" s="103">
        <v>3</v>
      </c>
      <c r="DU8" s="120">
        <v>618338</v>
      </c>
      <c r="DV8" s="120">
        <v>24588</v>
      </c>
      <c r="DW8" s="120">
        <v>5114215</v>
      </c>
      <c r="DX8" s="120">
        <v>109868</v>
      </c>
      <c r="DY8" s="120">
        <v>82568</v>
      </c>
      <c r="DZ8" s="120">
        <v>378835</v>
      </c>
      <c r="EA8" s="120">
        <v>221816</v>
      </c>
      <c r="EB8" s="121">
        <v>51982</v>
      </c>
      <c r="EC8" s="120">
        <v>389178</v>
      </c>
      <c r="ED8" s="120">
        <v>45736</v>
      </c>
      <c r="EE8" s="122">
        <v>37476</v>
      </c>
      <c r="EF8" s="105">
        <v>39687</v>
      </c>
      <c r="EG8" s="120">
        <v>90155</v>
      </c>
      <c r="EH8" s="120">
        <v>177951</v>
      </c>
      <c r="EI8" s="120">
        <v>30727</v>
      </c>
      <c r="EJ8" s="121">
        <v>38998</v>
      </c>
      <c r="EK8" s="121"/>
      <c r="EL8" s="120">
        <v>688097</v>
      </c>
      <c r="EM8" s="121">
        <v>2983</v>
      </c>
      <c r="EN8" s="121">
        <v>41737</v>
      </c>
      <c r="EO8" s="120">
        <v>2930098</v>
      </c>
      <c r="EP8" s="121">
        <v>2689196</v>
      </c>
      <c r="EQ8" s="121">
        <v>0</v>
      </c>
      <c r="ER8" s="121">
        <v>1489</v>
      </c>
      <c r="ES8" s="121">
        <v>318593</v>
      </c>
      <c r="ET8" s="121">
        <v>5846069</v>
      </c>
      <c r="EU8" s="121">
        <v>399621</v>
      </c>
      <c r="EV8" s="121">
        <v>123923</v>
      </c>
      <c r="EW8" s="121">
        <v>90238</v>
      </c>
      <c r="EX8" s="120">
        <v>202611</v>
      </c>
      <c r="EY8" s="120">
        <v>1600447</v>
      </c>
      <c r="EZ8" s="120">
        <v>739205</v>
      </c>
      <c r="FA8" s="120">
        <v>734099</v>
      </c>
      <c r="FB8" s="121">
        <v>30099</v>
      </c>
      <c r="FC8" s="121">
        <v>6702</v>
      </c>
      <c r="FD8" s="105">
        <f t="shared" si="20"/>
        <v>6958</v>
      </c>
      <c r="FE8" s="105">
        <f t="shared" si="64"/>
        <v>0</v>
      </c>
      <c r="FF8" s="105">
        <f t="shared" si="64"/>
        <v>435</v>
      </c>
      <c r="FG8" s="105">
        <f t="shared" si="64"/>
        <v>1990</v>
      </c>
      <c r="FH8" s="105">
        <f t="shared" si="64"/>
        <v>2201</v>
      </c>
      <c r="FI8" s="105">
        <f t="shared" si="64"/>
        <v>584</v>
      </c>
      <c r="FJ8" s="105">
        <f t="shared" si="64"/>
        <v>768</v>
      </c>
      <c r="FK8" s="105">
        <f t="shared" si="64"/>
        <v>0</v>
      </c>
      <c r="FL8" s="105">
        <f t="shared" si="64"/>
        <v>980</v>
      </c>
      <c r="FM8" s="105">
        <f t="shared" si="64"/>
        <v>0</v>
      </c>
      <c r="FN8" s="121">
        <f>IF(FO8="",0,(FO8-FO7))</f>
        <v>0</v>
      </c>
      <c r="FO8" s="121">
        <v>992693</v>
      </c>
      <c r="FP8" s="106"/>
      <c r="FY8" s="119">
        <v>3</v>
      </c>
      <c r="FZ8" s="107"/>
      <c r="GA8" s="107">
        <v>0</v>
      </c>
      <c r="GB8" s="108"/>
      <c r="GC8" s="109"/>
      <c r="GD8" s="110"/>
      <c r="GE8" s="110"/>
      <c r="GF8" s="111"/>
      <c r="GG8" s="111"/>
      <c r="GH8" s="111"/>
      <c r="GI8" s="112"/>
      <c r="GJ8" s="111" t="e">
        <f t="shared" si="65"/>
        <v>#DIV/0!</v>
      </c>
      <c r="GK8" s="113"/>
    </row>
    <row r="9" spans="1:194" s="119" customFormat="1" ht="15" customHeight="1">
      <c r="B9" s="573">
        <v>42859</v>
      </c>
      <c r="D9" s="86">
        <v>5426.76</v>
      </c>
      <c r="E9" s="86">
        <v>1651.92</v>
      </c>
      <c r="F9" s="86">
        <v>2614.4640000000004</v>
      </c>
      <c r="G9" s="86">
        <v>4847.1350000000002</v>
      </c>
      <c r="H9" s="86">
        <v>7186.3829999999998</v>
      </c>
      <c r="I9" s="86">
        <v>1994.0709999999999</v>
      </c>
      <c r="J9" s="86">
        <v>5832</v>
      </c>
      <c r="K9" s="86"/>
      <c r="L9" s="86">
        <v>413.44</v>
      </c>
      <c r="M9" s="115">
        <f t="shared" si="22"/>
        <v>7826.0709999999999</v>
      </c>
      <c r="N9" s="88">
        <f t="shared" si="0"/>
        <v>21726.662</v>
      </c>
      <c r="O9" s="88">
        <f t="shared" si="66"/>
        <v>26053.137499999997</v>
      </c>
      <c r="P9" s="89">
        <f t="shared" si="23"/>
        <v>72354.796499999997</v>
      </c>
      <c r="R9" s="90">
        <f t="shared" si="24"/>
        <v>282</v>
      </c>
      <c r="S9" s="90">
        <f t="shared" si="25"/>
        <v>79.7</v>
      </c>
      <c r="T9" s="90">
        <f t="shared" si="1"/>
        <v>424</v>
      </c>
      <c r="U9" s="91">
        <f>IF(FB9=0,"",((EN9-EN8)/10))</f>
        <v>5.4</v>
      </c>
      <c r="V9" s="90">
        <f t="shared" si="26"/>
        <v>1502</v>
      </c>
      <c r="W9" s="91">
        <f t="shared" si="2"/>
        <v>250.2</v>
      </c>
      <c r="X9" s="170">
        <f t="shared" si="27"/>
        <v>1502</v>
      </c>
      <c r="Y9" s="170" t="str">
        <f t="shared" si="28"/>
        <v>0</v>
      </c>
      <c r="Z9" s="170">
        <f t="shared" si="3"/>
        <v>156.9</v>
      </c>
      <c r="AA9" s="170">
        <f t="shared" si="29"/>
        <v>2293.1</v>
      </c>
      <c r="AB9" s="170">
        <f t="shared" si="30"/>
        <v>262</v>
      </c>
      <c r="AC9" s="170">
        <f t="shared" si="30"/>
        <v>23</v>
      </c>
      <c r="AD9" s="170">
        <f t="shared" si="31"/>
        <v>471</v>
      </c>
      <c r="AE9" s="170">
        <f t="shared" si="32"/>
        <v>186</v>
      </c>
      <c r="AF9" s="170">
        <f t="shared" si="33"/>
        <v>142</v>
      </c>
      <c r="AG9" s="170">
        <f t="shared" si="33"/>
        <v>115</v>
      </c>
      <c r="AH9" s="170">
        <f t="shared" si="34"/>
        <v>399</v>
      </c>
      <c r="AI9" s="170">
        <f t="shared" si="35"/>
        <v>142</v>
      </c>
      <c r="AJ9" s="170">
        <f t="shared" si="36"/>
        <v>257</v>
      </c>
      <c r="AK9" s="170">
        <f t="shared" si="36"/>
        <v>11</v>
      </c>
      <c r="AL9" s="170">
        <f t="shared" si="37"/>
        <v>350</v>
      </c>
      <c r="AM9" s="170">
        <f t="shared" si="38"/>
        <v>82</v>
      </c>
      <c r="AN9" s="170">
        <f t="shared" si="39"/>
        <v>33</v>
      </c>
      <c r="AO9" s="170">
        <f t="shared" si="4"/>
        <v>51</v>
      </c>
      <c r="AP9" s="170">
        <f t="shared" si="40"/>
        <v>5</v>
      </c>
      <c r="AQ9" s="170">
        <f t="shared" si="5"/>
        <v>22</v>
      </c>
      <c r="AR9" s="170">
        <f t="shared" si="41"/>
        <v>96.745000000000005</v>
      </c>
      <c r="AS9" s="170">
        <f t="shared" si="42"/>
        <v>181.745</v>
      </c>
      <c r="AT9" s="170">
        <f t="shared" si="43"/>
        <v>983.745</v>
      </c>
      <c r="AU9" s="170">
        <f t="shared" si="44"/>
        <v>277</v>
      </c>
      <c r="AV9" s="170">
        <f t="shared" si="67"/>
        <v>8</v>
      </c>
      <c r="AW9" s="170">
        <f t="shared" si="45"/>
        <v>525</v>
      </c>
      <c r="AX9" s="170">
        <f t="shared" si="68"/>
        <v>43</v>
      </c>
      <c r="AY9" s="170">
        <v>9.1</v>
      </c>
      <c r="AZ9" s="170">
        <f t="shared" si="46"/>
        <v>297</v>
      </c>
      <c r="BA9" s="170">
        <v>87</v>
      </c>
      <c r="BB9" s="170">
        <f t="shared" si="47"/>
        <v>134</v>
      </c>
      <c r="BC9" s="170">
        <f t="shared" si="47"/>
        <v>1015</v>
      </c>
      <c r="BD9" s="91">
        <f t="shared" si="48"/>
        <v>250</v>
      </c>
      <c r="BE9" s="90"/>
      <c r="BF9" s="90"/>
      <c r="BG9" s="170">
        <f t="shared" si="6"/>
        <v>1446</v>
      </c>
      <c r="BH9" s="170">
        <f t="shared" si="49"/>
        <v>1160</v>
      </c>
      <c r="BI9" s="170">
        <f t="shared" si="50"/>
        <v>1345.1549999999997</v>
      </c>
      <c r="BJ9" s="170">
        <f t="shared" si="7"/>
        <v>6066.8450000000003</v>
      </c>
      <c r="BK9" s="92"/>
      <c r="BL9" s="331">
        <f t="shared" si="51"/>
        <v>8572</v>
      </c>
      <c r="BM9" s="331">
        <f t="shared" si="52"/>
        <v>28314</v>
      </c>
      <c r="BN9" s="92"/>
      <c r="BO9" s="97">
        <f t="shared" si="53"/>
        <v>0.12979444334339071</v>
      </c>
      <c r="BP9" s="97">
        <f t="shared" si="53"/>
        <v>3.6683039483929931E-2</v>
      </c>
      <c r="BQ9" s="97">
        <f t="shared" si="54"/>
        <v>0.19515192899857328</v>
      </c>
      <c r="BR9" s="97">
        <f t="shared" si="69"/>
        <v>0.69131650319777616</v>
      </c>
      <c r="BS9" s="97">
        <f t="shared" si="8"/>
        <v>0</v>
      </c>
      <c r="BT9" s="97">
        <f t="shared" si="8"/>
        <v>7.2215419009141857E-2</v>
      </c>
      <c r="BU9" s="97">
        <f t="shared" si="8"/>
        <v>1.0554313405345008</v>
      </c>
      <c r="BV9" s="97">
        <f t="shared" si="9"/>
        <v>0.10824032230283206</v>
      </c>
      <c r="BW9" s="97">
        <f t="shared" si="9"/>
        <v>3.0591325133105373E-2</v>
      </c>
      <c r="BX9" s="97">
        <f t="shared" si="9"/>
        <v>0.16274431438439999</v>
      </c>
      <c r="BY9" s="97">
        <f t="shared" si="55"/>
        <v>0.57651405708813386</v>
      </c>
      <c r="BZ9" s="97">
        <f t="shared" si="10"/>
        <v>0.88016270593129153</v>
      </c>
      <c r="CA9" s="504" t="e">
        <f>#REF!</f>
        <v>#REF!</v>
      </c>
      <c r="CB9" s="97">
        <f t="shared" si="11"/>
        <v>3.7133723337544285E-2</v>
      </c>
      <c r="CC9" s="97">
        <f t="shared" si="11"/>
        <v>6.9759352400454666E-2</v>
      </c>
      <c r="CD9" s="97">
        <f t="shared" si="12"/>
        <v>0.12361886315623767</v>
      </c>
      <c r="CE9" s="97">
        <f t="shared" si="12"/>
        <v>0.23223019571378795</v>
      </c>
      <c r="CF9" s="97">
        <f t="shared" si="56"/>
        <v>0.48279267924138897</v>
      </c>
      <c r="CG9" s="97">
        <f t="shared" si="56"/>
        <v>4.2382563444854762E-2</v>
      </c>
      <c r="CH9" s="97">
        <f t="shared" si="57"/>
        <v>0.86792119054463435</v>
      </c>
      <c r="CI9" s="504" t="e">
        <f>#REF!</f>
        <v>#REF!</v>
      </c>
      <c r="CJ9" s="97">
        <f t="shared" si="58"/>
        <v>0.859605792048041</v>
      </c>
      <c r="CK9" s="97">
        <f t="shared" si="58"/>
        <v>0.69615962032059664</v>
      </c>
      <c r="CL9" s="97">
        <f t="shared" si="70"/>
        <v>2.4153712044166786</v>
      </c>
      <c r="CM9" s="97" t="e">
        <f>#REF!</f>
        <v>#REF!</v>
      </c>
      <c r="CN9" s="97">
        <f t="shared" si="59"/>
        <v>0.98299307238500877</v>
      </c>
      <c r="CO9" s="97">
        <f t="shared" si="59"/>
        <v>4.2073633448385592E-2</v>
      </c>
      <c r="CP9" s="97">
        <f t="shared" si="60"/>
        <v>1.3387065188122689</v>
      </c>
      <c r="CQ9" s="97" t="e">
        <f>#REF!</f>
        <v>#REF!</v>
      </c>
      <c r="CR9" s="97">
        <f t="shared" si="71"/>
        <v>6.8081454302386879E-2</v>
      </c>
      <c r="CS9" s="97">
        <f t="shared" si="71"/>
        <v>0.1052167930127797</v>
      </c>
      <c r="CT9" s="504" t="e">
        <f>#REF!</f>
        <v>#REF!</v>
      </c>
      <c r="CU9" s="97">
        <f t="shared" si="72"/>
        <v>6.9576030111392611E-3</v>
      </c>
      <c r="CV9" s="97">
        <f t="shared" si="61"/>
        <v>3.0613453249012754E-2</v>
      </c>
      <c r="CW9" s="504" t="e">
        <f>#REF!</f>
        <v>#REF!</v>
      </c>
      <c r="CX9" s="97">
        <f t="shared" si="62"/>
        <v>0.10632116765207263</v>
      </c>
      <c r="CY9" s="97">
        <f t="shared" si="62"/>
        <v>3.0706474412150937E-3</v>
      </c>
      <c r="CZ9" s="97">
        <f t="shared" si="62"/>
        <v>0.20151123832974055</v>
      </c>
      <c r="DA9" s="97">
        <f t="shared" si="62"/>
        <v>1.6504729996531131E-2</v>
      </c>
      <c r="DB9" s="97">
        <f t="shared" si="13"/>
        <v>0.11399778625511037</v>
      </c>
      <c r="DC9" s="97">
        <f t="shared" si="14"/>
        <v>5.1433344640352825E-2</v>
      </c>
      <c r="DD9" s="97">
        <f t="shared" si="14"/>
        <v>0.38958839410416501</v>
      </c>
      <c r="DE9" s="97">
        <f t="shared" si="14"/>
        <v>9.5957732537971685E-2</v>
      </c>
      <c r="DF9" s="97">
        <f t="shared" si="14"/>
        <v>0</v>
      </c>
      <c r="DG9" s="97">
        <f t="shared" si="14"/>
        <v>0</v>
      </c>
      <c r="DH9" s="97">
        <f t="shared" si="14"/>
        <v>0.55501952499962826</v>
      </c>
      <c r="DI9" s="504" t="e">
        <f>#REF!</f>
        <v>#REF!</v>
      </c>
      <c r="DJ9" s="97">
        <f t="shared" si="63"/>
        <v>0.44524387897618861</v>
      </c>
      <c r="DK9" s="504" t="e">
        <f>#REF!</f>
        <v>#REF!</v>
      </c>
      <c r="DL9" s="97">
        <f t="shared" si="15"/>
        <v>0.51631209484846108</v>
      </c>
      <c r="DM9" s="504">
        <f t="shared" si="16"/>
        <v>0</v>
      </c>
      <c r="DN9" s="97">
        <f t="shared" si="17"/>
        <v>2.3286427594373236</v>
      </c>
      <c r="DO9" s="100">
        <v>3.4</v>
      </c>
      <c r="DP9" s="97">
        <f t="shared" si="18"/>
        <v>3.2901987332619731</v>
      </c>
      <c r="DQ9" s="97">
        <f t="shared" ref="DQ9:DQ34" si="73">IF($P9&lt;&gt;0,IF($P9&lt;&gt;0,BM9/$P9*10,0)," ")</f>
        <v>3.913216727794957</v>
      </c>
      <c r="DR9" s="101" t="str">
        <f t="shared" si="19"/>
        <v>3,315, hL/NhL</v>
      </c>
      <c r="DS9" s="116"/>
      <c r="DT9" s="103">
        <v>4</v>
      </c>
      <c r="DU9" s="120">
        <v>618600</v>
      </c>
      <c r="DV9" s="120">
        <v>24611</v>
      </c>
      <c r="DW9" s="121">
        <v>5114686</v>
      </c>
      <c r="DX9" s="121">
        <v>110010</v>
      </c>
      <c r="DY9" s="121">
        <v>82683</v>
      </c>
      <c r="DZ9" s="121">
        <v>379234</v>
      </c>
      <c r="EA9" s="120">
        <v>222073</v>
      </c>
      <c r="EB9" s="121">
        <v>51993</v>
      </c>
      <c r="EC9" s="121">
        <v>389528</v>
      </c>
      <c r="ED9" s="120">
        <v>45769</v>
      </c>
      <c r="EE9" s="122">
        <v>37498</v>
      </c>
      <c r="EF9" s="121">
        <v>39716</v>
      </c>
      <c r="EG9" s="120">
        <v>90160</v>
      </c>
      <c r="EH9" s="120">
        <v>177973</v>
      </c>
      <c r="EI9" s="120">
        <v>30735</v>
      </c>
      <c r="EJ9" s="121">
        <v>39041</v>
      </c>
      <c r="EK9" s="121"/>
      <c r="EL9" s="120">
        <v>688379</v>
      </c>
      <c r="EM9" s="121">
        <v>4240</v>
      </c>
      <c r="EN9" s="121">
        <v>41791</v>
      </c>
      <c r="EO9" s="120">
        <v>2931600</v>
      </c>
      <c r="EP9" s="121">
        <v>2691698</v>
      </c>
      <c r="EQ9" s="121">
        <v>0</v>
      </c>
      <c r="ER9" s="121">
        <v>1569</v>
      </c>
      <c r="ES9" s="121">
        <v>319480</v>
      </c>
      <c r="ET9" s="121">
        <v>5942814</v>
      </c>
      <c r="EU9" s="121">
        <v>400146</v>
      </c>
      <c r="EV9" s="121">
        <v>124200</v>
      </c>
      <c r="EW9" s="121">
        <v>90535</v>
      </c>
      <c r="EX9" s="120">
        <v>202745</v>
      </c>
      <c r="EY9" s="120">
        <v>1601462</v>
      </c>
      <c r="EZ9" s="506">
        <v>740002</v>
      </c>
      <c r="FA9" s="177">
        <v>734349</v>
      </c>
      <c r="FB9" s="122">
        <v>30192</v>
      </c>
      <c r="FC9" s="121">
        <v>7412</v>
      </c>
      <c r="FD9" s="121">
        <f>SUM(FE9:FM9)</f>
        <v>7572</v>
      </c>
      <c r="FE9" s="105">
        <v>0</v>
      </c>
      <c r="FF9" s="105">
        <v>834</v>
      </c>
      <c r="FG9" s="105">
        <v>1901</v>
      </c>
      <c r="FH9" s="105">
        <v>2360</v>
      </c>
      <c r="FI9" s="105">
        <v>677</v>
      </c>
      <c r="FJ9" s="105">
        <v>576</v>
      </c>
      <c r="FK9" s="105">
        <v>0</v>
      </c>
      <c r="FL9" s="105">
        <v>1224</v>
      </c>
      <c r="FM9" s="105">
        <v>0</v>
      </c>
      <c r="FN9" s="121">
        <f t="shared" ref="FN9:FN36" si="74">IF(FO9="",0,(FO9-FO8))</f>
        <v>1000</v>
      </c>
      <c r="FO9" s="121">
        <v>993693</v>
      </c>
      <c r="FP9" s="106"/>
      <c r="FY9" s="119">
        <v>4</v>
      </c>
      <c r="FZ9" s="107"/>
      <c r="GA9" s="107">
        <v>0</v>
      </c>
      <c r="GB9" s="108"/>
      <c r="GC9" s="109"/>
      <c r="GD9" s="110"/>
      <c r="GE9" s="110"/>
      <c r="GF9" s="111"/>
      <c r="GG9" s="111"/>
      <c r="GH9" s="111"/>
      <c r="GI9" s="112"/>
      <c r="GJ9" s="111" t="e">
        <f t="shared" si="65"/>
        <v>#DIV/0!</v>
      </c>
      <c r="GK9" s="113"/>
    </row>
    <row r="10" spans="1:194" s="119" customFormat="1" ht="15" customHeight="1">
      <c r="B10" s="573">
        <v>42860</v>
      </c>
      <c r="D10" s="128">
        <v>5487.84</v>
      </c>
      <c r="E10" s="128">
        <v>2219.2800000000002</v>
      </c>
      <c r="F10" s="128">
        <v>2721.384</v>
      </c>
      <c r="G10" s="86">
        <v>5520.0020000000004</v>
      </c>
      <c r="H10" s="86">
        <v>7235.8789999999999</v>
      </c>
      <c r="I10" s="86">
        <v>322.08300000000003</v>
      </c>
      <c r="J10" s="86">
        <v>5320.8</v>
      </c>
      <c r="K10" s="86"/>
      <c r="L10" s="86">
        <v>613.08000000000004</v>
      </c>
      <c r="M10" s="115">
        <f t="shared" si="22"/>
        <v>5642.8829999999998</v>
      </c>
      <c r="N10" s="88">
        <f t="shared" si="0"/>
        <v>23184.385000000002</v>
      </c>
      <c r="O10" s="88">
        <f t="shared" si="66"/>
        <v>26618.906500000005</v>
      </c>
      <c r="P10" s="89">
        <f t="shared" si="23"/>
        <v>98973.703000000009</v>
      </c>
      <c r="R10" s="90">
        <f t="shared" si="24"/>
        <v>251</v>
      </c>
      <c r="S10" s="90">
        <f t="shared" si="25"/>
        <v>16.3</v>
      </c>
      <c r="T10" s="90">
        <f t="shared" si="1"/>
        <v>460.1</v>
      </c>
      <c r="U10" s="91">
        <f>IF(FB10=0,"",((EN10-EN9)/10))</f>
        <v>4.8</v>
      </c>
      <c r="V10" s="90">
        <f t="shared" si="26"/>
        <v>1388</v>
      </c>
      <c r="W10" s="91">
        <f t="shared" si="2"/>
        <v>-370.5</v>
      </c>
      <c r="X10" s="170">
        <f t="shared" si="27"/>
        <v>1388</v>
      </c>
      <c r="Y10" s="170" t="str">
        <f t="shared" si="28"/>
        <v>0</v>
      </c>
      <c r="Z10" s="170">
        <f t="shared" si="3"/>
        <v>130.30000000000001</v>
      </c>
      <c r="AA10" s="170">
        <f t="shared" si="29"/>
        <v>2120.1999999999998</v>
      </c>
      <c r="AB10" s="170">
        <f t="shared" si="30"/>
        <v>253</v>
      </c>
      <c r="AC10" s="170">
        <f t="shared" si="30"/>
        <v>82</v>
      </c>
      <c r="AD10" s="170">
        <f t="shared" si="31"/>
        <v>559</v>
      </c>
      <c r="AE10" s="170">
        <f t="shared" si="32"/>
        <v>224</v>
      </c>
      <c r="AF10" s="170">
        <f t="shared" si="33"/>
        <v>147</v>
      </c>
      <c r="AG10" s="170">
        <f t="shared" si="33"/>
        <v>20</v>
      </c>
      <c r="AH10" s="170">
        <f t="shared" si="34"/>
        <v>218</v>
      </c>
      <c r="AI10" s="170">
        <f t="shared" si="35"/>
        <v>51</v>
      </c>
      <c r="AJ10" s="170">
        <f t="shared" si="36"/>
        <v>257</v>
      </c>
      <c r="AK10" s="170">
        <f t="shared" si="36"/>
        <v>31</v>
      </c>
      <c r="AL10" s="170">
        <f t="shared" si="37"/>
        <v>359</v>
      </c>
      <c r="AM10" s="170">
        <f t="shared" si="38"/>
        <v>71</v>
      </c>
      <c r="AN10" s="170">
        <f t="shared" si="39"/>
        <v>23</v>
      </c>
      <c r="AO10" s="170">
        <f t="shared" si="4"/>
        <v>40</v>
      </c>
      <c r="AP10" s="170">
        <f t="shared" si="40"/>
        <v>14</v>
      </c>
      <c r="AQ10" s="170">
        <f t="shared" si="5"/>
        <v>28</v>
      </c>
      <c r="AR10" s="170">
        <f t="shared" si="41"/>
        <v>71.637</v>
      </c>
      <c r="AS10" s="170">
        <f t="shared" si="42"/>
        <v>175.63699999999994</v>
      </c>
      <c r="AT10" s="170">
        <f t="shared" si="43"/>
        <v>759.63699999999994</v>
      </c>
      <c r="AU10" s="170">
        <f t="shared" si="44"/>
        <v>92</v>
      </c>
      <c r="AV10" s="170">
        <f t="shared" si="67"/>
        <v>0</v>
      </c>
      <c r="AW10" s="170">
        <f t="shared" si="45"/>
        <v>492</v>
      </c>
      <c r="AX10" s="170">
        <f t="shared" si="68"/>
        <v>34</v>
      </c>
      <c r="AY10" s="170">
        <v>0</v>
      </c>
      <c r="AZ10" s="170">
        <f t="shared" si="46"/>
        <v>326</v>
      </c>
      <c r="BA10" s="170">
        <v>94</v>
      </c>
      <c r="BB10" s="170">
        <f t="shared" si="47"/>
        <v>121</v>
      </c>
      <c r="BC10" s="170">
        <f t="shared" si="47"/>
        <v>860</v>
      </c>
      <c r="BD10" s="91">
        <f t="shared" si="48"/>
        <v>305</v>
      </c>
      <c r="BE10" s="90"/>
      <c r="BF10" s="90"/>
      <c r="BG10" s="170">
        <f t="shared" si="6"/>
        <v>1307</v>
      </c>
      <c r="BH10" s="170">
        <f t="shared" si="49"/>
        <v>816</v>
      </c>
      <c r="BI10" s="170">
        <f t="shared" si="50"/>
        <v>1517.1630000000005</v>
      </c>
      <c r="BJ10" s="170">
        <f t="shared" si="7"/>
        <v>5424.8369999999995</v>
      </c>
      <c r="BK10" s="92"/>
      <c r="BL10" s="331">
        <f t="shared" si="51"/>
        <v>7758</v>
      </c>
      <c r="BM10" s="331">
        <f t="shared" si="52"/>
        <v>36072</v>
      </c>
      <c r="BN10" s="92"/>
      <c r="BO10" s="97">
        <f t="shared" si="53"/>
        <v>0.10826252238306083</v>
      </c>
      <c r="BP10" s="97">
        <f t="shared" si="53"/>
        <v>7.0305940830433927E-3</v>
      </c>
      <c r="BQ10" s="97">
        <f t="shared" si="54"/>
        <v>0.19845253604958679</v>
      </c>
      <c r="BR10" s="97">
        <f t="shared" si="69"/>
        <v>0.59867880903461523</v>
      </c>
      <c r="BS10" s="97">
        <f t="shared" si="8"/>
        <v>0</v>
      </c>
      <c r="BT10" s="97">
        <f t="shared" si="8"/>
        <v>5.6201620185310074E-2</v>
      </c>
      <c r="BU10" s="97">
        <f t="shared" si="8"/>
        <v>0.91449482054408593</v>
      </c>
      <c r="BV10" s="97">
        <f t="shared" si="9"/>
        <v>9.4293880930082521E-2</v>
      </c>
      <c r="BW10" s="97">
        <f t="shared" si="9"/>
        <v>6.1234671679695016E-3</v>
      </c>
      <c r="BX10" s="97">
        <f t="shared" si="9"/>
        <v>0.17284707018299192</v>
      </c>
      <c r="BY10" s="97">
        <f t="shared" si="55"/>
        <v>0.52143389135838458</v>
      </c>
      <c r="BZ10" s="97">
        <f t="shared" si="10"/>
        <v>0.79650153923490408</v>
      </c>
      <c r="CA10" s="504" t="e">
        <f>#REF!</f>
        <v>#REF!</v>
      </c>
      <c r="CB10" s="97">
        <f t="shared" si="11"/>
        <v>2.6912074693977373E-2</v>
      </c>
      <c r="CC10" s="97">
        <f t="shared" si="11"/>
        <v>6.5982049262617123E-2</v>
      </c>
      <c r="CD10" s="97">
        <f t="shared" si="12"/>
        <v>0.12695106384449226</v>
      </c>
      <c r="CE10" s="97">
        <f t="shared" si="12"/>
        <v>0.31125401678539133</v>
      </c>
      <c r="CF10" s="97">
        <f t="shared" si="56"/>
        <v>0.46101927169888335</v>
      </c>
      <c r="CG10" s="97">
        <f t="shared" si="56"/>
        <v>0.14942126592612029</v>
      </c>
      <c r="CH10" s="97">
        <f t="shared" si="57"/>
        <v>1.0186157030817224</v>
      </c>
      <c r="CI10" s="504" t="e">
        <f>#REF!</f>
        <v>#REF!</v>
      </c>
      <c r="CJ10" s="97">
        <f t="shared" si="58"/>
        <v>0.66237698713096138</v>
      </c>
      <c r="CK10" s="97">
        <f t="shared" si="58"/>
        <v>9.0119317977001553E-2</v>
      </c>
      <c r="CL10" s="97">
        <f t="shared" si="70"/>
        <v>0.98230056594931681</v>
      </c>
      <c r="CM10" s="97" t="e">
        <f>#REF!</f>
        <v>#REF!</v>
      </c>
      <c r="CN10" s="97">
        <f t="shared" si="59"/>
        <v>0.94437242226749329</v>
      </c>
      <c r="CO10" s="97">
        <f t="shared" si="59"/>
        <v>0.11391262681047584</v>
      </c>
      <c r="CP10" s="97">
        <f t="shared" si="60"/>
        <v>1.3191817104826074</v>
      </c>
      <c r="CQ10" s="97" t="e">
        <f>#REF!</f>
        <v>#REF!</v>
      </c>
      <c r="CR10" s="97">
        <f t="shared" si="71"/>
        <v>4.1666651570053774E-2</v>
      </c>
      <c r="CS10" s="97">
        <f t="shared" si="71"/>
        <v>7.2463741860963091E-2</v>
      </c>
      <c r="CT10" s="504" t="e">
        <f>#REF!</f>
        <v>#REF!</v>
      </c>
      <c r="CU10" s="97">
        <f t="shared" si="72"/>
        <v>1.934802945157043E-2</v>
      </c>
      <c r="CV10" s="97">
        <f t="shared" si="61"/>
        <v>3.8696058903140859E-2</v>
      </c>
      <c r="CW10" s="504" t="e">
        <f>#REF!</f>
        <v>#REF!</v>
      </c>
      <c r="CX10" s="97">
        <f t="shared" si="62"/>
        <v>3.4561900579950566E-2</v>
      </c>
      <c r="CY10" s="97">
        <f t="shared" si="62"/>
        <v>0</v>
      </c>
      <c r="CZ10" s="97">
        <f t="shared" si="62"/>
        <v>0.18483103353625738</v>
      </c>
      <c r="DA10" s="97">
        <f t="shared" si="62"/>
        <v>1.2772876301286077E-2</v>
      </c>
      <c r="DB10" s="97">
        <f t="shared" si="13"/>
        <v>0.12246934335939005</v>
      </c>
      <c r="DC10" s="97">
        <f t="shared" si="14"/>
        <v>4.5456412719282809E-2</v>
      </c>
      <c r="DD10" s="97">
        <f t="shared" si="14"/>
        <v>0.32307863585605956</v>
      </c>
      <c r="DE10" s="97">
        <f t="shared" si="14"/>
        <v>0.11458021387918393</v>
      </c>
      <c r="DF10" s="97">
        <f t="shared" si="14"/>
        <v>0</v>
      </c>
      <c r="DG10" s="97">
        <f t="shared" si="14"/>
        <v>0</v>
      </c>
      <c r="DH10" s="97">
        <f t="shared" si="14"/>
        <v>0.49100439193473244</v>
      </c>
      <c r="DI10" s="504" t="e">
        <f>#REF!</f>
        <v>#REF!</v>
      </c>
      <c r="DJ10" s="97">
        <f t="shared" si="63"/>
        <v>0.30654903123086585</v>
      </c>
      <c r="DK10" s="504" t="e">
        <f>#REF!</f>
        <v>#REF!</v>
      </c>
      <c r="DL10" s="97">
        <f t="shared" si="15"/>
        <v>0.56995692140847343</v>
      </c>
      <c r="DM10" s="504">
        <f t="shared" si="16"/>
        <v>0</v>
      </c>
      <c r="DN10" s="97">
        <f t="shared" si="17"/>
        <v>2.0379638810482312</v>
      </c>
      <c r="DO10" s="100">
        <v>3.4</v>
      </c>
      <c r="DP10" s="97">
        <f t="shared" si="18"/>
        <v>2.9144698336875701</v>
      </c>
      <c r="DQ10" s="97">
        <f>IF($P10&lt;&gt;0,IF($P10&lt;&gt;0,BM10/$P10*10,0)," ")</f>
        <v>3.6446044662994974</v>
      </c>
      <c r="DR10" s="101" t="str">
        <f t="shared" si="19"/>
        <v>3,315, hL/NhL</v>
      </c>
      <c r="DS10" s="116"/>
      <c r="DT10" s="103">
        <v>5</v>
      </c>
      <c r="DU10" s="120">
        <v>618853</v>
      </c>
      <c r="DV10" s="120">
        <v>24693</v>
      </c>
      <c r="DW10" s="120">
        <v>5115245</v>
      </c>
      <c r="DX10" s="122">
        <v>110157</v>
      </c>
      <c r="DY10" s="120">
        <v>82703</v>
      </c>
      <c r="DZ10" s="120">
        <v>379452</v>
      </c>
      <c r="EA10" s="120">
        <v>222330</v>
      </c>
      <c r="EB10" s="121">
        <v>52024</v>
      </c>
      <c r="EC10" s="120">
        <v>389887</v>
      </c>
      <c r="ED10" s="120">
        <v>45792</v>
      </c>
      <c r="EE10" s="121">
        <v>37513</v>
      </c>
      <c r="EF10" s="121">
        <v>39741</v>
      </c>
      <c r="EG10" s="120">
        <v>90174</v>
      </c>
      <c r="EH10" s="120">
        <v>178001</v>
      </c>
      <c r="EI10" s="120">
        <v>30735</v>
      </c>
      <c r="EJ10" s="121">
        <v>39075</v>
      </c>
      <c r="EK10" s="121"/>
      <c r="EL10" s="120">
        <v>688630</v>
      </c>
      <c r="EM10" s="121">
        <v>4601</v>
      </c>
      <c r="EN10" s="121">
        <v>41839</v>
      </c>
      <c r="EO10" s="120">
        <v>2932988</v>
      </c>
      <c r="EP10" s="121">
        <v>2687993</v>
      </c>
      <c r="EQ10" s="121">
        <v>0</v>
      </c>
      <c r="ER10" s="121">
        <v>1303</v>
      </c>
      <c r="ES10" s="121">
        <v>320168</v>
      </c>
      <c r="ET10" s="121">
        <v>6014451</v>
      </c>
      <c r="EU10" s="121">
        <v>400638</v>
      </c>
      <c r="EV10" s="121">
        <v>124292</v>
      </c>
      <c r="EW10" s="121">
        <v>90861</v>
      </c>
      <c r="EX10" s="120">
        <v>202866</v>
      </c>
      <c r="EY10" s="120">
        <v>1602322</v>
      </c>
      <c r="EZ10" s="120">
        <v>740165</v>
      </c>
      <c r="FA10" s="130">
        <v>734654</v>
      </c>
      <c r="FB10" s="77">
        <v>30276</v>
      </c>
      <c r="FC10" s="77">
        <v>6942</v>
      </c>
      <c r="FD10" s="77">
        <f>SUM(FE10:FM10)</f>
        <v>7229</v>
      </c>
      <c r="FE10" s="105">
        <f t="shared" ref="FE10:FM25" si="75">FE43-FE42</f>
        <v>0</v>
      </c>
      <c r="FF10" s="105">
        <f t="shared" si="75"/>
        <v>139</v>
      </c>
      <c r="FG10" s="105">
        <f t="shared" si="75"/>
        <v>1960</v>
      </c>
      <c r="FH10" s="105">
        <f t="shared" si="75"/>
        <v>2042</v>
      </c>
      <c r="FI10" s="105">
        <v>599</v>
      </c>
      <c r="FJ10" s="105">
        <f t="shared" si="75"/>
        <v>745</v>
      </c>
      <c r="FK10" s="105">
        <f t="shared" si="75"/>
        <v>0</v>
      </c>
      <c r="FL10" s="105">
        <f t="shared" si="75"/>
        <v>1744</v>
      </c>
      <c r="FM10" s="105">
        <f t="shared" si="75"/>
        <v>0</v>
      </c>
      <c r="FN10" s="124">
        <f t="shared" si="74"/>
        <v>529</v>
      </c>
      <c r="FO10" s="77">
        <v>994222</v>
      </c>
      <c r="FP10" s="106"/>
      <c r="FY10" s="119">
        <v>5</v>
      </c>
      <c r="FZ10" s="107">
        <v>3949</v>
      </c>
      <c r="GA10" s="107">
        <v>188</v>
      </c>
      <c r="GB10" s="108">
        <f>GA10/FZ10/0.1</f>
        <v>0.4760698911116738</v>
      </c>
      <c r="GC10" s="109"/>
      <c r="GD10" s="110"/>
      <c r="GE10" s="110"/>
      <c r="GF10" s="111"/>
      <c r="GG10" s="111"/>
      <c r="GH10" s="111"/>
      <c r="GI10" s="112"/>
      <c r="GJ10" s="111">
        <f t="shared" si="65"/>
        <v>3295.7345744680852</v>
      </c>
      <c r="GK10" s="113"/>
    </row>
    <row r="11" spans="1:194" s="119" customFormat="1" ht="15.75" customHeight="1">
      <c r="B11" s="573">
        <v>42861</v>
      </c>
      <c r="D11" s="128">
        <v>3901.32</v>
      </c>
      <c r="E11" s="128">
        <v>5541.6</v>
      </c>
      <c r="F11" s="128">
        <v>3000.24</v>
      </c>
      <c r="G11" s="86">
        <v>6300.348</v>
      </c>
      <c r="H11" s="86">
        <v>7473.59</v>
      </c>
      <c r="I11" s="86">
        <v>2014.2059999999999</v>
      </c>
      <c r="J11" s="86">
        <v>7274.4</v>
      </c>
      <c r="K11" s="86">
        <v>24.068000000000001</v>
      </c>
      <c r="L11" s="86">
        <v>1021.896</v>
      </c>
      <c r="M11" s="115">
        <f>I11+J11</f>
        <v>9288.6059999999998</v>
      </c>
      <c r="N11" s="88">
        <f>SUM(D11:H11)</f>
        <v>26217.098000000002</v>
      </c>
      <c r="O11" s="88">
        <f>N11+L11+K11+((J11+I11)*0.5)</f>
        <v>31907.365000000002</v>
      </c>
      <c r="P11" s="89">
        <f t="shared" si="23"/>
        <v>130881.06800000001</v>
      </c>
      <c r="R11" s="90">
        <f t="shared" si="24"/>
        <v>278</v>
      </c>
      <c r="S11" s="90">
        <f t="shared" si="25"/>
        <v>45.1</v>
      </c>
      <c r="T11" s="90">
        <f t="shared" si="1"/>
        <v>778</v>
      </c>
      <c r="U11" s="91">
        <f t="shared" ref="U11:U35" si="76">IF(FB11=0,"",((EN11-EN10)/10))</f>
        <v>5.2</v>
      </c>
      <c r="V11" s="90">
        <f t="shared" si="26"/>
        <v>1536</v>
      </c>
      <c r="W11" s="91">
        <f t="shared" si="2"/>
        <v>188.2</v>
      </c>
      <c r="X11" s="170">
        <f t="shared" si="27"/>
        <v>1536</v>
      </c>
      <c r="Y11" s="170">
        <f t="shared" si="28"/>
        <v>152.5</v>
      </c>
      <c r="Z11" s="170">
        <f t="shared" si="3"/>
        <v>147.9</v>
      </c>
      <c r="AA11" s="170">
        <f t="shared" si="29"/>
        <v>2642.3</v>
      </c>
      <c r="AB11" s="170">
        <f t="shared" si="30"/>
        <v>107</v>
      </c>
      <c r="AC11" s="170">
        <f t="shared" si="30"/>
        <v>32</v>
      </c>
      <c r="AD11" s="170">
        <f t="shared" si="31"/>
        <v>369</v>
      </c>
      <c r="AE11" s="170">
        <f t="shared" si="32"/>
        <v>230</v>
      </c>
      <c r="AF11" s="170">
        <f t="shared" si="33"/>
        <v>189</v>
      </c>
      <c r="AG11" s="170">
        <f t="shared" si="33"/>
        <v>37</v>
      </c>
      <c r="AH11" s="170">
        <f t="shared" si="34"/>
        <v>333</v>
      </c>
      <c r="AI11" s="170">
        <f t="shared" si="35"/>
        <v>107</v>
      </c>
      <c r="AJ11" s="170">
        <f t="shared" si="36"/>
        <v>269</v>
      </c>
      <c r="AK11" s="170">
        <f t="shared" si="36"/>
        <v>34</v>
      </c>
      <c r="AL11" s="170">
        <f t="shared" si="37"/>
        <v>379</v>
      </c>
      <c r="AM11" s="170">
        <f t="shared" si="38"/>
        <v>76</v>
      </c>
      <c r="AN11" s="170">
        <f t="shared" si="39"/>
        <v>20</v>
      </c>
      <c r="AO11" s="170">
        <f t="shared" si="4"/>
        <v>35</v>
      </c>
      <c r="AP11" s="170">
        <f t="shared" si="40"/>
        <v>10</v>
      </c>
      <c r="AQ11" s="170">
        <f t="shared" si="5"/>
        <v>26</v>
      </c>
      <c r="AR11" s="170">
        <f t="shared" si="41"/>
        <v>108.43899999999999</v>
      </c>
      <c r="AS11" s="170">
        <f t="shared" si="42"/>
        <v>122.43899999999996</v>
      </c>
      <c r="AT11" s="170">
        <f t="shared" si="43"/>
        <v>1001.439</v>
      </c>
      <c r="AU11" s="170">
        <f t="shared" si="44"/>
        <v>306</v>
      </c>
      <c r="AV11" s="170">
        <f t="shared" si="67"/>
        <v>68</v>
      </c>
      <c r="AW11" s="170">
        <f t="shared" si="45"/>
        <v>573</v>
      </c>
      <c r="AX11" s="170">
        <f t="shared" si="68"/>
        <v>27</v>
      </c>
      <c r="AY11" s="170">
        <v>0</v>
      </c>
      <c r="AZ11" s="170">
        <f t="shared" si="46"/>
        <v>342</v>
      </c>
      <c r="BA11" s="170">
        <v>73</v>
      </c>
      <c r="BB11" s="170">
        <f t="shared" si="47"/>
        <v>102</v>
      </c>
      <c r="BC11" s="170">
        <f t="shared" si="47"/>
        <v>1006</v>
      </c>
      <c r="BD11" s="91">
        <f t="shared" si="48"/>
        <v>72</v>
      </c>
      <c r="BE11" s="90"/>
      <c r="BF11" s="90"/>
      <c r="BG11" s="170">
        <f t="shared" si="6"/>
        <v>1450</v>
      </c>
      <c r="BH11" s="170">
        <f t="shared" si="49"/>
        <v>777</v>
      </c>
      <c r="BI11" s="170">
        <f t="shared" si="50"/>
        <v>1099.2609999999995</v>
      </c>
      <c r="BJ11" s="170">
        <f t="shared" si="7"/>
        <v>6330.7390000000005</v>
      </c>
      <c r="BK11" s="92"/>
      <c r="BL11" s="331">
        <f t="shared" si="51"/>
        <v>8207</v>
      </c>
      <c r="BM11" s="331">
        <f t="shared" si="52"/>
        <v>44279</v>
      </c>
      <c r="BN11" s="92"/>
      <c r="BO11" s="97">
        <f t="shared" si="53"/>
        <v>0.10603767053088789</v>
      </c>
      <c r="BP11" s="97">
        <f t="shared" si="53"/>
        <v>1.7202514176054114E-2</v>
      </c>
      <c r="BQ11" s="97">
        <f t="shared" si="54"/>
        <v>0.29675290529867182</v>
      </c>
      <c r="BR11" s="97">
        <f t="shared" si="69"/>
        <v>0.58587720120663245</v>
      </c>
      <c r="BS11" s="97">
        <f t="shared" si="8"/>
        <v>5.816814660417411E-2</v>
      </c>
      <c r="BT11" s="97">
        <f t="shared" si="8"/>
        <v>5.6413566444310503E-2</v>
      </c>
      <c r="BU11" s="97">
        <f t="shared" si="8"/>
        <v>1.0078537296538312</v>
      </c>
      <c r="BV11" s="97">
        <f t="shared" si="9"/>
        <v>8.7127219687366836E-2</v>
      </c>
      <c r="BW11" s="97">
        <f t="shared" si="9"/>
        <v>1.4134667654317427E-2</v>
      </c>
      <c r="BX11" s="97">
        <f t="shared" si="9"/>
        <v>0.24383085221860218</v>
      </c>
      <c r="BY11" s="97">
        <f t="shared" si="55"/>
        <v>0.48139355913595494</v>
      </c>
      <c r="BZ11" s="97">
        <f t="shared" si="10"/>
        <v>0.82811601647456623</v>
      </c>
      <c r="CA11" s="504" t="e">
        <f>#REF!</f>
        <v>#REF!</v>
      </c>
      <c r="CB11" s="97">
        <f t="shared" si="11"/>
        <v>3.3985570416109258E-2</v>
      </c>
      <c r="CC11" s="97">
        <f t="shared" si="11"/>
        <v>3.8373272126983833E-2</v>
      </c>
      <c r="CD11" s="97">
        <f t="shared" si="12"/>
        <v>0.11674410562790584</v>
      </c>
      <c r="CE11" s="97">
        <f t="shared" si="12"/>
        <v>0.13181633498072798</v>
      </c>
      <c r="CF11" s="97">
        <f t="shared" si="56"/>
        <v>0.27426614581731312</v>
      </c>
      <c r="CG11" s="97">
        <f t="shared" si="56"/>
        <v>8.2023520244430076E-2</v>
      </c>
      <c r="CH11" s="97">
        <f t="shared" si="57"/>
        <v>0.94583371781858439</v>
      </c>
      <c r="CI11" s="504" t="e">
        <f>#REF!</f>
        <v>#REF!</v>
      </c>
      <c r="CJ11" s="97">
        <f t="shared" si="58"/>
        <v>0.34105673451710694</v>
      </c>
      <c r="CK11" s="97">
        <f t="shared" si="58"/>
        <v>6.6767720513930984E-2</v>
      </c>
      <c r="CL11" s="97">
        <f t="shared" si="70"/>
        <v>0.60090948462537885</v>
      </c>
      <c r="CM11" s="97" t="e">
        <f>#REF!</f>
        <v>#REF!</v>
      </c>
      <c r="CN11" s="97">
        <f t="shared" si="59"/>
        <v>0.89659493907154098</v>
      </c>
      <c r="CO11" s="97">
        <f t="shared" si="59"/>
        <v>0.11332426739194199</v>
      </c>
      <c r="CP11" s="97">
        <f t="shared" si="60"/>
        <v>1.2632322747513534</v>
      </c>
      <c r="CQ11" s="97" t="e">
        <f>#REF!</f>
        <v>#REF!</v>
      </c>
      <c r="CR11" s="97">
        <f t="shared" si="71"/>
        <v>3.1744278252566364E-2</v>
      </c>
      <c r="CS11" s="97">
        <f t="shared" si="71"/>
        <v>5.5552486941991143E-2</v>
      </c>
      <c r="CT11" s="504" t="e">
        <f>#REF!</f>
        <v>#REF!</v>
      </c>
      <c r="CU11" s="97">
        <f t="shared" si="72"/>
        <v>1.3380450359198189E-2</v>
      </c>
      <c r="CV11" s="97">
        <f t="shared" si="61"/>
        <v>3.4789170933915294E-2</v>
      </c>
      <c r="CW11" s="504" t="e">
        <f>#REF!</f>
        <v>#REF!</v>
      </c>
      <c r="CX11" s="97">
        <f t="shared" si="62"/>
        <v>9.5902623109116028E-2</v>
      </c>
      <c r="CY11" s="97">
        <f t="shared" si="62"/>
        <v>2.1311694024248005E-2</v>
      </c>
      <c r="CZ11" s="97">
        <f t="shared" si="62"/>
        <v>0.17958236288079571</v>
      </c>
      <c r="DA11" s="97">
        <f t="shared" si="62"/>
        <v>8.4619961566867082E-3</v>
      </c>
      <c r="DB11" s="97">
        <f t="shared" si="13"/>
        <v>0.10718528465136497</v>
      </c>
      <c r="DC11" s="97">
        <f t="shared" si="14"/>
        <v>3.1967541036372005E-2</v>
      </c>
      <c r="DD11" s="97">
        <f t="shared" si="14"/>
        <v>0.3152877086528455</v>
      </c>
      <c r="DE11" s="97">
        <f t="shared" si="14"/>
        <v>2.256532308449789E-2</v>
      </c>
      <c r="DF11" s="97">
        <f t="shared" si="14"/>
        <v>0</v>
      </c>
      <c r="DG11" s="97">
        <f t="shared" si="14"/>
        <v>0</v>
      </c>
      <c r="DH11" s="97">
        <f t="shared" si="14"/>
        <v>0.45444053434058246</v>
      </c>
      <c r="DI11" s="504" t="e">
        <f>#REF!</f>
        <v>#REF!</v>
      </c>
      <c r="DJ11" s="97">
        <f t="shared" si="63"/>
        <v>0.24351744495353972</v>
      </c>
      <c r="DK11" s="504" t="e">
        <f>#REF!</f>
        <v>#REF!</v>
      </c>
      <c r="DL11" s="97">
        <f t="shared" si="15"/>
        <v>0.34451638359983638</v>
      </c>
      <c r="DM11" s="504">
        <f t="shared" si="16"/>
        <v>0</v>
      </c>
      <c r="DN11" s="97">
        <f t="shared" si="17"/>
        <v>1.9840995958143206</v>
      </c>
      <c r="DO11" s="100">
        <v>3.4</v>
      </c>
      <c r="DP11" s="97">
        <f t="shared" si="18"/>
        <v>2.572133424367697</v>
      </c>
      <c r="DQ11" s="97">
        <f t="shared" si="73"/>
        <v>3.3831478208903363</v>
      </c>
      <c r="DR11" s="101" t="str">
        <f t="shared" si="19"/>
        <v>3,315, hL/NhL</v>
      </c>
      <c r="DS11" s="116"/>
      <c r="DT11" s="103">
        <v>6</v>
      </c>
      <c r="DU11" s="76">
        <v>618960</v>
      </c>
      <c r="DV11" s="76">
        <v>24725</v>
      </c>
      <c r="DW11" s="77">
        <v>5115614</v>
      </c>
      <c r="DX11" s="129">
        <v>110346</v>
      </c>
      <c r="DY11" s="76">
        <v>82740</v>
      </c>
      <c r="DZ11" s="76">
        <v>379785</v>
      </c>
      <c r="EA11" s="76">
        <v>222599</v>
      </c>
      <c r="EB11" s="77">
        <v>52058</v>
      </c>
      <c r="EC11" s="76">
        <v>390266</v>
      </c>
      <c r="ED11" s="76">
        <v>45812</v>
      </c>
      <c r="EE11" s="77">
        <v>37525</v>
      </c>
      <c r="EF11" s="77">
        <v>39764</v>
      </c>
      <c r="EG11" s="76">
        <v>90184</v>
      </c>
      <c r="EH11" s="76">
        <v>178027</v>
      </c>
      <c r="EI11" s="76">
        <v>30803</v>
      </c>
      <c r="EJ11" s="77">
        <v>39102</v>
      </c>
      <c r="EK11" s="77"/>
      <c r="EL11" s="76">
        <v>688908</v>
      </c>
      <c r="EM11" s="77">
        <v>7780</v>
      </c>
      <c r="EN11" s="77">
        <v>41891</v>
      </c>
      <c r="EO11" s="76">
        <v>2934524</v>
      </c>
      <c r="EP11" s="77">
        <v>2689875</v>
      </c>
      <c r="EQ11" s="77">
        <v>1525</v>
      </c>
      <c r="ER11" s="77">
        <v>1479</v>
      </c>
      <c r="ES11" s="124">
        <v>321061</v>
      </c>
      <c r="ET11" s="77">
        <v>6122890</v>
      </c>
      <c r="EU11" s="77">
        <v>401211</v>
      </c>
      <c r="EV11" s="77">
        <v>124598</v>
      </c>
      <c r="EW11" s="77">
        <v>91203</v>
      </c>
      <c r="EX11" s="76">
        <v>202968</v>
      </c>
      <c r="EY11" s="76">
        <v>1603328</v>
      </c>
      <c r="EZ11" s="76">
        <v>740616</v>
      </c>
      <c r="FA11" s="76">
        <v>734726</v>
      </c>
      <c r="FB11" s="77">
        <v>30352</v>
      </c>
      <c r="FC11" s="77">
        <v>7430</v>
      </c>
      <c r="FD11" s="77">
        <f>SUM(FE11:FM11)</f>
        <v>7697</v>
      </c>
      <c r="FE11" s="105">
        <f t="shared" si="75"/>
        <v>0</v>
      </c>
      <c r="FF11" s="105">
        <f t="shared" si="75"/>
        <v>720</v>
      </c>
      <c r="FG11" s="105">
        <f t="shared" si="75"/>
        <v>1966</v>
      </c>
      <c r="FH11" s="105">
        <f t="shared" si="75"/>
        <v>2719</v>
      </c>
      <c r="FI11" s="105">
        <v>758</v>
      </c>
      <c r="FJ11" s="105">
        <f t="shared" si="75"/>
        <v>988</v>
      </c>
      <c r="FK11" s="105">
        <f>FK44-FK43</f>
        <v>0</v>
      </c>
      <c r="FL11" s="105">
        <f>FL44-FL43</f>
        <v>546</v>
      </c>
      <c r="FM11" s="105">
        <f>FM44-FM43</f>
        <v>0</v>
      </c>
      <c r="FN11" s="124">
        <f t="shared" si="74"/>
        <v>510</v>
      </c>
      <c r="FO11" s="104">
        <v>994732</v>
      </c>
      <c r="FP11" s="132"/>
      <c r="FY11" s="119">
        <v>6</v>
      </c>
      <c r="FZ11" s="107">
        <v>9080</v>
      </c>
      <c r="GA11" s="107">
        <v>1148</v>
      </c>
      <c r="GB11" s="108">
        <f>GA11/FZ11/0.1</f>
        <v>1.2643171806167399</v>
      </c>
      <c r="GC11" s="109"/>
      <c r="GD11" s="110"/>
      <c r="GE11" s="110"/>
      <c r="GF11" s="111"/>
      <c r="GG11" s="111"/>
      <c r="GH11" s="111"/>
      <c r="GI11" s="112"/>
      <c r="GJ11" s="111">
        <f t="shared" si="65"/>
        <v>1030.5958188153311</v>
      </c>
      <c r="GK11" s="113"/>
    </row>
    <row r="12" spans="1:194" s="119" customFormat="1" ht="15" customHeight="1">
      <c r="B12" s="573">
        <v>42862</v>
      </c>
      <c r="D12" s="128"/>
      <c r="E12" s="128"/>
      <c r="F12" s="128">
        <v>2685.3119999999999</v>
      </c>
      <c r="G12" s="86"/>
      <c r="H12" s="86">
        <v>6618.3289999999997</v>
      </c>
      <c r="I12" s="86">
        <v>1816.3780000000002</v>
      </c>
      <c r="J12" s="86"/>
      <c r="K12" s="86"/>
      <c r="L12" s="86"/>
      <c r="M12" s="115">
        <f t="shared" si="22"/>
        <v>1816.3780000000002</v>
      </c>
      <c r="N12" s="88">
        <f t="shared" si="0"/>
        <v>9303.6409999999996</v>
      </c>
      <c r="O12" s="88">
        <f>N12+L12+K12+((J12+I12)*0.5)</f>
        <v>10211.83</v>
      </c>
      <c r="P12" s="89">
        <f t="shared" si="23"/>
        <v>141092.89800000002</v>
      </c>
      <c r="R12" s="90">
        <f t="shared" si="24"/>
        <v>316</v>
      </c>
      <c r="S12" s="90">
        <f t="shared" si="25"/>
        <v>46.8</v>
      </c>
      <c r="T12" s="90">
        <f t="shared" si="1"/>
        <v>648.9</v>
      </c>
      <c r="U12" s="91">
        <f t="shared" si="76"/>
        <v>5.9</v>
      </c>
      <c r="V12" s="90">
        <f t="shared" si="26"/>
        <v>1155</v>
      </c>
      <c r="W12" s="91">
        <f t="shared" si="2"/>
        <v>139.5</v>
      </c>
      <c r="X12" s="170">
        <f t="shared" si="27"/>
        <v>1155</v>
      </c>
      <c r="Y12" s="170">
        <f t="shared" si="28"/>
        <v>241.8</v>
      </c>
      <c r="Z12" s="170">
        <f t="shared" si="3"/>
        <v>44.3</v>
      </c>
      <c r="AA12" s="170">
        <f t="shared" si="29"/>
        <v>2172.6</v>
      </c>
      <c r="AB12" s="170">
        <f t="shared" si="30"/>
        <v>0</v>
      </c>
      <c r="AC12" s="170">
        <f t="shared" si="30"/>
        <v>0</v>
      </c>
      <c r="AD12" s="170">
        <f t="shared" si="31"/>
        <v>25</v>
      </c>
      <c r="AE12" s="170">
        <f t="shared" si="32"/>
        <v>25</v>
      </c>
      <c r="AF12" s="170">
        <f t="shared" si="33"/>
        <v>0</v>
      </c>
      <c r="AG12" s="170">
        <f t="shared" si="33"/>
        <v>31</v>
      </c>
      <c r="AH12" s="170">
        <f t="shared" si="34"/>
        <v>94</v>
      </c>
      <c r="AI12" s="170">
        <f t="shared" si="35"/>
        <v>63</v>
      </c>
      <c r="AJ12" s="170">
        <f t="shared" si="36"/>
        <v>203</v>
      </c>
      <c r="AK12" s="170">
        <f t="shared" si="36"/>
        <v>23</v>
      </c>
      <c r="AL12" s="170">
        <f t="shared" si="37"/>
        <v>298</v>
      </c>
      <c r="AM12" s="170">
        <f t="shared" si="38"/>
        <v>72</v>
      </c>
      <c r="AN12" s="170">
        <f t="shared" si="39"/>
        <v>1</v>
      </c>
      <c r="AO12" s="170">
        <f t="shared" si="4"/>
        <v>8</v>
      </c>
      <c r="AP12" s="170">
        <f t="shared" si="40"/>
        <v>10</v>
      </c>
      <c r="AQ12" s="170">
        <f t="shared" si="5"/>
        <v>24</v>
      </c>
      <c r="AR12" s="170">
        <f t="shared" si="41"/>
        <v>101.69</v>
      </c>
      <c r="AS12" s="170">
        <f t="shared" si="42"/>
        <v>78.69</v>
      </c>
      <c r="AT12" s="170">
        <f t="shared" si="43"/>
        <v>365.69</v>
      </c>
      <c r="AU12" s="170">
        <f t="shared" si="44"/>
        <v>261</v>
      </c>
      <c r="AV12" s="170">
        <f t="shared" si="67"/>
        <v>25</v>
      </c>
      <c r="AW12" s="170">
        <f t="shared" si="45"/>
        <v>26</v>
      </c>
      <c r="AX12" s="170">
        <f t="shared" si="68"/>
        <v>40</v>
      </c>
      <c r="AY12" s="170">
        <v>0</v>
      </c>
      <c r="AZ12" s="170">
        <f t="shared" si="46"/>
        <v>444</v>
      </c>
      <c r="BA12" s="170">
        <v>0</v>
      </c>
      <c r="BB12" s="170">
        <f t="shared" si="47"/>
        <v>95</v>
      </c>
      <c r="BC12" s="170">
        <f t="shared" si="47"/>
        <v>1110</v>
      </c>
      <c r="BD12" s="91">
        <f t="shared" si="48"/>
        <v>180</v>
      </c>
      <c r="BE12" s="90"/>
      <c r="BF12" s="90"/>
      <c r="BG12" s="170">
        <f t="shared" si="6"/>
        <v>1649</v>
      </c>
      <c r="BH12" s="170">
        <f t="shared" si="49"/>
        <v>835</v>
      </c>
      <c r="BI12" s="170">
        <f t="shared" si="50"/>
        <v>1107.71</v>
      </c>
      <c r="BJ12" s="170">
        <f t="shared" si="7"/>
        <v>4701.29</v>
      </c>
      <c r="BK12" s="92"/>
      <c r="BL12" s="331">
        <f t="shared" si="51"/>
        <v>6644</v>
      </c>
      <c r="BM12" s="331">
        <f t="shared" si="52"/>
        <v>50923</v>
      </c>
      <c r="BN12" s="92"/>
      <c r="BO12" s="97">
        <f t="shared" si="53"/>
        <v>0.33965197066395836</v>
      </c>
      <c r="BP12" s="97">
        <f t="shared" si="53"/>
        <v>5.0302886794535602E-2</v>
      </c>
      <c r="BQ12" s="97">
        <f t="shared" si="54"/>
        <v>0.69746887267038793</v>
      </c>
      <c r="BR12" s="97">
        <f t="shared" si="69"/>
        <v>1.2414494497369364</v>
      </c>
      <c r="BS12" s="97">
        <f t="shared" si="8"/>
        <v>0.25989824843843395</v>
      </c>
      <c r="BT12" s="97">
        <f t="shared" si="8"/>
        <v>4.761576677345998E-2</v>
      </c>
      <c r="BU12" s="97">
        <f t="shared" si="8"/>
        <v>2.3352147831155565</v>
      </c>
      <c r="BV12" s="97">
        <f t="shared" si="9"/>
        <v>0.30944502601394658</v>
      </c>
      <c r="BW12" s="97">
        <f t="shared" si="9"/>
        <v>4.5829200055230057E-2</v>
      </c>
      <c r="BX12" s="97">
        <f t="shared" si="9"/>
        <v>0.63543948538117068</v>
      </c>
      <c r="BY12" s="97">
        <f t="shared" si="55"/>
        <v>1.1310411552092035</v>
      </c>
      <c r="BZ12" s="97">
        <f t="shared" si="10"/>
        <v>2.1275324794870261</v>
      </c>
      <c r="CA12" s="504" t="e">
        <f>#REF!</f>
        <v>#REF!</v>
      </c>
      <c r="CB12" s="97">
        <f t="shared" si="11"/>
        <v>9.9580584478981715E-2</v>
      </c>
      <c r="CC12" s="97">
        <f t="shared" si="11"/>
        <v>7.7057687015941317E-2</v>
      </c>
      <c r="CD12" s="97">
        <f t="shared" si="12"/>
        <v>0.55985042760923109</v>
      </c>
      <c r="CE12" s="97">
        <f t="shared" si="12"/>
        <v>0.43322480232638794</v>
      </c>
      <c r="CF12" s="97" t="str">
        <f t="shared" si="56"/>
        <v>0,00</v>
      </c>
      <c r="CG12" s="97" t="str">
        <f t="shared" si="56"/>
        <v>0,00</v>
      </c>
      <c r="CH12" s="97" t="str">
        <f t="shared" si="57"/>
        <v xml:space="preserve">0,00 </v>
      </c>
      <c r="CI12" s="504" t="e">
        <f>#REF!</f>
        <v>#REF!</v>
      </c>
      <c r="CJ12" s="97" t="str">
        <f t="shared" si="58"/>
        <v>0,00</v>
      </c>
      <c r="CK12" s="97" t="str">
        <f t="shared" si="58"/>
        <v>0,00</v>
      </c>
      <c r="CL12" s="97" t="str">
        <f t="shared" si="70"/>
        <v xml:space="preserve">0,00 </v>
      </c>
      <c r="CM12" s="97" t="e">
        <f>#REF!</f>
        <v>#REF!</v>
      </c>
      <c r="CN12" s="97">
        <f t="shared" si="59"/>
        <v>0.75596429763096429</v>
      </c>
      <c r="CO12" s="97">
        <f t="shared" si="59"/>
        <v>8.5651127317793993E-2</v>
      </c>
      <c r="CP12" s="97">
        <f t="shared" si="60"/>
        <v>1.1097406930740263</v>
      </c>
      <c r="CQ12" s="97" t="e">
        <f>#REF!</f>
        <v>#REF!</v>
      </c>
      <c r="CR12" s="97" t="str">
        <f t="shared" si="71"/>
        <v xml:space="preserve">0,00 </v>
      </c>
      <c r="CS12" s="97" t="str">
        <f t="shared" si="71"/>
        <v xml:space="preserve">0,00 </v>
      </c>
      <c r="CT12" s="504" t="e">
        <f>#REF!</f>
        <v>#REF!</v>
      </c>
      <c r="CU12" s="97">
        <f t="shared" si="72"/>
        <v>1.5109554088350699E-2</v>
      </c>
      <c r="CV12" s="97">
        <f t="shared" si="61"/>
        <v>3.6262929812041683E-2</v>
      </c>
      <c r="CW12" s="504" t="e">
        <f>#REF!</f>
        <v>#REF!</v>
      </c>
      <c r="CX12" s="97">
        <f t="shared" si="62"/>
        <v>0.25558592338493691</v>
      </c>
      <c r="CY12" s="97">
        <f t="shared" si="62"/>
        <v>2.4481410285913493E-2</v>
      </c>
      <c r="CZ12" s="97">
        <f t="shared" si="62"/>
        <v>2.5460666697350035E-2</v>
      </c>
      <c r="DA12" s="97">
        <f t="shared" si="62"/>
        <v>3.917025645746159E-2</v>
      </c>
      <c r="DB12" s="97">
        <f t="shared" si="13"/>
        <v>0.43478984667782372</v>
      </c>
      <c r="DC12" s="97">
        <f t="shared" si="14"/>
        <v>9.302935908647128E-2</v>
      </c>
      <c r="DD12" s="97">
        <f t="shared" si="14"/>
        <v>1.0869746166945591</v>
      </c>
      <c r="DE12" s="97">
        <f t="shared" si="14"/>
        <v>0.17626615405857718</v>
      </c>
      <c r="DF12" s="97">
        <f t="shared" si="14"/>
        <v>0</v>
      </c>
      <c r="DG12" s="97">
        <f t="shared" si="14"/>
        <v>0</v>
      </c>
      <c r="DH12" s="97">
        <f t="shared" si="14"/>
        <v>1.6147938224588541</v>
      </c>
      <c r="DI12" s="504" t="e">
        <f>#REF!</f>
        <v>#REF!</v>
      </c>
      <c r="DJ12" s="97">
        <f t="shared" si="63"/>
        <v>0.81767910354951068</v>
      </c>
      <c r="DK12" s="504" t="e">
        <f>#REF!</f>
        <v>#REF!</v>
      </c>
      <c r="DL12" s="97">
        <f t="shared" si="15"/>
        <v>1.0847321195123696</v>
      </c>
      <c r="DM12" s="504">
        <f t="shared" si="16"/>
        <v>0</v>
      </c>
      <c r="DN12" s="97">
        <f t="shared" si="17"/>
        <v>4.60376837452249</v>
      </c>
      <c r="DO12" s="100">
        <v>3.4</v>
      </c>
      <c r="DP12" s="97">
        <f t="shared" si="18"/>
        <v>6.5061795975843708</v>
      </c>
      <c r="DQ12" s="97">
        <f t="shared" si="73"/>
        <v>3.6091823700438836</v>
      </c>
      <c r="DR12" s="101" t="str">
        <f t="shared" si="19"/>
        <v>3,315, hL/NhL</v>
      </c>
      <c r="DS12" s="116"/>
      <c r="DT12" s="134">
        <v>7</v>
      </c>
      <c r="DU12" s="76">
        <v>618960</v>
      </c>
      <c r="DV12" s="76">
        <v>24725</v>
      </c>
      <c r="DW12" s="135">
        <v>5115639</v>
      </c>
      <c r="DX12" s="136">
        <v>110346</v>
      </c>
      <c r="DY12" s="136">
        <v>82771</v>
      </c>
      <c r="DZ12" s="136">
        <v>379879</v>
      </c>
      <c r="EA12" s="136">
        <v>222802</v>
      </c>
      <c r="EB12" s="136">
        <v>52081</v>
      </c>
      <c r="EC12" s="136">
        <v>390564</v>
      </c>
      <c r="ED12" s="137">
        <v>45813</v>
      </c>
      <c r="EE12" s="136">
        <v>37526</v>
      </c>
      <c r="EF12" s="136">
        <v>39771</v>
      </c>
      <c r="EG12" s="135">
        <v>90194</v>
      </c>
      <c r="EH12" s="135">
        <v>178051</v>
      </c>
      <c r="EI12" s="135">
        <v>30828</v>
      </c>
      <c r="EJ12" s="136">
        <v>39142</v>
      </c>
      <c r="EK12" s="136"/>
      <c r="EL12" s="135">
        <v>689224</v>
      </c>
      <c r="EM12" s="136">
        <v>6489</v>
      </c>
      <c r="EN12" s="136">
        <v>41950</v>
      </c>
      <c r="EO12" s="135">
        <v>2935679</v>
      </c>
      <c r="EP12" s="136">
        <v>2691270</v>
      </c>
      <c r="EQ12" s="136">
        <v>2418</v>
      </c>
      <c r="ER12" s="136">
        <v>443</v>
      </c>
      <c r="ES12" s="136">
        <v>321325</v>
      </c>
      <c r="ET12" s="136">
        <v>6224580</v>
      </c>
      <c r="EU12" s="136">
        <v>401237</v>
      </c>
      <c r="EV12" s="136">
        <v>124859</v>
      </c>
      <c r="EW12" s="136">
        <v>91647</v>
      </c>
      <c r="EX12" s="135">
        <v>203063</v>
      </c>
      <c r="EY12" s="135">
        <v>1604438</v>
      </c>
      <c r="EZ12" s="135">
        <v>741084</v>
      </c>
      <c r="FA12" s="135">
        <v>734906</v>
      </c>
      <c r="FB12" s="136">
        <v>30352</v>
      </c>
      <c r="FC12" s="136">
        <v>5809</v>
      </c>
      <c r="FD12" s="104">
        <f t="shared" si="20"/>
        <v>6312</v>
      </c>
      <c r="FE12" s="105">
        <f t="shared" si="75"/>
        <v>0</v>
      </c>
      <c r="FF12" s="105">
        <f t="shared" si="75"/>
        <v>173</v>
      </c>
      <c r="FG12" s="105">
        <f t="shared" si="75"/>
        <v>1965</v>
      </c>
      <c r="FH12" s="105">
        <f t="shared" si="75"/>
        <v>1876</v>
      </c>
      <c r="FI12" s="105">
        <v>712</v>
      </c>
      <c r="FJ12" s="105">
        <f t="shared" si="75"/>
        <v>724</v>
      </c>
      <c r="FK12" s="105">
        <f t="shared" si="75"/>
        <v>0</v>
      </c>
      <c r="FL12" s="105">
        <f t="shared" si="75"/>
        <v>862</v>
      </c>
      <c r="FM12" s="105">
        <f t="shared" si="75"/>
        <v>0</v>
      </c>
      <c r="FN12" s="124">
        <f t="shared" si="74"/>
        <v>332</v>
      </c>
      <c r="FO12" s="104">
        <v>995064</v>
      </c>
      <c r="FP12" s="132"/>
      <c r="FY12" s="119">
        <v>7</v>
      </c>
      <c r="FZ12" s="107">
        <v>9087</v>
      </c>
      <c r="GA12" s="107">
        <v>1193</v>
      </c>
      <c r="GB12" s="108">
        <f>GA12/FZ12/0.1</f>
        <v>1.312864531748652</v>
      </c>
      <c r="GC12" s="109"/>
      <c r="GD12" s="110"/>
      <c r="GE12" s="110"/>
      <c r="GF12" s="111"/>
      <c r="GG12" s="111"/>
      <c r="GH12" s="111"/>
      <c r="GI12" s="112"/>
      <c r="GJ12" s="111">
        <f t="shared" si="65"/>
        <v>2288.1264040234701</v>
      </c>
      <c r="GK12" s="113"/>
    </row>
    <row r="13" spans="1:194" s="119" customFormat="1" ht="15" customHeight="1">
      <c r="B13" s="573">
        <v>42863</v>
      </c>
      <c r="D13" s="128"/>
      <c r="E13" s="128">
        <v>3716.52</v>
      </c>
      <c r="F13" s="128">
        <v>2255.6880000000001</v>
      </c>
      <c r="G13" s="86">
        <v>3320.0529999999999</v>
      </c>
      <c r="H13" s="86">
        <v>7102.2649999999994</v>
      </c>
      <c r="I13" s="86">
        <v>1385.085</v>
      </c>
      <c r="J13" s="86">
        <v>4461.7440000000006</v>
      </c>
      <c r="K13" s="85"/>
      <c r="L13" s="86"/>
      <c r="M13" s="115">
        <f t="shared" si="22"/>
        <v>5846.8290000000006</v>
      </c>
      <c r="N13" s="88">
        <f t="shared" si="0"/>
        <v>16394.525999999998</v>
      </c>
      <c r="O13" s="88">
        <f>N13+L13+K13+((J13+I13)*0.5)</f>
        <v>19317.940499999997</v>
      </c>
      <c r="P13" s="89">
        <f t="shared" si="23"/>
        <v>160410.83850000001</v>
      </c>
      <c r="R13" s="90">
        <f t="shared" si="24"/>
        <v>313</v>
      </c>
      <c r="S13" s="90">
        <f t="shared" si="25"/>
        <v>30.1</v>
      </c>
      <c r="T13" s="90">
        <f t="shared" si="1"/>
        <v>566.5</v>
      </c>
      <c r="U13" s="91">
        <f t="shared" si="76"/>
        <v>5.9</v>
      </c>
      <c r="V13" s="90">
        <f t="shared" si="26"/>
        <v>1682</v>
      </c>
      <c r="W13" s="91">
        <f t="shared" si="2"/>
        <v>278.2</v>
      </c>
      <c r="X13" s="170">
        <f t="shared" si="27"/>
        <v>1682</v>
      </c>
      <c r="Y13" s="170">
        <f t="shared" si="28"/>
        <v>164.7</v>
      </c>
      <c r="Z13" s="170">
        <f t="shared" si="3"/>
        <v>174.8</v>
      </c>
      <c r="AA13" s="170">
        <f t="shared" si="29"/>
        <v>2597.5</v>
      </c>
      <c r="AB13" s="170">
        <f t="shared" si="30"/>
        <v>0</v>
      </c>
      <c r="AC13" s="170">
        <f t="shared" si="30"/>
        <v>17</v>
      </c>
      <c r="AD13" s="170">
        <f t="shared" si="31"/>
        <v>17</v>
      </c>
      <c r="AE13" s="170">
        <f t="shared" si="32"/>
        <v>0</v>
      </c>
      <c r="AF13" s="170">
        <f t="shared" si="33"/>
        <v>230</v>
      </c>
      <c r="AG13" s="170">
        <f t="shared" si="33"/>
        <v>18</v>
      </c>
      <c r="AH13" s="170">
        <f t="shared" si="34"/>
        <v>292</v>
      </c>
      <c r="AI13" s="170">
        <f t="shared" si="35"/>
        <v>44</v>
      </c>
      <c r="AJ13" s="170">
        <f t="shared" si="36"/>
        <v>183</v>
      </c>
      <c r="AK13" s="170">
        <f t="shared" si="36"/>
        <v>15</v>
      </c>
      <c r="AL13" s="170">
        <f t="shared" si="37"/>
        <v>288</v>
      </c>
      <c r="AM13" s="170">
        <f t="shared" si="38"/>
        <v>90</v>
      </c>
      <c r="AN13" s="170">
        <f t="shared" si="39"/>
        <v>31</v>
      </c>
      <c r="AO13" s="170">
        <f t="shared" si="4"/>
        <v>58</v>
      </c>
      <c r="AP13" s="170">
        <f t="shared" si="40"/>
        <v>25</v>
      </c>
      <c r="AQ13" s="170">
        <f t="shared" si="5"/>
        <v>54</v>
      </c>
      <c r="AR13" s="170">
        <f t="shared" si="41"/>
        <v>26.881</v>
      </c>
      <c r="AS13" s="170">
        <f t="shared" si="42"/>
        <v>231.88099999999997</v>
      </c>
      <c r="AT13" s="170">
        <f t="shared" si="43"/>
        <v>858.88099999999997</v>
      </c>
      <c r="AU13" s="170">
        <f t="shared" si="44"/>
        <v>183</v>
      </c>
      <c r="AV13" s="170">
        <f t="shared" si="67"/>
        <v>27</v>
      </c>
      <c r="AW13" s="170">
        <f t="shared" si="45"/>
        <v>444</v>
      </c>
      <c r="AX13" s="170">
        <f t="shared" si="68"/>
        <v>4</v>
      </c>
      <c r="AY13" s="170">
        <v>12.3</v>
      </c>
      <c r="AZ13" s="170">
        <f t="shared" si="46"/>
        <v>346</v>
      </c>
      <c r="BA13" s="170">
        <v>102</v>
      </c>
      <c r="BB13" s="170">
        <f t="shared" si="47"/>
        <v>121</v>
      </c>
      <c r="BC13" s="170">
        <f t="shared" si="47"/>
        <v>1111</v>
      </c>
      <c r="BD13" s="91">
        <f t="shared" si="48"/>
        <v>317</v>
      </c>
      <c r="BE13" s="90"/>
      <c r="BF13" s="90"/>
      <c r="BG13" s="170">
        <f t="shared" si="6"/>
        <v>1578</v>
      </c>
      <c r="BH13" s="170">
        <f>BL13-FC13</f>
        <v>257</v>
      </c>
      <c r="BI13" s="170">
        <f t="shared" si="50"/>
        <v>1581.6189999999997</v>
      </c>
      <c r="BJ13" s="170">
        <f t="shared" si="7"/>
        <v>5774.3810000000003</v>
      </c>
      <c r="BK13" s="92"/>
      <c r="BL13" s="331">
        <f t="shared" si="51"/>
        <v>7613</v>
      </c>
      <c r="BM13" s="331">
        <f t="shared" si="52"/>
        <v>58536</v>
      </c>
      <c r="BN13" s="92"/>
      <c r="BO13" s="97">
        <f t="shared" si="53"/>
        <v>0.19091738303382486</v>
      </c>
      <c r="BP13" s="97">
        <f t="shared" si="53"/>
        <v>1.8359786675137789E-2</v>
      </c>
      <c r="BQ13" s="97">
        <f t="shared" si="54"/>
        <v>0.34554216450051689</v>
      </c>
      <c r="BR13" s="97">
        <f t="shared" si="69"/>
        <v>1.0259521989229821</v>
      </c>
      <c r="BS13" s="97">
        <f t="shared" si="8"/>
        <v>0.10046036097658451</v>
      </c>
      <c r="BT13" s="97">
        <f t="shared" si="8"/>
        <v>0.10662095384764404</v>
      </c>
      <c r="BU13" s="97">
        <f t="shared" si="8"/>
        <v>1.5843702953046646</v>
      </c>
      <c r="BV13" s="97">
        <f t="shared" si="9"/>
        <v>0.16202555339685412</v>
      </c>
      <c r="BW13" s="97">
        <f t="shared" si="9"/>
        <v>1.5581371109409933E-2</v>
      </c>
      <c r="BX13" s="97">
        <f t="shared" si="9"/>
        <v>0.29325072204254904</v>
      </c>
      <c r="BY13" s="97">
        <f t="shared" si="55"/>
        <v>0.8706932294361297</v>
      </c>
      <c r="BZ13" s="97">
        <f t="shared" si="10"/>
        <v>1.3446050317837974</v>
      </c>
      <c r="CA13" s="504" t="e">
        <f>#REF!</f>
        <v>#REF!</v>
      </c>
      <c r="CB13" s="97">
        <f t="shared" si="11"/>
        <v>1.3915044411695958E-2</v>
      </c>
      <c r="CC13" s="97">
        <f t="shared" si="11"/>
        <v>0.12003401708375694</v>
      </c>
      <c r="CD13" s="97">
        <f t="shared" si="12"/>
        <v>4.5975348346941558E-2</v>
      </c>
      <c r="CE13" s="97">
        <f t="shared" si="12"/>
        <v>0.3965927513871193</v>
      </c>
      <c r="CF13" s="97" t="str">
        <f t="shared" si="56"/>
        <v>0,00</v>
      </c>
      <c r="CG13" s="97" t="str">
        <f t="shared" si="56"/>
        <v>0,00</v>
      </c>
      <c r="CH13" s="97" t="str">
        <f t="shared" si="57"/>
        <v xml:space="preserve">0,00 </v>
      </c>
      <c r="CI13" s="504" t="e">
        <f>#REF!</f>
        <v>#REF!</v>
      </c>
      <c r="CJ13" s="97">
        <f t="shared" si="58"/>
        <v>0.61885850203954229</v>
      </c>
      <c r="CK13" s="97">
        <f t="shared" si="58"/>
        <v>4.8432404507442448E-2</v>
      </c>
      <c r="CL13" s="97">
        <f t="shared" si="70"/>
        <v>0.78568122867628865</v>
      </c>
      <c r="CM13" s="97" t="e">
        <f>#REF!</f>
        <v>#REF!</v>
      </c>
      <c r="CN13" s="97">
        <f t="shared" si="59"/>
        <v>0.81128241139732094</v>
      </c>
      <c r="CO13" s="97">
        <f t="shared" si="59"/>
        <v>6.6498558311255812E-2</v>
      </c>
      <c r="CP13" s="97">
        <f t="shared" si="60"/>
        <v>1.2767723195761116</v>
      </c>
      <c r="CQ13" s="97" t="e">
        <f>#REF!</f>
        <v>#REF!</v>
      </c>
      <c r="CR13" s="97">
        <f t="shared" si="71"/>
        <v>9.3372003398740924E-2</v>
      </c>
      <c r="CS13" s="97">
        <f t="shared" si="71"/>
        <v>0.17469600635893465</v>
      </c>
      <c r="CT13" s="504" t="e">
        <f>#REF!</f>
        <v>#REF!</v>
      </c>
      <c r="CU13" s="97">
        <f t="shared" si="72"/>
        <v>3.5200038297641671E-2</v>
      </c>
      <c r="CV13" s="97">
        <f t="shared" si="61"/>
        <v>7.6032082722906014E-2</v>
      </c>
      <c r="CW13" s="504" t="e">
        <f>#REF!</f>
        <v>#REF!</v>
      </c>
      <c r="CX13" s="97">
        <f t="shared" si="62"/>
        <v>9.4730595117010555E-2</v>
      </c>
      <c r="CY13" s="97">
        <f t="shared" si="62"/>
        <v>1.3976645181198278E-2</v>
      </c>
      <c r="CZ13" s="97">
        <f t="shared" si="62"/>
        <v>0.22983816520192724</v>
      </c>
      <c r="DA13" s="97">
        <f t="shared" si="62"/>
        <v>2.0706141009182635E-3</v>
      </c>
      <c r="DB13" s="97">
        <f t="shared" si="13"/>
        <v>0.17910811972942978</v>
      </c>
      <c r="DC13" s="97">
        <f t="shared" si="14"/>
        <v>6.2636076552777462E-2</v>
      </c>
      <c r="DD13" s="97">
        <f t="shared" si="14"/>
        <v>0.57511306653004768</v>
      </c>
      <c r="DE13" s="97">
        <f t="shared" si="14"/>
        <v>0.16409616749777234</v>
      </c>
      <c r="DF13" s="97">
        <f t="shared" si="14"/>
        <v>0</v>
      </c>
      <c r="DG13" s="97">
        <f t="shared" si="14"/>
        <v>0</v>
      </c>
      <c r="DH13" s="97">
        <f t="shared" si="14"/>
        <v>0.8168572628122549</v>
      </c>
      <c r="DI13" s="504" t="e">
        <f>#REF!</f>
        <v>#REF!</v>
      </c>
      <c r="DJ13" s="97">
        <f t="shared" si="63"/>
        <v>0.13303695598399842</v>
      </c>
      <c r="DK13" s="504" t="e">
        <f>#REF!</f>
        <v>#REF!</v>
      </c>
      <c r="DL13" s="97">
        <f t="shared" si="15"/>
        <v>0.81873065092006048</v>
      </c>
      <c r="DM13" s="504">
        <f t="shared" si="16"/>
        <v>0</v>
      </c>
      <c r="DN13" s="97">
        <f t="shared" si="17"/>
        <v>2.9891286806686255</v>
      </c>
      <c r="DO13" s="100">
        <v>3.4</v>
      </c>
      <c r="DP13" s="97">
        <f t="shared" si="18"/>
        <v>3.9408962875726843</v>
      </c>
      <c r="DQ13" s="97">
        <f t="shared" si="73"/>
        <v>3.6491299807026438</v>
      </c>
      <c r="DR13" s="101" t="str">
        <f t="shared" si="19"/>
        <v>3,315, hL/NhL</v>
      </c>
      <c r="DS13" s="116"/>
      <c r="DT13" s="134">
        <v>8</v>
      </c>
      <c r="DU13" s="76">
        <v>618960</v>
      </c>
      <c r="DV13" s="135">
        <v>24742</v>
      </c>
      <c r="DW13" s="135">
        <v>5115639</v>
      </c>
      <c r="DX13" s="136">
        <v>110576</v>
      </c>
      <c r="DY13" s="136">
        <v>82789</v>
      </c>
      <c r="DZ13" s="136">
        <v>380171</v>
      </c>
      <c r="EA13" s="136">
        <v>222985</v>
      </c>
      <c r="EB13" s="136">
        <v>52096</v>
      </c>
      <c r="EC13" s="136">
        <v>390852</v>
      </c>
      <c r="ED13" s="135">
        <v>45844</v>
      </c>
      <c r="EE13" s="136">
        <v>37540</v>
      </c>
      <c r="EF13" s="136">
        <v>39815</v>
      </c>
      <c r="EG13" s="135">
        <v>90219</v>
      </c>
      <c r="EH13" s="135">
        <v>178105</v>
      </c>
      <c r="EI13" s="135">
        <v>30855</v>
      </c>
      <c r="EJ13" s="136">
        <v>39146</v>
      </c>
      <c r="EK13" s="136"/>
      <c r="EL13" s="135">
        <v>689537</v>
      </c>
      <c r="EM13" s="135">
        <v>5665</v>
      </c>
      <c r="EN13" s="136">
        <v>42009</v>
      </c>
      <c r="EO13" s="135">
        <v>2937361</v>
      </c>
      <c r="EP13" s="136">
        <v>2694052</v>
      </c>
      <c r="EQ13" s="136">
        <v>1647</v>
      </c>
      <c r="ER13" s="136">
        <v>1748</v>
      </c>
      <c r="ES13" s="139">
        <v>322157</v>
      </c>
      <c r="ET13" s="136">
        <v>6251461</v>
      </c>
      <c r="EU13" s="136">
        <v>401681</v>
      </c>
      <c r="EV13" s="136">
        <v>125042</v>
      </c>
      <c r="EW13" s="136">
        <v>91993</v>
      </c>
      <c r="EX13" s="135">
        <v>203184</v>
      </c>
      <c r="EY13" s="135">
        <v>1605549</v>
      </c>
      <c r="EZ13" s="140">
        <v>741385</v>
      </c>
      <c r="FA13" s="140">
        <v>735223</v>
      </c>
      <c r="FB13" s="136">
        <v>30458</v>
      </c>
      <c r="FC13" s="135">
        <v>7356</v>
      </c>
      <c r="FD13" s="104">
        <f t="shared" si="20"/>
        <v>7046</v>
      </c>
      <c r="FE13" s="105">
        <f t="shared" si="75"/>
        <v>0</v>
      </c>
      <c r="FF13" s="105">
        <f t="shared" si="75"/>
        <v>672</v>
      </c>
      <c r="FG13" s="105">
        <f t="shared" si="75"/>
        <v>1955</v>
      </c>
      <c r="FH13" s="105">
        <f t="shared" si="75"/>
        <v>2417</v>
      </c>
      <c r="FI13" s="105">
        <v>701</v>
      </c>
      <c r="FJ13" s="105">
        <f t="shared" si="75"/>
        <v>843</v>
      </c>
      <c r="FK13" s="105">
        <f t="shared" si="75"/>
        <v>0</v>
      </c>
      <c r="FL13" s="105">
        <f t="shared" si="75"/>
        <v>458</v>
      </c>
      <c r="FM13" s="105">
        <f t="shared" si="75"/>
        <v>0</v>
      </c>
      <c r="FN13" s="124">
        <f t="shared" si="74"/>
        <v>567</v>
      </c>
      <c r="FO13" s="104">
        <v>995631</v>
      </c>
      <c r="FP13" s="132"/>
      <c r="FY13" s="119">
        <v>8</v>
      </c>
      <c r="FZ13" s="107">
        <v>8106</v>
      </c>
      <c r="GA13" s="107">
        <v>1522</v>
      </c>
      <c r="GB13" s="108">
        <f>GA13/FZ13/0.1</f>
        <v>1.8776215149272142</v>
      </c>
      <c r="GC13" s="109"/>
      <c r="GD13" s="110"/>
      <c r="GE13" s="110"/>
      <c r="GF13" s="111"/>
      <c r="GG13" s="111"/>
      <c r="GH13" s="111"/>
      <c r="GI13" s="112"/>
      <c r="GJ13" s="111">
        <f t="shared" si="65"/>
        <v>1523.7362680683314</v>
      </c>
      <c r="GK13" s="113"/>
    </row>
    <row r="14" spans="1:194" s="141" customFormat="1" ht="15" customHeight="1">
      <c r="B14" s="573">
        <v>42864</v>
      </c>
      <c r="D14" s="86"/>
      <c r="E14" s="128">
        <v>5403</v>
      </c>
      <c r="F14" s="128">
        <v>1175.472</v>
      </c>
      <c r="G14" s="86">
        <v>6939.9660000000003</v>
      </c>
      <c r="H14" s="86">
        <v>5890.5920000000006</v>
      </c>
      <c r="I14" s="86">
        <v>2046.258</v>
      </c>
      <c r="J14" s="86">
        <v>2751.0120000000002</v>
      </c>
      <c r="K14" s="86"/>
      <c r="L14" s="86"/>
      <c r="M14" s="115">
        <f>I14+J14</f>
        <v>4797.2700000000004</v>
      </c>
      <c r="N14" s="88">
        <f>SUM(D14:H14)</f>
        <v>19409.03</v>
      </c>
      <c r="O14" s="88">
        <f>N14+L14+K14+((J14+I14)*0.5)</f>
        <v>21807.665000000001</v>
      </c>
      <c r="P14" s="89">
        <f t="shared" si="23"/>
        <v>182218.50350000002</v>
      </c>
      <c r="R14" s="90">
        <f t="shared" si="24"/>
        <v>321</v>
      </c>
      <c r="S14" s="90">
        <f t="shared" si="25"/>
        <v>71.2</v>
      </c>
      <c r="T14" s="90">
        <f t="shared" si="1"/>
        <v>355.9</v>
      </c>
      <c r="U14" s="91">
        <f t="shared" si="76"/>
        <v>5.0999999999999996</v>
      </c>
      <c r="V14" s="90">
        <f t="shared" si="26"/>
        <v>1583</v>
      </c>
      <c r="W14" s="91">
        <f t="shared" si="2"/>
        <v>1434.2</v>
      </c>
      <c r="X14" s="170">
        <f t="shared" si="27"/>
        <v>1583</v>
      </c>
      <c r="Y14" s="170" t="str">
        <f t="shared" si="28"/>
        <v>0</v>
      </c>
      <c r="Z14" s="170">
        <f t="shared" si="3"/>
        <v>177.8</v>
      </c>
      <c r="AA14" s="170">
        <f t="shared" si="29"/>
        <v>2336.1999999999998</v>
      </c>
      <c r="AB14" s="170">
        <f t="shared" si="30"/>
        <v>0</v>
      </c>
      <c r="AC14" s="170">
        <f t="shared" si="30"/>
        <v>0</v>
      </c>
      <c r="AD14" s="170">
        <f t="shared" si="31"/>
        <v>0</v>
      </c>
      <c r="AE14" s="170">
        <f t="shared" si="32"/>
        <v>0</v>
      </c>
      <c r="AF14" s="170">
        <f t="shared" si="33"/>
        <v>213</v>
      </c>
      <c r="AG14" s="170">
        <f t="shared" si="33"/>
        <v>113</v>
      </c>
      <c r="AH14" s="170">
        <f t="shared" si="34"/>
        <v>427</v>
      </c>
      <c r="AI14" s="170">
        <f t="shared" si="35"/>
        <v>101</v>
      </c>
      <c r="AJ14" s="170">
        <f t="shared" si="36"/>
        <v>134</v>
      </c>
      <c r="AK14" s="170">
        <f t="shared" si="36"/>
        <v>16</v>
      </c>
      <c r="AL14" s="170">
        <f t="shared" si="37"/>
        <v>178</v>
      </c>
      <c r="AM14" s="170">
        <f t="shared" si="38"/>
        <v>28</v>
      </c>
      <c r="AN14" s="170">
        <f t="shared" si="39"/>
        <v>30</v>
      </c>
      <c r="AO14" s="170">
        <f t="shared" si="4"/>
        <v>71</v>
      </c>
      <c r="AP14" s="170">
        <f t="shared" si="40"/>
        <v>100</v>
      </c>
      <c r="AQ14" s="170">
        <f t="shared" si="5"/>
        <v>161</v>
      </c>
      <c r="AR14" s="170">
        <f t="shared" si="41"/>
        <v>42.71</v>
      </c>
      <c r="AS14" s="170">
        <f t="shared" si="42"/>
        <v>-12.289999999999964</v>
      </c>
      <c r="AT14" s="170">
        <f t="shared" si="43"/>
        <v>689.71</v>
      </c>
      <c r="AU14" s="170">
        <f t="shared" si="44"/>
        <v>291</v>
      </c>
      <c r="AV14" s="170">
        <f t="shared" si="67"/>
        <v>21</v>
      </c>
      <c r="AW14" s="170">
        <f t="shared" si="45"/>
        <v>411</v>
      </c>
      <c r="AX14" s="170">
        <f>IF(EJ14=0,"",(EJ14-EJ13))</f>
        <v>86</v>
      </c>
      <c r="AY14" s="170" t="str">
        <f t="shared" ref="AY14:AY36" si="77">IF(EK14=0,"",(EK14-EK13))</f>
        <v/>
      </c>
      <c r="AZ14" s="170">
        <f t="shared" si="46"/>
        <v>345</v>
      </c>
      <c r="BA14" s="170">
        <v>80</v>
      </c>
      <c r="BB14" s="170">
        <f t="shared" si="47"/>
        <v>83</v>
      </c>
      <c r="BC14" s="170">
        <f t="shared" si="47"/>
        <v>941</v>
      </c>
      <c r="BD14" s="91">
        <f t="shared" si="48"/>
        <v>251</v>
      </c>
      <c r="BE14" s="90"/>
      <c r="BF14" s="90"/>
      <c r="BG14" s="170">
        <f t="shared" si="6"/>
        <v>1369</v>
      </c>
      <c r="BH14" s="170">
        <f t="shared" si="49"/>
        <v>1679</v>
      </c>
      <c r="BI14" s="170">
        <f t="shared" si="50"/>
        <v>1323.0900000000001</v>
      </c>
      <c r="BJ14" s="170">
        <f t="shared" si="7"/>
        <v>5338.91</v>
      </c>
      <c r="BK14" s="92"/>
      <c r="BL14" s="331">
        <f>FD14+FN14</f>
        <v>8341</v>
      </c>
      <c r="BM14" s="331">
        <f t="shared" si="52"/>
        <v>66877</v>
      </c>
      <c r="BN14" s="92"/>
      <c r="BO14" s="97">
        <f t="shared" si="53"/>
        <v>0.16538693587469339</v>
      </c>
      <c r="BP14" s="97">
        <f t="shared" si="53"/>
        <v>3.6683955870025452E-2</v>
      </c>
      <c r="BQ14" s="97">
        <f t="shared" si="54"/>
        <v>0.18336825694019743</v>
      </c>
      <c r="BR14" s="97">
        <f t="shared" si="69"/>
        <v>0.81559974918890843</v>
      </c>
      <c r="BS14" s="97">
        <f t="shared" si="8"/>
        <v>0</v>
      </c>
      <c r="BT14" s="97">
        <f t="shared" si="8"/>
        <v>9.1606844855204012E-2</v>
      </c>
      <c r="BU14" s="97">
        <f t="shared" si="8"/>
        <v>1.2036665407802452</v>
      </c>
      <c r="BV14" s="97">
        <f t="shared" si="9"/>
        <v>0.14719595151521264</v>
      </c>
      <c r="BW14" s="97">
        <f t="shared" si="9"/>
        <v>3.2649070865679572E-2</v>
      </c>
      <c r="BX14" s="97">
        <f t="shared" si="9"/>
        <v>0.16319949889178872</v>
      </c>
      <c r="BY14" s="97">
        <f t="shared" si="55"/>
        <v>0.72589156152206114</v>
      </c>
      <c r="BZ14" s="97">
        <f t="shared" si="10"/>
        <v>1.0712747100618061</v>
      </c>
      <c r="CA14" s="504" t="e">
        <f>#REF!</f>
        <v>#REF!</v>
      </c>
      <c r="CB14" s="97">
        <f t="shared" si="11"/>
        <v>1.9584856975746832E-2</v>
      </c>
      <c r="CC14" s="97">
        <f t="shared" si="11"/>
        <v>-5.6356331592584364E-3</v>
      </c>
      <c r="CD14" s="97">
        <f t="shared" si="12"/>
        <v>8.9029802366762764E-2</v>
      </c>
      <c r="CE14" s="97">
        <f t="shared" si="12"/>
        <v>-2.5618737323519339E-2</v>
      </c>
      <c r="CF14" s="97" t="str">
        <f t="shared" si="56"/>
        <v>0,00</v>
      </c>
      <c r="CG14" s="97" t="str">
        <f t="shared" si="56"/>
        <v>0,00</v>
      </c>
      <c r="CH14" s="97" t="str">
        <f t="shared" si="57"/>
        <v xml:space="preserve">0,00 </v>
      </c>
      <c r="CI14" s="504" t="e">
        <f>#REF!</f>
        <v>#REF!</v>
      </c>
      <c r="CJ14" s="97">
        <f t="shared" si="58"/>
        <v>0.39422543031649082</v>
      </c>
      <c r="CK14" s="97">
        <f t="shared" si="58"/>
        <v>0.20914306866555615</v>
      </c>
      <c r="CL14" s="97">
        <f t="shared" si="70"/>
        <v>0.79030168424949099</v>
      </c>
      <c r="CM14" s="97" t="e">
        <f>#REF!</f>
        <v>#REF!</v>
      </c>
      <c r="CN14" s="97">
        <f t="shared" si="59"/>
        <v>1.1399676045027018</v>
      </c>
      <c r="CO14" s="97">
        <f t="shared" si="59"/>
        <v>0.13611553486599426</v>
      </c>
      <c r="CP14" s="97">
        <f t="shared" si="60"/>
        <v>1.5142853253841861</v>
      </c>
      <c r="CQ14" s="97" t="e">
        <f>#REF!</f>
        <v>#REF!</v>
      </c>
      <c r="CR14" s="97">
        <f t="shared" si="71"/>
        <v>4.3227877485278739E-2</v>
      </c>
      <c r="CS14" s="97">
        <f t="shared" si="71"/>
        <v>0.10230597671515969</v>
      </c>
      <c r="CT14" s="504" t="e">
        <f>#REF!</f>
        <v>#REF!</v>
      </c>
      <c r="CU14" s="97">
        <f t="shared" si="72"/>
        <v>0.16976222423824294</v>
      </c>
      <c r="CV14" s="97">
        <f t="shared" si="61"/>
        <v>0.27331718102357111</v>
      </c>
      <c r="CW14" s="504" t="e">
        <f>#REF!</f>
        <v>#REF!</v>
      </c>
      <c r="CX14" s="97">
        <f t="shared" si="62"/>
        <v>0.13343932053248247</v>
      </c>
      <c r="CY14" s="97">
        <f t="shared" si="62"/>
        <v>9.6296416879111078E-3</v>
      </c>
      <c r="CZ14" s="97">
        <f t="shared" si="62"/>
        <v>0.18846584446340311</v>
      </c>
      <c r="DA14" s="97">
        <f t="shared" si="62"/>
        <v>3.9435675483826441E-2</v>
      </c>
      <c r="DB14" s="97">
        <f t="shared" si="13"/>
        <v>0.15820125630139678</v>
      </c>
      <c r="DC14" s="97">
        <f t="shared" si="14"/>
        <v>3.8060012385553427E-2</v>
      </c>
      <c r="DD14" s="97">
        <f t="shared" si="14"/>
        <v>0.43149965849163585</v>
      </c>
      <c r="DE14" s="97">
        <f t="shared" si="14"/>
        <v>0.11509714588884229</v>
      </c>
      <c r="DF14" s="97">
        <f t="shared" si="14"/>
        <v>0</v>
      </c>
      <c r="DG14" s="97">
        <f t="shared" si="14"/>
        <v>0</v>
      </c>
      <c r="DH14" s="97">
        <f t="shared" si="14"/>
        <v>0.627760927178586</v>
      </c>
      <c r="DI14" s="504" t="e">
        <f>#REF!</f>
        <v>#REF!</v>
      </c>
      <c r="DJ14" s="97">
        <f t="shared" si="63"/>
        <v>0.76991278066679769</v>
      </c>
      <c r="DK14" s="504" t="e">
        <f>#REF!</f>
        <v>#REF!</v>
      </c>
      <c r="DL14" s="97">
        <f t="shared" si="15"/>
        <v>0.60670869623134804</v>
      </c>
      <c r="DM14" s="504">
        <f t="shared" si="16"/>
        <v>0</v>
      </c>
      <c r="DN14" s="97">
        <f t="shared" si="17"/>
        <v>2.4481804906669282</v>
      </c>
      <c r="DO14" s="100">
        <v>3.4</v>
      </c>
      <c r="DP14" s="97">
        <f t="shared" si="18"/>
        <v>3.8248019675650742</v>
      </c>
      <c r="DQ14" s="97">
        <f t="shared" si="73"/>
        <v>3.6701541674114333</v>
      </c>
      <c r="DR14" s="101" t="str">
        <f t="shared" si="19"/>
        <v>3,315, hL/NhL</v>
      </c>
      <c r="DT14" s="142">
        <v>9</v>
      </c>
      <c r="DU14" s="76">
        <v>618960</v>
      </c>
      <c r="DV14" s="143">
        <v>24742</v>
      </c>
      <c r="DW14" s="135">
        <v>5115639</v>
      </c>
      <c r="DX14" s="136">
        <v>110789</v>
      </c>
      <c r="DY14" s="136">
        <v>82902</v>
      </c>
      <c r="DZ14" s="136">
        <v>380598</v>
      </c>
      <c r="EA14" s="136">
        <v>223119</v>
      </c>
      <c r="EB14" s="136">
        <v>52112</v>
      </c>
      <c r="EC14" s="136">
        <v>391030</v>
      </c>
      <c r="ED14" s="135">
        <v>45874</v>
      </c>
      <c r="EE14" s="136">
        <v>37556</v>
      </c>
      <c r="EF14" s="136">
        <v>39870</v>
      </c>
      <c r="EG14" s="135">
        <v>90319</v>
      </c>
      <c r="EH14" s="135">
        <v>178266</v>
      </c>
      <c r="EI14" s="135">
        <v>30876</v>
      </c>
      <c r="EJ14" s="136">
        <v>39232</v>
      </c>
      <c r="EK14" s="136"/>
      <c r="EL14" s="135">
        <v>689858</v>
      </c>
      <c r="EM14" s="136">
        <v>3559</v>
      </c>
      <c r="EN14" s="136">
        <v>42060</v>
      </c>
      <c r="EO14" s="135">
        <v>2938944</v>
      </c>
      <c r="EP14" s="136">
        <v>2708394</v>
      </c>
      <c r="EQ14" s="136">
        <v>0</v>
      </c>
      <c r="ER14" s="136">
        <v>1778</v>
      </c>
      <c r="ES14" s="144">
        <v>322804</v>
      </c>
      <c r="ET14" s="136">
        <v>6294171</v>
      </c>
      <c r="EU14" s="136">
        <v>402092</v>
      </c>
      <c r="EV14" s="136">
        <v>125333</v>
      </c>
      <c r="EW14" s="136">
        <v>92338</v>
      </c>
      <c r="EX14" s="135">
        <v>203267</v>
      </c>
      <c r="EY14" s="135">
        <v>1606490</v>
      </c>
      <c r="EZ14" s="140">
        <v>742097</v>
      </c>
      <c r="FA14" s="140">
        <v>735474</v>
      </c>
      <c r="FB14" s="145">
        <v>30555</v>
      </c>
      <c r="FC14" s="146">
        <v>6662</v>
      </c>
      <c r="FD14" s="104">
        <f t="shared" ref="FD14:FD32" si="78">SUM(FE14:FM14)</f>
        <v>7654</v>
      </c>
      <c r="FE14" s="105">
        <f t="shared" si="75"/>
        <v>0</v>
      </c>
      <c r="FF14" s="105">
        <f t="shared" si="75"/>
        <v>581</v>
      </c>
      <c r="FG14" s="105">
        <f t="shared" si="75"/>
        <v>1956</v>
      </c>
      <c r="FH14" s="105">
        <f t="shared" si="75"/>
        <v>1970</v>
      </c>
      <c r="FI14" s="105">
        <v>625</v>
      </c>
      <c r="FJ14" s="105">
        <f t="shared" si="75"/>
        <v>735</v>
      </c>
      <c r="FK14" s="105">
        <f t="shared" si="75"/>
        <v>0</v>
      </c>
      <c r="FL14" s="105">
        <f t="shared" si="75"/>
        <v>1787</v>
      </c>
      <c r="FM14" s="105">
        <f t="shared" si="75"/>
        <v>0</v>
      </c>
      <c r="FN14" s="124">
        <f t="shared" si="74"/>
        <v>687</v>
      </c>
      <c r="FO14" s="136">
        <v>996318</v>
      </c>
      <c r="FP14" s="132"/>
      <c r="FY14" s="141">
        <v>9</v>
      </c>
      <c r="FZ14" s="107"/>
      <c r="GA14" s="107">
        <v>660</v>
      </c>
      <c r="GB14" s="108"/>
      <c r="GC14" s="109"/>
      <c r="GD14" s="110"/>
      <c r="GE14" s="110"/>
      <c r="GF14" s="111"/>
      <c r="GG14" s="111"/>
      <c r="GH14" s="111"/>
      <c r="GI14" s="112"/>
      <c r="GJ14" s="111" t="e">
        <f t="shared" si="65"/>
        <v>#DIV/0!</v>
      </c>
      <c r="GK14" s="113"/>
    </row>
    <row r="15" spans="1:194" s="119" customFormat="1" ht="15" customHeight="1">
      <c r="A15" s="119" t="s">
        <v>125</v>
      </c>
      <c r="B15" s="573">
        <v>42865</v>
      </c>
      <c r="D15" s="128"/>
      <c r="E15" s="128">
        <v>4053.12</v>
      </c>
      <c r="F15" s="128">
        <v>1373.5439999999999</v>
      </c>
      <c r="G15" s="86">
        <v>5397.1639999999998</v>
      </c>
      <c r="H15" s="86">
        <v>5268.6480000000001</v>
      </c>
      <c r="I15" s="86">
        <v>1908.694</v>
      </c>
      <c r="J15" s="86">
        <v>6771.2039999999997</v>
      </c>
      <c r="K15" s="86"/>
      <c r="L15" s="86"/>
      <c r="M15" s="115">
        <f t="shared" si="22"/>
        <v>8679.8979999999992</v>
      </c>
      <c r="N15" s="88">
        <f t="shared" si="0"/>
        <v>16092.475999999999</v>
      </c>
      <c r="O15" s="88">
        <f t="shared" si="66"/>
        <v>20432.424999999999</v>
      </c>
      <c r="P15" s="89">
        <f t="shared" si="23"/>
        <v>202650.92850000001</v>
      </c>
      <c r="R15" s="90">
        <f t="shared" si="24"/>
        <v>196</v>
      </c>
      <c r="S15" s="90">
        <f t="shared" si="25"/>
        <v>50.9</v>
      </c>
      <c r="T15" s="90">
        <f t="shared" si="1"/>
        <v>521.1</v>
      </c>
      <c r="U15" s="91">
        <f t="shared" si="76"/>
        <v>3.6</v>
      </c>
      <c r="V15" s="90">
        <f t="shared" si="26"/>
        <v>1546</v>
      </c>
      <c r="W15" s="91">
        <f t="shared" si="2"/>
        <v>450</v>
      </c>
      <c r="X15" s="170">
        <f t="shared" si="27"/>
        <v>1546</v>
      </c>
      <c r="Y15" s="170">
        <f t="shared" si="28"/>
        <v>16.2</v>
      </c>
      <c r="Z15" s="170">
        <f t="shared" si="3"/>
        <v>140.6</v>
      </c>
      <c r="AA15" s="170">
        <f t="shared" si="29"/>
        <v>2317.6</v>
      </c>
      <c r="AB15" s="170">
        <f t="shared" si="30"/>
        <v>192</v>
      </c>
      <c r="AC15" s="170">
        <f t="shared" si="30"/>
        <v>30</v>
      </c>
      <c r="AD15" s="170">
        <f t="shared" si="31"/>
        <v>222</v>
      </c>
      <c r="AE15" s="170">
        <f t="shared" si="32"/>
        <v>0</v>
      </c>
      <c r="AF15" s="170">
        <f t="shared" si="33"/>
        <v>208</v>
      </c>
      <c r="AG15" s="170">
        <f t="shared" si="33"/>
        <v>133</v>
      </c>
      <c r="AH15" s="170">
        <f t="shared" si="34"/>
        <v>415</v>
      </c>
      <c r="AI15" s="170">
        <f t="shared" si="35"/>
        <v>74</v>
      </c>
      <c r="AJ15" s="170">
        <f t="shared" si="36"/>
        <v>237</v>
      </c>
      <c r="AK15" s="170">
        <f t="shared" si="36"/>
        <v>16</v>
      </c>
      <c r="AL15" s="170">
        <f t="shared" si="37"/>
        <v>312</v>
      </c>
      <c r="AM15" s="170">
        <f t="shared" si="38"/>
        <v>59</v>
      </c>
      <c r="AN15" s="170">
        <f t="shared" si="39"/>
        <v>24</v>
      </c>
      <c r="AO15" s="170">
        <f t="shared" si="4"/>
        <v>61</v>
      </c>
      <c r="AP15" s="170">
        <f t="shared" si="40"/>
        <v>86</v>
      </c>
      <c r="AQ15" s="170">
        <f t="shared" si="5"/>
        <v>102</v>
      </c>
      <c r="AR15" s="170">
        <f t="shared" si="41"/>
        <v>83.028000000000006</v>
      </c>
      <c r="AS15" s="170">
        <f t="shared" si="42"/>
        <v>166.02800000000002</v>
      </c>
      <c r="AT15" s="170">
        <f t="shared" si="43"/>
        <v>1089.028</v>
      </c>
      <c r="AU15" s="170">
        <f t="shared" si="44"/>
        <v>264</v>
      </c>
      <c r="AV15" s="170">
        <f t="shared" si="67"/>
        <v>12</v>
      </c>
      <c r="AW15" s="170">
        <f t="shared" si="45"/>
        <v>659</v>
      </c>
      <c r="AX15" s="170">
        <f t="shared" si="68"/>
        <v>5</v>
      </c>
      <c r="AY15" s="170" t="str">
        <f t="shared" si="77"/>
        <v/>
      </c>
      <c r="AZ15" s="170">
        <f t="shared" si="46"/>
        <v>423</v>
      </c>
      <c r="BA15" s="170">
        <v>66</v>
      </c>
      <c r="BB15" s="170">
        <f t="shared" si="47"/>
        <v>142</v>
      </c>
      <c r="BC15" s="170">
        <f t="shared" si="47"/>
        <v>741</v>
      </c>
      <c r="BD15" s="91">
        <f t="shared" si="48"/>
        <v>347</v>
      </c>
      <c r="BE15" s="90"/>
      <c r="BF15" s="90"/>
      <c r="BG15" s="170">
        <f t="shared" si="6"/>
        <v>1306</v>
      </c>
      <c r="BH15" s="170">
        <f t="shared" si="49"/>
        <v>393</v>
      </c>
      <c r="BI15" s="170">
        <f>IF(FC15=0,"",(FC15-BJ15))</f>
        <v>1560.3719999999994</v>
      </c>
      <c r="BJ15" s="170">
        <f t="shared" si="7"/>
        <v>5841.6280000000006</v>
      </c>
      <c r="BK15" s="92"/>
      <c r="BL15" s="331">
        <f>FD15+FN15</f>
        <v>7795</v>
      </c>
      <c r="BM15" s="331">
        <f t="shared" si="52"/>
        <v>74672</v>
      </c>
      <c r="BN15" s="92"/>
      <c r="BO15" s="97">
        <f t="shared" si="53"/>
        <v>0.12179604928414994</v>
      </c>
      <c r="BP15" s="97">
        <f t="shared" si="53"/>
        <v>3.1629688308996082E-2</v>
      </c>
      <c r="BQ15" s="97">
        <f t="shared" si="54"/>
        <v>0.32381592490801298</v>
      </c>
      <c r="BR15" s="97">
        <f t="shared" si="69"/>
        <v>0.96069740914946844</v>
      </c>
      <c r="BS15" s="97">
        <f t="shared" si="8"/>
        <v>1.0066816318383822E-2</v>
      </c>
      <c r="BT15" s="97">
        <f t="shared" si="8"/>
        <v>8.7370023108936129E-2</v>
      </c>
      <c r="BU15" s="97">
        <f t="shared" si="8"/>
        <v>1.4401761419436014</v>
      </c>
      <c r="BV15" s="97">
        <f t="shared" si="9"/>
        <v>9.5925960819628606E-2</v>
      </c>
      <c r="BW15" s="97">
        <f t="shared" si="9"/>
        <v>2.4911384723056609E-2</v>
      </c>
      <c r="BX15" s="97">
        <f t="shared" si="9"/>
        <v>0.25503580705667589</v>
      </c>
      <c r="BY15" s="97">
        <f t="shared" si="55"/>
        <v>0.75664048687319296</v>
      </c>
      <c r="BZ15" s="97">
        <f t="shared" si="10"/>
        <v>1.1342755448753636</v>
      </c>
      <c r="CA15" s="504" t="e">
        <f>#REF!</f>
        <v>#REF!</v>
      </c>
      <c r="CB15" s="97">
        <f t="shared" si="11"/>
        <v>4.0635411606796554E-2</v>
      </c>
      <c r="CC15" s="97">
        <f t="shared" si="11"/>
        <v>8.1257119504904593E-2</v>
      </c>
      <c r="CD15" s="97">
        <f t="shared" si="12"/>
        <v>9.565550194253436E-2</v>
      </c>
      <c r="CE15" s="97">
        <f t="shared" si="12"/>
        <v>0.19127874544147874</v>
      </c>
      <c r="CF15" s="97" t="str">
        <f t="shared" si="56"/>
        <v>0,00</v>
      </c>
      <c r="CG15" s="97" t="str">
        <f t="shared" si="56"/>
        <v>0,00</v>
      </c>
      <c r="CH15" s="97" t="str">
        <f t="shared" si="57"/>
        <v xml:space="preserve">0,00 </v>
      </c>
      <c r="CI15" s="504" t="e">
        <f>#REF!</f>
        <v>#REF!</v>
      </c>
      <c r="CJ15" s="97">
        <f t="shared" si="58"/>
        <v>0.51318490446865628</v>
      </c>
      <c r="CK15" s="97">
        <f t="shared" si="58"/>
        <v>0.32814227064582346</v>
      </c>
      <c r="CL15" s="97">
        <f t="shared" si="70"/>
        <v>1.0239025738196748</v>
      </c>
      <c r="CM15" s="97" t="e">
        <f>#REF!</f>
        <v>#REF!</v>
      </c>
      <c r="CN15" s="97">
        <f t="shared" si="59"/>
        <v>1.7254634725935247</v>
      </c>
      <c r="CO15" s="97">
        <f t="shared" si="59"/>
        <v>0.11648698549154597</v>
      </c>
      <c r="CP15" s="97">
        <f t="shared" si="60"/>
        <v>2.2714962170851463</v>
      </c>
      <c r="CQ15" s="97" t="e">
        <f>#REF!</f>
        <v>#REF!</v>
      </c>
      <c r="CR15" s="97">
        <f t="shared" si="71"/>
        <v>4.4467798273315401E-2</v>
      </c>
      <c r="CS15" s="97">
        <f t="shared" si="71"/>
        <v>0.11302232061134329</v>
      </c>
      <c r="CT15" s="504" t="e">
        <f>#REF!</f>
        <v>#REF!</v>
      </c>
      <c r="CU15" s="97">
        <f t="shared" si="72"/>
        <v>0.16322973180216252</v>
      </c>
      <c r="CV15" s="97">
        <f t="shared" si="61"/>
        <v>0.19359805399791369</v>
      </c>
      <c r="CW15" s="504" t="e">
        <f>#REF!</f>
        <v>#REF!</v>
      </c>
      <c r="CX15" s="97">
        <f t="shared" si="62"/>
        <v>0.12920639620603036</v>
      </c>
      <c r="CY15" s="97">
        <f t="shared" si="62"/>
        <v>5.8730180093650173E-3</v>
      </c>
      <c r="CZ15" s="97">
        <f t="shared" si="62"/>
        <v>0.32252657234762888</v>
      </c>
      <c r="DA15" s="97">
        <f t="shared" si="62"/>
        <v>2.4470908372354241E-3</v>
      </c>
      <c r="DB15" s="97">
        <f t="shared" si="13"/>
        <v>0.20702388483011686</v>
      </c>
      <c r="DC15" s="97">
        <f t="shared" si="14"/>
        <v>6.9497379777486032E-2</v>
      </c>
      <c r="DD15" s="97">
        <f t="shared" si="14"/>
        <v>0.36265886207828979</v>
      </c>
      <c r="DE15" s="97">
        <f t="shared" si="14"/>
        <v>0.1698281041041384</v>
      </c>
      <c r="DF15" s="97">
        <f t="shared" si="14"/>
        <v>0</v>
      </c>
      <c r="DG15" s="97">
        <f t="shared" si="14"/>
        <v>0</v>
      </c>
      <c r="DH15" s="97">
        <f t="shared" si="14"/>
        <v>0.63918012668589264</v>
      </c>
      <c r="DI15" s="504" t="e">
        <f>#REF!</f>
        <v>#REF!</v>
      </c>
      <c r="DJ15" s="97">
        <f t="shared" si="63"/>
        <v>0.19234133980670431</v>
      </c>
      <c r="DK15" s="504" t="e">
        <f>#REF!</f>
        <v>#REF!</v>
      </c>
      <c r="DL15" s="97">
        <f t="shared" si="15"/>
        <v>0.76367440477574222</v>
      </c>
      <c r="DM15" s="504">
        <f t="shared" si="16"/>
        <v>0</v>
      </c>
      <c r="DN15" s="97">
        <f t="shared" si="17"/>
        <v>2.8589988706675791</v>
      </c>
      <c r="DO15" s="100">
        <v>3.4</v>
      </c>
      <c r="DP15" s="97">
        <f t="shared" si="18"/>
        <v>3.8150146152500253</v>
      </c>
      <c r="DQ15" s="97">
        <f t="shared" si="73"/>
        <v>3.6847598258105192</v>
      </c>
      <c r="DR15" s="101" t="str">
        <f t="shared" si="19"/>
        <v>3,315, hL/NhL</v>
      </c>
      <c r="DS15" s="147"/>
      <c r="DT15" s="134">
        <v>10</v>
      </c>
      <c r="DU15" s="76">
        <v>619152</v>
      </c>
      <c r="DV15" s="76">
        <v>24772</v>
      </c>
      <c r="DW15" s="76">
        <v>5115779</v>
      </c>
      <c r="DX15" s="77">
        <v>110997</v>
      </c>
      <c r="DY15" s="77">
        <v>83035</v>
      </c>
      <c r="DZ15" s="77">
        <v>381013</v>
      </c>
      <c r="EA15" s="77">
        <v>223356</v>
      </c>
      <c r="EB15" s="77">
        <v>52128</v>
      </c>
      <c r="EC15" s="77">
        <v>391342</v>
      </c>
      <c r="ED15" s="76">
        <v>45898</v>
      </c>
      <c r="EE15" s="77">
        <v>37571</v>
      </c>
      <c r="EF15" s="77">
        <v>39916</v>
      </c>
      <c r="EG15" s="76">
        <v>90405</v>
      </c>
      <c r="EH15" s="76">
        <v>178368</v>
      </c>
      <c r="EI15" s="76">
        <v>30888</v>
      </c>
      <c r="EJ15" s="77">
        <v>39237</v>
      </c>
      <c r="EK15" s="77"/>
      <c r="EL15" s="76">
        <v>690054</v>
      </c>
      <c r="EM15" s="77">
        <v>5211</v>
      </c>
      <c r="EN15" s="77">
        <v>42096</v>
      </c>
      <c r="EO15" s="76">
        <v>2940490</v>
      </c>
      <c r="EP15" s="77">
        <v>2712894</v>
      </c>
      <c r="EQ15" s="77">
        <v>162</v>
      </c>
      <c r="ER15" s="77">
        <v>1406</v>
      </c>
      <c r="ES15" s="121">
        <v>323810</v>
      </c>
      <c r="ET15" s="77">
        <v>6377199</v>
      </c>
      <c r="EU15" s="77">
        <v>402751</v>
      </c>
      <c r="EV15" s="77">
        <v>125597</v>
      </c>
      <c r="EW15" s="77">
        <v>92761</v>
      </c>
      <c r="EX15" s="76">
        <v>203409</v>
      </c>
      <c r="EY15" s="76">
        <v>1607231</v>
      </c>
      <c r="EZ15" s="149">
        <v>742606</v>
      </c>
      <c r="FA15" s="150">
        <v>735821</v>
      </c>
      <c r="FB15" s="151">
        <v>30612</v>
      </c>
      <c r="FC15" s="127">
        <v>7402</v>
      </c>
      <c r="FD15" s="104">
        <f t="shared" si="78"/>
        <v>7074</v>
      </c>
      <c r="FE15" s="105">
        <f t="shared" si="75"/>
        <v>0</v>
      </c>
      <c r="FF15" s="105">
        <f t="shared" si="75"/>
        <v>258</v>
      </c>
      <c r="FG15" s="105">
        <f t="shared" si="75"/>
        <v>1953</v>
      </c>
      <c r="FH15" s="105">
        <v>1827</v>
      </c>
      <c r="FI15" s="105">
        <v>755</v>
      </c>
      <c r="FJ15" s="105">
        <f t="shared" si="75"/>
        <v>922</v>
      </c>
      <c r="FK15" s="105">
        <f t="shared" si="75"/>
        <v>0</v>
      </c>
      <c r="FL15" s="105">
        <f t="shared" si="75"/>
        <v>1359</v>
      </c>
      <c r="FM15" s="105">
        <f t="shared" si="75"/>
        <v>0</v>
      </c>
      <c r="FN15" s="124">
        <f t="shared" si="74"/>
        <v>721</v>
      </c>
      <c r="FO15" s="136">
        <v>997039</v>
      </c>
      <c r="FP15" s="106"/>
      <c r="FY15" s="119">
        <v>10</v>
      </c>
      <c r="FZ15" s="107"/>
      <c r="GA15" s="107"/>
      <c r="GB15" s="108"/>
      <c r="GC15" s="109"/>
      <c r="GD15" s="110"/>
      <c r="GE15" s="110"/>
      <c r="GF15" s="111"/>
      <c r="GG15" s="111"/>
      <c r="GH15" s="111"/>
      <c r="GI15" s="112"/>
      <c r="GJ15" s="111" t="e">
        <f t="shared" si="65"/>
        <v>#DIV/0!</v>
      </c>
      <c r="GK15" s="113"/>
    </row>
    <row r="16" spans="1:194" s="141" customFormat="1" ht="15" customHeight="1">
      <c r="A16" s="141">
        <v>0</v>
      </c>
      <c r="B16" s="573">
        <v>42866</v>
      </c>
      <c r="D16" s="128"/>
      <c r="E16" s="128">
        <v>4768.8</v>
      </c>
      <c r="F16" s="128">
        <v>878.04</v>
      </c>
      <c r="G16" s="86">
        <v>5337.5029999999997</v>
      </c>
      <c r="H16" s="86">
        <v>6230.7960000000003</v>
      </c>
      <c r="I16" s="86">
        <v>1571.9070000000002</v>
      </c>
      <c r="J16" s="85">
        <v>7137.24</v>
      </c>
      <c r="K16" s="85"/>
      <c r="L16" s="86">
        <v>50</v>
      </c>
      <c r="M16" s="115">
        <f t="shared" si="22"/>
        <v>8709.1470000000008</v>
      </c>
      <c r="N16" s="88">
        <f t="shared" si="0"/>
        <v>17215.139000000003</v>
      </c>
      <c r="O16" s="88">
        <f t="shared" si="66"/>
        <v>21619.712500000001</v>
      </c>
      <c r="P16" s="89">
        <f t="shared" si="23"/>
        <v>224270.641</v>
      </c>
      <c r="Q16" s="152"/>
      <c r="R16" s="90">
        <f t="shared" si="24"/>
        <v>37</v>
      </c>
      <c r="S16" s="90">
        <f t="shared" si="25"/>
        <v>20.8</v>
      </c>
      <c r="T16" s="90">
        <f t="shared" si="1"/>
        <v>427</v>
      </c>
      <c r="U16" s="91">
        <f t="shared" si="76"/>
        <v>1.3</v>
      </c>
      <c r="V16" s="90">
        <f t="shared" si="26"/>
        <v>1250</v>
      </c>
      <c r="W16" s="91">
        <f t="shared" si="2"/>
        <v>1138</v>
      </c>
      <c r="X16" s="170">
        <f t="shared" si="27"/>
        <v>1250</v>
      </c>
      <c r="Y16" s="170" t="str">
        <f t="shared" si="28"/>
        <v>0</v>
      </c>
      <c r="Z16" s="170">
        <f t="shared" si="3"/>
        <v>164.6</v>
      </c>
      <c r="AA16" s="170">
        <f t="shared" si="29"/>
        <v>1736.1</v>
      </c>
      <c r="AB16" s="170">
        <f t="shared" si="30"/>
        <v>75</v>
      </c>
      <c r="AC16" s="170">
        <f t="shared" si="30"/>
        <v>33</v>
      </c>
      <c r="AD16" s="170">
        <f t="shared" si="31"/>
        <v>262</v>
      </c>
      <c r="AE16" s="170">
        <f t="shared" si="32"/>
        <v>154</v>
      </c>
      <c r="AF16" s="170">
        <f t="shared" si="33"/>
        <v>215</v>
      </c>
      <c r="AG16" s="170">
        <f t="shared" si="33"/>
        <v>58</v>
      </c>
      <c r="AH16" s="170">
        <f t="shared" si="34"/>
        <v>377</v>
      </c>
      <c r="AI16" s="170">
        <f t="shared" si="35"/>
        <v>104</v>
      </c>
      <c r="AJ16" s="170">
        <f t="shared" si="36"/>
        <v>91</v>
      </c>
      <c r="AK16" s="170">
        <f t="shared" si="36"/>
        <v>131</v>
      </c>
      <c r="AL16" s="170">
        <f t="shared" si="37"/>
        <v>337</v>
      </c>
      <c r="AM16" s="170">
        <f t="shared" si="38"/>
        <v>115</v>
      </c>
      <c r="AN16" s="170">
        <f t="shared" si="39"/>
        <v>24</v>
      </c>
      <c r="AO16" s="170">
        <f t="shared" si="4"/>
        <v>64</v>
      </c>
      <c r="AP16" s="170">
        <f t="shared" si="40"/>
        <v>51</v>
      </c>
      <c r="AQ16" s="170">
        <f t="shared" si="5"/>
        <v>75</v>
      </c>
      <c r="AR16" s="170">
        <f t="shared" si="41"/>
        <v>88.566000000000003</v>
      </c>
      <c r="AS16" s="170">
        <f t="shared" si="42"/>
        <v>89.566000000000031</v>
      </c>
      <c r="AT16" s="170">
        <f t="shared" si="43"/>
        <v>918.56600000000003</v>
      </c>
      <c r="AU16" s="170">
        <f t="shared" si="44"/>
        <v>206</v>
      </c>
      <c r="AV16" s="170">
        <f t="shared" si="67"/>
        <v>49</v>
      </c>
      <c r="AW16" s="170">
        <f t="shared" si="45"/>
        <v>623</v>
      </c>
      <c r="AX16" s="170">
        <f t="shared" si="68"/>
        <v>32</v>
      </c>
      <c r="AY16" s="170" t="str">
        <f t="shared" si="77"/>
        <v/>
      </c>
      <c r="AZ16" s="170">
        <f t="shared" si="46"/>
        <v>338</v>
      </c>
      <c r="BA16" s="170">
        <v>65</v>
      </c>
      <c r="BB16" s="170">
        <f t="shared" si="47"/>
        <v>100</v>
      </c>
      <c r="BC16" s="170">
        <f t="shared" si="47"/>
        <v>233</v>
      </c>
      <c r="BD16" s="91">
        <f t="shared" si="48"/>
        <v>343</v>
      </c>
      <c r="BE16" s="90"/>
      <c r="BF16" s="90"/>
      <c r="BG16" s="170">
        <f t="shared" si="6"/>
        <v>671</v>
      </c>
      <c r="BH16" s="170">
        <f t="shared" si="49"/>
        <v>1741</v>
      </c>
      <c r="BI16" s="170">
        <f t="shared" si="50"/>
        <v>1813.3339999999998</v>
      </c>
      <c r="BJ16" s="170">
        <f t="shared" si="7"/>
        <v>4521.6660000000002</v>
      </c>
      <c r="BK16" s="92"/>
      <c r="BL16" s="331">
        <f>FD16+FN16</f>
        <v>8076</v>
      </c>
      <c r="BM16" s="331">
        <f t="shared" si="52"/>
        <v>82748</v>
      </c>
      <c r="BN16" s="92"/>
      <c r="BO16" s="97">
        <f t="shared" si="53"/>
        <v>2.1492710572943961E-2</v>
      </c>
      <c r="BP16" s="97">
        <f t="shared" si="53"/>
        <v>1.2082388646411741E-2</v>
      </c>
      <c r="BQ16" s="97">
        <f t="shared" si="54"/>
        <v>0.24803749769316408</v>
      </c>
      <c r="BR16" s="97">
        <f t="shared" si="69"/>
        <v>0.72610508692378239</v>
      </c>
      <c r="BS16" s="97">
        <f t="shared" si="8"/>
        <v>0</v>
      </c>
      <c r="BT16" s="97">
        <f t="shared" si="8"/>
        <v>9.561351784612368E-2</v>
      </c>
      <c r="BU16" s="97">
        <f t="shared" si="8"/>
        <v>1.008472833126703</v>
      </c>
      <c r="BV16" s="97">
        <f t="shared" si="9"/>
        <v>1.7114011113700055E-2</v>
      </c>
      <c r="BW16" s="97">
        <f t="shared" si="9"/>
        <v>9.6208494909448949E-3</v>
      </c>
      <c r="BX16" s="97">
        <f t="shared" si="9"/>
        <v>0.19750493906891683</v>
      </c>
      <c r="BY16" s="97">
        <f t="shared" si="55"/>
        <v>0.57817605113851533</v>
      </c>
      <c r="BZ16" s="97">
        <f t="shared" si="10"/>
        <v>0.80301715390526107</v>
      </c>
      <c r="CA16" s="504" t="e">
        <f>#REF!</f>
        <v>#REF!</v>
      </c>
      <c r="CB16" s="97">
        <f t="shared" si="11"/>
        <v>4.0965392116107002E-2</v>
      </c>
      <c r="CC16" s="97">
        <f t="shared" si="11"/>
        <v>4.142793295701782E-2</v>
      </c>
      <c r="CD16" s="97">
        <f t="shared" si="12"/>
        <v>0.10169308199758254</v>
      </c>
      <c r="CE16" s="97">
        <f t="shared" si="12"/>
        <v>0.10284130007221146</v>
      </c>
      <c r="CF16" s="97" t="str">
        <f t="shared" si="56"/>
        <v>0,00</v>
      </c>
      <c r="CG16" s="97" t="str">
        <f t="shared" si="56"/>
        <v>0,00</v>
      </c>
      <c r="CH16" s="97" t="str">
        <f t="shared" si="57"/>
        <v xml:space="preserve">0,00 </v>
      </c>
      <c r="CI16" s="504" t="e">
        <f>#REF!</f>
        <v>#REF!</v>
      </c>
      <c r="CJ16" s="97">
        <f t="shared" si="58"/>
        <v>0.45084717329307161</v>
      </c>
      <c r="CK16" s="97">
        <f t="shared" si="58"/>
        <v>0.12162388860929374</v>
      </c>
      <c r="CL16" s="97">
        <f t="shared" si="70"/>
        <v>0.79055527596040931</v>
      </c>
      <c r="CM16" s="97" t="e">
        <f>#REF!</f>
        <v>#REF!</v>
      </c>
      <c r="CN16" s="97">
        <f t="shared" si="59"/>
        <v>1.0363992528814177</v>
      </c>
      <c r="CO16" s="97">
        <f t="shared" si="59"/>
        <v>1.4919593640380848</v>
      </c>
      <c r="CP16" s="97">
        <f t="shared" si="60"/>
        <v>3.8380939364949205</v>
      </c>
      <c r="CQ16" s="97" t="e">
        <f>#REF!</f>
        <v>#REF!</v>
      </c>
      <c r="CR16" s="97">
        <f t="shared" si="71"/>
        <v>4.4964845921398079E-2</v>
      </c>
      <c r="CS16" s="97">
        <f t="shared" si="71"/>
        <v>0.11990625579039488</v>
      </c>
      <c r="CT16" s="504" t="e">
        <f>#REF!</f>
        <v>#REF!</v>
      </c>
      <c r="CU16" s="97">
        <f t="shared" si="72"/>
        <v>8.1851500193554722E-2</v>
      </c>
      <c r="CV16" s="97">
        <f t="shared" si="61"/>
        <v>0.12036985322581575</v>
      </c>
      <c r="CW16" s="504" t="e">
        <f>#REF!</f>
        <v>#REF!</v>
      </c>
      <c r="CX16" s="97">
        <f t="shared" si="62"/>
        <v>9.5283413227627317E-2</v>
      </c>
      <c r="CY16" s="97">
        <f t="shared" si="62"/>
        <v>2.2664501204629799E-2</v>
      </c>
      <c r="CZ16" s="97">
        <f t="shared" si="62"/>
        <v>0.28816294388743602</v>
      </c>
      <c r="DA16" s="97">
        <f t="shared" si="62"/>
        <v>1.4801306909145993E-2</v>
      </c>
      <c r="DB16" s="97">
        <f t="shared" si="13"/>
        <v>0.15633880422785457</v>
      </c>
      <c r="DC16" s="97">
        <f t="shared" si="14"/>
        <v>4.6254084091081227E-2</v>
      </c>
      <c r="DD16" s="97">
        <f t="shared" si="14"/>
        <v>0.10777201593221927</v>
      </c>
      <c r="DE16" s="97">
        <f t="shared" si="14"/>
        <v>0.15865150843240861</v>
      </c>
      <c r="DF16" s="97">
        <f t="shared" si="14"/>
        <v>0</v>
      </c>
      <c r="DG16" s="97">
        <f t="shared" si="14"/>
        <v>0</v>
      </c>
      <c r="DH16" s="97">
        <f t="shared" si="14"/>
        <v>0.31036490425115504</v>
      </c>
      <c r="DI16" s="504" t="e">
        <f>#REF!</f>
        <v>#REF!</v>
      </c>
      <c r="DJ16" s="97">
        <f t="shared" si="63"/>
        <v>0.80528360402572408</v>
      </c>
      <c r="DK16" s="504" t="e">
        <f>#REF!</f>
        <v>#REF!</v>
      </c>
      <c r="DL16" s="97">
        <f t="shared" si="15"/>
        <v>0.83874103321216686</v>
      </c>
      <c r="DM16" s="504">
        <f t="shared" si="16"/>
        <v>0</v>
      </c>
      <c r="DN16" s="97">
        <f t="shared" si="17"/>
        <v>2.0914551939578288</v>
      </c>
      <c r="DO16" s="100">
        <v>3.4</v>
      </c>
      <c r="DP16" s="97">
        <f t="shared" si="18"/>
        <v>3.73547983119572</v>
      </c>
      <c r="DQ16" s="97">
        <f>IF($P16&lt;&gt;0,IF($P16&lt;&gt;0,BM16/$P16*10,0)," ")</f>
        <v>3.6896492394650977</v>
      </c>
      <c r="DR16" s="101"/>
      <c r="DS16" s="153"/>
      <c r="DT16" s="142">
        <v>11</v>
      </c>
      <c r="DU16" s="120">
        <v>619227</v>
      </c>
      <c r="DV16" s="120">
        <v>24805</v>
      </c>
      <c r="DW16" s="120">
        <v>5116041</v>
      </c>
      <c r="DX16" s="120">
        <v>111212</v>
      </c>
      <c r="DY16" s="120">
        <v>83093</v>
      </c>
      <c r="DZ16" s="120">
        <v>381390</v>
      </c>
      <c r="EA16" s="120">
        <v>223447</v>
      </c>
      <c r="EB16" s="120">
        <v>52259</v>
      </c>
      <c r="EC16" s="120">
        <v>391679</v>
      </c>
      <c r="ED16" s="120">
        <v>45922</v>
      </c>
      <c r="EE16" s="120">
        <v>37591</v>
      </c>
      <c r="EF16" s="120">
        <v>39960</v>
      </c>
      <c r="EG16" s="120">
        <v>90456</v>
      </c>
      <c r="EH16" s="120">
        <v>178443</v>
      </c>
      <c r="EI16" s="120">
        <v>30937</v>
      </c>
      <c r="EJ16" s="120">
        <v>39269</v>
      </c>
      <c r="EK16" s="120"/>
      <c r="EL16" s="120">
        <v>690091</v>
      </c>
      <c r="EM16" s="120">
        <v>4270</v>
      </c>
      <c r="EN16" s="120">
        <v>42109</v>
      </c>
      <c r="EO16" s="120">
        <v>2941740</v>
      </c>
      <c r="EP16" s="120">
        <v>2724274</v>
      </c>
      <c r="EQ16" s="120">
        <v>0</v>
      </c>
      <c r="ER16" s="120">
        <v>1646</v>
      </c>
      <c r="ES16" s="120">
        <v>324640</v>
      </c>
      <c r="ET16" s="120">
        <v>6465765</v>
      </c>
      <c r="EU16" s="120">
        <v>403374</v>
      </c>
      <c r="EV16" s="120">
        <v>125803</v>
      </c>
      <c r="EW16" s="120">
        <v>93099</v>
      </c>
      <c r="EX16" s="120">
        <v>203509</v>
      </c>
      <c r="EY16" s="120">
        <v>1607464</v>
      </c>
      <c r="EZ16" s="120">
        <v>742814</v>
      </c>
      <c r="FA16" s="149">
        <v>736164</v>
      </c>
      <c r="FB16" s="151">
        <v>30696</v>
      </c>
      <c r="FC16" s="127">
        <v>6335</v>
      </c>
      <c r="FD16" s="104">
        <f t="shared" si="78"/>
        <v>7111</v>
      </c>
      <c r="FE16" s="105">
        <f t="shared" si="75"/>
        <v>0</v>
      </c>
      <c r="FF16" s="105">
        <f t="shared" si="75"/>
        <v>209</v>
      </c>
      <c r="FG16" s="105">
        <f t="shared" si="75"/>
        <v>1951</v>
      </c>
      <c r="FH16" s="105">
        <f t="shared" si="75"/>
        <v>2330</v>
      </c>
      <c r="FI16" s="105">
        <v>680</v>
      </c>
      <c r="FJ16" s="105">
        <f t="shared" si="75"/>
        <v>828</v>
      </c>
      <c r="FK16" s="105">
        <f t="shared" si="75"/>
        <v>0</v>
      </c>
      <c r="FL16" s="105">
        <f t="shared" si="75"/>
        <v>1113</v>
      </c>
      <c r="FM16" s="105">
        <f t="shared" si="75"/>
        <v>0</v>
      </c>
      <c r="FN16" s="124">
        <f t="shared" si="74"/>
        <v>965</v>
      </c>
      <c r="FO16" s="136">
        <v>998004</v>
      </c>
      <c r="FP16" s="106"/>
      <c r="FY16" s="141">
        <v>11</v>
      </c>
      <c r="FZ16" s="107"/>
      <c r="GA16" s="107"/>
      <c r="GB16" s="107"/>
      <c r="GC16" s="109"/>
      <c r="GD16" s="110"/>
      <c r="GE16" s="110"/>
      <c r="GF16" s="111"/>
      <c r="GG16" s="111"/>
      <c r="GH16" s="111"/>
      <c r="GI16" s="112"/>
      <c r="GJ16" s="111" t="e">
        <f t="shared" si="65"/>
        <v>#DIV/0!</v>
      </c>
      <c r="GK16" s="113"/>
    </row>
    <row r="17" spans="1:193" s="119" customFormat="1" ht="15" customHeight="1">
      <c r="A17" s="119" t="s">
        <v>126</v>
      </c>
      <c r="B17" s="573">
        <v>42867</v>
      </c>
      <c r="D17" s="154">
        <v>2784.36</v>
      </c>
      <c r="E17" s="128">
        <v>5170.92</v>
      </c>
      <c r="F17" s="86">
        <v>2467.5839999999998</v>
      </c>
      <c r="G17" s="86">
        <v>4788.4110000000001</v>
      </c>
      <c r="H17" s="86">
        <v>2065.3380000000002</v>
      </c>
      <c r="I17" s="86">
        <v>1776.021</v>
      </c>
      <c r="J17" s="85">
        <v>9254.652</v>
      </c>
      <c r="K17" s="85">
        <v>12.25</v>
      </c>
      <c r="L17" s="86"/>
      <c r="M17" s="115">
        <f t="shared" si="22"/>
        <v>11030.673000000001</v>
      </c>
      <c r="N17" s="88">
        <f t="shared" si="0"/>
        <v>17276.613000000001</v>
      </c>
      <c r="O17" s="88">
        <f>N17+L17+((J17+I17)*0.5)</f>
        <v>22791.949500000002</v>
      </c>
      <c r="P17" s="89">
        <f t="shared" si="23"/>
        <v>247062.59049999999</v>
      </c>
      <c r="Q17" s="155"/>
      <c r="R17" s="90">
        <f t="shared" si="24"/>
        <v>80</v>
      </c>
      <c r="S17" s="90">
        <f t="shared" si="25"/>
        <v>185.5</v>
      </c>
      <c r="T17" s="90">
        <f t="shared" si="1"/>
        <v>513.70000000000005</v>
      </c>
      <c r="U17" s="91">
        <f t="shared" si="76"/>
        <v>0.1</v>
      </c>
      <c r="V17" s="90">
        <f t="shared" si="26"/>
        <v>1287</v>
      </c>
      <c r="W17" s="91">
        <f t="shared" si="2"/>
        <v>114.4</v>
      </c>
      <c r="X17" s="170">
        <f t="shared" si="27"/>
        <v>1287</v>
      </c>
      <c r="Y17" s="170" t="str">
        <f t="shared" si="28"/>
        <v>0</v>
      </c>
      <c r="Z17" s="170">
        <f t="shared" si="3"/>
        <v>111.3</v>
      </c>
      <c r="AA17" s="170">
        <f t="shared" si="29"/>
        <v>2066.3000000000002</v>
      </c>
      <c r="AB17" s="170">
        <f t="shared" si="30"/>
        <v>105</v>
      </c>
      <c r="AC17" s="170">
        <f t="shared" si="30"/>
        <v>100</v>
      </c>
      <c r="AD17" s="170">
        <f t="shared" si="31"/>
        <v>422</v>
      </c>
      <c r="AE17" s="170">
        <f t="shared" si="32"/>
        <v>217</v>
      </c>
      <c r="AF17" s="170">
        <f t="shared" si="33"/>
        <v>229</v>
      </c>
      <c r="AG17" s="170">
        <f t="shared" si="33"/>
        <v>58</v>
      </c>
      <c r="AH17" s="170">
        <f t="shared" si="34"/>
        <v>369</v>
      </c>
      <c r="AI17" s="170">
        <f t="shared" si="35"/>
        <v>82</v>
      </c>
      <c r="AJ17" s="170">
        <f t="shared" si="36"/>
        <v>169</v>
      </c>
      <c r="AK17" s="170">
        <f t="shared" si="36"/>
        <v>166</v>
      </c>
      <c r="AL17" s="170">
        <f t="shared" si="37"/>
        <v>380</v>
      </c>
      <c r="AM17" s="170">
        <f t="shared" si="38"/>
        <v>45</v>
      </c>
      <c r="AN17" s="170">
        <f t="shared" si="39"/>
        <v>17</v>
      </c>
      <c r="AO17" s="170">
        <f t="shared" si="4"/>
        <v>60</v>
      </c>
      <c r="AP17" s="170">
        <f t="shared" si="40"/>
        <v>66</v>
      </c>
      <c r="AQ17" s="170">
        <f t="shared" si="5"/>
        <v>116</v>
      </c>
      <c r="AR17" s="170">
        <f t="shared" si="41"/>
        <v>120.423</v>
      </c>
      <c r="AS17" s="170">
        <f t="shared" si="42"/>
        <v>232.423</v>
      </c>
      <c r="AT17" s="170">
        <f t="shared" si="43"/>
        <v>1218.423</v>
      </c>
      <c r="AU17" s="170">
        <f t="shared" si="44"/>
        <v>222</v>
      </c>
      <c r="AV17" s="170">
        <f t="shared" si="67"/>
        <v>0</v>
      </c>
      <c r="AW17" s="170">
        <f t="shared" si="45"/>
        <v>764</v>
      </c>
      <c r="AX17" s="170">
        <f t="shared" si="68"/>
        <v>3</v>
      </c>
      <c r="AY17" s="170" t="str">
        <f t="shared" si="77"/>
        <v/>
      </c>
      <c r="AZ17" s="170">
        <f t="shared" si="46"/>
        <v>300</v>
      </c>
      <c r="BA17" s="170">
        <v>108</v>
      </c>
      <c r="BB17" s="170">
        <f t="shared" si="47"/>
        <v>136</v>
      </c>
      <c r="BC17" s="170">
        <f t="shared" si="47"/>
        <v>0</v>
      </c>
      <c r="BD17" s="91">
        <f t="shared" si="48"/>
        <v>301</v>
      </c>
      <c r="BE17" s="90"/>
      <c r="BF17" s="90"/>
      <c r="BG17" s="170">
        <f t="shared" si="6"/>
        <v>436</v>
      </c>
      <c r="BH17" s="170">
        <f t="shared" si="49"/>
        <v>76</v>
      </c>
      <c r="BI17" s="170">
        <f t="shared" si="50"/>
        <v>1800.277</v>
      </c>
      <c r="BJ17" s="170">
        <f t="shared" si="7"/>
        <v>5070.723</v>
      </c>
      <c r="BK17" s="92"/>
      <c r="BL17" s="331">
        <f>FD17+FN17</f>
        <v>6947</v>
      </c>
      <c r="BM17" s="331">
        <f t="shared" si="52"/>
        <v>89695</v>
      </c>
      <c r="BN17" s="92"/>
      <c r="BO17" s="97">
        <f t="shared" si="53"/>
        <v>4.630537247086567E-2</v>
      </c>
      <c r="BP17" s="97">
        <f t="shared" si="53"/>
        <v>0.10737058241681977</v>
      </c>
      <c r="BQ17" s="97">
        <f t="shared" si="54"/>
        <v>0.29733837297854621</v>
      </c>
      <c r="BR17" s="97">
        <f t="shared" si="69"/>
        <v>0.74493767962505153</v>
      </c>
      <c r="BS17" s="97">
        <f t="shared" si="8"/>
        <v>0</v>
      </c>
      <c r="BT17" s="97">
        <f t="shared" si="8"/>
        <v>6.4422349450091856E-2</v>
      </c>
      <c r="BU17" s="97">
        <f t="shared" si="8"/>
        <v>1.1960098892068718</v>
      </c>
      <c r="BV17" s="97">
        <f t="shared" si="9"/>
        <v>3.5100112870994203E-2</v>
      </c>
      <c r="BW17" s="97">
        <f t="shared" si="9"/>
        <v>8.1388386719617803E-2</v>
      </c>
      <c r="BX17" s="97">
        <f t="shared" si="9"/>
        <v>0.22538659977287157</v>
      </c>
      <c r="BY17" s="97">
        <f t="shared" si="55"/>
        <v>0.56467306581211929</v>
      </c>
      <c r="BZ17" s="97">
        <f t="shared" si="10"/>
        <v>0.90659204031669161</v>
      </c>
      <c r="CA17" s="504" t="e">
        <f>#REF!</f>
        <v>#REF!</v>
      </c>
      <c r="CB17" s="97">
        <f t="shared" si="11"/>
        <v>5.2835761153296683E-2</v>
      </c>
      <c r="CC17" s="97">
        <f t="shared" si="11"/>
        <v>0.10197591917268857</v>
      </c>
      <c r="CD17" s="97">
        <f t="shared" si="12"/>
        <v>0.10917103607368289</v>
      </c>
      <c r="CE17" s="97">
        <f t="shared" si="12"/>
        <v>0.21070609200363385</v>
      </c>
      <c r="CF17" s="97">
        <f t="shared" si="56"/>
        <v>0.37710640865405332</v>
      </c>
      <c r="CG17" s="97">
        <f t="shared" si="56"/>
        <v>0.35914896062290791</v>
      </c>
      <c r="CH17" s="97">
        <f t="shared" si="57"/>
        <v>1.5156086138286715</v>
      </c>
      <c r="CI17" s="504" t="e">
        <f>#REF!</f>
        <v>#REF!</v>
      </c>
      <c r="CJ17" s="97">
        <f t="shared" si="58"/>
        <v>0.44286123165703584</v>
      </c>
      <c r="CK17" s="97">
        <f t="shared" si="58"/>
        <v>0.1121657267952318</v>
      </c>
      <c r="CL17" s="97">
        <f t="shared" si="70"/>
        <v>0.7136060894386298</v>
      </c>
      <c r="CM17" s="97" t="e">
        <f>#REF!</f>
        <v>#REF!</v>
      </c>
      <c r="CN17" s="97">
        <f t="shared" si="59"/>
        <v>0.68488043365494355</v>
      </c>
      <c r="CO17" s="97">
        <f t="shared" si="59"/>
        <v>0.67272279282083214</v>
      </c>
      <c r="CP17" s="97">
        <f t="shared" si="60"/>
        <v>1.5399678389874469</v>
      </c>
      <c r="CQ17" s="97" t="e">
        <f>#REF!</f>
        <v>#REF!</v>
      </c>
      <c r="CR17" s="97">
        <f t="shared" si="71"/>
        <v>3.5502382731975181E-2</v>
      </c>
      <c r="CS17" s="97">
        <f t="shared" si="71"/>
        <v>0.12530252728932417</v>
      </c>
      <c r="CT17" s="504" t="e">
        <f>#REF!</f>
        <v>#REF!</v>
      </c>
      <c r="CU17" s="97">
        <f t="shared" si="72"/>
        <v>0.31956028504777423</v>
      </c>
      <c r="CV17" s="97">
        <f t="shared" si="61"/>
        <v>0.5616514100839668</v>
      </c>
      <c r="CW17" s="504" t="e">
        <f>#REF!</f>
        <v>#REF!</v>
      </c>
      <c r="CX17" s="97">
        <f t="shared" si="62"/>
        <v>9.7402813217008916E-2</v>
      </c>
      <c r="CY17" s="97">
        <f t="shared" si="62"/>
        <v>0</v>
      </c>
      <c r="CZ17" s="97">
        <f t="shared" si="62"/>
        <v>0.33520607791799467</v>
      </c>
      <c r="DA17" s="97">
        <f t="shared" si="62"/>
        <v>1.3162542326622827E-3</v>
      </c>
      <c r="DB17" s="97">
        <f t="shared" si="13"/>
        <v>0.13162542326622828</v>
      </c>
      <c r="DC17" s="97">
        <f t="shared" si="14"/>
        <v>5.967019188069015E-2</v>
      </c>
      <c r="DD17" s="97">
        <f t="shared" si="14"/>
        <v>0</v>
      </c>
      <c r="DE17" s="97">
        <f t="shared" si="14"/>
        <v>0.13206417467711568</v>
      </c>
      <c r="DF17" s="97">
        <f t="shared" si="14"/>
        <v>0</v>
      </c>
      <c r="DG17" s="97">
        <f t="shared" si="14"/>
        <v>0</v>
      </c>
      <c r="DH17" s="97">
        <f t="shared" si="14"/>
        <v>0.1912956151469184</v>
      </c>
      <c r="DI17" s="504" t="e">
        <f>#REF!</f>
        <v>#REF!</v>
      </c>
      <c r="DJ17" s="97">
        <f t="shared" si="63"/>
        <v>3.3345107227444493E-2</v>
      </c>
      <c r="DK17" s="504" t="e">
        <f>#REF!</f>
        <v>#REF!</v>
      </c>
      <c r="DL17" s="97">
        <f t="shared" si="15"/>
        <v>0.78987407373818541</v>
      </c>
      <c r="DM17" s="504">
        <f t="shared" si="16"/>
        <v>0</v>
      </c>
      <c r="DN17" s="97">
        <f t="shared" si="17"/>
        <v>2.2247868704693294</v>
      </c>
      <c r="DO17" s="100">
        <v>3.4</v>
      </c>
      <c r="DP17" s="97">
        <f t="shared" si="18"/>
        <v>3.0480060514349594</v>
      </c>
      <c r="DQ17" s="97">
        <f>IF($P17&lt;&gt;0,IF($P17&lt;&gt;0,BM17/$P17*10,0)," ")</f>
        <v>3.6304565502400492</v>
      </c>
      <c r="DR17" s="101" t="str">
        <f t="shared" si="19"/>
        <v>3,315, hL/NhL</v>
      </c>
      <c r="DS17" s="147"/>
      <c r="DT17" s="134">
        <v>12</v>
      </c>
      <c r="DU17" s="120">
        <v>619332</v>
      </c>
      <c r="DV17" s="120">
        <v>24905</v>
      </c>
      <c r="DW17" s="120">
        <v>5116463</v>
      </c>
      <c r="DX17" s="120">
        <v>111441</v>
      </c>
      <c r="DY17" s="120">
        <v>83151</v>
      </c>
      <c r="DZ17" s="120">
        <v>381759</v>
      </c>
      <c r="EA17" s="120">
        <v>223616</v>
      </c>
      <c r="EB17" s="120">
        <v>52425</v>
      </c>
      <c r="EC17" s="120">
        <v>392059</v>
      </c>
      <c r="ED17" s="120">
        <v>45939</v>
      </c>
      <c r="EE17" s="120">
        <v>37617</v>
      </c>
      <c r="EF17" s="120">
        <v>39994</v>
      </c>
      <c r="EG17" s="120">
        <v>90522</v>
      </c>
      <c r="EH17" s="120">
        <v>178559</v>
      </c>
      <c r="EI17" s="120">
        <v>30937</v>
      </c>
      <c r="EJ17" s="120">
        <v>39272</v>
      </c>
      <c r="EK17" s="120"/>
      <c r="EL17" s="120">
        <v>690171</v>
      </c>
      <c r="EM17" s="120">
        <v>5137</v>
      </c>
      <c r="EN17" s="120">
        <v>42110</v>
      </c>
      <c r="EO17" s="120">
        <v>2943027</v>
      </c>
      <c r="EP17" s="120">
        <v>2725418</v>
      </c>
      <c r="EQ17" s="120">
        <v>0</v>
      </c>
      <c r="ER17" s="120">
        <v>1113</v>
      </c>
      <c r="ES17" s="120">
        <v>325738</v>
      </c>
      <c r="ET17" s="120">
        <v>6586188</v>
      </c>
      <c r="EU17" s="120">
        <v>404138</v>
      </c>
      <c r="EV17" s="120">
        <v>126025</v>
      </c>
      <c r="EW17" s="120">
        <v>93399</v>
      </c>
      <c r="EX17" s="120">
        <v>203645</v>
      </c>
      <c r="EY17" s="120">
        <v>1607464</v>
      </c>
      <c r="EZ17" s="120">
        <v>744669</v>
      </c>
      <c r="FA17" s="77">
        <v>736465</v>
      </c>
      <c r="FB17" s="77">
        <v>30804</v>
      </c>
      <c r="FC17" s="77">
        <v>6871</v>
      </c>
      <c r="FD17" s="104">
        <f t="shared" si="78"/>
        <v>6947</v>
      </c>
      <c r="FE17" s="105">
        <f t="shared" si="75"/>
        <v>0</v>
      </c>
      <c r="FF17" s="105">
        <f t="shared" si="75"/>
        <v>20</v>
      </c>
      <c r="FG17" s="105">
        <f t="shared" si="75"/>
        <v>1946</v>
      </c>
      <c r="FH17" s="105">
        <f t="shared" si="75"/>
        <v>2279</v>
      </c>
      <c r="FI17" s="105">
        <v>735</v>
      </c>
      <c r="FJ17" s="105">
        <f t="shared" si="75"/>
        <v>927</v>
      </c>
      <c r="FK17" s="105">
        <f t="shared" si="75"/>
        <v>0</v>
      </c>
      <c r="FL17" s="105">
        <f t="shared" si="75"/>
        <v>1040</v>
      </c>
      <c r="FM17" s="105">
        <f t="shared" si="75"/>
        <v>0</v>
      </c>
      <c r="FN17" s="80">
        <f>IF(FO17="",0,(FO17-FO16))</f>
        <v>0</v>
      </c>
      <c r="FO17" s="136">
        <v>998004</v>
      </c>
      <c r="FP17" s="106"/>
      <c r="FY17" s="119">
        <v>12</v>
      </c>
      <c r="FZ17" s="107"/>
      <c r="GA17" s="107"/>
      <c r="GB17" s="107"/>
      <c r="GC17" s="109"/>
      <c r="GD17" s="110"/>
      <c r="GE17" s="110"/>
      <c r="GF17" s="111"/>
      <c r="GG17" s="111"/>
      <c r="GH17" s="111"/>
      <c r="GI17" s="112"/>
      <c r="GJ17" s="111" t="e">
        <f t="shared" si="65"/>
        <v>#DIV/0!</v>
      </c>
      <c r="GK17" s="113"/>
    </row>
    <row r="18" spans="1:193" s="119" customFormat="1" ht="15" customHeight="1">
      <c r="B18" s="573">
        <v>42868</v>
      </c>
      <c r="D18" s="154">
        <v>1344</v>
      </c>
      <c r="E18" s="128">
        <v>5268</v>
      </c>
      <c r="F18" s="128">
        <v>2984.328</v>
      </c>
      <c r="G18" s="86">
        <v>5826.0190000000002</v>
      </c>
      <c r="H18" s="86">
        <v>5475.07</v>
      </c>
      <c r="I18" s="86">
        <v>1469.8919999999998</v>
      </c>
      <c r="J18" s="85">
        <v>7624.848</v>
      </c>
      <c r="K18" s="85"/>
      <c r="L18" s="86"/>
      <c r="M18" s="115">
        <f t="shared" si="22"/>
        <v>9094.74</v>
      </c>
      <c r="N18" s="88">
        <f t="shared" si="0"/>
        <v>20897.417000000001</v>
      </c>
      <c r="O18" s="88">
        <f t="shared" si="66"/>
        <v>25444.787</v>
      </c>
      <c r="P18" s="89">
        <f t="shared" si="23"/>
        <v>272507.3775</v>
      </c>
      <c r="R18" s="90">
        <f t="shared" si="24"/>
        <v>207</v>
      </c>
      <c r="S18" s="90">
        <f t="shared" si="25"/>
        <v>127.1</v>
      </c>
      <c r="T18" s="90">
        <f t="shared" si="1"/>
        <v>466.5</v>
      </c>
      <c r="U18" s="91">
        <f t="shared" si="76"/>
        <v>4.4000000000000004</v>
      </c>
      <c r="V18" s="90">
        <f t="shared" si="26"/>
        <v>1277</v>
      </c>
      <c r="W18" s="91">
        <f t="shared" si="2"/>
        <v>113.5</v>
      </c>
      <c r="X18" s="170">
        <f t="shared" si="27"/>
        <v>1277</v>
      </c>
      <c r="Y18" s="170" t="str">
        <f t="shared" si="28"/>
        <v>0</v>
      </c>
      <c r="Z18" s="170">
        <f t="shared" si="3"/>
        <v>151.19999999999999</v>
      </c>
      <c r="AA18" s="170">
        <f t="shared" si="29"/>
        <v>2082</v>
      </c>
      <c r="AB18" s="170">
        <f t="shared" si="30"/>
        <v>82</v>
      </c>
      <c r="AC18" s="170">
        <f t="shared" si="30"/>
        <v>92</v>
      </c>
      <c r="AD18" s="170">
        <f t="shared" si="31"/>
        <v>361</v>
      </c>
      <c r="AE18" s="170">
        <f t="shared" si="32"/>
        <v>187</v>
      </c>
      <c r="AF18" s="170">
        <f t="shared" si="33"/>
        <v>182</v>
      </c>
      <c r="AG18" s="170">
        <f t="shared" si="33"/>
        <v>28</v>
      </c>
      <c r="AH18" s="170">
        <f t="shared" si="34"/>
        <v>329</v>
      </c>
      <c r="AI18" s="170">
        <f t="shared" si="35"/>
        <v>119</v>
      </c>
      <c r="AJ18" s="170">
        <f t="shared" si="36"/>
        <v>184</v>
      </c>
      <c r="AK18" s="170">
        <f t="shared" si="36"/>
        <v>13</v>
      </c>
      <c r="AL18" s="170">
        <f t="shared" si="37"/>
        <v>273</v>
      </c>
      <c r="AM18" s="170">
        <f t="shared" si="38"/>
        <v>76</v>
      </c>
      <c r="AN18" s="170">
        <f t="shared" si="39"/>
        <v>29</v>
      </c>
      <c r="AO18" s="170">
        <f t="shared" si="4"/>
        <v>83</v>
      </c>
      <c r="AP18" s="170">
        <f t="shared" si="40"/>
        <v>13</v>
      </c>
      <c r="AQ18" s="170">
        <f>IF(AP18=0.1,0,(IF(AP18&gt;=(EH18-EH17),(AP18),(EH18-EH17))))</f>
        <v>36</v>
      </c>
      <c r="AR18" s="170">
        <f t="shared" si="41"/>
        <v>86.009</v>
      </c>
      <c r="AS18" s="170">
        <f t="shared" si="42"/>
        <v>75.009000000000015</v>
      </c>
      <c r="AT18" s="170">
        <f t="shared" si="43"/>
        <v>887.00900000000001</v>
      </c>
      <c r="AU18" s="170">
        <f t="shared" si="44"/>
        <v>263</v>
      </c>
      <c r="AV18" s="170">
        <f t="shared" si="67"/>
        <v>0</v>
      </c>
      <c r="AW18" s="170">
        <f t="shared" si="45"/>
        <v>549</v>
      </c>
      <c r="AX18" s="170">
        <f t="shared" si="68"/>
        <v>25</v>
      </c>
      <c r="AY18" s="170" t="str">
        <f t="shared" si="77"/>
        <v/>
      </c>
      <c r="AZ18" s="170">
        <f t="shared" si="46"/>
        <v>324</v>
      </c>
      <c r="BA18" s="170">
        <v>105</v>
      </c>
      <c r="BB18" s="170">
        <f t="shared" si="47"/>
        <v>111</v>
      </c>
      <c r="BC18" s="170">
        <f t="shared" si="47"/>
        <v>679</v>
      </c>
      <c r="BD18" s="91">
        <f t="shared" si="48"/>
        <v>304</v>
      </c>
      <c r="BE18" s="90"/>
      <c r="BF18" s="90"/>
      <c r="BG18" s="170">
        <f t="shared" si="6"/>
        <v>1114</v>
      </c>
      <c r="BH18" s="170">
        <f t="shared" si="49"/>
        <v>-385</v>
      </c>
      <c r="BI18" s="170">
        <f t="shared" si="50"/>
        <v>1827.991</v>
      </c>
      <c r="BJ18" s="170">
        <f t="shared" si="7"/>
        <v>5190.009</v>
      </c>
      <c r="BK18" s="92"/>
      <c r="BL18" s="331">
        <f>FD18+FN18</f>
        <v>6633</v>
      </c>
      <c r="BM18" s="331">
        <f t="shared" si="52"/>
        <v>96328</v>
      </c>
      <c r="BN18" s="92"/>
      <c r="BO18" s="97">
        <f t="shared" si="53"/>
        <v>9.9055304299091124E-2</v>
      </c>
      <c r="BP18" s="97">
        <f t="shared" si="53"/>
        <v>6.0820913895722126E-2</v>
      </c>
      <c r="BQ18" s="97">
        <f t="shared" si="54"/>
        <v>0.2232333307030242</v>
      </c>
      <c r="BR18" s="97">
        <f t="shared" si="69"/>
        <v>0.61108030719777462</v>
      </c>
      <c r="BS18" s="97">
        <f t="shared" si="8"/>
        <v>0</v>
      </c>
      <c r="BT18" s="97">
        <f t="shared" si="8"/>
        <v>7.235343966194481E-2</v>
      </c>
      <c r="BU18" s="97">
        <f t="shared" si="8"/>
        <v>0.99629537947201796</v>
      </c>
      <c r="BV18" s="97">
        <f t="shared" si="9"/>
        <v>8.1352616549708198E-2</v>
      </c>
      <c r="BW18" s="97">
        <f t="shared" si="9"/>
        <v>4.9951292577139664E-2</v>
      </c>
      <c r="BX18" s="97">
        <f t="shared" si="9"/>
        <v>0.18333814309390761</v>
      </c>
      <c r="BY18" s="97">
        <f t="shared" si="55"/>
        <v>0.50187097262791003</v>
      </c>
      <c r="BZ18" s="97">
        <f t="shared" si="10"/>
        <v>0.81824225921010851</v>
      </c>
      <c r="CA18" s="504" t="e">
        <f>#REF!</f>
        <v>#REF!</v>
      </c>
      <c r="CB18" s="97">
        <f t="shared" si="11"/>
        <v>3.3802208680308463E-2</v>
      </c>
      <c r="CC18" s="97">
        <f t="shared" si="11"/>
        <v>2.9479122776700787E-2</v>
      </c>
      <c r="CD18" s="97">
        <f t="shared" si="12"/>
        <v>9.4570048181696245E-2</v>
      </c>
      <c r="CE18" s="97">
        <f t="shared" si="12"/>
        <v>8.247514497390801E-2</v>
      </c>
      <c r="CF18" s="97">
        <f t="shared" si="56"/>
        <v>0.61011904761904756</v>
      </c>
      <c r="CG18" s="97">
        <f t="shared" si="56"/>
        <v>0.68452380952380953</v>
      </c>
      <c r="CH18" s="97">
        <f t="shared" si="57"/>
        <v>2.6860119047619047</v>
      </c>
      <c r="CI18" s="504" t="e">
        <f>#REF!</f>
        <v>#REF!</v>
      </c>
      <c r="CJ18" s="97">
        <f t="shared" si="58"/>
        <v>0.34548215641609714</v>
      </c>
      <c r="CK18" s="97">
        <f t="shared" si="58"/>
        <v>5.3151100987091873E-2</v>
      </c>
      <c r="CL18" s="97">
        <f t="shared" si="70"/>
        <v>0.62452543659832949</v>
      </c>
      <c r="CM18" s="97" t="e">
        <f>#REF!</f>
        <v>#REF!</v>
      </c>
      <c r="CN18" s="97">
        <f t="shared" si="59"/>
        <v>0.61655421253964038</v>
      </c>
      <c r="CO18" s="97">
        <f t="shared" si="59"/>
        <v>4.3560895451170249E-2</v>
      </c>
      <c r="CP18" s="97">
        <f t="shared" si="60"/>
        <v>0.91477880447457516</v>
      </c>
      <c r="CQ18" s="97" t="e">
        <f>#REF!</f>
        <v>#REF!</v>
      </c>
      <c r="CR18" s="97">
        <f t="shared" si="71"/>
        <v>4.9776700007329186E-2</v>
      </c>
      <c r="CS18" s="97">
        <f t="shared" si="71"/>
        <v>0.14246434829683871</v>
      </c>
      <c r="CT18" s="504" t="e">
        <f>#REF!</f>
        <v>#REF!</v>
      </c>
      <c r="CU18" s="97">
        <f t="shared" si="72"/>
        <v>2.3743988661332184E-2</v>
      </c>
      <c r="CV18" s="97">
        <f t="shared" si="61"/>
        <v>6.5752583985227583E-2</v>
      </c>
      <c r="CW18" s="504" t="e">
        <f>#REF!</f>
        <v>#REF!</v>
      </c>
      <c r="CX18" s="97">
        <f t="shared" si="62"/>
        <v>0.10336105387716549</v>
      </c>
      <c r="CY18" s="97">
        <f t="shared" si="62"/>
        <v>0</v>
      </c>
      <c r="CZ18" s="97">
        <f t="shared" si="62"/>
        <v>0.21576128737096523</v>
      </c>
      <c r="DA18" s="97">
        <f t="shared" si="62"/>
        <v>9.8251952354720049E-3</v>
      </c>
      <c r="DB18" s="97">
        <f t="shared" si="13"/>
        <v>0.12733453025171718</v>
      </c>
      <c r="DC18" s="97">
        <f t="shared" si="14"/>
        <v>4.3623866845495698E-2</v>
      </c>
      <c r="DD18" s="97">
        <f t="shared" si="14"/>
        <v>0.26685230259541964</v>
      </c>
      <c r="DE18" s="97">
        <f t="shared" si="14"/>
        <v>0.11947437406333958</v>
      </c>
      <c r="DF18" s="97">
        <f t="shared" si="14"/>
        <v>0</v>
      </c>
      <c r="DG18" s="97">
        <f t="shared" si="14"/>
        <v>0</v>
      </c>
      <c r="DH18" s="97">
        <f t="shared" si="14"/>
        <v>0.43781069969263253</v>
      </c>
      <c r="DI18" s="504" t="e">
        <f>#REF!</f>
        <v>#REF!</v>
      </c>
      <c r="DJ18" s="97">
        <f t="shared" si="63"/>
        <v>-0.15130800662626886</v>
      </c>
      <c r="DK18" s="504" t="e">
        <f>#REF!</f>
        <v>#REF!</v>
      </c>
      <c r="DL18" s="97">
        <f t="shared" si="15"/>
        <v>0.71841473854742821</v>
      </c>
      <c r="DM18" s="504">
        <f t="shared" si="16"/>
        <v>0</v>
      </c>
      <c r="DN18" s="97">
        <f t="shared" si="17"/>
        <v>2.0397140679542729</v>
      </c>
      <c r="DO18" s="100">
        <v>3.4</v>
      </c>
      <c r="DP18" s="97">
        <f t="shared" si="18"/>
        <v>2.6068207998754325</v>
      </c>
      <c r="DQ18" s="97">
        <f t="shared" si="73"/>
        <v>3.5348767759507722</v>
      </c>
      <c r="DR18" s="101" t="str">
        <f t="shared" si="19"/>
        <v>3,315, hL/NhL</v>
      </c>
      <c r="DS18" s="147"/>
      <c r="DT18" s="134">
        <v>13</v>
      </c>
      <c r="DU18" s="135">
        <v>619414</v>
      </c>
      <c r="DV18" s="135">
        <v>24997</v>
      </c>
      <c r="DW18" s="135">
        <v>5116824</v>
      </c>
      <c r="DX18" s="156">
        <v>111623</v>
      </c>
      <c r="DY18" s="135">
        <v>83179</v>
      </c>
      <c r="DZ18" s="135">
        <v>382088</v>
      </c>
      <c r="EA18" s="136">
        <v>223800</v>
      </c>
      <c r="EB18" s="136">
        <v>52438</v>
      </c>
      <c r="EC18" s="136">
        <v>392332</v>
      </c>
      <c r="ED18" s="136">
        <v>45968</v>
      </c>
      <c r="EE18" s="136">
        <v>37647</v>
      </c>
      <c r="EF18" s="136">
        <v>40047</v>
      </c>
      <c r="EG18" s="135">
        <v>90535</v>
      </c>
      <c r="EH18" s="135">
        <v>178595</v>
      </c>
      <c r="EI18" s="135">
        <v>30937</v>
      </c>
      <c r="EJ18" s="136">
        <v>39297</v>
      </c>
      <c r="EK18" s="136"/>
      <c r="EL18" s="135">
        <v>690378</v>
      </c>
      <c r="EM18" s="136">
        <v>4665</v>
      </c>
      <c r="EN18" s="136">
        <v>42154</v>
      </c>
      <c r="EO18" s="135">
        <v>2944304</v>
      </c>
      <c r="EP18" s="136">
        <v>2726553</v>
      </c>
      <c r="EQ18" s="136">
        <v>0</v>
      </c>
      <c r="ER18" s="136">
        <v>1512</v>
      </c>
      <c r="ES18" s="136">
        <v>326539</v>
      </c>
      <c r="ET18" s="136">
        <v>6672197</v>
      </c>
      <c r="EU18" s="136">
        <v>404687</v>
      </c>
      <c r="EV18" s="136">
        <v>126288</v>
      </c>
      <c r="EW18" s="136">
        <v>93723</v>
      </c>
      <c r="EX18" s="136">
        <v>203756</v>
      </c>
      <c r="EY18" s="136">
        <v>1608143</v>
      </c>
      <c r="EZ18" s="136">
        <v>745940</v>
      </c>
      <c r="FA18" s="145">
        <v>736769</v>
      </c>
      <c r="FB18" s="136">
        <v>30903</v>
      </c>
      <c r="FC18" s="136">
        <v>7018</v>
      </c>
      <c r="FD18" s="104">
        <f t="shared" si="78"/>
        <v>6633</v>
      </c>
      <c r="FE18" s="105">
        <f t="shared" si="75"/>
        <v>0</v>
      </c>
      <c r="FF18" s="105">
        <f t="shared" si="75"/>
        <v>19</v>
      </c>
      <c r="FG18" s="105">
        <f t="shared" si="75"/>
        <v>1944</v>
      </c>
      <c r="FH18" s="105">
        <f t="shared" si="75"/>
        <v>1912</v>
      </c>
      <c r="FI18" s="105">
        <v>791</v>
      </c>
      <c r="FJ18" s="105">
        <f t="shared" si="75"/>
        <v>916</v>
      </c>
      <c r="FK18" s="105">
        <f t="shared" si="75"/>
        <v>0</v>
      </c>
      <c r="FL18" s="105">
        <f t="shared" si="75"/>
        <v>1051</v>
      </c>
      <c r="FM18" s="105">
        <f t="shared" si="75"/>
        <v>0</v>
      </c>
      <c r="FN18" s="124">
        <f t="shared" si="74"/>
        <v>0</v>
      </c>
      <c r="FO18" s="136">
        <v>998004</v>
      </c>
      <c r="FP18" s="132"/>
      <c r="FY18" s="119">
        <v>13</v>
      </c>
      <c r="FZ18" s="107"/>
      <c r="GA18" s="107"/>
      <c r="GB18" s="107"/>
      <c r="GC18" s="109"/>
      <c r="GD18" s="110"/>
      <c r="GE18" s="110"/>
      <c r="GF18" s="111"/>
      <c r="GG18" s="111"/>
      <c r="GH18" s="111"/>
      <c r="GI18" s="112"/>
      <c r="GJ18" s="111" t="e">
        <f t="shared" si="65"/>
        <v>#DIV/0!</v>
      </c>
      <c r="GK18" s="113"/>
    </row>
    <row r="19" spans="1:193" s="119" customFormat="1" ht="15" customHeight="1">
      <c r="A19" s="119">
        <v>0</v>
      </c>
      <c r="B19" s="573">
        <v>42869</v>
      </c>
      <c r="D19" s="157">
        <v>2304</v>
      </c>
      <c r="E19" s="128">
        <v>1508.4</v>
      </c>
      <c r="F19" s="128">
        <v>2674.944</v>
      </c>
      <c r="G19" s="86">
        <v>6049.0940000000001</v>
      </c>
      <c r="H19" s="86">
        <v>8501.2289999999994</v>
      </c>
      <c r="I19" s="86">
        <v>1234.4100000000001</v>
      </c>
      <c r="J19" s="85"/>
      <c r="K19" s="85"/>
      <c r="L19" s="86">
        <v>100</v>
      </c>
      <c r="M19" s="115">
        <f t="shared" si="22"/>
        <v>1234.4100000000001</v>
      </c>
      <c r="N19" s="88">
        <f t="shared" si="0"/>
        <v>21037.667000000001</v>
      </c>
      <c r="O19" s="88">
        <f t="shared" si="66"/>
        <v>21754.872000000003</v>
      </c>
      <c r="P19" s="89">
        <f t="shared" si="23"/>
        <v>294262.24950000003</v>
      </c>
      <c r="R19" s="90">
        <f t="shared" si="24"/>
        <v>318</v>
      </c>
      <c r="S19" s="90">
        <f t="shared" si="25"/>
        <v>89.6</v>
      </c>
      <c r="T19" s="90">
        <f t="shared" si="1"/>
        <v>441</v>
      </c>
      <c r="U19" s="91">
        <f t="shared" si="76"/>
        <v>5.5</v>
      </c>
      <c r="V19" s="90">
        <f t="shared" si="26"/>
        <v>1571</v>
      </c>
      <c r="W19" s="91">
        <f t="shared" si="2"/>
        <v>139.19999999999999</v>
      </c>
      <c r="X19" s="170">
        <f t="shared" si="27"/>
        <v>1571</v>
      </c>
      <c r="Y19" s="170">
        <f t="shared" si="28"/>
        <v>22.6</v>
      </c>
      <c r="Z19" s="170">
        <f t="shared" si="3"/>
        <v>154.9</v>
      </c>
      <c r="AA19" s="170">
        <f t="shared" si="29"/>
        <v>2425.1</v>
      </c>
      <c r="AB19" s="170">
        <f t="shared" si="30"/>
        <v>64</v>
      </c>
      <c r="AC19" s="170">
        <f t="shared" si="30"/>
        <v>0</v>
      </c>
      <c r="AD19" s="170">
        <f t="shared" si="31"/>
        <v>380</v>
      </c>
      <c r="AE19" s="170">
        <f t="shared" si="32"/>
        <v>316</v>
      </c>
      <c r="AF19" s="170">
        <f t="shared" si="33"/>
        <v>0</v>
      </c>
      <c r="AG19" s="170">
        <f t="shared" si="33"/>
        <v>0</v>
      </c>
      <c r="AH19" s="170">
        <f t="shared" si="34"/>
        <v>40</v>
      </c>
      <c r="AI19" s="170">
        <f t="shared" si="35"/>
        <v>40</v>
      </c>
      <c r="AJ19" s="170">
        <f t="shared" si="36"/>
        <v>166</v>
      </c>
      <c r="AK19" s="170">
        <f t="shared" si="36"/>
        <v>12</v>
      </c>
      <c r="AL19" s="170">
        <f t="shared" si="37"/>
        <v>263</v>
      </c>
      <c r="AM19" s="170">
        <f t="shared" si="38"/>
        <v>85</v>
      </c>
      <c r="AN19" s="170">
        <f t="shared" si="39"/>
        <v>31</v>
      </c>
      <c r="AO19" s="170">
        <f t="shared" si="4"/>
        <v>79</v>
      </c>
      <c r="AP19" s="170">
        <f t="shared" si="40"/>
        <v>20</v>
      </c>
      <c r="AQ19" s="170">
        <f t="shared" si="5"/>
        <v>36</v>
      </c>
      <c r="AR19" s="170">
        <f t="shared" si="41"/>
        <v>42.423000000000002</v>
      </c>
      <c r="AS19" s="170">
        <f t="shared" si="42"/>
        <v>155.423</v>
      </c>
      <c r="AT19" s="170">
        <f t="shared" si="43"/>
        <v>335.423</v>
      </c>
      <c r="AU19" s="170">
        <f t="shared" si="44"/>
        <v>180</v>
      </c>
      <c r="AV19" s="170">
        <f t="shared" si="67"/>
        <v>0</v>
      </c>
      <c r="AW19" s="170">
        <f t="shared" si="45"/>
        <v>0</v>
      </c>
      <c r="AX19" s="170">
        <f t="shared" si="68"/>
        <v>12</v>
      </c>
      <c r="AY19" s="170" t="str">
        <f t="shared" si="77"/>
        <v/>
      </c>
      <c r="AZ19" s="170">
        <f t="shared" si="46"/>
        <v>401</v>
      </c>
      <c r="BA19" s="170">
        <v>0</v>
      </c>
      <c r="BB19" s="170">
        <f t="shared" si="47"/>
        <v>127</v>
      </c>
      <c r="BC19" s="170">
        <f t="shared" si="47"/>
        <v>1005</v>
      </c>
      <c r="BD19" s="91">
        <f t="shared" si="48"/>
        <v>335</v>
      </c>
      <c r="BE19" s="90"/>
      <c r="BF19" s="90"/>
      <c r="BG19" s="170">
        <f t="shared" si="6"/>
        <v>1533</v>
      </c>
      <c r="BH19" s="170">
        <f t="shared" si="49"/>
        <v>1016</v>
      </c>
      <c r="BI19" s="170">
        <f t="shared" si="50"/>
        <v>1020.4769999999999</v>
      </c>
      <c r="BJ19" s="170">
        <f t="shared" si="7"/>
        <v>5103.5230000000001</v>
      </c>
      <c r="BK19" s="92"/>
      <c r="BL19" s="331">
        <f t="shared" si="51"/>
        <v>7140</v>
      </c>
      <c r="BM19" s="331">
        <f t="shared" si="52"/>
        <v>103468</v>
      </c>
      <c r="BN19" s="92"/>
      <c r="BO19" s="97">
        <f t="shared" si="53"/>
        <v>0.15115744535741532</v>
      </c>
      <c r="BP19" s="97">
        <f t="shared" si="53"/>
        <v>4.2590273912026452E-2</v>
      </c>
      <c r="BQ19" s="97">
        <f t="shared" si="54"/>
        <v>0.20962400441075524</v>
      </c>
      <c r="BR19" s="97">
        <f t="shared" si="69"/>
        <v>0.74675580709591027</v>
      </c>
      <c r="BS19" s="97">
        <f t="shared" si="8"/>
        <v>1.0742636053703103E-2</v>
      </c>
      <c r="BT19" s="97">
        <f t="shared" si="8"/>
        <v>7.3629837376929672E-2</v>
      </c>
      <c r="BU19" s="97">
        <f t="shared" si="8"/>
        <v>1.1527418891077608</v>
      </c>
      <c r="BV19" s="97">
        <f t="shared" si="9"/>
        <v>0.14617415354133084</v>
      </c>
      <c r="BW19" s="97">
        <f t="shared" si="9"/>
        <v>4.1186176595293222E-2</v>
      </c>
      <c r="BX19" s="97">
        <f t="shared" si="9"/>
        <v>0.20271321292995884</v>
      </c>
      <c r="BY19" s="97">
        <f t="shared" si="55"/>
        <v>0.72213709186613451</v>
      </c>
      <c r="BZ19" s="97">
        <f t="shared" si="10"/>
        <v>1.1147388042549731</v>
      </c>
      <c r="CA19" s="504" t="e">
        <f>#REF!</f>
        <v>#REF!</v>
      </c>
      <c r="CB19" s="97">
        <f t="shared" si="11"/>
        <v>1.9500459483282637E-2</v>
      </c>
      <c r="CC19" s="97">
        <f t="shared" si="11"/>
        <v>7.1442847376900209E-2</v>
      </c>
      <c r="CD19" s="97">
        <f t="shared" si="12"/>
        <v>0.34367025542566892</v>
      </c>
      <c r="CE19" s="97">
        <f t="shared" si="12"/>
        <v>1.2590873372704368</v>
      </c>
      <c r="CF19" s="97">
        <f t="shared" si="56"/>
        <v>0.27777777777777779</v>
      </c>
      <c r="CG19" s="97">
        <f t="shared" si="56"/>
        <v>0</v>
      </c>
      <c r="CH19" s="97">
        <f t="shared" si="57"/>
        <v>1.6493055555555556</v>
      </c>
      <c r="CI19" s="504" t="e">
        <f>#REF!</f>
        <v>#REF!</v>
      </c>
      <c r="CJ19" s="97">
        <f t="shared" si="58"/>
        <v>0</v>
      </c>
      <c r="CK19" s="97">
        <f t="shared" si="58"/>
        <v>0</v>
      </c>
      <c r="CL19" s="97">
        <f t="shared" si="70"/>
        <v>0.26518164942985945</v>
      </c>
      <c r="CM19" s="97" t="e">
        <f>#REF!</f>
        <v>#REF!</v>
      </c>
      <c r="CN19" s="97">
        <f t="shared" si="59"/>
        <v>0.62057373911379088</v>
      </c>
      <c r="CO19" s="97">
        <f t="shared" si="59"/>
        <v>4.4860752225093309E-2</v>
      </c>
      <c r="CP19" s="97">
        <f t="shared" si="60"/>
        <v>0.98319815293329504</v>
      </c>
      <c r="CQ19" s="97" t="e">
        <f>#REF!</f>
        <v>#REF!</v>
      </c>
      <c r="CR19" s="97">
        <f t="shared" si="71"/>
        <v>5.124734381710716E-2</v>
      </c>
      <c r="CS19" s="97">
        <f t="shared" si="71"/>
        <v>0.13059806972746663</v>
      </c>
      <c r="CT19" s="504" t="e">
        <f>#REF!</f>
        <v>#REF!</v>
      </c>
      <c r="CU19" s="97">
        <f t="shared" si="72"/>
        <v>2.3526010180410388E-2</v>
      </c>
      <c r="CV19" s="97">
        <f t="shared" si="61"/>
        <v>4.2346818324738703E-2</v>
      </c>
      <c r="CW19" s="504" t="e">
        <f>#REF!</f>
        <v>#REF!</v>
      </c>
      <c r="CX19" s="97">
        <f t="shared" si="62"/>
        <v>8.2740086910187277E-2</v>
      </c>
      <c r="CY19" s="97">
        <f t="shared" si="62"/>
        <v>0</v>
      </c>
      <c r="CZ19" s="97">
        <f t="shared" si="62"/>
        <v>0</v>
      </c>
      <c r="DA19" s="97">
        <f t="shared" si="62"/>
        <v>5.5160057940124851E-3</v>
      </c>
      <c r="DB19" s="97">
        <f t="shared" si="13"/>
        <v>0.18432652694991722</v>
      </c>
      <c r="DC19" s="97">
        <f t="shared" si="14"/>
        <v>5.8377727986632134E-2</v>
      </c>
      <c r="DD19" s="97">
        <f t="shared" si="14"/>
        <v>0.46196548524854564</v>
      </c>
      <c r="DE19" s="97">
        <f t="shared" si="14"/>
        <v>0.15398849508284854</v>
      </c>
      <c r="DF19" s="97">
        <f t="shared" si="14"/>
        <v>0</v>
      </c>
      <c r="DG19" s="97">
        <f t="shared" si="14"/>
        <v>0</v>
      </c>
      <c r="DH19" s="97">
        <f t="shared" si="14"/>
        <v>0.70466974018509498</v>
      </c>
      <c r="DI19" s="504" t="e">
        <f>#REF!</f>
        <v>#REF!</v>
      </c>
      <c r="DJ19" s="97">
        <f t="shared" si="63"/>
        <v>0.46702182389305708</v>
      </c>
      <c r="DK19" s="504" t="e">
        <f>#REF!</f>
        <v>#REF!</v>
      </c>
      <c r="DL19" s="97">
        <f t="shared" si="15"/>
        <v>0.46907975372137317</v>
      </c>
      <c r="DM19" s="504">
        <f t="shared" si="16"/>
        <v>0</v>
      </c>
      <c r="DN19" s="97">
        <f t="shared" si="17"/>
        <v>2.3459218698229982</v>
      </c>
      <c r="DO19" s="100">
        <v>3.4</v>
      </c>
      <c r="DP19" s="97">
        <f t="shared" si="18"/>
        <v>3.282023447437429</v>
      </c>
      <c r="DQ19" s="97">
        <f t="shared" si="73"/>
        <v>3.5161832744706176</v>
      </c>
      <c r="DR19" s="101" t="str">
        <f t="shared" si="19"/>
        <v>3,315, hL/NhL</v>
      </c>
      <c r="DS19" s="147"/>
      <c r="DT19" s="103">
        <v>14</v>
      </c>
      <c r="DU19" s="135">
        <v>619478</v>
      </c>
      <c r="DV19" s="135">
        <v>24997</v>
      </c>
      <c r="DW19" s="135">
        <v>5117204</v>
      </c>
      <c r="DX19" s="156">
        <v>111623</v>
      </c>
      <c r="DY19" s="135">
        <v>83179</v>
      </c>
      <c r="DZ19" s="135">
        <v>382128</v>
      </c>
      <c r="EA19" s="135">
        <v>223966</v>
      </c>
      <c r="EB19" s="136">
        <v>52450</v>
      </c>
      <c r="EC19" s="135">
        <v>392595</v>
      </c>
      <c r="ED19" s="135">
        <v>45999</v>
      </c>
      <c r="EE19" s="136">
        <v>37673</v>
      </c>
      <c r="EF19" s="136">
        <v>40100</v>
      </c>
      <c r="EG19" s="135">
        <v>90555</v>
      </c>
      <c r="EH19" s="135">
        <v>178631</v>
      </c>
      <c r="EI19" s="135">
        <v>30937</v>
      </c>
      <c r="EJ19" s="136">
        <v>39309</v>
      </c>
      <c r="EK19" s="136"/>
      <c r="EL19" s="135">
        <v>690696</v>
      </c>
      <c r="EM19" s="136">
        <v>4410</v>
      </c>
      <c r="EN19" s="136">
        <v>42209</v>
      </c>
      <c r="EO19" s="135">
        <v>2945875</v>
      </c>
      <c r="EP19" s="136">
        <v>2727945</v>
      </c>
      <c r="EQ19" s="136">
        <v>226</v>
      </c>
      <c r="ER19" s="136">
        <v>1549</v>
      </c>
      <c r="ES19" s="136">
        <v>326832</v>
      </c>
      <c r="ET19" s="136">
        <v>6714620</v>
      </c>
      <c r="EU19" s="136">
        <v>404687</v>
      </c>
      <c r="EV19" s="136">
        <v>126468</v>
      </c>
      <c r="EW19" s="136">
        <v>94124</v>
      </c>
      <c r="EX19" s="136">
        <v>203883</v>
      </c>
      <c r="EY19" s="136">
        <v>1609148</v>
      </c>
      <c r="EZ19" s="136">
        <v>746836</v>
      </c>
      <c r="FA19" s="145">
        <v>737104</v>
      </c>
      <c r="FB19" s="136">
        <v>30903</v>
      </c>
      <c r="FC19" s="136">
        <v>6124</v>
      </c>
      <c r="FD19" s="104">
        <f t="shared" si="78"/>
        <v>6402</v>
      </c>
      <c r="FE19" s="105">
        <f t="shared" si="75"/>
        <v>0</v>
      </c>
      <c r="FF19" s="105">
        <f t="shared" si="75"/>
        <v>0</v>
      </c>
      <c r="FG19" s="105">
        <f t="shared" si="75"/>
        <v>1949</v>
      </c>
      <c r="FH19" s="105">
        <f t="shared" si="75"/>
        <v>1571</v>
      </c>
      <c r="FI19" s="105">
        <v>743</v>
      </c>
      <c r="FJ19" s="105">
        <f t="shared" si="75"/>
        <v>1014</v>
      </c>
      <c r="FK19" s="105">
        <f t="shared" si="75"/>
        <v>0</v>
      </c>
      <c r="FL19" s="105">
        <f t="shared" si="75"/>
        <v>1125</v>
      </c>
      <c r="FM19" s="105">
        <f t="shared" si="75"/>
        <v>0</v>
      </c>
      <c r="FN19" s="124">
        <f>IF(FO19="",0,(FO19-FO18))</f>
        <v>738</v>
      </c>
      <c r="FO19" s="136">
        <v>998742</v>
      </c>
      <c r="FP19" s="158"/>
      <c r="FY19" s="119">
        <v>14</v>
      </c>
      <c r="FZ19" s="107"/>
      <c r="GA19" s="107"/>
      <c r="GB19" s="107"/>
      <c r="GC19" s="109"/>
      <c r="GD19" s="110"/>
      <c r="GE19" s="110"/>
      <c r="GF19" s="111"/>
      <c r="GG19" s="111"/>
      <c r="GH19" s="111"/>
      <c r="GI19" s="112"/>
      <c r="GJ19" s="111" t="e">
        <f t="shared" si="65"/>
        <v>#DIV/0!</v>
      </c>
      <c r="GK19" s="113"/>
    </row>
    <row r="20" spans="1:193" s="119" customFormat="1" ht="15" customHeight="1">
      <c r="B20" s="573">
        <v>42870</v>
      </c>
      <c r="D20" s="159">
        <v>2247.2399999999998</v>
      </c>
      <c r="E20" s="128"/>
      <c r="F20" s="86">
        <v>2411.0639999999999</v>
      </c>
      <c r="G20" s="86">
        <v>5223.25</v>
      </c>
      <c r="H20" s="86">
        <v>6736.3339999999998</v>
      </c>
      <c r="I20" s="86">
        <v>2466.1460000000002</v>
      </c>
      <c r="J20" s="85">
        <v>2674.2</v>
      </c>
      <c r="K20" s="85"/>
      <c r="L20" s="85"/>
      <c r="M20" s="115">
        <f t="shared" si="22"/>
        <v>5140.3459999999995</v>
      </c>
      <c r="N20" s="88">
        <f t="shared" si="0"/>
        <v>16617.887999999999</v>
      </c>
      <c r="O20" s="88">
        <f t="shared" si="66"/>
        <v>19188.060999999998</v>
      </c>
      <c r="P20" s="89">
        <f t="shared" si="23"/>
        <v>313450.31050000002</v>
      </c>
      <c r="R20" s="90">
        <f t="shared" si="24"/>
        <v>321</v>
      </c>
      <c r="S20" s="90">
        <f t="shared" si="25"/>
        <v>131.19999999999999</v>
      </c>
      <c r="T20" s="90">
        <f t="shared" si="1"/>
        <v>578.6</v>
      </c>
      <c r="U20" s="91">
        <f t="shared" si="76"/>
        <v>6.5</v>
      </c>
      <c r="V20" s="90">
        <f t="shared" si="26"/>
        <v>1479</v>
      </c>
      <c r="W20" s="91">
        <f t="shared" si="2"/>
        <v>129.69999999999999</v>
      </c>
      <c r="X20" s="170">
        <f t="shared" si="27"/>
        <v>1479</v>
      </c>
      <c r="Y20" s="170" t="str">
        <f t="shared" si="28"/>
        <v>0</v>
      </c>
      <c r="Z20" s="170">
        <f t="shared" si="3"/>
        <v>163.19999999999999</v>
      </c>
      <c r="AA20" s="170">
        <f t="shared" si="29"/>
        <v>2516.3000000000002</v>
      </c>
      <c r="AB20" s="170">
        <f t="shared" si="30"/>
        <v>124</v>
      </c>
      <c r="AC20" s="170">
        <f t="shared" si="30"/>
        <v>140</v>
      </c>
      <c r="AD20" s="170">
        <f t="shared" si="31"/>
        <v>388</v>
      </c>
      <c r="AE20" s="170">
        <f t="shared" si="32"/>
        <v>124</v>
      </c>
      <c r="AF20" s="170">
        <f t="shared" si="33"/>
        <v>160</v>
      </c>
      <c r="AG20" s="170">
        <f t="shared" si="33"/>
        <v>168</v>
      </c>
      <c r="AH20" s="170">
        <f t="shared" si="34"/>
        <v>415</v>
      </c>
      <c r="AI20" s="170">
        <f t="shared" si="35"/>
        <v>87</v>
      </c>
      <c r="AJ20" s="170">
        <f t="shared" si="36"/>
        <v>234</v>
      </c>
      <c r="AK20" s="170">
        <f t="shared" si="36"/>
        <v>21</v>
      </c>
      <c r="AL20" s="170">
        <f t="shared" si="37"/>
        <v>322</v>
      </c>
      <c r="AM20" s="170">
        <f t="shared" si="38"/>
        <v>67</v>
      </c>
      <c r="AN20" s="170">
        <f t="shared" si="39"/>
        <v>13</v>
      </c>
      <c r="AO20" s="170">
        <f t="shared" si="4"/>
        <v>57</v>
      </c>
      <c r="AP20" s="170">
        <f t="shared" si="40"/>
        <v>19</v>
      </c>
      <c r="AQ20" s="170">
        <f t="shared" si="5"/>
        <v>49</v>
      </c>
      <c r="AR20" s="170">
        <f t="shared" si="41"/>
        <v>69.676000000000002</v>
      </c>
      <c r="AS20" s="170">
        <f t="shared" si="42"/>
        <v>72.676000000000045</v>
      </c>
      <c r="AT20" s="170">
        <f t="shared" si="43"/>
        <v>725.67600000000004</v>
      </c>
      <c r="AU20" s="170">
        <f t="shared" si="44"/>
        <v>292</v>
      </c>
      <c r="AV20" s="170">
        <f t="shared" si="67"/>
        <v>0</v>
      </c>
      <c r="AW20" s="170">
        <f t="shared" si="45"/>
        <v>361</v>
      </c>
      <c r="AX20" s="170">
        <f t="shared" si="68"/>
        <v>69</v>
      </c>
      <c r="AY20" s="170" t="str">
        <f t="shared" si="77"/>
        <v/>
      </c>
      <c r="AZ20" s="170">
        <f t="shared" si="46"/>
        <v>303</v>
      </c>
      <c r="BA20" s="170">
        <v>100</v>
      </c>
      <c r="BB20" s="170">
        <f t="shared" si="47"/>
        <v>108</v>
      </c>
      <c r="BC20" s="170">
        <f t="shared" si="47"/>
        <v>1159</v>
      </c>
      <c r="BD20" s="91">
        <f t="shared" si="48"/>
        <v>281</v>
      </c>
      <c r="BE20" s="90"/>
      <c r="BF20" s="90"/>
      <c r="BG20" s="170">
        <f t="shared" si="6"/>
        <v>1570</v>
      </c>
      <c r="BH20" s="170">
        <f t="shared" si="49"/>
        <v>-969</v>
      </c>
      <c r="BI20" s="170">
        <f t="shared" si="50"/>
        <v>1157.0239999999994</v>
      </c>
      <c r="BJ20" s="170">
        <f t="shared" si="7"/>
        <v>6111.9760000000006</v>
      </c>
      <c r="BK20" s="92"/>
      <c r="BL20" s="331">
        <f t="shared" si="51"/>
        <v>6300</v>
      </c>
      <c r="BM20" s="331">
        <f t="shared" si="52"/>
        <v>109768</v>
      </c>
      <c r="BN20" s="92"/>
      <c r="BO20" s="97">
        <f t="shared" si="53"/>
        <v>0.19316534086642057</v>
      </c>
      <c r="BP20" s="97">
        <f t="shared" si="53"/>
        <v>7.8951067668767541E-2</v>
      </c>
      <c r="BQ20" s="97">
        <f t="shared" si="54"/>
        <v>0.34817902250875687</v>
      </c>
      <c r="BR20" s="97">
        <f t="shared" si="69"/>
        <v>0.89000479483313411</v>
      </c>
      <c r="BS20" s="97">
        <f t="shared" si="8"/>
        <v>0</v>
      </c>
      <c r="BT20" s="97">
        <f t="shared" si="8"/>
        <v>9.8207425636759618E-2</v>
      </c>
      <c r="BU20" s="97">
        <f t="shared" si="8"/>
        <v>1.5142116735893276</v>
      </c>
      <c r="BV20" s="97">
        <f t="shared" si="9"/>
        <v>0.16729152570444716</v>
      </c>
      <c r="BW20" s="97">
        <f t="shared" si="9"/>
        <v>6.8375851004434482E-2</v>
      </c>
      <c r="BX20" s="97">
        <f t="shared" si="9"/>
        <v>0.30154167218876365</v>
      </c>
      <c r="BY20" s="97">
        <f t="shared" si="55"/>
        <v>0.77079179600273329</v>
      </c>
      <c r="BZ20" s="97">
        <f t="shared" si="10"/>
        <v>1.3113883680065435</v>
      </c>
      <c r="CA20" s="504" t="e">
        <f>#REF!</f>
        <v>#REF!</v>
      </c>
      <c r="CB20" s="97">
        <f t="shared" si="11"/>
        <v>3.6312163068483061E-2</v>
      </c>
      <c r="CC20" s="97">
        <f t="shared" si="11"/>
        <v>3.7875635271328381E-2</v>
      </c>
      <c r="CD20" s="97">
        <f t="shared" si="12"/>
        <v>0.13554729584350939</v>
      </c>
      <c r="CE20" s="97">
        <f t="shared" si="12"/>
        <v>0.14138347885531452</v>
      </c>
      <c r="CF20" s="97">
        <f t="shared" si="56"/>
        <v>0.55178797102223176</v>
      </c>
      <c r="CG20" s="97">
        <f t="shared" si="56"/>
        <v>0.62298641889606809</v>
      </c>
      <c r="CH20" s="97">
        <f t="shared" si="57"/>
        <v>1.7265623609405316</v>
      </c>
      <c r="CI20" s="504" t="e">
        <f>#REF!</f>
        <v>#REF!</v>
      </c>
      <c r="CJ20" s="97" t="str">
        <f t="shared" si="58"/>
        <v>0,00</v>
      </c>
      <c r="CK20" s="97" t="str">
        <f t="shared" si="58"/>
        <v>0,00</v>
      </c>
      <c r="CL20" s="97" t="str">
        <f t="shared" si="70"/>
        <v xml:space="preserve">0,00 </v>
      </c>
      <c r="CM20" s="97" t="e">
        <f>#REF!</f>
        <v>#REF!</v>
      </c>
      <c r="CN20" s="97">
        <f t="shared" si="59"/>
        <v>0.97052587571296323</v>
      </c>
      <c r="CO20" s="97">
        <f t="shared" si="59"/>
        <v>8.7098476025522356E-2</v>
      </c>
      <c r="CP20" s="97">
        <f t="shared" si="60"/>
        <v>1.3355099657246761</v>
      </c>
      <c r="CQ20" s="97" t="e">
        <f>#REF!</f>
        <v>#REF!</v>
      </c>
      <c r="CR20" s="97">
        <f t="shared" si="71"/>
        <v>2.4888718709615662E-2</v>
      </c>
      <c r="CS20" s="97">
        <f t="shared" si="71"/>
        <v>0.10912745895754558</v>
      </c>
      <c r="CT20" s="504" t="e">
        <f>#REF!</f>
        <v>#REF!</v>
      </c>
      <c r="CU20" s="97">
        <f t="shared" si="72"/>
        <v>2.8205252293012788E-2</v>
      </c>
      <c r="CV20" s="97">
        <f t="shared" si="61"/>
        <v>7.2739861176717185E-2</v>
      </c>
      <c r="CW20" s="504" t="e">
        <f>#REF!</f>
        <v>#REF!</v>
      </c>
      <c r="CX20" s="97">
        <f t="shared" si="62"/>
        <v>0.15217796107694259</v>
      </c>
      <c r="CY20" s="97">
        <f t="shared" si="62"/>
        <v>0</v>
      </c>
      <c r="CZ20" s="97">
        <f t="shared" si="62"/>
        <v>0.18813782174238453</v>
      </c>
      <c r="DA20" s="97">
        <f t="shared" si="62"/>
        <v>3.5959860665441913E-2</v>
      </c>
      <c r="DB20" s="97">
        <f t="shared" si="13"/>
        <v>0.15791069248737535</v>
      </c>
      <c r="DC20" s="97">
        <f t="shared" si="14"/>
        <v>5.6284999302430826E-2</v>
      </c>
      <c r="DD20" s="97">
        <f t="shared" si="14"/>
        <v>0.6040214276992345</v>
      </c>
      <c r="DE20" s="97">
        <f t="shared" si="14"/>
        <v>0.14644522966650983</v>
      </c>
      <c r="DF20" s="97">
        <f t="shared" si="14"/>
        <v>0</v>
      </c>
      <c r="DG20" s="97">
        <f t="shared" si="14"/>
        <v>0</v>
      </c>
      <c r="DH20" s="97">
        <f t="shared" si="14"/>
        <v>0.81821711948904075</v>
      </c>
      <c r="DI20" s="504" t="e">
        <f>#REF!</f>
        <v>#REF!</v>
      </c>
      <c r="DJ20" s="97">
        <f t="shared" si="63"/>
        <v>-0.5050015215190321</v>
      </c>
      <c r="DK20" s="504" t="e">
        <f>#REF!</f>
        <v>#REF!</v>
      </c>
      <c r="DL20" s="97">
        <f t="shared" si="15"/>
        <v>0.60299162067496015</v>
      </c>
      <c r="DM20" s="504">
        <f t="shared" si="16"/>
        <v>0</v>
      </c>
      <c r="DN20" s="97">
        <f t="shared" si="17"/>
        <v>3.1853015268192038</v>
      </c>
      <c r="DO20" s="100">
        <v>3.4</v>
      </c>
      <c r="DP20" s="97">
        <f t="shared" si="18"/>
        <v>3.2832916259751315</v>
      </c>
      <c r="DQ20" s="97">
        <f>IF($P20&lt;&gt;0,IF($P20&lt;&gt;0,BM20/$P20*10,0)," ")</f>
        <v>3.5019266634288431</v>
      </c>
      <c r="DR20" s="101" t="str">
        <f t="shared" si="19"/>
        <v>3,315, hL/NhL</v>
      </c>
      <c r="DS20" s="147"/>
      <c r="DT20" s="103">
        <v>15</v>
      </c>
      <c r="DU20" s="120">
        <v>619602</v>
      </c>
      <c r="DV20" s="120">
        <v>25137</v>
      </c>
      <c r="DW20" s="120">
        <v>5117592</v>
      </c>
      <c r="DX20" s="120">
        <v>111783</v>
      </c>
      <c r="DY20" s="120">
        <v>83347</v>
      </c>
      <c r="DZ20" s="120">
        <v>382543</v>
      </c>
      <c r="EA20" s="120">
        <v>224200</v>
      </c>
      <c r="EB20" s="120">
        <v>52471</v>
      </c>
      <c r="EC20" s="120">
        <v>392917</v>
      </c>
      <c r="ED20" s="120">
        <v>46012</v>
      </c>
      <c r="EE20" s="120">
        <v>37704</v>
      </c>
      <c r="EF20" s="120">
        <v>40126</v>
      </c>
      <c r="EG20" s="120">
        <v>90574</v>
      </c>
      <c r="EH20" s="120">
        <v>178680</v>
      </c>
      <c r="EI20" s="120">
        <v>30937</v>
      </c>
      <c r="EJ20" s="120">
        <v>39378</v>
      </c>
      <c r="EK20" s="120"/>
      <c r="EL20" s="120">
        <v>691017</v>
      </c>
      <c r="EM20" s="120">
        <v>5786</v>
      </c>
      <c r="EN20" s="120">
        <v>42274</v>
      </c>
      <c r="EO20" s="120">
        <v>2947354</v>
      </c>
      <c r="EP20" s="120">
        <v>2729242</v>
      </c>
      <c r="EQ20" s="120">
        <v>0</v>
      </c>
      <c r="ER20" s="120">
        <v>1632</v>
      </c>
      <c r="ES20" s="120">
        <v>327488</v>
      </c>
      <c r="ET20" s="120">
        <v>6784296</v>
      </c>
      <c r="EU20" s="120">
        <v>405048</v>
      </c>
      <c r="EV20" s="120">
        <v>126760</v>
      </c>
      <c r="EW20" s="120">
        <v>94427</v>
      </c>
      <c r="EX20" s="120">
        <v>203991</v>
      </c>
      <c r="EY20" s="120">
        <v>1610307</v>
      </c>
      <c r="EZ20" s="120">
        <v>748148</v>
      </c>
      <c r="FA20" s="151">
        <v>737385</v>
      </c>
      <c r="FB20" s="77">
        <v>31020</v>
      </c>
      <c r="FC20" s="77">
        <v>7269</v>
      </c>
      <c r="FD20" s="104">
        <f t="shared" si="78"/>
        <v>5912</v>
      </c>
      <c r="FE20" s="105">
        <f t="shared" si="75"/>
        <v>0</v>
      </c>
      <c r="FF20" s="105">
        <f t="shared" si="75"/>
        <v>64</v>
      </c>
      <c r="FG20" s="105">
        <f t="shared" si="75"/>
        <v>1953</v>
      </c>
      <c r="FH20" s="105">
        <f t="shared" si="75"/>
        <v>1703</v>
      </c>
      <c r="FI20" s="105">
        <v>852</v>
      </c>
      <c r="FJ20" s="105">
        <f t="shared" si="75"/>
        <v>1035</v>
      </c>
      <c r="FK20" s="105">
        <f t="shared" si="75"/>
        <v>0</v>
      </c>
      <c r="FL20" s="105">
        <f t="shared" si="75"/>
        <v>305</v>
      </c>
      <c r="FM20" s="105">
        <f t="shared" si="75"/>
        <v>0</v>
      </c>
      <c r="FN20" s="124">
        <f>IF(FO20="",0,(FO20-FO19))</f>
        <v>388</v>
      </c>
      <c r="FO20" s="77">
        <v>999130</v>
      </c>
      <c r="FP20" s="158"/>
      <c r="FY20" s="119">
        <v>15</v>
      </c>
      <c r="FZ20" s="107"/>
      <c r="GA20" s="107"/>
      <c r="GB20" s="107"/>
      <c r="GC20" s="109"/>
      <c r="GD20" s="110"/>
      <c r="GE20" s="110"/>
      <c r="GF20" s="111"/>
      <c r="GG20" s="111"/>
      <c r="GH20" s="111"/>
      <c r="GI20" s="112"/>
      <c r="GJ20" s="111" t="e">
        <f t="shared" si="65"/>
        <v>#DIV/0!</v>
      </c>
      <c r="GK20" s="113"/>
    </row>
    <row r="21" spans="1:193" s="119" customFormat="1" ht="15" customHeight="1">
      <c r="B21" s="573">
        <v>42871</v>
      </c>
      <c r="D21" s="159">
        <v>4583.5200000000004</v>
      </c>
      <c r="E21" s="128">
        <v>3603.48</v>
      </c>
      <c r="F21" s="86">
        <v>2654.2080000000001</v>
      </c>
      <c r="G21" s="86">
        <v>1929</v>
      </c>
      <c r="H21" s="86">
        <v>6020.59</v>
      </c>
      <c r="I21" s="86">
        <v>1281.5349999999999</v>
      </c>
      <c r="J21" s="85">
        <v>5080.5599999999995</v>
      </c>
      <c r="K21" s="85">
        <v>0</v>
      </c>
      <c r="L21" s="85"/>
      <c r="M21" s="115">
        <f>I21+J21</f>
        <v>6362.0949999999993</v>
      </c>
      <c r="N21" s="88">
        <f>SUM(D21:H21)</f>
        <v>18790.798000000003</v>
      </c>
      <c r="O21" s="88">
        <f>N21+L21+((J21+I21)*0.5)</f>
        <v>21971.845500000003</v>
      </c>
      <c r="P21" s="89">
        <f t="shared" si="23"/>
        <v>335422.15600000002</v>
      </c>
      <c r="R21" s="90">
        <f t="shared" si="24"/>
        <v>278</v>
      </c>
      <c r="S21" s="90">
        <f t="shared" si="25"/>
        <v>57.3</v>
      </c>
      <c r="T21" s="90">
        <f t="shared" si="1"/>
        <v>374.9</v>
      </c>
      <c r="U21" s="91">
        <f t="shared" si="76"/>
        <v>5.0999999999999996</v>
      </c>
      <c r="V21" s="90">
        <f t="shared" si="26"/>
        <v>1441</v>
      </c>
      <c r="W21" s="91">
        <f t="shared" si="2"/>
        <v>128</v>
      </c>
      <c r="X21" s="170">
        <f t="shared" si="27"/>
        <v>1441</v>
      </c>
      <c r="Y21" s="170">
        <f t="shared" si="28"/>
        <v>99.2</v>
      </c>
      <c r="Z21" s="170">
        <f t="shared" si="3"/>
        <v>152.6</v>
      </c>
      <c r="AA21" s="170">
        <f t="shared" si="29"/>
        <v>2156.3000000000002</v>
      </c>
      <c r="AB21" s="170">
        <f t="shared" si="30"/>
        <v>143</v>
      </c>
      <c r="AC21" s="170">
        <f t="shared" si="30"/>
        <v>23</v>
      </c>
      <c r="AD21" s="170">
        <f t="shared" si="31"/>
        <v>355</v>
      </c>
      <c r="AE21" s="170">
        <f t="shared" si="32"/>
        <v>189</v>
      </c>
      <c r="AF21" s="170">
        <f t="shared" si="33"/>
        <v>204</v>
      </c>
      <c r="AG21" s="170">
        <f t="shared" si="33"/>
        <v>12</v>
      </c>
      <c r="AH21" s="170">
        <f t="shared" si="34"/>
        <v>277</v>
      </c>
      <c r="AI21" s="170">
        <f t="shared" si="35"/>
        <v>61</v>
      </c>
      <c r="AJ21" s="170">
        <f t="shared" si="36"/>
        <v>175</v>
      </c>
      <c r="AK21" s="170">
        <f t="shared" si="36"/>
        <v>7</v>
      </c>
      <c r="AL21" s="170">
        <f t="shared" si="37"/>
        <v>266</v>
      </c>
      <c r="AM21" s="170">
        <f t="shared" si="38"/>
        <v>84</v>
      </c>
      <c r="AN21" s="170">
        <f t="shared" si="39"/>
        <v>1</v>
      </c>
      <c r="AO21" s="170">
        <f t="shared" si="4"/>
        <v>2</v>
      </c>
      <c r="AP21" s="170">
        <f t="shared" si="40"/>
        <v>10</v>
      </c>
      <c r="AQ21" s="170">
        <f t="shared" si="5"/>
        <v>25</v>
      </c>
      <c r="AR21" s="170">
        <f t="shared" si="41"/>
        <v>38.722999999999999</v>
      </c>
      <c r="AS21" s="170">
        <f t="shared" si="42"/>
        <v>128.72299999999996</v>
      </c>
      <c r="AT21" s="170">
        <f t="shared" si="43"/>
        <v>667.72299999999996</v>
      </c>
      <c r="AU21" s="170">
        <f t="shared" si="44"/>
        <v>157</v>
      </c>
      <c r="AV21" s="170">
        <f t="shared" si="67"/>
        <v>0</v>
      </c>
      <c r="AW21" s="170">
        <f t="shared" si="45"/>
        <v>382</v>
      </c>
      <c r="AX21" s="170">
        <f t="shared" si="68"/>
        <v>58</v>
      </c>
      <c r="AY21" s="170" t="str">
        <f t="shared" si="77"/>
        <v/>
      </c>
      <c r="AZ21" s="170">
        <f t="shared" si="46"/>
        <v>250</v>
      </c>
      <c r="BA21" s="170">
        <v>104</v>
      </c>
      <c r="BB21" s="170">
        <f t="shared" si="47"/>
        <v>126</v>
      </c>
      <c r="BC21" s="170">
        <f t="shared" si="47"/>
        <v>998</v>
      </c>
      <c r="BD21" s="91">
        <f t="shared" si="48"/>
        <v>0</v>
      </c>
      <c r="BE21" s="90"/>
      <c r="BF21" s="90"/>
      <c r="BG21" s="170">
        <f t="shared" si="6"/>
        <v>1374</v>
      </c>
      <c r="BH21" s="170">
        <f t="shared" si="49"/>
        <v>2212</v>
      </c>
      <c r="BI21" s="170">
        <f t="shared" si="50"/>
        <v>255.97699999999986</v>
      </c>
      <c r="BJ21" s="170">
        <f t="shared" si="7"/>
        <v>5181.0230000000001</v>
      </c>
      <c r="BK21" s="92"/>
      <c r="BL21" s="331">
        <f>FD21+FN21</f>
        <v>7649</v>
      </c>
      <c r="BM21" s="331">
        <f t="shared" si="52"/>
        <v>117417</v>
      </c>
      <c r="BN21" s="92"/>
      <c r="BO21" s="97">
        <f t="shared" si="53"/>
        <v>0.1479447546612975</v>
      </c>
      <c r="BP21" s="97">
        <f t="shared" si="53"/>
        <v>3.0493649072274625E-2</v>
      </c>
      <c r="BQ21" s="97">
        <f t="shared" si="54"/>
        <v>0.19951254864215981</v>
      </c>
      <c r="BR21" s="97">
        <f t="shared" si="69"/>
        <v>0.76686471750694141</v>
      </c>
      <c r="BS21" s="97">
        <f t="shared" si="8"/>
        <v>5.2791797346765153E-2</v>
      </c>
      <c r="BT21" s="97">
        <f t="shared" si="8"/>
        <v>8.1209962450769779E-2</v>
      </c>
      <c r="BU21" s="97">
        <f t="shared" si="8"/>
        <v>1.1475297643027189</v>
      </c>
      <c r="BV21" s="97">
        <f t="shared" si="9"/>
        <v>0.12652555744577759</v>
      </c>
      <c r="BW21" s="97">
        <f t="shared" si="9"/>
        <v>2.607882892677358E-2</v>
      </c>
      <c r="BX21" s="97">
        <f t="shared" si="9"/>
        <v>0.17062745139000723</v>
      </c>
      <c r="BY21" s="97">
        <f t="shared" si="55"/>
        <v>0.65583931035742982</v>
      </c>
      <c r="BZ21" s="97">
        <f t="shared" si="10"/>
        <v>0.98139230043284242</v>
      </c>
      <c r="CA21" s="504" t="e">
        <f>#REF!</f>
        <v>#REF!</v>
      </c>
      <c r="CB21" s="97">
        <f t="shared" si="11"/>
        <v>1.7623917845226062E-2</v>
      </c>
      <c r="CC21" s="97">
        <f t="shared" si="11"/>
        <v>5.8585429248535326E-2</v>
      </c>
      <c r="CD21" s="97">
        <f t="shared" si="12"/>
        <v>6.0865170985343671E-2</v>
      </c>
      <c r="CE21" s="97">
        <f t="shared" si="12"/>
        <v>0.20232800673363094</v>
      </c>
      <c r="CF21" s="97">
        <f t="shared" si="56"/>
        <v>0.31198729360840571</v>
      </c>
      <c r="CG21" s="97">
        <f t="shared" si="56"/>
        <v>5.0179774496456872E-2</v>
      </c>
      <c r="CH21" s="97">
        <f t="shared" si="57"/>
        <v>0.77451391070618214</v>
      </c>
      <c r="CI21" s="504" t="e">
        <f>#REF!</f>
        <v>#REF!</v>
      </c>
      <c r="CJ21" s="97">
        <f t="shared" si="58"/>
        <v>0.56611941789603382</v>
      </c>
      <c r="CK21" s="97">
        <f t="shared" si="58"/>
        <v>3.330114222917846E-2</v>
      </c>
      <c r="CL21" s="97">
        <f t="shared" si="70"/>
        <v>0.76870136645686937</v>
      </c>
      <c r="CM21" s="97" t="e">
        <f>#REF!</f>
        <v>#REF!</v>
      </c>
      <c r="CN21" s="97">
        <f t="shared" si="59"/>
        <v>0.65933039158950613</v>
      </c>
      <c r="CO21" s="97">
        <f t="shared" si="59"/>
        <v>2.6373215663580245E-2</v>
      </c>
      <c r="CP21" s="97">
        <f t="shared" si="60"/>
        <v>1.0021821952160495</v>
      </c>
      <c r="CQ21" s="97" t="e">
        <f>#REF!</f>
        <v>#REF!</v>
      </c>
      <c r="CR21" s="97">
        <f t="shared" si="71"/>
        <v>5.184033177812338E-3</v>
      </c>
      <c r="CS21" s="97">
        <f t="shared" si="71"/>
        <v>1.0368066355624676E-2</v>
      </c>
      <c r="CT21" s="504" t="e">
        <f>#REF!</f>
        <v>#REF!</v>
      </c>
      <c r="CU21" s="97">
        <f t="shared" si="72"/>
        <v>1.6609667823253203E-2</v>
      </c>
      <c r="CV21" s="97">
        <f t="shared" si="61"/>
        <v>4.1524169558133012E-2</v>
      </c>
      <c r="CW21" s="504" t="e">
        <f>#REF!</f>
        <v>#REF!</v>
      </c>
      <c r="CX21" s="97">
        <f t="shared" si="62"/>
        <v>7.145508100355065E-2</v>
      </c>
      <c r="CY21" s="97">
        <f t="shared" si="62"/>
        <v>0</v>
      </c>
      <c r="CZ21" s="97">
        <f t="shared" si="62"/>
        <v>0.17385885951182387</v>
      </c>
      <c r="DA21" s="97">
        <f t="shared" si="62"/>
        <v>2.6397418459910428E-2</v>
      </c>
      <c r="DB21" s="97">
        <f t="shared" si="13"/>
        <v>0.11378197612030358</v>
      </c>
      <c r="DC21" s="97">
        <f t="shared" si="14"/>
        <v>5.7346115964633002E-2</v>
      </c>
      <c r="DD21" s="97">
        <f t="shared" si="14"/>
        <v>0.45421764867225189</v>
      </c>
      <c r="DE21" s="97">
        <f t="shared" si="14"/>
        <v>0</v>
      </c>
      <c r="DF21" s="97">
        <f t="shared" si="14"/>
        <v>0</v>
      </c>
      <c r="DG21" s="97">
        <f t="shared" si="14"/>
        <v>0</v>
      </c>
      <c r="DH21" s="97">
        <f t="shared" si="14"/>
        <v>0.62534574075718841</v>
      </c>
      <c r="DI21" s="504" t="e">
        <f>#REF!</f>
        <v>#REF!</v>
      </c>
      <c r="DJ21" s="97">
        <f t="shared" si="63"/>
        <v>1.0067429247124462</v>
      </c>
      <c r="DK21" s="504" t="e">
        <f>#REF!</f>
        <v>#REF!</v>
      </c>
      <c r="DL21" s="97">
        <f t="shared" si="15"/>
        <v>0.11650227560538774</v>
      </c>
      <c r="DM21" s="504">
        <f t="shared" si="16"/>
        <v>0</v>
      </c>
      <c r="DN21" s="97">
        <f t="shared" si="17"/>
        <v>2.3580281410589747</v>
      </c>
      <c r="DO21" s="100">
        <v>3.4</v>
      </c>
      <c r="DP21" s="97">
        <f t="shared" si="18"/>
        <v>3.4812733413768084</v>
      </c>
      <c r="DQ21" s="97">
        <f t="shared" si="73"/>
        <v>3.5005737665105223</v>
      </c>
      <c r="DR21" s="101" t="str">
        <f t="shared" si="19"/>
        <v>3,315, hL/NhL</v>
      </c>
      <c r="DS21" s="147"/>
      <c r="DT21" s="103">
        <v>16</v>
      </c>
      <c r="DU21" s="135">
        <v>619745</v>
      </c>
      <c r="DV21" s="135">
        <v>25160</v>
      </c>
      <c r="DW21" s="160">
        <v>5117947</v>
      </c>
      <c r="DX21" s="156">
        <v>111987</v>
      </c>
      <c r="DY21" s="135">
        <v>83359</v>
      </c>
      <c r="DZ21" s="160">
        <v>382820</v>
      </c>
      <c r="EA21" s="135">
        <v>224375</v>
      </c>
      <c r="EB21" s="136">
        <v>52478</v>
      </c>
      <c r="EC21" s="160">
        <v>393183</v>
      </c>
      <c r="ED21" s="160">
        <v>46013</v>
      </c>
      <c r="EE21" s="136">
        <v>37706</v>
      </c>
      <c r="EF21" s="136">
        <v>40126</v>
      </c>
      <c r="EG21" s="160">
        <v>90584</v>
      </c>
      <c r="EH21" s="160">
        <v>178705</v>
      </c>
      <c r="EI21" s="160">
        <v>30937</v>
      </c>
      <c r="EJ21" s="136">
        <v>39436</v>
      </c>
      <c r="EK21" s="136"/>
      <c r="EL21" s="160">
        <v>691295</v>
      </c>
      <c r="EM21" s="161">
        <v>3749</v>
      </c>
      <c r="EN21" s="161">
        <v>42325</v>
      </c>
      <c r="EO21" s="160">
        <v>2948795</v>
      </c>
      <c r="EP21" s="136">
        <v>2730522</v>
      </c>
      <c r="EQ21" s="136">
        <v>992</v>
      </c>
      <c r="ER21" s="136">
        <v>1526</v>
      </c>
      <c r="ES21" s="136">
        <v>328117</v>
      </c>
      <c r="ET21" s="136">
        <v>6823019</v>
      </c>
      <c r="EU21" s="136">
        <v>405430</v>
      </c>
      <c r="EV21" s="136">
        <v>126917</v>
      </c>
      <c r="EW21" s="136">
        <v>94677</v>
      </c>
      <c r="EX21" s="136">
        <v>204117</v>
      </c>
      <c r="EY21" s="136">
        <v>1611305</v>
      </c>
      <c r="EZ21" s="136">
        <v>748721</v>
      </c>
      <c r="FA21" s="145">
        <v>737385</v>
      </c>
      <c r="FB21" s="136">
        <v>31130</v>
      </c>
      <c r="FC21" s="136">
        <v>5437</v>
      </c>
      <c r="FD21" s="104">
        <f t="shared" si="78"/>
        <v>5156</v>
      </c>
      <c r="FE21" s="105">
        <f t="shared" si="75"/>
        <v>0</v>
      </c>
      <c r="FF21" s="105">
        <f t="shared" si="75"/>
        <v>0</v>
      </c>
      <c r="FG21" s="105">
        <f t="shared" si="75"/>
        <v>1955</v>
      </c>
      <c r="FH21" s="105">
        <f t="shared" si="75"/>
        <v>1761</v>
      </c>
      <c r="FI21" s="105">
        <v>752</v>
      </c>
      <c r="FJ21" s="105">
        <f t="shared" si="75"/>
        <v>688</v>
      </c>
      <c r="FK21" s="105">
        <f t="shared" si="75"/>
        <v>0</v>
      </c>
      <c r="FL21" s="105">
        <f t="shared" si="75"/>
        <v>0</v>
      </c>
      <c r="FM21" s="105">
        <f t="shared" si="75"/>
        <v>0</v>
      </c>
      <c r="FN21" s="80">
        <f t="shared" si="74"/>
        <v>2493</v>
      </c>
      <c r="FO21" s="77">
        <v>1001623</v>
      </c>
      <c r="FP21" s="162"/>
      <c r="FY21" s="119">
        <v>16</v>
      </c>
      <c r="FZ21" s="107"/>
      <c r="GA21" s="163"/>
      <c r="GB21" s="107"/>
      <c r="GC21" s="109"/>
      <c r="GD21" s="110"/>
      <c r="GE21" s="110"/>
      <c r="GF21" s="111"/>
      <c r="GG21" s="111"/>
      <c r="GH21" s="111"/>
      <c r="GI21" s="164"/>
      <c r="GJ21" s="111" t="e">
        <f t="shared" si="65"/>
        <v>#DIV/0!</v>
      </c>
      <c r="GK21" s="113"/>
    </row>
    <row r="22" spans="1:193" ht="15" customHeight="1">
      <c r="B22" s="573">
        <v>42872</v>
      </c>
      <c r="D22" s="329">
        <v>1647.36</v>
      </c>
      <c r="E22" s="329">
        <v>4512</v>
      </c>
      <c r="F22" s="329">
        <v>2909.52</v>
      </c>
      <c r="G22" s="329">
        <v>1570.0229999999999</v>
      </c>
      <c r="H22" s="329">
        <v>6290.37</v>
      </c>
      <c r="I22" s="329">
        <v>1722.27</v>
      </c>
      <c r="J22" s="165">
        <v>6181.56</v>
      </c>
      <c r="K22" s="166"/>
      <c r="L22" s="167"/>
      <c r="M22" s="115">
        <f t="shared" si="22"/>
        <v>7903.83</v>
      </c>
      <c r="N22" s="88">
        <f t="shared" si="0"/>
        <v>16929.272999999997</v>
      </c>
      <c r="O22" s="88">
        <f t="shared" si="66"/>
        <v>20881.187999999998</v>
      </c>
      <c r="P22" s="89">
        <f t="shared" si="23"/>
        <v>356303.34400000004</v>
      </c>
      <c r="Q22" s="168"/>
      <c r="R22" s="90">
        <f t="shared" si="24"/>
        <v>195</v>
      </c>
      <c r="S22" s="90">
        <f t="shared" si="25"/>
        <v>54.7</v>
      </c>
      <c r="T22" s="90">
        <f t="shared" si="1"/>
        <v>845.6</v>
      </c>
      <c r="U22" s="91">
        <f t="shared" si="76"/>
        <v>6.5</v>
      </c>
      <c r="V22" s="90">
        <f>IF(EO22=0,"",(EO22-EO21))</f>
        <v>1492</v>
      </c>
      <c r="W22" s="91">
        <f t="shared" si="2"/>
        <v>132.6</v>
      </c>
      <c r="X22" s="170">
        <f t="shared" si="27"/>
        <v>1492</v>
      </c>
      <c r="Y22" s="170" t="str">
        <f t="shared" si="28"/>
        <v>0</v>
      </c>
      <c r="Z22" s="170">
        <f t="shared" si="3"/>
        <v>152.80000000000001</v>
      </c>
      <c r="AA22" s="170">
        <f t="shared" si="29"/>
        <v>2593.8000000000002</v>
      </c>
      <c r="AB22" s="170">
        <f t="shared" si="30"/>
        <v>198</v>
      </c>
      <c r="AC22" s="170">
        <f t="shared" si="30"/>
        <v>61</v>
      </c>
      <c r="AD22" s="170">
        <f t="shared" si="31"/>
        <v>421</v>
      </c>
      <c r="AE22" s="170">
        <f t="shared" si="32"/>
        <v>162</v>
      </c>
      <c r="AF22" s="170">
        <f t="shared" si="33"/>
        <v>218</v>
      </c>
      <c r="AG22" s="170">
        <f t="shared" si="33"/>
        <v>129</v>
      </c>
      <c r="AH22" s="170">
        <f t="shared" si="34"/>
        <v>420</v>
      </c>
      <c r="AI22" s="170">
        <f t="shared" si="35"/>
        <v>73</v>
      </c>
      <c r="AJ22" s="170">
        <f t="shared" si="36"/>
        <v>204</v>
      </c>
      <c r="AK22" s="170">
        <f t="shared" si="36"/>
        <v>11</v>
      </c>
      <c r="AL22" s="170">
        <f t="shared" si="37"/>
        <v>302</v>
      </c>
      <c r="AM22" s="170">
        <f t="shared" si="38"/>
        <v>87</v>
      </c>
      <c r="AN22" s="170">
        <f t="shared" si="39"/>
        <v>45</v>
      </c>
      <c r="AO22" s="170">
        <f t="shared" si="4"/>
        <v>113</v>
      </c>
      <c r="AP22" s="170">
        <f t="shared" si="40"/>
        <v>25</v>
      </c>
      <c r="AQ22" s="170">
        <f t="shared" si="5"/>
        <v>45</v>
      </c>
      <c r="AR22" s="170">
        <f t="shared" si="41"/>
        <v>85.95</v>
      </c>
      <c r="AS22" s="170">
        <f t="shared" si="42"/>
        <v>68.950000000000045</v>
      </c>
      <c r="AT22" s="170">
        <f t="shared" si="43"/>
        <v>968.95</v>
      </c>
      <c r="AU22" s="170">
        <f t="shared" si="44"/>
        <v>234</v>
      </c>
      <c r="AV22" s="170">
        <f t="shared" si="67"/>
        <v>0</v>
      </c>
      <c r="AW22" s="170">
        <f t="shared" si="45"/>
        <v>666</v>
      </c>
      <c r="AX22" s="170">
        <f t="shared" si="68"/>
        <v>8</v>
      </c>
      <c r="AY22" s="170" t="str">
        <f t="shared" si="77"/>
        <v/>
      </c>
      <c r="AZ22" s="170">
        <f t="shared" si="46"/>
        <v>297</v>
      </c>
      <c r="BA22" s="170">
        <v>94</v>
      </c>
      <c r="BB22" s="170">
        <f t="shared" si="47"/>
        <v>200</v>
      </c>
      <c r="BC22" s="170">
        <f t="shared" si="47"/>
        <v>740</v>
      </c>
      <c r="BD22" s="91">
        <f t="shared" si="48"/>
        <v>99</v>
      </c>
      <c r="BE22" s="90"/>
      <c r="BF22" s="90"/>
      <c r="BG22" s="170">
        <f t="shared" si="6"/>
        <v>1237</v>
      </c>
      <c r="BH22" s="170">
        <f t="shared" si="49"/>
        <v>261</v>
      </c>
      <c r="BI22" s="170">
        <f t="shared" si="50"/>
        <v>741.25</v>
      </c>
      <c r="BJ22" s="170">
        <f t="shared" si="7"/>
        <v>6108.75</v>
      </c>
      <c r="BK22" s="92"/>
      <c r="BL22" s="331">
        <f t="shared" si="51"/>
        <v>7111</v>
      </c>
      <c r="BM22" s="331">
        <f t="shared" si="52"/>
        <v>124528</v>
      </c>
      <c r="BN22" s="92"/>
      <c r="BO22" s="97">
        <f t="shared" si="53"/>
        <v>0.11518509979725652</v>
      </c>
      <c r="BP22" s="97">
        <f t="shared" si="53"/>
        <v>3.2310897225179137E-2</v>
      </c>
      <c r="BQ22" s="97">
        <f t="shared" si="54"/>
        <v>0.49948984814646213</v>
      </c>
      <c r="BR22" s="97">
        <f t="shared" si="69"/>
        <v>0.88131368665388066</v>
      </c>
      <c r="BS22" s="97">
        <f t="shared" ref="BS22:BU36" si="79">IF($N22&lt;&gt;0,IF($N22&lt;&gt;0,Y22/$N22*10,0)," ")</f>
        <v>0</v>
      </c>
      <c r="BT22" s="97">
        <f t="shared" si="79"/>
        <v>9.0257862815491266E-2</v>
      </c>
      <c r="BU22" s="97">
        <f t="shared" si="79"/>
        <v>1.5321390351493538</v>
      </c>
      <c r="BV22" s="97">
        <f t="shared" si="9"/>
        <v>9.3385491285265951E-2</v>
      </c>
      <c r="BW22" s="97">
        <f t="shared" si="9"/>
        <v>2.6195827555405379E-2</v>
      </c>
      <c r="BX22" s="97">
        <f t="shared" si="9"/>
        <v>0.40495780220933797</v>
      </c>
      <c r="BY22" s="97">
        <f t="shared" si="55"/>
        <v>0.71451873332111182</v>
      </c>
      <c r="BZ22" s="97">
        <f t="shared" si="10"/>
        <v>1.24217070408063</v>
      </c>
      <c r="CA22" s="504" t="e">
        <f>#REF!</f>
        <v>#REF!</v>
      </c>
      <c r="CB22" s="97">
        <f t="shared" si="11"/>
        <v>4.1161451158813381E-2</v>
      </c>
      <c r="CC22" s="97">
        <f t="shared" si="11"/>
        <v>3.3020151918559448E-2</v>
      </c>
      <c r="CD22" s="97">
        <f t="shared" si="12"/>
        <v>0.10874474779948455</v>
      </c>
      <c r="CE22" s="97">
        <f t="shared" si="12"/>
        <v>8.7236188025299186E-2</v>
      </c>
      <c r="CF22" s="97">
        <f t="shared" si="56"/>
        <v>1.2019230769230769</v>
      </c>
      <c r="CG22" s="97">
        <f t="shared" si="56"/>
        <v>0.37028943278943283</v>
      </c>
      <c r="CH22" s="97">
        <f t="shared" si="57"/>
        <v>2.5556041181041182</v>
      </c>
      <c r="CI22" s="504" t="e">
        <f>#REF!</f>
        <v>#REF!</v>
      </c>
      <c r="CJ22" s="97">
        <f t="shared" si="58"/>
        <v>0.48315602836879434</v>
      </c>
      <c r="CK22" s="97">
        <f t="shared" si="58"/>
        <v>0.28590425531914893</v>
      </c>
      <c r="CL22" s="97">
        <f t="shared" si="70"/>
        <v>0.93085106382978722</v>
      </c>
      <c r="CM22" s="97" t="e">
        <f>#REF!</f>
        <v>#REF!</v>
      </c>
      <c r="CN22" s="97">
        <f t="shared" si="59"/>
        <v>0.70114658087932036</v>
      </c>
      <c r="CO22" s="97">
        <f t="shared" si="59"/>
        <v>3.7806923478786877E-2</v>
      </c>
      <c r="CP22" s="97">
        <f t="shared" si="60"/>
        <v>1.0379718991448761</v>
      </c>
      <c r="CQ22" s="97" t="e">
        <f>#REF!</f>
        <v>#REF!</v>
      </c>
      <c r="CR22" s="97">
        <f t="shared" si="71"/>
        <v>0.28662000492986406</v>
      </c>
      <c r="CS22" s="97">
        <f t="shared" si="71"/>
        <v>0.71973467904610322</v>
      </c>
      <c r="CT22" s="504" t="e">
        <f>#REF!</f>
        <v>#REF!</v>
      </c>
      <c r="CU22" s="97">
        <f t="shared" si="72"/>
        <v>3.9743290140325613E-2</v>
      </c>
      <c r="CV22" s="97">
        <f t="shared" si="61"/>
        <v>7.1537922252586095E-2</v>
      </c>
      <c r="CW22" s="504" t="e">
        <f>#REF!</f>
        <v>#REF!</v>
      </c>
      <c r="CX22" s="97">
        <f t="shared" si="62"/>
        <v>0.11206258954231915</v>
      </c>
      <c r="CY22" s="97">
        <f t="shared" si="62"/>
        <v>0</v>
      </c>
      <c r="CZ22" s="97">
        <f t="shared" si="62"/>
        <v>0.31894737023583142</v>
      </c>
      <c r="DA22" s="97">
        <f t="shared" si="62"/>
        <v>3.8311996424724493E-3</v>
      </c>
      <c r="DB22" s="97">
        <f t="shared" si="13"/>
        <v>0.1422332867267897</v>
      </c>
      <c r="DC22" s="97">
        <f t="shared" si="14"/>
        <v>9.5779991061811245E-2</v>
      </c>
      <c r="DD22" s="97">
        <f t="shared" si="14"/>
        <v>0.35438596692870161</v>
      </c>
      <c r="DE22" s="97">
        <f t="shared" si="14"/>
        <v>4.7411095575596571E-2</v>
      </c>
      <c r="DF22" s="97">
        <f t="shared" si="14"/>
        <v>0</v>
      </c>
      <c r="DG22" s="97">
        <f t="shared" si="14"/>
        <v>0</v>
      </c>
      <c r="DH22" s="97">
        <f t="shared" si="14"/>
        <v>0.59239924471730254</v>
      </c>
      <c r="DI22" s="504" t="e">
        <f>#REF!</f>
        <v>#REF!</v>
      </c>
      <c r="DJ22" s="97">
        <f t="shared" si="63"/>
        <v>0.12499288833566367</v>
      </c>
      <c r="DK22" s="504" t="e">
        <f>#REF!</f>
        <v>#REF!</v>
      </c>
      <c r="DL22" s="97">
        <f t="shared" si="15"/>
        <v>0.35498459187283787</v>
      </c>
      <c r="DM22" s="504">
        <f t="shared" si="16"/>
        <v>0</v>
      </c>
      <c r="DN22" s="97">
        <f t="shared" si="17"/>
        <v>2.9254801019941974</v>
      </c>
      <c r="DO22" s="100">
        <v>3.4</v>
      </c>
      <c r="DP22" s="97">
        <f t="shared" si="18"/>
        <v>3.4054575822026987</v>
      </c>
      <c r="DQ22" s="97">
        <f t="shared" si="73"/>
        <v>3.4949994743804593</v>
      </c>
      <c r="DR22" s="101" t="str">
        <f t="shared" si="19"/>
        <v>3,315, hL/NhL</v>
      </c>
      <c r="DS22" s="116"/>
      <c r="DT22" s="103">
        <v>17</v>
      </c>
      <c r="DU22" s="120">
        <v>619943</v>
      </c>
      <c r="DV22" s="120">
        <v>25221</v>
      </c>
      <c r="DW22" s="120">
        <v>5118368</v>
      </c>
      <c r="DX22" s="120">
        <v>112205</v>
      </c>
      <c r="DY22" s="120">
        <v>83488</v>
      </c>
      <c r="DZ22" s="120">
        <v>383240</v>
      </c>
      <c r="EA22" s="120">
        <v>224579</v>
      </c>
      <c r="EB22" s="120">
        <v>52489</v>
      </c>
      <c r="EC22" s="120">
        <v>393485</v>
      </c>
      <c r="ED22" s="120">
        <v>46058</v>
      </c>
      <c r="EE22" s="120">
        <v>37745</v>
      </c>
      <c r="EF22" s="120">
        <v>40200</v>
      </c>
      <c r="EG22" s="120">
        <v>90609</v>
      </c>
      <c r="EH22" s="120">
        <v>178750</v>
      </c>
      <c r="EI22" s="120">
        <v>30937</v>
      </c>
      <c r="EJ22" s="120">
        <v>39444</v>
      </c>
      <c r="EK22" s="120"/>
      <c r="EL22" s="120">
        <v>691490</v>
      </c>
      <c r="EM22" s="120">
        <v>8456</v>
      </c>
      <c r="EN22" s="120">
        <v>42390</v>
      </c>
      <c r="EO22" s="120">
        <v>2950287</v>
      </c>
      <c r="EP22" s="120">
        <v>2731848</v>
      </c>
      <c r="EQ22" s="120">
        <v>0</v>
      </c>
      <c r="ER22" s="120">
        <v>1528</v>
      </c>
      <c r="ES22" s="120">
        <v>329000</v>
      </c>
      <c r="ET22" s="120">
        <v>6908969</v>
      </c>
      <c r="EU22" s="120">
        <v>406096</v>
      </c>
      <c r="EV22" s="120">
        <v>127151</v>
      </c>
      <c r="EW22" s="120">
        <v>94974</v>
      </c>
      <c r="EX22" s="120">
        <v>204317</v>
      </c>
      <c r="EY22" s="120">
        <v>1612045</v>
      </c>
      <c r="EZ22" s="120">
        <v>749268</v>
      </c>
      <c r="FA22" s="151">
        <v>737484</v>
      </c>
      <c r="FB22" s="77">
        <v>31233</v>
      </c>
      <c r="FC22" s="77">
        <v>6850</v>
      </c>
      <c r="FD22" s="104">
        <f t="shared" si="78"/>
        <v>6528</v>
      </c>
      <c r="FE22" s="105">
        <f t="shared" si="75"/>
        <v>0</v>
      </c>
      <c r="FF22" s="105">
        <f t="shared" si="75"/>
        <v>0</v>
      </c>
      <c r="FG22" s="105">
        <f t="shared" si="75"/>
        <v>1950</v>
      </c>
      <c r="FH22" s="105">
        <f t="shared" si="75"/>
        <v>1650</v>
      </c>
      <c r="FI22" s="105">
        <v>596</v>
      </c>
      <c r="FJ22" s="105">
        <f t="shared" si="75"/>
        <v>1060</v>
      </c>
      <c r="FK22" s="105">
        <f t="shared" si="75"/>
        <v>0</v>
      </c>
      <c r="FL22" s="105">
        <f t="shared" si="75"/>
        <v>1272</v>
      </c>
      <c r="FM22" s="105">
        <f t="shared" si="75"/>
        <v>0</v>
      </c>
      <c r="FN22" s="80">
        <f t="shared" si="74"/>
        <v>583</v>
      </c>
      <c r="FO22" s="77">
        <v>1002206</v>
      </c>
      <c r="FP22" s="162"/>
      <c r="FR22" s="64"/>
      <c r="FS22" s="64"/>
      <c r="FT22" s="64"/>
      <c r="FU22" s="64"/>
      <c r="FV22" s="64"/>
      <c r="FW22" s="64"/>
      <c r="FX22" s="64"/>
      <c r="FY22" s="64">
        <v>17</v>
      </c>
      <c r="FZ22" s="107"/>
      <c r="GA22" s="107"/>
      <c r="GB22" s="107"/>
      <c r="GC22" s="109"/>
      <c r="GD22" s="110"/>
      <c r="GE22" s="110"/>
      <c r="GF22" s="111"/>
      <c r="GG22" s="111"/>
      <c r="GH22" s="111"/>
      <c r="GI22" s="164"/>
      <c r="GJ22" s="111" t="e">
        <f t="shared" si="65"/>
        <v>#DIV/0!</v>
      </c>
      <c r="GK22" s="118"/>
    </row>
    <row r="23" spans="1:193" s="119" customFormat="1" ht="15" customHeight="1">
      <c r="B23" s="573">
        <v>42873</v>
      </c>
      <c r="D23" s="128">
        <v>4800</v>
      </c>
      <c r="E23" s="128">
        <v>4404.6000000000004</v>
      </c>
      <c r="F23" s="86">
        <v>2691.4319999999998</v>
      </c>
      <c r="G23" s="86">
        <v>3904.1620000000003</v>
      </c>
      <c r="H23" s="86">
        <v>6875.9060000000009</v>
      </c>
      <c r="I23" s="86">
        <v>802.69100000000003</v>
      </c>
      <c r="J23" s="85">
        <v>6984</v>
      </c>
      <c r="K23" s="167"/>
      <c r="L23" s="167"/>
      <c r="M23" s="115">
        <f t="shared" si="22"/>
        <v>7786.6909999999998</v>
      </c>
      <c r="N23" s="88">
        <f t="shared" si="0"/>
        <v>22676.1</v>
      </c>
      <c r="O23" s="88">
        <f t="shared" si="66"/>
        <v>26569.445499999998</v>
      </c>
      <c r="P23" s="89">
        <f t="shared" si="23"/>
        <v>382872.78950000001</v>
      </c>
      <c r="R23" s="90">
        <f t="shared" si="24"/>
        <v>321</v>
      </c>
      <c r="S23" s="90">
        <f t="shared" si="25"/>
        <v>89.1</v>
      </c>
      <c r="T23" s="90">
        <f t="shared" si="1"/>
        <v>411.4</v>
      </c>
      <c r="U23" s="91">
        <f t="shared" si="76"/>
        <v>5.0999999999999996</v>
      </c>
      <c r="V23" s="90">
        <f>IF(EO23=0,"",(EO23-EO22))</f>
        <v>1300</v>
      </c>
      <c r="W23" s="91">
        <f t="shared" si="2"/>
        <v>140.6</v>
      </c>
      <c r="X23" s="170">
        <f>IF(V23="","",V23)</f>
        <v>1300</v>
      </c>
      <c r="Y23" s="170" t="str">
        <f t="shared" si="28"/>
        <v>0</v>
      </c>
      <c r="Z23" s="170">
        <f t="shared" si="3"/>
        <v>166.8</v>
      </c>
      <c r="AA23" s="170">
        <f t="shared" si="29"/>
        <v>2126.6</v>
      </c>
      <c r="AB23" s="170">
        <f t="shared" si="30"/>
        <v>115</v>
      </c>
      <c r="AC23" s="170">
        <f t="shared" si="30"/>
        <v>35</v>
      </c>
      <c r="AD23" s="170">
        <f t="shared" si="31"/>
        <v>372</v>
      </c>
      <c r="AE23" s="170">
        <f t="shared" si="32"/>
        <v>222</v>
      </c>
      <c r="AF23" s="170">
        <f t="shared" si="33"/>
        <v>180</v>
      </c>
      <c r="AG23" s="170">
        <f t="shared" si="33"/>
        <v>28</v>
      </c>
      <c r="AH23" s="170">
        <f t="shared" si="34"/>
        <v>302</v>
      </c>
      <c r="AI23" s="170">
        <f t="shared" si="35"/>
        <v>94</v>
      </c>
      <c r="AJ23" s="170">
        <f t="shared" si="36"/>
        <v>199</v>
      </c>
      <c r="AK23" s="170">
        <f t="shared" si="36"/>
        <v>23</v>
      </c>
      <c r="AL23" s="170">
        <f t="shared" si="37"/>
        <v>312</v>
      </c>
      <c r="AM23" s="170">
        <f t="shared" si="38"/>
        <v>90</v>
      </c>
      <c r="AN23" s="170">
        <f t="shared" si="39"/>
        <v>23</v>
      </c>
      <c r="AO23" s="170">
        <f>IF(AN23="","",(EE23-EE22)+(EF23-EF22))</f>
        <v>68</v>
      </c>
      <c r="AP23" s="170">
        <f t="shared" si="40"/>
        <v>58</v>
      </c>
      <c r="AQ23" s="170">
        <f>IF(AP23=0.1,0,(IF(AP23&gt;=(EH23-EH22),(AP23),(EH23-EH22))))</f>
        <v>186</v>
      </c>
      <c r="AR23" s="170">
        <f t="shared" si="41"/>
        <v>72.316999999999993</v>
      </c>
      <c r="AS23" s="170">
        <f t="shared" si="42"/>
        <v>107.31700000000001</v>
      </c>
      <c r="AT23" s="170">
        <f>IF(AR23="","",ES23-ES22+((ET23-ET22)/1000))</f>
        <v>695.31700000000001</v>
      </c>
      <c r="AU23" s="170">
        <f t="shared" si="44"/>
        <v>152</v>
      </c>
      <c r="AV23" s="170">
        <f t="shared" si="67"/>
        <v>0</v>
      </c>
      <c r="AW23" s="170">
        <f t="shared" si="45"/>
        <v>436</v>
      </c>
      <c r="AX23" s="170">
        <f>IF(EJ23=0,"",(EJ23-EJ22))</f>
        <v>45</v>
      </c>
      <c r="AY23" s="170" t="str">
        <f t="shared" si="77"/>
        <v/>
      </c>
      <c r="AZ23" s="170">
        <f t="shared" si="46"/>
        <v>287</v>
      </c>
      <c r="BA23" s="170">
        <v>105</v>
      </c>
      <c r="BB23" s="170">
        <f t="shared" si="47"/>
        <v>153</v>
      </c>
      <c r="BC23" s="170">
        <f t="shared" si="47"/>
        <v>1009</v>
      </c>
      <c r="BD23" s="91">
        <f t="shared" si="48"/>
        <v>285</v>
      </c>
      <c r="BE23" s="90"/>
      <c r="BF23" s="90"/>
      <c r="BG23" s="170">
        <f t="shared" si="6"/>
        <v>1449</v>
      </c>
      <c r="BH23" s="170">
        <f>BL23-FC23</f>
        <v>-1214</v>
      </c>
      <c r="BI23" s="170">
        <f>IF(FC23=0,"",(FC23-BJ23))</f>
        <v>1879.0829999999996</v>
      </c>
      <c r="BJ23" s="170">
        <f t="shared" si="7"/>
        <v>5555.9170000000004</v>
      </c>
      <c r="BK23" s="92"/>
      <c r="BL23" s="331">
        <f>FD23+FN23-923</f>
        <v>6221</v>
      </c>
      <c r="BM23" s="331">
        <f t="shared" si="52"/>
        <v>130749</v>
      </c>
      <c r="BN23" s="92"/>
      <c r="BO23" s="97">
        <f t="shared" si="53"/>
        <v>0.14155873364467436</v>
      </c>
      <c r="BP23" s="97">
        <f t="shared" si="53"/>
        <v>3.929247092754045E-2</v>
      </c>
      <c r="BQ23" s="97">
        <f t="shared" si="54"/>
        <v>0.18142449539382874</v>
      </c>
      <c r="BR23" s="97">
        <f t="shared" si="69"/>
        <v>0.57329082161394607</v>
      </c>
      <c r="BS23" s="97">
        <f t="shared" si="79"/>
        <v>0</v>
      </c>
      <c r="BT23" s="97">
        <f>IF($N23&lt;&gt;0,IF($N23&lt;&gt;0,Z23/$N23*10,0)," ")</f>
        <v>7.3557622342466308E-2</v>
      </c>
      <c r="BU23" s="97">
        <f t="shared" si="79"/>
        <v>0.93781558557247502</v>
      </c>
      <c r="BV23" s="97">
        <f t="shared" si="9"/>
        <v>0.12081546827915547</v>
      </c>
      <c r="BW23" s="97">
        <f t="shared" si="9"/>
        <v>3.3534760821410443E-2</v>
      </c>
      <c r="BX23" s="97">
        <f t="shared" si="9"/>
        <v>0.15483951292848772</v>
      </c>
      <c r="BY23" s="97">
        <f t="shared" si="55"/>
        <v>0.48928382792181346</v>
      </c>
      <c r="BZ23" s="97">
        <f t="shared" si="10"/>
        <v>0.80039306804502197</v>
      </c>
      <c r="CA23" s="504" t="e">
        <f>#REF!</f>
        <v>#REF!</v>
      </c>
      <c r="CB23" s="97">
        <f t="shared" si="11"/>
        <v>2.7218106602939829E-2</v>
      </c>
      <c r="CC23" s="97">
        <f t="shared" si="11"/>
        <v>4.0391132739296357E-2</v>
      </c>
      <c r="CD23" s="97">
        <f t="shared" si="12"/>
        <v>9.2872569362261834E-2</v>
      </c>
      <c r="CE23" s="97">
        <f t="shared" si="12"/>
        <v>0.13782105903521794</v>
      </c>
      <c r="CF23" s="97">
        <f t="shared" si="56"/>
        <v>0.23958333333333334</v>
      </c>
      <c r="CG23" s="97">
        <f t="shared" si="56"/>
        <v>7.2916666666666671E-2</v>
      </c>
      <c r="CH23" s="97">
        <f t="shared" si="57"/>
        <v>0.77500000000000002</v>
      </c>
      <c r="CI23" s="504" t="e">
        <f>#REF!</f>
        <v>#REF!</v>
      </c>
      <c r="CJ23" s="97">
        <f t="shared" si="58"/>
        <v>0.40866366979975477</v>
      </c>
      <c r="CK23" s="97">
        <f t="shared" si="58"/>
        <v>6.356990419107296E-2</v>
      </c>
      <c r="CL23" s="97">
        <f t="shared" si="70"/>
        <v>0.68564682377514408</v>
      </c>
      <c r="CM23" s="97" t="e">
        <f>#REF!</f>
        <v>#REF!</v>
      </c>
      <c r="CN23" s="97">
        <f t="shared" si="59"/>
        <v>0.73938334685773222</v>
      </c>
      <c r="CO23" s="97">
        <f t="shared" si="59"/>
        <v>8.5456366722250474E-2</v>
      </c>
      <c r="CP23" s="97">
        <f t="shared" si="60"/>
        <v>1.1592341920583542</v>
      </c>
      <c r="CQ23" s="97" t="e">
        <f>#REF!</f>
        <v>#REF!</v>
      </c>
      <c r="CR23" s="97">
        <f t="shared" si="71"/>
        <v>5.8911489840841644E-2</v>
      </c>
      <c r="CS23" s="97">
        <f>IF($G23&lt;&gt;0,IF($G23&lt;&gt;0,AO23/$G23*10,0),"0,00 ")</f>
        <v>0.17417310039901007</v>
      </c>
      <c r="CT23" s="504" t="e">
        <f>#REF!</f>
        <v>#REF!</v>
      </c>
      <c r="CU23" s="97">
        <f t="shared" si="72"/>
        <v>8.4352520235151537E-2</v>
      </c>
      <c r="CV23" s="97">
        <f t="shared" si="61"/>
        <v>0.27050980627134802</v>
      </c>
      <c r="CW23" s="504" t="e">
        <f>#REF!</f>
        <v>#REF!</v>
      </c>
      <c r="CX23" s="97">
        <f t="shared" si="62"/>
        <v>5.720857064931973E-2</v>
      </c>
      <c r="CY23" s="97">
        <f t="shared" si="62"/>
        <v>0</v>
      </c>
      <c r="CZ23" s="97">
        <f t="shared" si="62"/>
        <v>0.16409826844146974</v>
      </c>
      <c r="DA23" s="97">
        <f t="shared" si="62"/>
        <v>1.6936747889601235E-2</v>
      </c>
      <c r="DB23" s="97">
        <f t="shared" si="13"/>
        <v>0.10801881431812344</v>
      </c>
      <c r="DC23" s="97">
        <f t="shared" si="14"/>
        <v>5.75849428246442E-2</v>
      </c>
      <c r="DD23" s="97">
        <f t="shared" si="14"/>
        <v>0.37975952490239212</v>
      </c>
      <c r="DE23" s="97">
        <f t="shared" si="14"/>
        <v>0.10726606996747448</v>
      </c>
      <c r="DF23" s="97">
        <f t="shared" si="14"/>
        <v>0</v>
      </c>
      <c r="DG23" s="97">
        <f t="shared" si="14"/>
        <v>0</v>
      </c>
      <c r="DH23" s="97">
        <f t="shared" si="14"/>
        <v>0.54536328204515971</v>
      </c>
      <c r="DI23" s="504" t="e">
        <f>#REF!</f>
        <v>#REF!</v>
      </c>
      <c r="DJ23" s="97">
        <f t="shared" si="63"/>
        <v>-0.45691582084390886</v>
      </c>
      <c r="DK23" s="504" t="e">
        <f>#REF!</f>
        <v>#REF!</v>
      </c>
      <c r="DL23" s="97">
        <f t="shared" si="15"/>
        <v>0.70723455632523446</v>
      </c>
      <c r="DM23" s="504">
        <f t="shared" si="16"/>
        <v>0</v>
      </c>
      <c r="DN23" s="97">
        <f t="shared" si="17"/>
        <v>2.0910925672122143</v>
      </c>
      <c r="DO23" s="100">
        <v>3.4</v>
      </c>
      <c r="DP23" s="97">
        <f t="shared" si="18"/>
        <v>2.3414113026935395</v>
      </c>
      <c r="DQ23" s="97">
        <f>IF($P23&lt;&gt;0,IF($P23&lt;&gt;0,BM23/$P23*10,0)," ")</f>
        <v>3.4149462585405277</v>
      </c>
      <c r="DR23" s="101" t="str">
        <f t="shared" si="19"/>
        <v>3,315, hL/NhL</v>
      </c>
      <c r="DS23" s="171"/>
      <c r="DT23" s="103">
        <v>18</v>
      </c>
      <c r="DU23" s="120">
        <v>620058</v>
      </c>
      <c r="DV23" s="120">
        <v>25256</v>
      </c>
      <c r="DW23" s="120">
        <v>5118740</v>
      </c>
      <c r="DX23" s="120">
        <v>112385</v>
      </c>
      <c r="DY23" s="120">
        <v>83516</v>
      </c>
      <c r="DZ23" s="120">
        <v>383542</v>
      </c>
      <c r="EA23" s="120">
        <v>224778</v>
      </c>
      <c r="EB23" s="120">
        <v>52512</v>
      </c>
      <c r="EC23" s="120">
        <v>393797</v>
      </c>
      <c r="ED23" s="120">
        <v>46081</v>
      </c>
      <c r="EE23" s="120">
        <v>37761</v>
      </c>
      <c r="EF23" s="120">
        <v>40252</v>
      </c>
      <c r="EG23" s="120">
        <v>90667</v>
      </c>
      <c r="EH23" s="120">
        <v>178936</v>
      </c>
      <c r="EI23" s="120">
        <v>30937</v>
      </c>
      <c r="EJ23" s="120">
        <v>39489</v>
      </c>
      <c r="EK23" s="120"/>
      <c r="EL23" s="120">
        <v>691811</v>
      </c>
      <c r="EM23" s="120">
        <v>4114</v>
      </c>
      <c r="EN23" s="120">
        <v>42441</v>
      </c>
      <c r="EO23" s="330">
        <v>2951587</v>
      </c>
      <c r="EP23" s="120">
        <v>2733254</v>
      </c>
      <c r="EQ23" s="120">
        <v>0</v>
      </c>
      <c r="ER23" s="120">
        <v>1668</v>
      </c>
      <c r="ES23" s="120">
        <v>329623</v>
      </c>
      <c r="ET23" s="120">
        <v>6981286</v>
      </c>
      <c r="EU23" s="120">
        <v>406532</v>
      </c>
      <c r="EV23" s="120">
        <v>127303</v>
      </c>
      <c r="EW23" s="120">
        <v>95261</v>
      </c>
      <c r="EX23" s="120">
        <v>204470</v>
      </c>
      <c r="EY23" s="120">
        <v>1613054</v>
      </c>
      <c r="EZ23" s="120">
        <v>750159</v>
      </c>
      <c r="FA23" s="151">
        <v>737769</v>
      </c>
      <c r="FB23" s="77">
        <v>31348</v>
      </c>
      <c r="FC23" s="77">
        <v>7435</v>
      </c>
      <c r="FD23" s="104">
        <f t="shared" si="78"/>
        <v>6797</v>
      </c>
      <c r="FE23" s="105">
        <f t="shared" si="75"/>
        <v>0</v>
      </c>
      <c r="FF23" s="105">
        <f t="shared" si="75"/>
        <v>0</v>
      </c>
      <c r="FG23" s="105">
        <f>FG56-FG55</f>
        <v>2074</v>
      </c>
      <c r="FH23" s="105">
        <f t="shared" si="75"/>
        <v>2244</v>
      </c>
      <c r="FI23" s="105">
        <f>FI56-FI55</f>
        <v>772</v>
      </c>
      <c r="FJ23" s="105">
        <f t="shared" si="75"/>
        <v>688</v>
      </c>
      <c r="FK23" s="105">
        <f t="shared" si="75"/>
        <v>0</v>
      </c>
      <c r="FL23" s="105">
        <f t="shared" si="75"/>
        <v>1019</v>
      </c>
      <c r="FM23" s="105">
        <f t="shared" si="75"/>
        <v>0</v>
      </c>
      <c r="FN23" s="80">
        <f>IF(FO23="",0,(FO23-FO22))</f>
        <v>347</v>
      </c>
      <c r="FO23" s="77">
        <v>1002553</v>
      </c>
      <c r="FP23" s="162"/>
      <c r="FY23" s="119">
        <v>18</v>
      </c>
      <c r="FZ23" s="107"/>
      <c r="GA23" s="107"/>
      <c r="GB23" s="107"/>
      <c r="GC23" s="109"/>
      <c r="GD23" s="110"/>
      <c r="GE23" s="110"/>
      <c r="GF23" s="111"/>
      <c r="GG23" s="111"/>
      <c r="GH23" s="111"/>
      <c r="GI23" s="164"/>
      <c r="GJ23" s="111" t="e">
        <f t="shared" si="65"/>
        <v>#DIV/0!</v>
      </c>
    </row>
    <row r="24" spans="1:193" s="119" customFormat="1" ht="15" customHeight="1">
      <c r="B24" s="573">
        <v>42874</v>
      </c>
      <c r="D24" s="128">
        <v>3918.96</v>
      </c>
      <c r="E24" s="128">
        <v>3669.12</v>
      </c>
      <c r="F24" s="86">
        <v>992.73599999999999</v>
      </c>
      <c r="G24" s="86">
        <v>4969.2470000000003</v>
      </c>
      <c r="H24" s="86">
        <v>2840.2129999999997</v>
      </c>
      <c r="I24" s="85">
        <v>1799.9959999999999</v>
      </c>
      <c r="J24" s="85">
        <v>4209.4799999999996</v>
      </c>
      <c r="K24" s="167"/>
      <c r="L24" s="284">
        <v>50</v>
      </c>
      <c r="M24" s="115">
        <f>I24+J24</f>
        <v>6009.4759999999997</v>
      </c>
      <c r="N24" s="88">
        <f>SUM(D24:H24)</f>
        <v>16390.276000000002</v>
      </c>
      <c r="O24" s="88">
        <f>N24+L24+((J24+I24)*0.5)</f>
        <v>19445.014000000003</v>
      </c>
      <c r="P24" s="89">
        <f t="shared" si="23"/>
        <v>402317.80350000004</v>
      </c>
      <c r="R24" s="90">
        <f>IF(EL24=0,"",(EL24-EL23))</f>
        <v>70</v>
      </c>
      <c r="S24" s="90">
        <f t="shared" si="25"/>
        <v>95.3</v>
      </c>
      <c r="T24" s="90">
        <f t="shared" si="1"/>
        <v>618.1</v>
      </c>
      <c r="U24" s="91">
        <f t="shared" si="76"/>
        <v>1.1000000000000001</v>
      </c>
      <c r="V24" s="90">
        <f t="shared" si="26"/>
        <v>1654</v>
      </c>
      <c r="W24" s="91">
        <f t="shared" si="2"/>
        <v>121.9</v>
      </c>
      <c r="X24" s="170">
        <f t="shared" si="27"/>
        <v>1654</v>
      </c>
      <c r="Y24" s="170" t="str">
        <f t="shared" si="28"/>
        <v>0</v>
      </c>
      <c r="Z24" s="170">
        <f t="shared" si="3"/>
        <v>315.7</v>
      </c>
      <c r="AA24" s="170">
        <f t="shared" si="29"/>
        <v>2438.5</v>
      </c>
      <c r="AB24" s="170">
        <f t="shared" si="30"/>
        <v>149</v>
      </c>
      <c r="AC24" s="170">
        <f t="shared" si="30"/>
        <v>26</v>
      </c>
      <c r="AD24" s="170">
        <f>(IF(SUM(AB24:AC24)&gt;=(DW24-DW23),(SUM(AB24:AC24)),(DW24-DW23)))</f>
        <v>376</v>
      </c>
      <c r="AE24" s="170">
        <f t="shared" si="32"/>
        <v>201</v>
      </c>
      <c r="AF24" s="170">
        <f t="shared" si="33"/>
        <v>201</v>
      </c>
      <c r="AG24" s="170">
        <f t="shared" si="33"/>
        <v>19</v>
      </c>
      <c r="AH24" s="170">
        <f t="shared" si="34"/>
        <v>280</v>
      </c>
      <c r="AI24" s="170">
        <f>IF(AF24="","",(AH24-AG24-AF24))</f>
        <v>60</v>
      </c>
      <c r="AJ24" s="170">
        <f t="shared" si="36"/>
        <v>200</v>
      </c>
      <c r="AK24" s="170">
        <f t="shared" si="36"/>
        <v>123</v>
      </c>
      <c r="AL24" s="170">
        <f>(IF(SUM(AJ24:AK24)&gt;=(EC24-EC23),(SUM(AJ24:AK24)),(EC24-EC23)))</f>
        <v>458</v>
      </c>
      <c r="AM24" s="170">
        <f t="shared" si="38"/>
        <v>135</v>
      </c>
      <c r="AN24" s="170">
        <f t="shared" si="39"/>
        <v>23</v>
      </c>
      <c r="AO24" s="170">
        <f t="shared" si="4"/>
        <v>76</v>
      </c>
      <c r="AP24" s="170">
        <f t="shared" si="40"/>
        <v>29</v>
      </c>
      <c r="AQ24" s="170">
        <f t="shared" si="5"/>
        <v>29</v>
      </c>
      <c r="AR24" s="170">
        <f t="shared" si="41"/>
        <v>56.552</v>
      </c>
      <c r="AS24" s="170">
        <f t="shared" si="42"/>
        <v>41.552000000000021</v>
      </c>
      <c r="AT24" s="170">
        <f t="shared" si="43"/>
        <v>713.55200000000002</v>
      </c>
      <c r="AU24" s="170">
        <f t="shared" si="44"/>
        <v>244</v>
      </c>
      <c r="AV24" s="170">
        <f t="shared" si="67"/>
        <v>0</v>
      </c>
      <c r="AW24" s="170">
        <f t="shared" si="45"/>
        <v>428</v>
      </c>
      <c r="AX24" s="170">
        <f t="shared" si="68"/>
        <v>36</v>
      </c>
      <c r="AY24" s="170" t="str">
        <f t="shared" si="77"/>
        <v/>
      </c>
      <c r="AZ24" s="170">
        <f t="shared" si="46"/>
        <v>262</v>
      </c>
      <c r="BA24" s="170">
        <v>94</v>
      </c>
      <c r="BB24" s="170">
        <f t="shared" si="47"/>
        <v>115</v>
      </c>
      <c r="BC24" s="170">
        <f t="shared" si="47"/>
        <v>254</v>
      </c>
      <c r="BD24" s="91">
        <f t="shared" si="48"/>
        <v>254</v>
      </c>
      <c r="BE24" s="90"/>
      <c r="BF24" s="90"/>
      <c r="BG24" s="170">
        <f t="shared" si="6"/>
        <v>631</v>
      </c>
      <c r="BH24" s="170">
        <f t="shared" si="49"/>
        <v>1399</v>
      </c>
      <c r="BI24" s="170">
        <f t="shared" si="50"/>
        <v>1243.9480000000003</v>
      </c>
      <c r="BJ24" s="170">
        <f t="shared" si="7"/>
        <v>5038.0519999999997</v>
      </c>
      <c r="BK24" s="92"/>
      <c r="BL24" s="331">
        <f>FD24+FN24</f>
        <v>7681</v>
      </c>
      <c r="BM24" s="331">
        <f t="shared" si="52"/>
        <v>138430</v>
      </c>
      <c r="BN24" s="92"/>
      <c r="BO24" s="97">
        <f t="shared" si="53"/>
        <v>4.270824969634434E-2</v>
      </c>
      <c r="BP24" s="97">
        <f t="shared" si="53"/>
        <v>5.8144231372308793E-2</v>
      </c>
      <c r="BQ24" s="97">
        <f t="shared" si="54"/>
        <v>0.37711384481872057</v>
      </c>
      <c r="BR24" s="97">
        <f t="shared" si="69"/>
        <v>1.0091349285393363</v>
      </c>
      <c r="BS24" s="97">
        <f>IF($N24&lt;&gt;0,IF($N24&lt;&gt;0,Y24/$N24*10,0)," ")</f>
        <v>0</v>
      </c>
      <c r="BT24" s="97">
        <f t="shared" si="79"/>
        <v>0.19261420613051294</v>
      </c>
      <c r="BU24" s="97">
        <f t="shared" si="79"/>
        <v>1.4877723840647952</v>
      </c>
      <c r="BV24" s="97">
        <f t="shared" si="9"/>
        <v>3.599894553945808E-2</v>
      </c>
      <c r="BW24" s="97">
        <f t="shared" si="9"/>
        <v>4.9009992998719352E-2</v>
      </c>
      <c r="BX24" s="97">
        <f t="shared" si="9"/>
        <v>0.31787068911341482</v>
      </c>
      <c r="BY24" s="97">
        <f t="shared" si="55"/>
        <v>0.85060365603233812</v>
      </c>
      <c r="BZ24" s="97">
        <f t="shared" si="10"/>
        <v>1.2540489813995503</v>
      </c>
      <c r="CA24" s="504" t="e">
        <f>#REF!</f>
        <v>#REF!</v>
      </c>
      <c r="CB24" s="97">
        <f t="shared" si="11"/>
        <v>2.9083033830677618E-2</v>
      </c>
      <c r="CC24" s="97">
        <f t="shared" si="11"/>
        <v>2.1368974072222324E-2</v>
      </c>
      <c r="CD24" s="97">
        <f t="shared" si="12"/>
        <v>9.4104710627016405E-2</v>
      </c>
      <c r="CE24" s="97">
        <f t="shared" si="12"/>
        <v>6.9144131701333073E-2</v>
      </c>
      <c r="CF24" s="97">
        <f t="shared" si="56"/>
        <v>0.38020291097638148</v>
      </c>
      <c r="CG24" s="97">
        <f t="shared" si="56"/>
        <v>6.6344132116684024E-2</v>
      </c>
      <c r="CH24" s="97">
        <f t="shared" si="57"/>
        <v>0.95943821830281506</v>
      </c>
      <c r="CI24" s="504" t="e">
        <f>#REF!</f>
        <v>#REF!</v>
      </c>
      <c r="CJ24" s="97">
        <f t="shared" si="58"/>
        <v>0.54781527995813717</v>
      </c>
      <c r="CK24" s="97">
        <f t="shared" si="58"/>
        <v>5.1783533926391068E-2</v>
      </c>
      <c r="CL24" s="97">
        <f t="shared" si="70"/>
        <v>0.76312576312576319</v>
      </c>
      <c r="CM24" s="97" t="e">
        <f>#REF!</f>
        <v>#REF!</v>
      </c>
      <c r="CN24" s="97">
        <f t="shared" si="59"/>
        <v>2.014634303581214</v>
      </c>
      <c r="CO24" s="97">
        <f t="shared" si="59"/>
        <v>1.2390000967024466</v>
      </c>
      <c r="CP24" s="97">
        <f t="shared" si="60"/>
        <v>4.6135125552009795</v>
      </c>
      <c r="CQ24" s="97" t="e">
        <f>#REF!</f>
        <v>#REF!</v>
      </c>
      <c r="CR24" s="97">
        <f t="shared" si="71"/>
        <v>4.6284678543851814E-2</v>
      </c>
      <c r="CS24" s="97">
        <f t="shared" si="71"/>
        <v>0.15294067692751034</v>
      </c>
      <c r="CT24" s="504" t="e">
        <f>#REF!</f>
        <v>#REF!</v>
      </c>
      <c r="CU24" s="97">
        <f t="shared" si="72"/>
        <v>0.10210501817997455</v>
      </c>
      <c r="CV24" s="97">
        <f t="shared" si="61"/>
        <v>0.10210501817997455</v>
      </c>
      <c r="CW24" s="504" t="e">
        <f>#REF!</f>
        <v>#REF!</v>
      </c>
      <c r="CX24" s="97">
        <f t="shared" si="62"/>
        <v>0.1254820387375396</v>
      </c>
      <c r="CY24" s="97">
        <f t="shared" si="62"/>
        <v>0</v>
      </c>
      <c r="CZ24" s="97">
        <f t="shared" si="62"/>
        <v>0.22010783844125797</v>
      </c>
      <c r="DA24" s="97">
        <f t="shared" si="62"/>
        <v>1.8513743420292727E-2</v>
      </c>
      <c r="DB24" s="97">
        <f t="shared" si="13"/>
        <v>0.13473891044768596</v>
      </c>
      <c r="DC24" s="97">
        <f t="shared" si="14"/>
        <v>5.9141124814823989E-2</v>
      </c>
      <c r="DD24" s="97">
        <f t="shared" si="14"/>
        <v>0.13062474524317647</v>
      </c>
      <c r="DE24" s="97">
        <f t="shared" si="14"/>
        <v>0.13062474524317647</v>
      </c>
      <c r="DF24" s="97">
        <f t="shared" si="14"/>
        <v>0</v>
      </c>
      <c r="DG24" s="97">
        <f t="shared" si="14"/>
        <v>0</v>
      </c>
      <c r="DH24" s="97">
        <f t="shared" si="14"/>
        <v>0.32450478050568637</v>
      </c>
      <c r="DI24" s="504" t="e">
        <f>#REF!</f>
        <v>#REF!</v>
      </c>
      <c r="DJ24" s="97">
        <f t="shared" si="63"/>
        <v>0.7194646401385979</v>
      </c>
      <c r="DK24" s="504" t="e">
        <f>#REF!</f>
        <v>#REF!</v>
      </c>
      <c r="DL24" s="97">
        <f t="shared" si="15"/>
        <v>0.63972594722739728</v>
      </c>
      <c r="DM24" s="504">
        <f t="shared" si="16"/>
        <v>0</v>
      </c>
      <c r="DN24" s="97">
        <f t="shared" si="17"/>
        <v>2.5909222796136833</v>
      </c>
      <c r="DO24" s="100">
        <v>3.4</v>
      </c>
      <c r="DP24" s="97">
        <f t="shared" si="18"/>
        <v>3.9501128669796786</v>
      </c>
      <c r="DQ24" s="97">
        <f t="shared" si="73"/>
        <v>3.4408121836944754</v>
      </c>
      <c r="DR24" s="101" t="str">
        <f t="shared" si="19"/>
        <v>3,315, hL/NhL</v>
      </c>
      <c r="DT24" s="103">
        <v>19</v>
      </c>
      <c r="DU24" s="120">
        <v>620207</v>
      </c>
      <c r="DV24" s="120">
        <v>25282</v>
      </c>
      <c r="DW24" s="120">
        <v>5119116</v>
      </c>
      <c r="DX24" s="120">
        <v>112586</v>
      </c>
      <c r="DY24" s="120">
        <v>83535</v>
      </c>
      <c r="DZ24" s="120">
        <v>383822</v>
      </c>
      <c r="EA24" s="120">
        <v>224978</v>
      </c>
      <c r="EB24" s="120">
        <v>52635</v>
      </c>
      <c r="EC24" s="120">
        <v>394255</v>
      </c>
      <c r="ED24" s="120">
        <v>46104</v>
      </c>
      <c r="EE24" s="120">
        <v>37788</v>
      </c>
      <c r="EF24" s="120">
        <v>40301</v>
      </c>
      <c r="EG24" s="120">
        <v>90696</v>
      </c>
      <c r="EH24" s="120">
        <v>178921</v>
      </c>
      <c r="EI24" s="120">
        <v>30937</v>
      </c>
      <c r="EJ24" s="120">
        <v>39525</v>
      </c>
      <c r="EK24" s="120"/>
      <c r="EL24" s="120">
        <v>691881</v>
      </c>
      <c r="EM24" s="120">
        <v>6181</v>
      </c>
      <c r="EN24" s="120">
        <v>42452</v>
      </c>
      <c r="EO24" s="120">
        <v>2953241</v>
      </c>
      <c r="EP24" s="120">
        <v>2734473</v>
      </c>
      <c r="EQ24" s="120">
        <v>0</v>
      </c>
      <c r="ER24" s="120">
        <v>3157</v>
      </c>
      <c r="ES24" s="120">
        <v>330280</v>
      </c>
      <c r="ET24" s="120">
        <v>7037838</v>
      </c>
      <c r="EU24" s="120">
        <v>406960</v>
      </c>
      <c r="EV24" s="120">
        <v>127547</v>
      </c>
      <c r="EW24" s="120">
        <v>95523</v>
      </c>
      <c r="EX24" s="120">
        <v>204585</v>
      </c>
      <c r="EY24" s="120">
        <v>1613308</v>
      </c>
      <c r="EZ24" s="120">
        <v>751112</v>
      </c>
      <c r="FA24" s="151">
        <v>738023</v>
      </c>
      <c r="FB24" s="77">
        <v>31445</v>
      </c>
      <c r="FC24" s="77">
        <v>6282</v>
      </c>
      <c r="FD24" s="104">
        <f t="shared" si="78"/>
        <v>7133</v>
      </c>
      <c r="FE24" s="105">
        <f>FE57-FE56</f>
        <v>0</v>
      </c>
      <c r="FF24" s="105">
        <f>FF57-FF56</f>
        <v>0</v>
      </c>
      <c r="FG24" s="105">
        <f>FG57-FG56</f>
        <v>2532</v>
      </c>
      <c r="FH24" s="105">
        <f>FH57-FH56</f>
        <v>1955</v>
      </c>
      <c r="FI24" s="105">
        <f>FI57-FI56</f>
        <v>403</v>
      </c>
      <c r="FJ24" s="105">
        <f t="shared" si="75"/>
        <v>1194</v>
      </c>
      <c r="FK24" s="105">
        <f t="shared" si="75"/>
        <v>0</v>
      </c>
      <c r="FL24" s="105">
        <f>FL57-FL56</f>
        <v>1049</v>
      </c>
      <c r="FM24" s="105">
        <f t="shared" si="75"/>
        <v>0</v>
      </c>
      <c r="FN24" s="80">
        <f t="shared" si="74"/>
        <v>548</v>
      </c>
      <c r="FO24" s="104">
        <f>FO23+548</f>
        <v>1003101</v>
      </c>
      <c r="FP24" s="332"/>
      <c r="FY24" s="119">
        <v>19</v>
      </c>
      <c r="FZ24" s="107"/>
      <c r="GA24" s="107"/>
      <c r="GB24" s="107"/>
      <c r="GC24" s="109"/>
      <c r="GD24" s="110"/>
      <c r="GE24" s="110"/>
      <c r="GF24" s="111"/>
      <c r="GG24" s="111"/>
      <c r="GH24" s="111"/>
      <c r="GI24" s="164"/>
      <c r="GJ24" s="111" t="e">
        <f t="shared" si="65"/>
        <v>#DIV/0!</v>
      </c>
    </row>
    <row r="25" spans="1:193" ht="15" customHeight="1">
      <c r="B25" s="573">
        <v>42875</v>
      </c>
      <c r="D25" s="86">
        <v>4081.2</v>
      </c>
      <c r="E25" s="86"/>
      <c r="F25" s="86">
        <v>1741.32</v>
      </c>
      <c r="G25" s="86">
        <v>4107.3850000000002</v>
      </c>
      <c r="H25" s="86">
        <v>7015.7060000000001</v>
      </c>
      <c r="I25" s="85">
        <v>1785.9470000000001</v>
      </c>
      <c r="J25" s="85">
        <v>6459.72</v>
      </c>
      <c r="K25" s="167"/>
      <c r="L25" s="167"/>
      <c r="M25" s="115">
        <f t="shared" si="22"/>
        <v>8245.6670000000013</v>
      </c>
      <c r="N25" s="88">
        <f t="shared" si="0"/>
        <v>16945.610999999997</v>
      </c>
      <c r="O25" s="88">
        <f t="shared" si="66"/>
        <v>21068.444499999998</v>
      </c>
      <c r="P25" s="89">
        <f t="shared" si="23"/>
        <v>423386.24800000002</v>
      </c>
      <c r="R25" s="90">
        <f t="shared" si="24"/>
        <v>112</v>
      </c>
      <c r="S25" s="90">
        <f t="shared" si="25"/>
        <v>101.2</v>
      </c>
      <c r="T25" s="90">
        <f t="shared" si="1"/>
        <v>211.7</v>
      </c>
      <c r="U25" s="91">
        <f t="shared" si="76"/>
        <v>2</v>
      </c>
      <c r="V25" s="90">
        <f t="shared" si="26"/>
        <v>1125</v>
      </c>
      <c r="W25" s="91">
        <f t="shared" si="2"/>
        <v>100.8</v>
      </c>
      <c r="X25" s="170">
        <f t="shared" si="27"/>
        <v>1125</v>
      </c>
      <c r="Y25" s="170" t="str">
        <f t="shared" si="28"/>
        <v>0</v>
      </c>
      <c r="Z25" s="170">
        <f t="shared" si="3"/>
        <v>127.7</v>
      </c>
      <c r="AA25" s="170">
        <f t="shared" si="29"/>
        <v>1551.9</v>
      </c>
      <c r="AB25" s="170">
        <f t="shared" si="30"/>
        <v>128</v>
      </c>
      <c r="AC25" s="170">
        <f t="shared" si="30"/>
        <v>25</v>
      </c>
      <c r="AD25" s="170">
        <f t="shared" si="31"/>
        <v>317</v>
      </c>
      <c r="AE25" s="170">
        <f t="shared" si="32"/>
        <v>164</v>
      </c>
      <c r="AF25" s="170">
        <f t="shared" si="33"/>
        <v>7</v>
      </c>
      <c r="AG25" s="170">
        <f t="shared" si="33"/>
        <v>0</v>
      </c>
      <c r="AH25" s="170">
        <f t="shared" si="34"/>
        <v>41</v>
      </c>
      <c r="AI25" s="170">
        <f t="shared" si="35"/>
        <v>34</v>
      </c>
      <c r="AJ25" s="170">
        <f t="shared" si="36"/>
        <v>184</v>
      </c>
      <c r="AK25" s="170">
        <f t="shared" si="36"/>
        <v>39</v>
      </c>
      <c r="AL25" s="170">
        <f t="shared" si="37"/>
        <v>285</v>
      </c>
      <c r="AM25" s="170">
        <f t="shared" si="38"/>
        <v>62</v>
      </c>
      <c r="AN25" s="170">
        <f t="shared" si="39"/>
        <v>24</v>
      </c>
      <c r="AO25" s="170">
        <f t="shared" si="4"/>
        <v>18</v>
      </c>
      <c r="AP25" s="170">
        <f t="shared" si="40"/>
        <v>74</v>
      </c>
      <c r="AQ25" s="170">
        <f t="shared" si="5"/>
        <v>82</v>
      </c>
      <c r="AR25" s="170">
        <f t="shared" si="41"/>
        <v>62.445</v>
      </c>
      <c r="AS25" s="170">
        <f t="shared" si="42"/>
        <v>120.44500000000005</v>
      </c>
      <c r="AT25" s="170">
        <f t="shared" si="43"/>
        <v>867.44500000000005</v>
      </c>
      <c r="AU25" s="170">
        <f t="shared" si="44"/>
        <v>245</v>
      </c>
      <c r="AV25" s="170">
        <f t="shared" si="67"/>
        <v>0</v>
      </c>
      <c r="AW25" s="170">
        <f t="shared" si="45"/>
        <v>502</v>
      </c>
      <c r="AX25" s="170">
        <f t="shared" si="68"/>
        <v>29</v>
      </c>
      <c r="AY25" s="170" t="str">
        <f t="shared" si="77"/>
        <v/>
      </c>
      <c r="AZ25" s="170">
        <f t="shared" si="46"/>
        <v>285</v>
      </c>
      <c r="BA25" s="170">
        <v>42</v>
      </c>
      <c r="BB25" s="170">
        <f t="shared" si="47"/>
        <v>82</v>
      </c>
      <c r="BC25" s="170">
        <f t="shared" si="47"/>
        <v>179</v>
      </c>
      <c r="BD25" s="91">
        <f t="shared" si="48"/>
        <v>74</v>
      </c>
      <c r="BE25" s="90"/>
      <c r="BF25" s="90"/>
      <c r="BG25" s="170">
        <f t="shared" si="6"/>
        <v>546</v>
      </c>
      <c r="BH25" s="170">
        <f t="shared" si="49"/>
        <v>1673</v>
      </c>
      <c r="BI25" s="170">
        <f t="shared" si="50"/>
        <v>1282.6549999999997</v>
      </c>
      <c r="BJ25" s="170">
        <f t="shared" si="7"/>
        <v>3737.3450000000003</v>
      </c>
      <c r="BK25" s="92"/>
      <c r="BL25" s="331">
        <f t="shared" si="51"/>
        <v>6693</v>
      </c>
      <c r="BM25" s="331">
        <f t="shared" si="52"/>
        <v>145123</v>
      </c>
      <c r="BN25" s="92"/>
      <c r="BO25" s="97">
        <f t="shared" si="53"/>
        <v>6.6093810367770164E-2</v>
      </c>
      <c r="BP25" s="97">
        <f t="shared" si="53"/>
        <v>5.9720478653735184E-2</v>
      </c>
      <c r="BQ25" s="97">
        <f t="shared" si="54"/>
        <v>0.12492910406122271</v>
      </c>
      <c r="BR25" s="97">
        <f t="shared" si="69"/>
        <v>0.66388872021197709</v>
      </c>
      <c r="BS25" s="97">
        <f t="shared" si="79"/>
        <v>0</v>
      </c>
      <c r="BT25" s="97">
        <f t="shared" si="79"/>
        <v>7.5358746285395087E-2</v>
      </c>
      <c r="BU25" s="97">
        <f t="shared" si="79"/>
        <v>0.91581235990841547</v>
      </c>
      <c r="BV25" s="97">
        <f t="shared" si="9"/>
        <v>5.3160070739916285E-2</v>
      </c>
      <c r="BW25" s="97">
        <f t="shared" si="9"/>
        <v>4.8033921061424352E-2</v>
      </c>
      <c r="BX25" s="97">
        <f t="shared" si="9"/>
        <v>0.10048202656821675</v>
      </c>
      <c r="BY25" s="97">
        <f t="shared" si="55"/>
        <v>0.53397392484290906</v>
      </c>
      <c r="BZ25" s="97">
        <f t="shared" si="10"/>
        <v>0.73659923018996498</v>
      </c>
      <c r="CA25" s="504" t="e">
        <f>#REF!</f>
        <v>#REF!</v>
      </c>
      <c r="CB25" s="97">
        <f t="shared" si="11"/>
        <v>2.9639112654947074E-2</v>
      </c>
      <c r="CC25" s="97">
        <f t="shared" si="11"/>
        <v>5.7168435002403747E-2</v>
      </c>
      <c r="CD25" s="97">
        <f t="shared" si="12"/>
        <v>7.5730683763969603E-2</v>
      </c>
      <c r="CE25" s="97">
        <f t="shared" si="12"/>
        <v>0.1460706574737981</v>
      </c>
      <c r="CF25" s="97">
        <f t="shared" si="56"/>
        <v>0.31363324512398316</v>
      </c>
      <c r="CG25" s="97">
        <f t="shared" si="56"/>
        <v>6.1256493188277958E-2</v>
      </c>
      <c r="CH25" s="97">
        <f t="shared" si="57"/>
        <v>0.7767323336273646</v>
      </c>
      <c r="CI25" s="504" t="e">
        <f>#REF!</f>
        <v>#REF!</v>
      </c>
      <c r="CJ25" s="97" t="str">
        <f t="shared" si="58"/>
        <v>0,00</v>
      </c>
      <c r="CK25" s="97" t="str">
        <f t="shared" si="58"/>
        <v>0,00</v>
      </c>
      <c r="CL25" s="97" t="str">
        <f t="shared" si="70"/>
        <v xml:space="preserve">0,00 </v>
      </c>
      <c r="CM25" s="97" t="e">
        <f>#REF!</f>
        <v>#REF!</v>
      </c>
      <c r="CN25" s="97">
        <f t="shared" si="59"/>
        <v>1.0566696529069901</v>
      </c>
      <c r="CO25" s="97">
        <f t="shared" si="59"/>
        <v>0.22396802425745987</v>
      </c>
      <c r="CP25" s="97">
        <f t="shared" si="60"/>
        <v>1.6366894080352836</v>
      </c>
      <c r="CQ25" s="97" t="e">
        <f>#REF!</f>
        <v>#REF!</v>
      </c>
      <c r="CR25" s="97">
        <f t="shared" si="71"/>
        <v>5.8431337700264277E-2</v>
      </c>
      <c r="CS25" s="97">
        <f t="shared" si="71"/>
        <v>4.3823503275198204E-2</v>
      </c>
      <c r="CT25" s="504" t="e">
        <f>#REF!</f>
        <v>#REF!</v>
      </c>
      <c r="CU25" s="97">
        <f t="shared" si="72"/>
        <v>0.10547762406235381</v>
      </c>
      <c r="CV25" s="97">
        <f t="shared" si="61"/>
        <v>0.11688061044747314</v>
      </c>
      <c r="CW25" s="504" t="e">
        <f>#REF!</f>
        <v>#REF!</v>
      </c>
      <c r="CX25" s="97">
        <f t="shared" si="62"/>
        <v>0.11628765474356687</v>
      </c>
      <c r="CY25" s="97">
        <f t="shared" si="62"/>
        <v>0</v>
      </c>
      <c r="CZ25" s="97">
        <f t="shared" si="62"/>
        <v>0.23827103135212474</v>
      </c>
      <c r="DA25" s="97">
        <f t="shared" si="62"/>
        <v>1.3764661173728324E-2</v>
      </c>
      <c r="DB25" s="97">
        <f t="shared" si="13"/>
        <v>0.13527339429353696</v>
      </c>
      <c r="DC25" s="97">
        <f t="shared" si="14"/>
        <v>3.8920766077438711E-2</v>
      </c>
      <c r="DD25" s="97">
        <f t="shared" si="14"/>
        <v>8.4961184486116198E-2</v>
      </c>
      <c r="DE25" s="97">
        <f t="shared" si="14"/>
        <v>3.5123618167444685E-2</v>
      </c>
      <c r="DF25" s="97">
        <f t="shared" si="14"/>
        <v>0</v>
      </c>
      <c r="DG25" s="97">
        <f t="shared" si="14"/>
        <v>0</v>
      </c>
      <c r="DH25" s="97">
        <f t="shared" si="14"/>
        <v>0.25915534485709191</v>
      </c>
      <c r="DI25" s="504" t="e">
        <f>#REF!</f>
        <v>#REF!</v>
      </c>
      <c r="DJ25" s="97">
        <f t="shared" si="63"/>
        <v>0.79407855667749949</v>
      </c>
      <c r="DK25" s="504" t="e">
        <f>#REF!</f>
        <v>#REF!</v>
      </c>
      <c r="DL25" s="97">
        <f t="shared" si="15"/>
        <v>0.60880384406167232</v>
      </c>
      <c r="DM25" s="504">
        <f t="shared" si="16"/>
        <v>0</v>
      </c>
      <c r="DN25" s="97">
        <f t="shared" si="17"/>
        <v>1.7739064694595752</v>
      </c>
      <c r="DO25" s="100">
        <v>3.4</v>
      </c>
      <c r="DP25" s="97">
        <f t="shared" si="18"/>
        <v>3.1767888701987474</v>
      </c>
      <c r="DQ25" s="97">
        <f t="shared" si="73"/>
        <v>3.4276739191585643</v>
      </c>
      <c r="DR25" s="101" t="str">
        <f t="shared" si="19"/>
        <v>3,315, hL/NhL</v>
      </c>
      <c r="DS25" s="173"/>
      <c r="DT25" s="103">
        <v>20</v>
      </c>
      <c r="DU25" s="120">
        <v>620335</v>
      </c>
      <c r="DV25" s="120">
        <v>25307</v>
      </c>
      <c r="DW25" s="120">
        <v>5119433</v>
      </c>
      <c r="DX25" s="120">
        <v>112593</v>
      </c>
      <c r="DY25" s="120">
        <v>83535</v>
      </c>
      <c r="DZ25" s="120">
        <v>383863</v>
      </c>
      <c r="EA25" s="120">
        <v>225162</v>
      </c>
      <c r="EB25" s="120">
        <v>52674</v>
      </c>
      <c r="EC25" s="120">
        <v>394540</v>
      </c>
      <c r="ED25" s="120">
        <v>46128</v>
      </c>
      <c r="EE25" s="120">
        <v>37806</v>
      </c>
      <c r="EF25" s="120">
        <v>40301</v>
      </c>
      <c r="EG25" s="120">
        <v>90770</v>
      </c>
      <c r="EH25" s="120">
        <v>179003</v>
      </c>
      <c r="EI25" s="120">
        <v>30937</v>
      </c>
      <c r="EJ25" s="120">
        <v>39554</v>
      </c>
      <c r="EK25" s="120"/>
      <c r="EL25" s="120">
        <v>691993</v>
      </c>
      <c r="EM25" s="120">
        <v>2117</v>
      </c>
      <c r="EN25" s="120">
        <v>42472</v>
      </c>
      <c r="EO25" s="120">
        <v>2954366</v>
      </c>
      <c r="EP25" s="120">
        <v>2735481</v>
      </c>
      <c r="EQ25" s="120">
        <v>0</v>
      </c>
      <c r="ER25" s="120">
        <v>1277</v>
      </c>
      <c r="ES25" s="120">
        <v>331085</v>
      </c>
      <c r="ET25" s="120">
        <v>7100283</v>
      </c>
      <c r="EU25" s="120">
        <v>407462</v>
      </c>
      <c r="EV25" s="120">
        <v>127792</v>
      </c>
      <c r="EW25" s="120">
        <v>95808</v>
      </c>
      <c r="EX25" s="120">
        <v>204667</v>
      </c>
      <c r="EY25" s="120">
        <v>1613487</v>
      </c>
      <c r="EZ25" s="120">
        <v>752124</v>
      </c>
      <c r="FA25" s="151">
        <v>738097</v>
      </c>
      <c r="FB25" s="77">
        <v>31478</v>
      </c>
      <c r="FC25" s="77">
        <v>5020</v>
      </c>
      <c r="FD25" s="104">
        <f t="shared" si="78"/>
        <v>6145</v>
      </c>
      <c r="FE25" s="105">
        <f>FE58-FE57</f>
        <v>0</v>
      </c>
      <c r="FF25" s="105">
        <f>FF58-FF57</f>
        <v>0</v>
      </c>
      <c r="FG25" s="105">
        <f>FG58-FG57</f>
        <v>1941</v>
      </c>
      <c r="FH25" s="105">
        <f>FH58-FH57</f>
        <v>1933</v>
      </c>
      <c r="FI25" s="105">
        <f>FI58-FI57</f>
        <v>454</v>
      </c>
      <c r="FJ25" s="105">
        <f t="shared" si="75"/>
        <v>830</v>
      </c>
      <c r="FK25" s="105">
        <f t="shared" si="75"/>
        <v>0</v>
      </c>
      <c r="FL25" s="105">
        <v>987</v>
      </c>
      <c r="FM25" s="105">
        <f t="shared" si="75"/>
        <v>0</v>
      </c>
      <c r="FN25" s="124">
        <f t="shared" si="74"/>
        <v>548</v>
      </c>
      <c r="FO25" s="333">
        <f>FO24+548</f>
        <v>1003649</v>
      </c>
      <c r="FP25" s="332"/>
      <c r="FQ25" s="175"/>
      <c r="FR25" s="64"/>
      <c r="FS25" s="64"/>
      <c r="FT25" s="64"/>
      <c r="FU25" s="64"/>
      <c r="FV25" s="64"/>
      <c r="FW25" s="64"/>
      <c r="FX25" s="64"/>
      <c r="FY25" s="64">
        <v>20</v>
      </c>
      <c r="FZ25" s="107"/>
      <c r="GA25" s="107"/>
      <c r="GB25" s="107"/>
      <c r="GC25" s="109"/>
      <c r="GD25" s="110"/>
      <c r="GE25" s="110"/>
      <c r="GF25" s="111"/>
      <c r="GG25" s="111"/>
      <c r="GH25" s="111"/>
      <c r="GI25" s="164"/>
      <c r="GJ25" s="111" t="e">
        <f t="shared" si="65"/>
        <v>#DIV/0!</v>
      </c>
      <c r="GK25" s="118"/>
    </row>
    <row r="26" spans="1:193" s="119" customFormat="1" ht="15" customHeight="1">
      <c r="B26" s="573">
        <v>42876</v>
      </c>
      <c r="D26" s="86"/>
      <c r="E26" s="86"/>
      <c r="F26" s="86">
        <v>2300.4</v>
      </c>
      <c r="G26" s="86"/>
      <c r="H26" s="86">
        <v>7564.1220000000003</v>
      </c>
      <c r="I26" s="85">
        <v>1693.4880000000001</v>
      </c>
      <c r="J26" s="167"/>
      <c r="K26" s="167"/>
      <c r="L26" s="167"/>
      <c r="M26" s="115">
        <f t="shared" si="22"/>
        <v>1693.4880000000001</v>
      </c>
      <c r="N26" s="88">
        <f t="shared" si="0"/>
        <v>9864.5220000000008</v>
      </c>
      <c r="O26" s="88">
        <f t="shared" si="66"/>
        <v>10711.266000000001</v>
      </c>
      <c r="P26" s="89">
        <f t="shared" si="23"/>
        <v>434097.51400000002</v>
      </c>
      <c r="R26" s="170">
        <f t="shared" si="24"/>
        <v>191</v>
      </c>
      <c r="S26" s="170">
        <f t="shared" si="25"/>
        <v>30.5</v>
      </c>
      <c r="T26" s="170">
        <f t="shared" si="1"/>
        <v>322.89999999999998</v>
      </c>
      <c r="U26" s="91">
        <f t="shared" si="76"/>
        <v>3.7</v>
      </c>
      <c r="V26" s="90">
        <f t="shared" si="26"/>
        <v>1391</v>
      </c>
      <c r="W26" s="91">
        <f t="shared" si="2"/>
        <v>124</v>
      </c>
      <c r="X26" s="170">
        <f t="shared" si="27"/>
        <v>1391</v>
      </c>
      <c r="Y26" s="170" t="str">
        <f t="shared" si="28"/>
        <v>0</v>
      </c>
      <c r="Z26" s="170">
        <f t="shared" si="3"/>
        <v>110.8</v>
      </c>
      <c r="AA26" s="170">
        <f t="shared" si="29"/>
        <v>1939.1</v>
      </c>
      <c r="AB26" s="170">
        <f t="shared" si="30"/>
        <v>77</v>
      </c>
      <c r="AC26" s="170">
        <f t="shared" si="30"/>
        <v>15</v>
      </c>
      <c r="AD26" s="170">
        <f t="shared" si="31"/>
        <v>147</v>
      </c>
      <c r="AE26" s="170">
        <f>IF(AB26="","",(AD26-AC26-AB26))</f>
        <v>55</v>
      </c>
      <c r="AF26" s="170">
        <f t="shared" si="33"/>
        <v>0</v>
      </c>
      <c r="AG26" s="170">
        <f t="shared" si="33"/>
        <v>0</v>
      </c>
      <c r="AH26" s="170">
        <f t="shared" si="34"/>
        <v>0</v>
      </c>
      <c r="AI26" s="170">
        <f t="shared" si="35"/>
        <v>0</v>
      </c>
      <c r="AJ26" s="170">
        <f t="shared" si="36"/>
        <v>223</v>
      </c>
      <c r="AK26" s="170">
        <f t="shared" si="36"/>
        <v>20</v>
      </c>
      <c r="AL26" s="170">
        <f t="shared" si="37"/>
        <v>315</v>
      </c>
      <c r="AM26" s="170">
        <f t="shared" si="38"/>
        <v>72</v>
      </c>
      <c r="AN26" s="170">
        <f t="shared" si="39"/>
        <v>8</v>
      </c>
      <c r="AO26" s="170">
        <f t="shared" si="4"/>
        <v>44</v>
      </c>
      <c r="AP26" s="170">
        <f t="shared" si="40"/>
        <v>10</v>
      </c>
      <c r="AQ26" s="170">
        <f t="shared" si="5"/>
        <v>28</v>
      </c>
      <c r="AR26" s="170">
        <f>IF(ET26=0,"",(ET26-ET25)/1000)</f>
        <v>173.87899999999999</v>
      </c>
      <c r="AS26" s="170">
        <f t="shared" si="42"/>
        <v>-3.1209999999999809</v>
      </c>
      <c r="AT26" s="170">
        <f>IF(AR26="","",ES26-ES25+((ET26-ET25)/1000))</f>
        <v>373.87900000000002</v>
      </c>
      <c r="AU26" s="170">
        <f t="shared" si="44"/>
        <v>234</v>
      </c>
      <c r="AV26" s="170">
        <f>IF(EI26=0,"",(EI26-EI25))</f>
        <v>0</v>
      </c>
      <c r="AW26" s="170">
        <f t="shared" si="45"/>
        <v>143</v>
      </c>
      <c r="AX26" s="170">
        <f>IF(EJ26=0,"",(EJ26-EJ25))</f>
        <v>61</v>
      </c>
      <c r="AY26" s="170" t="str">
        <f t="shared" si="77"/>
        <v/>
      </c>
      <c r="AZ26" s="170">
        <f t="shared" si="46"/>
        <v>369</v>
      </c>
      <c r="BA26" s="170">
        <v>0</v>
      </c>
      <c r="BB26" s="170">
        <f t="shared" si="47"/>
        <v>74</v>
      </c>
      <c r="BC26" s="170">
        <f t="shared" si="47"/>
        <v>708</v>
      </c>
      <c r="BD26" s="91">
        <f t="shared" si="48"/>
        <v>75</v>
      </c>
      <c r="BE26" s="90"/>
      <c r="BF26" s="90"/>
      <c r="BG26" s="170">
        <f t="shared" si="6"/>
        <v>1151</v>
      </c>
      <c r="BH26" s="170">
        <f t="shared" si="49"/>
        <v>724</v>
      </c>
      <c r="BI26" s="170">
        <f t="shared" si="50"/>
        <v>941.02100000000019</v>
      </c>
      <c r="BJ26" s="170">
        <f t="shared" si="7"/>
        <v>4058.9789999999998</v>
      </c>
      <c r="BK26" s="92"/>
      <c r="BL26" s="331">
        <f>FD26+FN26</f>
        <v>5724</v>
      </c>
      <c r="BM26" s="331">
        <f t="shared" si="52"/>
        <v>150847</v>
      </c>
      <c r="BN26" s="92"/>
      <c r="BO26" s="97">
        <f t="shared" si="53"/>
        <v>0.19362316795481826</v>
      </c>
      <c r="BP26" s="97">
        <f t="shared" si="53"/>
        <v>3.0918882840952656E-2</v>
      </c>
      <c r="BQ26" s="97">
        <f t="shared" si="54"/>
        <v>0.32733466456864302</v>
      </c>
      <c r="BR26" s="97">
        <f t="shared" si="69"/>
        <v>1.4101038043201686</v>
      </c>
      <c r="BS26" s="97">
        <f t="shared" si="79"/>
        <v>0</v>
      </c>
      <c r="BT26" s="97">
        <f t="shared" si="79"/>
        <v>0.11232171209106734</v>
      </c>
      <c r="BU26" s="97">
        <f t="shared" si="79"/>
        <v>1.9657313349800423</v>
      </c>
      <c r="BV26" s="97">
        <f t="shared" si="9"/>
        <v>0.17831692350838824</v>
      </c>
      <c r="BW26" s="97">
        <f t="shared" si="9"/>
        <v>2.8474691973852575E-2</v>
      </c>
      <c r="BX26" s="97">
        <f t="shared" si="9"/>
        <v>0.30145829633957361</v>
      </c>
      <c r="BY26" s="97">
        <f t="shared" si="55"/>
        <v>1.2986326732993092</v>
      </c>
      <c r="BZ26" s="97">
        <f t="shared" si="10"/>
        <v>1.8103368920163121</v>
      </c>
      <c r="CA26" s="504" t="e">
        <f>#REF!</f>
        <v>#REF!</v>
      </c>
      <c r="CB26" s="97">
        <f t="shared" si="11"/>
        <v>0.16233281854824627</v>
      </c>
      <c r="CC26" s="97">
        <f t="shared" si="11"/>
        <v>-2.913754545914536E-3</v>
      </c>
      <c r="CD26" s="97">
        <f t="shared" si="12"/>
        <v>1.0267507062347061</v>
      </c>
      <c r="CE26" s="97">
        <f t="shared" si="12"/>
        <v>-1.8429419045189459E-2</v>
      </c>
      <c r="CF26" s="97">
        <f>IF($D25&lt;&gt;0,IF($D25&lt;&gt;0,AB26/$D25*10,0),"0,00")</f>
        <v>0.18866999901989612</v>
      </c>
      <c r="CG26" s="97">
        <f>IF($D25&lt;&gt;0,IF($D25&lt;&gt;0,AC26/$D25*10,0),"0,00")</f>
        <v>3.675389591296678E-2</v>
      </c>
      <c r="CH26" s="97">
        <f>IF($D25&lt;&gt;0,IF($O26&lt;&gt;0,AD26/$D25*10,0),"0,00 ")</f>
        <v>0.36018817994707442</v>
      </c>
      <c r="CI26" s="504" t="e">
        <f>#REF!</f>
        <v>#REF!</v>
      </c>
      <c r="CJ26" s="97" t="str">
        <f t="shared" si="58"/>
        <v>0,00</v>
      </c>
      <c r="CK26" s="97" t="str">
        <f t="shared" si="58"/>
        <v>0,00</v>
      </c>
      <c r="CL26" s="97" t="str">
        <f t="shared" si="70"/>
        <v xml:space="preserve">0,00 </v>
      </c>
      <c r="CM26" s="97" t="e">
        <f>#REF!</f>
        <v>#REF!</v>
      </c>
      <c r="CN26" s="97">
        <f t="shared" si="59"/>
        <v>0.96939662667362192</v>
      </c>
      <c r="CO26" s="97">
        <f t="shared" si="59"/>
        <v>8.6941401495392104E-2</v>
      </c>
      <c r="CP26" s="97">
        <f t="shared" si="60"/>
        <v>1.3693270735524257</v>
      </c>
      <c r="CQ26" s="97" t="e">
        <f>#REF!</f>
        <v>#REF!</v>
      </c>
      <c r="CR26" s="97" t="str">
        <f t="shared" si="71"/>
        <v xml:space="preserve">0,00 </v>
      </c>
      <c r="CS26" s="97" t="str">
        <f t="shared" si="71"/>
        <v xml:space="preserve">0,00 </v>
      </c>
      <c r="CT26" s="504" t="e">
        <f>#REF!</f>
        <v>#REF!</v>
      </c>
      <c r="CU26" s="97">
        <f t="shared" si="72"/>
        <v>1.3220305013589152E-2</v>
      </c>
      <c r="CV26" s="97">
        <f t="shared" si="61"/>
        <v>3.7016854038049621E-2</v>
      </c>
      <c r="CW26" s="504" t="e">
        <f>#REF!</f>
        <v>#REF!</v>
      </c>
      <c r="CX26" s="97">
        <f t="shared" si="62"/>
        <v>0.21846157120922957</v>
      </c>
      <c r="CY26" s="97">
        <f t="shared" si="62"/>
        <v>0</v>
      </c>
      <c r="CZ26" s="97">
        <f t="shared" si="62"/>
        <v>0.13350429351675142</v>
      </c>
      <c r="DA26" s="97">
        <f t="shared" si="62"/>
        <v>5.694938394770515E-2</v>
      </c>
      <c r="DB26" s="97">
        <f t="shared" si="13"/>
        <v>0.34449709306070819</v>
      </c>
      <c r="DC26" s="97">
        <f t="shared" si="14"/>
        <v>6.9086137903773465E-2</v>
      </c>
      <c r="DD26" s="97">
        <f t="shared" si="14"/>
        <v>0.66098629237664341</v>
      </c>
      <c r="DE26" s="97">
        <f t="shared" si="14"/>
        <v>7.0019734361932554E-2</v>
      </c>
      <c r="DF26" s="97">
        <f t="shared" si="14"/>
        <v>0</v>
      </c>
      <c r="DG26" s="97">
        <f t="shared" si="14"/>
        <v>0</v>
      </c>
      <c r="DH26" s="97">
        <f t="shared" si="14"/>
        <v>1.074569523341125</v>
      </c>
      <c r="DI26" s="504" t="e">
        <f>#REF!</f>
        <v>#REF!</v>
      </c>
      <c r="DJ26" s="97">
        <f t="shared" si="63"/>
        <v>0.67592383570718895</v>
      </c>
      <c r="DK26" s="504" t="e">
        <f>#REF!</f>
        <v>#REF!</v>
      </c>
      <c r="DL26" s="97">
        <f t="shared" si="15"/>
        <v>0.87853387265333538</v>
      </c>
      <c r="DM26" s="504">
        <f t="shared" si="16"/>
        <v>0</v>
      </c>
      <c r="DN26" s="97">
        <f t="shared" si="17"/>
        <v>3.7894484181421682</v>
      </c>
      <c r="DO26" s="100">
        <v>3.4</v>
      </c>
      <c r="DP26" s="97">
        <f t="shared" si="18"/>
        <v>5.3439061265026933</v>
      </c>
      <c r="DQ26" s="97">
        <f>IF($P26&lt;&gt;0,IF($P26&lt;&gt;0,BM26/$P26*10,0)," ")</f>
        <v>3.4749565508914659</v>
      </c>
      <c r="DR26" s="101" t="str">
        <f t="shared" si="19"/>
        <v>3,315, hL/NhL</v>
      </c>
      <c r="DS26" s="173"/>
      <c r="DT26" s="103">
        <v>21</v>
      </c>
      <c r="DU26" s="120">
        <v>620412</v>
      </c>
      <c r="DV26" s="120">
        <v>25322</v>
      </c>
      <c r="DW26" s="120">
        <v>5119580</v>
      </c>
      <c r="DX26" s="120">
        <v>112593</v>
      </c>
      <c r="DY26" s="120">
        <v>83535</v>
      </c>
      <c r="DZ26" s="120">
        <v>383863</v>
      </c>
      <c r="EA26" s="120">
        <v>225385</v>
      </c>
      <c r="EB26" s="120">
        <v>52694</v>
      </c>
      <c r="EC26" s="120">
        <v>394855</v>
      </c>
      <c r="ED26" s="120">
        <v>46136</v>
      </c>
      <c r="EE26" s="120">
        <v>37807</v>
      </c>
      <c r="EF26" s="120">
        <v>40344</v>
      </c>
      <c r="EG26" s="120">
        <v>90780</v>
      </c>
      <c r="EH26" s="120">
        <v>179031</v>
      </c>
      <c r="EI26" s="120">
        <v>30937</v>
      </c>
      <c r="EJ26" s="120">
        <v>39615</v>
      </c>
      <c r="EK26" s="120"/>
      <c r="EL26" s="120">
        <v>692184</v>
      </c>
      <c r="EM26" s="120">
        <v>3229</v>
      </c>
      <c r="EN26" s="120">
        <v>42509</v>
      </c>
      <c r="EO26" s="120">
        <v>2955757</v>
      </c>
      <c r="EP26" s="120">
        <v>2736721</v>
      </c>
      <c r="EQ26" s="120">
        <v>0</v>
      </c>
      <c r="ER26" s="120">
        <v>1108</v>
      </c>
      <c r="ES26" s="120">
        <v>331285</v>
      </c>
      <c r="ET26" s="120">
        <v>7274162</v>
      </c>
      <c r="EU26" s="120">
        <v>407605</v>
      </c>
      <c r="EV26" s="120">
        <v>128026</v>
      </c>
      <c r="EW26" s="120">
        <v>96177</v>
      </c>
      <c r="EX26" s="120">
        <v>204741</v>
      </c>
      <c r="EY26" s="120">
        <v>1614195</v>
      </c>
      <c r="EZ26" s="120">
        <v>752429</v>
      </c>
      <c r="FA26" s="145">
        <v>738172</v>
      </c>
      <c r="FB26" s="136">
        <v>31478</v>
      </c>
      <c r="FC26" s="136">
        <v>5000</v>
      </c>
      <c r="FD26" s="104">
        <f t="shared" ref="FD26:FD31" si="80">SUM(FE26:FM26)</f>
        <v>5176</v>
      </c>
      <c r="FE26" s="105">
        <f t="shared" ref="FE26:FM36" si="81">FE59-FE58</f>
        <v>0</v>
      </c>
      <c r="FF26" s="105">
        <f t="shared" si="81"/>
        <v>0</v>
      </c>
      <c r="FG26" s="105">
        <f t="shared" si="81"/>
        <v>1944</v>
      </c>
      <c r="FH26" s="105">
        <f t="shared" si="81"/>
        <v>1083</v>
      </c>
      <c r="FI26" s="105">
        <f>FI59-FI58</f>
        <v>403</v>
      </c>
      <c r="FJ26" s="105">
        <f t="shared" si="81"/>
        <v>757</v>
      </c>
      <c r="FK26" s="105">
        <f t="shared" si="81"/>
        <v>0</v>
      </c>
      <c r="FL26" s="105">
        <f>FL59-FL58</f>
        <v>989</v>
      </c>
      <c r="FM26" s="105">
        <f t="shared" si="81"/>
        <v>0</v>
      </c>
      <c r="FN26" s="80">
        <f>IF(FO26="",0,(FO26-FO25))</f>
        <v>548</v>
      </c>
      <c r="FO26" s="333">
        <f>FO25+548</f>
        <v>1004197</v>
      </c>
      <c r="FP26" s="332"/>
      <c r="FY26" s="119">
        <v>21</v>
      </c>
      <c r="FZ26" s="107"/>
      <c r="GA26" s="107"/>
      <c r="GB26" s="107"/>
      <c r="GC26" s="109"/>
      <c r="GD26" s="110"/>
      <c r="GE26" s="110"/>
      <c r="GF26" s="111"/>
      <c r="GG26" s="111"/>
      <c r="GH26" s="111"/>
      <c r="GI26" s="164"/>
      <c r="GJ26" s="111" t="e">
        <f t="shared" si="65"/>
        <v>#DIV/0!</v>
      </c>
      <c r="GK26" s="113"/>
    </row>
    <row r="27" spans="1:193" s="119" customFormat="1" ht="15" customHeight="1">
      <c r="B27" s="573">
        <v>42877</v>
      </c>
      <c r="D27" s="86">
        <v>3288</v>
      </c>
      <c r="E27" s="86"/>
      <c r="F27" s="86">
        <v>2640.6</v>
      </c>
      <c r="G27" s="86">
        <v>3219.7080000000001</v>
      </c>
      <c r="H27" s="86">
        <v>7571.1030000000001</v>
      </c>
      <c r="I27" s="85">
        <v>1943.931</v>
      </c>
      <c r="J27" s="85">
        <v>3131.4</v>
      </c>
      <c r="K27" s="167"/>
      <c r="L27" s="167"/>
      <c r="M27" s="115">
        <f t="shared" si="22"/>
        <v>5075.3310000000001</v>
      </c>
      <c r="N27" s="88">
        <f t="shared" si="0"/>
        <v>16719.411</v>
      </c>
      <c r="O27" s="88">
        <f t="shared" si="66"/>
        <v>19257.076499999999</v>
      </c>
      <c r="P27" s="89">
        <f t="shared" si="23"/>
        <v>453354.59050000005</v>
      </c>
      <c r="R27" s="170">
        <f t="shared" si="24"/>
        <v>161</v>
      </c>
      <c r="S27" s="170">
        <f t="shared" si="25"/>
        <v>20.7</v>
      </c>
      <c r="T27" s="170">
        <f t="shared" si="1"/>
        <v>409.7</v>
      </c>
      <c r="U27" s="91">
        <f t="shared" si="76"/>
        <v>3.7</v>
      </c>
      <c r="V27" s="90">
        <f t="shared" si="26"/>
        <v>1361</v>
      </c>
      <c r="W27" s="91">
        <f t="shared" si="2"/>
        <v>121.3</v>
      </c>
      <c r="X27" s="170">
        <f t="shared" si="27"/>
        <v>1361</v>
      </c>
      <c r="Y27" s="170">
        <f t="shared" si="28"/>
        <v>82.4</v>
      </c>
      <c r="Z27" s="170">
        <f t="shared" si="3"/>
        <v>140.1</v>
      </c>
      <c r="AA27" s="170">
        <f t="shared" si="29"/>
        <v>1956.1</v>
      </c>
      <c r="AB27" s="170">
        <f t="shared" si="30"/>
        <v>178</v>
      </c>
      <c r="AC27" s="170">
        <f t="shared" si="30"/>
        <v>24</v>
      </c>
      <c r="AD27" s="170">
        <f>(IF(SUM(AB27:AC27)&gt;=(DW27-DW26),(SUM(AB27:AC27)),(DW27-DW26)))</f>
        <v>416</v>
      </c>
      <c r="AE27" s="170">
        <f t="shared" si="32"/>
        <v>214</v>
      </c>
      <c r="AF27" s="170">
        <f t="shared" si="33"/>
        <v>136</v>
      </c>
      <c r="AG27" s="170">
        <f t="shared" si="33"/>
        <v>25</v>
      </c>
      <c r="AH27" s="170">
        <f t="shared" si="34"/>
        <v>244</v>
      </c>
      <c r="AI27" s="170">
        <f t="shared" si="35"/>
        <v>83</v>
      </c>
      <c r="AJ27" s="170">
        <f t="shared" si="36"/>
        <v>242</v>
      </c>
      <c r="AK27" s="170">
        <f t="shared" si="36"/>
        <v>11</v>
      </c>
      <c r="AL27" s="170">
        <f t="shared" si="37"/>
        <v>345</v>
      </c>
      <c r="AM27" s="170">
        <f t="shared" si="38"/>
        <v>92</v>
      </c>
      <c r="AN27" s="170">
        <f t="shared" si="39"/>
        <v>18</v>
      </c>
      <c r="AO27" s="170">
        <f t="shared" si="4"/>
        <v>101</v>
      </c>
      <c r="AP27" s="170">
        <f t="shared" si="40"/>
        <v>35</v>
      </c>
      <c r="AQ27" s="170">
        <f t="shared" si="5"/>
        <v>71</v>
      </c>
      <c r="AR27" s="170">
        <f t="shared" si="41"/>
        <v>52.042999999999999</v>
      </c>
      <c r="AS27" s="170">
        <f t="shared" si="42"/>
        <v>119.04300000000001</v>
      </c>
      <c r="AT27" s="170">
        <f t="shared" si="43"/>
        <v>830.04300000000001</v>
      </c>
      <c r="AU27" s="170">
        <f t="shared" si="44"/>
        <v>317</v>
      </c>
      <c r="AV27" s="170">
        <f t="shared" si="67"/>
        <v>0</v>
      </c>
      <c r="AW27" s="170">
        <f t="shared" si="45"/>
        <v>394</v>
      </c>
      <c r="AX27" s="170">
        <f t="shared" si="68"/>
        <v>74</v>
      </c>
      <c r="AY27" s="170" t="str">
        <f t="shared" si="77"/>
        <v/>
      </c>
      <c r="AZ27" s="170">
        <f t="shared" si="46"/>
        <v>264</v>
      </c>
      <c r="BA27" s="170">
        <v>109</v>
      </c>
      <c r="BB27" s="170">
        <f t="shared" si="47"/>
        <v>131</v>
      </c>
      <c r="BC27" s="170">
        <f t="shared" si="47"/>
        <v>854</v>
      </c>
      <c r="BD27" s="91">
        <f t="shared" si="48"/>
        <v>203</v>
      </c>
      <c r="BE27" s="90"/>
      <c r="BF27" s="90"/>
      <c r="BG27" s="170">
        <f t="shared" si="6"/>
        <v>1249</v>
      </c>
      <c r="BH27" s="170">
        <f t="shared" si="49"/>
        <v>520</v>
      </c>
      <c r="BI27" s="170">
        <f t="shared" si="50"/>
        <v>1291.857</v>
      </c>
      <c r="BJ27" s="170">
        <f t="shared" si="7"/>
        <v>5286.143</v>
      </c>
      <c r="BK27" s="92"/>
      <c r="BL27" s="331">
        <f t="shared" si="51"/>
        <v>7098</v>
      </c>
      <c r="BM27" s="331">
        <f t="shared" si="52"/>
        <v>157945</v>
      </c>
      <c r="BN27" s="92"/>
      <c r="BO27" s="97">
        <f t="shared" si="53"/>
        <v>9.6295258248032783E-2</v>
      </c>
      <c r="BP27" s="97">
        <f t="shared" si="53"/>
        <v>1.2380818917604213E-2</v>
      </c>
      <c r="BQ27" s="97">
        <f t="shared" si="54"/>
        <v>0.24504451741750949</v>
      </c>
      <c r="BR27" s="97">
        <f t="shared" si="69"/>
        <v>0.81402389115262497</v>
      </c>
      <c r="BS27" s="97">
        <f t="shared" si="79"/>
        <v>4.9284032792781998E-2</v>
      </c>
      <c r="BT27" s="97">
        <f t="shared" si="79"/>
        <v>8.3794817891611126E-2</v>
      </c>
      <c r="BU27" s="97">
        <f t="shared" si="79"/>
        <v>1.1699574823538939</v>
      </c>
      <c r="BV27" s="97">
        <f t="shared" si="9"/>
        <v>8.3605629338388943E-2</v>
      </c>
      <c r="BW27" s="97">
        <f t="shared" si="9"/>
        <v>1.0749295200650004E-2</v>
      </c>
      <c r="BX27" s="97">
        <f t="shared" si="9"/>
        <v>0.21275295863315496</v>
      </c>
      <c r="BY27" s="97">
        <f t="shared" si="55"/>
        <v>0.70675317720215736</v>
      </c>
      <c r="BZ27" s="97">
        <f t="shared" si="10"/>
        <v>1.0157824319802646</v>
      </c>
      <c r="CA27" s="504" t="e">
        <f>#REF!</f>
        <v>#REF!</v>
      </c>
      <c r="CB27" s="97">
        <f t="shared" si="11"/>
        <v>2.7025389861228419E-2</v>
      </c>
      <c r="CC27" s="97">
        <f t="shared" si="11"/>
        <v>6.1817794616955489E-2</v>
      </c>
      <c r="CD27" s="97">
        <f t="shared" si="12"/>
        <v>0.10254109534924913</v>
      </c>
      <c r="CE27" s="97">
        <f t="shared" si="12"/>
        <v>0.23455218979806441</v>
      </c>
      <c r="CF27" s="97">
        <f t="shared" si="56"/>
        <v>0.54136253041362536</v>
      </c>
      <c r="CG27" s="97">
        <f t="shared" si="56"/>
        <v>7.2992700729927001E-2</v>
      </c>
      <c r="CH27" s="97">
        <f t="shared" si="57"/>
        <v>1.2652068126520684</v>
      </c>
      <c r="CI27" s="504" t="e">
        <f>#REF!</f>
        <v>#REF!</v>
      </c>
      <c r="CJ27" s="97" t="str">
        <f t="shared" si="58"/>
        <v>0,00</v>
      </c>
      <c r="CK27" s="97" t="str">
        <f t="shared" si="58"/>
        <v>0,00</v>
      </c>
      <c r="CL27" s="97" t="str">
        <f t="shared" si="70"/>
        <v xml:space="preserve">0,00 </v>
      </c>
      <c r="CM27" s="97" t="e">
        <f>#REF!</f>
        <v>#REF!</v>
      </c>
      <c r="CN27" s="97">
        <f t="shared" si="59"/>
        <v>0.91645838067105967</v>
      </c>
      <c r="CO27" s="97">
        <f t="shared" si="59"/>
        <v>4.1657199121411803E-2</v>
      </c>
      <c r="CP27" s="97">
        <f t="shared" si="60"/>
        <v>1.306521245171552</v>
      </c>
      <c r="CQ27" s="97" t="e">
        <f>#REF!</f>
        <v>#REF!</v>
      </c>
      <c r="CR27" s="97">
        <f t="shared" si="71"/>
        <v>5.5905690826621543E-2</v>
      </c>
      <c r="CS27" s="97">
        <f t="shared" si="71"/>
        <v>0.31369304297159867</v>
      </c>
      <c r="CT27" s="504" t="e">
        <f>#REF!</f>
        <v>#REF!</v>
      </c>
      <c r="CU27" s="97">
        <f t="shared" si="72"/>
        <v>4.6228402915664997E-2</v>
      </c>
      <c r="CV27" s="97">
        <f t="shared" si="61"/>
        <v>9.3777617343206138E-2</v>
      </c>
      <c r="CW27" s="504" t="e">
        <f>#REF!</f>
        <v>#REF!</v>
      </c>
      <c r="CX27" s="97">
        <f t="shared" si="62"/>
        <v>0.16461481056067884</v>
      </c>
      <c r="CY27" s="97">
        <f t="shared" si="62"/>
        <v>0</v>
      </c>
      <c r="CZ27" s="97">
        <f t="shared" si="62"/>
        <v>0.20460011154860397</v>
      </c>
      <c r="DA27" s="97">
        <f t="shared" si="62"/>
        <v>3.8427432118265721E-2</v>
      </c>
      <c r="DB27" s="97">
        <f t="shared" si="13"/>
        <v>0.13709246053002905</v>
      </c>
      <c r="DC27" s="97">
        <f t="shared" si="14"/>
        <v>6.8026940641794723E-2</v>
      </c>
      <c r="DD27" s="97">
        <f t="shared" si="14"/>
        <v>0.44347333822971519</v>
      </c>
      <c r="DE27" s="97">
        <f t="shared" si="14"/>
        <v>0.10541579351362082</v>
      </c>
      <c r="DF27" s="97">
        <f t="shared" si="14"/>
        <v>0</v>
      </c>
      <c r="DG27" s="97">
        <f t="shared" si="14"/>
        <v>0</v>
      </c>
      <c r="DH27" s="97">
        <f t="shared" si="14"/>
        <v>0.64859273940153894</v>
      </c>
      <c r="DI27" s="504" t="e">
        <f>#REF!</f>
        <v>#REF!</v>
      </c>
      <c r="DJ27" s="97">
        <f t="shared" si="63"/>
        <v>0.27003060407429968</v>
      </c>
      <c r="DK27" s="504" t="e">
        <f>#REF!</f>
        <v>#REF!</v>
      </c>
      <c r="DL27" s="97">
        <f t="shared" si="15"/>
        <v>0.67084793478387028</v>
      </c>
      <c r="DM27" s="504">
        <f t="shared" si="16"/>
        <v>0</v>
      </c>
      <c r="DN27" s="97">
        <f t="shared" si="17"/>
        <v>2.7450392067560205</v>
      </c>
      <c r="DO27" s="100">
        <v>3.4</v>
      </c>
      <c r="DP27" s="97">
        <f t="shared" si="18"/>
        <v>3.6859177456141907</v>
      </c>
      <c r="DQ27" s="97">
        <f>IF($P27&lt;&gt;0,IF($P27&lt;&gt;0,BM27/$P27*10,0)," ")</f>
        <v>3.4839175186426177</v>
      </c>
      <c r="DR27" s="101" t="str">
        <f t="shared" si="19"/>
        <v>3,315, hL/NhL</v>
      </c>
      <c r="DS27" s="173"/>
      <c r="DT27" s="103">
        <v>22</v>
      </c>
      <c r="DU27" s="120">
        <v>620590</v>
      </c>
      <c r="DV27" s="120">
        <v>25346</v>
      </c>
      <c r="DW27" s="120">
        <v>5119996</v>
      </c>
      <c r="DX27" s="120">
        <v>112729</v>
      </c>
      <c r="DY27" s="120">
        <v>83560</v>
      </c>
      <c r="DZ27" s="120">
        <v>384107</v>
      </c>
      <c r="EA27" s="120">
        <v>225627</v>
      </c>
      <c r="EB27" s="120">
        <v>52705</v>
      </c>
      <c r="EC27" s="120">
        <v>395200</v>
      </c>
      <c r="ED27" s="120">
        <v>46154</v>
      </c>
      <c r="EE27" s="120">
        <v>37854</v>
      </c>
      <c r="EF27" s="120">
        <v>40398</v>
      </c>
      <c r="EG27" s="120">
        <v>90815</v>
      </c>
      <c r="EH27" s="120">
        <v>179102</v>
      </c>
      <c r="EI27" s="120">
        <v>30937</v>
      </c>
      <c r="EJ27" s="120">
        <v>39689</v>
      </c>
      <c r="EK27" s="120"/>
      <c r="EL27" s="120">
        <v>692345</v>
      </c>
      <c r="EM27" s="120">
        <v>4097</v>
      </c>
      <c r="EN27" s="120">
        <v>42546</v>
      </c>
      <c r="EO27" s="120">
        <v>2957118</v>
      </c>
      <c r="EP27" s="120">
        <v>2737934</v>
      </c>
      <c r="EQ27" s="120">
        <v>824</v>
      </c>
      <c r="ER27" s="120">
        <v>1401</v>
      </c>
      <c r="ES27" s="120">
        <v>332063</v>
      </c>
      <c r="ET27" s="120">
        <v>7326205</v>
      </c>
      <c r="EU27" s="120">
        <v>407999</v>
      </c>
      <c r="EV27" s="120">
        <v>128343</v>
      </c>
      <c r="EW27" s="120">
        <v>96441</v>
      </c>
      <c r="EX27" s="120">
        <v>204872</v>
      </c>
      <c r="EY27" s="120">
        <v>1615049</v>
      </c>
      <c r="EZ27" s="120">
        <v>752636</v>
      </c>
      <c r="FA27" s="151">
        <v>738375</v>
      </c>
      <c r="FB27" s="77">
        <v>29974</v>
      </c>
      <c r="FC27" s="176">
        <v>6578</v>
      </c>
      <c r="FD27" s="104">
        <f t="shared" si="80"/>
        <v>6606</v>
      </c>
      <c r="FE27" s="105">
        <f t="shared" si="81"/>
        <v>0</v>
      </c>
      <c r="FF27" s="105">
        <f t="shared" si="81"/>
        <v>0</v>
      </c>
      <c r="FG27" s="105">
        <f t="shared" si="81"/>
        <v>1953</v>
      </c>
      <c r="FH27" s="105">
        <f t="shared" si="81"/>
        <v>1778</v>
      </c>
      <c r="FI27" s="105">
        <f t="shared" si="81"/>
        <v>763</v>
      </c>
      <c r="FJ27" s="105">
        <f t="shared" si="81"/>
        <v>942</v>
      </c>
      <c r="FK27" s="105">
        <f t="shared" si="81"/>
        <v>0</v>
      </c>
      <c r="FL27" s="105">
        <f>FL60-FL59</f>
        <v>1170</v>
      </c>
      <c r="FM27" s="105">
        <f t="shared" si="81"/>
        <v>0</v>
      </c>
      <c r="FN27" s="80">
        <f>FO27-1006629</f>
        <v>492</v>
      </c>
      <c r="FO27" s="174">
        <v>1007121</v>
      </c>
      <c r="FP27" s="162"/>
      <c r="FY27" s="119">
        <v>22</v>
      </c>
      <c r="FZ27" s="107"/>
      <c r="GA27" s="107"/>
      <c r="GB27" s="107"/>
      <c r="GC27" s="109"/>
      <c r="GD27" s="110"/>
      <c r="GE27" s="110"/>
      <c r="GF27" s="111"/>
      <c r="GG27" s="111"/>
      <c r="GH27" s="111"/>
      <c r="GI27" s="112"/>
      <c r="GJ27" s="111" t="e">
        <f t="shared" si="65"/>
        <v>#DIV/0!</v>
      </c>
      <c r="GK27" s="113"/>
    </row>
    <row r="28" spans="1:193" ht="15" customHeight="1">
      <c r="B28" s="573">
        <v>42878</v>
      </c>
      <c r="D28" s="85">
        <v>3966</v>
      </c>
      <c r="E28" s="85">
        <v>3840</v>
      </c>
      <c r="F28" s="85">
        <v>2458.2960000000003</v>
      </c>
      <c r="G28" s="85">
        <v>5471.2460000000001</v>
      </c>
      <c r="H28" s="85">
        <v>3194.623</v>
      </c>
      <c r="I28" s="85">
        <v>2019.297</v>
      </c>
      <c r="J28" s="85">
        <v>5913.72</v>
      </c>
      <c r="K28" s="167"/>
      <c r="L28" s="167"/>
      <c r="M28" s="115">
        <f t="shared" si="22"/>
        <v>7933.0169999999998</v>
      </c>
      <c r="N28" s="88">
        <f t="shared" si="0"/>
        <v>18930.165000000001</v>
      </c>
      <c r="O28" s="88">
        <f t="shared" si="66"/>
        <v>22896.673500000001</v>
      </c>
      <c r="P28" s="89">
        <f t="shared" si="23"/>
        <v>476251.26400000002</v>
      </c>
      <c r="R28" s="170">
        <f t="shared" si="24"/>
        <v>77</v>
      </c>
      <c r="S28" s="170">
        <f t="shared" si="25"/>
        <v>92.8</v>
      </c>
      <c r="T28" s="170">
        <f t="shared" si="1"/>
        <v>375.3</v>
      </c>
      <c r="U28" s="91">
        <f t="shared" si="76"/>
        <v>0.6</v>
      </c>
      <c r="V28" s="90">
        <f t="shared" si="26"/>
        <v>1233</v>
      </c>
      <c r="W28" s="91">
        <f t="shared" si="2"/>
        <v>109.9</v>
      </c>
      <c r="X28" s="170">
        <f t="shared" si="27"/>
        <v>1233</v>
      </c>
      <c r="Y28" s="170">
        <f t="shared" si="28"/>
        <v>35.9</v>
      </c>
      <c r="Z28" s="170">
        <f t="shared" si="3"/>
        <v>141.19999999999999</v>
      </c>
      <c r="AA28" s="170">
        <f t="shared" si="29"/>
        <v>1778.7</v>
      </c>
      <c r="AB28" s="170">
        <f t="shared" si="30"/>
        <v>182</v>
      </c>
      <c r="AC28" s="170">
        <f t="shared" si="30"/>
        <v>24</v>
      </c>
      <c r="AD28" s="170">
        <f t="shared" si="31"/>
        <v>399</v>
      </c>
      <c r="AE28" s="170">
        <f t="shared" si="32"/>
        <v>193</v>
      </c>
      <c r="AF28" s="170">
        <f t="shared" si="33"/>
        <v>195</v>
      </c>
      <c r="AG28" s="170">
        <f t="shared" si="33"/>
        <v>11</v>
      </c>
      <c r="AH28" s="170">
        <f>(IF(SUM(AF28:AG28)&gt;=(DZ28-DZ27),(SUM(AF28:AG28)),(DZ28-DZ27)))</f>
        <v>267</v>
      </c>
      <c r="AI28" s="170">
        <f t="shared" si="35"/>
        <v>61</v>
      </c>
      <c r="AJ28" s="170">
        <f t="shared" si="36"/>
        <v>244</v>
      </c>
      <c r="AK28" s="170">
        <f t="shared" si="36"/>
        <v>22</v>
      </c>
      <c r="AL28" s="170">
        <f t="shared" si="37"/>
        <v>336</v>
      </c>
      <c r="AM28" s="170">
        <f t="shared" si="38"/>
        <v>70</v>
      </c>
      <c r="AN28" s="170">
        <f t="shared" si="39"/>
        <v>38</v>
      </c>
      <c r="AO28" s="170">
        <f t="shared" si="4"/>
        <v>78</v>
      </c>
      <c r="AP28" s="170">
        <f t="shared" si="40"/>
        <v>52</v>
      </c>
      <c r="AQ28" s="170">
        <f t="shared" si="5"/>
        <v>130</v>
      </c>
      <c r="AR28" s="170">
        <f>IF(ET28=0,"",(ET28-ET27)/1000)</f>
        <v>55.965000000000003</v>
      </c>
      <c r="AS28" s="170">
        <f>IF(AR28="","",(ES28-ES27)+((ET28-ET27)/1000)-AW28-AU28)</f>
        <v>-9.0349999999999682</v>
      </c>
      <c r="AT28" s="170">
        <f t="shared" si="43"/>
        <v>736.96500000000003</v>
      </c>
      <c r="AU28" s="170">
        <f t="shared" si="44"/>
        <v>271</v>
      </c>
      <c r="AV28" s="170">
        <f t="shared" si="67"/>
        <v>0</v>
      </c>
      <c r="AW28" s="170">
        <f t="shared" si="45"/>
        <v>475</v>
      </c>
      <c r="AX28" s="170">
        <f t="shared" si="68"/>
        <v>39</v>
      </c>
      <c r="AY28" s="170" t="str">
        <f t="shared" si="77"/>
        <v/>
      </c>
      <c r="AZ28" s="170">
        <f t="shared" si="46"/>
        <v>237</v>
      </c>
      <c r="BA28" s="170">
        <v>67</v>
      </c>
      <c r="BB28" s="170">
        <f t="shared" si="47"/>
        <v>121</v>
      </c>
      <c r="BC28" s="170">
        <f>IF(EY28=0,"",(EY28-EY27))</f>
        <v>3</v>
      </c>
      <c r="BD28" s="91">
        <f t="shared" si="48"/>
        <v>77</v>
      </c>
      <c r="BE28" s="90"/>
      <c r="BF28" s="90"/>
      <c r="BG28" s="170">
        <f t="shared" si="6"/>
        <v>361</v>
      </c>
      <c r="BH28" s="170">
        <f>BL28-FC28</f>
        <v>1046</v>
      </c>
      <c r="BI28" s="170">
        <f>IF(FC28=0,"",(FC28-BJ28))</f>
        <v>924.33500000000004</v>
      </c>
      <c r="BJ28" s="170">
        <f t="shared" si="7"/>
        <v>4125.665</v>
      </c>
      <c r="BK28" s="92"/>
      <c r="BL28" s="331">
        <f>FD28+FN28</f>
        <v>6096</v>
      </c>
      <c r="BM28" s="331">
        <f t="shared" si="52"/>
        <v>164041</v>
      </c>
      <c r="BN28" s="92"/>
      <c r="BO28" s="97">
        <f t="shared" si="53"/>
        <v>4.0675820839385174E-2</v>
      </c>
      <c r="BP28" s="97">
        <f t="shared" si="53"/>
        <v>4.9022287972661616E-2</v>
      </c>
      <c r="BQ28" s="97">
        <f t="shared" si="54"/>
        <v>0.19825500728599038</v>
      </c>
      <c r="BR28" s="97">
        <f t="shared" si="69"/>
        <v>0.65134139084366138</v>
      </c>
      <c r="BS28" s="97">
        <f t="shared" si="79"/>
        <v>1.8964441144596465E-2</v>
      </c>
      <c r="BT28" s="97">
        <f t="shared" si="79"/>
        <v>7.4589946785989444E-2</v>
      </c>
      <c r="BU28" s="97">
        <f t="shared" si="79"/>
        <v>0.93961146138979768</v>
      </c>
      <c r="BV28" s="97">
        <f t="shared" si="9"/>
        <v>3.3629339213838205E-2</v>
      </c>
      <c r="BW28" s="97">
        <f t="shared" si="9"/>
        <v>4.0529904922651752E-2</v>
      </c>
      <c r="BX28" s="97">
        <f t="shared" si="9"/>
        <v>0.16391027281757761</v>
      </c>
      <c r="BY28" s="97">
        <f t="shared" si="55"/>
        <v>0.53850617208652596</v>
      </c>
      <c r="BZ28" s="97">
        <f t="shared" si="10"/>
        <v>0.77683773583966254</v>
      </c>
      <c r="CA28" s="504" t="e">
        <f>#REF!</f>
        <v>#REF!</v>
      </c>
      <c r="CB28" s="97">
        <f t="shared" si="11"/>
        <v>2.4442415183148766E-2</v>
      </c>
      <c r="CC28" s="97">
        <f t="shared" si="11"/>
        <v>-3.9459880493120398E-3</v>
      </c>
      <c r="CD28" s="97">
        <f t="shared" si="12"/>
        <v>7.0546930631813859E-2</v>
      </c>
      <c r="CE28" s="97">
        <f t="shared" si="12"/>
        <v>-1.1389109590966423E-2</v>
      </c>
      <c r="CF28" s="97">
        <f>IF($D28&lt;&gt;0,IF($D28&lt;&gt;0,AB28/$D28*10,0),"0,00")</f>
        <v>0.45890065557236509</v>
      </c>
      <c r="CG28" s="97">
        <f t="shared" si="56"/>
        <v>6.0514372163388806E-2</v>
      </c>
      <c r="CH28" s="97">
        <f t="shared" si="57"/>
        <v>1.0060514372163389</v>
      </c>
      <c r="CI28" s="504" t="e">
        <f>#REF!</f>
        <v>#REF!</v>
      </c>
      <c r="CJ28" s="97">
        <f t="shared" si="58"/>
        <v>0.5078125</v>
      </c>
      <c r="CK28" s="97">
        <f t="shared" si="58"/>
        <v>2.8645833333333332E-2</v>
      </c>
      <c r="CL28" s="97">
        <f t="shared" si="70"/>
        <v>0.6953125</v>
      </c>
      <c r="CM28" s="97" t="e">
        <f>#REF!</f>
        <v>#REF!</v>
      </c>
      <c r="CN28" s="97">
        <f t="shared" si="59"/>
        <v>0.99255744629613341</v>
      </c>
      <c r="CO28" s="97">
        <f>IF($F28&lt;&gt;0,IF($F28&lt;&gt;0,AK28/$F28*10,0),"0,00")</f>
        <v>8.9492884502110404E-2</v>
      </c>
      <c r="CP28" s="97">
        <f t="shared" si="60"/>
        <v>1.3668004178504134</v>
      </c>
      <c r="CQ28" s="97" t="e">
        <f>#REF!</f>
        <v>#REF!</v>
      </c>
      <c r="CR28" s="97">
        <f t="shared" si="71"/>
        <v>6.9454014679654327E-2</v>
      </c>
      <c r="CS28" s="97">
        <f t="shared" si="71"/>
        <v>0.14256350381613256</v>
      </c>
      <c r="CT28" s="504" t="e">
        <f>#REF!</f>
        <v>#REF!</v>
      </c>
      <c r="CU28" s="97">
        <f t="shared" si="72"/>
        <v>0.16277351036413373</v>
      </c>
      <c r="CV28" s="97">
        <f t="shared" si="61"/>
        <v>0.40693377591033431</v>
      </c>
      <c r="CW28" s="504" t="e">
        <f>#REF!</f>
        <v>#REF!</v>
      </c>
      <c r="CX28" s="97">
        <f t="shared" si="62"/>
        <v>0.11835780424610587</v>
      </c>
      <c r="CY28" s="97">
        <f t="shared" si="62"/>
        <v>0</v>
      </c>
      <c r="CZ28" s="97">
        <f t="shared" si="62"/>
        <v>0.20745371592952139</v>
      </c>
      <c r="DA28" s="97">
        <f t="shared" si="62"/>
        <v>1.7033041939476492E-2</v>
      </c>
      <c r="DB28" s="97">
        <f t="shared" si="13"/>
        <v>0.10350848563220329</v>
      </c>
      <c r="DC28" s="97">
        <f t="shared" si="14"/>
        <v>5.28461044788886E-2</v>
      </c>
      <c r="DD28" s="97">
        <f t="shared" si="14"/>
        <v>1.3102339953443456E-3</v>
      </c>
      <c r="DE28" s="97">
        <f t="shared" si="14"/>
        <v>3.3629339213838205E-2</v>
      </c>
      <c r="DF28" s="97">
        <f t="shared" si="14"/>
        <v>0</v>
      </c>
      <c r="DG28" s="97">
        <f t="shared" si="14"/>
        <v>0</v>
      </c>
      <c r="DH28" s="97">
        <f t="shared" si="14"/>
        <v>0.15766482410643626</v>
      </c>
      <c r="DI28" s="504" t="e">
        <f>#REF!</f>
        <v>#REF!</v>
      </c>
      <c r="DJ28" s="97">
        <f t="shared" si="63"/>
        <v>0.45683491971006179</v>
      </c>
      <c r="DK28" s="504" t="e">
        <f>#REF!</f>
        <v>#REF!</v>
      </c>
      <c r="DL28" s="97">
        <f t="shared" si="15"/>
        <v>0.40369838002887187</v>
      </c>
      <c r="DM28" s="504">
        <f t="shared" si="16"/>
        <v>0</v>
      </c>
      <c r="DN28" s="97">
        <f t="shared" si="17"/>
        <v>1.8018621788007763</v>
      </c>
      <c r="DO28" s="100">
        <v>3.4</v>
      </c>
      <c r="DP28" s="97">
        <f t="shared" si="18"/>
        <v>2.6623954785397101</v>
      </c>
      <c r="DQ28" s="97">
        <f>IF($P28&lt;&gt;0,IF($P28&lt;&gt;0,BM28/$P28*10,0)," ")</f>
        <v>3.4444213044650311</v>
      </c>
      <c r="DR28" s="101" t="str">
        <f t="shared" si="19"/>
        <v>3,315, hL/NhL</v>
      </c>
      <c r="DS28" s="173"/>
      <c r="DT28" s="103">
        <v>23</v>
      </c>
      <c r="DU28" s="120">
        <v>620772</v>
      </c>
      <c r="DV28" s="120">
        <v>25370</v>
      </c>
      <c r="DW28" s="120">
        <v>5120395</v>
      </c>
      <c r="DX28" s="120">
        <v>112924</v>
      </c>
      <c r="DY28" s="120">
        <v>83571</v>
      </c>
      <c r="DZ28" s="120">
        <v>384374</v>
      </c>
      <c r="EA28" s="120">
        <v>225871</v>
      </c>
      <c r="EB28" s="120">
        <v>52727</v>
      </c>
      <c r="EC28" s="120">
        <v>395536</v>
      </c>
      <c r="ED28" s="120">
        <v>46192</v>
      </c>
      <c r="EE28" s="120">
        <v>37860</v>
      </c>
      <c r="EF28" s="120">
        <v>40470</v>
      </c>
      <c r="EG28" s="120">
        <v>90867</v>
      </c>
      <c r="EH28" s="120">
        <v>179232</v>
      </c>
      <c r="EI28" s="120">
        <v>30937</v>
      </c>
      <c r="EJ28" s="120">
        <v>39728</v>
      </c>
      <c r="EK28" s="120"/>
      <c r="EL28" s="120">
        <v>692422</v>
      </c>
      <c r="EM28" s="120">
        <v>3753</v>
      </c>
      <c r="EN28" s="120">
        <v>42552</v>
      </c>
      <c r="EO28" s="120">
        <v>2958351</v>
      </c>
      <c r="EP28" s="120">
        <v>2739033</v>
      </c>
      <c r="EQ28" s="120">
        <v>359</v>
      </c>
      <c r="ER28" s="120">
        <v>1412</v>
      </c>
      <c r="ES28" s="120">
        <v>332744</v>
      </c>
      <c r="ET28" s="120">
        <v>7382170</v>
      </c>
      <c r="EU28" s="120">
        <v>408474</v>
      </c>
      <c r="EV28" s="120">
        <v>128614</v>
      </c>
      <c r="EW28" s="120">
        <v>96678</v>
      </c>
      <c r="EX28" s="120">
        <v>204993</v>
      </c>
      <c r="EY28" s="120">
        <v>1615052</v>
      </c>
      <c r="EZ28" s="120">
        <v>753564</v>
      </c>
      <c r="FA28" s="151">
        <v>738452</v>
      </c>
      <c r="FB28" s="150">
        <v>30034</v>
      </c>
      <c r="FC28" s="177">
        <v>5050</v>
      </c>
      <c r="FD28" s="104">
        <f t="shared" si="80"/>
        <v>4952</v>
      </c>
      <c r="FE28" s="105">
        <f t="shared" si="81"/>
        <v>0</v>
      </c>
      <c r="FF28" s="105">
        <f t="shared" si="81"/>
        <v>0</v>
      </c>
      <c r="FG28" s="105">
        <f t="shared" si="81"/>
        <v>1955</v>
      </c>
      <c r="FH28" s="105">
        <f t="shared" si="81"/>
        <v>1291</v>
      </c>
      <c r="FI28" s="105">
        <f t="shared" si="81"/>
        <v>418</v>
      </c>
      <c r="FJ28" s="105">
        <f t="shared" si="81"/>
        <v>734</v>
      </c>
      <c r="FK28" s="105">
        <f t="shared" si="81"/>
        <v>0</v>
      </c>
      <c r="FL28" s="105">
        <f>FL61-FL60</f>
        <v>554</v>
      </c>
      <c r="FM28" s="105">
        <f t="shared" si="81"/>
        <v>0</v>
      </c>
      <c r="FN28" s="80">
        <f>IF(FO28="",0,(FO28-FO27))</f>
        <v>1144</v>
      </c>
      <c r="FO28" s="333">
        <v>1008265</v>
      </c>
      <c r="FP28" s="162"/>
      <c r="FR28" s="64"/>
      <c r="FS28" s="64"/>
      <c r="FT28" s="64"/>
      <c r="FU28" s="64"/>
      <c r="FV28" s="64"/>
      <c r="FW28" s="64"/>
      <c r="FX28" s="64"/>
      <c r="FY28" s="64">
        <v>23</v>
      </c>
      <c r="FZ28" s="107"/>
      <c r="GA28" s="107"/>
      <c r="GB28" s="107"/>
      <c r="GC28" s="109"/>
      <c r="GD28" s="110"/>
      <c r="GE28" s="110"/>
      <c r="GF28" s="111"/>
      <c r="GG28" s="111"/>
      <c r="GH28" s="111"/>
      <c r="GI28" s="112"/>
      <c r="GJ28" s="111" t="e">
        <f t="shared" si="65"/>
        <v>#DIV/0!</v>
      </c>
      <c r="GK28" s="118"/>
    </row>
    <row r="29" spans="1:193" ht="15" customHeight="1">
      <c r="B29" s="573">
        <v>42879</v>
      </c>
      <c r="D29" s="85">
        <v>1786.44</v>
      </c>
      <c r="E29" s="85">
        <v>4279.32</v>
      </c>
      <c r="F29" s="85">
        <v>2467.5839999999998</v>
      </c>
      <c r="G29" s="85">
        <v>4035.1570000000002</v>
      </c>
      <c r="H29" s="85">
        <v>4796.5609999999997</v>
      </c>
      <c r="I29" s="85">
        <v>2499.79</v>
      </c>
      <c r="J29" s="85">
        <v>4038.84</v>
      </c>
      <c r="K29" s="167"/>
      <c r="L29" s="167"/>
      <c r="M29" s="115">
        <f t="shared" si="22"/>
        <v>6538.63</v>
      </c>
      <c r="N29" s="88">
        <f t="shared" si="0"/>
        <v>17365.061999999998</v>
      </c>
      <c r="O29" s="88">
        <f t="shared" si="66"/>
        <v>20634.376999999997</v>
      </c>
      <c r="P29" s="89">
        <f t="shared" si="23"/>
        <v>496885.641</v>
      </c>
      <c r="R29" s="170">
        <f t="shared" si="24"/>
        <v>225</v>
      </c>
      <c r="S29" s="170">
        <f t="shared" si="25"/>
        <v>107.2</v>
      </c>
      <c r="T29" s="170">
        <f t="shared" si="1"/>
        <v>746.3</v>
      </c>
      <c r="U29" s="91">
        <f t="shared" si="76"/>
        <v>4.9000000000000004</v>
      </c>
      <c r="V29" s="90">
        <f t="shared" si="26"/>
        <v>1482</v>
      </c>
      <c r="W29" s="91">
        <f t="shared" si="2"/>
        <v>131.6</v>
      </c>
      <c r="X29" s="170">
        <f t="shared" si="27"/>
        <v>1482</v>
      </c>
      <c r="Y29" s="170">
        <f t="shared" si="28"/>
        <v>102</v>
      </c>
      <c r="Z29" s="170">
        <f t="shared" si="3"/>
        <v>152.1</v>
      </c>
      <c r="AA29" s="170">
        <f t="shared" si="29"/>
        <v>2565.4</v>
      </c>
      <c r="AB29" s="170">
        <f t="shared" si="30"/>
        <v>80</v>
      </c>
      <c r="AC29" s="170">
        <f t="shared" si="30"/>
        <v>63</v>
      </c>
      <c r="AD29" s="170">
        <f t="shared" si="31"/>
        <v>283</v>
      </c>
      <c r="AE29" s="170">
        <f t="shared" si="32"/>
        <v>140</v>
      </c>
      <c r="AF29" s="170">
        <f t="shared" si="33"/>
        <v>181</v>
      </c>
      <c r="AG29" s="170">
        <f t="shared" si="33"/>
        <v>11</v>
      </c>
      <c r="AH29" s="170">
        <f t="shared" si="34"/>
        <v>281</v>
      </c>
      <c r="AI29" s="170">
        <f t="shared" si="35"/>
        <v>89</v>
      </c>
      <c r="AJ29" s="170">
        <f t="shared" si="36"/>
        <v>235</v>
      </c>
      <c r="AK29" s="170">
        <f t="shared" si="36"/>
        <v>8</v>
      </c>
      <c r="AL29" s="170">
        <f t="shared" si="37"/>
        <v>336</v>
      </c>
      <c r="AM29" s="170">
        <f t="shared" si="38"/>
        <v>93</v>
      </c>
      <c r="AN29" s="170">
        <f t="shared" si="39"/>
        <v>18</v>
      </c>
      <c r="AO29" s="170">
        <f t="shared" si="4"/>
        <v>58</v>
      </c>
      <c r="AP29" s="170">
        <f>IF(EG29=0,"",(EG29-EG28))</f>
        <v>36.69999999999709</v>
      </c>
      <c r="AQ29" s="170">
        <f>IF(AP29=0.1,0,(IF(AP29&gt;=(EH29-EH28),(AP29),(EH29-EH28))))</f>
        <v>47</v>
      </c>
      <c r="AR29" s="170">
        <f t="shared" si="41"/>
        <v>72.302000000000007</v>
      </c>
      <c r="AS29" s="170">
        <f t="shared" si="42"/>
        <v>125.30200000000002</v>
      </c>
      <c r="AT29" s="170">
        <f t="shared" si="43"/>
        <v>906.30200000000002</v>
      </c>
      <c r="AU29" s="170">
        <f t="shared" si="44"/>
        <v>280</v>
      </c>
      <c r="AV29" s="170">
        <f t="shared" si="67"/>
        <v>0</v>
      </c>
      <c r="AW29" s="170">
        <f t="shared" si="45"/>
        <v>501</v>
      </c>
      <c r="AX29" s="170">
        <f t="shared" si="68"/>
        <v>30</v>
      </c>
      <c r="AY29" s="170" t="str">
        <f t="shared" si="77"/>
        <v/>
      </c>
      <c r="AZ29" s="170">
        <f t="shared" si="46"/>
        <v>340</v>
      </c>
      <c r="BA29" s="170">
        <v>75</v>
      </c>
      <c r="BB29" s="170">
        <f t="shared" si="47"/>
        <v>108</v>
      </c>
      <c r="BC29" s="170">
        <f t="shared" si="47"/>
        <v>804</v>
      </c>
      <c r="BD29" s="91">
        <f t="shared" si="48"/>
        <v>101</v>
      </c>
      <c r="BE29" s="90"/>
      <c r="BF29" s="90"/>
      <c r="BG29" s="170">
        <f t="shared" si="6"/>
        <v>1252</v>
      </c>
      <c r="BH29" s="170">
        <f>BL29-FC29</f>
        <v>280</v>
      </c>
      <c r="BI29" s="170">
        <f t="shared" si="50"/>
        <v>828.29800000000068</v>
      </c>
      <c r="BJ29" s="170">
        <f t="shared" si="7"/>
        <v>5758.7019999999993</v>
      </c>
      <c r="BK29" s="92"/>
      <c r="BL29" s="331">
        <f>FD29+FN29</f>
        <v>6867</v>
      </c>
      <c r="BM29" s="331">
        <f t="shared" si="52"/>
        <v>170908</v>
      </c>
      <c r="BN29" s="92"/>
      <c r="BO29" s="97">
        <f t="shared" si="53"/>
        <v>0.12957051348276213</v>
      </c>
      <c r="BP29" s="97">
        <f t="shared" si="53"/>
        <v>6.1733151312676003E-2</v>
      </c>
      <c r="BQ29" s="97">
        <f t="shared" si="54"/>
        <v>0.42977099649860162</v>
      </c>
      <c r="BR29" s="97">
        <f t="shared" si="69"/>
        <v>0.85343778213979316</v>
      </c>
      <c r="BS29" s="97">
        <f t="shared" si="79"/>
        <v>5.8738632778852162E-2</v>
      </c>
      <c r="BT29" s="97">
        <f t="shared" si="79"/>
        <v>8.7589667114347208E-2</v>
      </c>
      <c r="BU29" s="97">
        <f t="shared" si="79"/>
        <v>1.4773342012830133</v>
      </c>
      <c r="BV29" s="97">
        <f t="shared" si="9"/>
        <v>0.10904133427435198</v>
      </c>
      <c r="BW29" s="97">
        <f t="shared" si="9"/>
        <v>5.1952137929824588E-2</v>
      </c>
      <c r="BX29" s="97">
        <f t="shared" si="9"/>
        <v>0.3616779900842173</v>
      </c>
      <c r="BY29" s="97">
        <f t="shared" si="55"/>
        <v>0.7182189217537317</v>
      </c>
      <c r="BZ29" s="97">
        <f t="shared" si="10"/>
        <v>1.243265061988545</v>
      </c>
      <c r="CA29" s="504" t="e">
        <f>#REF!</f>
        <v>#REF!</v>
      </c>
      <c r="CB29" s="97">
        <f t="shared" si="11"/>
        <v>3.5039584669796432E-2</v>
      </c>
      <c r="CC29" s="97">
        <f t="shared" si="11"/>
        <v>6.0724876743310466E-2</v>
      </c>
      <c r="CD29" s="97">
        <f t="shared" si="12"/>
        <v>0.11057668043611583</v>
      </c>
      <c r="CE29" s="97">
        <f t="shared" si="12"/>
        <v>0.19163341556258731</v>
      </c>
      <c r="CF29" s="97">
        <f t="shared" si="56"/>
        <v>0.44781800676205186</v>
      </c>
      <c r="CG29" s="97">
        <f t="shared" si="56"/>
        <v>0.35265668032511582</v>
      </c>
      <c r="CH29" s="97">
        <f t="shared" si="57"/>
        <v>1.5841561989207587</v>
      </c>
      <c r="CI29" s="504" t="e">
        <f>#REF!</f>
        <v>#REF!</v>
      </c>
      <c r="CJ29" s="97">
        <f t="shared" si="58"/>
        <v>0.42296439621248239</v>
      </c>
      <c r="CK29" s="97">
        <f t="shared" si="58"/>
        <v>2.5705018554349757E-2</v>
      </c>
      <c r="CL29" s="97">
        <f t="shared" si="70"/>
        <v>0.6566463830702074</v>
      </c>
      <c r="CM29" s="97" t="e">
        <f>#REF!</f>
        <v>#REF!</v>
      </c>
      <c r="CN29" s="97">
        <f t="shared" si="59"/>
        <v>0.95234853200539482</v>
      </c>
      <c r="CO29" s="97">
        <f t="shared" si="59"/>
        <v>3.2420375557630464E-2</v>
      </c>
      <c r="CP29" s="97">
        <f t="shared" si="60"/>
        <v>1.3616557734204793</v>
      </c>
      <c r="CQ29" s="97" t="e">
        <f>#REF!</f>
        <v>#REF!</v>
      </c>
      <c r="CR29" s="97">
        <f t="shared" si="71"/>
        <v>4.4607929753414793E-2</v>
      </c>
      <c r="CS29" s="97">
        <f t="shared" si="71"/>
        <v>0.14373666253878101</v>
      </c>
      <c r="CT29" s="504" t="e">
        <f>#REF!</f>
        <v>#REF!</v>
      </c>
      <c r="CU29" s="97">
        <f>IF($H29&lt;&gt;0,IF($H29&lt;&gt;0,AP29/$H29*10,0),"0,00 ")</f>
        <v>7.6513151818557279E-2</v>
      </c>
      <c r="CV29" s="97">
        <f>IF($H29&lt;&gt;0,IF($H29&lt;&gt;0,AQ29/$H29*10,0),"0,00 ")</f>
        <v>9.7986870176361776E-2</v>
      </c>
      <c r="CW29" s="504" t="e">
        <f>#REF!</f>
        <v>#REF!</v>
      </c>
      <c r="CX29" s="97">
        <f t="shared" si="62"/>
        <v>0.13569588265252691</v>
      </c>
      <c r="CY29" s="97">
        <f t="shared" si="62"/>
        <v>0</v>
      </c>
      <c r="CZ29" s="97">
        <f t="shared" si="62"/>
        <v>0.2427987043175571</v>
      </c>
      <c r="DA29" s="97">
        <f t="shared" si="62"/>
        <v>1.4538844569913598E-2</v>
      </c>
      <c r="DB29" s="97">
        <f t="shared" si="13"/>
        <v>0.16477357179235413</v>
      </c>
      <c r="DC29" s="97">
        <f t="shared" si="14"/>
        <v>5.2339840451688949E-2</v>
      </c>
      <c r="DD29" s="97">
        <f t="shared" si="14"/>
        <v>0.38964103447368442</v>
      </c>
      <c r="DE29" s="97">
        <f t="shared" si="14"/>
        <v>4.8947443385375787E-2</v>
      </c>
      <c r="DF29" s="97">
        <f t="shared" si="14"/>
        <v>0</v>
      </c>
      <c r="DG29" s="97">
        <f t="shared" si="14"/>
        <v>0</v>
      </c>
      <c r="DH29" s="97">
        <f t="shared" si="14"/>
        <v>0.60675444671772749</v>
      </c>
      <c r="DI29" s="504" t="e">
        <f>#REF!</f>
        <v>#REF!</v>
      </c>
      <c r="DJ29" s="97">
        <f t="shared" si="63"/>
        <v>0.13569588265252691</v>
      </c>
      <c r="DK29" s="504" t="e">
        <f>#REF!</f>
        <v>#REF!</v>
      </c>
      <c r="DL29" s="97">
        <f>IF($O29&lt;&gt;0,BI29/$O29*10," ")</f>
        <v>0.40141652931901017</v>
      </c>
      <c r="DM29" s="504">
        <f t="shared" si="16"/>
        <v>0</v>
      </c>
      <c r="DN29" s="97">
        <f>IF($O29&lt;&gt;0,BJ29/$O29*10,"")</f>
        <v>2.7908291100816855</v>
      </c>
      <c r="DO29" s="100">
        <v>3.4</v>
      </c>
      <c r="DP29" s="97">
        <f t="shared" si="18"/>
        <v>3.3279415220532229</v>
      </c>
      <c r="DQ29" s="97">
        <f>IF($P29&lt;&gt;0,IF($P29&lt;&gt;0,BM29/$P29*10,0)," ")</f>
        <v>3.439584200019175</v>
      </c>
      <c r="DR29" s="101" t="str">
        <f t="shared" si="19"/>
        <v>3,315, hL/NhL</v>
      </c>
      <c r="DS29" s="178"/>
      <c r="DT29" s="103">
        <v>24</v>
      </c>
      <c r="DU29" s="120">
        <v>620852</v>
      </c>
      <c r="DV29" s="120">
        <v>25433</v>
      </c>
      <c r="DW29" s="120">
        <v>5120678</v>
      </c>
      <c r="DX29" s="120">
        <v>113105</v>
      </c>
      <c r="DY29" s="120">
        <v>83582</v>
      </c>
      <c r="DZ29" s="120">
        <v>384655</v>
      </c>
      <c r="EA29" s="120">
        <v>226106</v>
      </c>
      <c r="EB29" s="120">
        <v>52735</v>
      </c>
      <c r="EC29" s="120">
        <v>395872</v>
      </c>
      <c r="ED29" s="120">
        <v>46210</v>
      </c>
      <c r="EE29" s="120">
        <v>37882</v>
      </c>
      <c r="EF29" s="120">
        <v>40506</v>
      </c>
      <c r="EG29" s="121">
        <v>90903.7</v>
      </c>
      <c r="EH29" s="120">
        <v>179279</v>
      </c>
      <c r="EI29" s="120">
        <v>30937</v>
      </c>
      <c r="EJ29" s="120">
        <v>39758</v>
      </c>
      <c r="EK29" s="120"/>
      <c r="EL29" s="120">
        <v>692647</v>
      </c>
      <c r="EM29" s="120">
        <v>7463</v>
      </c>
      <c r="EN29" s="120">
        <v>42601</v>
      </c>
      <c r="EO29" s="120">
        <v>2959833</v>
      </c>
      <c r="EP29" s="120">
        <v>2740349</v>
      </c>
      <c r="EQ29" s="120">
        <v>1020</v>
      </c>
      <c r="ER29" s="120">
        <v>1521</v>
      </c>
      <c r="ES29" s="120">
        <v>333578</v>
      </c>
      <c r="ET29" s="120">
        <v>7454472</v>
      </c>
      <c r="EU29" s="120">
        <v>408975</v>
      </c>
      <c r="EV29" s="120">
        <v>128894</v>
      </c>
      <c r="EW29" s="120">
        <v>97018</v>
      </c>
      <c r="EX29" s="120">
        <v>205101</v>
      </c>
      <c r="EY29" s="120">
        <v>1615856</v>
      </c>
      <c r="EZ29" s="120">
        <v>754636</v>
      </c>
      <c r="FA29" s="151">
        <v>738553</v>
      </c>
      <c r="FB29" s="151">
        <v>30111</v>
      </c>
      <c r="FC29" s="149">
        <v>6587</v>
      </c>
      <c r="FD29" s="104">
        <f t="shared" si="80"/>
        <v>5490</v>
      </c>
      <c r="FE29" s="105">
        <f t="shared" si="81"/>
        <v>0</v>
      </c>
      <c r="FF29" s="105">
        <f t="shared" si="81"/>
        <v>0</v>
      </c>
      <c r="FG29" s="105">
        <f t="shared" si="81"/>
        <v>1973</v>
      </c>
      <c r="FH29" s="105">
        <f t="shared" si="81"/>
        <v>1059</v>
      </c>
      <c r="FI29" s="105">
        <f t="shared" si="81"/>
        <v>567</v>
      </c>
      <c r="FJ29" s="105">
        <f t="shared" si="81"/>
        <v>747</v>
      </c>
      <c r="FK29" s="105">
        <f t="shared" si="81"/>
        <v>0</v>
      </c>
      <c r="FL29" s="105">
        <f>FL62-FL61</f>
        <v>1144</v>
      </c>
      <c r="FM29" s="105">
        <f t="shared" si="81"/>
        <v>0</v>
      </c>
      <c r="FN29" s="80">
        <f>IF(FO29="",0,(FO29-FO28))</f>
        <v>1377</v>
      </c>
      <c r="FO29" s="104">
        <v>1009642</v>
      </c>
      <c r="FP29" s="81"/>
      <c r="FR29" s="64"/>
      <c r="FS29" s="64"/>
      <c r="FT29" s="64"/>
      <c r="FU29" s="64"/>
      <c r="FV29" s="64"/>
      <c r="FW29" s="64"/>
      <c r="FX29" s="64"/>
      <c r="FY29" s="64">
        <v>24</v>
      </c>
      <c r="FZ29" s="107"/>
      <c r="GA29" s="107"/>
      <c r="GB29" s="107"/>
      <c r="GC29" s="109"/>
      <c r="GD29" s="110"/>
      <c r="GE29" s="110"/>
      <c r="GF29" s="111"/>
      <c r="GG29" s="111"/>
      <c r="GH29" s="111"/>
      <c r="GI29" s="179"/>
      <c r="GJ29" s="111" t="e">
        <f t="shared" si="65"/>
        <v>#DIV/0!</v>
      </c>
      <c r="GK29" s="113"/>
    </row>
    <row r="30" spans="1:193" ht="15" customHeight="1">
      <c r="B30" s="573">
        <v>42880</v>
      </c>
      <c r="D30" s="85">
        <v>1483.68</v>
      </c>
      <c r="E30" s="85">
        <v>5352</v>
      </c>
      <c r="F30" s="85">
        <v>866.30399999999997</v>
      </c>
      <c r="G30" s="85">
        <v>6559.3990000000003</v>
      </c>
      <c r="H30" s="85">
        <v>5860.2430000000004</v>
      </c>
      <c r="I30" s="85">
        <v>1200.2819999999999</v>
      </c>
      <c r="J30" s="85">
        <v>5292.24</v>
      </c>
      <c r="K30" s="167"/>
      <c r="L30" s="167"/>
      <c r="M30" s="115">
        <f t="shared" si="22"/>
        <v>6492.5219999999999</v>
      </c>
      <c r="N30" s="88">
        <f t="shared" si="0"/>
        <v>20121.626000000004</v>
      </c>
      <c r="O30" s="88">
        <f t="shared" si="66"/>
        <v>23367.887000000002</v>
      </c>
      <c r="P30" s="89">
        <f t="shared" si="23"/>
        <v>520253.52799999999</v>
      </c>
      <c r="R30" s="170">
        <f t="shared" si="24"/>
        <v>299</v>
      </c>
      <c r="S30" s="170">
        <f>IF(EZ30=0,"",((EZ30-EZ29)/10))</f>
        <v>68.8</v>
      </c>
      <c r="T30" s="170">
        <f t="shared" si="1"/>
        <v>454.6</v>
      </c>
      <c r="U30" s="91">
        <f t="shared" si="76"/>
        <v>5.6</v>
      </c>
      <c r="V30" s="90">
        <f t="shared" si="26"/>
        <v>1592</v>
      </c>
      <c r="W30" s="91">
        <f>IF(EP30=0,"",(EP30-EP29)/10)</f>
        <v>-2558.8000000000002</v>
      </c>
      <c r="X30" s="170">
        <f t="shared" si="27"/>
        <v>1592</v>
      </c>
      <c r="Y30" s="170" t="str">
        <f>IF(EQ30=0,"0",(EQ30/10))</f>
        <v>0</v>
      </c>
      <c r="Z30" s="170">
        <f t="shared" si="3"/>
        <v>151.6</v>
      </c>
      <c r="AA30" s="170">
        <f>IF(SUM(R30:V30)=0,"",SUM(R30:V30))</f>
        <v>2420</v>
      </c>
      <c r="AB30" s="170">
        <f t="shared" si="30"/>
        <v>45</v>
      </c>
      <c r="AC30" s="170">
        <f t="shared" si="30"/>
        <v>19</v>
      </c>
      <c r="AD30" s="170">
        <f t="shared" si="31"/>
        <v>100</v>
      </c>
      <c r="AE30" s="170">
        <f t="shared" si="32"/>
        <v>36</v>
      </c>
      <c r="AF30" s="170">
        <f t="shared" si="33"/>
        <v>191</v>
      </c>
      <c r="AG30" s="170">
        <f t="shared" si="33"/>
        <v>49</v>
      </c>
      <c r="AH30" s="170">
        <f t="shared" si="34"/>
        <v>369</v>
      </c>
      <c r="AI30" s="170">
        <f t="shared" si="35"/>
        <v>129</v>
      </c>
      <c r="AJ30" s="170">
        <f>IF(EA30=0,"",(EA30-EA29))</f>
        <v>110</v>
      </c>
      <c r="AK30" s="170">
        <f>IF(EB30=0,"",(EB30-EB29))</f>
        <v>22</v>
      </c>
      <c r="AL30" s="170">
        <f t="shared" si="37"/>
        <v>246</v>
      </c>
      <c r="AM30" s="170">
        <f>IF(AJ30="","",(AL30-AK30-AJ30))</f>
        <v>114</v>
      </c>
      <c r="AN30" s="170">
        <f t="shared" si="39"/>
        <v>48</v>
      </c>
      <c r="AO30" s="170">
        <f>IF(AN30="","",(EE30-EE29)+(EF30-EF29))</f>
        <v>100</v>
      </c>
      <c r="AP30" s="170">
        <f t="shared" si="40"/>
        <v>102.30000000000291</v>
      </c>
      <c r="AQ30" s="170">
        <f>IF(AP30=0.1,0,(IF(AP30&gt;=(EH30-EH29),(AP30),(EH30-EH29))))</f>
        <v>120</v>
      </c>
      <c r="AR30" s="170">
        <f t="shared" si="41"/>
        <v>70.131</v>
      </c>
      <c r="AS30" s="170">
        <f t="shared" si="42"/>
        <v>57.130999999999972</v>
      </c>
      <c r="AT30" s="170">
        <f t="shared" si="43"/>
        <v>689.13099999999997</v>
      </c>
      <c r="AU30" s="170">
        <f t="shared" si="44"/>
        <v>245</v>
      </c>
      <c r="AV30" s="170">
        <f t="shared" si="67"/>
        <v>0</v>
      </c>
      <c r="AW30" s="170">
        <f t="shared" si="45"/>
        <v>387</v>
      </c>
      <c r="AX30" s="170">
        <f t="shared" si="68"/>
        <v>75</v>
      </c>
      <c r="AY30" s="170" t="str">
        <f t="shared" si="77"/>
        <v/>
      </c>
      <c r="AZ30" s="170">
        <f t="shared" si="46"/>
        <v>393</v>
      </c>
      <c r="BA30" s="170">
        <v>38</v>
      </c>
      <c r="BB30" s="170">
        <f t="shared" si="47"/>
        <v>153</v>
      </c>
      <c r="BC30" s="170">
        <f t="shared" si="47"/>
        <v>1017</v>
      </c>
      <c r="BD30" s="91">
        <f t="shared" si="48"/>
        <v>351</v>
      </c>
      <c r="BE30" s="90"/>
      <c r="BF30" s="90"/>
      <c r="BG30" s="170">
        <f t="shared" ref="BG30:BG36" si="82">IFERROR(SUM(BB30:BC30)+AZ30,"")</f>
        <v>1563</v>
      </c>
      <c r="BH30" s="170">
        <f>BL30-FC30</f>
        <v>461</v>
      </c>
      <c r="BI30" s="170">
        <f>IF(FC30=0,"",(FC30-BJ30))</f>
        <v>1801.8689999999997</v>
      </c>
      <c r="BJ30" s="170">
        <f t="shared" si="7"/>
        <v>5682.1310000000003</v>
      </c>
      <c r="BK30" s="92"/>
      <c r="BL30" s="331">
        <f>FD30+FN30</f>
        <v>7945</v>
      </c>
      <c r="BM30" s="331">
        <f t="shared" si="52"/>
        <v>178853</v>
      </c>
      <c r="BN30" s="92"/>
      <c r="BO30" s="97">
        <f>IF($N30&lt;&gt;0,IF($N30&lt;&gt;0,R30/$N30*10,0)," ")</f>
        <v>0.14859634107104464</v>
      </c>
      <c r="BP30" s="97">
        <f t="shared" si="53"/>
        <v>3.41920677782203E-2</v>
      </c>
      <c r="BQ30" s="97">
        <f t="shared" si="54"/>
        <v>0.22592607575550799</v>
      </c>
      <c r="BR30" s="97">
        <f t="shared" si="69"/>
        <v>0.79118854510067904</v>
      </c>
      <c r="BS30" s="97">
        <f t="shared" si="79"/>
        <v>0</v>
      </c>
      <c r="BT30" s="97">
        <f t="shared" si="79"/>
        <v>7.5341823767124963E-2</v>
      </c>
      <c r="BU30" s="97">
        <f t="shared" si="79"/>
        <v>1.2026861049897257</v>
      </c>
      <c r="BV30" s="97">
        <f>IF($O30&lt;&gt;0,IF($O30&lt;&gt;0,R30/$O30*10,0)," ")</f>
        <v>0.12795337464615436</v>
      </c>
      <c r="BW30" s="97">
        <f t="shared" si="9"/>
        <v>2.9442114299850896E-2</v>
      </c>
      <c r="BX30" s="97">
        <f t="shared" si="9"/>
        <v>0.1945404819870962</v>
      </c>
      <c r="BY30" s="97">
        <f t="shared" si="55"/>
        <v>0.68127683089189872</v>
      </c>
      <c r="BZ30" s="97">
        <f t="shared" si="10"/>
        <v>1.0356092529889416</v>
      </c>
      <c r="CA30" s="504" t="e">
        <f>#REF!</f>
        <v>#REF!</v>
      </c>
      <c r="CB30" s="97">
        <f t="shared" si="11"/>
        <v>3.0011699388994818E-2</v>
      </c>
      <c r="CC30" s="97">
        <f t="shared" si="11"/>
        <v>2.4448509186988095E-2</v>
      </c>
      <c r="CD30" s="97">
        <f t="shared" si="12"/>
        <v>0.10801811684273076</v>
      </c>
      <c r="CE30" s="97">
        <f t="shared" si="12"/>
        <v>8.7995081110237239E-2</v>
      </c>
      <c r="CF30" s="97">
        <f t="shared" si="56"/>
        <v>0.30329990294403103</v>
      </c>
      <c r="CG30" s="97">
        <f t="shared" si="56"/>
        <v>0.1280599590208131</v>
      </c>
      <c r="CH30" s="97">
        <f t="shared" si="57"/>
        <v>0.67399978432006902</v>
      </c>
      <c r="CI30" s="504" t="e">
        <f>#REF!</f>
        <v>#REF!</v>
      </c>
      <c r="CJ30" s="97">
        <f>IF($E30&lt;&gt;0,IF($E30&lt;&gt;0,AF30/$E30*10,0),"0,00")</f>
        <v>0.35687593423019426</v>
      </c>
      <c r="CK30" s="97">
        <f t="shared" si="58"/>
        <v>9.1554559043348277E-2</v>
      </c>
      <c r="CL30" s="97">
        <f t="shared" si="70"/>
        <v>0.6894618834080718</v>
      </c>
      <c r="CM30" s="97" t="e">
        <f>#REF!</f>
        <v>#REF!</v>
      </c>
      <c r="CN30" s="97">
        <f t="shared" si="59"/>
        <v>1.2697621158392436</v>
      </c>
      <c r="CO30" s="97">
        <f>IF($F30&lt;&gt;0,IF($F30&lt;&gt;0,AK30/$F30*10,0),"0,00")</f>
        <v>0.25395242316784872</v>
      </c>
      <c r="CP30" s="97">
        <f t="shared" si="60"/>
        <v>2.8396498226950357</v>
      </c>
      <c r="CQ30" s="97" t="e">
        <f>#REF!</f>
        <v>#REF!</v>
      </c>
      <c r="CR30" s="97">
        <f t="shared" si="71"/>
        <v>7.3177435920577474E-2</v>
      </c>
      <c r="CS30" s="97">
        <f t="shared" si="71"/>
        <v>0.15245299150120306</v>
      </c>
      <c r="CT30" s="504" t="e">
        <f>#REF!</f>
        <v>#REF!</v>
      </c>
      <c r="CU30" s="97">
        <f t="shared" si="72"/>
        <v>0.17456614000477949</v>
      </c>
      <c r="CV30" s="97">
        <f t="shared" si="61"/>
        <v>0.20476966569475019</v>
      </c>
      <c r="CW30" s="504" t="e">
        <f>#REF!</f>
        <v>#REF!</v>
      </c>
      <c r="CX30" s="97">
        <f t="shared" si="62"/>
        <v>0.10484473842243416</v>
      </c>
      <c r="CY30" s="97">
        <f t="shared" si="62"/>
        <v>0</v>
      </c>
      <c r="CZ30" s="97">
        <f t="shared" si="62"/>
        <v>0.16561189293666129</v>
      </c>
      <c r="DA30" s="97">
        <f t="shared" si="62"/>
        <v>3.2095328088500255E-2</v>
      </c>
      <c r="DB30" s="97">
        <f t="shared" si="13"/>
        <v>0.1681795191837413</v>
      </c>
      <c r="DC30" s="97">
        <f t="shared" si="14"/>
        <v>6.5474469300540517E-2</v>
      </c>
      <c r="DD30" s="97">
        <f t="shared" si="14"/>
        <v>0.43521264888006345</v>
      </c>
      <c r="DE30" s="97">
        <f t="shared" si="14"/>
        <v>0.15020613545418118</v>
      </c>
      <c r="DF30" s="97">
        <f t="shared" si="14"/>
        <v>0</v>
      </c>
      <c r="DG30" s="97">
        <f t="shared" si="14"/>
        <v>0</v>
      </c>
      <c r="DH30" s="97">
        <f t="shared" si="14"/>
        <v>0.66886663736434526</v>
      </c>
      <c r="DI30" s="504" t="e">
        <f>#REF!</f>
        <v>#REF!</v>
      </c>
      <c r="DJ30" s="97">
        <f t="shared" si="63"/>
        <v>0.19727928331731487</v>
      </c>
      <c r="DK30" s="504" t="e">
        <f>#REF!</f>
        <v>#REF!</v>
      </c>
      <c r="DL30" s="97">
        <f t="shared" si="15"/>
        <v>0.77108768969997132</v>
      </c>
      <c r="DM30" s="504">
        <f t="shared" si="16"/>
        <v>0</v>
      </c>
      <c r="DN30" s="97">
        <f t="shared" si="17"/>
        <v>2.4315981158245075</v>
      </c>
      <c r="DO30" s="100">
        <v>3.4</v>
      </c>
      <c r="DP30" s="97">
        <f t="shared" si="18"/>
        <v>3.3999650888417938</v>
      </c>
      <c r="DQ30" s="97">
        <f>IF($P30&lt;&gt;0,IF($P30&lt;&gt;0,BM30/$P30*10,0)," ")</f>
        <v>3.4378046543492156</v>
      </c>
      <c r="DR30" s="101" t="str">
        <f t="shared" si="19"/>
        <v>3,315, hL/NhL</v>
      </c>
      <c r="DT30" s="103">
        <v>25</v>
      </c>
      <c r="DU30" s="120">
        <v>620897</v>
      </c>
      <c r="DV30" s="120">
        <v>25452</v>
      </c>
      <c r="DW30" s="120">
        <v>5120778</v>
      </c>
      <c r="DX30" s="120">
        <v>113296</v>
      </c>
      <c r="DY30" s="120">
        <v>83631</v>
      </c>
      <c r="DZ30" s="120">
        <v>385024</v>
      </c>
      <c r="EA30" s="120">
        <v>226216</v>
      </c>
      <c r="EB30" s="120">
        <v>52757</v>
      </c>
      <c r="EC30" s="120">
        <v>396118</v>
      </c>
      <c r="ED30" s="120">
        <v>46258</v>
      </c>
      <c r="EE30" s="120">
        <v>37904</v>
      </c>
      <c r="EF30" s="120">
        <v>40584</v>
      </c>
      <c r="EG30" s="120">
        <v>91006</v>
      </c>
      <c r="EH30" s="120">
        <v>179399</v>
      </c>
      <c r="EI30" s="120">
        <v>30937</v>
      </c>
      <c r="EJ30" s="120">
        <v>39833</v>
      </c>
      <c r="EK30" s="120"/>
      <c r="EL30" s="120">
        <v>692946</v>
      </c>
      <c r="EM30" s="120">
        <v>4546</v>
      </c>
      <c r="EN30" s="120">
        <v>42657</v>
      </c>
      <c r="EO30" s="120">
        <v>2961425</v>
      </c>
      <c r="EP30" s="120">
        <v>2714761</v>
      </c>
      <c r="EQ30" s="120">
        <v>0</v>
      </c>
      <c r="ER30" s="120">
        <v>1516</v>
      </c>
      <c r="ES30" s="120">
        <v>334197</v>
      </c>
      <c r="ET30" s="120">
        <v>7524603</v>
      </c>
      <c r="EU30" s="120">
        <v>409362</v>
      </c>
      <c r="EV30" s="120">
        <v>129139</v>
      </c>
      <c r="EW30" s="120">
        <v>97411</v>
      </c>
      <c r="EX30" s="120">
        <v>205254</v>
      </c>
      <c r="EY30" s="120">
        <v>1616873</v>
      </c>
      <c r="EZ30" s="120">
        <v>755324</v>
      </c>
      <c r="FA30" s="149">
        <v>738904</v>
      </c>
      <c r="FB30" s="151">
        <v>30152</v>
      </c>
      <c r="FC30" s="127">
        <v>7484</v>
      </c>
      <c r="FD30" s="104">
        <f t="shared" si="80"/>
        <v>6386</v>
      </c>
      <c r="FE30" s="105">
        <f t="shared" si="81"/>
        <v>0</v>
      </c>
      <c r="FF30" s="105">
        <f t="shared" si="81"/>
        <v>0</v>
      </c>
      <c r="FG30" s="105">
        <f t="shared" si="81"/>
        <v>2528</v>
      </c>
      <c r="FH30" s="105">
        <f t="shared" si="81"/>
        <v>1142</v>
      </c>
      <c r="FI30" s="105">
        <f t="shared" si="81"/>
        <v>628</v>
      </c>
      <c r="FJ30" s="105">
        <f t="shared" si="81"/>
        <v>952</v>
      </c>
      <c r="FK30" s="105">
        <f t="shared" si="81"/>
        <v>0</v>
      </c>
      <c r="FL30" s="105">
        <f t="shared" si="81"/>
        <v>1136</v>
      </c>
      <c r="FM30" s="105">
        <f t="shared" si="81"/>
        <v>0</v>
      </c>
      <c r="FN30" s="80">
        <f t="shared" si="74"/>
        <v>1559</v>
      </c>
      <c r="FO30" s="104">
        <v>1011201</v>
      </c>
      <c r="FP30" s="81"/>
      <c r="FR30" s="64"/>
      <c r="FS30" s="64"/>
      <c r="FT30" s="64"/>
      <c r="FU30" s="64"/>
      <c r="FV30" s="64"/>
      <c r="FW30" s="64"/>
      <c r="FX30" s="64"/>
      <c r="FY30" s="64">
        <v>25</v>
      </c>
      <c r="FZ30" s="107"/>
      <c r="GA30" s="107"/>
      <c r="GB30" s="180"/>
      <c r="GC30" s="109"/>
      <c r="GD30" s="110"/>
      <c r="GE30" s="110"/>
      <c r="GF30" s="111"/>
      <c r="GG30" s="111"/>
      <c r="GH30" s="111"/>
      <c r="GI30" s="164"/>
      <c r="GJ30" s="111" t="e">
        <f t="shared" si="65"/>
        <v>#DIV/0!</v>
      </c>
    </row>
    <row r="31" spans="1:193" ht="15" customHeight="1">
      <c r="B31" s="573">
        <v>42881</v>
      </c>
      <c r="D31" s="85"/>
      <c r="E31" s="85">
        <v>5637.96</v>
      </c>
      <c r="F31" s="85">
        <v>2585.88</v>
      </c>
      <c r="G31" s="85">
        <v>4070.877</v>
      </c>
      <c r="H31" s="85">
        <v>5789.7470000000003</v>
      </c>
      <c r="I31" s="85">
        <v>2593.7280000000001</v>
      </c>
      <c r="J31" s="85">
        <v>3372</v>
      </c>
      <c r="K31" s="167"/>
      <c r="L31" s="167"/>
      <c r="M31" s="115">
        <f t="shared" si="22"/>
        <v>5965.7280000000001</v>
      </c>
      <c r="N31" s="88">
        <f>SUM(D31:H31)</f>
        <v>18084.464</v>
      </c>
      <c r="O31" s="88">
        <f t="shared" si="66"/>
        <v>21067.328000000001</v>
      </c>
      <c r="P31" s="89">
        <f t="shared" si="23"/>
        <v>541320.85600000003</v>
      </c>
      <c r="R31" s="170">
        <f>IF(EL31=0,"",(EL31-EL30))</f>
        <v>222</v>
      </c>
      <c r="S31" s="170">
        <f t="shared" si="25"/>
        <v>83.1</v>
      </c>
      <c r="T31" s="170">
        <f t="shared" si="1"/>
        <v>661.4</v>
      </c>
      <c r="U31" s="91">
        <f t="shared" si="76"/>
        <v>4.2</v>
      </c>
      <c r="V31" s="90">
        <f t="shared" si="26"/>
        <v>1535</v>
      </c>
      <c r="W31" s="91">
        <f t="shared" si="2"/>
        <v>2836.1</v>
      </c>
      <c r="X31" s="170">
        <f t="shared" si="27"/>
        <v>1535</v>
      </c>
      <c r="Y31" s="170">
        <f t="shared" si="28"/>
        <v>56.9</v>
      </c>
      <c r="Z31" s="170">
        <f t="shared" si="3"/>
        <v>159.1</v>
      </c>
      <c r="AA31" s="170">
        <f t="shared" si="29"/>
        <v>2505.6999999999998</v>
      </c>
      <c r="AB31" s="170">
        <f t="shared" si="30"/>
        <v>0</v>
      </c>
      <c r="AC31" s="170">
        <f t="shared" si="30"/>
        <v>0</v>
      </c>
      <c r="AD31" s="170">
        <f t="shared" si="31"/>
        <v>5</v>
      </c>
      <c r="AE31" s="170">
        <f t="shared" si="32"/>
        <v>5</v>
      </c>
      <c r="AF31" s="170">
        <f t="shared" si="33"/>
        <v>220</v>
      </c>
      <c r="AG31" s="170">
        <f t="shared" si="33"/>
        <v>42</v>
      </c>
      <c r="AH31" s="170">
        <f t="shared" si="34"/>
        <v>358</v>
      </c>
      <c r="AI31" s="170">
        <f t="shared" si="35"/>
        <v>96</v>
      </c>
      <c r="AJ31" s="170">
        <f t="shared" si="36"/>
        <v>154</v>
      </c>
      <c r="AK31" s="170">
        <f t="shared" si="36"/>
        <v>8</v>
      </c>
      <c r="AL31" s="170">
        <f t="shared" si="37"/>
        <v>231</v>
      </c>
      <c r="AM31" s="170">
        <f t="shared" si="38"/>
        <v>69</v>
      </c>
      <c r="AN31" s="170">
        <f t="shared" si="39"/>
        <v>71</v>
      </c>
      <c r="AO31" s="170">
        <f t="shared" si="4"/>
        <v>126</v>
      </c>
      <c r="AP31" s="170">
        <f t="shared" si="40"/>
        <v>30</v>
      </c>
      <c r="AQ31" s="170">
        <f t="shared" si="5"/>
        <v>47</v>
      </c>
      <c r="AR31" s="170">
        <f t="shared" si="41"/>
        <v>89.034999999999997</v>
      </c>
      <c r="AS31" s="170">
        <f>IF(AR31="","",(ES31-ES30)+((ET31-ET30)/1000)-AW31-AU31)</f>
        <v>176.03499999999997</v>
      </c>
      <c r="AT31" s="170">
        <f t="shared" si="43"/>
        <v>692.03499999999997</v>
      </c>
      <c r="AU31" s="170">
        <f t="shared" si="44"/>
        <v>277</v>
      </c>
      <c r="AV31" s="170">
        <f t="shared" si="67"/>
        <v>0</v>
      </c>
      <c r="AW31" s="170">
        <f t="shared" si="45"/>
        <v>239</v>
      </c>
      <c r="AX31" s="170">
        <f t="shared" si="68"/>
        <v>40</v>
      </c>
      <c r="AY31" s="170" t="str">
        <f t="shared" si="77"/>
        <v/>
      </c>
      <c r="AZ31" s="170">
        <f t="shared" si="46"/>
        <v>344</v>
      </c>
      <c r="BA31" s="170">
        <v>70</v>
      </c>
      <c r="BB31" s="170">
        <f t="shared" si="47"/>
        <v>64</v>
      </c>
      <c r="BC31" s="170">
        <f t="shared" si="47"/>
        <v>707</v>
      </c>
      <c r="BD31" s="91">
        <f t="shared" si="48"/>
        <v>313</v>
      </c>
      <c r="BE31" s="90"/>
      <c r="BF31" s="90"/>
      <c r="BG31" s="170">
        <f t="shared" si="82"/>
        <v>1115</v>
      </c>
      <c r="BH31" s="170">
        <f t="shared" si="49"/>
        <v>1321</v>
      </c>
      <c r="BI31" s="170">
        <f t="shared" si="50"/>
        <v>1670.2650000000003</v>
      </c>
      <c r="BJ31" s="170">
        <f t="shared" si="7"/>
        <v>5119.7349999999997</v>
      </c>
      <c r="BK31" s="92"/>
      <c r="BL31" s="331">
        <f>FD31+FN31</f>
        <v>8111</v>
      </c>
      <c r="BM31" s="331">
        <f t="shared" si="52"/>
        <v>186964</v>
      </c>
      <c r="BN31" s="92"/>
      <c r="BO31" s="97">
        <f>IF($N31&lt;&gt;0,IF($N31&lt;&gt;0,R31/$N31*10,0)," ")</f>
        <v>0.12275730151582043</v>
      </c>
      <c r="BP31" s="97">
        <f t="shared" si="53"/>
        <v>4.5951043945786835E-2</v>
      </c>
      <c r="BQ31" s="97">
        <f>IF($N31&lt;&gt;0,IF($N31&lt;&gt;0,T31/$N31*10,0)," ")</f>
        <v>0.36572828478632269</v>
      </c>
      <c r="BR31" s="97">
        <f t="shared" si="69"/>
        <v>0.84879485507560526</v>
      </c>
      <c r="BS31" s="97">
        <f t="shared" si="79"/>
        <v>3.1463470523649471E-2</v>
      </c>
      <c r="BT31" s="97">
        <f t="shared" si="79"/>
        <v>8.797606608633797E-2</v>
      </c>
      <c r="BU31" s="97">
        <f>IF($N31&lt;&gt;0,IF($N31&lt;&gt;0,AA31/$N31*10,0)," ")</f>
        <v>1.3855539207576182</v>
      </c>
      <c r="BV31" s="97">
        <f t="shared" si="9"/>
        <v>0.1053764388155916</v>
      </c>
      <c r="BW31" s="97">
        <f t="shared" si="9"/>
        <v>3.9444964259349832E-2</v>
      </c>
      <c r="BX31" s="97">
        <f t="shared" si="9"/>
        <v>0.31394584068753284</v>
      </c>
      <c r="BY31" s="97">
        <f t="shared" si="55"/>
        <v>0.72861636748618519</v>
      </c>
      <c r="BZ31" s="97">
        <f>IF($O31&lt;&gt;0,IF($O31&lt;&gt;0,AA31/$O31*10,0)," ")</f>
        <v>1.1893772195505761</v>
      </c>
      <c r="CA31" s="504" t="e">
        <f>#REF!</f>
        <v>#REF!</v>
      </c>
      <c r="CB31" s="97">
        <f t="shared" si="11"/>
        <v>4.2262122657415302E-2</v>
      </c>
      <c r="CC31" s="97">
        <f>IF($O31&lt;&gt;0,IF($O31&lt;&gt;0,AS31/$O31*10,0)," ")</f>
        <v>8.3558294625687687E-2</v>
      </c>
      <c r="CD31" s="97">
        <f t="shared" si="12"/>
        <v>0.14924414924716647</v>
      </c>
      <c r="CE31" s="97">
        <f>IFERROR(AS31*10/($I31+$J31),"")</f>
        <v>0.29507714733222828</v>
      </c>
      <c r="CF31" s="97" t="str">
        <f>IF($D31&lt;&gt;0,IF($D31&lt;&gt;0,AB31/$D31*10,0),"0,00")</f>
        <v>0,00</v>
      </c>
      <c r="CG31" s="97" t="str">
        <f t="shared" si="56"/>
        <v>0,00</v>
      </c>
      <c r="CH31" s="97" t="str">
        <f t="shared" si="57"/>
        <v xml:space="preserve">0,00 </v>
      </c>
      <c r="CI31" s="504" t="e">
        <f>#REF!</f>
        <v>#REF!</v>
      </c>
      <c r="CJ31" s="97">
        <f t="shared" si="58"/>
        <v>0.3902120625190672</v>
      </c>
      <c r="CK31" s="97">
        <f t="shared" si="58"/>
        <v>7.4495030117276456E-2</v>
      </c>
      <c r="CL31" s="97">
        <f>IF($E31&lt;&gt;0,IF($E31&lt;&gt;0,AH31/$E31*10,0),"0,00 ")</f>
        <v>0.6349814471901184</v>
      </c>
      <c r="CM31" s="97" t="e">
        <f>#REF!</f>
        <v>#REF!</v>
      </c>
      <c r="CN31" s="97">
        <f t="shared" si="59"/>
        <v>0.59554194316828313</v>
      </c>
      <c r="CO31" s="97">
        <f t="shared" si="59"/>
        <v>3.0937243800949771E-2</v>
      </c>
      <c r="CP31" s="97">
        <f t="shared" si="60"/>
        <v>0.89331291475242458</v>
      </c>
      <c r="CQ31" s="97" t="e">
        <f>#REF!</f>
        <v>#REF!</v>
      </c>
      <c r="CR31" s="97">
        <f>IF($G31&lt;&gt;0,IF($G31&lt;&gt;0,AN31/$G31*10,0),"0,00 ")</f>
        <v>0.174409592822382</v>
      </c>
      <c r="CS31" s="97">
        <f>IF($G31&lt;&gt;0,IF($G31&lt;&gt;0,AO31/$G31*10,0),"0,00 ")</f>
        <v>0.30951561543126949</v>
      </c>
      <c r="CT31" s="504" t="e">
        <f>#REF!</f>
        <v>#REF!</v>
      </c>
      <c r="CU31" s="97">
        <f t="shared" si="72"/>
        <v>5.1815735644407258E-2</v>
      </c>
      <c r="CV31" s="97">
        <f t="shared" si="61"/>
        <v>8.1177985842904712E-2</v>
      </c>
      <c r="CW31" s="504" t="e">
        <f>#REF!</f>
        <v>#REF!</v>
      </c>
      <c r="CX31" s="97">
        <f t="shared" si="62"/>
        <v>0.13148321419783277</v>
      </c>
      <c r="CY31" s="97">
        <f t="shared" si="62"/>
        <v>0</v>
      </c>
      <c r="CZ31" s="97">
        <f t="shared" si="62"/>
        <v>0.11344580575192069</v>
      </c>
      <c r="DA31" s="97">
        <f t="shared" si="62"/>
        <v>1.8986745732539029E-2</v>
      </c>
      <c r="DB31" s="97">
        <f t="shared" si="13"/>
        <v>0.16328601329983564</v>
      </c>
      <c r="DC31" s="97">
        <f t="shared" si="14"/>
        <v>3.0378793172062445E-2</v>
      </c>
      <c r="DD31" s="97">
        <f t="shared" si="14"/>
        <v>0.33559073082262736</v>
      </c>
      <c r="DE31" s="97">
        <f t="shared" si="14"/>
        <v>0.14857128535711789</v>
      </c>
      <c r="DF31" s="97">
        <f t="shared" si="14"/>
        <v>0</v>
      </c>
      <c r="DG31" s="97">
        <f t="shared" si="14"/>
        <v>0</v>
      </c>
      <c r="DH31" s="97">
        <f t="shared" si="14"/>
        <v>0.52925553729452535</v>
      </c>
      <c r="DI31" s="504" t="e">
        <f>#REF!</f>
        <v>#REF!</v>
      </c>
      <c r="DJ31" s="97">
        <f t="shared" si="63"/>
        <v>0.62703727781710139</v>
      </c>
      <c r="DK31" s="504" t="e">
        <f>#REF!</f>
        <v>#REF!</v>
      </c>
      <c r="DL31" s="97">
        <f t="shared" si="15"/>
        <v>0.79282242152398263</v>
      </c>
      <c r="DM31" s="504">
        <f t="shared" si="16"/>
        <v>0</v>
      </c>
      <c r="DN31" s="97">
        <f t="shared" si="17"/>
        <v>2.4301776665745174</v>
      </c>
      <c r="DO31" s="100">
        <v>3.4</v>
      </c>
      <c r="DP31" s="97">
        <f t="shared" si="18"/>
        <v>3.8500373659156013</v>
      </c>
      <c r="DQ31" s="97">
        <f t="shared" si="73"/>
        <v>3.4538480815525792</v>
      </c>
      <c r="DR31" s="101" t="str">
        <f t="shared" si="19"/>
        <v>3,315, hL/NhL</v>
      </c>
      <c r="DT31" s="182">
        <v>26</v>
      </c>
      <c r="DU31" s="183">
        <v>620897</v>
      </c>
      <c r="DV31" s="135">
        <v>25452</v>
      </c>
      <c r="DW31" s="135">
        <v>5120783</v>
      </c>
      <c r="DX31" s="135">
        <v>113516</v>
      </c>
      <c r="DY31" s="135">
        <v>83673</v>
      </c>
      <c r="DZ31" s="135">
        <v>385382</v>
      </c>
      <c r="EA31" s="136">
        <v>226370</v>
      </c>
      <c r="EB31" s="136">
        <v>52765</v>
      </c>
      <c r="EC31" s="136">
        <v>396349</v>
      </c>
      <c r="ED31" s="136">
        <v>46329</v>
      </c>
      <c r="EE31" s="136">
        <v>37943</v>
      </c>
      <c r="EF31" s="136">
        <v>40671</v>
      </c>
      <c r="EG31" s="135">
        <v>91036</v>
      </c>
      <c r="EH31" s="135">
        <v>179446</v>
      </c>
      <c r="EI31" s="135">
        <v>30937</v>
      </c>
      <c r="EJ31" s="136">
        <v>39873</v>
      </c>
      <c r="EK31" s="136"/>
      <c r="EL31" s="135">
        <v>693168</v>
      </c>
      <c r="EM31" s="135">
        <v>6614</v>
      </c>
      <c r="EN31" s="136">
        <v>42699</v>
      </c>
      <c r="EO31" s="135">
        <v>2962960</v>
      </c>
      <c r="EP31" s="139">
        <v>2743122</v>
      </c>
      <c r="EQ31" s="139">
        <v>569</v>
      </c>
      <c r="ER31" s="139">
        <v>1591</v>
      </c>
      <c r="ES31" s="136">
        <v>334800</v>
      </c>
      <c r="ET31" s="136">
        <v>7613638</v>
      </c>
      <c r="EU31" s="136">
        <v>409601</v>
      </c>
      <c r="EV31" s="136">
        <v>129416</v>
      </c>
      <c r="EW31" s="136">
        <v>97755</v>
      </c>
      <c r="EX31" s="135">
        <v>205318</v>
      </c>
      <c r="EY31" s="135">
        <v>1617580</v>
      </c>
      <c r="EZ31" s="136">
        <v>756155</v>
      </c>
      <c r="FA31" s="145">
        <v>739217</v>
      </c>
      <c r="FB31" s="145">
        <v>30230</v>
      </c>
      <c r="FC31" s="140">
        <v>6790</v>
      </c>
      <c r="FD31" s="104">
        <f t="shared" si="80"/>
        <v>6833</v>
      </c>
      <c r="FE31" s="105">
        <f t="shared" si="81"/>
        <v>0</v>
      </c>
      <c r="FF31" s="105">
        <f t="shared" si="81"/>
        <v>0</v>
      </c>
      <c r="FG31" s="105">
        <f t="shared" si="81"/>
        <v>2627</v>
      </c>
      <c r="FH31" s="105">
        <f t="shared" si="81"/>
        <v>1464</v>
      </c>
      <c r="FI31" s="105">
        <f t="shared" si="81"/>
        <v>613</v>
      </c>
      <c r="FJ31" s="105">
        <f t="shared" si="81"/>
        <v>991</v>
      </c>
      <c r="FK31" s="105">
        <f t="shared" si="81"/>
        <v>0</v>
      </c>
      <c r="FL31" s="105">
        <f t="shared" si="81"/>
        <v>1138</v>
      </c>
      <c r="FM31" s="105">
        <f t="shared" si="81"/>
        <v>0</v>
      </c>
      <c r="FN31" s="124">
        <f t="shared" si="74"/>
        <v>1278</v>
      </c>
      <c r="FO31" s="303">
        <v>1012479</v>
      </c>
      <c r="FP31" s="184"/>
      <c r="FQ31" s="185"/>
      <c r="FR31" s="64"/>
      <c r="FS31" s="64"/>
      <c r="FT31" s="64"/>
      <c r="FU31" s="64"/>
      <c r="FV31" s="64"/>
      <c r="FW31" s="64"/>
      <c r="FX31" s="64"/>
      <c r="FY31" s="64">
        <v>26</v>
      </c>
      <c r="FZ31" s="107"/>
      <c r="GA31" s="107"/>
      <c r="GB31" s="180"/>
      <c r="GC31" s="109"/>
      <c r="GD31" s="110"/>
      <c r="GE31" s="110"/>
      <c r="GF31" s="111"/>
      <c r="GG31" s="111"/>
      <c r="GH31" s="111"/>
      <c r="GI31" s="112"/>
      <c r="GJ31" s="111" t="e">
        <f t="shared" si="65"/>
        <v>#DIV/0!</v>
      </c>
      <c r="GK31" s="118"/>
    </row>
    <row r="32" spans="1:193" s="119" customFormat="1" ht="15" customHeight="1">
      <c r="B32" s="573">
        <v>42882</v>
      </c>
      <c r="D32" s="85"/>
      <c r="E32" s="85">
        <v>5223.9599999999991</v>
      </c>
      <c r="F32" s="85">
        <v>3065.328</v>
      </c>
      <c r="G32" s="85">
        <v>5708.634</v>
      </c>
      <c r="H32" s="85">
        <v>5323.9169999999995</v>
      </c>
      <c r="I32" s="85">
        <v>2051.3200000000002</v>
      </c>
      <c r="J32" s="85">
        <v>4791.0720000000001</v>
      </c>
      <c r="K32" s="167"/>
      <c r="L32" s="167"/>
      <c r="M32" s="115">
        <f t="shared" si="22"/>
        <v>6842.3919999999998</v>
      </c>
      <c r="N32" s="88">
        <f t="shared" si="0"/>
        <v>19321.839</v>
      </c>
      <c r="O32" s="88">
        <f t="shared" si="66"/>
        <v>22743.035</v>
      </c>
      <c r="P32" s="89">
        <f t="shared" si="23"/>
        <v>564063.89100000006</v>
      </c>
      <c r="R32" s="170">
        <f t="shared" si="24"/>
        <v>301</v>
      </c>
      <c r="S32" s="170">
        <f t="shared" si="25"/>
        <v>40.200000000000003</v>
      </c>
      <c r="T32" s="170">
        <f t="shared" si="1"/>
        <v>536.5</v>
      </c>
      <c r="U32" s="91">
        <f t="shared" si="76"/>
        <v>5.2</v>
      </c>
      <c r="V32" s="90">
        <f t="shared" si="26"/>
        <v>1243</v>
      </c>
      <c r="W32" s="91">
        <f t="shared" si="2"/>
        <v>110.8</v>
      </c>
      <c r="X32" s="170">
        <f t="shared" si="27"/>
        <v>1243</v>
      </c>
      <c r="Y32" s="170" t="str">
        <f t="shared" si="28"/>
        <v>0</v>
      </c>
      <c r="Z32" s="170">
        <f t="shared" si="3"/>
        <v>137.9</v>
      </c>
      <c r="AA32" s="170">
        <f t="shared" si="29"/>
        <v>2125.9</v>
      </c>
      <c r="AB32" s="170">
        <f t="shared" si="30"/>
        <v>0</v>
      </c>
      <c r="AC32" s="170">
        <f t="shared" si="30"/>
        <v>0</v>
      </c>
      <c r="AD32" s="170">
        <f t="shared" si="31"/>
        <v>0</v>
      </c>
      <c r="AE32" s="170">
        <f t="shared" si="32"/>
        <v>0</v>
      </c>
      <c r="AF32" s="170">
        <f t="shared" si="33"/>
        <v>176</v>
      </c>
      <c r="AG32" s="170">
        <f t="shared" si="33"/>
        <v>23</v>
      </c>
      <c r="AH32" s="170">
        <f t="shared" si="34"/>
        <v>336</v>
      </c>
      <c r="AI32" s="170">
        <f t="shared" si="35"/>
        <v>137</v>
      </c>
      <c r="AJ32" s="170">
        <f>IF(EA32=0,"",(EA32-EA31))</f>
        <v>188</v>
      </c>
      <c r="AK32" s="170">
        <f t="shared" si="36"/>
        <v>14</v>
      </c>
      <c r="AL32" s="170">
        <f t="shared" si="37"/>
        <v>269</v>
      </c>
      <c r="AM32" s="170">
        <f t="shared" si="38"/>
        <v>67</v>
      </c>
      <c r="AN32" s="170">
        <f t="shared" si="39"/>
        <v>34</v>
      </c>
      <c r="AO32" s="170">
        <f t="shared" si="4"/>
        <v>88</v>
      </c>
      <c r="AP32" s="170">
        <f t="shared" si="40"/>
        <v>83</v>
      </c>
      <c r="AQ32" s="170">
        <f t="shared" si="5"/>
        <v>105</v>
      </c>
      <c r="AR32" s="170">
        <f t="shared" si="41"/>
        <v>69.662000000000006</v>
      </c>
      <c r="AS32" s="170">
        <f t="shared" si="42"/>
        <v>37.662000000000035</v>
      </c>
      <c r="AT32" s="170">
        <f t="shared" si="43"/>
        <v>824.66200000000003</v>
      </c>
      <c r="AU32" s="170">
        <f t="shared" si="44"/>
        <v>259</v>
      </c>
      <c r="AV32" s="170">
        <f t="shared" si="67"/>
        <v>0</v>
      </c>
      <c r="AW32" s="170">
        <f t="shared" si="45"/>
        <v>528</v>
      </c>
      <c r="AX32" s="170">
        <f t="shared" si="68"/>
        <v>1</v>
      </c>
      <c r="AY32" s="170" t="str">
        <f t="shared" si="77"/>
        <v/>
      </c>
      <c r="AZ32" s="170">
        <f t="shared" si="46"/>
        <v>348</v>
      </c>
      <c r="BA32" s="170">
        <v>85</v>
      </c>
      <c r="BB32" s="170">
        <f t="shared" si="47"/>
        <v>64</v>
      </c>
      <c r="BC32" s="170">
        <f t="shared" si="47"/>
        <v>994</v>
      </c>
      <c r="BD32" s="91">
        <f t="shared" si="48"/>
        <v>309</v>
      </c>
      <c r="BE32" s="90"/>
      <c r="BF32" s="90"/>
      <c r="BG32" s="170">
        <f t="shared" si="82"/>
        <v>1406</v>
      </c>
      <c r="BH32" s="170">
        <f t="shared" si="49"/>
        <v>-250</v>
      </c>
      <c r="BI32" s="170">
        <f t="shared" si="50"/>
        <v>1667.4380000000001</v>
      </c>
      <c r="BJ32" s="170">
        <f t="shared" si="7"/>
        <v>5155.5619999999999</v>
      </c>
      <c r="BK32" s="92"/>
      <c r="BL32" s="331">
        <f t="shared" si="51"/>
        <v>6573</v>
      </c>
      <c r="BM32" s="331">
        <f t="shared" si="52"/>
        <v>193537</v>
      </c>
      <c r="BN32" s="92"/>
      <c r="BO32" s="97">
        <f t="shared" si="53"/>
        <v>0.15578227310557757</v>
      </c>
      <c r="BP32" s="97">
        <f t="shared" si="53"/>
        <v>2.0805473019416008E-2</v>
      </c>
      <c r="BQ32" s="97">
        <f t="shared" si="54"/>
        <v>0.27766508146558927</v>
      </c>
      <c r="BR32" s="97">
        <f t="shared" si="69"/>
        <v>0.64331350654562436</v>
      </c>
      <c r="BS32" s="97">
        <f t="shared" si="79"/>
        <v>0</v>
      </c>
      <c r="BT32" s="97">
        <f t="shared" si="79"/>
        <v>7.13700181437181E-2</v>
      </c>
      <c r="BU32" s="97">
        <f t="shared" si="79"/>
        <v>1.1002575893526492</v>
      </c>
      <c r="BV32" s="97">
        <f t="shared" si="9"/>
        <v>0.13234821122158938</v>
      </c>
      <c r="BW32" s="97">
        <f t="shared" si="9"/>
        <v>1.7675741166471408E-2</v>
      </c>
      <c r="BX32" s="97">
        <f t="shared" si="9"/>
        <v>0.23589639641323157</v>
      </c>
      <c r="BY32" s="97">
        <f t="shared" si="55"/>
        <v>0.54654095198815811</v>
      </c>
      <c r="BZ32" s="97">
        <f t="shared" si="10"/>
        <v>0.93474771506969057</v>
      </c>
      <c r="CA32" s="504" t="e">
        <f>#REF!</f>
        <v>#REF!</v>
      </c>
      <c r="CB32" s="97">
        <f t="shared" si="11"/>
        <v>3.0630036844247043E-2</v>
      </c>
      <c r="CC32" s="97">
        <f t="shared" si="11"/>
        <v>1.6559795119692702E-2</v>
      </c>
      <c r="CD32" s="97">
        <f t="shared" si="12"/>
        <v>0.10180942570960566</v>
      </c>
      <c r="CE32" s="97">
        <f t="shared" si="12"/>
        <v>5.5042154848772236E-2</v>
      </c>
      <c r="CF32" s="97" t="str">
        <f t="shared" si="56"/>
        <v>0,00</v>
      </c>
      <c r="CG32" s="97" t="str">
        <f t="shared" si="56"/>
        <v>0,00</v>
      </c>
      <c r="CH32" s="97" t="str">
        <f t="shared" si="57"/>
        <v xml:space="preserve">0,00 </v>
      </c>
      <c r="CI32" s="504" t="e">
        <f>#REF!</f>
        <v>#REF!</v>
      </c>
      <c r="CJ32" s="97">
        <f t="shared" si="58"/>
        <v>0.33690916469498239</v>
      </c>
      <c r="CK32" s="97">
        <f t="shared" si="58"/>
        <v>4.402790220445793E-2</v>
      </c>
      <c r="CL32" s="97">
        <f t="shared" si="70"/>
        <v>0.64319022350860278</v>
      </c>
      <c r="CM32" s="97" t="e">
        <f>#REF!</f>
        <v>#REF!</v>
      </c>
      <c r="CN32" s="97">
        <f t="shared" si="59"/>
        <v>0.61331120193336575</v>
      </c>
      <c r="CO32" s="97">
        <f t="shared" si="59"/>
        <v>4.5672110782271909E-2</v>
      </c>
      <c r="CP32" s="97">
        <f t="shared" si="60"/>
        <v>0.87755698574508179</v>
      </c>
      <c r="CQ32" s="97" t="e">
        <f>#REF!</f>
        <v>#REF!</v>
      </c>
      <c r="CR32" s="97">
        <f t="shared" si="71"/>
        <v>5.9558906736707939E-2</v>
      </c>
      <c r="CS32" s="97">
        <f t="shared" si="71"/>
        <v>0.15415246449500877</v>
      </c>
      <c r="CT32" s="504" t="e">
        <f>#REF!</f>
        <v>#REF!</v>
      </c>
      <c r="CU32" s="97">
        <f t="shared" si="72"/>
        <v>0.15590025163803267</v>
      </c>
      <c r="CV32" s="97">
        <f t="shared" si="61"/>
        <v>0.19722320990353534</v>
      </c>
      <c r="CW32" s="504" t="e">
        <f>#REF!</f>
        <v>#REF!</v>
      </c>
      <c r="CX32" s="97">
        <f t="shared" si="62"/>
        <v>0.1138810189581118</v>
      </c>
      <c r="CY32" s="97">
        <f t="shared" si="62"/>
        <v>0</v>
      </c>
      <c r="CZ32" s="97">
        <f t="shared" si="62"/>
        <v>0.23215898845514682</v>
      </c>
      <c r="DA32" s="97">
        <f t="shared" si="62"/>
        <v>4.3969505389232353E-4</v>
      </c>
      <c r="DB32" s="97">
        <f t="shared" si="13"/>
        <v>0.1530138787545286</v>
      </c>
      <c r="DC32" s="97">
        <f t="shared" si="14"/>
        <v>2.8140483449108706E-2</v>
      </c>
      <c r="DD32" s="97">
        <f t="shared" si="14"/>
        <v>0.43705688356896955</v>
      </c>
      <c r="DE32" s="97">
        <f t="shared" si="14"/>
        <v>0.13586577165272795</v>
      </c>
      <c r="DF32" s="97">
        <f t="shared" si="14"/>
        <v>0</v>
      </c>
      <c r="DG32" s="97">
        <f t="shared" si="14"/>
        <v>0</v>
      </c>
      <c r="DH32" s="97">
        <f t="shared" si="14"/>
        <v>0.61821124577260689</v>
      </c>
      <c r="DI32" s="504" t="e">
        <f>#REF!</f>
        <v>#REF!</v>
      </c>
      <c r="DJ32" s="97">
        <f t="shared" si="63"/>
        <v>-0.10992376347308089</v>
      </c>
      <c r="DK32" s="504" t="e">
        <f>#REF!</f>
        <v>#REF!</v>
      </c>
      <c r="DL32" s="97">
        <f t="shared" si="15"/>
        <v>0.73316424127210822</v>
      </c>
      <c r="DM32" s="504">
        <f t="shared" si="16"/>
        <v>0</v>
      </c>
      <c r="DN32" s="97">
        <f>IF($O32&lt;&gt;0,BJ32/$O32*10,"")</f>
        <v>2.266875111435215</v>
      </c>
      <c r="DO32" s="100">
        <v>3.4</v>
      </c>
      <c r="DP32" s="97">
        <f t="shared" si="18"/>
        <v>2.8901155892342425</v>
      </c>
      <c r="DQ32" s="97">
        <f t="shared" si="73"/>
        <v>3.4311184085350357</v>
      </c>
      <c r="DR32" s="101"/>
      <c r="DS32" s="173"/>
      <c r="DT32" s="134">
        <v>27</v>
      </c>
      <c r="DU32" s="120">
        <v>620897</v>
      </c>
      <c r="DV32" s="120">
        <v>25452</v>
      </c>
      <c r="DW32" s="120">
        <v>5120783</v>
      </c>
      <c r="DX32" s="120">
        <v>113692</v>
      </c>
      <c r="DY32" s="120">
        <v>83696</v>
      </c>
      <c r="DZ32" s="120">
        <v>385718</v>
      </c>
      <c r="EA32" s="120">
        <v>226558</v>
      </c>
      <c r="EB32" s="120">
        <v>52779</v>
      </c>
      <c r="EC32" s="120">
        <v>396618</v>
      </c>
      <c r="ED32" s="120">
        <v>46363</v>
      </c>
      <c r="EE32" s="120">
        <v>37981</v>
      </c>
      <c r="EF32" s="120">
        <v>40721</v>
      </c>
      <c r="EG32" s="120">
        <v>91119</v>
      </c>
      <c r="EH32" s="120">
        <v>179551</v>
      </c>
      <c r="EI32" s="120">
        <v>30937</v>
      </c>
      <c r="EJ32" s="120">
        <v>39874</v>
      </c>
      <c r="EK32" s="120"/>
      <c r="EL32" s="120">
        <v>693469</v>
      </c>
      <c r="EM32" s="120">
        <v>5365</v>
      </c>
      <c r="EN32" s="120">
        <v>42751</v>
      </c>
      <c r="EO32" s="120">
        <v>2964203</v>
      </c>
      <c r="EP32" s="120">
        <v>2744230</v>
      </c>
      <c r="EQ32" s="120">
        <v>0</v>
      </c>
      <c r="ER32" s="120">
        <v>1379</v>
      </c>
      <c r="ES32" s="120">
        <v>335555</v>
      </c>
      <c r="ET32" s="120">
        <v>7683300</v>
      </c>
      <c r="EU32" s="120">
        <v>410129</v>
      </c>
      <c r="EV32" s="120">
        <v>129675</v>
      </c>
      <c r="EW32" s="120">
        <v>98103</v>
      </c>
      <c r="EX32" s="120">
        <v>205382</v>
      </c>
      <c r="EY32" s="120">
        <v>1618574</v>
      </c>
      <c r="EZ32" s="120">
        <v>756557</v>
      </c>
      <c r="FA32" s="151">
        <v>739526</v>
      </c>
      <c r="FB32" s="151">
        <v>30314</v>
      </c>
      <c r="FC32" s="149">
        <v>6823</v>
      </c>
      <c r="FD32" s="104">
        <f t="shared" si="78"/>
        <v>6573</v>
      </c>
      <c r="FE32" s="105">
        <f t="shared" si="81"/>
        <v>0</v>
      </c>
      <c r="FF32" s="105">
        <f t="shared" si="81"/>
        <v>0</v>
      </c>
      <c r="FG32" s="105">
        <f t="shared" si="81"/>
        <v>2612</v>
      </c>
      <c r="FH32" s="105">
        <f t="shared" si="81"/>
        <v>1466</v>
      </c>
      <c r="FI32" s="105">
        <f t="shared" si="81"/>
        <v>519</v>
      </c>
      <c r="FJ32" s="105">
        <f t="shared" si="81"/>
        <v>837</v>
      </c>
      <c r="FK32" s="105">
        <f t="shared" si="81"/>
        <v>0</v>
      </c>
      <c r="FL32" s="105">
        <f t="shared" si="81"/>
        <v>1139</v>
      </c>
      <c r="FM32" s="105">
        <f t="shared" si="81"/>
        <v>0</v>
      </c>
      <c r="FN32" s="124">
        <v>0</v>
      </c>
      <c r="FO32" s="104"/>
      <c r="FP32" s="81"/>
      <c r="FQ32" s="186"/>
      <c r="FY32" s="119">
        <v>27</v>
      </c>
      <c r="FZ32" s="107"/>
      <c r="GA32" s="107"/>
      <c r="GB32" s="180"/>
      <c r="GC32" s="109"/>
      <c r="GD32" s="110"/>
      <c r="GE32" s="110"/>
      <c r="GF32" s="111"/>
      <c r="GG32" s="111"/>
      <c r="GH32" s="111"/>
      <c r="GI32" s="164"/>
      <c r="GJ32" s="111" t="e">
        <f t="shared" si="65"/>
        <v>#DIV/0!</v>
      </c>
    </row>
    <row r="33" spans="1:193" s="119" customFormat="1" ht="15" customHeight="1">
      <c r="A33" s="119">
        <v>0</v>
      </c>
      <c r="B33" s="573">
        <v>42883</v>
      </c>
      <c r="D33" s="85"/>
      <c r="E33" s="85"/>
      <c r="F33" s="85">
        <v>3182.4719999999998</v>
      </c>
      <c r="G33" s="85">
        <v>6354.8549999999996</v>
      </c>
      <c r="H33" s="85">
        <v>6520.4189999999999</v>
      </c>
      <c r="I33" s="85">
        <v>1537.182</v>
      </c>
      <c r="J33" s="85">
        <v>7098.96</v>
      </c>
      <c r="K33" s="167"/>
      <c r="L33" s="167"/>
      <c r="M33" s="115">
        <f t="shared" si="22"/>
        <v>8636.1419999999998</v>
      </c>
      <c r="N33" s="88">
        <f t="shared" si="0"/>
        <v>16057.745999999999</v>
      </c>
      <c r="O33" s="88">
        <f t="shared" si="66"/>
        <v>20375.816999999999</v>
      </c>
      <c r="P33" s="89">
        <f t="shared" si="23"/>
        <v>584439.7080000001</v>
      </c>
      <c r="R33" s="170">
        <f t="shared" si="24"/>
        <v>292</v>
      </c>
      <c r="S33" s="170">
        <f t="shared" si="25"/>
        <v>29.5</v>
      </c>
      <c r="T33" s="170">
        <f t="shared" si="1"/>
        <v>410.5</v>
      </c>
      <c r="U33" s="91">
        <f t="shared" si="76"/>
        <v>5.5</v>
      </c>
      <c r="V33" s="90">
        <f t="shared" si="26"/>
        <v>1468</v>
      </c>
      <c r="W33" s="91">
        <f t="shared" si="2"/>
        <v>130.1</v>
      </c>
      <c r="X33" s="170">
        <f t="shared" si="27"/>
        <v>1468</v>
      </c>
      <c r="Y33" s="170" t="str">
        <f t="shared" si="28"/>
        <v>0</v>
      </c>
      <c r="Z33" s="170">
        <f t="shared" si="3"/>
        <v>166.3</v>
      </c>
      <c r="AA33" s="170">
        <f t="shared" si="29"/>
        <v>2205.5</v>
      </c>
      <c r="AB33" s="170">
        <f t="shared" si="30"/>
        <v>0</v>
      </c>
      <c r="AC33" s="170">
        <f t="shared" si="30"/>
        <v>0</v>
      </c>
      <c r="AD33" s="170">
        <f>(IF(SUM(AB33:AC33)&gt;=(DW33-DW32),(SUM(AB33:AC33)),(DW33-DW32)))</f>
        <v>4</v>
      </c>
      <c r="AE33" s="170">
        <f t="shared" si="32"/>
        <v>4</v>
      </c>
      <c r="AF33" s="170">
        <f t="shared" si="33"/>
        <v>53</v>
      </c>
      <c r="AG33" s="170">
        <f t="shared" si="33"/>
        <v>29</v>
      </c>
      <c r="AH33" s="170">
        <f t="shared" si="34"/>
        <v>110</v>
      </c>
      <c r="AI33" s="170">
        <f t="shared" si="35"/>
        <v>28</v>
      </c>
      <c r="AJ33" s="170">
        <f>IF(EA33=0,"",(EA33-EA32))</f>
        <v>196</v>
      </c>
      <c r="AK33" s="170">
        <f t="shared" si="36"/>
        <v>69</v>
      </c>
      <c r="AL33" s="170">
        <f t="shared" si="37"/>
        <v>346</v>
      </c>
      <c r="AM33" s="170">
        <f t="shared" si="38"/>
        <v>81</v>
      </c>
      <c r="AN33" s="170">
        <f t="shared" si="39"/>
        <v>19</v>
      </c>
      <c r="AO33" s="170">
        <f t="shared" si="4"/>
        <v>73</v>
      </c>
      <c r="AP33" s="170">
        <f t="shared" si="40"/>
        <v>11</v>
      </c>
      <c r="AQ33" s="170">
        <f t="shared" si="5"/>
        <v>36</v>
      </c>
      <c r="AR33" s="170">
        <f t="shared" si="41"/>
        <v>99.061000000000007</v>
      </c>
      <c r="AS33" s="170">
        <f t="shared" si="42"/>
        <v>194.06100000000004</v>
      </c>
      <c r="AT33" s="170">
        <f t="shared" si="43"/>
        <v>1011.061</v>
      </c>
      <c r="AU33" s="170">
        <f t="shared" si="44"/>
        <v>215</v>
      </c>
      <c r="AV33" s="170">
        <f t="shared" si="67"/>
        <v>0</v>
      </c>
      <c r="AW33" s="170">
        <f t="shared" si="45"/>
        <v>602</v>
      </c>
      <c r="AX33" s="170">
        <f t="shared" si="68"/>
        <v>11</v>
      </c>
      <c r="AY33" s="170" t="str">
        <f t="shared" si="77"/>
        <v/>
      </c>
      <c r="AZ33" s="170">
        <f t="shared" si="46"/>
        <v>443</v>
      </c>
      <c r="BA33" s="170">
        <v>0</v>
      </c>
      <c r="BB33" s="170">
        <f t="shared" si="47"/>
        <v>77</v>
      </c>
      <c r="BC33" s="170">
        <f t="shared" si="47"/>
        <v>983</v>
      </c>
      <c r="BD33" s="91">
        <f t="shared" si="48"/>
        <v>289</v>
      </c>
      <c r="BE33" s="90"/>
      <c r="BF33" s="90"/>
      <c r="BG33" s="170">
        <f t="shared" si="82"/>
        <v>1503</v>
      </c>
      <c r="BH33" s="170">
        <f t="shared" si="49"/>
        <v>-768</v>
      </c>
      <c r="BI33" s="170">
        <f t="shared" si="50"/>
        <v>1424.4390000000003</v>
      </c>
      <c r="BJ33" s="170">
        <f t="shared" si="7"/>
        <v>5299.5609999999997</v>
      </c>
      <c r="BK33" s="92"/>
      <c r="BL33" s="331">
        <f t="shared" si="51"/>
        <v>5956</v>
      </c>
      <c r="BM33" s="331">
        <f t="shared" si="52"/>
        <v>199493</v>
      </c>
      <c r="BN33" s="92"/>
      <c r="BO33" s="97">
        <f t="shared" si="53"/>
        <v>0.181843703344168</v>
      </c>
      <c r="BP33" s="97">
        <f t="shared" si="53"/>
        <v>1.8371196057030671E-2</v>
      </c>
      <c r="BQ33" s="97">
        <f t="shared" si="54"/>
        <v>0.2556398637766471</v>
      </c>
      <c r="BR33" s="97">
        <f t="shared" si="69"/>
        <v>0.91420053599054318</v>
      </c>
      <c r="BS33" s="97">
        <f t="shared" si="79"/>
        <v>0</v>
      </c>
      <c r="BT33" s="97">
        <f t="shared" si="79"/>
        <v>0.10356372556895595</v>
      </c>
      <c r="BU33" s="97">
        <f t="shared" si="79"/>
        <v>1.3734804374163099</v>
      </c>
      <c r="BV33" s="97">
        <f t="shared" si="9"/>
        <v>0.14330713708314127</v>
      </c>
      <c r="BW33" s="97">
        <f t="shared" si="9"/>
        <v>1.4477947068331051E-2</v>
      </c>
      <c r="BX33" s="97">
        <f t="shared" si="9"/>
        <v>0.20146431428982703</v>
      </c>
      <c r="BY33" s="97">
        <f t="shared" si="55"/>
        <v>0.72046190834949109</v>
      </c>
      <c r="BZ33" s="97">
        <f t="shared" si="10"/>
        <v>1.0824105850577672</v>
      </c>
      <c r="CA33" s="504" t="e">
        <f>#REF!</f>
        <v>#REF!</v>
      </c>
      <c r="CB33" s="97">
        <f t="shared" si="11"/>
        <v>4.8616946255455672E-2</v>
      </c>
      <c r="CC33" s="97">
        <f t="shared" si="11"/>
        <v>9.5240843594148902E-2</v>
      </c>
      <c r="CD33" s="97">
        <f t="shared" si="12"/>
        <v>0.11470515422279996</v>
      </c>
      <c r="CE33" s="97">
        <f t="shared" si="12"/>
        <v>0.22470797724261601</v>
      </c>
      <c r="CF33" s="97" t="str">
        <f t="shared" si="56"/>
        <v>0,00</v>
      </c>
      <c r="CG33" s="97" t="str">
        <f t="shared" si="56"/>
        <v>0,00</v>
      </c>
      <c r="CH33" s="97" t="str">
        <f t="shared" si="57"/>
        <v xml:space="preserve">0,00 </v>
      </c>
      <c r="CI33" s="504" t="e">
        <f>#REF!</f>
        <v>#REF!</v>
      </c>
      <c r="CJ33" s="97" t="str">
        <f t="shared" si="58"/>
        <v>0,00</v>
      </c>
      <c r="CK33" s="97" t="str">
        <f t="shared" si="58"/>
        <v>0,00</v>
      </c>
      <c r="CL33" s="97" t="str">
        <f t="shared" si="70"/>
        <v xml:space="preserve">0,00 </v>
      </c>
      <c r="CM33" s="97" t="e">
        <f>#REF!</f>
        <v>#REF!</v>
      </c>
      <c r="CN33" s="97">
        <f t="shared" si="59"/>
        <v>0.61587344680487377</v>
      </c>
      <c r="CO33" s="97">
        <f t="shared" si="59"/>
        <v>0.21681259096702188</v>
      </c>
      <c r="CP33" s="97">
        <f t="shared" si="60"/>
        <v>1.0872051662983997</v>
      </c>
      <c r="CQ33" s="97" t="e">
        <f>#REF!</f>
        <v>#REF!</v>
      </c>
      <c r="CR33" s="97">
        <f t="shared" si="71"/>
        <v>2.9898400514252493E-2</v>
      </c>
      <c r="CS33" s="97">
        <f t="shared" si="71"/>
        <v>0.11487280197581219</v>
      </c>
      <c r="CT33" s="504" t="e">
        <f>#REF!</f>
        <v>#REF!</v>
      </c>
      <c r="CU33" s="97">
        <f t="shared" si="72"/>
        <v>1.6870081508565633E-2</v>
      </c>
      <c r="CV33" s="97">
        <f t="shared" si="61"/>
        <v>5.5211175846214794E-2</v>
      </c>
      <c r="CW33" s="504" t="e">
        <f>#REF!</f>
        <v>#REF!</v>
      </c>
      <c r="CX33" s="97">
        <f t="shared" si="62"/>
        <v>0.1055172413454636</v>
      </c>
      <c r="CY33" s="97">
        <f t="shared" si="62"/>
        <v>0</v>
      </c>
      <c r="CZ33" s="97">
        <f t="shared" si="62"/>
        <v>0.2954482757672981</v>
      </c>
      <c r="DA33" s="97">
        <f t="shared" si="62"/>
        <v>5.3985565339539519E-3</v>
      </c>
      <c r="DB33" s="97">
        <f t="shared" si="13"/>
        <v>0.21741459495832732</v>
      </c>
      <c r="DC33" s="97">
        <f t="shared" si="14"/>
        <v>3.7789895737677666E-2</v>
      </c>
      <c r="DD33" s="97">
        <f t="shared" si="14"/>
        <v>0.48243464298879407</v>
      </c>
      <c r="DE33" s="97">
        <f t="shared" si="14"/>
        <v>0.14183480348297201</v>
      </c>
      <c r="DF33" s="97">
        <f t="shared" si="14"/>
        <v>0</v>
      </c>
      <c r="DG33" s="97">
        <f t="shared" si="14"/>
        <v>0</v>
      </c>
      <c r="DH33" s="97">
        <f t="shared" si="14"/>
        <v>0.73763913368479894</v>
      </c>
      <c r="DI33" s="504" t="e">
        <f>#REF!</f>
        <v>#REF!</v>
      </c>
      <c r="DJ33" s="97">
        <f t="shared" si="63"/>
        <v>-0.37691740164333043</v>
      </c>
      <c r="DK33" s="504" t="e">
        <f>#REF!</f>
        <v>#REF!</v>
      </c>
      <c r="DL33" s="97">
        <f t="shared" si="15"/>
        <v>0.69908313369716679</v>
      </c>
      <c r="DM33" s="504">
        <f t="shared" si="16"/>
        <v>0</v>
      </c>
      <c r="DN33" s="97">
        <f t="shared" si="17"/>
        <v>2.600907242148867</v>
      </c>
      <c r="DO33" s="100">
        <v>3.4</v>
      </c>
      <c r="DP33" s="97">
        <f t="shared" si="18"/>
        <v>2.9230729742027033</v>
      </c>
      <c r="DQ33" s="97">
        <f t="shared" si="73"/>
        <v>3.4134059898613178</v>
      </c>
      <c r="DR33" s="101" t="str">
        <f t="shared" si="19"/>
        <v>3,315, hL/NhL</v>
      </c>
      <c r="DT33" s="134">
        <v>28</v>
      </c>
      <c r="DU33" s="135">
        <v>620897</v>
      </c>
      <c r="DV33" s="135">
        <v>25452</v>
      </c>
      <c r="DW33" s="135">
        <v>5120787</v>
      </c>
      <c r="DX33" s="135">
        <v>113745</v>
      </c>
      <c r="DY33" s="135">
        <v>83725</v>
      </c>
      <c r="DZ33" s="135">
        <v>385828</v>
      </c>
      <c r="EA33" s="136">
        <v>226754</v>
      </c>
      <c r="EB33" s="136">
        <v>52848</v>
      </c>
      <c r="EC33" s="136">
        <v>396964</v>
      </c>
      <c r="ED33" s="135">
        <v>46382</v>
      </c>
      <c r="EE33" s="136">
        <v>38020</v>
      </c>
      <c r="EF33" s="136">
        <v>40755</v>
      </c>
      <c r="EG33" s="135">
        <v>91130</v>
      </c>
      <c r="EH33" s="135">
        <v>179587</v>
      </c>
      <c r="EI33" s="135">
        <v>30937</v>
      </c>
      <c r="EJ33" s="136">
        <v>39885</v>
      </c>
      <c r="EK33" s="136"/>
      <c r="EL33" s="135">
        <v>693761</v>
      </c>
      <c r="EM33" s="135">
        <v>4105</v>
      </c>
      <c r="EN33" s="136">
        <v>42806</v>
      </c>
      <c r="EO33" s="135">
        <v>2965671</v>
      </c>
      <c r="EP33" s="136">
        <v>2745531</v>
      </c>
      <c r="EQ33" s="136">
        <v>0</v>
      </c>
      <c r="ER33" s="136">
        <v>1663</v>
      </c>
      <c r="ES33" s="136">
        <v>336467</v>
      </c>
      <c r="ET33" s="136">
        <v>7782361</v>
      </c>
      <c r="EU33" s="136">
        <v>410731</v>
      </c>
      <c r="EV33" s="136">
        <v>129890</v>
      </c>
      <c r="EW33" s="136">
        <v>98546</v>
      </c>
      <c r="EX33" s="135">
        <v>205459</v>
      </c>
      <c r="EY33" s="135">
        <v>1619557</v>
      </c>
      <c r="EZ33" s="140">
        <v>756852</v>
      </c>
      <c r="FA33" s="145">
        <v>739815</v>
      </c>
      <c r="FB33" s="145">
        <v>30314</v>
      </c>
      <c r="FC33" s="145">
        <v>6724</v>
      </c>
      <c r="FD33" s="104">
        <f>SUM(FE33:FM33)</f>
        <v>5956</v>
      </c>
      <c r="FE33" s="105">
        <f t="shared" si="81"/>
        <v>0</v>
      </c>
      <c r="FF33" s="105">
        <f t="shared" si="81"/>
        <v>0</v>
      </c>
      <c r="FG33" s="105">
        <f t="shared" si="81"/>
        <v>1975</v>
      </c>
      <c r="FH33" s="105">
        <f t="shared" si="81"/>
        <v>1605</v>
      </c>
      <c r="FI33" s="105">
        <f t="shared" si="81"/>
        <v>489</v>
      </c>
      <c r="FJ33" s="105">
        <f t="shared" si="81"/>
        <v>747</v>
      </c>
      <c r="FK33" s="105">
        <f t="shared" si="81"/>
        <v>0</v>
      </c>
      <c r="FL33" s="105">
        <f t="shared" si="81"/>
        <v>1140</v>
      </c>
      <c r="FM33" s="105">
        <f t="shared" si="81"/>
        <v>0</v>
      </c>
      <c r="FN33" s="187">
        <v>0</v>
      </c>
      <c r="FO33" s="104"/>
      <c r="FP33" s="162"/>
      <c r="FY33" s="119">
        <v>28</v>
      </c>
      <c r="FZ33" s="107"/>
      <c r="GA33" s="107"/>
      <c r="GB33" s="180"/>
      <c r="GC33" s="109"/>
      <c r="GD33" s="110"/>
      <c r="GE33" s="110"/>
      <c r="GF33" s="111"/>
      <c r="GG33" s="111"/>
      <c r="GH33" s="111"/>
      <c r="GI33" s="164"/>
      <c r="GJ33" s="111" t="e">
        <f t="shared" si="65"/>
        <v>#DIV/0!</v>
      </c>
      <c r="GK33" s="113"/>
    </row>
    <row r="34" spans="1:193" s="119" customFormat="1" ht="15" customHeight="1">
      <c r="B34" s="573">
        <v>42884</v>
      </c>
      <c r="D34" s="85"/>
      <c r="E34" s="85">
        <v>4267.8</v>
      </c>
      <c r="F34" s="85">
        <v>2947.752</v>
      </c>
      <c r="G34" s="85">
        <v>5422.7880000000005</v>
      </c>
      <c r="H34" s="85">
        <v>7186.27</v>
      </c>
      <c r="I34" s="85">
        <v>1606.1490000000001</v>
      </c>
      <c r="J34" s="85">
        <v>8191.3919999999998</v>
      </c>
      <c r="K34" s="167"/>
      <c r="L34" s="167"/>
      <c r="M34" s="115">
        <f>I34+J34</f>
        <v>9797.5409999999993</v>
      </c>
      <c r="N34" s="88">
        <f>SUM(D34:H34)</f>
        <v>19824.61</v>
      </c>
      <c r="O34" s="88">
        <f>N34+L34+((J34+I34)*0.5)</f>
        <v>24723.380499999999</v>
      </c>
      <c r="P34" s="89">
        <f t="shared" si="23"/>
        <v>609163.08850000007</v>
      </c>
      <c r="R34" s="170">
        <f t="shared" si="24"/>
        <v>61</v>
      </c>
      <c r="S34" s="170">
        <f t="shared" si="25"/>
        <v>22.2</v>
      </c>
      <c r="T34" s="170">
        <f t="shared" si="1"/>
        <v>463</v>
      </c>
      <c r="U34" s="91">
        <f t="shared" si="76"/>
        <v>0.6</v>
      </c>
      <c r="V34" s="90">
        <f t="shared" si="26"/>
        <v>1028</v>
      </c>
      <c r="W34" s="91">
        <f t="shared" si="2"/>
        <v>92.6</v>
      </c>
      <c r="X34" s="170">
        <f t="shared" si="27"/>
        <v>1028</v>
      </c>
      <c r="Y34" s="170" t="str">
        <f t="shared" si="28"/>
        <v>0</v>
      </c>
      <c r="Z34" s="170">
        <f t="shared" si="3"/>
        <v>103.6</v>
      </c>
      <c r="AA34" s="170">
        <f t="shared" si="29"/>
        <v>1574.8000000000002</v>
      </c>
      <c r="AB34" s="170">
        <f t="shared" si="30"/>
        <v>112</v>
      </c>
      <c r="AC34" s="170">
        <f t="shared" si="30"/>
        <v>52</v>
      </c>
      <c r="AD34" s="170">
        <f>(IF(SUM(AB34:AC34)&gt;=(DW34-DW33),(SUM(AB34:AC34)),(DW34-DW33)))</f>
        <v>210</v>
      </c>
      <c r="AE34" s="170">
        <f t="shared" si="32"/>
        <v>46</v>
      </c>
      <c r="AF34" s="170">
        <f t="shared" si="33"/>
        <v>251</v>
      </c>
      <c r="AG34" s="170">
        <f t="shared" si="33"/>
        <v>10</v>
      </c>
      <c r="AH34" s="170">
        <f t="shared" si="34"/>
        <v>335</v>
      </c>
      <c r="AI34" s="170">
        <f t="shared" si="35"/>
        <v>74</v>
      </c>
      <c r="AJ34" s="170">
        <f>IF(EA34=0,"",(EA34-EA33))</f>
        <v>172</v>
      </c>
      <c r="AK34" s="170">
        <f t="shared" si="36"/>
        <v>41</v>
      </c>
      <c r="AL34" s="170">
        <f t="shared" si="37"/>
        <v>294</v>
      </c>
      <c r="AM34" s="170">
        <f t="shared" si="38"/>
        <v>81</v>
      </c>
      <c r="AN34" s="170">
        <f t="shared" si="39"/>
        <v>20</v>
      </c>
      <c r="AO34" s="170">
        <f t="shared" si="4"/>
        <v>72</v>
      </c>
      <c r="AP34" s="170">
        <f t="shared" si="40"/>
        <v>37</v>
      </c>
      <c r="AQ34" s="170">
        <f>IF(AP34=0.1,0,(IF(AP34&gt;=(EH34-EH33),(AP34),(EH34-EH33))))</f>
        <v>68</v>
      </c>
      <c r="AR34" s="170">
        <f>IF(ET34=0,"",(ET34-ET33)/1000)</f>
        <v>74.007999999999996</v>
      </c>
      <c r="AS34" s="170">
        <f>IF(AR34="","",(ES34-ES33)+((ET34-ET33)/1000)-AW34-AU34)</f>
        <v>85.008000000000038</v>
      </c>
      <c r="AT34" s="170">
        <f>IF(AR34="","",ES34-ES33+((ET34-ET33)/1000))</f>
        <v>876.00800000000004</v>
      </c>
      <c r="AU34" s="170">
        <f>IF(EV34="","",(EV34-EV33))</f>
        <v>207</v>
      </c>
      <c r="AV34" s="170">
        <f>IF(EI34=0,"",(EI34-EI33))</f>
        <v>0</v>
      </c>
      <c r="AW34" s="170">
        <f>IF(EU34="","",(EU34-EU33))</f>
        <v>584</v>
      </c>
      <c r="AX34" s="170">
        <f>IF(EJ34=0,"",(EJ34-EJ33))</f>
        <v>36</v>
      </c>
      <c r="AY34" s="170" t="str">
        <f t="shared" si="77"/>
        <v/>
      </c>
      <c r="AZ34" s="170">
        <f t="shared" si="46"/>
        <v>270</v>
      </c>
      <c r="BA34" s="170">
        <v>85</v>
      </c>
      <c r="BB34" s="170">
        <f t="shared" si="47"/>
        <v>57</v>
      </c>
      <c r="BC34" s="170">
        <f t="shared" si="47"/>
        <v>239</v>
      </c>
      <c r="BD34" s="91">
        <f t="shared" si="48"/>
        <v>289</v>
      </c>
      <c r="BE34" s="90"/>
      <c r="BF34" s="90"/>
      <c r="BG34" s="170">
        <f t="shared" si="82"/>
        <v>566</v>
      </c>
      <c r="BH34" s="170">
        <f>BL34-FC34</f>
        <v>349</v>
      </c>
      <c r="BI34" s="170">
        <f>IF(FC34=0,"",(FC34-BJ34))</f>
        <v>1764.192</v>
      </c>
      <c r="BJ34" s="170">
        <f>IF(BH34=0,"",(AA34+AD34+AO34+BG34+AH34+AL34+AQ34+AT34+AX34+AV34))</f>
        <v>4031.808</v>
      </c>
      <c r="BK34" s="92"/>
      <c r="BL34" s="331">
        <f>FD34+FN34</f>
        <v>6145</v>
      </c>
      <c r="BM34" s="331">
        <f>BL34+BM33</f>
        <v>205638</v>
      </c>
      <c r="BN34" s="92"/>
      <c r="BO34" s="97">
        <f>IF($N34&lt;&gt;0,IF($N34&lt;&gt;0,R34/$N34*10,0)," ")</f>
        <v>3.0769836077481471E-2</v>
      </c>
      <c r="BP34" s="97">
        <f>IF($N34&lt;&gt;0,IF($N34&lt;&gt;0,S34/$N34*10,0)," ")</f>
        <v>1.1198202638034241E-2</v>
      </c>
      <c r="BQ34" s="97">
        <f t="shared" si="54"/>
        <v>0.2335481000635069</v>
      </c>
      <c r="BR34" s="97">
        <f>IF($N34&lt;&gt;0,IF($N34&lt;&gt;0,(V34)/$N34*10,0)," ")</f>
        <v>0.51854740143690092</v>
      </c>
      <c r="BS34" s="97">
        <f>IF($N34&lt;&gt;0,IF($N34&lt;&gt;0,Y34/$N34*10,0)," ")</f>
        <v>0</v>
      </c>
      <c r="BT34" s="97">
        <f t="shared" si="79"/>
        <v>5.2258278977493119E-2</v>
      </c>
      <c r="BU34" s="97">
        <f t="shared" si="79"/>
        <v>0.79436619434127598</v>
      </c>
      <c r="BV34" s="97">
        <f t="shared" si="9"/>
        <v>2.4673001331674688E-2</v>
      </c>
      <c r="BW34" s="97">
        <f t="shared" si="9"/>
        <v>8.9793545830029187E-3</v>
      </c>
      <c r="BX34" s="97">
        <f t="shared" si="9"/>
        <v>0.18727212486172756</v>
      </c>
      <c r="BY34" s="97">
        <f t="shared" si="55"/>
        <v>0.41580074375346854</v>
      </c>
      <c r="BZ34" s="97">
        <f t="shared" si="10"/>
        <v>0.63696790978887374</v>
      </c>
      <c r="CA34" s="504" t="e">
        <f>#REF!</f>
        <v>#REF!</v>
      </c>
      <c r="CB34" s="97">
        <f t="shared" si="11"/>
        <v>2.9934417746796397E-2</v>
      </c>
      <c r="CC34" s="97">
        <f t="shared" si="11"/>
        <v>3.4383647495131189E-2</v>
      </c>
      <c r="CD34" s="97">
        <f>IFERROR(AR34*10/($I34+$J34),"")</f>
        <v>7.5537321048209954E-2</v>
      </c>
      <c r="CE34" s="97">
        <f>IFERROR(AS34*10/($I34+$J34),"")</f>
        <v>8.6764627981653811E-2</v>
      </c>
      <c r="CF34" s="97" t="str">
        <f t="shared" si="56"/>
        <v>0,00</v>
      </c>
      <c r="CG34" s="97" t="str">
        <f t="shared" si="56"/>
        <v>0,00</v>
      </c>
      <c r="CH34" s="97" t="str">
        <f t="shared" si="57"/>
        <v xml:space="preserve">0,00 </v>
      </c>
      <c r="CI34" s="504" t="e">
        <f>#REF!</f>
        <v>#REF!</v>
      </c>
      <c r="CJ34" s="97">
        <f t="shared" si="58"/>
        <v>0.58812502928909505</v>
      </c>
      <c r="CK34" s="97">
        <f t="shared" si="58"/>
        <v>2.3431276067294622E-2</v>
      </c>
      <c r="CL34" s="97">
        <f t="shared" si="70"/>
        <v>0.78494774825436986</v>
      </c>
      <c r="CM34" s="97" t="e">
        <f>#REF!</f>
        <v>#REF!</v>
      </c>
      <c r="CN34" s="97">
        <f t="shared" si="59"/>
        <v>0.58349549080112573</v>
      </c>
      <c r="CO34" s="97">
        <f t="shared" si="59"/>
        <v>0.13908904141189626</v>
      </c>
      <c r="CP34" s="97">
        <f t="shared" si="60"/>
        <v>0.99737019939262195</v>
      </c>
      <c r="CQ34" s="97" t="e">
        <f>#REF!</f>
        <v>#REF!</v>
      </c>
      <c r="CR34" s="97">
        <f t="shared" si="71"/>
        <v>3.6881397539420678E-2</v>
      </c>
      <c r="CS34" s="97">
        <f t="shared" si="71"/>
        <v>0.13277303114191444</v>
      </c>
      <c r="CT34" s="504" t="e">
        <f>#REF!</f>
        <v>#REF!</v>
      </c>
      <c r="CU34" s="97">
        <f t="shared" si="72"/>
        <v>5.1487071874560794E-2</v>
      </c>
      <c r="CV34" s="97">
        <f t="shared" si="61"/>
        <v>9.4624888850544153E-2</v>
      </c>
      <c r="CW34" s="504" t="e">
        <f>#REF!</f>
        <v>#REF!</v>
      </c>
      <c r="CX34" s="97">
        <f t="shared" si="62"/>
        <v>8.3726414355027229E-2</v>
      </c>
      <c r="CY34" s="97">
        <f t="shared" si="62"/>
        <v>0</v>
      </c>
      <c r="CZ34" s="97">
        <f t="shared" si="62"/>
        <v>0.23621365209341011</v>
      </c>
      <c r="DA34" s="97">
        <f t="shared" si="62"/>
        <v>1.4561115540004735E-2</v>
      </c>
      <c r="DB34" s="97">
        <f t="shared" si="13"/>
        <v>0.10920836655003552</v>
      </c>
      <c r="DC34" s="97">
        <f t="shared" si="14"/>
        <v>2.3055099605007495E-2</v>
      </c>
      <c r="DD34" s="97">
        <f t="shared" si="14"/>
        <v>9.666962816836476E-2</v>
      </c>
      <c r="DE34" s="97">
        <f t="shared" si="14"/>
        <v>0.11689339975170467</v>
      </c>
      <c r="DF34" s="97">
        <f t="shared" si="14"/>
        <v>0</v>
      </c>
      <c r="DG34" s="97">
        <f t="shared" si="14"/>
        <v>0</v>
      </c>
      <c r="DH34" s="97">
        <f t="shared" si="14"/>
        <v>0.22893309432340775</v>
      </c>
      <c r="DI34" s="504" t="e">
        <f>#REF!</f>
        <v>#REF!</v>
      </c>
      <c r="DJ34" s="97">
        <f t="shared" si="63"/>
        <v>0.14116192565171257</v>
      </c>
      <c r="DK34" s="504" t="e">
        <f>#REF!</f>
        <v>#REF!</v>
      </c>
      <c r="DL34" s="97">
        <f t="shared" si="15"/>
        <v>0.71357232074311205</v>
      </c>
      <c r="DM34" s="504">
        <f t="shared" si="16"/>
        <v>0</v>
      </c>
      <c r="DN34" s="97">
        <f t="shared" si="17"/>
        <v>1.6307672811976501</v>
      </c>
      <c r="DO34" s="100">
        <v>3.4</v>
      </c>
      <c r="DP34" s="97">
        <f t="shared" si="18"/>
        <v>2.4855015275924748</v>
      </c>
      <c r="DQ34" s="97">
        <f t="shared" si="73"/>
        <v>3.3757462308880521</v>
      </c>
      <c r="DR34" s="101" t="str">
        <f t="shared" si="19"/>
        <v>3,315, hL/NhL</v>
      </c>
      <c r="DT34" s="134">
        <v>29</v>
      </c>
      <c r="DU34" s="135">
        <v>621009</v>
      </c>
      <c r="DV34" s="76">
        <v>25504</v>
      </c>
      <c r="DW34" s="77">
        <v>5120997</v>
      </c>
      <c r="DX34" s="76">
        <v>113996</v>
      </c>
      <c r="DY34" s="76">
        <v>83735</v>
      </c>
      <c r="DZ34" s="76">
        <v>386163</v>
      </c>
      <c r="EA34" s="77">
        <v>226926</v>
      </c>
      <c r="EB34" s="77">
        <v>52889</v>
      </c>
      <c r="EC34" s="77">
        <v>397258</v>
      </c>
      <c r="ED34" s="77">
        <v>46402</v>
      </c>
      <c r="EE34" s="77">
        <v>38055</v>
      </c>
      <c r="EF34" s="77">
        <v>40792</v>
      </c>
      <c r="EG34" s="76">
        <v>91167</v>
      </c>
      <c r="EH34" s="76">
        <v>179655</v>
      </c>
      <c r="EI34" s="76">
        <v>30937</v>
      </c>
      <c r="EJ34" s="77">
        <v>39921</v>
      </c>
      <c r="EK34" s="77"/>
      <c r="EL34" s="76">
        <v>693822</v>
      </c>
      <c r="EM34" s="76">
        <v>4630</v>
      </c>
      <c r="EN34" s="77">
        <v>42812</v>
      </c>
      <c r="EO34" s="76">
        <v>2966699</v>
      </c>
      <c r="EP34" s="77">
        <v>2746457</v>
      </c>
      <c r="EQ34" s="77">
        <v>0</v>
      </c>
      <c r="ER34" s="77">
        <v>1036</v>
      </c>
      <c r="ES34" s="77">
        <v>337269</v>
      </c>
      <c r="ET34" s="136">
        <v>7856369</v>
      </c>
      <c r="EU34" s="77">
        <v>411315</v>
      </c>
      <c r="EV34" s="77">
        <v>130097</v>
      </c>
      <c r="EW34" s="77">
        <v>98816</v>
      </c>
      <c r="EX34" s="76">
        <v>205516</v>
      </c>
      <c r="EY34" s="76">
        <v>1619796</v>
      </c>
      <c r="EZ34" s="149">
        <v>757074</v>
      </c>
      <c r="FA34" s="149">
        <v>740104</v>
      </c>
      <c r="FB34" s="151">
        <v>30221</v>
      </c>
      <c r="FC34" s="149">
        <v>5796</v>
      </c>
      <c r="FD34" s="104">
        <f>SUM(FE34:FM34)</f>
        <v>6145</v>
      </c>
      <c r="FE34" s="105">
        <f t="shared" si="81"/>
        <v>0</v>
      </c>
      <c r="FF34" s="105">
        <f t="shared" si="81"/>
        <v>0</v>
      </c>
      <c r="FG34" s="105">
        <f t="shared" si="81"/>
        <v>1968</v>
      </c>
      <c r="FH34" s="105">
        <f t="shared" si="81"/>
        <v>1475</v>
      </c>
      <c r="FI34" s="105">
        <f t="shared" si="81"/>
        <v>611</v>
      </c>
      <c r="FJ34" s="105">
        <f t="shared" si="81"/>
        <v>952</v>
      </c>
      <c r="FK34" s="105">
        <f t="shared" si="81"/>
        <v>0</v>
      </c>
      <c r="FL34" s="105">
        <f t="shared" si="81"/>
        <v>1139</v>
      </c>
      <c r="FM34" s="105">
        <f t="shared" si="81"/>
        <v>0</v>
      </c>
      <c r="FN34" s="80">
        <v>0</v>
      </c>
      <c r="FO34" s="104"/>
      <c r="FP34" s="81"/>
      <c r="FY34" s="119">
        <v>29</v>
      </c>
      <c r="FZ34" s="190"/>
      <c r="GA34" s="191"/>
      <c r="GB34" s="107"/>
      <c r="GC34" s="109"/>
      <c r="GD34" s="110"/>
      <c r="GE34" s="110"/>
      <c r="GF34" s="111"/>
      <c r="GG34" s="111"/>
      <c r="GH34" s="111"/>
      <c r="GI34" s="112"/>
      <c r="GJ34" s="111" t="e">
        <f t="shared" si="65"/>
        <v>#DIV/0!</v>
      </c>
      <c r="GK34" s="113"/>
    </row>
    <row r="35" spans="1:193" s="119" customFormat="1" ht="15" customHeight="1">
      <c r="B35" s="573">
        <v>42885</v>
      </c>
      <c r="D35" s="85">
        <v>1296</v>
      </c>
      <c r="E35" s="85">
        <v>5199.12</v>
      </c>
      <c r="F35" s="85">
        <v>2746.2959999999998</v>
      </c>
      <c r="G35" s="85">
        <v>2220.2269999999999</v>
      </c>
      <c r="H35" s="85">
        <v>4377.4440000000004</v>
      </c>
      <c r="I35" s="85">
        <v>1253.18</v>
      </c>
      <c r="J35" s="85">
        <v>5016</v>
      </c>
      <c r="K35" s="167"/>
      <c r="L35" s="167"/>
      <c r="M35" s="115">
        <f>I35+J35</f>
        <v>6269.18</v>
      </c>
      <c r="N35" s="88">
        <f>SUM(D35:H35)</f>
        <v>15839.087</v>
      </c>
      <c r="O35" s="88">
        <f>N35+L35+((J35+I35)*0.5)</f>
        <v>18973.677</v>
      </c>
      <c r="P35" s="89">
        <f t="shared" si="23"/>
        <v>628136.7655000001</v>
      </c>
      <c r="R35" s="170">
        <f>IF(EL35=0,"",(EL35-EL34))</f>
        <v>120</v>
      </c>
      <c r="S35" s="170">
        <f t="shared" si="25"/>
        <v>42.3</v>
      </c>
      <c r="T35" s="170">
        <f t="shared" si="1"/>
        <v>357.3</v>
      </c>
      <c r="U35" s="91">
        <f t="shared" si="76"/>
        <v>0</v>
      </c>
      <c r="V35" s="90">
        <f t="shared" si="26"/>
        <v>1243</v>
      </c>
      <c r="W35" s="91">
        <f t="shared" si="2"/>
        <v>110.9</v>
      </c>
      <c r="X35" s="170">
        <f t="shared" si="27"/>
        <v>1243</v>
      </c>
      <c r="Y35" s="170">
        <f t="shared" si="28"/>
        <v>59.7</v>
      </c>
      <c r="Z35" s="170">
        <f t="shared" si="3"/>
        <v>148.5</v>
      </c>
      <c r="AA35" s="170">
        <f t="shared" si="29"/>
        <v>1762.6</v>
      </c>
      <c r="AB35" s="170">
        <f t="shared" si="30"/>
        <v>102</v>
      </c>
      <c r="AC35" s="170">
        <f t="shared" si="30"/>
        <v>30</v>
      </c>
      <c r="AD35" s="170">
        <f t="shared" si="31"/>
        <v>245</v>
      </c>
      <c r="AE35" s="170">
        <f t="shared" si="32"/>
        <v>113</v>
      </c>
      <c r="AF35" s="170">
        <f t="shared" si="33"/>
        <v>187</v>
      </c>
      <c r="AG35" s="170">
        <f t="shared" si="33"/>
        <v>45</v>
      </c>
      <c r="AH35" s="170">
        <f t="shared" si="34"/>
        <v>395</v>
      </c>
      <c r="AI35" s="170">
        <f t="shared" si="35"/>
        <v>163</v>
      </c>
      <c r="AJ35" s="170">
        <f t="shared" si="36"/>
        <v>197</v>
      </c>
      <c r="AK35" s="170">
        <f t="shared" si="36"/>
        <v>22</v>
      </c>
      <c r="AL35" s="170">
        <f t="shared" si="37"/>
        <v>302</v>
      </c>
      <c r="AM35" s="170">
        <f t="shared" si="38"/>
        <v>83</v>
      </c>
      <c r="AN35" s="170">
        <f t="shared" si="39"/>
        <v>45</v>
      </c>
      <c r="AO35" s="170">
        <f t="shared" si="4"/>
        <v>85</v>
      </c>
      <c r="AP35" s="170">
        <f t="shared" si="40"/>
        <v>50</v>
      </c>
      <c r="AQ35" s="170">
        <f t="shared" si="5"/>
        <v>112</v>
      </c>
      <c r="AR35" s="170">
        <f t="shared" si="41"/>
        <v>54.877000000000002</v>
      </c>
      <c r="AS35" s="170">
        <f>IF(AR35="","",(ES35-ES34)+((ET35-ET34)/1000)-AW35-AU35)</f>
        <v>132.87699999999995</v>
      </c>
      <c r="AT35" s="170">
        <f t="shared" si="43"/>
        <v>808.87699999999995</v>
      </c>
      <c r="AU35" s="170">
        <f t="shared" si="44"/>
        <v>212</v>
      </c>
      <c r="AV35" s="170">
        <f t="shared" si="67"/>
        <v>0</v>
      </c>
      <c r="AW35" s="170">
        <f t="shared" si="45"/>
        <v>464</v>
      </c>
      <c r="AX35" s="170">
        <f>IF(EJ35=0,"",(EJ35-EJ34))</f>
        <v>3</v>
      </c>
      <c r="AY35" s="170" t="str">
        <f t="shared" si="77"/>
        <v/>
      </c>
      <c r="AZ35" s="170">
        <f t="shared" si="46"/>
        <v>267</v>
      </c>
      <c r="BA35" s="170">
        <v>58</v>
      </c>
      <c r="BB35" s="170">
        <f t="shared" si="47"/>
        <v>84</v>
      </c>
      <c r="BC35" s="170">
        <f t="shared" si="47"/>
        <v>0</v>
      </c>
      <c r="BD35" s="91">
        <f t="shared" si="48"/>
        <v>253</v>
      </c>
      <c r="BE35" s="90"/>
      <c r="BF35" s="90"/>
      <c r="BG35" s="170">
        <f t="shared" si="82"/>
        <v>351</v>
      </c>
      <c r="BH35" s="170">
        <f t="shared" si="49"/>
        <v>689</v>
      </c>
      <c r="BI35" s="170">
        <f t="shared" si="50"/>
        <v>1505.5230000000001</v>
      </c>
      <c r="BJ35" s="170">
        <f>IF(BH35=0,"",(AA35+AD35+AO35+BG35+AH35+AL35+AQ35+AT35+AX35+AV35))</f>
        <v>4064.4769999999999</v>
      </c>
      <c r="BK35" s="92"/>
      <c r="BL35" s="331">
        <f>FD35+FN35</f>
        <v>6259</v>
      </c>
      <c r="BM35" s="331">
        <f>BL35+BM34</f>
        <v>211897</v>
      </c>
      <c r="BN35" s="92"/>
      <c r="BO35" s="97">
        <f>IF($N35&lt;&gt;0,IF($N35&lt;&gt;0,R35/$N35*10,0)," ")</f>
        <v>7.5761942591766815E-2</v>
      </c>
      <c r="BP35" s="97">
        <f t="shared" si="53"/>
        <v>2.6706084763597798E-2</v>
      </c>
      <c r="BQ35" s="97">
        <f t="shared" si="54"/>
        <v>0.22558118406698568</v>
      </c>
      <c r="BR35" s="97">
        <f t="shared" si="69"/>
        <v>0.78476745534638459</v>
      </c>
      <c r="BS35" s="97">
        <f t="shared" si="79"/>
        <v>3.7691566439403995E-2</v>
      </c>
      <c r="BT35" s="97">
        <f t="shared" si="79"/>
        <v>9.375540395731144E-2</v>
      </c>
      <c r="BU35" s="97">
        <f t="shared" si="79"/>
        <v>1.1128166667687347</v>
      </c>
      <c r="BV35" s="97">
        <f t="shared" si="9"/>
        <v>6.3245516406756588E-2</v>
      </c>
      <c r="BW35" s="97">
        <f t="shared" si="9"/>
        <v>2.2294044533381695E-2</v>
      </c>
      <c r="BX35" s="97">
        <f t="shared" si="9"/>
        <v>0.18831352510111776</v>
      </c>
      <c r="BY35" s="97">
        <f t="shared" si="55"/>
        <v>0.65511814077998687</v>
      </c>
      <c r="BZ35" s="97">
        <f t="shared" si="10"/>
        <v>0.92897122682124289</v>
      </c>
      <c r="CA35" s="504" t="e">
        <f>#REF!</f>
        <v>#REF!</v>
      </c>
      <c r="CB35" s="97">
        <f t="shared" si="11"/>
        <v>2.8922701698779842E-2</v>
      </c>
      <c r="CC35" s="97">
        <f t="shared" si="11"/>
        <v>7.0032287363171589E-2</v>
      </c>
      <c r="CD35" s="97">
        <f t="shared" si="12"/>
        <v>8.7534573899616844E-2</v>
      </c>
      <c r="CE35" s="97">
        <f t="shared" si="12"/>
        <v>0.211952759372039</v>
      </c>
      <c r="CF35" s="97">
        <f t="shared" si="56"/>
        <v>0.78703703703703709</v>
      </c>
      <c r="CG35" s="97">
        <f t="shared" si="56"/>
        <v>0.23148148148148145</v>
      </c>
      <c r="CH35" s="97">
        <f t="shared" si="57"/>
        <v>1.8904320987654322</v>
      </c>
      <c r="CI35" s="504" t="e">
        <f>#REF!</f>
        <v>#REF!</v>
      </c>
      <c r="CJ35" s="97">
        <f t="shared" si="58"/>
        <v>0.35967625290433763</v>
      </c>
      <c r="CK35" s="97">
        <f t="shared" si="58"/>
        <v>8.6553108987674834E-2</v>
      </c>
      <c r="CL35" s="97">
        <f t="shared" si="70"/>
        <v>0.75974395666959027</v>
      </c>
      <c r="CM35" s="97" t="e">
        <f>#REF!</f>
        <v>#REF!</v>
      </c>
      <c r="CN35" s="97">
        <f t="shared" si="59"/>
        <v>0.71732981441184784</v>
      </c>
      <c r="CO35" s="97">
        <f t="shared" si="59"/>
        <v>8.0107898056145446E-2</v>
      </c>
      <c r="CP35" s="97">
        <f t="shared" si="60"/>
        <v>1.0996629642252693</v>
      </c>
      <c r="CQ35" s="97" t="e">
        <f>#REF!</f>
        <v>#REF!</v>
      </c>
      <c r="CR35" s="97">
        <f t="shared" si="71"/>
        <v>0.20268197801395987</v>
      </c>
      <c r="CS35" s="97">
        <f t="shared" si="71"/>
        <v>0.38284373624859086</v>
      </c>
      <c r="CT35" s="504" t="e">
        <f>#REF!</f>
        <v>#REF!</v>
      </c>
      <c r="CU35" s="97">
        <f t="shared" si="72"/>
        <v>0.11422190666516806</v>
      </c>
      <c r="CV35" s="97">
        <f t="shared" si="61"/>
        <v>0.25585707092997645</v>
      </c>
      <c r="CW35" s="504" t="e">
        <f>#REF!</f>
        <v>#REF!</v>
      </c>
      <c r="CX35" s="97">
        <f t="shared" si="62"/>
        <v>0.11173374565193663</v>
      </c>
      <c r="CY35" s="97">
        <f t="shared" si="62"/>
        <v>0</v>
      </c>
      <c r="CZ35" s="97">
        <f t="shared" si="62"/>
        <v>0.24454933010612545</v>
      </c>
      <c r="DA35" s="97">
        <f t="shared" si="62"/>
        <v>1.5811379101689144E-3</v>
      </c>
      <c r="DB35" s="97">
        <f t="shared" si="13"/>
        <v>0.1407212740050334</v>
      </c>
      <c r="DC35" s="97">
        <f t="shared" si="14"/>
        <v>4.4271861484729613E-2</v>
      </c>
      <c r="DD35" s="97">
        <f t="shared" si="14"/>
        <v>0</v>
      </c>
      <c r="DE35" s="97">
        <f t="shared" si="14"/>
        <v>0.13334263042424513</v>
      </c>
      <c r="DF35" s="97">
        <f t="shared" si="14"/>
        <v>0</v>
      </c>
      <c r="DG35" s="97">
        <f t="shared" si="14"/>
        <v>0</v>
      </c>
      <c r="DH35" s="97">
        <f t="shared" si="14"/>
        <v>0.18499313548976301</v>
      </c>
      <c r="DI35" s="504" t="e">
        <f>#REF!</f>
        <v>#REF!</v>
      </c>
      <c r="DJ35" s="97">
        <f t="shared" si="63"/>
        <v>0.36313467336879401</v>
      </c>
      <c r="DK35" s="504" t="e">
        <f>#REF!</f>
        <v>#REF!</v>
      </c>
      <c r="DL35" s="97">
        <f t="shared" si="15"/>
        <v>0.79347982997707833</v>
      </c>
      <c r="DM35" s="504">
        <f t="shared" si="16"/>
        <v>0</v>
      </c>
      <c r="DN35" s="97">
        <f t="shared" si="17"/>
        <v>2.1421662232365395</v>
      </c>
      <c r="DO35" s="100">
        <v>3.4</v>
      </c>
      <c r="DP35" s="97">
        <f t="shared" si="18"/>
        <v>3.2987807265824118</v>
      </c>
      <c r="DQ35" s="97">
        <f>IF($P35&lt;&gt;0,IF($P35&lt;&gt;0,BM35/$P35*10,0)," ")</f>
        <v>3.3734213890716762</v>
      </c>
      <c r="DR35" s="101" t="str">
        <f t="shared" si="19"/>
        <v>3,315, hL/NhL</v>
      </c>
      <c r="DS35" s="173"/>
      <c r="DT35" s="134">
        <v>30</v>
      </c>
      <c r="DU35" s="76">
        <v>621111</v>
      </c>
      <c r="DV35" s="76">
        <v>25534</v>
      </c>
      <c r="DW35" s="76">
        <v>5121242</v>
      </c>
      <c r="DX35" s="76">
        <v>114183</v>
      </c>
      <c r="DY35" s="76">
        <v>83780</v>
      </c>
      <c r="DZ35" s="76">
        <v>386558</v>
      </c>
      <c r="EA35" s="77">
        <v>227123</v>
      </c>
      <c r="EB35" s="77">
        <v>52911</v>
      </c>
      <c r="EC35" s="77">
        <v>397560</v>
      </c>
      <c r="ED35" s="76">
        <v>46447</v>
      </c>
      <c r="EE35" s="77">
        <v>38073</v>
      </c>
      <c r="EF35" s="77">
        <v>40859</v>
      </c>
      <c r="EG35" s="76">
        <v>91217</v>
      </c>
      <c r="EH35" s="76">
        <v>179767</v>
      </c>
      <c r="EI35" s="76">
        <v>30937</v>
      </c>
      <c r="EJ35" s="77">
        <v>39924</v>
      </c>
      <c r="EK35" s="77"/>
      <c r="EL35" s="76">
        <v>693942</v>
      </c>
      <c r="EM35" s="76">
        <v>3573</v>
      </c>
      <c r="EN35" s="77">
        <v>42812</v>
      </c>
      <c r="EO35" s="76">
        <v>2967942</v>
      </c>
      <c r="EP35" s="77">
        <v>2747566</v>
      </c>
      <c r="EQ35" s="77">
        <v>597</v>
      </c>
      <c r="ER35" s="77">
        <v>1485</v>
      </c>
      <c r="ES35" s="77">
        <v>338023</v>
      </c>
      <c r="ET35" s="77">
        <v>7911246</v>
      </c>
      <c r="EU35" s="77">
        <v>411779</v>
      </c>
      <c r="EV35" s="77">
        <v>130309</v>
      </c>
      <c r="EW35" s="77">
        <v>99083</v>
      </c>
      <c r="EX35" s="76">
        <v>205600</v>
      </c>
      <c r="EY35" s="76">
        <v>1619796</v>
      </c>
      <c r="EZ35" s="149">
        <v>757497</v>
      </c>
      <c r="FA35" s="149">
        <v>740357</v>
      </c>
      <c r="FB35" s="151">
        <v>30287</v>
      </c>
      <c r="FC35" s="149">
        <v>5570</v>
      </c>
      <c r="FD35" s="104">
        <f>SUM(FE35:FM35)</f>
        <v>6259</v>
      </c>
      <c r="FE35" s="105">
        <f t="shared" si="81"/>
        <v>0</v>
      </c>
      <c r="FF35" s="105">
        <f t="shared" si="81"/>
        <v>0</v>
      </c>
      <c r="FG35" s="105">
        <f t="shared" si="81"/>
        <v>2047</v>
      </c>
      <c r="FH35" s="105">
        <f t="shared" si="81"/>
        <v>1767</v>
      </c>
      <c r="FI35" s="105">
        <f t="shared" si="81"/>
        <v>565</v>
      </c>
      <c r="FJ35" s="105">
        <f t="shared" si="81"/>
        <v>835</v>
      </c>
      <c r="FK35" s="105">
        <f t="shared" si="81"/>
        <v>0</v>
      </c>
      <c r="FL35" s="105">
        <f t="shared" si="81"/>
        <v>1045</v>
      </c>
      <c r="FM35" s="105">
        <f t="shared" si="81"/>
        <v>0</v>
      </c>
      <c r="FN35" s="80">
        <f t="shared" si="74"/>
        <v>0</v>
      </c>
      <c r="FO35" s="104"/>
      <c r="FP35" s="189"/>
      <c r="FY35" s="119">
        <v>30</v>
      </c>
      <c r="FZ35" s="190"/>
      <c r="GA35" s="192"/>
      <c r="GB35" s="190"/>
      <c r="GC35" s="109"/>
      <c r="GD35" s="110"/>
      <c r="GE35" s="110"/>
      <c r="GF35" s="111"/>
      <c r="GG35" s="111"/>
      <c r="GH35" s="111"/>
      <c r="GI35" s="112"/>
      <c r="GJ35" s="111" t="e">
        <f t="shared" si="65"/>
        <v>#DIV/0!</v>
      </c>
      <c r="GK35" s="113"/>
    </row>
    <row r="36" spans="1:193" s="119" customFormat="1" ht="15" customHeight="1">
      <c r="B36" s="573">
        <v>42886</v>
      </c>
      <c r="D36" s="85">
        <v>1794.96</v>
      </c>
      <c r="E36" s="85">
        <v>6491.16</v>
      </c>
      <c r="F36" s="85">
        <v>3534.84</v>
      </c>
      <c r="G36" s="85">
        <v>5146.8690000000006</v>
      </c>
      <c r="H36" s="85">
        <v>5409.0570000000007</v>
      </c>
      <c r="I36" s="85">
        <v>941.93299999999999</v>
      </c>
      <c r="J36" s="85">
        <v>8595.84</v>
      </c>
      <c r="K36" s="167">
        <v>13.81</v>
      </c>
      <c r="L36" s="167"/>
      <c r="M36" s="115">
        <f>I36+J36</f>
        <v>9537.773000000001</v>
      </c>
      <c r="N36" s="88">
        <f>SUM(D36:H36)</f>
        <v>22376.885999999999</v>
      </c>
      <c r="O36" s="88">
        <f>N36+L36+((J36+I36)*0.5)</f>
        <v>27145.772499999999</v>
      </c>
      <c r="P36" s="89">
        <f t="shared" si="23"/>
        <v>655282.53800000006</v>
      </c>
      <c r="R36" s="170">
        <f>IF(EL36=0,"",(EL36-EL35))</f>
        <v>1</v>
      </c>
      <c r="S36" s="170">
        <f>IF(EZ36=0,"",((EZ36-EZ35)/10))</f>
        <v>0</v>
      </c>
      <c r="T36" s="170">
        <f t="shared" si="1"/>
        <v>354.2</v>
      </c>
      <c r="U36" s="91">
        <f>IF(FB36=0,"",((EN36-EN35)/10))</f>
        <v>0</v>
      </c>
      <c r="V36" s="90">
        <f t="shared" si="26"/>
        <v>1355</v>
      </c>
      <c r="W36" s="91">
        <f t="shared" si="2"/>
        <v>121</v>
      </c>
      <c r="X36" s="170">
        <f t="shared" si="27"/>
        <v>1355</v>
      </c>
      <c r="Y36" s="170">
        <f t="shared" si="28"/>
        <v>139.4</v>
      </c>
      <c r="Z36" s="170">
        <f t="shared" si="3"/>
        <v>154</v>
      </c>
      <c r="AA36" s="170">
        <f>IF(SUM(R36:V36)=0,"",SUM(R36:V36))</f>
        <v>1710.2</v>
      </c>
      <c r="AB36" s="170">
        <f t="shared" si="30"/>
        <v>79</v>
      </c>
      <c r="AC36" s="170">
        <f t="shared" si="30"/>
        <v>75</v>
      </c>
      <c r="AD36" s="170">
        <f>(IF(SUM(AB36:AC36)&gt;=(DW36-DW35),(SUM(AB36:AC36)),(DW36-DW35)))</f>
        <v>271</v>
      </c>
      <c r="AE36" s="170">
        <f t="shared" si="32"/>
        <v>117</v>
      </c>
      <c r="AF36" s="170">
        <f t="shared" si="33"/>
        <v>212</v>
      </c>
      <c r="AG36" s="170">
        <f t="shared" si="33"/>
        <v>38</v>
      </c>
      <c r="AH36" s="170">
        <f t="shared" si="34"/>
        <v>345</v>
      </c>
      <c r="AI36" s="170">
        <f>IF(AF36="","",(AH36-AG36-AF36))</f>
        <v>95</v>
      </c>
      <c r="AJ36" s="170">
        <f>IF(EA36=0,"",(EA36-EA35))</f>
        <v>198</v>
      </c>
      <c r="AK36" s="170">
        <f>IF(EB36=0,"",(EB36-EB35))</f>
        <v>20</v>
      </c>
      <c r="AL36" s="170">
        <f t="shared" si="37"/>
        <v>301</v>
      </c>
      <c r="AM36" s="170">
        <f t="shared" si="38"/>
        <v>83</v>
      </c>
      <c r="AN36" s="170">
        <f t="shared" si="39"/>
        <v>23</v>
      </c>
      <c r="AO36" s="170">
        <f t="shared" si="4"/>
        <v>72</v>
      </c>
      <c r="AP36" s="170">
        <f>IF(EG36=0,"",(EG36-EG35))</f>
        <v>39</v>
      </c>
      <c r="AQ36" s="170">
        <f t="shared" si="5"/>
        <v>59</v>
      </c>
      <c r="AR36" s="170">
        <f t="shared" si="41"/>
        <v>57.164000000000001</v>
      </c>
      <c r="AS36" s="170">
        <f>IF(AR36="","",(ES36-ES35)+((ET36-ET35)/1000)-AW36-AU36)</f>
        <v>38.163999999999987</v>
      </c>
      <c r="AT36" s="170">
        <f>IF(AR36="","",ES36-ES35+((ET36-ET35)/1000))</f>
        <v>896.16399999999999</v>
      </c>
      <c r="AU36" s="170">
        <f t="shared" si="44"/>
        <v>125</v>
      </c>
      <c r="AV36" s="170">
        <f t="shared" si="67"/>
        <v>0</v>
      </c>
      <c r="AW36" s="170">
        <f t="shared" si="45"/>
        <v>733</v>
      </c>
      <c r="AX36" s="170">
        <f t="shared" si="68"/>
        <v>2</v>
      </c>
      <c r="AY36" s="170" t="str">
        <f t="shared" si="77"/>
        <v/>
      </c>
      <c r="AZ36" s="170">
        <f t="shared" si="46"/>
        <v>237</v>
      </c>
      <c r="BA36" s="170">
        <v>98.8</v>
      </c>
      <c r="BB36" s="170">
        <f t="shared" si="47"/>
        <v>78</v>
      </c>
      <c r="BC36" s="170">
        <f t="shared" si="47"/>
        <v>4</v>
      </c>
      <c r="BD36" s="91">
        <f t="shared" si="48"/>
        <v>0</v>
      </c>
      <c r="BE36" s="90"/>
      <c r="BF36" s="90"/>
      <c r="BG36" s="170">
        <f t="shared" si="82"/>
        <v>319</v>
      </c>
      <c r="BH36" s="170">
        <f t="shared" si="49"/>
        <v>-1714.3000000000002</v>
      </c>
      <c r="BI36" s="170">
        <f>IF(FC36=0,"",(FC36-BJ36))</f>
        <v>730.63600000000042</v>
      </c>
      <c r="BJ36" s="170">
        <f>IF(BH36=0,"",(AA36+AD36+AO36+BG36+AH36+AL36+AQ36+AT36+AX36+AV36))</f>
        <v>3975.3639999999996</v>
      </c>
      <c r="BK36" s="92"/>
      <c r="BL36" s="331">
        <f>FD36+FN36-205.3</f>
        <v>2991.7</v>
      </c>
      <c r="BM36" s="331">
        <f t="shared" si="52"/>
        <v>214888.7</v>
      </c>
      <c r="BN36" s="92"/>
      <c r="BO36" s="97">
        <f>IF($N36&lt;&gt;0,IF($N36&lt;&gt;0,R36/$N36*10,0)," ")</f>
        <v>4.4688970574368572E-4</v>
      </c>
      <c r="BP36" s="97">
        <f>IF($N36&lt;&gt;0,IF($N36&lt;&gt;0,S36/$N36*10,0)," ")</f>
        <v>0</v>
      </c>
      <c r="BQ36" s="97">
        <f t="shared" si="54"/>
        <v>0.15828833377441348</v>
      </c>
      <c r="BR36" s="97">
        <f t="shared" si="69"/>
        <v>0.60553555128269421</v>
      </c>
      <c r="BS36" s="97">
        <f t="shared" si="79"/>
        <v>6.2296424980669785E-2</v>
      </c>
      <c r="BT36" s="97">
        <f t="shared" si="79"/>
        <v>6.8821014684527601E-2</v>
      </c>
      <c r="BU36" s="97">
        <f t="shared" si="79"/>
        <v>0.76427077476285132</v>
      </c>
      <c r="BV36" s="97">
        <f>IF($O36&lt;&gt;0,IF($O36&lt;&gt;0,R36/$O36*10,0)," ")</f>
        <v>3.6838148555175579E-4</v>
      </c>
      <c r="BW36" s="97">
        <f>IF($O36&lt;&gt;0,IF($O36&lt;&gt;0,S36/$O36*10,0)," ")</f>
        <v>0</v>
      </c>
      <c r="BX36" s="97">
        <f>IF($O36&lt;&gt;0,IF($O36&lt;&gt;0,T36/$O36*10,0)," ")</f>
        <v>0.1304807221824319</v>
      </c>
      <c r="BY36" s="97">
        <f t="shared" si="55"/>
        <v>0.49915691292262915</v>
      </c>
      <c r="BZ36" s="97">
        <f t="shared" si="10"/>
        <v>0.63000601659061284</v>
      </c>
      <c r="CA36" s="504" t="e">
        <f>#REF!</f>
        <v>#REF!</v>
      </c>
      <c r="CB36" s="97">
        <f t="shared" si="11"/>
        <v>2.1058159240080573E-2</v>
      </c>
      <c r="CC36" s="97">
        <f t="shared" si="11"/>
        <v>1.4058911014597204E-2</v>
      </c>
      <c r="CD36" s="97">
        <f>IFERROR(AR36*10/($I36+$J36),"")</f>
        <v>5.9934326388350813E-2</v>
      </c>
      <c r="CE36" s="97">
        <f>IFERROR(AS36*10/($I36+$J36),"")</f>
        <v>4.0013533557571548E-2</v>
      </c>
      <c r="CF36" s="97">
        <f t="shared" si="56"/>
        <v>0.44012122832820788</v>
      </c>
      <c r="CG36" s="97">
        <f t="shared" si="56"/>
        <v>0.41783660917234922</v>
      </c>
      <c r="CH36" s="97">
        <f t="shared" si="57"/>
        <v>1.5097829478094218</v>
      </c>
      <c r="CI36" s="504" t="e">
        <f>#REF!</f>
        <v>#REF!</v>
      </c>
      <c r="CJ36" s="97">
        <f t="shared" si="58"/>
        <v>0.32659801946031219</v>
      </c>
      <c r="CK36" s="97">
        <f t="shared" si="58"/>
        <v>5.8541154431565393E-2</v>
      </c>
      <c r="CL36" s="97">
        <f t="shared" si="70"/>
        <v>0.53149205997079108</v>
      </c>
      <c r="CM36" s="97" t="e">
        <f>#REF!</f>
        <v>#REF!</v>
      </c>
      <c r="CN36" s="97">
        <f t="shared" si="59"/>
        <v>0.56013850697627054</v>
      </c>
      <c r="CO36" s="97">
        <f t="shared" si="59"/>
        <v>5.6579647169320249E-2</v>
      </c>
      <c r="CP36" s="97">
        <f t="shared" si="60"/>
        <v>0.85152368989826976</v>
      </c>
      <c r="CQ36" s="97" t="e">
        <f>#REF!</f>
        <v>#REF!</v>
      </c>
      <c r="CR36" s="97">
        <f t="shared" si="71"/>
        <v>4.4687362355637958E-2</v>
      </c>
      <c r="CS36" s="97">
        <f t="shared" si="71"/>
        <v>0.13989087346112752</v>
      </c>
      <c r="CT36" s="504" t="e">
        <f>#REF!</f>
        <v>#REF!</v>
      </c>
      <c r="CU36" s="97">
        <f t="shared" si="72"/>
        <v>7.2101292332471242E-2</v>
      </c>
      <c r="CV36" s="97">
        <f t="shared" si="61"/>
        <v>0.10907631404143087</v>
      </c>
      <c r="CW36" s="504" t="e">
        <f>#REF!</f>
        <v>#REF!</v>
      </c>
      <c r="CX36" s="97">
        <f t="shared" si="62"/>
        <v>4.6047685693969477E-2</v>
      </c>
      <c r="CY36" s="97">
        <f t="shared" si="62"/>
        <v>0</v>
      </c>
      <c r="CZ36" s="97">
        <f t="shared" si="62"/>
        <v>0.27002362890943704</v>
      </c>
      <c r="DA36" s="97">
        <f t="shared" si="62"/>
        <v>7.3676297110351159E-4</v>
      </c>
      <c r="DB36" s="97">
        <f t="shared" si="13"/>
        <v>8.7306412075766129E-2</v>
      </c>
      <c r="DC36" s="97">
        <f t="shared" ref="DC36:DH36" si="83">IF($O36&lt;&gt;0,IF($O36&lt;&gt;0,BB36/$O36*10,0)," ")</f>
        <v>2.8733755873036955E-2</v>
      </c>
      <c r="DD36" s="97">
        <f t="shared" si="83"/>
        <v>1.4735259422070232E-3</v>
      </c>
      <c r="DE36" s="97">
        <f t="shared" si="83"/>
        <v>0</v>
      </c>
      <c r="DF36" s="97">
        <f t="shared" si="83"/>
        <v>0</v>
      </c>
      <c r="DG36" s="97">
        <f t="shared" si="83"/>
        <v>0</v>
      </c>
      <c r="DH36" s="97">
        <f t="shared" si="83"/>
        <v>0.11751369389101012</v>
      </c>
      <c r="DI36" s="504" t="e">
        <f>#REF!</f>
        <v>#REF!</v>
      </c>
      <c r="DJ36" s="97">
        <f t="shared" si="63"/>
        <v>-0.63151638068137506</v>
      </c>
      <c r="DK36" s="504" t="e">
        <f>#REF!</f>
        <v>#REF!</v>
      </c>
      <c r="DL36" s="97">
        <f t="shared" si="15"/>
        <v>0.26915277507759283</v>
      </c>
      <c r="DM36" s="504">
        <f t="shared" si="16"/>
        <v>0</v>
      </c>
      <c r="DN36" s="97">
        <f t="shared" si="17"/>
        <v>1.4644504959289701</v>
      </c>
      <c r="DO36" s="100">
        <v>3.4</v>
      </c>
      <c r="DP36" s="97">
        <f t="shared" si="18"/>
        <v>1.1020868903251877</v>
      </c>
      <c r="DQ36" s="505">
        <f>IF($P36&lt;&gt;0,IF($P36&lt;&gt;0,BM36/$P36*10,0)," ")</f>
        <v>3.2793289541312332</v>
      </c>
      <c r="DR36" s="101"/>
      <c r="DS36" s="173"/>
      <c r="DT36" s="134">
        <v>31</v>
      </c>
      <c r="DU36" s="76">
        <v>621190</v>
      </c>
      <c r="DV36" s="76">
        <v>25609</v>
      </c>
      <c r="DW36" s="76">
        <v>5121513</v>
      </c>
      <c r="DX36" s="76">
        <v>114395</v>
      </c>
      <c r="DY36" s="76">
        <v>83818</v>
      </c>
      <c r="DZ36" s="76">
        <v>386903</v>
      </c>
      <c r="EA36" s="77">
        <v>227321</v>
      </c>
      <c r="EB36" s="77">
        <v>52931</v>
      </c>
      <c r="EC36" s="77">
        <v>397861</v>
      </c>
      <c r="ED36" s="76">
        <v>46470</v>
      </c>
      <c r="EE36" s="77">
        <v>38110</v>
      </c>
      <c r="EF36" s="77">
        <v>40894</v>
      </c>
      <c r="EG36" s="76">
        <v>91256</v>
      </c>
      <c r="EH36" s="76">
        <v>179826</v>
      </c>
      <c r="EI36" s="76">
        <v>30937</v>
      </c>
      <c r="EJ36" s="77">
        <v>39926</v>
      </c>
      <c r="EK36" s="77"/>
      <c r="EL36" s="76">
        <v>693943</v>
      </c>
      <c r="EM36" s="76">
        <v>3542</v>
      </c>
      <c r="EN36" s="77">
        <v>42812</v>
      </c>
      <c r="EO36" s="76">
        <v>2969297</v>
      </c>
      <c r="EP36" s="77">
        <v>2748776</v>
      </c>
      <c r="EQ36" s="77">
        <v>1394</v>
      </c>
      <c r="ER36" s="77">
        <v>1540</v>
      </c>
      <c r="ES36" s="77">
        <v>338862</v>
      </c>
      <c r="ET36" s="77">
        <v>7968410</v>
      </c>
      <c r="EU36" s="77">
        <v>412512</v>
      </c>
      <c r="EV36" s="77">
        <v>130434</v>
      </c>
      <c r="EW36" s="77">
        <v>99320</v>
      </c>
      <c r="EX36" s="76">
        <v>205678</v>
      </c>
      <c r="EY36" s="76">
        <v>1619800</v>
      </c>
      <c r="EZ36" s="76">
        <v>757497</v>
      </c>
      <c r="FA36" s="76">
        <v>740357</v>
      </c>
      <c r="FB36" s="77">
        <v>30385</v>
      </c>
      <c r="FC36" s="76">
        <v>4706</v>
      </c>
      <c r="FD36" s="104">
        <f>SUM(FE36:FM36)</f>
        <v>3197</v>
      </c>
      <c r="FE36" s="105">
        <f t="shared" si="81"/>
        <v>0</v>
      </c>
      <c r="FF36" s="105">
        <f>FF69-FF68</f>
        <v>0</v>
      </c>
      <c r="FG36" s="105">
        <v>600</v>
      </c>
      <c r="FH36" s="105">
        <f t="shared" si="81"/>
        <v>799</v>
      </c>
      <c r="FI36" s="105">
        <f t="shared" si="81"/>
        <v>217</v>
      </c>
      <c r="FJ36" s="105">
        <f t="shared" si="81"/>
        <v>349</v>
      </c>
      <c r="FK36" s="105">
        <f t="shared" si="81"/>
        <v>0</v>
      </c>
      <c r="FL36" s="105">
        <f t="shared" si="81"/>
        <v>1232</v>
      </c>
      <c r="FM36" s="105">
        <f t="shared" si="81"/>
        <v>0</v>
      </c>
      <c r="FN36" s="80">
        <f t="shared" si="74"/>
        <v>0</v>
      </c>
      <c r="FO36" s="104"/>
      <c r="FP36" s="189"/>
      <c r="FY36" s="119">
        <v>31</v>
      </c>
      <c r="FZ36" s="190"/>
      <c r="GA36" s="192"/>
      <c r="GB36" s="190"/>
      <c r="GC36" s="109"/>
      <c r="GD36" s="110"/>
      <c r="GE36" s="110"/>
      <c r="GF36" s="111"/>
      <c r="GG36" s="111"/>
      <c r="GH36" s="111"/>
      <c r="GI36" s="164"/>
      <c r="GJ36" s="111" t="e">
        <f t="shared" si="65"/>
        <v>#DIV/0!</v>
      </c>
    </row>
    <row r="37" spans="1:193" s="10" customFormat="1" ht="15" customHeight="1">
      <c r="A37" s="64" t="s">
        <v>127</v>
      </c>
      <c r="B37" s="193" t="s">
        <v>128</v>
      </c>
      <c r="C37" s="194"/>
      <c r="D37" s="195">
        <f>SUM(D6:D36)</f>
        <v>60749.64</v>
      </c>
      <c r="E37" s="196">
        <f t="shared" ref="E37:M37" si="84">SUM(E6:E36)</f>
        <v>105157.92000000003</v>
      </c>
      <c r="F37" s="196">
        <f t="shared" si="84"/>
        <v>70729.127999999997</v>
      </c>
      <c r="G37" s="196">
        <f t="shared" si="84"/>
        <v>124238.52200000001</v>
      </c>
      <c r="H37" s="196">
        <f t="shared" si="84"/>
        <v>186621.12099999996</v>
      </c>
      <c r="I37" s="195">
        <f t="shared" si="84"/>
        <v>52548.245999999992</v>
      </c>
      <c r="J37" s="195">
        <f t="shared" si="84"/>
        <v>156026.87999999998</v>
      </c>
      <c r="K37" s="195">
        <f t="shared" si="84"/>
        <v>50.128</v>
      </c>
      <c r="L37" s="195">
        <f t="shared" si="84"/>
        <v>3474.576</v>
      </c>
      <c r="M37" s="197">
        <f t="shared" si="84"/>
        <v>208575.12599999999</v>
      </c>
      <c r="N37" s="198">
        <f>SUM(N6:N36)</f>
        <v>547496.33099999977</v>
      </c>
      <c r="O37" s="88">
        <f>N37+L37+((J37+I37)*0.5)</f>
        <v>655258.46999999974</v>
      </c>
      <c r="P37" s="200">
        <f>P36</f>
        <v>655282.53800000006</v>
      </c>
      <c r="Q37" s="201">
        <f>SUM(Q6:Q33)</f>
        <v>0</v>
      </c>
      <c r="R37" s="196">
        <f>SUM(R6:R36)</f>
        <v>6247</v>
      </c>
      <c r="S37" s="196">
        <f t="shared" ref="S37:Z37" si="85">SUM(S6:S36)</f>
        <v>2133</v>
      </c>
      <c r="T37" s="196">
        <f t="shared" si="85"/>
        <v>15061.199999999999</v>
      </c>
      <c r="U37" s="202">
        <f t="shared" si="85"/>
        <v>114.69999999999999</v>
      </c>
      <c r="V37" s="196">
        <f t="shared" si="85"/>
        <v>43472</v>
      </c>
      <c r="W37" s="202">
        <f t="shared" si="85"/>
        <v>-16892.2</v>
      </c>
      <c r="X37" s="196">
        <f t="shared" si="85"/>
        <v>43472</v>
      </c>
      <c r="Y37" s="196">
        <f t="shared" si="85"/>
        <v>1173.3000000000002</v>
      </c>
      <c r="Z37" s="196">
        <f t="shared" si="85"/>
        <v>4627.5</v>
      </c>
      <c r="AA37" s="203">
        <f>SUM(R37:V37)</f>
        <v>67027.899999999994</v>
      </c>
      <c r="AB37" s="196">
        <f t="shared" ref="AB37:AZ37" si="86">SUM(AB6:AB36)</f>
        <v>3492</v>
      </c>
      <c r="AC37" s="196">
        <f t="shared" si="86"/>
        <v>1091</v>
      </c>
      <c r="AD37" s="203">
        <f>(SUM(AD6:AD36))-923</f>
        <v>7384</v>
      </c>
      <c r="AE37" s="203">
        <f>SUM(AE6:AE36)</f>
        <v>3724</v>
      </c>
      <c r="AF37" s="196">
        <f>SUM(AF6:AF36)</f>
        <v>4917</v>
      </c>
      <c r="AG37" s="196">
        <f>SUM(AG6:AG36)</f>
        <v>1310</v>
      </c>
      <c r="AH37" s="203">
        <f t="shared" si="86"/>
        <v>8851</v>
      </c>
      <c r="AI37" s="203">
        <f t="shared" si="86"/>
        <v>2624</v>
      </c>
      <c r="AJ37" s="196">
        <f t="shared" si="86"/>
        <v>6048</v>
      </c>
      <c r="AK37" s="196">
        <f t="shared" si="86"/>
        <v>1195</v>
      </c>
      <c r="AL37" s="203">
        <f t="shared" si="86"/>
        <v>9714</v>
      </c>
      <c r="AM37" s="203">
        <f t="shared" si="86"/>
        <v>2471</v>
      </c>
      <c r="AN37" s="196">
        <f t="shared" si="86"/>
        <v>807</v>
      </c>
      <c r="AO37" s="203">
        <f t="shared" si="86"/>
        <v>1864</v>
      </c>
      <c r="AP37" s="196">
        <f t="shared" si="86"/>
        <v>1152</v>
      </c>
      <c r="AQ37" s="203">
        <f t="shared" si="86"/>
        <v>2063</v>
      </c>
      <c r="AR37" s="196">
        <f t="shared" si="86"/>
        <v>2322.4739999999997</v>
      </c>
      <c r="AS37" s="203">
        <f t="shared" si="86"/>
        <v>3254.4740000000002</v>
      </c>
      <c r="AT37" s="203">
        <f t="shared" si="86"/>
        <v>24684.474000000009</v>
      </c>
      <c r="AU37" s="204">
        <f t="shared" si="86"/>
        <v>7294</v>
      </c>
      <c r="AV37" s="203">
        <f t="shared" si="86"/>
        <v>293</v>
      </c>
      <c r="AW37" s="204">
        <f t="shared" si="86"/>
        <v>14136</v>
      </c>
      <c r="AX37" s="203">
        <f t="shared" si="86"/>
        <v>1087</v>
      </c>
      <c r="AY37" s="203">
        <f t="shared" si="86"/>
        <v>45.099999999999994</v>
      </c>
      <c r="AZ37" s="196">
        <f t="shared" si="86"/>
        <v>9969</v>
      </c>
      <c r="BA37" s="196">
        <f>SUM(BA6:BA36)</f>
        <v>2231.8000000000002</v>
      </c>
      <c r="BB37" s="196">
        <f>SUM(BB6:BB35)</f>
        <v>3281</v>
      </c>
      <c r="BC37" s="196">
        <f t="shared" ref="BC37:BJ37" si="87">SUM(BC6:BC36)</f>
        <v>20779</v>
      </c>
      <c r="BD37" s="202">
        <f t="shared" si="87"/>
        <v>7399</v>
      </c>
      <c r="BE37" s="196">
        <f t="shared" si="87"/>
        <v>0</v>
      </c>
      <c r="BF37" s="196">
        <f t="shared" si="87"/>
        <v>0</v>
      </c>
      <c r="BG37" s="203">
        <f t="shared" si="87"/>
        <v>34107</v>
      </c>
      <c r="BH37" s="203">
        <f t="shared" si="87"/>
        <v>14550.7</v>
      </c>
      <c r="BI37" s="196">
        <f t="shared" si="87"/>
        <v>42339.625999999997</v>
      </c>
      <c r="BJ37" s="196">
        <f t="shared" si="87"/>
        <v>157998.37399999998</v>
      </c>
      <c r="BK37" s="205"/>
      <c r="BL37" s="196">
        <f>SUM(BL6:BL36)</f>
        <v>214888.7</v>
      </c>
      <c r="BM37" s="196">
        <f>BM36</f>
        <v>214888.7</v>
      </c>
      <c r="BN37" s="205"/>
      <c r="BO37" s="94">
        <f>IF($N37&lt;&gt;0,IF($N37&lt;&gt;0,R37/$N37*10,0)," ")</f>
        <v>0.11410122125549008</v>
      </c>
      <c r="BP37" s="206">
        <f>S37/$N$37/0.1</f>
        <v>3.8959165189364542E-2</v>
      </c>
      <c r="BQ37" s="94">
        <f>IF($N37&lt;&gt;0,IF($N37&lt;&gt;0,T37/$N37*10,0)," ")</f>
        <v>0.27509225445384777</v>
      </c>
      <c r="BR37" s="94">
        <f>IF($N37&lt;&gt;0,IF($N37&lt;&gt;0,(V37)/$N37*10,0)," ")</f>
        <v>0.79401445340462051</v>
      </c>
      <c r="BS37" s="206">
        <f>IF($N37&lt;&gt;0,IF($N37&lt;&gt;0,Y37/$N37*10,0)," ")</f>
        <v>2.1430280598537941E-2</v>
      </c>
      <c r="BT37" s="206">
        <f>IF($N37&lt;&gt;0,IF($N37&lt;&gt;0,Z37/$N37*10,0)," ")</f>
        <v>8.4521114352454019E-2</v>
      </c>
      <c r="BU37" s="207">
        <f>IF($N37&lt;&gt;0,IF($N37&lt;&gt;0,AA37/$N37*10,0)," ")</f>
        <v>1.2242620855115836</v>
      </c>
      <c r="BV37" s="206">
        <f>R37/$O$37/0.1</f>
        <v>9.533642502934761E-2</v>
      </c>
      <c r="BW37" s="206">
        <f>S37/$O$37/0.1</f>
        <v>3.255204011327012E-2</v>
      </c>
      <c r="BX37" s="206">
        <f>(T37+U37)/$O$37/0.1</f>
        <v>0.23160173725034039</v>
      </c>
      <c r="BY37" s="206">
        <f>(V37)/$O$37/0.1</f>
        <v>0.66343285879234826</v>
      </c>
      <c r="BZ37" s="198">
        <f>AA37/$O$37/0.1</f>
        <v>1.0229230611853062</v>
      </c>
      <c r="CA37" s="208" t="e">
        <f>#REF!</f>
        <v>#REF!</v>
      </c>
      <c r="CB37" s="209">
        <f>IF($O37&lt;&gt;0,IF($O37&lt;&gt;0,AR37/$O37*10,0)," ")</f>
        <v>3.5443631884682095E-2</v>
      </c>
      <c r="CC37" s="210">
        <f>IF($O37&lt;&gt;0,IF($O37&lt;&gt;0,AS37/$O37*10,0)," ")</f>
        <v>4.9667026814624794E-2</v>
      </c>
      <c r="CD37" s="211">
        <f>IFERROR(AR37*10/($I37+$J37),"")</f>
        <v>0.11134951921352311</v>
      </c>
      <c r="CE37" s="212">
        <f>IFERROR(AS37*10/(($I37+$J37)),"")</f>
        <v>0.15603365858688253</v>
      </c>
      <c r="CF37" s="206">
        <f>AB37/$D$37/0.1</f>
        <v>0.57481822114501413</v>
      </c>
      <c r="CG37" s="206">
        <f>AC37/$D$37/0.1</f>
        <v>0.17958954160057572</v>
      </c>
      <c r="CH37" s="198">
        <f>AD37/$D$37/0.1</f>
        <v>1.2154804538759405</v>
      </c>
      <c r="CI37" s="208" t="e">
        <f>#REF!</f>
        <v>#REF!</v>
      </c>
      <c r="CJ37" s="206">
        <f>AF37/$E$37/0.1</f>
        <v>0.46758247025045746</v>
      </c>
      <c r="CK37" s="206">
        <f>AG37/$E$37/0.1</f>
        <v>0.12457454464675601</v>
      </c>
      <c r="CL37" s="198">
        <f>AH37/$E$37/0.1</f>
        <v>0.84168648447972316</v>
      </c>
      <c r="CM37" s="95" t="e">
        <f>#REF!</f>
        <v>#REF!</v>
      </c>
      <c r="CN37" s="206">
        <f>AJ37/$F$37/0.1</f>
        <v>0.8550932509729231</v>
      </c>
      <c r="CO37" s="206">
        <f>AK37/$F$37/0.1</f>
        <v>0.16895443698952434</v>
      </c>
      <c r="CP37" s="198">
        <f>AL37/$F$37/0.1</f>
        <v>1.3734087036955978</v>
      </c>
      <c r="CQ37" s="213" t="e">
        <f>#REF!</f>
        <v>#REF!</v>
      </c>
      <c r="CR37" s="214">
        <f>AN37/$G$37/0.1</f>
        <v>6.4955698684181051E-2</v>
      </c>
      <c r="CS37" s="198">
        <f>AO37/$G$37/0.1</f>
        <v>0.15003398060385809</v>
      </c>
      <c r="CT37" s="208" t="e">
        <f>#REF!</f>
        <v>#REF!</v>
      </c>
      <c r="CU37" s="214">
        <f>AP37/$H$37/0.1</f>
        <v>6.1729347344344813E-2</v>
      </c>
      <c r="CV37" s="198">
        <f>AQ37/$H$37/0.1</f>
        <v>0.11054482948904804</v>
      </c>
      <c r="CW37" s="96" t="e">
        <f>#REF!</f>
        <v>#REF!</v>
      </c>
      <c r="CX37" s="99">
        <f t="shared" si="62"/>
        <v>0.11131485259549567</v>
      </c>
      <c r="CY37" s="95">
        <f t="shared" si="62"/>
        <v>4.4715179339841283E-3</v>
      </c>
      <c r="CZ37" s="99">
        <f t="shared" si="62"/>
        <v>0.21573166387303633</v>
      </c>
      <c r="DA37" s="198">
        <f>IF($O37&lt;&gt;0,IF($O37&lt;&gt;0,AX37/$O37*10,0)," ")</f>
        <v>1.6588873700480369E-2</v>
      </c>
      <c r="DB37" s="206">
        <f>AZ37/$O$37/0.1</f>
        <v>0.15213843782896852</v>
      </c>
      <c r="DC37" s="206">
        <f t="shared" ref="DC37:DH37" si="88">BB37/$O$37/0.1</f>
        <v>5.0071844168607257E-2</v>
      </c>
      <c r="DD37" s="215">
        <f t="shared" si="88"/>
        <v>0.31711150563227375</v>
      </c>
      <c r="DE37" s="215">
        <f t="shared" si="88"/>
        <v>0.11291727369811796</v>
      </c>
      <c r="DF37" s="215">
        <f t="shared" si="88"/>
        <v>0</v>
      </c>
      <c r="DG37" s="215">
        <f t="shared" si="88"/>
        <v>0</v>
      </c>
      <c r="DH37" s="216">
        <f t="shared" si="88"/>
        <v>0.52051215759179748</v>
      </c>
      <c r="DI37" s="217" t="e">
        <f>#REF!</f>
        <v>#REF!</v>
      </c>
      <c r="DJ37" s="216">
        <f>BH37/$O$37/0.1</f>
        <v>0.2220604641707265</v>
      </c>
      <c r="DK37" s="217" t="e">
        <f>#REF!</f>
        <v>#REF!</v>
      </c>
      <c r="DL37" s="213">
        <f>BI37/$O$37/0.1</f>
        <v>0.64615152551938793</v>
      </c>
      <c r="DM37" s="96">
        <f t="shared" si="16"/>
        <v>0</v>
      </c>
      <c r="DN37" s="206">
        <f>BJ37/$O$37/0.1</f>
        <v>2.4112374159772409</v>
      </c>
      <c r="DO37" s="100">
        <v>3.4</v>
      </c>
      <c r="DP37" s="206">
        <f>BL37/$O$37/0.1</f>
        <v>3.2794494056673553</v>
      </c>
      <c r="DQ37" s="218" t="str">
        <f>IF($Q37&lt;&gt;0,IF($Q37&lt;&gt;0,BM37/$Q37*10,0)," ")</f>
        <v xml:space="preserve"> </v>
      </c>
      <c r="DR37" s="101" t="e">
        <f>#REF!</f>
        <v>#REF!</v>
      </c>
      <c r="DS37" s="64"/>
      <c r="DT37" s="64"/>
      <c r="DU37" s="219"/>
      <c r="DV37" s="219"/>
      <c r="DW37" s="219"/>
      <c r="DX37" s="219"/>
      <c r="DY37" s="219"/>
      <c r="DZ37" s="219"/>
      <c r="EA37" s="219"/>
      <c r="EB37" s="220"/>
      <c r="EC37" s="219"/>
      <c r="ED37" s="219"/>
      <c r="EE37" s="219"/>
      <c r="EF37" s="219"/>
      <c r="EG37" s="219"/>
      <c r="EH37" s="219"/>
      <c r="EI37" s="219"/>
      <c r="EJ37" s="220"/>
      <c r="EK37" s="220"/>
      <c r="EL37" s="219"/>
      <c r="EM37" s="219"/>
      <c r="EN37" s="220"/>
      <c r="EO37" s="219"/>
      <c r="EP37" s="220"/>
      <c r="EQ37" s="220"/>
      <c r="ER37" s="220"/>
      <c r="ES37" s="220"/>
      <c r="ET37" s="220"/>
      <c r="EU37" s="220"/>
      <c r="EV37" s="220"/>
      <c r="EW37" s="220"/>
      <c r="EX37" s="219"/>
      <c r="EY37" s="219"/>
      <c r="EZ37" s="219"/>
      <c r="FA37" s="219"/>
      <c r="FB37" s="219"/>
      <c r="FC37" s="219"/>
      <c r="FD37" s="220"/>
      <c r="FE37" s="574" t="s">
        <v>129</v>
      </c>
      <c r="FF37" s="575"/>
      <c r="FG37" s="575"/>
      <c r="FH37" s="575"/>
      <c r="FI37" s="575"/>
      <c r="FJ37" s="575"/>
      <c r="FK37" s="575"/>
      <c r="FL37" s="575"/>
      <c r="FM37" s="576"/>
      <c r="FN37" s="220"/>
      <c r="FO37" s="220"/>
      <c r="FP37" s="64"/>
      <c r="FQ37" s="64"/>
      <c r="FR37" s="64"/>
      <c r="FS37" s="64"/>
      <c r="FT37" s="64"/>
      <c r="FU37" s="64"/>
      <c r="FV37" s="64"/>
      <c r="FW37" s="64"/>
      <c r="FX37" s="64"/>
      <c r="FY37" s="64"/>
      <c r="FZ37" s="221">
        <f>SUM(FZ6:FZ36)</f>
        <v>38276</v>
      </c>
      <c r="GA37" s="221">
        <f t="shared" ref="GA37:GI37" si="89">SUM(GA6:GA36)</f>
        <v>6040</v>
      </c>
      <c r="GB37" s="221">
        <f t="shared" si="89"/>
        <v>6.4779304812053722</v>
      </c>
      <c r="GC37" s="221">
        <f t="shared" si="89"/>
        <v>0</v>
      </c>
      <c r="GD37" s="221">
        <f t="shared" si="89"/>
        <v>0</v>
      </c>
      <c r="GE37" s="221">
        <f t="shared" si="89"/>
        <v>0</v>
      </c>
      <c r="GF37" s="221">
        <f t="shared" si="89"/>
        <v>0</v>
      </c>
      <c r="GG37" s="221">
        <f t="shared" si="89"/>
        <v>0</v>
      </c>
      <c r="GH37" s="221">
        <f t="shared" si="89"/>
        <v>0</v>
      </c>
      <c r="GI37" s="221">
        <f t="shared" si="89"/>
        <v>0</v>
      </c>
      <c r="GJ37" s="111">
        <f t="shared" si="65"/>
        <v>452.92242769701039</v>
      </c>
      <c r="GK37" s="222"/>
    </row>
    <row r="38" spans="1:193" s="10" customFormat="1">
      <c r="A38" s="64"/>
      <c r="B38" s="223" t="s">
        <v>130</v>
      </c>
      <c r="C38" s="64"/>
      <c r="F38" s="224"/>
      <c r="G38" s="224"/>
      <c r="I38" s="225"/>
      <c r="J38" s="225"/>
      <c r="K38" s="225"/>
      <c r="L38" s="225"/>
      <c r="M38" s="226"/>
      <c r="N38" s="227"/>
      <c r="O38" s="227"/>
      <c r="P38" s="102"/>
      <c r="Q38" s="64"/>
      <c r="R38" s="228"/>
      <c r="S38" s="228"/>
      <c r="T38" s="228"/>
      <c r="U38" s="228"/>
      <c r="V38" s="229"/>
      <c r="W38" s="229"/>
      <c r="X38" s="229"/>
      <c r="Y38" s="229"/>
      <c r="Z38" s="229"/>
      <c r="AA38" s="230"/>
      <c r="AB38" s="152"/>
      <c r="AC38" s="152"/>
      <c r="AD38" s="153"/>
      <c r="AE38" s="231"/>
      <c r="AF38" s="152"/>
      <c r="AG38" s="152"/>
      <c r="AH38" s="152"/>
      <c r="AI38" s="231"/>
      <c r="AJ38" s="152"/>
      <c r="AK38" s="152"/>
      <c r="AL38" s="152"/>
      <c r="AM38" s="231"/>
      <c r="AN38" s="152"/>
      <c r="AO38" s="231"/>
      <c r="AP38" s="152"/>
      <c r="AQ38" s="231"/>
      <c r="AR38" s="232"/>
      <c r="AS38" s="230"/>
      <c r="AT38" s="230"/>
      <c r="AU38" s="232"/>
      <c r="AV38" s="152"/>
      <c r="AW38" s="232"/>
      <c r="AX38" s="152"/>
      <c r="AY38" s="152"/>
      <c r="AZ38" s="152"/>
      <c r="BA38" s="152"/>
      <c r="BB38" s="152"/>
      <c r="BC38" s="152"/>
      <c r="BD38" s="228"/>
      <c r="BE38" s="228"/>
      <c r="BF38" s="228"/>
      <c r="BG38" s="152"/>
      <c r="BH38" s="152"/>
      <c r="BI38" s="233"/>
      <c r="BJ38" s="233"/>
      <c r="BK38" s="234"/>
      <c r="BL38" s="235"/>
      <c r="BM38" s="233"/>
      <c r="BN38" s="234"/>
      <c r="BO38" s="178"/>
      <c r="BP38" s="178"/>
      <c r="BQ38" s="178"/>
      <c r="BR38" s="178"/>
      <c r="BS38" s="178"/>
      <c r="BT38" s="178"/>
      <c r="BU38" s="178"/>
      <c r="BV38" s="178"/>
      <c r="BW38" s="178"/>
      <c r="BX38" s="178"/>
      <c r="BY38" s="178"/>
      <c r="BZ38" s="64"/>
      <c r="CA38" s="236"/>
      <c r="CB38" s="236"/>
      <c r="CC38" s="236"/>
      <c r="CD38" s="236"/>
      <c r="CE38" s="236"/>
      <c r="CF38" s="237"/>
      <c r="CG38" s="237"/>
      <c r="CH38" s="64"/>
      <c r="CI38" s="236"/>
      <c r="CJ38" s="236"/>
      <c r="CK38" s="236"/>
      <c r="CL38" s="236"/>
      <c r="CM38" s="236"/>
      <c r="CN38" s="236"/>
      <c r="CO38" s="236"/>
      <c r="CP38" s="236"/>
      <c r="CQ38" s="236"/>
      <c r="CR38" s="64"/>
      <c r="CS38" s="238"/>
      <c r="CT38" s="236"/>
      <c r="CU38" s="236"/>
      <c r="CV38" s="239"/>
      <c r="CW38" s="236"/>
      <c r="CX38" s="236"/>
      <c r="CY38" s="236"/>
      <c r="CZ38" s="236"/>
      <c r="DA38" s="236"/>
      <c r="DB38" s="64"/>
      <c r="DC38" s="64"/>
      <c r="DD38" s="64"/>
      <c r="DE38" s="64"/>
      <c r="DF38" s="64"/>
      <c r="DG38" s="64"/>
      <c r="DH38" s="240"/>
      <c r="DI38" s="236"/>
      <c r="DJ38" s="241"/>
      <c r="DK38" s="242"/>
      <c r="DL38" s="243"/>
      <c r="DM38" s="242"/>
      <c r="DN38" s="64"/>
      <c r="DO38" s="100"/>
      <c r="DP38" s="240"/>
      <c r="DQ38" s="244"/>
      <c r="DR38" s="245"/>
      <c r="DS38" s="64"/>
      <c r="DT38" s="64"/>
      <c r="DU38" s="246"/>
      <c r="DV38" s="246"/>
      <c r="DW38" s="246"/>
      <c r="DX38" s="219"/>
      <c r="DY38" s="219"/>
      <c r="DZ38" s="219"/>
      <c r="EA38" s="246"/>
      <c r="EB38" s="246"/>
      <c r="EC38" s="9"/>
      <c r="ED38" s="9"/>
      <c r="EE38" s="246"/>
      <c r="EF38" s="246"/>
      <c r="EG38" s="9"/>
      <c r="EH38" s="9"/>
      <c r="EI38" s="9"/>
      <c r="EJ38" s="64"/>
      <c r="EK38" s="64"/>
      <c r="EL38" s="9"/>
      <c r="EM38" s="9"/>
      <c r="EN38" s="64"/>
      <c r="EO38" s="9"/>
      <c r="EP38" s="220"/>
      <c r="EQ38" s="64"/>
      <c r="ER38" s="64"/>
      <c r="ES38" s="247"/>
      <c r="ET38" s="248"/>
      <c r="EU38" s="220"/>
      <c r="EV38" s="220"/>
      <c r="EW38" s="246"/>
      <c r="EX38" s="64"/>
      <c r="EY38" s="64"/>
      <c r="EZ38" s="64"/>
      <c r="FA38" s="64"/>
      <c r="FB38" s="64"/>
      <c r="FC38" s="141"/>
      <c r="FD38" s="249" t="s">
        <v>53</v>
      </c>
      <c r="FE38" s="250">
        <v>0</v>
      </c>
      <c r="FF38" s="267">
        <v>894316</v>
      </c>
      <c r="FG38" s="267">
        <v>347950</v>
      </c>
      <c r="FH38" s="267">
        <v>896681</v>
      </c>
      <c r="FI38" s="267">
        <v>747782</v>
      </c>
      <c r="FJ38" s="267">
        <v>698101</v>
      </c>
      <c r="FK38" s="267">
        <v>1175438</v>
      </c>
      <c r="FL38" s="267">
        <v>944288.5</v>
      </c>
      <c r="FM38" s="267">
        <v>556200</v>
      </c>
      <c r="FN38" s="220"/>
      <c r="FO38" s="152"/>
      <c r="FP38" s="220"/>
      <c r="FQ38" s="9"/>
      <c r="FR38" s="64"/>
      <c r="FS38" s="64"/>
      <c r="FT38" s="64"/>
      <c r="FU38" s="64"/>
      <c r="FV38" s="64"/>
      <c r="FW38" s="64"/>
      <c r="FX38" s="64"/>
      <c r="FY38" s="64"/>
      <c r="FZ38" s="9"/>
      <c r="GA38" s="64"/>
      <c r="GB38" s="64"/>
      <c r="GC38" s="64"/>
      <c r="GD38" s="64"/>
      <c r="GE38" s="64"/>
      <c r="GF38" s="64"/>
      <c r="GG38" s="64"/>
      <c r="GH38" s="64"/>
      <c r="GI38" s="64"/>
      <c r="GJ38" s="64"/>
    </row>
    <row r="39" spans="1:193" s="10" customFormat="1">
      <c r="A39" s="64"/>
      <c r="B39" s="64"/>
      <c r="C39" s="572"/>
      <c r="E39" s="64"/>
      <c r="F39" s="224">
        <v>501</v>
      </c>
      <c r="G39" s="10">
        <v>502</v>
      </c>
      <c r="H39" s="10">
        <v>503</v>
      </c>
      <c r="I39" s="225">
        <v>511</v>
      </c>
      <c r="J39" s="225">
        <v>512</v>
      </c>
      <c r="K39" s="225">
        <v>561</v>
      </c>
      <c r="L39" s="225">
        <v>562</v>
      </c>
      <c r="M39" s="254">
        <v>563</v>
      </c>
      <c r="N39" s="255"/>
      <c r="O39" s="256"/>
      <c r="P39" s="257"/>
      <c r="Q39" s="64"/>
      <c r="R39" s="258"/>
      <c r="S39" s="258"/>
      <c r="T39" s="258"/>
      <c r="U39" s="258"/>
      <c r="V39" s="258"/>
      <c r="W39" s="258"/>
      <c r="X39" s="258"/>
      <c r="Y39" s="258"/>
      <c r="Z39" s="258"/>
      <c r="AA39" s="258"/>
      <c r="AB39" s="152"/>
      <c r="AC39" s="152"/>
      <c r="AD39" s="231"/>
      <c r="AE39" s="152"/>
      <c r="AF39" s="152"/>
      <c r="AG39" s="152"/>
      <c r="AH39" s="152"/>
      <c r="AI39" s="152"/>
      <c r="AJ39" s="152"/>
      <c r="AK39" s="152"/>
      <c r="AL39" s="152"/>
      <c r="AM39" s="152"/>
      <c r="AN39" s="152"/>
      <c r="AO39" s="152"/>
      <c r="AP39" s="152"/>
      <c r="AQ39" s="152"/>
      <c r="AR39" s="258"/>
      <c r="AS39" s="258"/>
      <c r="AT39" s="258"/>
      <c r="AU39" s="258"/>
      <c r="AV39" s="152"/>
      <c r="AW39" s="258"/>
      <c r="AX39" s="152"/>
      <c r="AY39" s="152"/>
      <c r="AZ39" s="152"/>
      <c r="BA39" s="152"/>
      <c r="BB39" s="152"/>
      <c r="BC39" s="231"/>
      <c r="BD39" s="231"/>
      <c r="BE39" s="231"/>
      <c r="BF39" s="231"/>
      <c r="BG39" s="152"/>
      <c r="BH39" s="231"/>
      <c r="BI39" s="116"/>
      <c r="BJ39" s="116"/>
      <c r="BK39" s="259"/>
      <c r="BL39" s="260"/>
      <c r="BM39" s="165"/>
      <c r="BN39" s="259"/>
      <c r="BO39" s="64"/>
      <c r="BP39" s="64"/>
      <c r="BQ39" s="64"/>
      <c r="BR39" s="116"/>
      <c r="BS39" s="116"/>
      <c r="BT39" s="116"/>
      <c r="BU39" s="116"/>
      <c r="BV39" s="64"/>
      <c r="BW39" s="64"/>
      <c r="BX39" s="64"/>
      <c r="BY39" s="116"/>
      <c r="BZ39" s="243"/>
      <c r="CA39" s="243"/>
      <c r="CB39" s="243"/>
      <c r="CC39" s="243"/>
      <c r="CD39" s="243"/>
      <c r="CE39" s="243"/>
      <c r="CF39" s="141"/>
      <c r="CG39" s="237"/>
      <c r="CH39" s="243"/>
      <c r="CI39" s="243"/>
      <c r="CJ39" s="243"/>
      <c r="CK39" s="243"/>
      <c r="CL39" s="243"/>
      <c r="CM39" s="243"/>
      <c r="CN39" s="243"/>
      <c r="CO39" s="243"/>
      <c r="CP39" s="243"/>
      <c r="CQ39" s="243"/>
      <c r="CR39" s="243"/>
      <c r="CS39" s="243"/>
      <c r="CT39" s="243"/>
      <c r="CU39" s="243"/>
      <c r="CV39" s="243"/>
      <c r="CW39" s="243"/>
      <c r="CX39" s="243"/>
      <c r="CY39" s="116"/>
      <c r="CZ39" s="243"/>
      <c r="DA39" s="243"/>
      <c r="DB39" s="243"/>
      <c r="DC39" s="243"/>
      <c r="DD39" s="116"/>
      <c r="DE39" s="116"/>
      <c r="DF39" s="116"/>
      <c r="DG39" s="116"/>
      <c r="DH39" s="243"/>
      <c r="DI39" s="243"/>
      <c r="DJ39" s="64"/>
      <c r="DK39" s="64"/>
      <c r="DL39" s="74"/>
      <c r="DM39" s="64"/>
      <c r="DN39" s="74"/>
      <c r="DO39" s="261"/>
      <c r="DP39" s="262"/>
      <c r="DQ39" s="263"/>
      <c r="DR39" s="244"/>
      <c r="DS39" s="64"/>
      <c r="DT39" s="64"/>
      <c r="DU39" s="246"/>
      <c r="DV39" s="246"/>
      <c r="DW39" s="246"/>
      <c r="DX39" s="219"/>
      <c r="DY39" s="219"/>
      <c r="DZ39" s="219"/>
      <c r="EA39" s="246"/>
      <c r="EB39" s="246"/>
      <c r="EC39" s="9"/>
      <c r="ED39" s="9"/>
      <c r="EE39" s="246"/>
      <c r="EF39" s="246"/>
      <c r="EG39" s="9"/>
      <c r="EH39" s="9"/>
      <c r="EI39" s="9"/>
      <c r="EJ39" s="64"/>
      <c r="EK39" s="64"/>
      <c r="EL39" s="9"/>
      <c r="EM39" s="9"/>
      <c r="EN39" s="64"/>
      <c r="EO39" s="9"/>
      <c r="EP39" s="220"/>
      <c r="EQ39" s="64"/>
      <c r="ER39" s="64"/>
      <c r="ES39" s="257"/>
      <c r="ET39" s="74"/>
      <c r="EU39" s="64"/>
      <c r="EV39" s="64"/>
      <c r="EW39" s="246"/>
      <c r="EX39" s="64"/>
      <c r="EY39" s="64"/>
      <c r="EZ39" s="64"/>
      <c r="FA39" s="64"/>
      <c r="FB39" s="64"/>
      <c r="FC39" s="152"/>
      <c r="FD39" s="249">
        <v>1</v>
      </c>
      <c r="FE39" s="250">
        <v>0</v>
      </c>
      <c r="FF39" s="250">
        <v>895013</v>
      </c>
      <c r="FG39" s="250">
        <v>349946</v>
      </c>
      <c r="FH39" s="250">
        <v>898123</v>
      </c>
      <c r="FI39" s="250">
        <v>748348</v>
      </c>
      <c r="FJ39" s="250">
        <v>698821</v>
      </c>
      <c r="FK39" s="250">
        <v>1175438</v>
      </c>
      <c r="FL39" s="250">
        <v>945425.5</v>
      </c>
      <c r="FM39" s="250">
        <v>556200</v>
      </c>
      <c r="FN39" s="152"/>
      <c r="FO39" s="152"/>
      <c r="FP39" s="64"/>
      <c r="FQ39" s="9"/>
      <c r="FR39" s="9"/>
      <c r="FS39" s="9"/>
      <c r="FT39" s="9"/>
      <c r="FU39" s="9"/>
      <c r="FV39" s="9"/>
      <c r="FW39" s="9"/>
      <c r="FX39" s="9"/>
      <c r="FY39" s="9"/>
      <c r="FZ39" s="246"/>
      <c r="GA39" s="64"/>
      <c r="GB39" s="64"/>
      <c r="GC39" s="64"/>
      <c r="GD39" s="64"/>
      <c r="GE39" s="64"/>
      <c r="GF39" s="64"/>
      <c r="GG39" s="64"/>
      <c r="GH39" s="64"/>
      <c r="GI39" s="64"/>
      <c r="GJ39" s="64"/>
    </row>
    <row r="40" spans="1:193">
      <c r="F40" s="64">
        <f>E45</f>
        <v>1794.96</v>
      </c>
      <c r="G40" s="64">
        <f>E44+E46+E53</f>
        <v>6491.16</v>
      </c>
      <c r="H40" s="64">
        <f>E41+E42</f>
        <v>3534.84</v>
      </c>
      <c r="I40" s="64">
        <f>E49+E55+E56</f>
        <v>5146.8690000000006</v>
      </c>
      <c r="J40" s="64">
        <f>E48+E50+E51</f>
        <v>5409.0570000000007</v>
      </c>
      <c r="K40" s="64">
        <f>E47+E52</f>
        <v>941.93299999999999</v>
      </c>
      <c r="L40" s="64">
        <f>E43</f>
        <v>8595.84</v>
      </c>
      <c r="M40" s="64">
        <f>E54</f>
        <v>13.81</v>
      </c>
      <c r="FC40" s="220"/>
      <c r="FD40" s="249">
        <v>2</v>
      </c>
      <c r="FE40" s="250">
        <v>0</v>
      </c>
      <c r="FF40" s="250">
        <v>895734</v>
      </c>
      <c r="FG40" s="250">
        <v>351943</v>
      </c>
      <c r="FH40" s="250">
        <v>899043</v>
      </c>
      <c r="FI40" s="250">
        <v>748873</v>
      </c>
      <c r="FJ40" s="250">
        <v>699186</v>
      </c>
      <c r="FK40" s="250">
        <v>1175438</v>
      </c>
      <c r="FL40" s="250">
        <v>947123.5</v>
      </c>
      <c r="FM40" s="250">
        <v>556200</v>
      </c>
    </row>
    <row r="41" spans="1:193">
      <c r="B41" s="220"/>
      <c r="D41" s="64">
        <v>70100003</v>
      </c>
      <c r="E41" s="64">
        <v>3089.0160000000001</v>
      </c>
      <c r="CH41" s="178"/>
      <c r="CP41" s="178"/>
      <c r="FC41" s="220"/>
      <c r="FD41" s="249">
        <v>3</v>
      </c>
      <c r="FE41" s="250">
        <v>0</v>
      </c>
      <c r="FF41" s="250">
        <v>896169</v>
      </c>
      <c r="FG41" s="250">
        <v>353933</v>
      </c>
      <c r="FH41" s="250">
        <v>901244</v>
      </c>
      <c r="FI41" s="250">
        <v>749457</v>
      </c>
      <c r="FJ41" s="250">
        <v>699954</v>
      </c>
      <c r="FK41" s="250">
        <v>1175438</v>
      </c>
      <c r="FL41" s="250">
        <v>948103.5</v>
      </c>
      <c r="FM41" s="250">
        <v>556200</v>
      </c>
    </row>
    <row r="42" spans="1:193">
      <c r="D42" s="64">
        <v>70100003</v>
      </c>
      <c r="E42" s="64">
        <v>445.82400000000001</v>
      </c>
      <c r="FC42" s="220"/>
      <c r="FD42" s="249">
        <v>4</v>
      </c>
      <c r="FE42" s="250"/>
      <c r="FF42" s="250">
        <v>467623</v>
      </c>
      <c r="FG42" s="250">
        <v>830741</v>
      </c>
      <c r="FH42" s="250">
        <v>908626</v>
      </c>
      <c r="FI42" s="250">
        <v>769798</v>
      </c>
      <c r="FJ42" s="250">
        <v>1224659</v>
      </c>
      <c r="FK42" s="250"/>
      <c r="FL42" s="250">
        <v>236534</v>
      </c>
      <c r="FM42" s="250"/>
      <c r="FN42" s="264"/>
    </row>
    <row r="43" spans="1:193">
      <c r="D43" s="64" t="s">
        <v>131</v>
      </c>
      <c r="E43" s="64">
        <v>8595.84</v>
      </c>
      <c r="FC43" s="220"/>
      <c r="FD43" s="249">
        <v>5</v>
      </c>
      <c r="FE43" s="250"/>
      <c r="FF43" s="250">
        <v>467762</v>
      </c>
      <c r="FG43" s="250">
        <v>832701</v>
      </c>
      <c r="FH43" s="250">
        <v>910668</v>
      </c>
      <c r="FI43" s="250">
        <v>769798</v>
      </c>
      <c r="FJ43" s="250">
        <v>1225404</v>
      </c>
      <c r="FK43" s="250"/>
      <c r="FL43" s="250">
        <v>238278</v>
      </c>
      <c r="FM43" s="250"/>
    </row>
    <row r="44" spans="1:193">
      <c r="B44" s="220"/>
      <c r="D44" s="64">
        <v>70100002</v>
      </c>
      <c r="E44" s="64">
        <v>3539.64</v>
      </c>
      <c r="FC44" s="220"/>
      <c r="FD44" s="249">
        <v>6</v>
      </c>
      <c r="FE44" s="250"/>
      <c r="FF44" s="250">
        <v>468482</v>
      </c>
      <c r="FG44" s="250">
        <v>834667</v>
      </c>
      <c r="FH44" s="250">
        <v>913387</v>
      </c>
      <c r="FI44" s="250">
        <v>769798</v>
      </c>
      <c r="FJ44" s="250">
        <v>1226392</v>
      </c>
      <c r="FK44" s="250"/>
      <c r="FL44" s="250">
        <v>238824</v>
      </c>
      <c r="FM44" s="250"/>
    </row>
    <row r="45" spans="1:193">
      <c r="B45" s="220"/>
      <c r="D45" s="64">
        <v>70100001</v>
      </c>
      <c r="E45" s="64">
        <v>1794.96</v>
      </c>
      <c r="FC45" s="220"/>
      <c r="FD45" s="249">
        <v>7</v>
      </c>
      <c r="FE45" s="250"/>
      <c r="FF45" s="250">
        <v>468655</v>
      </c>
      <c r="FG45" s="250">
        <v>836632</v>
      </c>
      <c r="FH45" s="250">
        <v>915263</v>
      </c>
      <c r="FI45" s="265">
        <v>769798</v>
      </c>
      <c r="FJ45" s="250">
        <v>1227116</v>
      </c>
      <c r="FK45" s="250"/>
      <c r="FL45" s="250">
        <v>239686</v>
      </c>
      <c r="FM45" s="250"/>
    </row>
    <row r="46" spans="1:193">
      <c r="B46" s="220"/>
      <c r="D46" s="64">
        <v>70100002</v>
      </c>
      <c r="E46" s="64">
        <v>2340.7199999999998</v>
      </c>
      <c r="FC46" s="220"/>
      <c r="FD46" s="249">
        <v>8</v>
      </c>
      <c r="FE46" s="250"/>
      <c r="FF46" s="250">
        <v>469327</v>
      </c>
      <c r="FG46" s="250">
        <v>838587</v>
      </c>
      <c r="FH46" s="250">
        <v>917680</v>
      </c>
      <c r="FI46" s="250">
        <v>769798</v>
      </c>
      <c r="FJ46" s="250">
        <v>1227959</v>
      </c>
      <c r="FK46" s="250"/>
      <c r="FL46" s="250">
        <v>240144</v>
      </c>
      <c r="FM46" s="250"/>
    </row>
    <row r="47" spans="1:193">
      <c r="B47" s="220"/>
      <c r="C47" s="220"/>
      <c r="D47" s="64" t="s">
        <v>133</v>
      </c>
      <c r="E47" s="64">
        <v>592.46199999999999</v>
      </c>
      <c r="FC47" s="220"/>
      <c r="FD47" s="249">
        <v>9</v>
      </c>
      <c r="FE47" s="250"/>
      <c r="FF47" s="250">
        <v>469908</v>
      </c>
      <c r="FG47" s="250">
        <v>840543</v>
      </c>
      <c r="FH47" s="250">
        <v>919650</v>
      </c>
      <c r="FI47" s="250">
        <v>769798</v>
      </c>
      <c r="FJ47" s="250">
        <v>1228694</v>
      </c>
      <c r="FK47" s="250"/>
      <c r="FL47" s="250">
        <v>241931</v>
      </c>
      <c r="FM47" s="250"/>
    </row>
    <row r="48" spans="1:193">
      <c r="B48" s="220"/>
      <c r="D48" s="64">
        <v>74100012</v>
      </c>
      <c r="E48" s="64">
        <v>1195.0250000000001</v>
      </c>
      <c r="FC48" s="220"/>
      <c r="FD48" s="249">
        <v>10</v>
      </c>
      <c r="FE48" s="250"/>
      <c r="FF48" s="220">
        <v>470166</v>
      </c>
      <c r="FG48" s="250">
        <v>842496</v>
      </c>
      <c r="FH48" s="250">
        <v>921477</v>
      </c>
      <c r="FI48" s="250">
        <v>769798</v>
      </c>
      <c r="FJ48" s="250">
        <v>1229616</v>
      </c>
      <c r="FK48" s="250"/>
      <c r="FL48" s="250">
        <v>243290</v>
      </c>
      <c r="FM48" s="250"/>
    </row>
    <row r="49" spans="2:170">
      <c r="B49" s="220"/>
      <c r="C49" s="220"/>
      <c r="D49" s="64">
        <v>74100011</v>
      </c>
      <c r="E49" s="64">
        <v>2617.3440000000001</v>
      </c>
      <c r="FC49" s="220"/>
      <c r="FD49" s="249">
        <v>11</v>
      </c>
      <c r="FE49" s="250"/>
      <c r="FF49" s="250">
        <v>470375</v>
      </c>
      <c r="FG49" s="250">
        <v>844447</v>
      </c>
      <c r="FH49" s="250">
        <v>923807</v>
      </c>
      <c r="FI49" s="250">
        <v>769798</v>
      </c>
      <c r="FJ49" s="250">
        <v>1230444</v>
      </c>
      <c r="FK49" s="250"/>
      <c r="FL49" s="250">
        <v>244403</v>
      </c>
      <c r="FM49" s="250"/>
    </row>
    <row r="50" spans="2:170">
      <c r="B50" s="220"/>
      <c r="C50" s="220"/>
      <c r="D50" s="64">
        <v>74100012</v>
      </c>
      <c r="E50" s="64">
        <v>2092.6840000000002</v>
      </c>
      <c r="FC50" s="220"/>
      <c r="FD50" s="249">
        <v>12</v>
      </c>
      <c r="FE50" s="250"/>
      <c r="FF50" s="250">
        <v>470395</v>
      </c>
      <c r="FG50" s="250">
        <v>846393</v>
      </c>
      <c r="FH50" s="250">
        <v>926086</v>
      </c>
      <c r="FI50" s="250">
        <v>769798</v>
      </c>
      <c r="FJ50" s="250">
        <v>1231371</v>
      </c>
      <c r="FK50" s="250"/>
      <c r="FL50" s="250">
        <v>245443</v>
      </c>
      <c r="FM50" s="250"/>
    </row>
    <row r="51" spans="2:170">
      <c r="B51" s="220"/>
      <c r="C51" s="220"/>
      <c r="D51" s="64">
        <v>74100012</v>
      </c>
      <c r="E51" s="64">
        <v>2121.348</v>
      </c>
      <c r="FC51" s="220"/>
      <c r="FD51" s="249">
        <v>13</v>
      </c>
      <c r="FE51" s="250"/>
      <c r="FF51" s="250">
        <v>470414</v>
      </c>
      <c r="FG51" s="250">
        <v>848337</v>
      </c>
      <c r="FH51" s="250">
        <v>927998</v>
      </c>
      <c r="FI51" s="250">
        <v>769798</v>
      </c>
      <c r="FJ51" s="250">
        <v>1232287</v>
      </c>
      <c r="FK51" s="250"/>
      <c r="FL51" s="250">
        <v>246494</v>
      </c>
      <c r="FM51" s="250"/>
    </row>
    <row r="52" spans="2:170">
      <c r="B52" s="220"/>
      <c r="C52" s="220"/>
      <c r="D52" s="64" t="s">
        <v>133</v>
      </c>
      <c r="E52" s="64">
        <v>349.471</v>
      </c>
      <c r="FC52" s="220"/>
      <c r="FD52" s="249">
        <v>14</v>
      </c>
      <c r="FE52" s="250"/>
      <c r="FF52" s="250">
        <v>470414</v>
      </c>
      <c r="FG52" s="250">
        <v>850286</v>
      </c>
      <c r="FH52" s="250">
        <v>929569</v>
      </c>
      <c r="FI52" s="250">
        <v>769798</v>
      </c>
      <c r="FJ52" s="250">
        <v>1233301</v>
      </c>
      <c r="FK52" s="250"/>
      <c r="FL52" s="250">
        <v>247619</v>
      </c>
      <c r="FM52" s="250"/>
    </row>
    <row r="53" spans="2:170">
      <c r="C53" s="220"/>
      <c r="D53" s="64">
        <v>70100002</v>
      </c>
      <c r="E53" s="64">
        <v>610.79999999999995</v>
      </c>
      <c r="FC53" s="220"/>
      <c r="FD53" s="249">
        <v>15</v>
      </c>
      <c r="FE53" s="250"/>
      <c r="FF53" s="250">
        <v>470478</v>
      </c>
      <c r="FG53" s="250">
        <v>852239</v>
      </c>
      <c r="FH53" s="250">
        <v>931272</v>
      </c>
      <c r="FI53" s="250">
        <v>769798</v>
      </c>
      <c r="FJ53" s="250">
        <v>1234336</v>
      </c>
      <c r="FK53" s="250"/>
      <c r="FL53" s="250">
        <v>247924</v>
      </c>
      <c r="FM53" s="250"/>
    </row>
    <row r="54" spans="2:170">
      <c r="B54" s="220"/>
      <c r="C54" s="220"/>
      <c r="D54" s="64" t="s">
        <v>198</v>
      </c>
      <c r="E54" s="64">
        <v>13.81</v>
      </c>
      <c r="FC54" s="220"/>
      <c r="FD54" s="249">
        <v>16</v>
      </c>
      <c r="FE54" s="250"/>
      <c r="FF54" s="266">
        <v>470478</v>
      </c>
      <c r="FG54" s="136">
        <v>854194</v>
      </c>
      <c r="FH54" s="136">
        <v>933033</v>
      </c>
      <c r="FI54" s="136">
        <v>769798</v>
      </c>
      <c r="FJ54" s="161">
        <v>1235024</v>
      </c>
      <c r="FK54" s="161"/>
      <c r="FL54" s="136">
        <v>247924</v>
      </c>
      <c r="FM54" s="161"/>
    </row>
    <row r="55" spans="2:170">
      <c r="B55" s="220"/>
      <c r="C55" s="220"/>
      <c r="D55" s="64">
        <v>74100011</v>
      </c>
      <c r="E55" s="64">
        <v>1552.8130000000001</v>
      </c>
      <c r="FC55" s="220"/>
      <c r="FD55" s="249">
        <v>17</v>
      </c>
      <c r="FE55" s="250"/>
      <c r="FF55" s="250">
        <v>470478</v>
      </c>
      <c r="FG55" s="250">
        <v>856144</v>
      </c>
      <c r="FH55" s="267">
        <v>934683</v>
      </c>
      <c r="FI55" s="250">
        <v>769798</v>
      </c>
      <c r="FJ55" s="250">
        <v>1236084</v>
      </c>
      <c r="FK55" s="250"/>
      <c r="FL55" s="267">
        <v>249196</v>
      </c>
      <c r="FM55" s="250"/>
    </row>
    <row r="56" spans="2:170">
      <c r="B56" s="220"/>
      <c r="C56" s="220"/>
      <c r="D56" s="64">
        <v>74100011</v>
      </c>
      <c r="E56" s="64">
        <v>976.71199999999999</v>
      </c>
      <c r="FC56" s="220"/>
      <c r="FD56" s="249">
        <v>18</v>
      </c>
      <c r="FE56" s="250"/>
      <c r="FF56" s="250">
        <f>FF55</f>
        <v>470478</v>
      </c>
      <c r="FG56" s="250">
        <f>FG55+2074</f>
        <v>858218</v>
      </c>
      <c r="FH56" s="267">
        <f>FH55+2244</f>
        <v>936927</v>
      </c>
      <c r="FI56" s="250">
        <f>FI55+772</f>
        <v>770570</v>
      </c>
      <c r="FJ56" s="250">
        <f>FJ55+688</f>
        <v>1236772</v>
      </c>
      <c r="FK56" s="250"/>
      <c r="FL56" s="250">
        <f>FL55+1019</f>
        <v>250215</v>
      </c>
      <c r="FM56" s="250"/>
    </row>
    <row r="57" spans="2:170">
      <c r="B57" s="220"/>
      <c r="C57" s="220"/>
      <c r="FC57" s="220"/>
      <c r="FD57" s="249">
        <v>19</v>
      </c>
      <c r="FE57" s="266"/>
      <c r="FF57" s="266">
        <v>470478</v>
      </c>
      <c r="FG57" s="136">
        <v>860750</v>
      </c>
      <c r="FH57" s="303">
        <f>FH56+1955</f>
        <v>938882</v>
      </c>
      <c r="FI57" s="136">
        <f>FI56+403</f>
        <v>770973</v>
      </c>
      <c r="FJ57" s="136">
        <v>1237966</v>
      </c>
      <c r="FK57" s="136"/>
      <c r="FL57" s="303">
        <v>251264</v>
      </c>
      <c r="FM57" s="136"/>
    </row>
    <row r="58" spans="2:170">
      <c r="C58" s="220"/>
      <c r="FC58" s="220"/>
      <c r="FD58" s="249">
        <v>20</v>
      </c>
      <c r="FE58" s="266"/>
      <c r="FF58" s="266">
        <v>470478</v>
      </c>
      <c r="FG58" s="136">
        <v>862691</v>
      </c>
      <c r="FH58" s="303">
        <f>FH57+1933</f>
        <v>940815</v>
      </c>
      <c r="FI58" s="136">
        <f>FI57+454</f>
        <v>771427</v>
      </c>
      <c r="FJ58" s="136">
        <v>1238796</v>
      </c>
      <c r="FK58" s="136"/>
      <c r="FL58" s="303">
        <v>256027</v>
      </c>
      <c r="FM58" s="136"/>
    </row>
    <row r="59" spans="2:170">
      <c r="FC59" s="220"/>
      <c r="FD59" s="249">
        <v>21</v>
      </c>
      <c r="FE59" s="250"/>
      <c r="FF59" s="250">
        <v>470478</v>
      </c>
      <c r="FG59" s="250">
        <v>864635</v>
      </c>
      <c r="FH59" s="267">
        <f>FH58+1083</f>
        <v>941898</v>
      </c>
      <c r="FI59" s="250">
        <f>FI58+403</f>
        <v>771830</v>
      </c>
      <c r="FJ59" s="250">
        <v>1239553</v>
      </c>
      <c r="FK59" s="250"/>
      <c r="FL59" s="250">
        <v>257016</v>
      </c>
      <c r="FM59" s="250"/>
    </row>
    <row r="60" spans="2:170">
      <c r="FC60" s="220"/>
      <c r="FD60" s="249">
        <v>22</v>
      </c>
      <c r="FE60" s="250"/>
      <c r="FF60" s="250">
        <v>470478</v>
      </c>
      <c r="FG60" s="250">
        <v>866588</v>
      </c>
      <c r="FH60" s="250">
        <v>943676</v>
      </c>
      <c r="FI60" s="250">
        <f>763+FI59</f>
        <v>772593</v>
      </c>
      <c r="FJ60" s="250">
        <v>1240495</v>
      </c>
      <c r="FK60" s="250"/>
      <c r="FL60" s="250">
        <f>FL59+1170</f>
        <v>258186</v>
      </c>
      <c r="FM60" s="250"/>
    </row>
    <row r="61" spans="2:170">
      <c r="FC61" s="220"/>
      <c r="FD61" s="249">
        <v>23</v>
      </c>
      <c r="FE61" s="250"/>
      <c r="FF61" s="250">
        <v>470478</v>
      </c>
      <c r="FG61" s="250">
        <v>868543</v>
      </c>
      <c r="FH61" s="250">
        <v>944967</v>
      </c>
      <c r="FI61" s="250">
        <f>FI60+418</f>
        <v>773011</v>
      </c>
      <c r="FJ61" s="250">
        <v>1241229</v>
      </c>
      <c r="FK61" s="250"/>
      <c r="FL61" s="136">
        <v>258740</v>
      </c>
      <c r="FM61" s="250"/>
    </row>
    <row r="62" spans="2:170">
      <c r="FD62" s="249">
        <v>24</v>
      </c>
      <c r="FE62" s="250"/>
      <c r="FF62" s="250">
        <v>470478</v>
      </c>
      <c r="FG62" s="250">
        <v>870516</v>
      </c>
      <c r="FH62" s="104">
        <f>FH61+1059</f>
        <v>946026</v>
      </c>
      <c r="FI62" s="250">
        <f>FI61+567</f>
        <v>773578</v>
      </c>
      <c r="FJ62" s="250">
        <v>1241976</v>
      </c>
      <c r="FK62" s="250"/>
      <c r="FL62" s="250">
        <v>259884</v>
      </c>
      <c r="FM62" s="250"/>
      <c r="FN62" s="334"/>
    </row>
    <row r="63" spans="2:170">
      <c r="FD63" s="249">
        <v>25</v>
      </c>
      <c r="FE63" s="250"/>
      <c r="FF63" s="250">
        <v>470478</v>
      </c>
      <c r="FG63" s="250">
        <v>873044</v>
      </c>
      <c r="FH63" s="250">
        <f>FH62+1142</f>
        <v>947168</v>
      </c>
      <c r="FI63" s="250">
        <f>FI62+628</f>
        <v>774206</v>
      </c>
      <c r="FJ63" s="250">
        <v>1242928</v>
      </c>
      <c r="FK63" s="250"/>
      <c r="FL63" s="250">
        <v>261020</v>
      </c>
      <c r="FM63" s="250"/>
      <c r="FN63" s="334"/>
    </row>
    <row r="64" spans="2:170">
      <c r="FD64" s="249">
        <v>26</v>
      </c>
      <c r="FE64" s="250"/>
      <c r="FF64" s="250">
        <v>470478</v>
      </c>
      <c r="FG64" s="250">
        <v>875671</v>
      </c>
      <c r="FH64" s="250">
        <f>FH63+1464</f>
        <v>948632</v>
      </c>
      <c r="FI64" s="267">
        <f>FI63+613</f>
        <v>774819</v>
      </c>
      <c r="FJ64" s="250">
        <v>1243919</v>
      </c>
      <c r="FK64" s="250"/>
      <c r="FL64" s="250">
        <v>262158</v>
      </c>
      <c r="FM64" s="250"/>
      <c r="FN64" s="334"/>
    </row>
    <row r="65" spans="160:170">
      <c r="FD65" s="249">
        <v>27</v>
      </c>
      <c r="FE65" s="250"/>
      <c r="FF65" s="250">
        <v>470478</v>
      </c>
      <c r="FG65" s="250">
        <v>878283</v>
      </c>
      <c r="FH65" s="250">
        <f>FH64+1466</f>
        <v>950098</v>
      </c>
      <c r="FI65" s="250">
        <f>FI64+519</f>
        <v>775338</v>
      </c>
      <c r="FJ65" s="250">
        <v>1244756</v>
      </c>
      <c r="FK65" s="250"/>
      <c r="FL65" s="250">
        <v>263297</v>
      </c>
      <c r="FM65" s="250"/>
      <c r="FN65" s="334"/>
    </row>
    <row r="66" spans="160:170">
      <c r="FD66" s="249">
        <v>28</v>
      </c>
      <c r="FE66" s="250"/>
      <c r="FF66" s="250">
        <v>470478</v>
      </c>
      <c r="FG66" s="250">
        <v>880258</v>
      </c>
      <c r="FH66" s="250">
        <f>FH65+1605</f>
        <v>951703</v>
      </c>
      <c r="FI66" s="250">
        <f>FI65+489</f>
        <v>775827</v>
      </c>
      <c r="FJ66" s="220">
        <v>1245503</v>
      </c>
      <c r="FK66" s="250"/>
      <c r="FL66" s="250">
        <v>264437</v>
      </c>
      <c r="FM66" s="250"/>
      <c r="FN66" s="334"/>
    </row>
    <row r="67" spans="160:170">
      <c r="FD67" s="249">
        <v>29</v>
      </c>
      <c r="FE67" s="250"/>
      <c r="FF67" s="250">
        <v>470478</v>
      </c>
      <c r="FG67" s="250">
        <v>882226</v>
      </c>
      <c r="FH67" s="250">
        <f>1475+FH66</f>
        <v>953178</v>
      </c>
      <c r="FI67" s="250">
        <f>611+FI66</f>
        <v>776438</v>
      </c>
      <c r="FJ67" s="250">
        <v>1246455</v>
      </c>
      <c r="FK67" s="250"/>
      <c r="FL67" s="250">
        <v>265576</v>
      </c>
      <c r="FM67" s="250"/>
      <c r="FN67" s="334"/>
    </row>
    <row r="68" spans="160:170">
      <c r="FD68" s="249">
        <v>30</v>
      </c>
      <c r="FE68" s="250"/>
      <c r="FF68" s="267">
        <v>470478</v>
      </c>
      <c r="FG68" s="267">
        <f>2047+FG67</f>
        <v>884273</v>
      </c>
      <c r="FH68" s="267">
        <f>1767+FH67</f>
        <v>954945</v>
      </c>
      <c r="FI68" s="267">
        <f>FI67+565</f>
        <v>777003</v>
      </c>
      <c r="FJ68" s="267">
        <f>835+FJ67</f>
        <v>1247290</v>
      </c>
      <c r="FK68" s="250"/>
      <c r="FL68" s="267">
        <f>1045+FL67</f>
        <v>266621</v>
      </c>
      <c r="FM68" s="250"/>
      <c r="FN68" s="334"/>
    </row>
    <row r="69" spans="160:170">
      <c r="FD69" s="249">
        <v>31</v>
      </c>
      <c r="FE69" s="267"/>
      <c r="FF69" s="267">
        <v>470478</v>
      </c>
      <c r="FG69" s="267">
        <v>886898</v>
      </c>
      <c r="FH69" s="267">
        <f>FH68+799</f>
        <v>955744</v>
      </c>
      <c r="FI69" s="267">
        <f>FI68+217</f>
        <v>777220</v>
      </c>
      <c r="FJ69" s="267">
        <v>1247639</v>
      </c>
      <c r="FK69" s="267"/>
      <c r="FL69" s="267">
        <v>267853</v>
      </c>
      <c r="FM69" s="267"/>
      <c r="FN69" s="334"/>
    </row>
    <row r="70" spans="160:170">
      <c r="FE70" s="79"/>
      <c r="FF70" s="79"/>
      <c r="FG70" s="79"/>
      <c r="FH70" s="79"/>
      <c r="FI70" s="79"/>
      <c r="FJ70" s="79"/>
      <c r="FK70" s="79"/>
      <c r="FL70" s="79"/>
      <c r="FM70" s="79"/>
    </row>
    <row r="72" spans="160:170">
      <c r="FF72" s="508"/>
      <c r="FG72" s="508"/>
      <c r="FH72" s="508"/>
      <c r="FI72" s="508"/>
      <c r="FJ72" s="508"/>
      <c r="FK72" s="508"/>
      <c r="FL72" s="508"/>
      <c r="FM72" s="508"/>
    </row>
    <row r="73" spans="160:170">
      <c r="FF73" s="508"/>
      <c r="FG73" s="508">
        <f>884846-FG67</f>
        <v>2620</v>
      </c>
      <c r="FH73" s="508"/>
      <c r="FI73" s="508"/>
      <c r="FJ73" s="508">
        <f>1247371-FJ67</f>
        <v>916</v>
      </c>
      <c r="FK73" s="508"/>
      <c r="FL73" s="508">
        <f>266715-FL67</f>
        <v>1139</v>
      </c>
      <c r="FM73" s="508"/>
    </row>
    <row r="74" spans="160:170">
      <c r="FF74" s="508"/>
      <c r="FG74" s="508">
        <f>FG73-FG35</f>
        <v>573</v>
      </c>
      <c r="FH74" s="508"/>
      <c r="FI74" s="508"/>
      <c r="FJ74" s="508">
        <f>FJ73-FJ35</f>
        <v>81</v>
      </c>
      <c r="FK74" s="508"/>
      <c r="FL74" s="508">
        <f>FL73-FL35</f>
        <v>94</v>
      </c>
      <c r="FM74" s="508"/>
    </row>
    <row r="75" spans="160:170">
      <c r="FF75" s="508"/>
      <c r="FG75" s="508">
        <f>FG69-884846</f>
        <v>2052</v>
      </c>
      <c r="FH75" s="508"/>
      <c r="FI75" s="508"/>
      <c r="FJ75" s="508">
        <f>FJ69-1247371</f>
        <v>268</v>
      </c>
      <c r="FK75" s="508"/>
      <c r="FL75" s="508">
        <f>FL69-266715</f>
        <v>1138</v>
      </c>
      <c r="FM75" s="508"/>
    </row>
    <row r="76" spans="160:170">
      <c r="FF76" s="508"/>
      <c r="FG76" s="508">
        <f>FG75-FG36</f>
        <v>1452</v>
      </c>
      <c r="FH76" s="508"/>
      <c r="FI76" s="508"/>
      <c r="FJ76" s="508">
        <f>FJ75-FJ36</f>
        <v>-81</v>
      </c>
      <c r="FK76" s="508"/>
      <c r="FL76" s="508">
        <f>FL75-FL36</f>
        <v>-94</v>
      </c>
      <c r="FM76" s="508"/>
    </row>
    <row r="77" spans="160:170">
      <c r="FF77" s="508"/>
      <c r="FG77" s="508">
        <f>FG76+FG74</f>
        <v>2025</v>
      </c>
      <c r="FH77" s="508"/>
      <c r="FI77" s="508"/>
      <c r="FJ77" s="508">
        <f>FJ76+FJ74</f>
        <v>0</v>
      </c>
      <c r="FK77" s="508"/>
      <c r="FL77" s="508">
        <f>FL76+FL74</f>
        <v>0</v>
      </c>
      <c r="FM77" s="508"/>
    </row>
    <row r="78" spans="160:170">
      <c r="FF78" s="508"/>
      <c r="FG78" s="508"/>
      <c r="FH78" s="508"/>
      <c r="FI78" s="508"/>
      <c r="FJ78" s="508"/>
      <c r="FK78" s="508"/>
      <c r="FL78" s="508"/>
      <c r="FM78" s="508"/>
    </row>
    <row r="79" spans="160:170">
      <c r="FF79" s="508"/>
      <c r="FG79" s="508"/>
      <c r="FH79" s="508"/>
      <c r="FI79" s="508"/>
      <c r="FJ79" s="508"/>
      <c r="FK79" s="508"/>
      <c r="FL79" s="508"/>
      <c r="FM79" s="508"/>
    </row>
  </sheetData>
  <sheetProtection formatCells="0" formatColumns="0" formatRows="0" insertColumns="0" insertRows="0" insertHyperlinks="0" deleteColumns="0" deleteRows="0" selectLockedCells="1" sort="0" autoFilter="0" pivotTables="0" selectUnlockedCells="1"/>
  <customSheetViews>
    <customSheetView guid="{CAAAA4EE-AC24-494B-BD01-DBAF6444BECB}" scale="80" showGridLines="0" hiddenColumns="1">
      <pane xSplit="3" ySplit="5" topLeftCell="AS13" activePane="bottomRight" state="frozen"/>
      <selection pane="bottomRight" activeCell="BG16" sqref="BG16"/>
      <pageMargins left="0.7" right="0.7" top="0.75" bottom="0.75" header="0.3" footer="0.3"/>
      <pageSetup orientation="portrait" r:id="rId1"/>
    </customSheetView>
    <customSheetView guid="{34EDC84D-4B3C-44BF-BB1A-7A0DFA8F65E7}" scale="80" showGridLines="0" hiddenColumns="1">
      <pane xSplit="3" ySplit="5" topLeftCell="AS13" activePane="bottomRight" state="frozen"/>
      <selection pane="bottomRight" activeCell="BG16" sqref="BG16"/>
      <pageMargins left="0.7" right="0.7" top="0.75" bottom="0.75" header="0.3" footer="0.3"/>
      <pageSetup orientation="portrait" r:id="rId2"/>
    </customSheetView>
  </customSheetViews>
  <mergeCells count="7">
    <mergeCell ref="FE37:FM37"/>
    <mergeCell ref="FC3:FC4"/>
    <mergeCell ref="CF4:CH4"/>
    <mergeCell ref="CJ4:CL4"/>
    <mergeCell ref="CN4:CP4"/>
    <mergeCell ref="CR4:CT4"/>
    <mergeCell ref="CU4:CW4"/>
  </mergeCells>
  <conditionalFormatting sqref="DR39 DQ38:DQ39">
    <cfRule type="cellIs" dxfId="895" priority="111" stopIfTrue="1" operator="lessThanOrEqual">
      <formula>0.145</formula>
    </cfRule>
    <cfRule type="cellIs" dxfId="894" priority="112" stopIfTrue="1" operator="greaterThan">
      <formula>0.15</formula>
    </cfRule>
  </conditionalFormatting>
  <conditionalFormatting sqref="D6:F7 E10:F21 G15:M21 N6:N9 G6:M8 H9:L9 G9:G14 D10:D15 H10:N14 D23:M36 N15:N36">
    <cfRule type="expression" dxfId="893" priority="110" stopIfTrue="1">
      <formula>OR($B6=TODAY(),$B6=TODAY()-1)</formula>
    </cfRule>
  </conditionalFormatting>
  <conditionalFormatting sqref="G15:G21 G10:G13 G6 I7:M8 H17">
    <cfRule type="expression" dxfId="892" priority="109" stopIfTrue="1">
      <formula>OR($B6=TODAY(),$B6=TODAY()-1)</formula>
    </cfRule>
  </conditionalFormatting>
  <conditionalFormatting sqref="D6:F7">
    <cfRule type="expression" dxfId="891" priority="108" stopIfTrue="1">
      <formula>OR($B6=TODAY(),$B6=TODAY()-1)</formula>
    </cfRule>
  </conditionalFormatting>
  <conditionalFormatting sqref="I7:M8">
    <cfRule type="expression" dxfId="890" priority="107" stopIfTrue="1">
      <formula>OR($B7=TODAY(),$B7=TODAY()-1)</formula>
    </cfRule>
  </conditionalFormatting>
  <conditionalFormatting sqref="I7:M8">
    <cfRule type="expression" dxfId="889" priority="106" stopIfTrue="1">
      <formula>OR($B7=TODAY(),$B7=TODAY()-1)</formula>
    </cfRule>
  </conditionalFormatting>
  <conditionalFormatting sqref="D6:F6">
    <cfRule type="expression" dxfId="888" priority="105" stopIfTrue="1">
      <formula>OR($B6=TODAY(),$B6=TODAY()-1)</formula>
    </cfRule>
  </conditionalFormatting>
  <conditionalFormatting sqref="D6:F7 G6:L21">
    <cfRule type="expression" dxfId="887" priority="104" stopIfTrue="1">
      <formula>OR($B6=TODAY(),$B6=TODAY()-1)</formula>
    </cfRule>
  </conditionalFormatting>
  <conditionalFormatting sqref="G15:G21 G10:G13 G6 I7:M8 H17">
    <cfRule type="expression" dxfId="886" priority="103" stopIfTrue="1">
      <formula>OR($B6=TODAY(),$B6=TODAY()-1)</formula>
    </cfRule>
  </conditionalFormatting>
  <conditionalFormatting sqref="D6:F7 G6:L21">
    <cfRule type="expression" dxfId="885" priority="102" stopIfTrue="1">
      <formula>OR($B6=TODAY(),$B6=TODAY()-1)</formula>
    </cfRule>
  </conditionalFormatting>
  <conditionalFormatting sqref="G15:G21 G10:G13 G6 I7:M8 H17">
    <cfRule type="expression" dxfId="884" priority="101" stopIfTrue="1">
      <formula>OR($B6=TODAY(),$B6=TODAY()-1)</formula>
    </cfRule>
  </conditionalFormatting>
  <conditionalFormatting sqref="D6:F7 G6:L21">
    <cfRule type="expression" dxfId="883" priority="100" stopIfTrue="1">
      <formula>OR($B6=TODAY(),$B6=TODAY()-1)</formula>
    </cfRule>
  </conditionalFormatting>
  <conditionalFormatting sqref="G15:G21 G10:G13 G6 I7:M8 H17">
    <cfRule type="expression" dxfId="882" priority="99" stopIfTrue="1">
      <formula>OR($B6=TODAY(),$B6=TODAY()-1)</formula>
    </cfRule>
  </conditionalFormatting>
  <conditionalFormatting sqref="D6:F7 G6:L21">
    <cfRule type="expression" dxfId="881" priority="98" stopIfTrue="1">
      <formula>OR($B6=TODAY(),$B6=TODAY()-1)</formula>
    </cfRule>
  </conditionalFormatting>
  <conditionalFormatting sqref="G15:G21 G10:G13 G6 I7:M8 H17">
    <cfRule type="expression" dxfId="880" priority="97" stopIfTrue="1">
      <formula>OR($B6=TODAY(),$B6=TODAY()-1)</formula>
    </cfRule>
  </conditionalFormatting>
  <conditionalFormatting sqref="D6:F7 G6:L21">
    <cfRule type="expression" dxfId="879" priority="96" stopIfTrue="1">
      <formula>OR($B6=TODAY(),$B6=TODAY()-1)</formula>
    </cfRule>
  </conditionalFormatting>
  <conditionalFormatting sqref="G15:G21 G10:G13 G6 I7:M8 H17">
    <cfRule type="expression" dxfId="878" priority="95" stopIfTrue="1">
      <formula>OR($B6=TODAY(),$B6=TODAY()-1)</formula>
    </cfRule>
  </conditionalFormatting>
  <conditionalFormatting sqref="D6:F7 G6:L21">
    <cfRule type="expression" dxfId="877" priority="94" stopIfTrue="1">
      <formula>OR($B6=TODAY(),$B6=TODAY()-1)</formula>
    </cfRule>
  </conditionalFormatting>
  <conditionalFormatting sqref="G15:G21 G10:G13 G6 I7:M8 H17">
    <cfRule type="expression" dxfId="876" priority="93" stopIfTrue="1">
      <formula>OR($B6=TODAY(),$B6=TODAY()-1)</formula>
    </cfRule>
  </conditionalFormatting>
  <conditionalFormatting sqref="D6:F7 G6:L21">
    <cfRule type="expression" dxfId="875" priority="92" stopIfTrue="1">
      <formula>OR($B6=TODAY(),$B6=TODAY()-1)</formula>
    </cfRule>
  </conditionalFormatting>
  <conditionalFormatting sqref="D6:F7 G6:L21">
    <cfRule type="expression" dxfId="874" priority="91" stopIfTrue="1">
      <formula>OR($B6=TODAY(),$B6=TODAY()-1)</formula>
    </cfRule>
  </conditionalFormatting>
  <conditionalFormatting sqref="G15:G21 G10:G13 G6 I7:M8 H17">
    <cfRule type="expression" dxfId="873" priority="90" stopIfTrue="1">
      <formula>OR($B6=TODAY(),$B6=TODAY()-1)</formula>
    </cfRule>
  </conditionalFormatting>
  <conditionalFormatting sqref="D6:F7 G6:L21">
    <cfRule type="expression" dxfId="872" priority="89" stopIfTrue="1">
      <formula>OR($B6=TODAY(),$B6=TODAY()-1)</formula>
    </cfRule>
  </conditionalFormatting>
  <conditionalFormatting sqref="G15:G21 G10:G13 G6 I7:M8 H17">
    <cfRule type="expression" dxfId="871" priority="88" stopIfTrue="1">
      <formula>OR($B6=TODAY(),$B6=TODAY()-1)</formula>
    </cfRule>
  </conditionalFormatting>
  <conditionalFormatting sqref="D6:F7">
    <cfRule type="expression" dxfId="870" priority="87" stopIfTrue="1">
      <formula>OR($B6=TODAY(),$B6=TODAY()-1)</formula>
    </cfRule>
  </conditionalFormatting>
  <conditionalFormatting sqref="G15:G21 G10:G13 G6 I7:M8 H17">
    <cfRule type="expression" dxfId="869" priority="86" stopIfTrue="1">
      <formula>OR($B6=TODAY(),$B6=TODAY()-1)</formula>
    </cfRule>
  </conditionalFormatting>
  <conditionalFormatting sqref="D29 D30:F31">
    <cfRule type="expression" dxfId="868" priority="85" stopIfTrue="1">
      <formula>OR($B29=TODAY(),$B29=TODAY()-1)</formula>
    </cfRule>
  </conditionalFormatting>
  <conditionalFormatting sqref="D29 D30:F31">
    <cfRule type="expression" dxfId="867" priority="84" stopIfTrue="1">
      <formula>OR($B29=TODAY(),$B29=TODAY()-1)</formula>
    </cfRule>
  </conditionalFormatting>
  <conditionalFormatting sqref="D29 D30:F31">
    <cfRule type="expression" dxfId="866" priority="83" stopIfTrue="1">
      <formula>OR($B29=TODAY(),$B29=TODAY()-1)</formula>
    </cfRule>
  </conditionalFormatting>
  <conditionalFormatting sqref="D29 D30:F31">
    <cfRule type="expression" dxfId="865" priority="82" stopIfTrue="1">
      <formula>OR($B29=TODAY(),$B29=TODAY()-1)</formula>
    </cfRule>
  </conditionalFormatting>
  <conditionalFormatting sqref="D29 D30:F31">
    <cfRule type="expression" dxfId="864" priority="81" stopIfTrue="1">
      <formula>OR($B29=TODAY(),$B29=TODAY()-1)</formula>
    </cfRule>
  </conditionalFormatting>
  <conditionalFormatting sqref="D29 D30:F31">
    <cfRule type="expression" dxfId="863" priority="80" stopIfTrue="1">
      <formula>OR($B29=TODAY(),$B29=TODAY()-1)</formula>
    </cfRule>
  </conditionalFormatting>
  <conditionalFormatting sqref="D29 D30:F31">
    <cfRule type="expression" dxfId="862" priority="79" stopIfTrue="1">
      <formula>OR($B29=TODAY(),$B29=TODAY()-1)</formula>
    </cfRule>
  </conditionalFormatting>
  <conditionalFormatting sqref="D29 D30:F31">
    <cfRule type="expression" dxfId="861" priority="78" stopIfTrue="1">
      <formula>OR($B29=TODAY(),$B29=TODAY()-1)</formula>
    </cfRule>
  </conditionalFormatting>
  <conditionalFormatting sqref="D29 D30:F31">
    <cfRule type="expression" dxfId="860" priority="77" stopIfTrue="1">
      <formula>OR($B29=TODAY(),$B29=TODAY()-1)</formula>
    </cfRule>
  </conditionalFormatting>
  <conditionalFormatting sqref="D29 D30:F31">
    <cfRule type="expression" dxfId="859" priority="76" stopIfTrue="1">
      <formula>OR($B29=TODAY(),$B29=TODAY()-1)</formula>
    </cfRule>
  </conditionalFormatting>
  <conditionalFormatting sqref="D29 D30:F31">
    <cfRule type="expression" dxfId="858" priority="75" stopIfTrue="1">
      <formula>OR($B29=TODAY(),$B29=TODAY()-1)</formula>
    </cfRule>
  </conditionalFormatting>
  <conditionalFormatting sqref="DP6:DQ37">
    <cfRule type="cellIs" dxfId="857" priority="73" stopIfTrue="1" operator="lessThanOrEqual">
      <formula>$D$2</formula>
    </cfRule>
    <cfRule type="cellIs" dxfId="856" priority="74" stopIfTrue="1" operator="greaterThan">
      <formula>$D$2</formula>
    </cfRule>
  </conditionalFormatting>
  <conditionalFormatting sqref="BZ6:BZ37 DH6:DH37 DJ6:DJ37 CS6:CS37">
    <cfRule type="cellIs" dxfId="855" priority="71" stopIfTrue="1" operator="lessThanOrEqual">
      <formula>#REF!</formula>
    </cfRule>
    <cfRule type="cellIs" dxfId="854" priority="72" stopIfTrue="1" operator="greaterThan">
      <formula>#REF!</formula>
    </cfRule>
  </conditionalFormatting>
  <conditionalFormatting sqref="DL6:DL37">
    <cfRule type="cellIs" dxfId="853" priority="69" stopIfTrue="1" operator="greaterThan">
      <formula>$D$3</formula>
    </cfRule>
    <cfRule type="cellIs" dxfId="852" priority="70" stopIfTrue="1" operator="lessThanOrEqual">
      <formula>$D$3</formula>
    </cfRule>
  </conditionalFormatting>
  <conditionalFormatting sqref="E20:F20">
    <cfRule type="expression" dxfId="851" priority="68" stopIfTrue="1">
      <formula>OR($B20=TODAY(),$B20=TODAY()-1)</formula>
    </cfRule>
  </conditionalFormatting>
  <conditionalFormatting sqref="E20:F20">
    <cfRule type="expression" dxfId="850" priority="67" stopIfTrue="1">
      <formula>OR($B20=TODAY(),$B20=TODAY()-1)</formula>
    </cfRule>
  </conditionalFormatting>
  <conditionalFormatting sqref="E20:F20">
    <cfRule type="expression" dxfId="849" priority="66" stopIfTrue="1">
      <formula>OR($B20=TODAY(),$B20=TODAY()-1)</formula>
    </cfRule>
  </conditionalFormatting>
  <conditionalFormatting sqref="E20:F20">
    <cfRule type="expression" dxfId="848" priority="65" stopIfTrue="1">
      <formula>OR($B20=TODAY(),$B20=TODAY()-1)</formula>
    </cfRule>
  </conditionalFormatting>
  <conditionalFormatting sqref="E20:F20">
    <cfRule type="expression" dxfId="847" priority="64" stopIfTrue="1">
      <formula>OR($B20=TODAY(),$B20=TODAY()-1)</formula>
    </cfRule>
  </conditionalFormatting>
  <conditionalFormatting sqref="E20:F20">
    <cfRule type="expression" dxfId="846" priority="63" stopIfTrue="1">
      <formula>OR($B20=TODAY(),$B20=TODAY()-1)</formula>
    </cfRule>
  </conditionalFormatting>
  <conditionalFormatting sqref="E20:F20">
    <cfRule type="expression" dxfId="845" priority="62" stopIfTrue="1">
      <formula>OR($B20=TODAY(),$B20=TODAY()-1)</formula>
    </cfRule>
  </conditionalFormatting>
  <conditionalFormatting sqref="E20:F20">
    <cfRule type="expression" dxfId="844" priority="61" stopIfTrue="1">
      <formula>OR($B20=TODAY(),$B20=TODAY()-1)</formula>
    </cfRule>
  </conditionalFormatting>
  <conditionalFormatting sqref="E20:F20">
    <cfRule type="expression" dxfId="843" priority="60" stopIfTrue="1">
      <formula>OR($B20=TODAY(),$B20=TODAY()-1)</formula>
    </cfRule>
  </conditionalFormatting>
  <conditionalFormatting sqref="E20:F20">
    <cfRule type="expression" dxfId="842" priority="59" stopIfTrue="1">
      <formula>OR($B20=TODAY(),$B20=TODAY()-1)</formula>
    </cfRule>
  </conditionalFormatting>
  <conditionalFormatting sqref="D34:F34">
    <cfRule type="expression" dxfId="841" priority="58" stopIfTrue="1">
      <formula>OR($B34=TODAY(),$B34=TODAY()-1)</formula>
    </cfRule>
  </conditionalFormatting>
  <conditionalFormatting sqref="D34:F34">
    <cfRule type="expression" dxfId="840" priority="57" stopIfTrue="1">
      <formula>OR($B34=TODAY(),$B34=TODAY()-1)</formula>
    </cfRule>
  </conditionalFormatting>
  <conditionalFormatting sqref="CH6:CH37">
    <cfRule type="cellIs" dxfId="839" priority="55" stopIfTrue="1" operator="lessThanOrEqual">
      <formula>#REF!</formula>
    </cfRule>
    <cfRule type="cellIs" dxfId="838" priority="56" stopIfTrue="1" operator="greaterThan">
      <formula>#REF!</formula>
    </cfRule>
  </conditionalFormatting>
  <conditionalFormatting sqref="CL6:CL37 CP6:CP37 CV6:CV37">
    <cfRule type="cellIs" dxfId="837" priority="53" operator="greaterThan">
      <formula>#REF!</formula>
    </cfRule>
    <cfRule type="cellIs" dxfId="836" priority="54" operator="lessThanOrEqual">
      <formula>#REF!</formula>
    </cfRule>
  </conditionalFormatting>
  <conditionalFormatting sqref="G14">
    <cfRule type="expression" dxfId="835" priority="52" stopIfTrue="1">
      <formula>OR($B15=TODAY(),$B15=TODAY()-1)</formula>
    </cfRule>
  </conditionalFormatting>
  <conditionalFormatting sqref="I16:M18">
    <cfRule type="expression" dxfId="834" priority="51" stopIfTrue="1">
      <formula>OR($B16=TODAY(),$B16=TODAY()-1)</formula>
    </cfRule>
  </conditionalFormatting>
  <conditionalFormatting sqref="I16:M18">
    <cfRule type="expression" dxfId="833" priority="50" stopIfTrue="1">
      <formula>OR($B16=TODAY(),$B16=TODAY()-1)</formula>
    </cfRule>
  </conditionalFormatting>
  <conditionalFormatting sqref="I16:M18">
    <cfRule type="expression" dxfId="832" priority="49" stopIfTrue="1">
      <formula>OR($B16=TODAY(),$B16=TODAY()-1)</formula>
    </cfRule>
  </conditionalFormatting>
  <conditionalFormatting sqref="I16:M18">
    <cfRule type="expression" dxfId="831" priority="48" stopIfTrue="1">
      <formula>OR($B16=TODAY(),$B16=TODAY()-1)</formula>
    </cfRule>
  </conditionalFormatting>
  <conditionalFormatting sqref="D16">
    <cfRule type="expression" dxfId="830" priority="47" stopIfTrue="1">
      <formula>OR($B16=TODAY(),$B16=TODAY()-1)</formula>
    </cfRule>
  </conditionalFormatting>
  <conditionalFormatting sqref="G6:L21">
    <cfRule type="expression" dxfId="829" priority="46" stopIfTrue="1">
      <formula>OR($B6=TODAY(),$B6=TODAY()-1)</formula>
    </cfRule>
  </conditionalFormatting>
  <conditionalFormatting sqref="G6:L21">
    <cfRule type="expression" dxfId="828" priority="45" stopIfTrue="1">
      <formula>OR($B6=TODAY(),$B6=TODAY()-1)</formula>
    </cfRule>
  </conditionalFormatting>
  <conditionalFormatting sqref="G6:L21">
    <cfRule type="expression" dxfId="827" priority="44" stopIfTrue="1">
      <formula>OR($B6=TODAY(),$B6=TODAY()-1)</formula>
    </cfRule>
  </conditionalFormatting>
  <conditionalFormatting sqref="G15">
    <cfRule type="expression" dxfId="826" priority="43" stopIfTrue="1">
      <formula>OR($B16=TODAY(),$B16=TODAY()-1)</formula>
    </cfRule>
  </conditionalFormatting>
  <conditionalFormatting sqref="D6:J6">
    <cfRule type="expression" dxfId="825" priority="42" stopIfTrue="1">
      <formula>OR($B6=TODAY(),$B6=TODAY()-1)</formula>
    </cfRule>
  </conditionalFormatting>
  <conditionalFormatting sqref="G6">
    <cfRule type="expression" dxfId="824" priority="41" stopIfTrue="1">
      <formula>OR($B6=TODAY(),$B6=TODAY()-1)</formula>
    </cfRule>
  </conditionalFormatting>
  <conditionalFormatting sqref="D6:F6">
    <cfRule type="expression" dxfId="823" priority="40" stopIfTrue="1">
      <formula>OR($B6=TODAY(),$B6=TODAY()-1)</formula>
    </cfRule>
  </conditionalFormatting>
  <conditionalFormatting sqref="D6:F6">
    <cfRule type="expression" dxfId="822" priority="39" stopIfTrue="1">
      <formula>OR($B6=TODAY(),$B6=TODAY()-1)</formula>
    </cfRule>
  </conditionalFormatting>
  <conditionalFormatting sqref="D6:J6">
    <cfRule type="expression" dxfId="821" priority="38" stopIfTrue="1">
      <formula>OR($B6=TODAY(),$B6=TODAY()-1)</formula>
    </cfRule>
  </conditionalFormatting>
  <conditionalFormatting sqref="G6">
    <cfRule type="expression" dxfId="820" priority="37" stopIfTrue="1">
      <formula>OR($B6=TODAY(),$B6=TODAY()-1)</formula>
    </cfRule>
  </conditionalFormatting>
  <conditionalFormatting sqref="D6:J6">
    <cfRule type="expression" dxfId="819" priority="36" stopIfTrue="1">
      <formula>OR($B6=TODAY(),$B6=TODAY()-1)</formula>
    </cfRule>
  </conditionalFormatting>
  <conditionalFormatting sqref="G6">
    <cfRule type="expression" dxfId="818" priority="35" stopIfTrue="1">
      <formula>OR($B6=TODAY(),$B6=TODAY()-1)</formula>
    </cfRule>
  </conditionalFormatting>
  <conditionalFormatting sqref="D6:J6">
    <cfRule type="expression" dxfId="817" priority="34" stopIfTrue="1">
      <formula>OR($B6=TODAY(),$B6=TODAY()-1)</formula>
    </cfRule>
  </conditionalFormatting>
  <conditionalFormatting sqref="G6">
    <cfRule type="expression" dxfId="816" priority="33" stopIfTrue="1">
      <formula>OR($B6=TODAY(),$B6=TODAY()-1)</formula>
    </cfRule>
  </conditionalFormatting>
  <conditionalFormatting sqref="D6:J6">
    <cfRule type="expression" dxfId="815" priority="32" stopIfTrue="1">
      <formula>OR($B6=TODAY(),$B6=TODAY()-1)</formula>
    </cfRule>
  </conditionalFormatting>
  <conditionalFormatting sqref="G6">
    <cfRule type="expression" dxfId="814" priority="31" stopIfTrue="1">
      <formula>OR($B6=TODAY(),$B6=TODAY()-1)</formula>
    </cfRule>
  </conditionalFormatting>
  <conditionalFormatting sqref="D6:J6">
    <cfRule type="expression" dxfId="813" priority="30" stopIfTrue="1">
      <formula>OR($B6=TODAY(),$B6=TODAY()-1)</formula>
    </cfRule>
  </conditionalFormatting>
  <conditionalFormatting sqref="G6">
    <cfRule type="expression" dxfId="812" priority="29" stopIfTrue="1">
      <formula>OR($B6=TODAY(),$B6=TODAY()-1)</formula>
    </cfRule>
  </conditionalFormatting>
  <conditionalFormatting sqref="D6:J6">
    <cfRule type="expression" dxfId="811" priority="28" stopIfTrue="1">
      <formula>OR($B6=TODAY(),$B6=TODAY()-1)</formula>
    </cfRule>
  </conditionalFormatting>
  <conditionalFormatting sqref="G6">
    <cfRule type="expression" dxfId="810" priority="27" stopIfTrue="1">
      <formula>OR($B6=TODAY(),$B6=TODAY()-1)</formula>
    </cfRule>
  </conditionalFormatting>
  <conditionalFormatting sqref="D6:J6">
    <cfRule type="expression" dxfId="809" priority="26" stopIfTrue="1">
      <formula>OR($B6=TODAY(),$B6=TODAY()-1)</formula>
    </cfRule>
  </conditionalFormatting>
  <conditionalFormatting sqref="D6:J6">
    <cfRule type="expression" dxfId="808" priority="25" stopIfTrue="1">
      <formula>OR($B6=TODAY(),$B6=TODAY()-1)</formula>
    </cfRule>
  </conditionalFormatting>
  <conditionalFormatting sqref="G6">
    <cfRule type="expression" dxfId="807" priority="24" stopIfTrue="1">
      <formula>OR($B6=TODAY(),$B6=TODAY()-1)</formula>
    </cfRule>
  </conditionalFormatting>
  <conditionalFormatting sqref="D6:J6">
    <cfRule type="expression" dxfId="806" priority="23" stopIfTrue="1">
      <formula>OR($B6=TODAY(),$B6=TODAY()-1)</formula>
    </cfRule>
  </conditionalFormatting>
  <conditionalFormatting sqref="G6">
    <cfRule type="expression" dxfId="805" priority="22" stopIfTrue="1">
      <formula>OR($B6=TODAY(),$B6=TODAY()-1)</formula>
    </cfRule>
  </conditionalFormatting>
  <conditionalFormatting sqref="D6:F6">
    <cfRule type="expression" dxfId="804" priority="21" stopIfTrue="1">
      <formula>OR($B6=TODAY(),$B6=TODAY()-1)</formula>
    </cfRule>
  </conditionalFormatting>
  <conditionalFormatting sqref="G6">
    <cfRule type="expression" dxfId="803" priority="20" stopIfTrue="1">
      <formula>OR($B6=TODAY(),$B6=TODAY()-1)</formula>
    </cfRule>
  </conditionalFormatting>
  <conditionalFormatting sqref="G6:J6">
    <cfRule type="expression" dxfId="802" priority="19" stopIfTrue="1">
      <formula>OR($B6=TODAY(),$B6=TODAY()-1)</formula>
    </cfRule>
  </conditionalFormatting>
  <conditionalFormatting sqref="G6:J6">
    <cfRule type="expression" dxfId="801" priority="18" stopIfTrue="1">
      <formula>OR($B6=TODAY(),$B6=TODAY()-1)</formula>
    </cfRule>
  </conditionalFormatting>
  <conditionalFormatting sqref="G6:J6">
    <cfRule type="expression" dxfId="800" priority="17" stopIfTrue="1">
      <formula>OR($B6=TODAY(),$B6=TODAY()-1)</formula>
    </cfRule>
  </conditionalFormatting>
  <conditionalFormatting sqref="K13">
    <cfRule type="expression" dxfId="799" priority="16" stopIfTrue="1">
      <formula>OR($B13=TODAY(),$B13=TODAY()-1)</formula>
    </cfRule>
  </conditionalFormatting>
  <conditionalFormatting sqref="K13">
    <cfRule type="expression" dxfId="798" priority="15" stopIfTrue="1">
      <formula>OR($B13=TODAY(),$B13=TODAY()-1)</formula>
    </cfRule>
  </conditionalFormatting>
  <conditionalFormatting sqref="K13">
    <cfRule type="expression" dxfId="797" priority="14" stopIfTrue="1">
      <formula>OR($B13=TODAY(),$B13=TODAY()-1)</formula>
    </cfRule>
  </conditionalFormatting>
  <conditionalFormatting sqref="K13">
    <cfRule type="expression" dxfId="796" priority="13" stopIfTrue="1">
      <formula>OR($B13=TODAY(),$B13=TODAY()-1)</formula>
    </cfRule>
  </conditionalFormatting>
  <conditionalFormatting sqref="K13">
    <cfRule type="expression" dxfId="795" priority="12" stopIfTrue="1">
      <formula>OR($B13=TODAY(),$B13=TODAY()-1)</formula>
    </cfRule>
  </conditionalFormatting>
  <conditionalFormatting sqref="K13">
    <cfRule type="expression" dxfId="794" priority="11" stopIfTrue="1">
      <formula>OR($B13=TODAY(),$B13=TODAY()-1)</formula>
    </cfRule>
  </conditionalFormatting>
  <conditionalFormatting sqref="K13">
    <cfRule type="expression" dxfId="793" priority="10" stopIfTrue="1">
      <formula>OR($B13=TODAY(),$B13=TODAY()-1)</formula>
    </cfRule>
  </conditionalFormatting>
  <conditionalFormatting sqref="K13">
    <cfRule type="expression" dxfId="792" priority="9" stopIfTrue="1">
      <formula>OR($B13=TODAY(),$B13=TODAY()-1)</formula>
    </cfRule>
  </conditionalFormatting>
  <conditionalFormatting sqref="K13">
    <cfRule type="expression" dxfId="791" priority="8" stopIfTrue="1">
      <formula>OR($B13=TODAY(),$B13=TODAY()-1)</formula>
    </cfRule>
  </conditionalFormatting>
  <conditionalFormatting sqref="K13">
    <cfRule type="expression" dxfId="790" priority="7" stopIfTrue="1">
      <formula>OR($B13=TODAY(),$B13=TODAY()-1)</formula>
    </cfRule>
  </conditionalFormatting>
  <conditionalFormatting sqref="K13">
    <cfRule type="expression" dxfId="789" priority="6" stopIfTrue="1">
      <formula>OR($B13=TODAY(),$B13=TODAY()-1)</formula>
    </cfRule>
  </conditionalFormatting>
  <conditionalFormatting sqref="K13">
    <cfRule type="expression" dxfId="788" priority="5" stopIfTrue="1">
      <formula>OR($B13=TODAY(),$B13=TODAY()-1)</formula>
    </cfRule>
  </conditionalFormatting>
  <conditionalFormatting sqref="K13">
    <cfRule type="expression" dxfId="787" priority="4" stopIfTrue="1">
      <formula>OR($B13=TODAY(),$B13=TODAY()-1)</formula>
    </cfRule>
  </conditionalFormatting>
  <conditionalFormatting sqref="K13">
    <cfRule type="expression" dxfId="786" priority="3" stopIfTrue="1">
      <formula>OR($B13=TODAY(),$B13=TODAY()-1)</formula>
    </cfRule>
  </conditionalFormatting>
  <conditionalFormatting sqref="K13">
    <cfRule type="expression" dxfId="785" priority="2" stopIfTrue="1">
      <formula>OR($B13=TODAY(),$B13=TODAY()-1)</formula>
    </cfRule>
  </conditionalFormatting>
  <conditionalFormatting sqref="K13">
    <cfRule type="expression" dxfId="784" priority="1" stopIfTrue="1">
      <formula>OR($B13=TODAY(),$B13=TODAY()-1)</formula>
    </cfRule>
  </conditionalFormatting>
  <hyperlinks>
    <hyperlink ref="BA5" r:id="rId3" xr:uid="{00000000-0004-0000-1800-000000000000}"/>
  </hyperlinks>
  <pageMargins left="0.7" right="0.7" top="0.75" bottom="0.75" header="0.3" footer="0.3"/>
  <pageSetup orientation="portrait" r:id="rId4"/>
  <legacy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GL79"/>
  <sheetViews>
    <sheetView showGridLines="0" zoomScale="90" zoomScaleNormal="90" workbookViewId="0">
      <pane xSplit="3" ySplit="5" topLeftCell="D36" activePane="bottomRight" state="frozen"/>
      <selection activeCell="FD6" sqref="FD6:FD36"/>
      <selection pane="topRight" activeCell="FD6" sqref="FD6:FD36"/>
      <selection pane="bottomLeft" activeCell="FD6" sqref="FD6:FD36"/>
      <selection pane="bottomRight" activeCell="B36" sqref="B36"/>
    </sheetView>
  </sheetViews>
  <sheetFormatPr defaultRowHeight="15" outlineLevelCol="2"/>
  <cols>
    <col min="1" max="1" width="0.7109375" style="64" customWidth="1"/>
    <col min="2" max="2" width="6.5703125" style="64" customWidth="1"/>
    <col min="3" max="3" width="6.85546875" style="64" bestFit="1" customWidth="1"/>
    <col min="4" max="4" width="13.85546875" style="64" customWidth="1" outlineLevel="1"/>
    <col min="5" max="5" width="12" style="64" customWidth="1" outlineLevel="1"/>
    <col min="6" max="6" width="10" style="64" customWidth="1" outlineLevel="1"/>
    <col min="7" max="7" width="9.85546875" style="64" customWidth="1" outlineLevel="1"/>
    <col min="8" max="8" width="10.42578125" style="64" customWidth="1" outlineLevel="1"/>
    <col min="9" max="9" width="10.7109375" style="64" customWidth="1" outlineLevel="1"/>
    <col min="10" max="11" width="9.28515625" style="64" customWidth="1" outlineLevel="1"/>
    <col min="12" max="12" width="10.5703125" style="64" customWidth="1" outlineLevel="1"/>
    <col min="13" max="13" width="10.85546875" style="64" customWidth="1" outlineLevel="1"/>
    <col min="14" max="14" width="14.28515625" style="64" customWidth="1" outlineLevel="1"/>
    <col min="15" max="15" width="11" style="64" customWidth="1"/>
    <col min="16" max="16" width="11.85546875" style="64" customWidth="1" outlineLevel="1"/>
    <col min="17" max="17" width="1.42578125" style="64" customWidth="1"/>
    <col min="18" max="18" width="12.28515625" style="64" customWidth="1" outlineLevel="2"/>
    <col min="19" max="19" width="12.85546875" style="64" customWidth="1" outlineLevel="2"/>
    <col min="20" max="20" width="12.5703125" style="64" customWidth="1" outlineLevel="2"/>
    <col min="21" max="21" width="14.140625" style="64" customWidth="1" outlineLevel="2"/>
    <col min="22" max="22" width="9.42578125" style="64" customWidth="1" outlineLevel="2"/>
    <col min="23" max="23" width="10.7109375" style="64" customWidth="1" outlineLevel="2"/>
    <col min="24" max="24" width="11.5703125" style="64" customWidth="1" outlineLevel="2"/>
    <col min="25" max="26" width="10.7109375" style="64" customWidth="1" outlineLevel="2"/>
    <col min="27" max="27" width="11" style="64" customWidth="1" outlineLevel="1"/>
    <col min="28" max="29" width="12" style="64" customWidth="1" outlineLevel="2"/>
    <col min="30" max="31" width="10.85546875" style="64" customWidth="1" outlineLevel="1"/>
    <col min="32" max="32" width="12" style="64" customWidth="1" outlineLevel="2"/>
    <col min="33" max="33" width="8.140625" style="64" customWidth="1" outlineLevel="2"/>
    <col min="34" max="34" width="9.5703125" style="64" customWidth="1" outlineLevel="1"/>
    <col min="35" max="35" width="10.85546875" style="64" customWidth="1" outlineLevel="1"/>
    <col min="36" max="36" width="12" style="64" customWidth="1" outlineLevel="2"/>
    <col min="37" max="37" width="8.140625" style="64" customWidth="1" outlineLevel="2"/>
    <col min="38" max="38" width="9.5703125" style="64" customWidth="1" outlineLevel="1"/>
    <col min="39" max="39" width="10.85546875" style="64" customWidth="1" outlineLevel="1"/>
    <col min="40" max="40" width="9.5703125" style="64" customWidth="1" outlineLevel="2"/>
    <col min="41" max="41" width="9.5703125" style="64" customWidth="1" outlineLevel="1"/>
    <col min="42" max="42" width="9.5703125" style="64" customWidth="1" outlineLevel="2"/>
    <col min="43" max="43" width="9.5703125" style="64" customWidth="1" outlineLevel="1"/>
    <col min="44" max="44" width="11.28515625" style="64" customWidth="1" outlineLevel="2"/>
    <col min="45" max="45" width="9.140625" style="64" customWidth="1" outlineLevel="1"/>
    <col min="46" max="46" width="13.5703125" style="64" customWidth="1" outlineLevel="1"/>
    <col min="47" max="47" width="11.28515625" style="64" customWidth="1" outlineLevel="2"/>
    <col min="48" max="48" width="9.5703125" style="64" customWidth="1" outlineLevel="1"/>
    <col min="49" max="49" width="11.28515625" style="64" customWidth="1" outlineLevel="2"/>
    <col min="50" max="51" width="9.5703125" style="64" customWidth="1" outlineLevel="1"/>
    <col min="52" max="52" width="13.85546875" style="64" customWidth="1" outlineLevel="2"/>
    <col min="53" max="53" width="10.28515625" style="64" customWidth="1" outlineLevel="2"/>
    <col min="54" max="54" width="13.85546875" style="64" customWidth="1" outlineLevel="2"/>
    <col min="55" max="55" width="14.85546875" style="64" customWidth="1" outlineLevel="2"/>
    <col min="56" max="56" width="15.28515625" style="64" customWidth="1" outlineLevel="2"/>
    <col min="57" max="58" width="13.7109375" style="64" customWidth="1" outlineLevel="2"/>
    <col min="59" max="60" width="9.5703125" style="64" customWidth="1" outlineLevel="1"/>
    <col min="61" max="61" width="17" style="64" customWidth="1" outlineLevel="1"/>
    <col min="62" max="62" width="19.140625" style="64" customWidth="1" outlineLevel="1"/>
    <col min="63" max="63" width="2.28515625" style="261" customWidth="1"/>
    <col min="64" max="64" width="19.28515625" style="64" customWidth="1"/>
    <col min="65" max="65" width="14.28515625" style="64" customWidth="1"/>
    <col min="66" max="66" width="0.85546875" style="64" customWidth="1"/>
    <col min="67" max="67" width="12.28515625" style="64" customWidth="1" outlineLevel="2"/>
    <col min="68" max="68" width="12.42578125" style="64" customWidth="1" outlineLevel="2"/>
    <col min="69" max="69" width="12.5703125" style="64" customWidth="1" outlineLevel="2"/>
    <col min="70" max="72" width="9.42578125" style="64" customWidth="1" outlineLevel="2"/>
    <col min="73" max="73" width="21.42578125" style="64" customWidth="1" outlineLevel="1"/>
    <col min="74" max="74" width="12.28515625" style="64" customWidth="1" outlineLevel="2"/>
    <col min="75" max="75" width="12.42578125" style="64" customWidth="1" outlineLevel="2"/>
    <col min="76" max="76" width="12.5703125" style="64" customWidth="1" outlineLevel="2"/>
    <col min="77" max="77" width="9.42578125" style="64" customWidth="1" outlineLevel="2"/>
    <col min="78" max="78" width="13.7109375" style="64" customWidth="1" outlineLevel="1"/>
    <col min="79" max="79" width="0.42578125" style="64" customWidth="1" outlineLevel="1"/>
    <col min="80" max="80" width="11.7109375" style="64" customWidth="1" outlineLevel="2"/>
    <col min="81" max="81" width="9.7109375" style="64" customWidth="1" outlineLevel="1"/>
    <col min="82" max="82" width="11.42578125" style="64" customWidth="1" outlineLevel="1"/>
    <col min="83" max="83" width="12.85546875" style="64" customWidth="1" outlineLevel="1"/>
    <col min="84" max="84" width="13.7109375" style="64" customWidth="1" outlineLevel="2"/>
    <col min="85" max="85" width="11" style="64" customWidth="1" outlineLevel="2"/>
    <col min="86" max="86" width="8.7109375" style="64" customWidth="1" outlineLevel="1"/>
    <col min="87" max="87" width="0.140625" style="64" customWidth="1" outlineLevel="1"/>
    <col min="88" max="89" width="11.7109375" style="64" customWidth="1" outlineLevel="2"/>
    <col min="90" max="90" width="10.28515625" style="64" customWidth="1" outlineLevel="1"/>
    <col min="91" max="91" width="0.5703125" style="64" customWidth="1" outlineLevel="1"/>
    <col min="92" max="93" width="11.7109375" style="64" customWidth="1" outlineLevel="2"/>
    <col min="94" max="94" width="8.7109375" style="64" customWidth="1" outlineLevel="1"/>
    <col min="95" max="95" width="0.28515625" style="64" customWidth="1" outlineLevel="1"/>
    <col min="96" max="96" width="14.42578125" style="64" customWidth="1" outlineLevel="2"/>
    <col min="97" max="97" width="6.7109375" style="64" customWidth="1" outlineLevel="1"/>
    <col min="98" max="98" width="0.28515625" style="64" customWidth="1" outlineLevel="1"/>
    <col min="99" max="99" width="11" style="64" customWidth="1" outlineLevel="2"/>
    <col min="100" max="100" width="7.28515625" style="64" customWidth="1" outlineLevel="1"/>
    <col min="101" max="101" width="0.42578125" style="64" customWidth="1" outlineLevel="1"/>
    <col min="102" max="104" width="8.140625" style="64" customWidth="1" outlineLevel="1"/>
    <col min="105" max="105" width="8.42578125" style="64" customWidth="1" outlineLevel="1"/>
    <col min="106" max="106" width="10.42578125" style="64" customWidth="1" outlineLevel="2"/>
    <col min="107" max="107" width="9.7109375" style="64" customWidth="1" outlineLevel="2"/>
    <col min="108" max="108" width="18.28515625" style="64" customWidth="1" outlineLevel="2"/>
    <col min="109" max="109" width="14.85546875" style="64" customWidth="1" outlineLevel="2"/>
    <col min="110" max="110" width="17" style="64" customWidth="1" outlineLevel="2"/>
    <col min="111" max="111" width="14.85546875" style="64" customWidth="1" outlineLevel="2"/>
    <col min="112" max="112" width="11" style="64" customWidth="1" outlineLevel="1"/>
    <col min="113" max="113" width="0.28515625" style="64" customWidth="1" outlineLevel="1"/>
    <col min="114" max="114" width="9.85546875" style="64" customWidth="1" outlineLevel="1"/>
    <col min="115" max="115" width="0.42578125" style="64" customWidth="1" outlineLevel="1"/>
    <col min="116" max="116" width="9.85546875" style="64" customWidth="1" outlineLevel="1"/>
    <col min="117" max="117" width="0.42578125" style="64" customWidth="1" outlineLevel="1"/>
    <col min="118" max="118" width="13.140625" style="64" customWidth="1" outlineLevel="2"/>
    <col min="119" max="119" width="1.7109375" style="261" customWidth="1"/>
    <col min="120" max="120" width="16.42578125" style="64" customWidth="1"/>
    <col min="121" max="121" width="15.140625" style="64" customWidth="1"/>
    <col min="122" max="122" width="3.42578125" style="64" customWidth="1"/>
    <col min="123" max="123" width="8.42578125" style="64" customWidth="1"/>
    <col min="124" max="124" width="9.140625" style="64" customWidth="1"/>
    <col min="125" max="131" width="15.7109375" style="219" customWidth="1" outlineLevel="1"/>
    <col min="132" max="132" width="15.7109375" style="220" customWidth="1" outlineLevel="1"/>
    <col min="133" max="139" width="15.7109375" style="219" customWidth="1" outlineLevel="1"/>
    <col min="140" max="141" width="15.7109375" style="220" customWidth="1" outlineLevel="1"/>
    <col min="142" max="143" width="15.7109375" style="219" customWidth="1" outlineLevel="1"/>
    <col min="144" max="144" width="15.7109375" style="220" customWidth="1" outlineLevel="1"/>
    <col min="145" max="145" width="15.7109375" style="219" customWidth="1" outlineLevel="1"/>
    <col min="146" max="153" width="15.7109375" style="220" customWidth="1" outlineLevel="1"/>
    <col min="154" max="159" width="15.7109375" style="219" customWidth="1" outlineLevel="1"/>
    <col min="160" max="160" width="20.5703125" style="220" customWidth="1"/>
    <col min="161" max="162" width="11.85546875" style="220" customWidth="1" outlineLevel="1"/>
    <col min="163" max="169" width="10.7109375" style="220" customWidth="1" outlineLevel="1"/>
    <col min="170" max="170" width="15.5703125" style="220" customWidth="1"/>
    <col min="171" max="171" width="20.5703125" style="220" customWidth="1"/>
    <col min="172" max="172" width="77.140625" style="64" customWidth="1"/>
    <col min="173" max="173" width="9.140625" style="9"/>
    <col min="174" max="179" width="9.140625" style="9" hidden="1" customWidth="1"/>
    <col min="180" max="181" width="9.140625" style="9"/>
    <col min="182" max="182" width="12.28515625" style="9" customWidth="1"/>
    <col min="183" max="183" width="12" style="64" customWidth="1"/>
    <col min="184" max="184" width="9.28515625" style="64" bestFit="1" customWidth="1"/>
    <col min="185" max="185" width="9.140625" style="64"/>
    <col min="186" max="187" width="13.5703125" style="64" customWidth="1"/>
    <col min="188" max="188" width="9.7109375" style="64" bestFit="1" customWidth="1"/>
    <col min="189" max="189" width="9.140625" style="64"/>
    <col min="190" max="190" width="10.85546875" style="64" customWidth="1"/>
    <col min="191" max="191" width="15" style="64" customWidth="1"/>
    <col min="192" max="192" width="13.7109375" style="64" customWidth="1"/>
    <col min="193" max="194" width="9.140625" style="10"/>
    <col min="195" max="16384" width="9.140625" style="64"/>
  </cols>
  <sheetData>
    <row r="1" spans="1:194" s="4" customFormat="1">
      <c r="A1" s="1"/>
      <c r="B1" s="2" t="s">
        <v>0</v>
      </c>
      <c r="C1" s="1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AA1" s="5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5"/>
      <c r="AS1" s="5"/>
      <c r="AT1" s="5"/>
      <c r="AU1" s="5"/>
      <c r="AV1" s="6"/>
      <c r="AW1" s="5"/>
      <c r="AX1" s="6"/>
      <c r="AY1" s="6"/>
      <c r="AZ1" s="6"/>
      <c r="BA1" s="6"/>
      <c r="BB1" s="6"/>
      <c r="BD1" s="5"/>
      <c r="BE1" s="5"/>
      <c r="BF1" s="5"/>
      <c r="BG1" s="6"/>
      <c r="BK1" s="7"/>
      <c r="DO1" s="7"/>
      <c r="DU1" s="8"/>
      <c r="DV1" s="8"/>
      <c r="DW1" s="8"/>
      <c r="DX1" s="8"/>
      <c r="DY1" s="8"/>
      <c r="DZ1" s="8"/>
      <c r="EA1" s="8"/>
      <c r="EB1" s="3"/>
      <c r="EC1" s="8"/>
      <c r="ED1" s="8"/>
      <c r="EE1" s="8"/>
      <c r="EF1" s="8"/>
      <c r="EG1" s="8"/>
      <c r="EH1" s="8"/>
      <c r="EI1" s="8"/>
      <c r="EJ1" s="3"/>
      <c r="EK1" s="3"/>
      <c r="EL1" s="8"/>
      <c r="EM1" s="8"/>
      <c r="EN1" s="3"/>
      <c r="EO1" s="8"/>
      <c r="EP1" s="3"/>
      <c r="EQ1" s="3"/>
      <c r="ER1" s="3"/>
      <c r="ES1" s="3"/>
      <c r="ET1" s="3"/>
      <c r="EU1" s="3"/>
      <c r="EV1" s="3"/>
      <c r="EW1" s="3"/>
      <c r="EX1" s="8"/>
      <c r="EY1" s="8"/>
      <c r="EZ1" s="8"/>
      <c r="FA1" s="8"/>
      <c r="FB1" s="8"/>
      <c r="FC1" s="8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>
        <f>FO26-1037514</f>
        <v>1188</v>
      </c>
      <c r="FQ1" s="9"/>
      <c r="FR1" s="9"/>
      <c r="FS1" s="9"/>
      <c r="FT1" s="9"/>
      <c r="FU1" s="9"/>
      <c r="FV1" s="9"/>
      <c r="FW1" s="9"/>
      <c r="FX1" s="9"/>
      <c r="FY1" s="9"/>
      <c r="FZ1" s="9"/>
      <c r="GK1" s="10"/>
      <c r="GL1" s="10"/>
    </row>
    <row r="2" spans="1:194" s="4" customFormat="1" ht="13.5" customHeight="1">
      <c r="B2" s="11" t="s">
        <v>1</v>
      </c>
      <c r="C2" s="12"/>
      <c r="D2" s="13" t="s">
        <v>2</v>
      </c>
      <c r="E2" s="14"/>
      <c r="F2" s="14"/>
      <c r="G2" s="3"/>
      <c r="H2" s="12"/>
      <c r="I2" s="12"/>
      <c r="J2" s="12"/>
      <c r="K2" s="336"/>
      <c r="L2" s="12"/>
      <c r="M2" s="12"/>
      <c r="N2" s="12"/>
      <c r="R2" s="15"/>
      <c r="S2" s="15"/>
      <c r="T2" s="15"/>
      <c r="U2" s="15"/>
      <c r="V2" s="16"/>
      <c r="W2" s="16"/>
      <c r="X2" s="16"/>
      <c r="Y2" s="16"/>
      <c r="Z2" s="16"/>
      <c r="AA2" s="17"/>
      <c r="AB2" s="17"/>
      <c r="AC2" s="17"/>
      <c r="AD2" s="17"/>
      <c r="AE2" s="17"/>
      <c r="AF2" s="5"/>
      <c r="AG2" s="5"/>
      <c r="AH2" s="5"/>
      <c r="AI2" s="17"/>
      <c r="AJ2" s="5"/>
      <c r="AK2" s="5"/>
      <c r="AL2" s="5"/>
      <c r="AM2" s="17"/>
      <c r="AN2" s="5"/>
      <c r="AO2" s="5"/>
      <c r="AP2" s="5"/>
      <c r="AQ2" s="5"/>
      <c r="AR2" s="17"/>
      <c r="AS2" s="17"/>
      <c r="AT2" s="17"/>
      <c r="AU2" s="17"/>
      <c r="AV2" s="5"/>
      <c r="AW2" s="17"/>
      <c r="AX2" s="5"/>
      <c r="AY2" s="5"/>
      <c r="AZ2" s="5"/>
      <c r="BA2" s="5"/>
      <c r="BB2" s="5"/>
      <c r="BC2" s="6"/>
      <c r="BD2" s="18"/>
      <c r="BE2" s="18"/>
      <c r="BF2" s="18"/>
      <c r="BG2" s="5"/>
      <c r="BH2" s="5"/>
      <c r="BI2" s="19"/>
      <c r="BJ2" s="19"/>
      <c r="BK2" s="20"/>
      <c r="BL2" s="19"/>
      <c r="BM2" s="19"/>
      <c r="BN2" s="19"/>
      <c r="CG2" s="21"/>
      <c r="CK2" s="22"/>
      <c r="CO2" s="22"/>
      <c r="CU2" s="22"/>
      <c r="DO2" s="7"/>
      <c r="DU2" s="8" t="s">
        <v>3</v>
      </c>
      <c r="DV2" s="8"/>
      <c r="DW2" s="8"/>
      <c r="DX2" s="8"/>
      <c r="DY2" s="8"/>
      <c r="DZ2" s="8"/>
      <c r="EA2" s="8"/>
      <c r="EB2" s="3"/>
      <c r="EC2" s="8"/>
      <c r="ED2" s="8"/>
      <c r="EE2" s="8"/>
      <c r="EF2" s="8"/>
      <c r="EG2" s="8"/>
      <c r="EH2" s="8"/>
      <c r="EI2" s="8"/>
      <c r="EJ2" s="9"/>
      <c r="EK2" s="9"/>
      <c r="EL2" s="8"/>
      <c r="EM2" s="8"/>
      <c r="EN2" s="9"/>
      <c r="EO2" s="8"/>
      <c r="EP2" s="9"/>
      <c r="EQ2" s="9"/>
      <c r="ER2" s="9"/>
      <c r="ES2" s="9"/>
      <c r="ET2" s="9"/>
      <c r="EU2" s="9"/>
      <c r="EV2" s="9"/>
      <c r="EW2" s="3"/>
      <c r="EX2" s="8"/>
      <c r="EY2" s="8"/>
      <c r="EZ2" s="8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23"/>
      <c r="FQ2" s="9"/>
      <c r="FR2" s="9"/>
      <c r="GK2" s="10"/>
      <c r="GL2" s="10"/>
    </row>
    <row r="3" spans="1:194" s="16" customFormat="1" ht="30" customHeight="1">
      <c r="D3" s="337"/>
      <c r="E3" s="338"/>
      <c r="F3" s="338"/>
      <c r="G3" s="339"/>
      <c r="H3" s="339"/>
      <c r="I3" s="339"/>
      <c r="J3" s="339"/>
      <c r="K3" s="339"/>
      <c r="L3" s="339"/>
      <c r="M3" s="339"/>
      <c r="N3" s="339"/>
      <c r="P3" s="340"/>
      <c r="R3" s="27">
        <v>202</v>
      </c>
      <c r="S3" s="27">
        <v>69</v>
      </c>
      <c r="T3" s="27">
        <v>486</v>
      </c>
      <c r="U3" s="27"/>
      <c r="V3" s="27">
        <v>1402</v>
      </c>
      <c r="W3" s="27"/>
      <c r="X3" s="27">
        <v>1402</v>
      </c>
      <c r="Y3" s="27">
        <v>98</v>
      </c>
      <c r="Z3" s="27">
        <v>149</v>
      </c>
      <c r="AA3" s="27">
        <v>2166</v>
      </c>
      <c r="AB3" s="27">
        <v>113</v>
      </c>
      <c r="AC3" s="27">
        <v>35</v>
      </c>
      <c r="AD3" s="28">
        <v>268</v>
      </c>
      <c r="AE3" s="28">
        <v>120</v>
      </c>
      <c r="AF3" s="27">
        <v>159</v>
      </c>
      <c r="AG3" s="27">
        <v>42</v>
      </c>
      <c r="AH3" s="28">
        <v>286</v>
      </c>
      <c r="AI3" s="28">
        <v>85</v>
      </c>
      <c r="AJ3" s="27">
        <v>195</v>
      </c>
      <c r="AK3" s="27">
        <v>39</v>
      </c>
      <c r="AL3" s="27">
        <v>313</v>
      </c>
      <c r="AM3" s="28">
        <v>80</v>
      </c>
      <c r="AN3" s="27">
        <v>26</v>
      </c>
      <c r="AO3" s="27">
        <v>66</v>
      </c>
      <c r="AP3" s="27">
        <v>37</v>
      </c>
      <c r="AQ3" s="27">
        <v>67</v>
      </c>
      <c r="AR3" s="27">
        <v>75</v>
      </c>
      <c r="AS3" s="27">
        <v>105</v>
      </c>
      <c r="AT3" s="27">
        <v>796</v>
      </c>
      <c r="AU3" s="27">
        <v>235</v>
      </c>
      <c r="AV3" s="27"/>
      <c r="AW3" s="27">
        <v>456</v>
      </c>
      <c r="AX3" s="27">
        <v>61</v>
      </c>
      <c r="AY3" s="341" t="s">
        <v>199</v>
      </c>
      <c r="AZ3" s="27">
        <v>322</v>
      </c>
      <c r="BA3" s="27">
        <v>72</v>
      </c>
      <c r="BB3" s="27">
        <v>108</v>
      </c>
      <c r="BC3" s="29">
        <v>670</v>
      </c>
      <c r="BD3" s="27"/>
      <c r="BE3" s="27"/>
      <c r="BF3" s="27"/>
      <c r="BG3" s="27">
        <v>1100</v>
      </c>
      <c r="BH3" s="27"/>
      <c r="BI3" s="342">
        <v>1323</v>
      </c>
      <c r="BJ3" s="342">
        <v>5140</v>
      </c>
      <c r="BK3" s="343"/>
      <c r="BL3" s="342">
        <v>6932</v>
      </c>
      <c r="BM3" s="342"/>
      <c r="BN3" s="342"/>
      <c r="BO3" s="344" t="s">
        <v>4</v>
      </c>
      <c r="CC3" s="16">
        <f>COLUMN(CC2)-3</f>
        <v>78</v>
      </c>
      <c r="CD3" s="16">
        <f>COLUMN(CD2)-3</f>
        <v>79</v>
      </c>
      <c r="CE3" s="16">
        <f>COLUMN(CE2)-3</f>
        <v>80</v>
      </c>
      <c r="CF3" s="16">
        <f>COLUMN(CF2)-3</f>
        <v>81</v>
      </c>
      <c r="CG3" s="16">
        <f t="shared" ref="CG3:CX3" si="0">COLUMN(CG2)-2</f>
        <v>83</v>
      </c>
      <c r="CH3" s="16">
        <f t="shared" si="0"/>
        <v>84</v>
      </c>
      <c r="CI3" s="16">
        <f t="shared" si="0"/>
        <v>85</v>
      </c>
      <c r="CJ3" s="16">
        <f t="shared" si="0"/>
        <v>86</v>
      </c>
      <c r="CK3" s="16">
        <f t="shared" si="0"/>
        <v>87</v>
      </c>
      <c r="CL3" s="16">
        <f t="shared" si="0"/>
        <v>88</v>
      </c>
      <c r="CM3" s="16">
        <f t="shared" si="0"/>
        <v>89</v>
      </c>
      <c r="CN3" s="16">
        <f t="shared" si="0"/>
        <v>90</v>
      </c>
      <c r="CO3" s="16">
        <f t="shared" si="0"/>
        <v>91</v>
      </c>
      <c r="CP3" s="16">
        <f t="shared" si="0"/>
        <v>92</v>
      </c>
      <c r="CQ3" s="16">
        <f t="shared" si="0"/>
        <v>93</v>
      </c>
      <c r="CR3" s="16">
        <f t="shared" si="0"/>
        <v>94</v>
      </c>
      <c r="CS3" s="16">
        <f t="shared" si="0"/>
        <v>95</v>
      </c>
      <c r="CT3" s="16">
        <f t="shared" si="0"/>
        <v>96</v>
      </c>
      <c r="CU3" s="16">
        <f t="shared" si="0"/>
        <v>97</v>
      </c>
      <c r="CV3" s="16">
        <f t="shared" si="0"/>
        <v>98</v>
      </c>
      <c r="CW3" s="16">
        <f t="shared" si="0"/>
        <v>99</v>
      </c>
      <c r="CX3" s="16">
        <f t="shared" si="0"/>
        <v>100</v>
      </c>
      <c r="CY3" s="16">
        <f>COLUMN(CY2)-3</f>
        <v>100</v>
      </c>
      <c r="CZ3" s="16">
        <f>COLUMN(CZ2)-2</f>
        <v>102</v>
      </c>
      <c r="DA3" s="16">
        <f>COLUMN(DA2)-3</f>
        <v>102</v>
      </c>
      <c r="DB3" s="16">
        <f>COLUMN(DB2)-2</f>
        <v>104</v>
      </c>
      <c r="DC3" s="16">
        <f>COLUMN(DC2)-2</f>
        <v>105</v>
      </c>
      <c r="DO3" s="345"/>
      <c r="DU3" s="346" t="s">
        <v>5</v>
      </c>
      <c r="DV3" s="347" t="s">
        <v>6</v>
      </c>
      <c r="DW3" s="347" t="s">
        <v>7</v>
      </c>
      <c r="DX3" s="347" t="s">
        <v>8</v>
      </c>
      <c r="DY3" s="347" t="s">
        <v>9</v>
      </c>
      <c r="DZ3" s="347" t="s">
        <v>10</v>
      </c>
      <c r="EA3" s="347" t="s">
        <v>11</v>
      </c>
      <c r="EB3" s="347" t="s">
        <v>12</v>
      </c>
      <c r="EC3" s="347" t="s">
        <v>13</v>
      </c>
      <c r="ED3" s="347" t="s">
        <v>14</v>
      </c>
      <c r="EE3" s="348" t="s">
        <v>200</v>
      </c>
      <c r="EF3" s="348" t="s">
        <v>201</v>
      </c>
      <c r="EG3" s="347" t="s">
        <v>17</v>
      </c>
      <c r="EH3" s="347" t="s">
        <v>18</v>
      </c>
      <c r="EI3" s="347" t="s">
        <v>19</v>
      </c>
      <c r="EJ3" s="347" t="s">
        <v>20</v>
      </c>
      <c r="EK3" s="347" t="s">
        <v>21</v>
      </c>
      <c r="EL3" s="347" t="s">
        <v>22</v>
      </c>
      <c r="EM3" s="347" t="s">
        <v>23</v>
      </c>
      <c r="EN3" s="347" t="s">
        <v>24</v>
      </c>
      <c r="EO3" s="348" t="s">
        <v>25</v>
      </c>
      <c r="EP3" s="348" t="s">
        <v>26</v>
      </c>
      <c r="EQ3" s="347" t="s">
        <v>27</v>
      </c>
      <c r="ER3" s="347" t="s">
        <v>28</v>
      </c>
      <c r="ES3" s="347" t="s">
        <v>29</v>
      </c>
      <c r="ET3" s="347" t="s">
        <v>30</v>
      </c>
      <c r="EU3" s="347" t="s">
        <v>31</v>
      </c>
      <c r="EV3" s="347" t="s">
        <v>32</v>
      </c>
      <c r="EW3" s="347" t="s">
        <v>33</v>
      </c>
      <c r="EX3" s="347" t="s">
        <v>34</v>
      </c>
      <c r="EY3" s="348" t="s">
        <v>35</v>
      </c>
      <c r="EZ3" s="347" t="s">
        <v>36</v>
      </c>
      <c r="FA3" s="348" t="s">
        <v>37</v>
      </c>
      <c r="FB3" s="36" t="s">
        <v>38</v>
      </c>
      <c r="FC3" s="577" t="s">
        <v>39</v>
      </c>
      <c r="FD3" s="37" t="s">
        <v>40</v>
      </c>
      <c r="FE3" s="38" t="s">
        <v>41</v>
      </c>
      <c r="FF3" s="38" t="s">
        <v>42</v>
      </c>
      <c r="FG3" s="38" t="s">
        <v>43</v>
      </c>
      <c r="FH3" s="38" t="s">
        <v>44</v>
      </c>
      <c r="FI3" s="38" t="s">
        <v>45</v>
      </c>
      <c r="FJ3" s="38" t="s">
        <v>46</v>
      </c>
      <c r="FK3" s="38" t="s">
        <v>47</v>
      </c>
      <c r="FL3" s="38" t="s">
        <v>48</v>
      </c>
      <c r="FM3" s="39" t="s">
        <v>49</v>
      </c>
      <c r="FN3" s="38" t="s">
        <v>50</v>
      </c>
      <c r="FO3" s="40" t="s">
        <v>51</v>
      </c>
      <c r="FP3" s="41" t="s">
        <v>52</v>
      </c>
      <c r="FQ3" s="23"/>
      <c r="GK3" s="222"/>
      <c r="GL3" s="222"/>
    </row>
    <row r="4" spans="1:194" s="4" customFormat="1" ht="26.25" customHeight="1">
      <c r="B4" s="579" t="s">
        <v>53</v>
      </c>
      <c r="C4" s="42"/>
      <c r="D4" s="43" t="s">
        <v>54</v>
      </c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2"/>
      <c r="R4" s="45" t="s">
        <v>55</v>
      </c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7"/>
      <c r="BL4" s="48" t="s">
        <v>55</v>
      </c>
      <c r="BM4" s="48"/>
      <c r="BN4" s="47"/>
      <c r="BO4" s="32" t="s">
        <v>56</v>
      </c>
      <c r="BP4" s="32"/>
      <c r="BQ4" s="32"/>
      <c r="BR4" s="32"/>
      <c r="BS4" s="32"/>
      <c r="BT4" s="32"/>
      <c r="BU4" s="32"/>
      <c r="BV4" s="32" t="s">
        <v>57</v>
      </c>
      <c r="BW4" s="32"/>
      <c r="BX4" s="32"/>
      <c r="BY4" s="32"/>
      <c r="BZ4" s="32"/>
      <c r="CA4" s="32"/>
      <c r="CB4" s="32"/>
      <c r="CC4" s="32"/>
      <c r="CD4" s="32"/>
      <c r="CE4" s="32"/>
      <c r="CF4" s="581" t="s">
        <v>202</v>
      </c>
      <c r="CG4" s="581"/>
      <c r="CH4" s="581"/>
      <c r="CI4" s="49"/>
      <c r="CJ4" s="581" t="s">
        <v>202</v>
      </c>
      <c r="CK4" s="581"/>
      <c r="CL4" s="581"/>
      <c r="CM4" s="49"/>
      <c r="CN4" s="581" t="s">
        <v>202</v>
      </c>
      <c r="CO4" s="581"/>
      <c r="CP4" s="581"/>
      <c r="CQ4" s="49"/>
      <c r="CR4" s="581" t="s">
        <v>202</v>
      </c>
      <c r="CS4" s="581"/>
      <c r="CT4" s="581"/>
      <c r="CU4" s="581" t="s">
        <v>202</v>
      </c>
      <c r="CV4" s="581"/>
      <c r="CW4" s="581"/>
      <c r="CX4" s="593" t="s">
        <v>203</v>
      </c>
      <c r="CY4" s="593"/>
      <c r="CZ4" s="593"/>
      <c r="DA4" s="593"/>
      <c r="DB4" s="593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50"/>
      <c r="DP4" s="32" t="s">
        <v>58</v>
      </c>
      <c r="DQ4" s="51"/>
      <c r="DR4" s="52"/>
      <c r="DS4" s="53"/>
      <c r="DT4" s="33" t="s">
        <v>53</v>
      </c>
      <c r="DU4" s="347"/>
      <c r="DV4" s="347"/>
      <c r="DW4" s="347"/>
      <c r="DX4" s="347"/>
      <c r="DY4" s="347"/>
      <c r="DZ4" s="347"/>
      <c r="EA4" s="347"/>
      <c r="EB4" s="347"/>
      <c r="EC4" s="347"/>
      <c r="ED4" s="347"/>
      <c r="EE4" s="347"/>
      <c r="EF4" s="347"/>
      <c r="EG4" s="347"/>
      <c r="EH4" s="347"/>
      <c r="EI4" s="347"/>
      <c r="EJ4" s="347"/>
      <c r="EK4" s="347"/>
      <c r="EL4" s="347"/>
      <c r="EM4" s="347"/>
      <c r="EN4" s="347"/>
      <c r="EO4" s="347"/>
      <c r="EP4" s="347"/>
      <c r="EQ4" s="347"/>
      <c r="ER4" s="347"/>
      <c r="ES4" s="347"/>
      <c r="ET4" s="347"/>
      <c r="EU4" s="347"/>
      <c r="EV4" s="347"/>
      <c r="EW4" s="347"/>
      <c r="EX4" s="347"/>
      <c r="EY4" s="347"/>
      <c r="EZ4" s="347"/>
      <c r="FA4" s="347"/>
      <c r="FB4" s="54"/>
      <c r="FC4" s="578"/>
      <c r="FD4" s="55"/>
      <c r="FE4" s="54"/>
      <c r="FF4" s="54"/>
      <c r="FG4" s="54"/>
      <c r="FH4" s="54"/>
      <c r="FI4" s="54"/>
      <c r="FJ4" s="54"/>
      <c r="FK4" s="54"/>
      <c r="FL4" s="54"/>
      <c r="FM4" s="56"/>
      <c r="FN4" s="349"/>
      <c r="FO4" s="58"/>
      <c r="FP4" s="350"/>
      <c r="FZ4" s="60"/>
      <c r="GA4" s="60"/>
      <c r="GB4" s="60"/>
      <c r="GC4" s="60"/>
      <c r="GD4" s="61" t="s">
        <v>59</v>
      </c>
      <c r="GE4" s="61"/>
      <c r="GF4" s="61"/>
      <c r="GG4" s="62"/>
      <c r="GH4" s="34" t="s">
        <v>60</v>
      </c>
      <c r="GI4" s="63" t="s">
        <v>61</v>
      </c>
      <c r="GJ4" s="63"/>
    </row>
    <row r="5" spans="1:194" ht="36" customHeight="1">
      <c r="B5" s="580"/>
      <c r="C5" s="65"/>
      <c r="D5" s="66" t="s">
        <v>62</v>
      </c>
      <c r="E5" s="66" t="s">
        <v>63</v>
      </c>
      <c r="F5" s="66" t="s">
        <v>64</v>
      </c>
      <c r="G5" s="66" t="s">
        <v>65</v>
      </c>
      <c r="H5" s="66" t="s">
        <v>66</v>
      </c>
      <c r="I5" s="66" t="s">
        <v>19</v>
      </c>
      <c r="J5" s="66" t="s">
        <v>20</v>
      </c>
      <c r="K5" s="66" t="s">
        <v>21</v>
      </c>
      <c r="L5" s="67" t="s">
        <v>67</v>
      </c>
      <c r="M5" s="67" t="s">
        <v>68</v>
      </c>
      <c r="N5" s="66" t="s">
        <v>69</v>
      </c>
      <c r="O5" s="66" t="s">
        <v>70</v>
      </c>
      <c r="P5" s="66" t="s">
        <v>71</v>
      </c>
      <c r="Q5" s="65"/>
      <c r="R5" s="66" t="s">
        <v>22</v>
      </c>
      <c r="S5" s="66" t="s">
        <v>72</v>
      </c>
      <c r="T5" s="66" t="s">
        <v>23</v>
      </c>
      <c r="U5" s="68" t="s">
        <v>73</v>
      </c>
      <c r="V5" s="66" t="s">
        <v>74</v>
      </c>
      <c r="W5" s="68" t="s">
        <v>75</v>
      </c>
      <c r="X5" s="66" t="s">
        <v>76</v>
      </c>
      <c r="Y5" s="66" t="s">
        <v>27</v>
      </c>
      <c r="Z5" s="66" t="s">
        <v>28</v>
      </c>
      <c r="AA5" s="67" t="s">
        <v>77</v>
      </c>
      <c r="AB5" s="67" t="s">
        <v>78</v>
      </c>
      <c r="AC5" s="66" t="s">
        <v>6</v>
      </c>
      <c r="AD5" s="67" t="s">
        <v>79</v>
      </c>
      <c r="AE5" s="67" t="s">
        <v>80</v>
      </c>
      <c r="AF5" s="67" t="s">
        <v>8</v>
      </c>
      <c r="AG5" s="66" t="s">
        <v>9</v>
      </c>
      <c r="AH5" s="67" t="s">
        <v>81</v>
      </c>
      <c r="AI5" s="67" t="s">
        <v>82</v>
      </c>
      <c r="AJ5" s="67" t="s">
        <v>11</v>
      </c>
      <c r="AK5" s="66" t="s">
        <v>12</v>
      </c>
      <c r="AL5" s="67" t="s">
        <v>83</v>
      </c>
      <c r="AM5" s="67" t="s">
        <v>84</v>
      </c>
      <c r="AN5" s="66" t="s">
        <v>14</v>
      </c>
      <c r="AO5" s="66" t="s">
        <v>65</v>
      </c>
      <c r="AP5" s="66" t="s">
        <v>17</v>
      </c>
      <c r="AQ5" s="66" t="s">
        <v>66</v>
      </c>
      <c r="AR5" s="67" t="s">
        <v>85</v>
      </c>
      <c r="AS5" s="66" t="s">
        <v>86</v>
      </c>
      <c r="AT5" s="67" t="s">
        <v>87</v>
      </c>
      <c r="AU5" s="67" t="s">
        <v>88</v>
      </c>
      <c r="AV5" s="66">
        <v>561</v>
      </c>
      <c r="AW5" s="67" t="s">
        <v>89</v>
      </c>
      <c r="AX5" s="66">
        <v>562</v>
      </c>
      <c r="AY5" s="66" t="s">
        <v>21</v>
      </c>
      <c r="AZ5" s="66" t="s">
        <v>33</v>
      </c>
      <c r="BA5" s="66" t="s">
        <v>90</v>
      </c>
      <c r="BB5" s="66" t="s">
        <v>34</v>
      </c>
      <c r="BC5" s="67" t="s">
        <v>91</v>
      </c>
      <c r="BD5" s="68" t="s">
        <v>92</v>
      </c>
      <c r="BE5" s="67" t="s">
        <v>93</v>
      </c>
      <c r="BF5" s="67" t="s">
        <v>94</v>
      </c>
      <c r="BG5" s="66" t="s">
        <v>95</v>
      </c>
      <c r="BH5" s="66" t="s">
        <v>96</v>
      </c>
      <c r="BI5" s="66" t="s">
        <v>97</v>
      </c>
      <c r="BJ5" s="66" t="s">
        <v>98</v>
      </c>
      <c r="BK5" s="69"/>
      <c r="BL5" s="66" t="s">
        <v>99</v>
      </c>
      <c r="BM5" s="70" t="s">
        <v>71</v>
      </c>
      <c r="BN5" s="69"/>
      <c r="BO5" s="67" t="s">
        <v>22</v>
      </c>
      <c r="BP5" s="67" t="s">
        <v>72</v>
      </c>
      <c r="BQ5" s="67" t="s">
        <v>23</v>
      </c>
      <c r="BR5" s="67" t="s">
        <v>74</v>
      </c>
      <c r="BS5" s="67" t="s">
        <v>27</v>
      </c>
      <c r="BT5" s="67" t="s">
        <v>28</v>
      </c>
      <c r="BU5" s="67" t="s">
        <v>101</v>
      </c>
      <c r="BV5" s="67" t="s">
        <v>22</v>
      </c>
      <c r="BW5" s="67" t="s">
        <v>100</v>
      </c>
      <c r="BX5" s="67" t="s">
        <v>23</v>
      </c>
      <c r="BY5" s="67" t="s">
        <v>74</v>
      </c>
      <c r="BZ5" s="67" t="s">
        <v>102</v>
      </c>
      <c r="CA5" s="71" t="s">
        <v>1</v>
      </c>
      <c r="CB5" s="66" t="s">
        <v>103</v>
      </c>
      <c r="CC5" s="66" t="s">
        <v>86</v>
      </c>
      <c r="CD5" s="67" t="s">
        <v>104</v>
      </c>
      <c r="CE5" s="67" t="s">
        <v>204</v>
      </c>
      <c r="CF5" s="66" t="s">
        <v>78</v>
      </c>
      <c r="CG5" s="66" t="s">
        <v>6</v>
      </c>
      <c r="CH5" s="67" t="s">
        <v>106</v>
      </c>
      <c r="CI5" s="71" t="s">
        <v>1</v>
      </c>
      <c r="CJ5" s="66" t="s">
        <v>8</v>
      </c>
      <c r="CK5" s="66" t="s">
        <v>9</v>
      </c>
      <c r="CL5" s="67" t="s">
        <v>107</v>
      </c>
      <c r="CM5" s="71" t="s">
        <v>1</v>
      </c>
      <c r="CN5" s="66" t="s">
        <v>11</v>
      </c>
      <c r="CO5" s="66" t="s">
        <v>12</v>
      </c>
      <c r="CP5" s="67" t="s">
        <v>205</v>
      </c>
      <c r="CQ5" s="71" t="s">
        <v>1</v>
      </c>
      <c r="CR5" s="66" t="s">
        <v>109</v>
      </c>
      <c r="CS5" s="67" t="s">
        <v>206</v>
      </c>
      <c r="CT5" s="71" t="s">
        <v>1</v>
      </c>
      <c r="CU5" s="66" t="s">
        <v>17</v>
      </c>
      <c r="CV5" s="67" t="s">
        <v>207</v>
      </c>
      <c r="CW5" s="71" t="s">
        <v>1</v>
      </c>
      <c r="CX5" s="67" t="s">
        <v>110</v>
      </c>
      <c r="CY5" s="66" t="s">
        <v>19</v>
      </c>
      <c r="CZ5" s="67" t="s">
        <v>111</v>
      </c>
      <c r="DA5" s="66" t="s">
        <v>112</v>
      </c>
      <c r="DB5" s="66" t="s">
        <v>33</v>
      </c>
      <c r="DC5" s="66" t="s">
        <v>34</v>
      </c>
      <c r="DD5" s="66" t="s">
        <v>91</v>
      </c>
      <c r="DE5" s="66" t="s">
        <v>92</v>
      </c>
      <c r="DF5" s="66" t="s">
        <v>113</v>
      </c>
      <c r="DG5" s="66" t="s">
        <v>114</v>
      </c>
      <c r="DH5" s="67" t="s">
        <v>115</v>
      </c>
      <c r="DI5" s="71" t="s">
        <v>1</v>
      </c>
      <c r="DJ5" s="66" t="s">
        <v>96</v>
      </c>
      <c r="DK5" s="71" t="s">
        <v>1</v>
      </c>
      <c r="DL5" s="66" t="s">
        <v>97</v>
      </c>
      <c r="DM5" s="71" t="s">
        <v>1</v>
      </c>
      <c r="DN5" s="67" t="s">
        <v>98</v>
      </c>
      <c r="DO5" s="69"/>
      <c r="DP5" s="66" t="s">
        <v>116</v>
      </c>
      <c r="DQ5" s="72" t="s">
        <v>71</v>
      </c>
      <c r="DR5" s="73" t="s">
        <v>1</v>
      </c>
      <c r="DS5" s="74"/>
      <c r="DT5" s="75"/>
      <c r="DU5" s="76">
        <v>621190</v>
      </c>
      <c r="DV5" s="76">
        <v>25609</v>
      </c>
      <c r="DW5" s="76">
        <v>5121513</v>
      </c>
      <c r="DX5" s="76">
        <v>114395</v>
      </c>
      <c r="DY5" s="76">
        <v>83818</v>
      </c>
      <c r="DZ5" s="76">
        <v>386903</v>
      </c>
      <c r="EA5" s="77">
        <v>227321</v>
      </c>
      <c r="EB5" s="77">
        <v>52931</v>
      </c>
      <c r="EC5" s="77">
        <v>397861</v>
      </c>
      <c r="ED5" s="76">
        <v>46470</v>
      </c>
      <c r="EE5" s="77">
        <v>38110</v>
      </c>
      <c r="EF5" s="77">
        <v>40894</v>
      </c>
      <c r="EG5" s="76">
        <v>91256</v>
      </c>
      <c r="EH5" s="76">
        <v>179826</v>
      </c>
      <c r="EI5" s="76">
        <v>30937</v>
      </c>
      <c r="EJ5" s="77">
        <v>39926</v>
      </c>
      <c r="EK5" s="77"/>
      <c r="EL5" s="76">
        <v>693943</v>
      </c>
      <c r="EM5" s="76">
        <v>3542</v>
      </c>
      <c r="EN5" s="77">
        <v>42812</v>
      </c>
      <c r="EO5" s="76">
        <v>2969297</v>
      </c>
      <c r="EP5" s="77">
        <v>2748776</v>
      </c>
      <c r="EQ5" s="77">
        <v>1394</v>
      </c>
      <c r="ER5" s="77">
        <v>1540</v>
      </c>
      <c r="ES5" s="77">
        <v>338862</v>
      </c>
      <c r="ET5" s="77">
        <v>7968410</v>
      </c>
      <c r="EU5" s="77">
        <v>412512</v>
      </c>
      <c r="EV5" s="77">
        <v>130434</v>
      </c>
      <c r="EW5" s="77">
        <v>99320</v>
      </c>
      <c r="EX5" s="76">
        <v>205678</v>
      </c>
      <c r="EY5" s="76">
        <v>1619800</v>
      </c>
      <c r="EZ5" s="76">
        <v>757497</v>
      </c>
      <c r="FA5" s="76">
        <v>740357</v>
      </c>
      <c r="FB5" s="77">
        <v>30385</v>
      </c>
      <c r="FC5" s="76">
        <v>4706</v>
      </c>
      <c r="FD5" s="78">
        <v>2337</v>
      </c>
      <c r="FE5" s="77"/>
      <c r="FF5" s="79"/>
      <c r="FG5" s="79"/>
      <c r="FH5" s="77"/>
      <c r="FI5" s="79"/>
      <c r="FJ5" s="77"/>
      <c r="FK5" s="79"/>
      <c r="FL5" s="79"/>
      <c r="FM5" s="79"/>
      <c r="FN5" s="80">
        <v>0</v>
      </c>
      <c r="FO5" s="77">
        <v>1012479</v>
      </c>
      <c r="FP5" s="81"/>
      <c r="FQ5" s="64"/>
      <c r="FR5" s="64"/>
      <c r="FS5" s="64"/>
      <c r="FT5" s="64"/>
      <c r="FU5" s="64"/>
      <c r="FV5" s="64"/>
      <c r="FW5" s="64"/>
      <c r="FX5" s="64"/>
      <c r="FY5" s="64"/>
      <c r="FZ5" s="82" t="s">
        <v>117</v>
      </c>
      <c r="GA5" s="82" t="s">
        <v>118</v>
      </c>
      <c r="GB5" s="82" t="s">
        <v>119</v>
      </c>
      <c r="GC5" s="70" t="s">
        <v>120</v>
      </c>
      <c r="GD5" s="70" t="s">
        <v>121</v>
      </c>
      <c r="GE5" s="70" t="s">
        <v>122</v>
      </c>
      <c r="GF5" s="70" t="s">
        <v>74</v>
      </c>
      <c r="GG5" s="70" t="s">
        <v>120</v>
      </c>
      <c r="GH5" s="70" t="s">
        <v>120</v>
      </c>
      <c r="GI5" s="83" t="s">
        <v>123</v>
      </c>
      <c r="GJ5" s="70" t="s">
        <v>124</v>
      </c>
      <c r="GK5" s="64"/>
      <c r="GL5" s="64"/>
    </row>
    <row r="6" spans="1:194" ht="15" customHeight="1">
      <c r="A6" s="4"/>
      <c r="B6" s="351">
        <v>42887</v>
      </c>
      <c r="C6" s="53"/>
      <c r="D6" s="86">
        <v>4380</v>
      </c>
      <c r="E6" s="86"/>
      <c r="F6" s="86">
        <v>2405.3760000000002</v>
      </c>
      <c r="G6" s="86">
        <v>4037.2870000000003</v>
      </c>
      <c r="H6" s="86">
        <v>3598.0729999999999</v>
      </c>
      <c r="I6" s="86">
        <v>1589</v>
      </c>
      <c r="J6" s="86">
        <v>4848.2039999999997</v>
      </c>
      <c r="K6" s="86"/>
      <c r="L6" s="86">
        <v>80</v>
      </c>
      <c r="M6" s="87">
        <f>I6+J6</f>
        <v>6437.2039999999997</v>
      </c>
      <c r="N6" s="88">
        <f t="shared" ref="N6:N36" si="1">SUM(D6:H6)</f>
        <v>14420.736000000001</v>
      </c>
      <c r="O6" s="88">
        <f>N6+L6+((J6+I6)*0.5)</f>
        <v>17719.338</v>
      </c>
      <c r="P6" s="89">
        <f>O6</f>
        <v>17719.338</v>
      </c>
      <c r="Q6" s="74"/>
      <c r="R6" s="170">
        <f>IF(EL6=0,"",(EL6-EL5))</f>
        <v>70</v>
      </c>
      <c r="S6" s="170">
        <f>IF(EZ6=0,"",((EZ6-EZ5)/10))</f>
        <v>138.30000000000001</v>
      </c>
      <c r="T6" s="170">
        <f t="shared" ref="T6:T36" si="2">IF(EM6=0,"",((EM6/10)))</f>
        <v>488.7</v>
      </c>
      <c r="U6" s="91">
        <f>IF(FB6=0,"",((EN6-EN5)/10))</f>
        <v>0.6</v>
      </c>
      <c r="V6" s="170">
        <f>IF(EO6=0,"",(EO6-EO5))</f>
        <v>1236</v>
      </c>
      <c r="W6" s="91">
        <f t="shared" ref="W6:W36" si="3">IF(EP6=0,"",(EP6-EP5)/10)</f>
        <v>110.4</v>
      </c>
      <c r="X6" s="170">
        <f>IF(V6="","",V6)</f>
        <v>1236</v>
      </c>
      <c r="Y6" s="170">
        <f>IF(EQ6=0,"0",(EQ6/10))</f>
        <v>85.6</v>
      </c>
      <c r="Z6" s="170">
        <f t="shared" ref="Z6:Z36" si="4">IF(ER6=0,"",(ER6/10))</f>
        <v>132.5</v>
      </c>
      <c r="AA6" s="170">
        <f>IF(SUM(R6:V6)=0,"",SUM(R6:V6))</f>
        <v>1933.6</v>
      </c>
      <c r="AB6" s="170">
        <f>IF(DU6=0,"",(DU6-DU5))</f>
        <v>178</v>
      </c>
      <c r="AC6" s="170">
        <f>IF(DV6=0,"",(DV6-DV5))</f>
        <v>7</v>
      </c>
      <c r="AD6" s="170">
        <f>(IF(SUM(AB6:AC6)&gt;=(DW6-DW5),(SUM(AB6:AC6)),(DW6-DW5)))</f>
        <v>324</v>
      </c>
      <c r="AE6" s="170">
        <f>IF(AB6="","",(AD6-AC6-AB6))</f>
        <v>139</v>
      </c>
      <c r="AF6" s="170">
        <f>IF(DX6=0,"",(DX6-DX5))</f>
        <v>0</v>
      </c>
      <c r="AG6" s="170">
        <f>IF(DY6=0,"",(DY6-DY5))</f>
        <v>14</v>
      </c>
      <c r="AH6" s="170">
        <f>(IF(SUM(AF6:AG6)&gt;=(DZ6-DZ5),(SUM(AF6:AG6)),(DZ6-DZ5)))</f>
        <v>70</v>
      </c>
      <c r="AI6" s="170">
        <f>IF(AF6="","",(AH6-AG6-AF6))</f>
        <v>56</v>
      </c>
      <c r="AJ6" s="170">
        <f>IF(EA6=0,"",(EA6-EA5))</f>
        <v>173</v>
      </c>
      <c r="AK6" s="170">
        <f>IF(EB6=0,"",(EB6-EB5))</f>
        <v>37</v>
      </c>
      <c r="AL6" s="170">
        <f>(IF(SUM(AJ6:AK6)&gt;=(EC6-EC5),(SUM(AJ6:AK6)),(EC6-EC5)))</f>
        <v>315</v>
      </c>
      <c r="AM6" s="170">
        <f>IF(AJ6="","",(AL6-AK6-AJ6))</f>
        <v>105</v>
      </c>
      <c r="AN6" s="170">
        <f>IF(ED6=0,"",(ED6-ED5))</f>
        <v>19</v>
      </c>
      <c r="AO6" s="170">
        <f t="shared" ref="AO6:AO36" si="5">IF(AN6="","",(EE6-EE5)+(EF6-EF5))</f>
        <v>76</v>
      </c>
      <c r="AP6" s="170">
        <f>IF(EG6=0,"",(EG6-EG5))</f>
        <v>55</v>
      </c>
      <c r="AQ6" s="170">
        <f t="shared" ref="AQ6:AQ36" si="6">IF(AP6=0.1,0,(IF(AP6&gt;=(EH6-EH5),(AP6),(EH6-EH5))))</f>
        <v>84</v>
      </c>
      <c r="AR6" s="170">
        <f>IF(ET6=0,"",(ET6-ET5)/1000)</f>
        <v>38.369999999999997</v>
      </c>
      <c r="AS6" s="170">
        <f>IF(AR6="","",(ES6-ES5)+((ET6-ET5)/1000)-AW6-AU6)</f>
        <v>145.37</v>
      </c>
      <c r="AT6" s="170">
        <f>IF(AR6="","",ES6-ES5+((ET6-ET5)/1000))</f>
        <v>761.37</v>
      </c>
      <c r="AU6" s="170">
        <f>IF(EV6="","",(EV6-EV5))</f>
        <v>207</v>
      </c>
      <c r="AV6" s="170">
        <f>IF(EI6=0,"",(EI6-EI5))</f>
        <v>0</v>
      </c>
      <c r="AW6" s="170">
        <f>IF(EU6="","",(EU6-EU5))</f>
        <v>409</v>
      </c>
      <c r="AX6" s="170">
        <f>IF(EJ6=0,"",(EJ6-EJ5))</f>
        <v>35</v>
      </c>
      <c r="AY6" s="170"/>
      <c r="AZ6" s="170">
        <f>IF(EW6=0,"",EW6-EW5)</f>
        <v>269</v>
      </c>
      <c r="BA6" s="170">
        <v>108</v>
      </c>
      <c r="BB6" s="170">
        <f>IF(EX6=0,"",(EX6-EX5))</f>
        <v>64</v>
      </c>
      <c r="BC6" s="170">
        <f>IF(EY6=0,"",(EY6-EY5))</f>
        <v>4</v>
      </c>
      <c r="BD6" s="91">
        <f>IF(FA6=0,"",(FA6-FA5))</f>
        <v>74</v>
      </c>
      <c r="BE6" s="90"/>
      <c r="BF6" s="90"/>
      <c r="BG6" s="90">
        <f t="shared" ref="BG6:BG36" si="7">IFERROR(SUM(BB6:BC6)+AZ6,"")</f>
        <v>337</v>
      </c>
      <c r="BH6" s="90">
        <f>BL6-FC6</f>
        <v>1840</v>
      </c>
      <c r="BI6" s="90">
        <f t="shared" ref="BI6:BI36" si="8">IF(FC6=0,"",(FC6-BJ6))</f>
        <v>1568.0300000000002</v>
      </c>
      <c r="BJ6" s="90">
        <f>IF(BH6=0,"",(AA6+AD6+AO6+BG6+AH6+AL6+AQ6+AT6+AX6+AV6))</f>
        <v>3935.97</v>
      </c>
      <c r="BK6" s="92"/>
      <c r="BL6" s="93">
        <f>FD6+FN6</f>
        <v>7344</v>
      </c>
      <c r="BM6" s="93">
        <f>BL6</f>
        <v>7344</v>
      </c>
      <c r="BN6" s="92"/>
      <c r="BO6" s="94">
        <f>IF($N6&lt;&gt;0,IF($N6&lt;&gt;0,R6/$N6*10,0)," ")</f>
        <v>4.8541211766167824E-2</v>
      </c>
      <c r="BP6" s="94">
        <f>IF($N6&lt;&gt;0,IF($N6&lt;&gt;0,S6/$N6*10,0)," ")</f>
        <v>9.5903565532300145E-2</v>
      </c>
      <c r="BQ6" s="94">
        <f>IF($N6&lt;&gt;0,IF($N6&lt;&gt;0,T6/$N6*10,0)," ")</f>
        <v>0.33888700271608885</v>
      </c>
      <c r="BR6" s="94">
        <f>IF($N6&lt;&gt;0,IF($N6&lt;&gt;0,(V6)/$N6*10,0)," ")</f>
        <v>0.85709911061404909</v>
      </c>
      <c r="BS6" s="94">
        <f t="shared" ref="BS6:BU21" si="9">IF($N6&lt;&gt;0,IF($N6&lt;&gt;0,Y6/$N6*10,0)," ")</f>
        <v>5.9358967531199514E-2</v>
      </c>
      <c r="BT6" s="94">
        <f t="shared" si="9"/>
        <v>9.1881579414531955E-2</v>
      </c>
      <c r="BU6" s="95">
        <f>IF($N6&lt;&gt;0,IF($N6&lt;&gt;0,AA6/$N6*10,0)," ")</f>
        <v>1.3408469581580302</v>
      </c>
      <c r="BV6" s="94">
        <f t="shared" ref="BV6:BX35" si="10">IF($O6&lt;&gt;0,IF($O6&lt;&gt;0,R6/$O6*10,0)," ")</f>
        <v>3.9504861863349519E-2</v>
      </c>
      <c r="BW6" s="94">
        <f t="shared" si="10"/>
        <v>7.805031993858913E-2</v>
      </c>
      <c r="BX6" s="94">
        <f t="shared" si="10"/>
        <v>0.27580037132312729</v>
      </c>
      <c r="BY6" s="94">
        <f>IF($O6&lt;&gt;0,IF($O6&lt;&gt;0,(V6)/$O6*10,0)," ")</f>
        <v>0.69754298947285731</v>
      </c>
      <c r="BZ6" s="95">
        <f t="shared" ref="BZ6:BZ36" si="11">IF($O6&lt;&gt;0,IF($O6&lt;&gt;0,AA6/$O6*10,0)," ")</f>
        <v>1.091237155699609</v>
      </c>
      <c r="CA6" s="96" t="e">
        <f>#REF!</f>
        <v>#REF!</v>
      </c>
      <c r="CB6" s="94">
        <f>IF($O6&lt;&gt;0,IF($O6&lt;&gt;0,AR6/$O6*10,0)," ")</f>
        <v>2.1654307852810303E-2</v>
      </c>
      <c r="CC6" s="95">
        <f>IF($O6&lt;&gt;0,IF($O6&lt;&gt;0,AS6/$O6*10,0)," ")</f>
        <v>8.2040310986787435E-2</v>
      </c>
      <c r="CD6" s="97">
        <f t="shared" ref="CD6:CE35" si="12">IFERROR(AR6*10/($I6+$J6),"")</f>
        <v>5.9606624242450605E-2</v>
      </c>
      <c r="CE6" s="98">
        <f>IFERROR(AS6*10/($I6+$J6),"")</f>
        <v>0.22582785942468192</v>
      </c>
      <c r="CF6" s="94">
        <f>IF($D6&lt;&gt;0,IF($D6&lt;&gt;0,AB6/$D6*10,0),"0,00")</f>
        <v>0.40639269406392697</v>
      </c>
      <c r="CG6" s="94">
        <f>IF($D6&lt;&gt;0,IF($D6&lt;&gt;0,AC6/$D6*10,0),"0,00")</f>
        <v>1.5981735159817351E-2</v>
      </c>
      <c r="CH6" s="95">
        <f>IF($D6&lt;&gt;0,IF($O6&lt;&gt;0,AD6/$D6*10,0),"0,00 ")</f>
        <v>0.73972602739726034</v>
      </c>
      <c r="CI6" s="96" t="e">
        <f>#REF!</f>
        <v>#REF!</v>
      </c>
      <c r="CJ6" s="94" t="str">
        <f>IF($E6&lt;&gt;0,IF($E6&lt;&gt;0,AF6/$E6*10,0),"0,00")</f>
        <v>0,00</v>
      </c>
      <c r="CK6" s="94" t="str">
        <f>IF($E6&lt;&gt;0,IF($E6&lt;&gt;0,AG6/$E6*10,0),"0,00")</f>
        <v>0,00</v>
      </c>
      <c r="CL6" s="95" t="str">
        <f>IF($E6&lt;&gt;0,IF($E6&lt;&gt;0,AH6/$E6*10,0),"0,00 ")</f>
        <v xml:space="preserve">0,00 </v>
      </c>
      <c r="CM6" s="95" t="e">
        <f>#REF!</f>
        <v>#REF!</v>
      </c>
      <c r="CN6" s="94">
        <f>IF($F6&lt;&gt;0,IF($F6&lt;&gt;0,AJ6/$F6*10,0),"0,00")</f>
        <v>0.71922227543635586</v>
      </c>
      <c r="CO6" s="94">
        <f>IF($F6&lt;&gt;0,IF($F6&lt;&gt;0,AK6/$F6*10,0),"0,00")</f>
        <v>0.15382210515112812</v>
      </c>
      <c r="CP6" s="95">
        <f>IF($F6&lt;&gt;0,IF($F6&lt;&gt;0,AL6/$F6*10,0),"0,00 ")</f>
        <v>1.3095665708812261</v>
      </c>
      <c r="CQ6" s="95" t="e">
        <f>#REF!</f>
        <v>#REF!</v>
      </c>
      <c r="CR6" s="97">
        <f>IF($G6&lt;&gt;0,IF($G6&lt;&gt;0,AN6/$G6*10,0),"0,00 ")</f>
        <v>4.7061306268293537E-2</v>
      </c>
      <c r="CS6" s="95">
        <f>IF($G6&lt;&gt;0,IF($G6&lt;&gt;0,AO6/$G6*10,0),"0,00 ")</f>
        <v>0.18824522507317415</v>
      </c>
      <c r="CT6" s="96" t="e">
        <f>#REF!</f>
        <v>#REF!</v>
      </c>
      <c r="CU6" s="97">
        <f>IF($H6&lt;&gt;0,IF($H6&lt;&gt;0,AP6/$H6*10,0),"0,00 ")</f>
        <v>0.15285960012484462</v>
      </c>
      <c r="CV6" s="95">
        <f>IF($H6&lt;&gt;0,IF($H6&lt;&gt;0,AQ6/$H6*10,0),"0,00 ")</f>
        <v>0.23345829837248994</v>
      </c>
      <c r="CW6" s="96" t="e">
        <f>#REF!</f>
        <v>#REF!</v>
      </c>
      <c r="CX6" s="97">
        <f>IF($O6&lt;&gt;0,IF($O6&lt;&gt;0,AU6/$O6*10,0)," ")</f>
        <v>0.11682152008161931</v>
      </c>
      <c r="CY6" s="98">
        <f>IF($O6&lt;&gt;0,IF($O6&lt;&gt;0,AV6/$O6*10,0)," ")</f>
        <v>0</v>
      </c>
      <c r="CZ6" s="97">
        <f>IF($O6&lt;&gt;0,IF($O6&lt;&gt;0,AW6/$O6*10,0)," ")</f>
        <v>0.23082126431585651</v>
      </c>
      <c r="DA6" s="98">
        <f>IF($O6&lt;&gt;0,IF($O6&lt;&gt;0,AX6/$O6*10,0)," ")</f>
        <v>1.975243093167476E-2</v>
      </c>
      <c r="DB6" s="94">
        <f t="shared" ref="DB6:DB36" si="13">IF($O6&lt;&gt;0,IF($O6&lt;&gt;0,AZ6/$O6*10,0)," ")</f>
        <v>0.15181154058915747</v>
      </c>
      <c r="DC6" s="94">
        <f t="shared" ref="DC6:DH35" si="14">IF($O6&lt;&gt;0,IF($O6&lt;&gt;0,BB6/$O6*10,0)," ")</f>
        <v>3.611873084649099E-2</v>
      </c>
      <c r="DD6" s="94">
        <f t="shared" si="14"/>
        <v>2.2574206779056869E-3</v>
      </c>
      <c r="DE6" s="94">
        <f t="shared" si="14"/>
        <v>4.1762282541255205E-2</v>
      </c>
      <c r="DF6" s="94">
        <f t="shared" si="14"/>
        <v>0</v>
      </c>
      <c r="DG6" s="94">
        <f t="shared" si="14"/>
        <v>0</v>
      </c>
      <c r="DH6" s="95">
        <f>IF($O6&lt;&gt;0,IF($O6&lt;&gt;0,BG6/$O6*10,0)," ")</f>
        <v>0.19018769211355413</v>
      </c>
      <c r="DI6" s="96" t="e">
        <f>#REF!</f>
        <v>#REF!</v>
      </c>
      <c r="DJ6" s="95">
        <f>IF($O6&lt;&gt;0,IF($O6&lt;&gt;0,BH6/$O6*10,0)," ")</f>
        <v>1.038413511836616</v>
      </c>
      <c r="DK6" s="96" t="e">
        <f>#REF!</f>
        <v>#REF!</v>
      </c>
      <c r="DL6" s="95">
        <f>IF($O6&lt;&gt;0,BI6/$O6*10," ")</f>
        <v>0.88492583639411371</v>
      </c>
      <c r="DM6" s="96">
        <f t="shared" ref="DM6:DM37" si="15">$D$3</f>
        <v>0</v>
      </c>
      <c r="DN6" s="94">
        <f t="shared" ref="DN6:DN36" si="16">IF($O6&lt;&gt;0,BJ6/$O6*10,"")</f>
        <v>2.2212850164041118</v>
      </c>
      <c r="DO6" s="100">
        <v>3.4</v>
      </c>
      <c r="DP6" s="94">
        <f>IF($O6&lt;&gt;0,IF($O6&lt;&gt;0,BL6/$O6*10,0)," ")</f>
        <v>4.1446243646348417</v>
      </c>
      <c r="DQ6" s="94">
        <f>IF($P6&lt;&gt;0,IF($P6&lt;&gt;0,BM6/$P6*10,0)," ")</f>
        <v>4.1446243646348417</v>
      </c>
      <c r="DR6" s="101" t="str">
        <f t="shared" ref="DR6:DR35" si="17">$D$2</f>
        <v>3,315, hL/NhL</v>
      </c>
      <c r="DS6" s="102"/>
      <c r="DT6" s="103">
        <v>1</v>
      </c>
      <c r="DU6" s="120">
        <v>621368</v>
      </c>
      <c r="DV6" s="120">
        <v>25616</v>
      </c>
      <c r="DW6" s="120">
        <v>5121837</v>
      </c>
      <c r="DX6" s="120">
        <v>114395</v>
      </c>
      <c r="DY6" s="120">
        <v>83832</v>
      </c>
      <c r="DZ6" s="120">
        <v>386973</v>
      </c>
      <c r="EA6" s="121">
        <v>227494</v>
      </c>
      <c r="EB6" s="121">
        <v>52968</v>
      </c>
      <c r="EC6" s="121">
        <v>398176</v>
      </c>
      <c r="ED6" s="120">
        <v>46489</v>
      </c>
      <c r="EE6" s="121">
        <v>38146</v>
      </c>
      <c r="EF6" s="121">
        <v>40934</v>
      </c>
      <c r="EG6" s="120">
        <v>91311</v>
      </c>
      <c r="EH6" s="120">
        <v>179910</v>
      </c>
      <c r="EI6" s="120">
        <v>30937</v>
      </c>
      <c r="EJ6" s="121">
        <v>39961</v>
      </c>
      <c r="EK6" s="121"/>
      <c r="EL6" s="120">
        <v>694013</v>
      </c>
      <c r="EM6" s="120">
        <v>4887</v>
      </c>
      <c r="EN6" s="121">
        <v>42818</v>
      </c>
      <c r="EO6" s="120">
        <v>2970533</v>
      </c>
      <c r="EP6" s="121">
        <v>2749880</v>
      </c>
      <c r="EQ6" s="121">
        <v>856</v>
      </c>
      <c r="ER6" s="121">
        <v>1325</v>
      </c>
      <c r="ES6" s="121">
        <v>339585</v>
      </c>
      <c r="ET6" s="121">
        <v>8006780</v>
      </c>
      <c r="EU6" s="352">
        <v>412921</v>
      </c>
      <c r="EV6" s="352">
        <v>130641</v>
      </c>
      <c r="EW6" s="121">
        <v>99589</v>
      </c>
      <c r="EX6" s="120">
        <v>205742</v>
      </c>
      <c r="EY6" s="120">
        <v>1619804</v>
      </c>
      <c r="EZ6" s="120">
        <v>758880</v>
      </c>
      <c r="FA6" s="120">
        <v>740431</v>
      </c>
      <c r="FB6" s="121">
        <v>30498</v>
      </c>
      <c r="FC6" s="120">
        <v>5504</v>
      </c>
      <c r="FD6" s="104">
        <f>SUM(FE6:FM6)</f>
        <v>6219</v>
      </c>
      <c r="FE6" s="105">
        <f t="shared" ref="FE6:FM21" si="18">FE39-FE38</f>
        <v>0</v>
      </c>
      <c r="FF6" s="105">
        <f t="shared" si="18"/>
        <v>0</v>
      </c>
      <c r="FG6" s="105">
        <v>2671</v>
      </c>
      <c r="FH6" s="105">
        <f>FH39-FH38</f>
        <v>980</v>
      </c>
      <c r="FI6" s="105">
        <f t="shared" si="18"/>
        <v>655</v>
      </c>
      <c r="FJ6" s="105">
        <f>FJ39-FJ38</f>
        <v>774</v>
      </c>
      <c r="FK6" s="105">
        <f t="shared" si="18"/>
        <v>0</v>
      </c>
      <c r="FL6" s="105">
        <f>FL39-FL38</f>
        <v>1139</v>
      </c>
      <c r="FM6" s="105">
        <f t="shared" si="18"/>
        <v>0</v>
      </c>
      <c r="FN6" s="80">
        <f>FO6-FO5</f>
        <v>1125</v>
      </c>
      <c r="FO6" s="77">
        <f>FO5+1125</f>
        <v>1013604</v>
      </c>
      <c r="FP6" s="353"/>
      <c r="FR6" s="64"/>
      <c r="FS6" s="64"/>
      <c r="FT6" s="64"/>
      <c r="FU6" s="64"/>
      <c r="FV6" s="64"/>
      <c r="FW6" s="64"/>
      <c r="FX6" s="64"/>
      <c r="FY6" s="64">
        <v>1</v>
      </c>
      <c r="FZ6" s="107">
        <v>8054</v>
      </c>
      <c r="GA6" s="107">
        <v>1246</v>
      </c>
      <c r="GB6" s="108">
        <f>GA6/FZ6/0.1</f>
        <v>1.5470573628010924</v>
      </c>
      <c r="GC6" s="109"/>
      <c r="GD6" s="110"/>
      <c r="GE6" s="110"/>
      <c r="GF6" s="111"/>
      <c r="GG6" s="111"/>
      <c r="GH6" s="111"/>
      <c r="GI6" s="112"/>
      <c r="GJ6" s="111">
        <f>(SUM(ER5+ES5)/(GB6+GI6))</f>
        <v>220031.91878009634</v>
      </c>
      <c r="GK6" s="113"/>
    </row>
    <row r="7" spans="1:194" ht="15" customHeight="1">
      <c r="B7" s="354">
        <f>B6+1</f>
        <v>42888</v>
      </c>
      <c r="D7" s="86">
        <v>5019.6000000000004</v>
      </c>
      <c r="E7" s="86"/>
      <c r="F7" s="86">
        <v>1028.664</v>
      </c>
      <c r="G7" s="86">
        <v>3019.68</v>
      </c>
      <c r="H7" s="86">
        <v>2548.9209999999998</v>
      </c>
      <c r="I7" s="86">
        <v>701.67200000000003</v>
      </c>
      <c r="J7" s="86">
        <v>2177.4</v>
      </c>
      <c r="K7" s="86">
        <v>9.2270000000000003</v>
      </c>
      <c r="L7" s="86"/>
      <c r="M7" s="115">
        <f t="shared" ref="M7:M36" si="19">I7+J7</f>
        <v>2879.0720000000001</v>
      </c>
      <c r="N7" s="88">
        <f t="shared" si="1"/>
        <v>11616.865</v>
      </c>
      <c r="O7" s="88">
        <f t="shared" ref="O7:O36" si="20">N7+L7+((J7+I7)*0.5)</f>
        <v>13056.401</v>
      </c>
      <c r="P7" s="89">
        <f t="shared" ref="P7:P36" si="21">P6+O7</f>
        <v>30775.739000000001</v>
      </c>
      <c r="R7" s="170">
        <f t="shared" ref="R7:R36" si="22">IF(EL7=0,"",(EL7-EL6))</f>
        <v>228</v>
      </c>
      <c r="S7" s="170">
        <f t="shared" ref="S7:S36" si="23">IF(EZ7=0,"",((EZ7-EZ6)/10))</f>
        <v>106.8</v>
      </c>
      <c r="T7" s="170">
        <f t="shared" si="2"/>
        <v>3203.8</v>
      </c>
      <c r="U7" s="91">
        <f>IF(FB7=0,"",((EN7-EN6)/10))</f>
        <v>5.7</v>
      </c>
      <c r="V7" s="170">
        <f t="shared" ref="V7:V36" si="24">IF(EO7=0,"",(EO7-EO6))</f>
        <v>1177</v>
      </c>
      <c r="W7" s="91">
        <f t="shared" si="3"/>
        <v>106.7</v>
      </c>
      <c r="X7" s="170">
        <f t="shared" ref="X7:X36" si="25">IF(V7="","",V7)</f>
        <v>1177</v>
      </c>
      <c r="Y7" s="170">
        <f t="shared" ref="Y7:Y36" si="26">IF(EQ7=0,"0",(EQ7/10))</f>
        <v>6.2</v>
      </c>
      <c r="Z7" s="170">
        <f t="shared" si="4"/>
        <v>79.400000000000006</v>
      </c>
      <c r="AA7" s="170">
        <f t="shared" ref="AA7:AA36" si="27">IF(SUM(R7:V7)=0,"",SUM(R7:V7))</f>
        <v>4721.3</v>
      </c>
      <c r="AB7" s="170">
        <f t="shared" ref="AB7:AC36" si="28">IF(DU7=0,"",(DU7-DU6))</f>
        <v>211</v>
      </c>
      <c r="AC7" s="170">
        <f t="shared" si="28"/>
        <v>27</v>
      </c>
      <c r="AD7" s="170">
        <f t="shared" ref="AD7:AD35" si="29">(IF(SUM(AB7:AC7)&gt;=(DW7-DW6),(SUM(AB7:AC7)),(DW7-DW6)))</f>
        <v>394</v>
      </c>
      <c r="AE7" s="170">
        <f t="shared" ref="AE7:AE36" si="30">IF(AB7="","",(AD7-AC7-AB7))</f>
        <v>156</v>
      </c>
      <c r="AF7" s="170">
        <f>IF(DX7=0,"",(DX7-DX6))</f>
        <v>0</v>
      </c>
      <c r="AG7" s="170">
        <f t="shared" ref="AF7:AG36" si="31">IF(DY7=0,"",(DY7-DY6))</f>
        <v>43</v>
      </c>
      <c r="AH7" s="170">
        <f t="shared" ref="AH7:AH36" si="32">(IF(SUM(AF7:AG7)&gt;=(DZ7-DZ6),(SUM(AF7:AG7)),(DZ7-DZ6)))</f>
        <v>192</v>
      </c>
      <c r="AI7" s="170">
        <f t="shared" ref="AI7:AI36" si="33">IF(AF7="","",(AH7-AG7-AF7))</f>
        <v>149</v>
      </c>
      <c r="AJ7" s="170">
        <f t="shared" ref="AJ7:AK35" si="34">IF(EA7=0,"",(EA7-EA6))</f>
        <v>116</v>
      </c>
      <c r="AK7" s="170">
        <f t="shared" si="34"/>
        <v>63</v>
      </c>
      <c r="AL7" s="170">
        <f t="shared" ref="AL7:AL36" si="35">(IF(SUM(AJ7:AK7)&gt;=(EC7-EC6),(SUM(AJ7:AK7)),(EC7-EC6)))</f>
        <v>287</v>
      </c>
      <c r="AM7" s="170">
        <f t="shared" ref="AM7:AM36" si="36">IF(AJ7="","",(AL7-AK7-AJ7))</f>
        <v>108</v>
      </c>
      <c r="AN7" s="170">
        <f t="shared" ref="AN7:AN36" si="37">IF(ED7=0,"",(ED7-ED6))</f>
        <v>12</v>
      </c>
      <c r="AO7" s="170">
        <f t="shared" si="5"/>
        <v>15</v>
      </c>
      <c r="AP7" s="170">
        <f t="shared" ref="AP7:AP36" si="38">IF(EG7=0,"",(EG7-EG6))</f>
        <v>10</v>
      </c>
      <c r="AQ7" s="170">
        <f t="shared" si="6"/>
        <v>73</v>
      </c>
      <c r="AR7" s="170">
        <f t="shared" ref="AR7:AR36" si="39">IF(ET7=0,"",(ET7-ET6)/1000)</f>
        <v>21.001999999999999</v>
      </c>
      <c r="AS7" s="170">
        <f t="shared" ref="AS7:AS36" si="40">IF(AR7="","",(ES7-ES6)+((ET7-ET6)/1000)-AW7-AU7)</f>
        <v>13.00200000000001</v>
      </c>
      <c r="AT7" s="170">
        <f t="shared" ref="AT7:AT36" si="41">IF(AR7="","",ES7-ES6+((ET7-ET6)/1000))</f>
        <v>505.00200000000001</v>
      </c>
      <c r="AU7" s="170">
        <f>IF(EV7="","",(EV7-EV6))</f>
        <v>147</v>
      </c>
      <c r="AV7" s="170">
        <f>IF(EI7=0,"",(EI7-EI6))</f>
        <v>0</v>
      </c>
      <c r="AW7" s="170">
        <f>IF(EU7="","",(EU7-EU6))</f>
        <v>345</v>
      </c>
      <c r="AX7" s="170">
        <f>IF(EJ7=0,"",(EJ7-EJ6))</f>
        <v>47</v>
      </c>
      <c r="AY7" s="170"/>
      <c r="AZ7" s="170">
        <f t="shared" ref="AZ7:AZ36" si="42">IF(EW7=0,"",EW7-EW6)</f>
        <v>308</v>
      </c>
      <c r="BA7" s="170">
        <v>70</v>
      </c>
      <c r="BB7" s="170">
        <f t="shared" ref="BB7:BC36" si="43">IF(EX7=0,"",(EX7-EX6))</f>
        <v>78</v>
      </c>
      <c r="BC7" s="170">
        <f t="shared" si="43"/>
        <v>1158</v>
      </c>
      <c r="BD7" s="91">
        <f t="shared" ref="BD7:BD36" si="44">IF(FA7=0,"",(FA7-FA6))</f>
        <v>195</v>
      </c>
      <c r="BE7" s="90"/>
      <c r="BF7" s="90"/>
      <c r="BG7" s="90">
        <f t="shared" si="7"/>
        <v>1544</v>
      </c>
      <c r="BH7" s="90">
        <f t="shared" ref="BH7:BH36" si="45">BL7-FC7</f>
        <v>2545.4666666666162</v>
      </c>
      <c r="BI7" s="90">
        <f t="shared" si="8"/>
        <v>-1848.3020000000006</v>
      </c>
      <c r="BJ7" s="90">
        <f t="shared" ref="BJ7:BJ36" si="46">IF(BH7=0,"",(AA7+AD7+AO7+BG7+AH7+AL7+AQ7+AT7+AX7+AV7))</f>
        <v>7778.3020000000006</v>
      </c>
      <c r="BK7" s="92"/>
      <c r="BL7" s="93">
        <f>FD7+FN7</f>
        <v>8475.4666666666162</v>
      </c>
      <c r="BM7" s="93">
        <f t="shared" ref="BM7:BM36" si="47">BL7+BM6</f>
        <v>15819.466666666616</v>
      </c>
      <c r="BN7" s="92"/>
      <c r="BO7" s="94">
        <f t="shared" ref="BO7:BP35" si="48">IF($N7&lt;&gt;0,IF($N7&lt;&gt;0,R7/$N7*10,0)," ")</f>
        <v>0.19626637651380124</v>
      </c>
      <c r="BP7" s="94">
        <f>IF($N7&lt;&gt;0,IF($N7&lt;&gt;0,S7/$N7*10,0)," ")</f>
        <v>9.1935302682780592E-2</v>
      </c>
      <c r="BQ7" s="94">
        <f t="shared" ref="BQ7:BQ36" si="49">IF($N7&lt;&gt;0,IF($N7&lt;&gt;0,T7/$N7*10,0)," ")</f>
        <v>2.7578869169952478</v>
      </c>
      <c r="BR7" s="94">
        <f>IF($N7&lt;&gt;0,IF($N7&lt;&gt;0,(V7)/$N7*10,0)," ")</f>
        <v>1.0131821278804567</v>
      </c>
      <c r="BS7" s="94">
        <f t="shared" si="9"/>
        <v>5.3370681332700351E-3</v>
      </c>
      <c r="BT7" s="94">
        <f t="shared" si="9"/>
        <v>6.8348904803490457E-2</v>
      </c>
      <c r="BU7" s="95">
        <f t="shared" si="9"/>
        <v>4.0641773834851316</v>
      </c>
      <c r="BV7" s="94">
        <f t="shared" si="10"/>
        <v>0.1746269894743582</v>
      </c>
      <c r="BW7" s="94">
        <f t="shared" si="10"/>
        <v>8.1798958227462526E-2</v>
      </c>
      <c r="BX7" s="94">
        <f t="shared" si="10"/>
        <v>2.4538155652541618</v>
      </c>
      <c r="BY7" s="94">
        <f t="shared" ref="BY7:BY36" si="50">IF($O7&lt;&gt;0,IF($O7&lt;&gt;0,(V7)/$O7*10,0)," ")</f>
        <v>0.90147353776894557</v>
      </c>
      <c r="BZ7" s="95">
        <f t="shared" si="11"/>
        <v>3.6160807254617873</v>
      </c>
      <c r="CA7" s="96" t="e">
        <f>#REF!</f>
        <v>#REF!</v>
      </c>
      <c r="CB7" s="94">
        <f t="shared" ref="CB7:CC36" si="51">IF($O7&lt;&gt;0,IF($O7&lt;&gt;0,AR7/$O7*10,0)," ")</f>
        <v>1.608559663570382E-2</v>
      </c>
      <c r="CC7" s="95">
        <f t="shared" si="51"/>
        <v>9.9583338471298556E-3</v>
      </c>
      <c r="CD7" s="97">
        <f t="shared" si="12"/>
        <v>7.2947116293027747E-2</v>
      </c>
      <c r="CE7" s="98">
        <f>IFERROR(AS7*10/($I7+$J7),"")</f>
        <v>4.5160385012948646E-2</v>
      </c>
      <c r="CF7" s="97">
        <f t="shared" ref="CF7:CG36" si="52">IF($D7&lt;&gt;0,IF($D7&lt;&gt;0,AB7/$D7*10,0),"0,00")</f>
        <v>0.42035221930034261</v>
      </c>
      <c r="CG7" s="94">
        <f t="shared" si="52"/>
        <v>5.3789146545541469E-2</v>
      </c>
      <c r="CH7" s="95">
        <f t="shared" ref="CH7:CH36" si="53">IF($D7&lt;&gt;0,IF($O7&lt;&gt;0,AD7/$D7*10,0),"0,00 ")</f>
        <v>0.78492310144234589</v>
      </c>
      <c r="CI7" s="96" t="e">
        <f>#REF!</f>
        <v>#REF!</v>
      </c>
      <c r="CJ7" s="94" t="str">
        <f t="shared" ref="CJ7:CK36" si="54">IF($E7&lt;&gt;0,IF($E7&lt;&gt;0,AF7/$E7*10,0),"0,00")</f>
        <v>0,00</v>
      </c>
      <c r="CK7" s="94" t="str">
        <f t="shared" si="54"/>
        <v>0,00</v>
      </c>
      <c r="CL7" s="95" t="str">
        <f>IF($E7&lt;&gt;0,IF($E7&lt;&gt;0,AH7/$E7*10,0),"0,00 ")</f>
        <v xml:space="preserve">0,00 </v>
      </c>
      <c r="CM7" s="95" t="e">
        <f>#REF!</f>
        <v>#REF!</v>
      </c>
      <c r="CN7" s="94">
        <f t="shared" ref="CN7:CO36" si="55">IF($F7&lt;&gt;0,IF($F7&lt;&gt;0,AJ7/$F7*10,0),"0,00")</f>
        <v>1.1276762869119556</v>
      </c>
      <c r="CO7" s="94">
        <f t="shared" si="55"/>
        <v>0.61244487996080355</v>
      </c>
      <c r="CP7" s="95">
        <f t="shared" ref="CP7:CP36" si="56">IF($F7&lt;&gt;0,IF($F7&lt;&gt;0,AL7/$F7*10,0),"0,00 ")</f>
        <v>2.7900266753769936</v>
      </c>
      <c r="CQ7" s="95" t="e">
        <f>#REF!</f>
        <v>#REF!</v>
      </c>
      <c r="CR7" s="97">
        <f>IF($G7&lt;&gt;0,IF($G7&lt;&gt;0,AN7/$G7*10,0),"0,00 ")</f>
        <v>3.9739310125576223E-2</v>
      </c>
      <c r="CS7" s="95">
        <f>IF($G7&lt;&gt;0,IF($G7&lt;&gt;0,AO7/$G7*10,0),"0,00 ")</f>
        <v>4.9674137656970277E-2</v>
      </c>
      <c r="CT7" s="96" t="e">
        <f>#REF!</f>
        <v>#REF!</v>
      </c>
      <c r="CU7" s="97">
        <f>IF($H7&lt;&gt;0,IF($H7&lt;&gt;0,AP7/$H7*10,0),"0,00 ")</f>
        <v>3.9232286916699263E-2</v>
      </c>
      <c r="CV7" s="95">
        <f t="shared" ref="CV7:CV36" si="57">IF($H7&lt;&gt;0,IF($H7&lt;&gt;0,AQ7/$H7*10,0),"0,00 ")</f>
        <v>0.28639569449190461</v>
      </c>
      <c r="CW7" s="96" t="e">
        <f>#REF!</f>
        <v>#REF!</v>
      </c>
      <c r="CX7" s="97">
        <f t="shared" ref="CX7:DA26" si="58">IF($O7&lt;&gt;0,IF($O7&lt;&gt;0,AU7/$O7*10,0)," ")</f>
        <v>0.11258845374004675</v>
      </c>
      <c r="CY7" s="98">
        <f t="shared" si="58"/>
        <v>0</v>
      </c>
      <c r="CZ7" s="97">
        <f t="shared" si="58"/>
        <v>0.26423820775725254</v>
      </c>
      <c r="DA7" s="98">
        <f t="shared" si="58"/>
        <v>3.5997668882872091E-2</v>
      </c>
      <c r="DB7" s="94">
        <f t="shared" si="13"/>
        <v>0.23589961736009796</v>
      </c>
      <c r="DC7" s="94">
        <f t="shared" si="14"/>
        <v>5.9740812188596233E-2</v>
      </c>
      <c r="DD7" s="94">
        <f t="shared" si="14"/>
        <v>0.88692128864608255</v>
      </c>
      <c r="DE7" s="94">
        <f t="shared" si="14"/>
        <v>0.14935203047149059</v>
      </c>
      <c r="DF7" s="94">
        <f t="shared" si="14"/>
        <v>0</v>
      </c>
      <c r="DG7" s="94">
        <f t="shared" si="14"/>
        <v>0</v>
      </c>
      <c r="DH7" s="95">
        <f t="shared" si="14"/>
        <v>1.1825617181947765</v>
      </c>
      <c r="DI7" s="96" t="e">
        <f>#REF!</f>
        <v>#REF!</v>
      </c>
      <c r="DJ7" s="95">
        <f t="shared" ref="DJ7:DJ36" si="59">IF($O7&lt;&gt;0,IF($O7&lt;&gt;0,BH7/$O7*10,0)," ")</f>
        <v>1.9495928982777231</v>
      </c>
      <c r="DK7" s="96" t="e">
        <f>#REF!</f>
        <v>#REF!</v>
      </c>
      <c r="DL7" s="95">
        <f t="shared" ref="DL7:DL36" si="60">IF($O7&lt;&gt;0,BI7/$O7*10," ")</f>
        <v>-1.4156290083308567</v>
      </c>
      <c r="DM7" s="96">
        <f t="shared" si="15"/>
        <v>0</v>
      </c>
      <c r="DN7" s="94">
        <f t="shared" si="16"/>
        <v>5.9574625503613134</v>
      </c>
      <c r="DO7" s="100">
        <v>3.4</v>
      </c>
      <c r="DP7" s="94">
        <f>IF($O7&lt;&gt;0,IF($O7&lt;&gt;0,BL7/$O7*10,0)," ")</f>
        <v>6.4914264403081798</v>
      </c>
      <c r="DQ7" s="94">
        <f>IF($P7&lt;&gt;0,IF($P7&lt;&gt;0,BM7/$P7*10,0)," ")</f>
        <v>5.1402394160759606</v>
      </c>
      <c r="DR7" s="101" t="str">
        <f t="shared" si="17"/>
        <v>3,315, hL/NhL</v>
      </c>
      <c r="DS7" s="116"/>
      <c r="DT7" s="103">
        <v>2</v>
      </c>
      <c r="DU7" s="120">
        <v>621579</v>
      </c>
      <c r="DV7" s="120">
        <v>25643</v>
      </c>
      <c r="DW7" s="121">
        <v>5122231</v>
      </c>
      <c r="DX7" s="330">
        <v>114395</v>
      </c>
      <c r="DY7" s="120">
        <v>83875</v>
      </c>
      <c r="DZ7" s="120">
        <v>387165</v>
      </c>
      <c r="EA7" s="120">
        <v>227610</v>
      </c>
      <c r="EB7" s="121">
        <v>53031</v>
      </c>
      <c r="EC7" s="105">
        <v>398463</v>
      </c>
      <c r="ED7" s="121">
        <v>46501</v>
      </c>
      <c r="EE7" s="105">
        <v>38161</v>
      </c>
      <c r="EF7" s="105">
        <v>40934</v>
      </c>
      <c r="EG7" s="120">
        <v>91321</v>
      </c>
      <c r="EH7" s="120">
        <v>179983</v>
      </c>
      <c r="EI7" s="330">
        <v>30937</v>
      </c>
      <c r="EJ7" s="105">
        <v>40008</v>
      </c>
      <c r="EK7" s="121"/>
      <c r="EL7" s="120">
        <v>694241</v>
      </c>
      <c r="EM7" s="330">
        <v>32038</v>
      </c>
      <c r="EN7" s="121">
        <v>42875</v>
      </c>
      <c r="EO7" s="330">
        <v>2971710</v>
      </c>
      <c r="EP7" s="121">
        <v>2750947</v>
      </c>
      <c r="EQ7" s="121">
        <v>62</v>
      </c>
      <c r="ER7" s="121">
        <v>794</v>
      </c>
      <c r="ES7" s="121">
        <v>340069</v>
      </c>
      <c r="ET7" s="121">
        <v>8027782</v>
      </c>
      <c r="EU7" s="121">
        <v>413266</v>
      </c>
      <c r="EV7" s="121">
        <v>130788</v>
      </c>
      <c r="EW7" s="121">
        <v>99897</v>
      </c>
      <c r="EX7" s="120">
        <v>205820</v>
      </c>
      <c r="EY7" s="117">
        <v>1620962</v>
      </c>
      <c r="EZ7" s="120">
        <v>759948</v>
      </c>
      <c r="FA7" s="120">
        <v>740626</v>
      </c>
      <c r="FB7" s="121">
        <v>30585</v>
      </c>
      <c r="FC7" s="120">
        <v>5930</v>
      </c>
      <c r="FD7" s="104">
        <f>SUM(FE7:FM7)</f>
        <v>6257.7999999999884</v>
      </c>
      <c r="FE7" s="105">
        <f t="shared" si="18"/>
        <v>0</v>
      </c>
      <c r="FF7" s="105">
        <f t="shared" si="18"/>
        <v>0</v>
      </c>
      <c r="FG7" s="105">
        <v>2660</v>
      </c>
      <c r="FH7" s="105">
        <f t="shared" si="18"/>
        <v>1268</v>
      </c>
      <c r="FI7" s="105">
        <f t="shared" si="18"/>
        <v>437</v>
      </c>
      <c r="FJ7" s="105">
        <f t="shared" si="18"/>
        <v>755</v>
      </c>
      <c r="FK7" s="105">
        <f t="shared" si="18"/>
        <v>0</v>
      </c>
      <c r="FL7" s="105">
        <f t="shared" si="18"/>
        <v>1137.7999999999884</v>
      </c>
      <c r="FM7" s="105">
        <f t="shared" si="18"/>
        <v>0</v>
      </c>
      <c r="FN7" s="80">
        <f>IF(FO7="",0,(FO7-FO6))</f>
        <v>2217.6666666666279</v>
      </c>
      <c r="FO7" s="77">
        <f>FO6+FO39+FO40</f>
        <v>1015821.6666666666</v>
      </c>
      <c r="FP7" s="353"/>
      <c r="FR7" s="64"/>
      <c r="FS7" s="64"/>
      <c r="FT7" s="64"/>
      <c r="FU7" s="64"/>
      <c r="FV7" s="64"/>
      <c r="FW7" s="64"/>
      <c r="FX7" s="64"/>
      <c r="FY7" s="64">
        <v>2</v>
      </c>
      <c r="FZ7" s="107"/>
      <c r="GA7" s="107">
        <v>83</v>
      </c>
      <c r="GB7" s="108"/>
      <c r="GC7" s="109"/>
      <c r="GD7" s="110"/>
      <c r="GE7" s="110"/>
      <c r="GF7" s="111"/>
      <c r="GG7" s="111"/>
      <c r="GH7" s="111"/>
      <c r="GI7" s="112"/>
      <c r="GJ7" s="111" t="e">
        <f t="shared" ref="GJ7:GJ37" si="61">(SUM(EQ6+ER6)/(GB7+GI7))</f>
        <v>#DIV/0!</v>
      </c>
      <c r="GK7" s="118"/>
    </row>
    <row r="8" spans="1:194" s="119" customFormat="1" ht="15" customHeight="1">
      <c r="B8" s="354">
        <f t="shared" ref="B8:B36" si="62">B7+1</f>
        <v>42889</v>
      </c>
      <c r="D8" s="86">
        <v>4820.16</v>
      </c>
      <c r="E8" s="86">
        <v>505.08</v>
      </c>
      <c r="F8" s="86">
        <v>890.20799999999997</v>
      </c>
      <c r="G8" s="86"/>
      <c r="H8" s="86">
        <v>6336.6869999999999</v>
      </c>
      <c r="I8" s="86">
        <v>1851.6420000000001</v>
      </c>
      <c r="J8" s="86">
        <v>1806.24</v>
      </c>
      <c r="K8" s="86"/>
      <c r="L8" s="86"/>
      <c r="M8" s="115">
        <f t="shared" si="19"/>
        <v>3657.8820000000001</v>
      </c>
      <c r="N8" s="88">
        <f t="shared" si="1"/>
        <v>12552.134999999998</v>
      </c>
      <c r="O8" s="88">
        <f t="shared" si="20"/>
        <v>14381.075999999999</v>
      </c>
      <c r="P8" s="89">
        <f t="shared" si="21"/>
        <v>45156.815000000002</v>
      </c>
      <c r="R8" s="170">
        <f t="shared" si="22"/>
        <v>190</v>
      </c>
      <c r="S8" s="170">
        <f t="shared" si="23"/>
        <v>104.7</v>
      </c>
      <c r="T8" s="170">
        <f t="shared" si="2"/>
        <v>428.6</v>
      </c>
      <c r="U8" s="91">
        <f>IF(FB8=0,"",((EN8-EN7)/10))</f>
        <v>4.2</v>
      </c>
      <c r="V8" s="170">
        <f t="shared" si="24"/>
        <v>1289</v>
      </c>
      <c r="W8" s="91">
        <f t="shared" si="3"/>
        <v>114.6</v>
      </c>
      <c r="X8" s="170">
        <f t="shared" si="25"/>
        <v>1289</v>
      </c>
      <c r="Y8" s="170">
        <f t="shared" si="26"/>
        <v>18.5</v>
      </c>
      <c r="Z8" s="170">
        <f t="shared" si="4"/>
        <v>159.30000000000001</v>
      </c>
      <c r="AA8" s="170">
        <f t="shared" si="27"/>
        <v>2016.5</v>
      </c>
      <c r="AB8" s="170">
        <f t="shared" si="28"/>
        <v>0</v>
      </c>
      <c r="AC8" s="170">
        <f t="shared" si="28"/>
        <v>0</v>
      </c>
      <c r="AD8" s="170">
        <f t="shared" si="29"/>
        <v>290</v>
      </c>
      <c r="AE8" s="170">
        <f t="shared" si="30"/>
        <v>290</v>
      </c>
      <c r="AF8" s="170">
        <f t="shared" si="31"/>
        <v>173</v>
      </c>
      <c r="AG8" s="170">
        <f t="shared" si="31"/>
        <v>81</v>
      </c>
      <c r="AH8" s="170">
        <f t="shared" si="32"/>
        <v>254</v>
      </c>
      <c r="AI8" s="170">
        <f t="shared" si="33"/>
        <v>0</v>
      </c>
      <c r="AJ8" s="170">
        <f t="shared" si="34"/>
        <v>77</v>
      </c>
      <c r="AK8" s="170">
        <f t="shared" si="34"/>
        <v>12</v>
      </c>
      <c r="AL8" s="170">
        <f t="shared" si="35"/>
        <v>143</v>
      </c>
      <c r="AM8" s="170">
        <f t="shared" si="36"/>
        <v>54</v>
      </c>
      <c r="AN8" s="170">
        <f t="shared" si="37"/>
        <v>0</v>
      </c>
      <c r="AO8" s="170">
        <f t="shared" si="5"/>
        <v>0</v>
      </c>
      <c r="AP8" s="170">
        <f t="shared" si="38"/>
        <v>10</v>
      </c>
      <c r="AQ8" s="170">
        <f t="shared" si="6"/>
        <v>44</v>
      </c>
      <c r="AR8" s="170">
        <f t="shared" si="39"/>
        <v>90.263999999999996</v>
      </c>
      <c r="AS8" s="170">
        <f t="shared" si="40"/>
        <v>-18.73599999999999</v>
      </c>
      <c r="AT8" s="170">
        <f t="shared" si="41"/>
        <v>261.26400000000001</v>
      </c>
      <c r="AU8" s="170">
        <f t="shared" ref="AU8:AU36" si="63">IF(EV8="","",(EV8-EV7))</f>
        <v>218</v>
      </c>
      <c r="AV8" s="170">
        <f t="shared" ref="AV8:AV36" si="64">IF(EI8=0,"",(EI8-EI7))</f>
        <v>0</v>
      </c>
      <c r="AW8" s="170">
        <f t="shared" ref="AW8:AW36" si="65">IF(EU8="","",(EU8-EU7))</f>
        <v>62</v>
      </c>
      <c r="AX8" s="170">
        <f t="shared" ref="AX8:AY36" si="66">IF(EJ8=0,"",(EJ8-EJ7))</f>
        <v>60</v>
      </c>
      <c r="AY8" s="170"/>
      <c r="AZ8" s="170">
        <f t="shared" si="42"/>
        <v>405</v>
      </c>
      <c r="BA8" s="170">
        <v>31</v>
      </c>
      <c r="BB8" s="170">
        <f t="shared" si="43"/>
        <v>59</v>
      </c>
      <c r="BC8" s="170">
        <f t="shared" si="43"/>
        <v>718</v>
      </c>
      <c r="BD8" s="91">
        <f t="shared" si="44"/>
        <v>258</v>
      </c>
      <c r="BE8" s="90"/>
      <c r="BF8" s="90"/>
      <c r="BG8" s="90">
        <f t="shared" si="7"/>
        <v>1182</v>
      </c>
      <c r="BH8" s="90">
        <f t="shared" si="45"/>
        <v>3102.7666666666046</v>
      </c>
      <c r="BI8" s="90">
        <f t="shared" si="8"/>
        <v>1638.2359999999999</v>
      </c>
      <c r="BJ8" s="90">
        <f t="shared" si="46"/>
        <v>4250.7640000000001</v>
      </c>
      <c r="BK8" s="92"/>
      <c r="BL8" s="93">
        <f t="shared" ref="BL8:BL36" si="67">FD8+FN8</f>
        <v>8991.7666666666046</v>
      </c>
      <c r="BM8" s="93">
        <f t="shared" si="47"/>
        <v>24811.233333333221</v>
      </c>
      <c r="BN8" s="92" t="s">
        <v>125</v>
      </c>
      <c r="BO8" s="94">
        <f t="shared" si="48"/>
        <v>0.15136867154472131</v>
      </c>
      <c r="BP8" s="94">
        <f t="shared" si="48"/>
        <v>8.3412104793328001E-2</v>
      </c>
      <c r="BQ8" s="94">
        <f t="shared" si="49"/>
        <v>0.34145585591614502</v>
      </c>
      <c r="BR8" s="94">
        <f t="shared" ref="BR8:BR36" si="68">IF($N8&lt;&gt;0,IF($N8&lt;&gt;0,(V8)/$N8*10,0)," ")</f>
        <v>1.0269169348481355</v>
      </c>
      <c r="BS8" s="94">
        <f t="shared" si="9"/>
        <v>1.4738528545143917E-2</v>
      </c>
      <c r="BT8" s="94">
        <f t="shared" si="9"/>
        <v>0.12691068093196897</v>
      </c>
      <c r="BU8" s="95">
        <f t="shared" si="9"/>
        <v>1.6064996114206866</v>
      </c>
      <c r="BV8" s="94">
        <f t="shared" si="10"/>
        <v>0.1321180696075871</v>
      </c>
      <c r="BW8" s="94">
        <f t="shared" si="10"/>
        <v>7.2804009936391412E-2</v>
      </c>
      <c r="BX8" s="94">
        <f t="shared" si="10"/>
        <v>0.29803055070427281</v>
      </c>
      <c r="BY8" s="94">
        <f t="shared" si="50"/>
        <v>0.89631679854831448</v>
      </c>
      <c r="BZ8" s="95">
        <f t="shared" si="11"/>
        <v>1.4021899334931545</v>
      </c>
      <c r="CA8" s="96" t="e">
        <f>#REF!</f>
        <v>#REF!</v>
      </c>
      <c r="CB8" s="94">
        <f t="shared" si="51"/>
        <v>6.2765818079259156E-2</v>
      </c>
      <c r="CC8" s="95">
        <f t="shared" si="51"/>
        <v>-1.3028232379830265E-2</v>
      </c>
      <c r="CD8" s="97">
        <f t="shared" si="12"/>
        <v>0.24676575132822764</v>
      </c>
      <c r="CE8" s="98">
        <f t="shared" si="12"/>
        <v>-5.1220897776363454E-2</v>
      </c>
      <c r="CF8" s="97">
        <f t="shared" si="52"/>
        <v>0</v>
      </c>
      <c r="CG8" s="94">
        <f t="shared" si="52"/>
        <v>0</v>
      </c>
      <c r="CH8" s="95">
        <f t="shared" si="53"/>
        <v>0.60163977959237869</v>
      </c>
      <c r="CI8" s="96" t="e">
        <f>#REF!</f>
        <v>#REF!</v>
      </c>
      <c r="CJ8" s="94">
        <f t="shared" si="54"/>
        <v>3.4251999683218504</v>
      </c>
      <c r="CK8" s="94">
        <f t="shared" si="54"/>
        <v>1.6037063435495369</v>
      </c>
      <c r="CL8" s="95">
        <f t="shared" ref="CL8:CL36" si="69">IF($E8&lt;&gt;0,IF($E8&lt;&gt;0,AH8/$E8*10,0),"0,00 ")</f>
        <v>5.0289063118713875</v>
      </c>
      <c r="CM8" s="95" t="e">
        <f>#REF!</f>
        <v>#REF!</v>
      </c>
      <c r="CN8" s="94">
        <f t="shared" si="55"/>
        <v>0.86496638987742192</v>
      </c>
      <c r="CO8" s="94">
        <f t="shared" si="55"/>
        <v>0.1347999568640138</v>
      </c>
      <c r="CP8" s="95">
        <f t="shared" si="56"/>
        <v>1.6063661526294979</v>
      </c>
      <c r="CQ8" s="95" t="e">
        <f>#REF!</f>
        <v>#REF!</v>
      </c>
      <c r="CR8" s="97" t="str">
        <f t="shared" ref="CR8:CS36" si="70">IF($G8&lt;&gt;0,IF($G8&lt;&gt;0,AN8/$G8*10,0),"0,00 ")</f>
        <v xml:space="preserve">0,00 </v>
      </c>
      <c r="CS8" s="95" t="str">
        <f t="shared" si="70"/>
        <v xml:space="preserve">0,00 </v>
      </c>
      <c r="CT8" s="96" t="e">
        <f>#REF!</f>
        <v>#REF!</v>
      </c>
      <c r="CU8" s="97">
        <f t="shared" ref="CU8:CU36" si="71">IF($H8&lt;&gt;0,IF($H8&lt;&gt;0,AP8/$H8*10,0),"0,00 ")</f>
        <v>1.5781117167377842E-2</v>
      </c>
      <c r="CV8" s="95">
        <f t="shared" si="57"/>
        <v>6.9436915536462501E-2</v>
      </c>
      <c r="CW8" s="96" t="e">
        <f>#REF!</f>
        <v>#REF!</v>
      </c>
      <c r="CX8" s="97">
        <f t="shared" si="58"/>
        <v>0.15158810091817887</v>
      </c>
      <c r="CY8" s="98">
        <f t="shared" si="58"/>
        <v>0</v>
      </c>
      <c r="CZ8" s="97">
        <f t="shared" si="58"/>
        <v>4.3112212187738946E-2</v>
      </c>
      <c r="DA8" s="98">
        <f t="shared" si="58"/>
        <v>4.1721495665553818E-2</v>
      </c>
      <c r="DB8" s="94">
        <f t="shared" si="13"/>
        <v>0.28162009574248825</v>
      </c>
      <c r="DC8" s="94">
        <f t="shared" si="14"/>
        <v>4.1026137404461253E-2</v>
      </c>
      <c r="DD8" s="94">
        <f t="shared" si="14"/>
        <v>0.49926723146446073</v>
      </c>
      <c r="DE8" s="94">
        <f t="shared" si="14"/>
        <v>0.17940243136188141</v>
      </c>
      <c r="DF8" s="94">
        <f t="shared" si="14"/>
        <v>0</v>
      </c>
      <c r="DG8" s="94">
        <f t="shared" si="14"/>
        <v>0</v>
      </c>
      <c r="DH8" s="95">
        <f t="shared" si="14"/>
        <v>0.82191346461141024</v>
      </c>
      <c r="DI8" s="96" t="e">
        <f>#REF!</f>
        <v>#REF!</v>
      </c>
      <c r="DJ8" s="95">
        <f t="shared" si="59"/>
        <v>2.1575344339092601</v>
      </c>
      <c r="DK8" s="96" t="e">
        <f>#REF!</f>
        <v>#REF!</v>
      </c>
      <c r="DL8" s="95">
        <f t="shared" si="60"/>
        <v>1.139160936219237</v>
      </c>
      <c r="DM8" s="96">
        <f t="shared" si="15"/>
        <v>0</v>
      </c>
      <c r="DN8" s="94">
        <f t="shared" si="16"/>
        <v>2.9558038633548698</v>
      </c>
      <c r="DO8" s="100">
        <v>3.4</v>
      </c>
      <c r="DP8" s="94">
        <f>IF($O8&lt;&gt;0,IF($O8&lt;&gt;0,BL8/$O8*10,0)," ")</f>
        <v>6.2524992334833671</v>
      </c>
      <c r="DQ8" s="94">
        <f>IF($P8&lt;&gt;0,IF($P8&lt;&gt;0,BM8/$P8*10,0)," ")</f>
        <v>5.494460433786843</v>
      </c>
      <c r="DR8" s="101" t="str">
        <f t="shared" si="17"/>
        <v>3,315, hL/NhL</v>
      </c>
      <c r="DS8" s="116"/>
      <c r="DT8" s="103">
        <v>3</v>
      </c>
      <c r="DU8" s="120">
        <v>621579</v>
      </c>
      <c r="DV8" s="120">
        <v>25643</v>
      </c>
      <c r="DW8" s="120">
        <v>5122521</v>
      </c>
      <c r="DX8" s="120">
        <v>114568</v>
      </c>
      <c r="DY8" s="120">
        <v>83956</v>
      </c>
      <c r="DZ8" s="120">
        <v>387331</v>
      </c>
      <c r="EA8" s="120">
        <v>227687</v>
      </c>
      <c r="EB8" s="121">
        <v>53043</v>
      </c>
      <c r="EC8" s="120">
        <v>398606</v>
      </c>
      <c r="ED8" s="120">
        <v>46501</v>
      </c>
      <c r="EE8" s="122">
        <v>38161</v>
      </c>
      <c r="EF8" s="105">
        <v>40934</v>
      </c>
      <c r="EG8" s="120">
        <v>91331</v>
      </c>
      <c r="EH8" s="120">
        <v>180027</v>
      </c>
      <c r="EI8" s="120">
        <v>30937</v>
      </c>
      <c r="EJ8" s="121">
        <v>40068</v>
      </c>
      <c r="EK8" s="121"/>
      <c r="EL8" s="120">
        <v>694431</v>
      </c>
      <c r="EM8" s="105">
        <v>4286</v>
      </c>
      <c r="EN8" s="121">
        <v>42917</v>
      </c>
      <c r="EO8" s="120">
        <v>2972999</v>
      </c>
      <c r="EP8" s="121">
        <v>2752093</v>
      </c>
      <c r="EQ8" s="121">
        <v>185</v>
      </c>
      <c r="ER8" s="121">
        <v>1593</v>
      </c>
      <c r="ES8" s="121">
        <v>340240</v>
      </c>
      <c r="ET8" s="121">
        <v>8118046</v>
      </c>
      <c r="EU8" s="121">
        <v>413328</v>
      </c>
      <c r="EV8" s="121">
        <v>131006</v>
      </c>
      <c r="EW8" s="121">
        <v>100302</v>
      </c>
      <c r="EX8" s="120">
        <v>205879</v>
      </c>
      <c r="EY8" s="120">
        <v>1621680</v>
      </c>
      <c r="EZ8" s="120">
        <v>760995</v>
      </c>
      <c r="FA8" s="120">
        <v>740884</v>
      </c>
      <c r="FB8" s="121">
        <v>30602</v>
      </c>
      <c r="FC8" s="121">
        <v>5889</v>
      </c>
      <c r="FD8" s="104">
        <f t="shared" ref="FD8:FD13" si="72">SUM(FE8:FM8)</f>
        <v>6733.0999999999767</v>
      </c>
      <c r="FE8" s="105">
        <f t="shared" si="18"/>
        <v>0</v>
      </c>
      <c r="FF8" s="105">
        <f>FF41-FF40</f>
        <v>0</v>
      </c>
      <c r="FG8" s="105">
        <v>2670</v>
      </c>
      <c r="FH8" s="105">
        <f t="shared" si="18"/>
        <v>1687</v>
      </c>
      <c r="FI8" s="105">
        <f t="shared" si="18"/>
        <v>468</v>
      </c>
      <c r="FJ8" s="105">
        <f t="shared" si="18"/>
        <v>770</v>
      </c>
      <c r="FK8" s="105">
        <f t="shared" si="18"/>
        <v>0</v>
      </c>
      <c r="FL8" s="105">
        <f t="shared" si="18"/>
        <v>1138.0999999999767</v>
      </c>
      <c r="FM8" s="105">
        <f t="shared" si="18"/>
        <v>0</v>
      </c>
      <c r="FN8" s="124">
        <f>IF(FO8="",0,(FO8-FO7))</f>
        <v>2258.6666666666279</v>
      </c>
      <c r="FO8" s="77">
        <f>FO7+FO39+FO42</f>
        <v>1018080.3333333333</v>
      </c>
      <c r="FP8" s="353"/>
      <c r="FY8" s="119">
        <v>3</v>
      </c>
      <c r="FZ8" s="107"/>
      <c r="GA8" s="107">
        <v>0</v>
      </c>
      <c r="GB8" s="108"/>
      <c r="GC8" s="109"/>
      <c r="GD8" s="110"/>
      <c r="GE8" s="110"/>
      <c r="GF8" s="111"/>
      <c r="GG8" s="111"/>
      <c r="GH8" s="111"/>
      <c r="GI8" s="112"/>
      <c r="GJ8" s="111" t="e">
        <f t="shared" si="61"/>
        <v>#DIV/0!</v>
      </c>
      <c r="GK8" s="113"/>
    </row>
    <row r="9" spans="1:194" s="119" customFormat="1" ht="15" customHeight="1">
      <c r="B9" s="354">
        <f t="shared" si="62"/>
        <v>42890</v>
      </c>
      <c r="D9" s="86"/>
      <c r="E9" s="86"/>
      <c r="F9" s="152">
        <v>693.93600000000004</v>
      </c>
      <c r="G9" s="86"/>
      <c r="H9" s="86"/>
      <c r="I9" s="86"/>
      <c r="J9" s="86"/>
      <c r="K9" s="86"/>
      <c r="L9" s="86"/>
      <c r="M9" s="115">
        <f t="shared" si="19"/>
        <v>0</v>
      </c>
      <c r="N9" s="88">
        <f t="shared" si="1"/>
        <v>693.93600000000004</v>
      </c>
      <c r="O9" s="88">
        <f t="shared" si="20"/>
        <v>693.93600000000004</v>
      </c>
      <c r="P9" s="89">
        <f t="shared" si="21"/>
        <v>45850.751000000004</v>
      </c>
      <c r="R9" s="170">
        <f t="shared" si="22"/>
        <v>40</v>
      </c>
      <c r="S9" s="170">
        <f t="shared" si="23"/>
        <v>8.4</v>
      </c>
      <c r="T9" s="170">
        <f t="shared" si="2"/>
        <v>23.7</v>
      </c>
      <c r="U9" s="91">
        <f>IF(FB9=0,"",((EN9-EN8)/10))</f>
        <v>0.9</v>
      </c>
      <c r="V9" s="170">
        <f t="shared" si="24"/>
        <v>326</v>
      </c>
      <c r="W9" s="91">
        <f t="shared" si="3"/>
        <v>31.1</v>
      </c>
      <c r="X9" s="170">
        <f t="shared" si="25"/>
        <v>326</v>
      </c>
      <c r="Y9" s="170">
        <f t="shared" si="26"/>
        <v>36.4</v>
      </c>
      <c r="Z9" s="170">
        <f t="shared" si="4"/>
        <v>28.9</v>
      </c>
      <c r="AA9" s="170">
        <f t="shared" si="27"/>
        <v>399</v>
      </c>
      <c r="AB9" s="170">
        <f t="shared" si="28"/>
        <v>0</v>
      </c>
      <c r="AC9" s="170">
        <f t="shared" si="28"/>
        <v>0</v>
      </c>
      <c r="AD9" s="170">
        <f t="shared" si="29"/>
        <v>9</v>
      </c>
      <c r="AE9" s="170">
        <f t="shared" si="30"/>
        <v>9</v>
      </c>
      <c r="AF9" s="170">
        <f t="shared" si="31"/>
        <v>41</v>
      </c>
      <c r="AG9" s="170">
        <f t="shared" si="31"/>
        <v>33</v>
      </c>
      <c r="AH9" s="170">
        <f t="shared" si="32"/>
        <v>89</v>
      </c>
      <c r="AI9" s="170">
        <f t="shared" si="33"/>
        <v>15</v>
      </c>
      <c r="AJ9" s="170">
        <f t="shared" si="34"/>
        <v>34</v>
      </c>
      <c r="AK9" s="170">
        <f t="shared" si="34"/>
        <v>91</v>
      </c>
      <c r="AL9" s="170">
        <f t="shared" si="35"/>
        <v>159</v>
      </c>
      <c r="AM9" s="170">
        <f t="shared" si="36"/>
        <v>34</v>
      </c>
      <c r="AN9" s="170">
        <f t="shared" si="37"/>
        <v>2</v>
      </c>
      <c r="AO9" s="170">
        <f t="shared" si="5"/>
        <v>30</v>
      </c>
      <c r="AP9" s="170">
        <f t="shared" si="38"/>
        <v>27</v>
      </c>
      <c r="AQ9" s="170">
        <f t="shared" si="6"/>
        <v>49</v>
      </c>
      <c r="AR9" s="170">
        <f t="shared" si="39"/>
        <v>13.045999999999999</v>
      </c>
      <c r="AS9" s="170">
        <f t="shared" si="40"/>
        <v>-65.954000000000008</v>
      </c>
      <c r="AT9" s="170">
        <f t="shared" si="41"/>
        <v>28.045999999999999</v>
      </c>
      <c r="AU9" s="170">
        <f t="shared" si="63"/>
        <v>94</v>
      </c>
      <c r="AV9" s="170">
        <f t="shared" si="64"/>
        <v>0</v>
      </c>
      <c r="AW9" s="170">
        <f t="shared" si="65"/>
        <v>0</v>
      </c>
      <c r="AX9" s="170">
        <f t="shared" si="66"/>
        <v>8</v>
      </c>
      <c r="AY9" s="170"/>
      <c r="AZ9" s="170">
        <f t="shared" si="42"/>
        <v>172</v>
      </c>
      <c r="BA9" s="170">
        <v>0</v>
      </c>
      <c r="BB9" s="170">
        <f t="shared" si="43"/>
        <v>93</v>
      </c>
      <c r="BC9" s="170">
        <f t="shared" si="43"/>
        <v>225</v>
      </c>
      <c r="BD9" s="91">
        <f t="shared" si="44"/>
        <v>35</v>
      </c>
      <c r="BE9" s="90"/>
      <c r="BF9" s="90"/>
      <c r="BG9" s="90">
        <f t="shared" si="7"/>
        <v>490</v>
      </c>
      <c r="BH9" s="90">
        <f t="shared" si="45"/>
        <v>1622.1000000000349</v>
      </c>
      <c r="BI9" s="90">
        <f t="shared" si="8"/>
        <v>1016.954</v>
      </c>
      <c r="BJ9" s="90">
        <f t="shared" si="46"/>
        <v>1261.046</v>
      </c>
      <c r="BK9" s="92"/>
      <c r="BL9" s="93">
        <f t="shared" si="67"/>
        <v>3900.1000000000349</v>
      </c>
      <c r="BM9" s="93">
        <f t="shared" si="47"/>
        <v>28711.333333333256</v>
      </c>
      <c r="BN9" s="92"/>
      <c r="BO9" s="94">
        <f t="shared" si="48"/>
        <v>0.57642203315579532</v>
      </c>
      <c r="BP9" s="94">
        <f t="shared" si="48"/>
        <v>0.12104862696271702</v>
      </c>
      <c r="BQ9" s="94">
        <f t="shared" si="49"/>
        <v>0.34153005464480868</v>
      </c>
      <c r="BR9" s="94">
        <f t="shared" si="68"/>
        <v>4.697839570219732</v>
      </c>
      <c r="BS9" s="94">
        <f t="shared" si="9"/>
        <v>0.52454405017177375</v>
      </c>
      <c r="BT9" s="94">
        <f t="shared" si="9"/>
        <v>0.4164649189550621</v>
      </c>
      <c r="BU9" s="95">
        <f t="shared" si="9"/>
        <v>5.7498097807290582</v>
      </c>
      <c r="BV9" s="94">
        <f t="shared" si="10"/>
        <v>0.57642203315579532</v>
      </c>
      <c r="BW9" s="94">
        <f t="shared" si="10"/>
        <v>0.12104862696271702</v>
      </c>
      <c r="BX9" s="94">
        <f t="shared" si="10"/>
        <v>0.34153005464480868</v>
      </c>
      <c r="BY9" s="94">
        <f t="shared" si="50"/>
        <v>4.697839570219732</v>
      </c>
      <c r="BZ9" s="95">
        <f t="shared" si="11"/>
        <v>5.7498097807290582</v>
      </c>
      <c r="CA9" s="96" t="e">
        <f>#REF!</f>
        <v>#REF!</v>
      </c>
      <c r="CB9" s="94">
        <f t="shared" si="51"/>
        <v>0.18800004611376264</v>
      </c>
      <c r="CC9" s="95">
        <f t="shared" si="51"/>
        <v>-0.95043346936893325</v>
      </c>
      <c r="CD9" s="97" t="str">
        <f t="shared" si="12"/>
        <v/>
      </c>
      <c r="CE9" s="98" t="str">
        <f t="shared" si="12"/>
        <v/>
      </c>
      <c r="CF9" s="97" t="str">
        <f t="shared" si="52"/>
        <v>0,00</v>
      </c>
      <c r="CG9" s="94" t="str">
        <f t="shared" si="52"/>
        <v>0,00</v>
      </c>
      <c r="CH9" s="95" t="str">
        <f t="shared" si="53"/>
        <v xml:space="preserve">0,00 </v>
      </c>
      <c r="CI9" s="96" t="e">
        <f>#REF!</f>
        <v>#REF!</v>
      </c>
      <c r="CJ9" s="94" t="str">
        <f t="shared" si="54"/>
        <v>0,00</v>
      </c>
      <c r="CK9" s="94" t="str">
        <f t="shared" si="54"/>
        <v>0,00</v>
      </c>
      <c r="CL9" s="95" t="str">
        <f t="shared" si="69"/>
        <v xml:space="preserve">0,00 </v>
      </c>
      <c r="CM9" s="95" t="e">
        <f>#REF!</f>
        <v>#REF!</v>
      </c>
      <c r="CN9" s="94">
        <f t="shared" si="55"/>
        <v>0.48995872818242603</v>
      </c>
      <c r="CO9" s="94">
        <f t="shared" si="55"/>
        <v>1.3113601254294345</v>
      </c>
      <c r="CP9" s="95">
        <f t="shared" si="56"/>
        <v>2.2912775817942861</v>
      </c>
      <c r="CQ9" s="95" t="e">
        <f>#REF!</f>
        <v>#REF!</v>
      </c>
      <c r="CR9" s="97" t="str">
        <f t="shared" si="70"/>
        <v xml:space="preserve">0,00 </v>
      </c>
      <c r="CS9" s="95" t="str">
        <f t="shared" si="70"/>
        <v xml:space="preserve">0,00 </v>
      </c>
      <c r="CT9" s="96" t="e">
        <f>#REF!</f>
        <v>#REF!</v>
      </c>
      <c r="CU9" s="97" t="str">
        <f t="shared" si="71"/>
        <v xml:space="preserve">0,00 </v>
      </c>
      <c r="CV9" s="95" t="str">
        <f t="shared" si="57"/>
        <v xml:space="preserve">0,00 </v>
      </c>
      <c r="CW9" s="96" t="e">
        <f>#REF!</f>
        <v>#REF!</v>
      </c>
      <c r="CX9" s="97">
        <f t="shared" si="58"/>
        <v>1.354591777916119</v>
      </c>
      <c r="CY9" s="98">
        <f t="shared" si="58"/>
        <v>0</v>
      </c>
      <c r="CZ9" s="97">
        <f t="shared" si="58"/>
        <v>0</v>
      </c>
      <c r="DA9" s="98">
        <f t="shared" si="58"/>
        <v>0.11528440663115908</v>
      </c>
      <c r="DB9" s="94">
        <f t="shared" si="13"/>
        <v>2.4786147425699196</v>
      </c>
      <c r="DC9" s="94">
        <f t="shared" si="14"/>
        <v>1.340181227087224</v>
      </c>
      <c r="DD9" s="94">
        <f t="shared" si="14"/>
        <v>3.2423739365013486</v>
      </c>
      <c r="DE9" s="94">
        <f t="shared" si="14"/>
        <v>0.50436927901132089</v>
      </c>
      <c r="DF9" s="94">
        <f t="shared" si="14"/>
        <v>0</v>
      </c>
      <c r="DG9" s="94">
        <f t="shared" si="14"/>
        <v>0</v>
      </c>
      <c r="DH9" s="95">
        <f t="shared" si="14"/>
        <v>7.0611699061584936</v>
      </c>
      <c r="DI9" s="96" t="e">
        <f>#REF!</f>
        <v>#REF!</v>
      </c>
      <c r="DJ9" s="95">
        <f t="shared" si="59"/>
        <v>23.375354499550891</v>
      </c>
      <c r="DK9" s="96" t="e">
        <f>#REF!</f>
        <v>#REF!</v>
      </c>
      <c r="DL9" s="95">
        <f t="shared" si="60"/>
        <v>14.654867307647965</v>
      </c>
      <c r="DM9" s="96">
        <f t="shared" si="15"/>
        <v>0</v>
      </c>
      <c r="DN9" s="94">
        <f t="shared" si="16"/>
        <v>18.172367480574579</v>
      </c>
      <c r="DO9" s="100">
        <v>3.4</v>
      </c>
      <c r="DP9" s="94">
        <f t="shared" ref="DP9:DP33" si="73">IF($O9&lt;&gt;0,IF($O9&lt;&gt;0,BL9/$O9*10,0)," ")</f>
        <v>56.202589287773435</v>
      </c>
      <c r="DQ9" s="94">
        <f t="shared" ref="DQ9:DQ34" si="74">IF($P9&lt;&gt;0,IF($P9&lt;&gt;0,BM9/$P9*10,0)," ")</f>
        <v>6.2619112461938196</v>
      </c>
      <c r="DR9" s="101" t="str">
        <f t="shared" si="17"/>
        <v>3,315, hL/NhL</v>
      </c>
      <c r="DS9" s="116"/>
      <c r="DT9" s="103">
        <v>4</v>
      </c>
      <c r="DU9" s="120">
        <v>621579</v>
      </c>
      <c r="DV9" s="120">
        <v>25643</v>
      </c>
      <c r="DW9" s="121">
        <v>5122530</v>
      </c>
      <c r="DX9" s="121">
        <v>114609</v>
      </c>
      <c r="DY9" s="121">
        <v>83989</v>
      </c>
      <c r="DZ9" s="121">
        <v>387420</v>
      </c>
      <c r="EA9" s="120">
        <v>227721</v>
      </c>
      <c r="EB9" s="121">
        <v>53134</v>
      </c>
      <c r="EC9" s="121">
        <v>398765</v>
      </c>
      <c r="ED9" s="120">
        <v>46503</v>
      </c>
      <c r="EE9" s="122">
        <v>38164</v>
      </c>
      <c r="EF9" s="121">
        <v>40961</v>
      </c>
      <c r="EG9" s="120">
        <v>91358</v>
      </c>
      <c r="EH9" s="120">
        <v>180076</v>
      </c>
      <c r="EI9" s="120">
        <v>30937</v>
      </c>
      <c r="EJ9" s="121">
        <v>40076</v>
      </c>
      <c r="EK9" s="121"/>
      <c r="EL9" s="120">
        <v>694471</v>
      </c>
      <c r="EM9" s="105">
        <v>237</v>
      </c>
      <c r="EN9" s="121">
        <v>42926</v>
      </c>
      <c r="EO9" s="120">
        <v>2973325</v>
      </c>
      <c r="EP9" s="121">
        <v>2752404</v>
      </c>
      <c r="EQ9" s="121">
        <v>364</v>
      </c>
      <c r="ER9" s="121">
        <v>289</v>
      </c>
      <c r="ES9" s="121">
        <v>340255</v>
      </c>
      <c r="ET9" s="105">
        <v>8131092</v>
      </c>
      <c r="EU9" s="121">
        <v>413328</v>
      </c>
      <c r="EV9" s="121">
        <v>131100</v>
      </c>
      <c r="EW9" s="121">
        <v>100474</v>
      </c>
      <c r="EX9" s="120">
        <v>205972</v>
      </c>
      <c r="EY9" s="120">
        <v>1621905</v>
      </c>
      <c r="EZ9" s="506">
        <v>761079</v>
      </c>
      <c r="FA9" s="177">
        <v>740919</v>
      </c>
      <c r="FB9" s="122">
        <v>30602</v>
      </c>
      <c r="FC9" s="121">
        <v>2278</v>
      </c>
      <c r="FD9" s="77">
        <f>SUM(FE9:FM9)</f>
        <v>2766.1000000000349</v>
      </c>
      <c r="FE9" s="105">
        <f t="shared" si="18"/>
        <v>0</v>
      </c>
      <c r="FF9" s="105">
        <f t="shared" si="18"/>
        <v>0</v>
      </c>
      <c r="FG9" s="105">
        <f t="shared" si="18"/>
        <v>785</v>
      </c>
      <c r="FH9" s="105">
        <f t="shared" si="18"/>
        <v>480</v>
      </c>
      <c r="FI9" s="105">
        <f t="shared" si="18"/>
        <v>253</v>
      </c>
      <c r="FJ9" s="105">
        <f t="shared" si="18"/>
        <v>342</v>
      </c>
      <c r="FK9" s="105">
        <f t="shared" si="18"/>
        <v>0</v>
      </c>
      <c r="FL9" s="105">
        <f t="shared" si="18"/>
        <v>906.10000000003492</v>
      </c>
      <c r="FM9" s="105">
        <f t="shared" si="18"/>
        <v>0</v>
      </c>
      <c r="FN9" s="124">
        <f t="shared" ref="FN9:FN36" si="75">IF(FO9="",0,(FO9-FO8))</f>
        <v>1134</v>
      </c>
      <c r="FO9" s="77">
        <f>FO8+FO42</f>
        <v>1019214.3333333333</v>
      </c>
      <c r="FP9" s="353"/>
      <c r="FY9" s="119">
        <v>4</v>
      </c>
      <c r="FZ9" s="107"/>
      <c r="GA9" s="107">
        <v>0</v>
      </c>
      <c r="GB9" s="108"/>
      <c r="GC9" s="109"/>
      <c r="GD9" s="110"/>
      <c r="GE9" s="110"/>
      <c r="GF9" s="111"/>
      <c r="GG9" s="111"/>
      <c r="GH9" s="111"/>
      <c r="GI9" s="112"/>
      <c r="GJ9" s="111" t="e">
        <f t="shared" si="61"/>
        <v>#DIV/0!</v>
      </c>
      <c r="GK9" s="113"/>
    </row>
    <row r="10" spans="1:194" s="119" customFormat="1" ht="15" customHeight="1">
      <c r="B10" s="354">
        <f t="shared" si="62"/>
        <v>42891</v>
      </c>
      <c r="D10" s="128"/>
      <c r="E10" s="128">
        <v>2676</v>
      </c>
      <c r="F10" s="128">
        <v>1738.5119999999999</v>
      </c>
      <c r="G10" s="86">
        <v>2074.9610000000002</v>
      </c>
      <c r="H10" s="86">
        <v>3579.2289999999998</v>
      </c>
      <c r="I10" s="86">
        <v>1250.1369999999999</v>
      </c>
      <c r="J10" s="86">
        <v>2609.88</v>
      </c>
      <c r="K10" s="86"/>
      <c r="L10" s="86">
        <v>102</v>
      </c>
      <c r="M10" s="115">
        <f t="shared" si="19"/>
        <v>3860.0169999999998</v>
      </c>
      <c r="N10" s="88">
        <f t="shared" si="1"/>
        <v>10068.701999999999</v>
      </c>
      <c r="O10" s="88">
        <f t="shared" si="20"/>
        <v>12100.710499999999</v>
      </c>
      <c r="P10" s="89">
        <f t="shared" si="21"/>
        <v>57951.461500000005</v>
      </c>
      <c r="R10" s="170">
        <f t="shared" si="22"/>
        <v>66</v>
      </c>
      <c r="S10" s="170">
        <f t="shared" si="23"/>
        <v>207.5</v>
      </c>
      <c r="T10" s="170">
        <f t="shared" si="2"/>
        <v>452.3</v>
      </c>
      <c r="U10" s="91">
        <f>IF(FB10=0,"",((EN10-EN9)/10))</f>
        <v>0.5</v>
      </c>
      <c r="V10" s="170">
        <f t="shared" si="24"/>
        <v>1088</v>
      </c>
      <c r="W10" s="91">
        <f t="shared" si="3"/>
        <v>98.1</v>
      </c>
      <c r="X10" s="170">
        <f t="shared" si="25"/>
        <v>1088</v>
      </c>
      <c r="Y10" s="170">
        <f t="shared" si="26"/>
        <v>68.900000000000006</v>
      </c>
      <c r="Z10" s="170">
        <f t="shared" si="4"/>
        <v>101.8</v>
      </c>
      <c r="AA10" s="170">
        <f t="shared" si="27"/>
        <v>1814.3</v>
      </c>
      <c r="AB10" s="170">
        <f t="shared" si="28"/>
        <v>306</v>
      </c>
      <c r="AC10" s="170">
        <f t="shared" si="28"/>
        <v>73</v>
      </c>
      <c r="AD10" s="170">
        <f t="shared" si="29"/>
        <v>379</v>
      </c>
      <c r="AE10" s="170">
        <f t="shared" si="30"/>
        <v>0</v>
      </c>
      <c r="AF10" s="170">
        <f t="shared" si="31"/>
        <v>83</v>
      </c>
      <c r="AG10" s="170">
        <f t="shared" si="31"/>
        <v>40</v>
      </c>
      <c r="AH10" s="170">
        <f t="shared" si="32"/>
        <v>204</v>
      </c>
      <c r="AI10" s="170">
        <f t="shared" si="33"/>
        <v>81</v>
      </c>
      <c r="AJ10" s="170">
        <f t="shared" si="34"/>
        <v>152</v>
      </c>
      <c r="AK10" s="170">
        <f t="shared" si="34"/>
        <v>17</v>
      </c>
      <c r="AL10" s="170">
        <f t="shared" si="35"/>
        <v>251</v>
      </c>
      <c r="AM10" s="170">
        <f t="shared" si="36"/>
        <v>82</v>
      </c>
      <c r="AN10" s="170">
        <f t="shared" si="37"/>
        <v>23</v>
      </c>
      <c r="AO10" s="170">
        <f t="shared" si="5"/>
        <v>76</v>
      </c>
      <c r="AP10" s="170">
        <f t="shared" si="38"/>
        <v>22</v>
      </c>
      <c r="AQ10" s="170">
        <f t="shared" si="6"/>
        <v>40</v>
      </c>
      <c r="AR10" s="170">
        <f t="shared" si="39"/>
        <v>120.247</v>
      </c>
      <c r="AS10" s="170">
        <f t="shared" si="40"/>
        <v>216.24699999999996</v>
      </c>
      <c r="AT10" s="170">
        <f t="shared" si="41"/>
        <v>764.24699999999996</v>
      </c>
      <c r="AU10" s="170">
        <f t="shared" si="63"/>
        <v>184</v>
      </c>
      <c r="AV10" s="170">
        <f t="shared" si="64"/>
        <v>0</v>
      </c>
      <c r="AW10" s="170">
        <f t="shared" si="65"/>
        <v>364</v>
      </c>
      <c r="AX10" s="170">
        <f t="shared" si="66"/>
        <v>22</v>
      </c>
      <c r="AY10" s="170"/>
      <c r="AZ10" s="170">
        <f t="shared" si="42"/>
        <v>255</v>
      </c>
      <c r="BA10" s="170">
        <v>112</v>
      </c>
      <c r="BB10" s="170">
        <f t="shared" si="43"/>
        <v>121</v>
      </c>
      <c r="BC10" s="170">
        <f t="shared" si="43"/>
        <v>2</v>
      </c>
      <c r="BD10" s="91">
        <f t="shared" si="44"/>
        <v>157</v>
      </c>
      <c r="BE10" s="90"/>
      <c r="BF10" s="90"/>
      <c r="BG10" s="90">
        <f t="shared" si="7"/>
        <v>378</v>
      </c>
      <c r="BH10" s="90">
        <f t="shared" si="45"/>
        <v>418.66666666674428</v>
      </c>
      <c r="BI10" s="90">
        <f t="shared" si="8"/>
        <v>870.45299999999997</v>
      </c>
      <c r="BJ10" s="90">
        <f t="shared" si="46"/>
        <v>3928.547</v>
      </c>
      <c r="BK10" s="92"/>
      <c r="BL10" s="93">
        <f t="shared" si="67"/>
        <v>5217.6666666667443</v>
      </c>
      <c r="BM10" s="93">
        <f t="shared" si="47"/>
        <v>33929</v>
      </c>
      <c r="BN10" s="92"/>
      <c r="BO10" s="94">
        <f t="shared" si="48"/>
        <v>6.554966072091517E-2</v>
      </c>
      <c r="BP10" s="94">
        <f t="shared" si="48"/>
        <v>0.20608416059984697</v>
      </c>
      <c r="BQ10" s="94">
        <f t="shared" si="49"/>
        <v>0.4492138112737869</v>
      </c>
      <c r="BR10" s="94">
        <f t="shared" si="68"/>
        <v>1.0805762252175108</v>
      </c>
      <c r="BS10" s="94">
        <f t="shared" si="9"/>
        <v>6.8429873085925089E-2</v>
      </c>
      <c r="BT10" s="94">
        <f t="shared" si="9"/>
        <v>0.1011053857786237</v>
      </c>
      <c r="BU10" s="95">
        <f t="shared" si="9"/>
        <v>1.8019204461508544</v>
      </c>
      <c r="BV10" s="94">
        <f t="shared" si="10"/>
        <v>5.4542251878515732E-2</v>
      </c>
      <c r="BW10" s="94">
        <f t="shared" si="10"/>
        <v>0.17147753431503054</v>
      </c>
      <c r="BX10" s="94">
        <f t="shared" si="10"/>
        <v>0.37377970491897977</v>
      </c>
      <c r="BY10" s="94">
        <f t="shared" si="50"/>
        <v>0.89912075823977444</v>
      </c>
      <c r="BZ10" s="95">
        <f t="shared" si="11"/>
        <v>1.4993334482301679</v>
      </c>
      <c r="CA10" s="96" t="e">
        <f>#REF!</f>
        <v>#REF!</v>
      </c>
      <c r="CB10" s="94">
        <f t="shared" si="51"/>
        <v>9.9371850933876987E-2</v>
      </c>
      <c r="CC10" s="95">
        <f t="shared" si="51"/>
        <v>0.17870603548444527</v>
      </c>
      <c r="CD10" s="97">
        <f t="shared" si="12"/>
        <v>0.31151935341217413</v>
      </c>
      <c r="CE10" s="98">
        <f t="shared" si="12"/>
        <v>0.56022292129801488</v>
      </c>
      <c r="CF10" s="97" t="str">
        <f t="shared" si="52"/>
        <v>0,00</v>
      </c>
      <c r="CG10" s="94" t="str">
        <f t="shared" si="52"/>
        <v>0,00</v>
      </c>
      <c r="CH10" s="95" t="str">
        <f t="shared" si="53"/>
        <v xml:space="preserve">0,00 </v>
      </c>
      <c r="CI10" s="96" t="e">
        <f>#REF!</f>
        <v>#REF!</v>
      </c>
      <c r="CJ10" s="94">
        <f t="shared" si="54"/>
        <v>0.31016442451420034</v>
      </c>
      <c r="CK10" s="94">
        <f t="shared" si="54"/>
        <v>0.14947683109118087</v>
      </c>
      <c r="CL10" s="95">
        <f t="shared" si="69"/>
        <v>0.7623318385650224</v>
      </c>
      <c r="CM10" s="95" t="e">
        <f>#REF!</f>
        <v>#REF!</v>
      </c>
      <c r="CN10" s="94">
        <f t="shared" si="55"/>
        <v>0.87431090495780306</v>
      </c>
      <c r="CO10" s="94">
        <f t="shared" si="55"/>
        <v>9.7784772265017444E-2</v>
      </c>
      <c r="CP10" s="95">
        <f t="shared" si="56"/>
        <v>1.4437634022658457</v>
      </c>
      <c r="CQ10" s="95" t="e">
        <f>#REF!</f>
        <v>#REF!</v>
      </c>
      <c r="CR10" s="97">
        <f t="shared" si="70"/>
        <v>0.11084545685436978</v>
      </c>
      <c r="CS10" s="95">
        <f t="shared" si="70"/>
        <v>0.36627194438835231</v>
      </c>
      <c r="CT10" s="96" t="e">
        <f>#REF!</f>
        <v>#REF!</v>
      </c>
      <c r="CU10" s="97">
        <f t="shared" si="71"/>
        <v>6.1465751423002001E-2</v>
      </c>
      <c r="CV10" s="95">
        <f t="shared" si="57"/>
        <v>0.11175591167818544</v>
      </c>
      <c r="CW10" s="96" t="e">
        <f>#REF!</f>
        <v>#REF!</v>
      </c>
      <c r="CX10" s="97">
        <f t="shared" si="58"/>
        <v>0.15205718705525598</v>
      </c>
      <c r="CY10" s="98">
        <f t="shared" si="58"/>
        <v>0</v>
      </c>
      <c r="CZ10" s="97">
        <f t="shared" si="58"/>
        <v>0.30080878308757159</v>
      </c>
      <c r="DA10" s="98">
        <f t="shared" si="58"/>
        <v>1.8180750626171912E-2</v>
      </c>
      <c r="DB10" s="94">
        <f t="shared" si="13"/>
        <v>0.21073142771244713</v>
      </c>
      <c r="DC10" s="94">
        <f t="shared" si="14"/>
        <v>9.9994128443945507E-2</v>
      </c>
      <c r="DD10" s="94">
        <f t="shared" si="14"/>
        <v>1.6527955114701738E-3</v>
      </c>
      <c r="DE10" s="94">
        <f t="shared" si="14"/>
        <v>0.12974444765040863</v>
      </c>
      <c r="DF10" s="94">
        <f t="shared" si="14"/>
        <v>0</v>
      </c>
      <c r="DG10" s="94">
        <f t="shared" si="14"/>
        <v>0</v>
      </c>
      <c r="DH10" s="95">
        <f t="shared" si="14"/>
        <v>0.31237835166786282</v>
      </c>
      <c r="DI10" s="96" t="e">
        <f>#REF!</f>
        <v>#REF!</v>
      </c>
      <c r="DJ10" s="95">
        <f t="shared" si="59"/>
        <v>0.34598519373448716</v>
      </c>
      <c r="DK10" s="96" t="e">
        <f>#REF!</f>
        <v>#REF!</v>
      </c>
      <c r="DL10" s="95">
        <f t="shared" si="60"/>
        <v>0.7193404056728735</v>
      </c>
      <c r="DM10" s="96">
        <f t="shared" si="15"/>
        <v>0</v>
      </c>
      <c r="DN10" s="94">
        <f t="shared" si="16"/>
        <v>3.246542424099808</v>
      </c>
      <c r="DO10" s="100">
        <v>3.4</v>
      </c>
      <c r="DP10" s="94">
        <f>IF($O10&lt;&gt;0,IF($O10&lt;&gt;0,BL10/$O10*10,0)," ")</f>
        <v>4.3118680235071691</v>
      </c>
      <c r="DQ10" s="94">
        <f>IF($P10&lt;&gt;0,IF($P10&lt;&gt;0,BM10/$P10*10,0)," ")</f>
        <v>5.8547272358264841</v>
      </c>
      <c r="DR10" s="101" t="str">
        <f t="shared" si="17"/>
        <v>3,315, hL/NhL</v>
      </c>
      <c r="DS10" s="116"/>
      <c r="DT10" s="103">
        <v>5</v>
      </c>
      <c r="DU10" s="330">
        <v>621885</v>
      </c>
      <c r="DV10" s="120">
        <v>25716</v>
      </c>
      <c r="DW10" s="120">
        <v>5122903</v>
      </c>
      <c r="DX10" s="122">
        <v>114692</v>
      </c>
      <c r="DY10" s="120">
        <v>84029</v>
      </c>
      <c r="DZ10" s="120">
        <v>387624</v>
      </c>
      <c r="EA10" s="120">
        <v>227873</v>
      </c>
      <c r="EB10" s="121">
        <v>53151</v>
      </c>
      <c r="EC10" s="120">
        <v>399016</v>
      </c>
      <c r="ED10" s="120">
        <v>46526</v>
      </c>
      <c r="EE10" s="121">
        <v>38200</v>
      </c>
      <c r="EF10" s="121">
        <v>41001</v>
      </c>
      <c r="EG10" s="120">
        <v>91380</v>
      </c>
      <c r="EH10" s="120">
        <v>180116</v>
      </c>
      <c r="EI10" s="120">
        <v>30937</v>
      </c>
      <c r="EJ10" s="121">
        <v>40098</v>
      </c>
      <c r="EK10" s="121"/>
      <c r="EL10" s="120">
        <v>694537</v>
      </c>
      <c r="EM10" s="121">
        <v>4523</v>
      </c>
      <c r="EN10" s="121">
        <v>42931</v>
      </c>
      <c r="EO10" s="120">
        <v>2974413</v>
      </c>
      <c r="EP10" s="121">
        <v>2753385</v>
      </c>
      <c r="EQ10" s="121">
        <v>689</v>
      </c>
      <c r="ER10" s="121">
        <v>1018</v>
      </c>
      <c r="ES10" s="121">
        <v>340899</v>
      </c>
      <c r="ET10" s="105">
        <v>8251339</v>
      </c>
      <c r="EU10" s="121">
        <v>413692</v>
      </c>
      <c r="EV10" s="121">
        <v>131284</v>
      </c>
      <c r="EW10" s="121">
        <v>100729</v>
      </c>
      <c r="EX10" s="120">
        <v>206093</v>
      </c>
      <c r="EY10" s="120">
        <v>1621907</v>
      </c>
      <c r="EZ10" s="120">
        <v>763154</v>
      </c>
      <c r="FA10" s="130">
        <v>741076</v>
      </c>
      <c r="FB10" s="77">
        <v>30228</v>
      </c>
      <c r="FC10" s="77">
        <v>4799</v>
      </c>
      <c r="FD10" s="77">
        <f>SUM(FE10:FM10)</f>
        <v>3538</v>
      </c>
      <c r="FE10" s="105">
        <f t="shared" si="18"/>
        <v>0</v>
      </c>
      <c r="FF10" s="105">
        <f t="shared" si="18"/>
        <v>0</v>
      </c>
      <c r="FG10" s="105">
        <f t="shared" si="18"/>
        <v>2024</v>
      </c>
      <c r="FH10" s="105">
        <f t="shared" si="18"/>
        <v>298</v>
      </c>
      <c r="FI10" s="105">
        <f t="shared" si="18"/>
        <v>466</v>
      </c>
      <c r="FJ10" s="105">
        <f t="shared" si="18"/>
        <v>750</v>
      </c>
      <c r="FK10" s="105">
        <f t="shared" si="18"/>
        <v>0</v>
      </c>
      <c r="FL10" s="105">
        <f>FL43-FL42</f>
        <v>0</v>
      </c>
      <c r="FM10" s="105">
        <f>FM43-FM42</f>
        <v>0</v>
      </c>
      <c r="FN10" s="124">
        <f t="shared" si="75"/>
        <v>1679.6666666667443</v>
      </c>
      <c r="FO10" s="77">
        <v>1020894</v>
      </c>
      <c r="FP10" s="353"/>
      <c r="FY10" s="119">
        <v>5</v>
      </c>
      <c r="FZ10" s="107">
        <v>3949</v>
      </c>
      <c r="GA10" s="107">
        <v>188</v>
      </c>
      <c r="GB10" s="108">
        <f>GA10/FZ10/0.1</f>
        <v>0.4760698911116738</v>
      </c>
      <c r="GC10" s="109"/>
      <c r="GD10" s="110"/>
      <c r="GE10" s="110"/>
      <c r="GF10" s="111"/>
      <c r="GG10" s="111"/>
      <c r="GH10" s="111"/>
      <c r="GI10" s="112"/>
      <c r="GJ10" s="111">
        <f t="shared" si="61"/>
        <v>1371.6473404255321</v>
      </c>
      <c r="GK10" s="113"/>
    </row>
    <row r="11" spans="1:194" s="119" customFormat="1" ht="15.75" customHeight="1">
      <c r="B11" s="354">
        <f t="shared" si="62"/>
        <v>42892</v>
      </c>
      <c r="D11" s="128">
        <v>4296</v>
      </c>
      <c r="E11" s="128">
        <v>3240</v>
      </c>
      <c r="F11" s="128">
        <v>2395.7280000000001</v>
      </c>
      <c r="G11" s="86">
        <v>2658.1120000000001</v>
      </c>
      <c r="H11" s="86">
        <v>6522.4049999999997</v>
      </c>
      <c r="I11" s="86">
        <v>1429.11</v>
      </c>
      <c r="J11" s="86">
        <v>6124.68</v>
      </c>
      <c r="K11" s="86"/>
      <c r="L11" s="86">
        <v>204.36</v>
      </c>
      <c r="M11" s="115">
        <f t="shared" si="19"/>
        <v>7553.79</v>
      </c>
      <c r="N11" s="88">
        <f t="shared" si="1"/>
        <v>19112.244999999999</v>
      </c>
      <c r="O11" s="88">
        <f>N11+L11+K11+((J11+I11)*0.5)</f>
        <v>23093.5</v>
      </c>
      <c r="P11" s="89">
        <f t="shared" si="21"/>
        <v>81044.961500000005</v>
      </c>
      <c r="R11" s="170">
        <f t="shared" si="22"/>
        <v>169</v>
      </c>
      <c r="S11" s="170">
        <f t="shared" si="23"/>
        <v>112</v>
      </c>
      <c r="T11" s="170">
        <f t="shared" si="2"/>
        <v>465.4</v>
      </c>
      <c r="U11" s="91">
        <f t="shared" ref="U11:U35" si="76">IF(FB11=0,"",((EN11-EN10)/10))</f>
        <v>3.2900000000001457</v>
      </c>
      <c r="V11" s="170">
        <f t="shared" si="24"/>
        <v>1380</v>
      </c>
      <c r="W11" s="91">
        <f t="shared" si="3"/>
        <v>122.9</v>
      </c>
      <c r="X11" s="170">
        <f t="shared" si="25"/>
        <v>1380</v>
      </c>
      <c r="Y11" s="170">
        <f t="shared" si="26"/>
        <v>17.399999999999999</v>
      </c>
      <c r="Z11" s="170">
        <f t="shared" si="4"/>
        <v>118.1</v>
      </c>
      <c r="AA11" s="170">
        <f t="shared" si="27"/>
        <v>2129.69</v>
      </c>
      <c r="AB11" s="170">
        <f t="shared" si="28"/>
        <v>146</v>
      </c>
      <c r="AC11" s="170">
        <f t="shared" si="28"/>
        <v>52</v>
      </c>
      <c r="AD11" s="170">
        <f t="shared" si="29"/>
        <v>360</v>
      </c>
      <c r="AE11" s="170">
        <f t="shared" si="30"/>
        <v>162</v>
      </c>
      <c r="AF11" s="170">
        <f t="shared" si="31"/>
        <v>120</v>
      </c>
      <c r="AG11" s="170">
        <f t="shared" si="31"/>
        <v>23</v>
      </c>
      <c r="AH11" s="170">
        <f t="shared" si="32"/>
        <v>210</v>
      </c>
      <c r="AI11" s="170">
        <f t="shared" si="33"/>
        <v>67</v>
      </c>
      <c r="AJ11" s="170">
        <f t="shared" si="34"/>
        <v>172</v>
      </c>
      <c r="AK11" s="170">
        <f t="shared" si="34"/>
        <v>11.69999999999709</v>
      </c>
      <c r="AL11" s="170">
        <f t="shared" si="35"/>
        <v>227</v>
      </c>
      <c r="AM11" s="170">
        <f t="shared" si="36"/>
        <v>43.30000000000291</v>
      </c>
      <c r="AN11" s="170">
        <f t="shared" si="37"/>
        <v>0</v>
      </c>
      <c r="AO11" s="170">
        <f t="shared" si="5"/>
        <v>6</v>
      </c>
      <c r="AP11" s="170">
        <f t="shared" si="38"/>
        <v>86</v>
      </c>
      <c r="AQ11" s="170">
        <f t="shared" si="6"/>
        <v>94</v>
      </c>
      <c r="AR11" s="170">
        <f t="shared" si="39"/>
        <v>95.498000000000005</v>
      </c>
      <c r="AS11" s="170">
        <f t="shared" si="40"/>
        <v>87.498000000000047</v>
      </c>
      <c r="AT11" s="170">
        <f t="shared" si="41"/>
        <v>737.49800000000005</v>
      </c>
      <c r="AU11" s="170">
        <f t="shared" si="63"/>
        <v>235</v>
      </c>
      <c r="AV11" s="170">
        <f t="shared" si="64"/>
        <v>0</v>
      </c>
      <c r="AW11" s="170">
        <f t="shared" si="65"/>
        <v>415</v>
      </c>
      <c r="AX11" s="170">
        <f t="shared" si="66"/>
        <v>29</v>
      </c>
      <c r="AY11" s="170"/>
      <c r="AZ11" s="170">
        <f t="shared" si="42"/>
        <v>299</v>
      </c>
      <c r="BA11" s="170">
        <v>59</v>
      </c>
      <c r="BB11" s="170">
        <f t="shared" si="43"/>
        <v>88</v>
      </c>
      <c r="BC11" s="170">
        <f t="shared" si="43"/>
        <v>611</v>
      </c>
      <c r="BD11" s="91">
        <f t="shared" si="44"/>
        <v>267</v>
      </c>
      <c r="BE11" s="90"/>
      <c r="BF11" s="90"/>
      <c r="BG11" s="90">
        <f t="shared" si="7"/>
        <v>998</v>
      </c>
      <c r="BH11" s="90">
        <f t="shared" si="45"/>
        <v>532</v>
      </c>
      <c r="BI11" s="90">
        <f t="shared" si="8"/>
        <v>1801.8119999999999</v>
      </c>
      <c r="BJ11" s="90">
        <f t="shared" si="46"/>
        <v>4791.1880000000001</v>
      </c>
      <c r="BK11" s="92"/>
      <c r="BL11" s="93">
        <f t="shared" si="67"/>
        <v>7125</v>
      </c>
      <c r="BM11" s="93">
        <f t="shared" si="47"/>
        <v>41054</v>
      </c>
      <c r="BN11" s="92"/>
      <c r="BO11" s="94">
        <f t="shared" si="48"/>
        <v>8.8424986180325751E-2</v>
      </c>
      <c r="BP11" s="94">
        <f t="shared" si="48"/>
        <v>5.8601174273351986E-2</v>
      </c>
      <c r="BQ11" s="94">
        <f t="shared" si="49"/>
        <v>0.2435088080965894</v>
      </c>
      <c r="BR11" s="94">
        <f t="shared" si="68"/>
        <v>0.72205018301094404</v>
      </c>
      <c r="BS11" s="94">
        <f t="shared" si="9"/>
        <v>9.104111003181467E-3</v>
      </c>
      <c r="BT11" s="94">
        <f t="shared" si="9"/>
        <v>6.1792845372168476E-2</v>
      </c>
      <c r="BU11" s="95">
        <f t="shared" si="9"/>
        <v>1.114306561055491</v>
      </c>
      <c r="BV11" s="94">
        <f t="shared" si="10"/>
        <v>7.3180765150366991E-2</v>
      </c>
      <c r="BW11" s="94">
        <f t="shared" si="10"/>
        <v>4.8498495247580486E-2</v>
      </c>
      <c r="BX11" s="94">
        <f t="shared" si="10"/>
        <v>0.20152856864485677</v>
      </c>
      <c r="BY11" s="94">
        <f t="shared" si="50"/>
        <v>0.59757074501483098</v>
      </c>
      <c r="BZ11" s="95">
        <f t="shared" si="11"/>
        <v>0.9222032173555329</v>
      </c>
      <c r="CA11" s="96" t="e">
        <f>#REF!</f>
        <v>#REF!</v>
      </c>
      <c r="CB11" s="94">
        <f t="shared" si="51"/>
        <v>4.1352761599584301E-2</v>
      </c>
      <c r="CC11" s="95">
        <f t="shared" si="51"/>
        <v>3.788858336761429E-2</v>
      </c>
      <c r="CD11" s="97">
        <f t="shared" si="12"/>
        <v>0.12642395406809032</v>
      </c>
      <c r="CE11" s="98">
        <f t="shared" si="12"/>
        <v>0.11583324397421697</v>
      </c>
      <c r="CF11" s="97">
        <f t="shared" si="52"/>
        <v>0.33985102420856611</v>
      </c>
      <c r="CG11" s="94">
        <f t="shared" si="52"/>
        <v>0.12104283054003724</v>
      </c>
      <c r="CH11" s="95">
        <f t="shared" si="53"/>
        <v>0.83798882681564235</v>
      </c>
      <c r="CI11" s="96" t="e">
        <f>#REF!</f>
        <v>#REF!</v>
      </c>
      <c r="CJ11" s="94">
        <f t="shared" si="54"/>
        <v>0.37037037037037035</v>
      </c>
      <c r="CK11" s="94">
        <f t="shared" si="54"/>
        <v>7.098765432098765E-2</v>
      </c>
      <c r="CL11" s="95">
        <f t="shared" si="69"/>
        <v>0.64814814814814814</v>
      </c>
      <c r="CM11" s="95" t="e">
        <f>#REF!</f>
        <v>#REF!</v>
      </c>
      <c r="CN11" s="94">
        <f t="shared" si="55"/>
        <v>0.71794460806902949</v>
      </c>
      <c r="CO11" s="94">
        <f t="shared" si="55"/>
        <v>4.8836929734916025E-2</v>
      </c>
      <c r="CP11" s="95">
        <f t="shared" si="56"/>
        <v>0.94751991878877728</v>
      </c>
      <c r="CQ11" s="95" t="e">
        <f>#REF!</f>
        <v>#REF!</v>
      </c>
      <c r="CR11" s="97">
        <f t="shared" si="70"/>
        <v>0</v>
      </c>
      <c r="CS11" s="95">
        <f t="shared" si="70"/>
        <v>2.2572412298654081E-2</v>
      </c>
      <c r="CT11" s="96" t="e">
        <f>#REF!</f>
        <v>#REF!</v>
      </c>
      <c r="CU11" s="97">
        <f t="shared" si="71"/>
        <v>0.13185320445449186</v>
      </c>
      <c r="CV11" s="95">
        <f t="shared" si="57"/>
        <v>0.14411861882235158</v>
      </c>
      <c r="CW11" s="96" t="e">
        <f>#REF!</f>
        <v>#REF!</v>
      </c>
      <c r="CX11" s="97">
        <f t="shared" si="58"/>
        <v>0.10176023556411977</v>
      </c>
      <c r="CY11" s="98">
        <f t="shared" si="58"/>
        <v>0</v>
      </c>
      <c r="CZ11" s="97">
        <f t="shared" si="58"/>
        <v>0.17970424578344554</v>
      </c>
      <c r="DA11" s="98">
        <f t="shared" si="58"/>
        <v>1.2557646090891376E-2</v>
      </c>
      <c r="DB11" s="94">
        <f t="shared" si="13"/>
        <v>0.12947366141988004</v>
      </c>
      <c r="DC11" s="94">
        <f t="shared" si="14"/>
        <v>3.8105960551670384E-2</v>
      </c>
      <c r="DD11" s="94">
        <f t="shared" si="14"/>
        <v>0.26457661246671144</v>
      </c>
      <c r="DE11" s="94">
        <f t="shared" si="14"/>
        <v>0.11561694849199991</v>
      </c>
      <c r="DF11" s="94">
        <f t="shared" si="14"/>
        <v>0</v>
      </c>
      <c r="DG11" s="94">
        <f t="shared" si="14"/>
        <v>0</v>
      </c>
      <c r="DH11" s="95">
        <f t="shared" si="14"/>
        <v>0.43215623443826184</v>
      </c>
      <c r="DI11" s="96" t="e">
        <f>#REF!</f>
        <v>#REF!</v>
      </c>
      <c r="DJ11" s="95">
        <f t="shared" si="59"/>
        <v>0.23036785242600732</v>
      </c>
      <c r="DK11" s="96" t="e">
        <f>#REF!</f>
        <v>#REF!</v>
      </c>
      <c r="DL11" s="95">
        <f t="shared" si="60"/>
        <v>0.78022473856279906</v>
      </c>
      <c r="DM11" s="96">
        <f t="shared" si="15"/>
        <v>0</v>
      </c>
      <c r="DN11" s="94">
        <f t="shared" si="16"/>
        <v>2.074691146859506</v>
      </c>
      <c r="DO11" s="100">
        <v>3.4</v>
      </c>
      <c r="DP11" s="94">
        <f>IF($O11&lt;&gt;0,IF($O11&lt;&gt;0,BL11/$O11*10,0)," ")</f>
        <v>3.0852837378483122</v>
      </c>
      <c r="DQ11" s="94">
        <f t="shared" si="74"/>
        <v>5.0655832565236025</v>
      </c>
      <c r="DR11" s="101" t="str">
        <f t="shared" si="17"/>
        <v>3,315, hL/NhL</v>
      </c>
      <c r="DS11" s="116"/>
      <c r="DT11" s="103">
        <v>6</v>
      </c>
      <c r="DU11" s="76">
        <v>622031</v>
      </c>
      <c r="DV11" s="76">
        <v>25768</v>
      </c>
      <c r="DW11" s="77">
        <v>5123263</v>
      </c>
      <c r="DX11" s="129">
        <v>114812</v>
      </c>
      <c r="DY11" s="77">
        <v>84052</v>
      </c>
      <c r="DZ11" s="76">
        <v>387834</v>
      </c>
      <c r="EA11" s="76">
        <v>228045</v>
      </c>
      <c r="EB11" s="77">
        <v>53162.7</v>
      </c>
      <c r="EC11" s="77">
        <v>399243</v>
      </c>
      <c r="ED11" s="355">
        <v>46526</v>
      </c>
      <c r="EE11" s="104">
        <v>38206</v>
      </c>
      <c r="EF11" s="104">
        <v>41001</v>
      </c>
      <c r="EG11" s="76">
        <v>91466</v>
      </c>
      <c r="EH11" s="76">
        <v>180210</v>
      </c>
      <c r="EI11" s="355">
        <v>30937</v>
      </c>
      <c r="EJ11" s="77">
        <v>40127</v>
      </c>
      <c r="EK11" s="77"/>
      <c r="EL11" s="76">
        <v>694706</v>
      </c>
      <c r="EM11" s="77">
        <v>4654</v>
      </c>
      <c r="EN11" s="77">
        <v>42963.9</v>
      </c>
      <c r="EO11" s="76">
        <v>2975793</v>
      </c>
      <c r="EP11" s="77">
        <v>2754614</v>
      </c>
      <c r="EQ11" s="77">
        <v>174</v>
      </c>
      <c r="ER11" s="77">
        <v>1181</v>
      </c>
      <c r="ES11" s="124">
        <v>341541</v>
      </c>
      <c r="ET11" s="77">
        <v>8346837</v>
      </c>
      <c r="EU11" s="77">
        <v>414107</v>
      </c>
      <c r="EV11" s="77">
        <v>131519</v>
      </c>
      <c r="EW11" s="77">
        <v>101028</v>
      </c>
      <c r="EX11" s="76">
        <v>206181</v>
      </c>
      <c r="EY11" s="76">
        <v>1622518</v>
      </c>
      <c r="EZ11" s="76">
        <v>764274</v>
      </c>
      <c r="FA11" s="76">
        <v>741343</v>
      </c>
      <c r="FB11" s="77">
        <v>30311.8</v>
      </c>
      <c r="FC11" s="77">
        <v>6593</v>
      </c>
      <c r="FD11" s="77">
        <f>SUM(FE11:FM11)</f>
        <v>5343</v>
      </c>
      <c r="FE11" s="105">
        <f t="shared" si="18"/>
        <v>0</v>
      </c>
      <c r="FF11" s="105">
        <f t="shared" si="18"/>
        <v>0</v>
      </c>
      <c r="FG11" s="105">
        <f t="shared" si="18"/>
        <v>1994</v>
      </c>
      <c r="FH11" s="105">
        <f t="shared" si="18"/>
        <v>1476</v>
      </c>
      <c r="FI11" s="105">
        <f t="shared" si="18"/>
        <v>615</v>
      </c>
      <c r="FJ11" s="105">
        <f>FJ44-FJ43</f>
        <v>802</v>
      </c>
      <c r="FK11" s="105">
        <f t="shared" si="18"/>
        <v>0</v>
      </c>
      <c r="FL11" s="105">
        <f t="shared" si="18"/>
        <v>456</v>
      </c>
      <c r="FM11" s="105">
        <f t="shared" si="18"/>
        <v>0</v>
      </c>
      <c r="FN11" s="124">
        <f t="shared" si="75"/>
        <v>1782</v>
      </c>
      <c r="FO11" s="104">
        <v>1022676</v>
      </c>
      <c r="FP11" s="353"/>
      <c r="FY11" s="119">
        <v>6</v>
      </c>
      <c r="FZ11" s="107">
        <v>9080</v>
      </c>
      <c r="GA11" s="107">
        <v>1148</v>
      </c>
      <c r="GB11" s="108">
        <f>GA11/FZ11/0.1</f>
        <v>1.2643171806167399</v>
      </c>
      <c r="GC11" s="109"/>
      <c r="GD11" s="110"/>
      <c r="GE11" s="110"/>
      <c r="GF11" s="111"/>
      <c r="GG11" s="111"/>
      <c r="GH11" s="111"/>
      <c r="GI11" s="112"/>
      <c r="GJ11" s="111">
        <f t="shared" si="61"/>
        <v>1350.1358885017423</v>
      </c>
      <c r="GK11" s="113"/>
    </row>
    <row r="12" spans="1:194" s="119" customFormat="1" ht="15" customHeight="1">
      <c r="B12" s="354">
        <f t="shared" si="62"/>
        <v>42893</v>
      </c>
      <c r="D12" s="128">
        <v>4332</v>
      </c>
      <c r="E12" s="128">
        <v>1034.4000000000001</v>
      </c>
      <c r="F12" s="128">
        <v>2560.8960000000002</v>
      </c>
      <c r="G12" s="86"/>
      <c r="H12" s="86">
        <v>5981.3689999999997</v>
      </c>
      <c r="I12" s="86">
        <v>1960.8530000000001</v>
      </c>
      <c r="J12" s="86">
        <v>5508.36</v>
      </c>
      <c r="K12" s="86"/>
      <c r="L12" s="86">
        <v>613.08000000000004</v>
      </c>
      <c r="M12" s="115">
        <f t="shared" si="19"/>
        <v>7469.2129999999997</v>
      </c>
      <c r="N12" s="88">
        <f t="shared" si="1"/>
        <v>13908.665000000001</v>
      </c>
      <c r="O12" s="88">
        <f>N12+L12+K12+((J12+I12)*0.5)</f>
        <v>18256.351500000001</v>
      </c>
      <c r="P12" s="89">
        <f t="shared" si="21"/>
        <v>99301.313000000009</v>
      </c>
      <c r="R12" s="170">
        <f t="shared" si="22"/>
        <v>209</v>
      </c>
      <c r="S12" s="170">
        <f t="shared" si="23"/>
        <v>116.9</v>
      </c>
      <c r="T12" s="170">
        <f t="shared" si="2"/>
        <v>441.7</v>
      </c>
      <c r="U12" s="91">
        <f t="shared" si="76"/>
        <v>5.0900000000001455</v>
      </c>
      <c r="V12" s="170">
        <f t="shared" si="24"/>
        <v>1680</v>
      </c>
      <c r="W12" s="91">
        <f t="shared" si="3"/>
        <v>148.9</v>
      </c>
      <c r="X12" s="170">
        <f t="shared" si="25"/>
        <v>1680</v>
      </c>
      <c r="Y12" s="170" t="str">
        <f t="shared" si="26"/>
        <v>0</v>
      </c>
      <c r="Z12" s="170">
        <f t="shared" si="4"/>
        <v>174.2</v>
      </c>
      <c r="AA12" s="170">
        <f t="shared" si="27"/>
        <v>2452.69</v>
      </c>
      <c r="AB12" s="170">
        <f t="shared" si="28"/>
        <v>185</v>
      </c>
      <c r="AC12" s="170">
        <f t="shared" si="28"/>
        <v>48</v>
      </c>
      <c r="AD12" s="170">
        <f t="shared" si="29"/>
        <v>410</v>
      </c>
      <c r="AE12" s="170">
        <f t="shared" si="30"/>
        <v>177</v>
      </c>
      <c r="AF12" s="170">
        <f t="shared" si="31"/>
        <v>159</v>
      </c>
      <c r="AG12" s="170">
        <f t="shared" si="31"/>
        <v>77.399999999994179</v>
      </c>
      <c r="AH12" s="170">
        <f t="shared" si="32"/>
        <v>347</v>
      </c>
      <c r="AI12" s="170">
        <f t="shared" si="33"/>
        <v>110.60000000000582</v>
      </c>
      <c r="AJ12" s="170">
        <f t="shared" si="34"/>
        <v>168</v>
      </c>
      <c r="AK12" s="170">
        <f t="shared" si="34"/>
        <v>16.900000000001455</v>
      </c>
      <c r="AL12" s="170">
        <f t="shared" si="35"/>
        <v>274</v>
      </c>
      <c r="AM12" s="170">
        <f t="shared" si="36"/>
        <v>89.099999999998545</v>
      </c>
      <c r="AN12" s="170">
        <f t="shared" si="37"/>
        <v>0</v>
      </c>
      <c r="AO12" s="170">
        <f t="shared" si="5"/>
        <v>0</v>
      </c>
      <c r="AP12" s="170">
        <f t="shared" si="38"/>
        <v>41</v>
      </c>
      <c r="AQ12" s="170">
        <f t="shared" si="6"/>
        <v>41</v>
      </c>
      <c r="AR12" s="170">
        <f t="shared" si="39"/>
        <v>66.557000000000002</v>
      </c>
      <c r="AS12" s="170">
        <f t="shared" si="40"/>
        <v>163.55700000000002</v>
      </c>
      <c r="AT12" s="170">
        <f t="shared" si="41"/>
        <v>1127.557</v>
      </c>
      <c r="AU12" s="170">
        <f t="shared" si="63"/>
        <v>292</v>
      </c>
      <c r="AV12" s="170">
        <f t="shared" si="64"/>
        <v>0</v>
      </c>
      <c r="AW12" s="170">
        <f t="shared" si="65"/>
        <v>672</v>
      </c>
      <c r="AX12" s="170">
        <f t="shared" si="66"/>
        <v>0</v>
      </c>
      <c r="AY12" s="170"/>
      <c r="AZ12" s="170">
        <f t="shared" si="42"/>
        <v>380</v>
      </c>
      <c r="BA12" s="170">
        <v>64</v>
      </c>
      <c r="BB12" s="170">
        <f t="shared" si="43"/>
        <v>93</v>
      </c>
      <c r="BC12" s="170">
        <f t="shared" si="43"/>
        <v>961</v>
      </c>
      <c r="BD12" s="91">
        <f t="shared" si="44"/>
        <v>295</v>
      </c>
      <c r="BE12" s="90"/>
      <c r="BF12" s="90"/>
      <c r="BG12" s="90">
        <f t="shared" si="7"/>
        <v>1434</v>
      </c>
      <c r="BH12" s="90">
        <f t="shared" si="45"/>
        <v>-155</v>
      </c>
      <c r="BI12" s="90">
        <f t="shared" si="8"/>
        <v>1475.7529999999997</v>
      </c>
      <c r="BJ12" s="90">
        <f t="shared" si="46"/>
        <v>6086.2470000000003</v>
      </c>
      <c r="BK12" s="92"/>
      <c r="BL12" s="93">
        <f t="shared" si="67"/>
        <v>7407</v>
      </c>
      <c r="BM12" s="93">
        <f t="shared" si="47"/>
        <v>48461</v>
      </c>
      <c r="BN12" s="92"/>
      <c r="BO12" s="94">
        <f t="shared" si="48"/>
        <v>0.15026603919211512</v>
      </c>
      <c r="BP12" s="94">
        <f t="shared" si="48"/>
        <v>8.4048325270613677E-2</v>
      </c>
      <c r="BQ12" s="94">
        <f t="shared" si="49"/>
        <v>0.3175718158428576</v>
      </c>
      <c r="BR12" s="94">
        <f t="shared" si="68"/>
        <v>1.2078801236495378</v>
      </c>
      <c r="BS12" s="94">
        <f t="shared" si="9"/>
        <v>0</v>
      </c>
      <c r="BT12" s="94">
        <f t="shared" si="9"/>
        <v>0.12524566520223182</v>
      </c>
      <c r="BU12" s="95">
        <f t="shared" si="9"/>
        <v>1.7634258931392768</v>
      </c>
      <c r="BV12" s="94">
        <f t="shared" si="10"/>
        <v>0.1144807055232257</v>
      </c>
      <c r="BW12" s="94">
        <f t="shared" si="10"/>
        <v>6.403250945294299E-2</v>
      </c>
      <c r="BX12" s="94">
        <f t="shared" si="10"/>
        <v>0.24194319440004208</v>
      </c>
      <c r="BY12" s="94">
        <f t="shared" si="50"/>
        <v>0.92022768076085737</v>
      </c>
      <c r="BZ12" s="95">
        <f t="shared" si="11"/>
        <v>1.3434721609079447</v>
      </c>
      <c r="CA12" s="96" t="e">
        <f>#REF!</f>
        <v>#REF!</v>
      </c>
      <c r="CB12" s="94">
        <f t="shared" si="51"/>
        <v>3.6456901040714515E-2</v>
      </c>
      <c r="CC12" s="95">
        <f t="shared" si="51"/>
        <v>8.9589094513216408E-2</v>
      </c>
      <c r="CD12" s="97">
        <f t="shared" si="12"/>
        <v>8.9108450917118054E-2</v>
      </c>
      <c r="CE12" s="98">
        <f t="shared" si="12"/>
        <v>0.21897487727288006</v>
      </c>
      <c r="CF12" s="97">
        <f t="shared" si="52"/>
        <v>0.42705447830101573</v>
      </c>
      <c r="CG12" s="94">
        <f t="shared" si="52"/>
        <v>0.11080332409972299</v>
      </c>
      <c r="CH12" s="95">
        <f t="shared" si="53"/>
        <v>0.94644506001846718</v>
      </c>
      <c r="CI12" s="96" t="e">
        <f>#REF!</f>
        <v>#REF!</v>
      </c>
      <c r="CJ12" s="94">
        <f t="shared" si="54"/>
        <v>1.5371229698375868</v>
      </c>
      <c r="CK12" s="94">
        <f t="shared" si="54"/>
        <v>0.7482598607888068</v>
      </c>
      <c r="CL12" s="95">
        <f t="shared" si="69"/>
        <v>3.3546017014694507</v>
      </c>
      <c r="CM12" s="95" t="e">
        <f>#REF!</f>
        <v>#REF!</v>
      </c>
      <c r="CN12" s="94">
        <f t="shared" si="55"/>
        <v>0.65602039286249803</v>
      </c>
      <c r="CO12" s="94">
        <f t="shared" si="55"/>
        <v>6.5992527615340316E-2</v>
      </c>
      <c r="CP12" s="95">
        <f t="shared" si="56"/>
        <v>1.0699380216924075</v>
      </c>
      <c r="CQ12" s="95" t="e">
        <f>#REF!</f>
        <v>#REF!</v>
      </c>
      <c r="CR12" s="97" t="str">
        <f t="shared" si="70"/>
        <v xml:space="preserve">0,00 </v>
      </c>
      <c r="CS12" s="95" t="str">
        <f t="shared" si="70"/>
        <v xml:space="preserve">0,00 </v>
      </c>
      <c r="CT12" s="96" t="e">
        <f>#REF!</f>
        <v>#REF!</v>
      </c>
      <c r="CU12" s="97">
        <f t="shared" si="71"/>
        <v>6.8546180648610705E-2</v>
      </c>
      <c r="CV12" s="95">
        <f t="shared" si="57"/>
        <v>6.8546180648610705E-2</v>
      </c>
      <c r="CW12" s="96" t="e">
        <f>#REF!</f>
        <v>#REF!</v>
      </c>
      <c r="CX12" s="97">
        <f t="shared" si="58"/>
        <v>0.15994433498938712</v>
      </c>
      <c r="CY12" s="98">
        <f t="shared" si="58"/>
        <v>0</v>
      </c>
      <c r="CZ12" s="97">
        <f t="shared" si="58"/>
        <v>0.36809107230434296</v>
      </c>
      <c r="DA12" s="98">
        <f t="shared" si="58"/>
        <v>0</v>
      </c>
      <c r="DB12" s="94">
        <f t="shared" si="13"/>
        <v>0.20814673731495581</v>
      </c>
      <c r="DC12" s="94">
        <f t="shared" si="14"/>
        <v>5.0941175184976026E-2</v>
      </c>
      <c r="DD12" s="94">
        <f t="shared" si="14"/>
        <v>0.52639214357808561</v>
      </c>
      <c r="DE12" s="94">
        <f t="shared" si="14"/>
        <v>0.1615875987050315</v>
      </c>
      <c r="DF12" s="94">
        <f t="shared" si="14"/>
        <v>0</v>
      </c>
      <c r="DG12" s="94">
        <f t="shared" si="14"/>
        <v>0</v>
      </c>
      <c r="DH12" s="95">
        <f t="shared" si="14"/>
        <v>0.78548005607801752</v>
      </c>
      <c r="DI12" s="96" t="e">
        <f>#REF!</f>
        <v>#REF!</v>
      </c>
      <c r="DJ12" s="95">
        <f t="shared" si="59"/>
        <v>-8.4901958641626724E-2</v>
      </c>
      <c r="DK12" s="96" t="e">
        <f>#REF!</f>
        <v>#REF!</v>
      </c>
      <c r="DL12" s="95">
        <f t="shared" si="60"/>
        <v>0.80835045271778416</v>
      </c>
      <c r="DM12" s="96">
        <f t="shared" si="15"/>
        <v>0</v>
      </c>
      <c r="DN12" s="94">
        <f t="shared" si="16"/>
        <v>3.3337696198498366</v>
      </c>
      <c r="DO12" s="100">
        <v>3.4</v>
      </c>
      <c r="DP12" s="94">
        <f>IF($O12&lt;&gt;0,IF($O12&lt;&gt;0,BL12/$O12*10,0)," ")</f>
        <v>4.0572181139259946</v>
      </c>
      <c r="DQ12" s="94">
        <f t="shared" si="74"/>
        <v>4.8801973041383642</v>
      </c>
      <c r="DR12" s="101" t="str">
        <f t="shared" si="17"/>
        <v>3,315, hL/NhL</v>
      </c>
      <c r="DS12" s="116"/>
      <c r="DT12" s="134">
        <v>7</v>
      </c>
      <c r="DU12" s="76">
        <v>622216</v>
      </c>
      <c r="DV12" s="76">
        <v>25816</v>
      </c>
      <c r="DW12" s="135">
        <v>5123673</v>
      </c>
      <c r="DX12" s="136">
        <v>114971</v>
      </c>
      <c r="DY12" s="136">
        <v>84129.4</v>
      </c>
      <c r="DZ12" s="136">
        <v>388181</v>
      </c>
      <c r="EA12" s="136">
        <v>228213</v>
      </c>
      <c r="EB12" s="136">
        <v>53179.6</v>
      </c>
      <c r="EC12" s="136">
        <v>399517</v>
      </c>
      <c r="ED12" s="355">
        <v>46526</v>
      </c>
      <c r="EE12" s="136">
        <v>38206</v>
      </c>
      <c r="EF12" s="136">
        <v>41001</v>
      </c>
      <c r="EG12" s="135">
        <v>91507</v>
      </c>
      <c r="EH12" s="135">
        <v>180248</v>
      </c>
      <c r="EI12" s="356">
        <v>30937</v>
      </c>
      <c r="EJ12" s="303">
        <v>40127</v>
      </c>
      <c r="EK12" s="136"/>
      <c r="EL12" s="135">
        <v>694915</v>
      </c>
      <c r="EM12" s="136">
        <v>4417</v>
      </c>
      <c r="EN12" s="136">
        <v>43014.8</v>
      </c>
      <c r="EO12" s="135">
        <v>2977473</v>
      </c>
      <c r="EP12" s="136">
        <v>2756103</v>
      </c>
      <c r="EQ12" s="136">
        <v>0</v>
      </c>
      <c r="ER12" s="136">
        <v>1742</v>
      </c>
      <c r="ES12" s="136">
        <v>342602</v>
      </c>
      <c r="ET12" s="136">
        <v>8413394</v>
      </c>
      <c r="EU12" s="136">
        <v>414779</v>
      </c>
      <c r="EV12" s="136">
        <v>131811</v>
      </c>
      <c r="EW12" s="136">
        <v>101408</v>
      </c>
      <c r="EX12" s="135">
        <v>206274</v>
      </c>
      <c r="EY12" s="135">
        <v>1623479</v>
      </c>
      <c r="EZ12" s="135">
        <v>765443</v>
      </c>
      <c r="FA12" s="135">
        <v>741638</v>
      </c>
      <c r="FB12" s="136">
        <v>30370.9</v>
      </c>
      <c r="FC12" s="136">
        <v>7562</v>
      </c>
      <c r="FD12" s="104">
        <f t="shared" si="72"/>
        <v>5851</v>
      </c>
      <c r="FE12" s="105">
        <f t="shared" si="18"/>
        <v>0</v>
      </c>
      <c r="FF12" s="105">
        <f>FF45-FF44</f>
        <v>0</v>
      </c>
      <c r="FG12" s="105">
        <f>FG45-FG44</f>
        <v>1531</v>
      </c>
      <c r="FH12" s="105">
        <f>FH45-FH44</f>
        <v>1784</v>
      </c>
      <c r="FI12" s="105">
        <f>FI45-FI44</f>
        <v>480</v>
      </c>
      <c r="FJ12" s="105">
        <f>FJ45-FJ44</f>
        <v>780</v>
      </c>
      <c r="FK12" s="105">
        <f>FK45-FK44</f>
        <v>0</v>
      </c>
      <c r="FL12" s="105">
        <f>FL45-FL44</f>
        <v>1276</v>
      </c>
      <c r="FM12" s="105">
        <f>FM45-FM44</f>
        <v>0</v>
      </c>
      <c r="FN12" s="124">
        <f t="shared" si="75"/>
        <v>1556</v>
      </c>
      <c r="FO12" s="104">
        <v>1024232</v>
      </c>
      <c r="FP12" s="353"/>
      <c r="FY12" s="119">
        <v>7</v>
      </c>
      <c r="FZ12" s="107">
        <v>9087</v>
      </c>
      <c r="GA12" s="107">
        <v>1193</v>
      </c>
      <c r="GB12" s="108">
        <f>GA12/FZ12/0.1</f>
        <v>1.312864531748652</v>
      </c>
      <c r="GC12" s="109"/>
      <c r="GD12" s="110"/>
      <c r="GE12" s="110"/>
      <c r="GF12" s="111"/>
      <c r="GG12" s="111"/>
      <c r="GH12" s="111"/>
      <c r="GI12" s="112"/>
      <c r="GJ12" s="111">
        <f t="shared" si="61"/>
        <v>1032.0943000838222</v>
      </c>
      <c r="GK12" s="113"/>
    </row>
    <row r="13" spans="1:194" s="119" customFormat="1" ht="15" customHeight="1">
      <c r="B13" s="354">
        <f t="shared" si="62"/>
        <v>42894</v>
      </c>
      <c r="D13" s="128">
        <v>4716</v>
      </c>
      <c r="E13" s="128">
        <v>3468</v>
      </c>
      <c r="F13" s="128">
        <v>2781.2880000000005</v>
      </c>
      <c r="G13" s="86"/>
      <c r="H13" s="86">
        <v>6549.48</v>
      </c>
      <c r="I13" s="86">
        <v>1818.3119999999999</v>
      </c>
      <c r="J13" s="86">
        <v>4968.12</v>
      </c>
      <c r="K13" s="86"/>
      <c r="L13" s="86">
        <v>368.76799999999997</v>
      </c>
      <c r="M13" s="115">
        <f t="shared" si="19"/>
        <v>6786.4319999999998</v>
      </c>
      <c r="N13" s="88">
        <f t="shared" si="1"/>
        <v>17514.768</v>
      </c>
      <c r="O13" s="88">
        <f>N13+L13+K13+((J13+I13)*0.5)</f>
        <v>21276.752</v>
      </c>
      <c r="P13" s="89">
        <f t="shared" si="21"/>
        <v>120578.065</v>
      </c>
      <c r="R13" s="170">
        <f t="shared" si="22"/>
        <v>273</v>
      </c>
      <c r="S13" s="170">
        <f t="shared" si="23"/>
        <v>67.099999999999994</v>
      </c>
      <c r="T13" s="170">
        <f t="shared" si="2"/>
        <v>615.4</v>
      </c>
      <c r="U13" s="91">
        <f t="shared" si="76"/>
        <v>4.7399999999994176</v>
      </c>
      <c r="V13" s="170">
        <f t="shared" si="24"/>
        <v>1253</v>
      </c>
      <c r="W13" s="91">
        <f t="shared" si="3"/>
        <v>111.9</v>
      </c>
      <c r="X13" s="170">
        <f t="shared" si="25"/>
        <v>1253</v>
      </c>
      <c r="Y13" s="170" t="str">
        <f t="shared" si="26"/>
        <v>0</v>
      </c>
      <c r="Z13" s="170">
        <f t="shared" si="4"/>
        <v>133.80000000000001</v>
      </c>
      <c r="AA13" s="170">
        <f t="shared" si="27"/>
        <v>2213.2399999999993</v>
      </c>
      <c r="AB13" s="170">
        <f t="shared" si="28"/>
        <v>173</v>
      </c>
      <c r="AC13" s="170">
        <f t="shared" si="28"/>
        <v>35</v>
      </c>
      <c r="AD13" s="170">
        <f t="shared" si="29"/>
        <v>347</v>
      </c>
      <c r="AE13" s="170">
        <f t="shared" si="30"/>
        <v>139</v>
      </c>
      <c r="AF13" s="170">
        <f t="shared" si="31"/>
        <v>133</v>
      </c>
      <c r="AG13" s="170">
        <f t="shared" si="31"/>
        <v>23.400000000008731</v>
      </c>
      <c r="AH13" s="170">
        <f t="shared" si="32"/>
        <v>240</v>
      </c>
      <c r="AI13" s="170">
        <f t="shared" si="33"/>
        <v>83.599999999991269</v>
      </c>
      <c r="AJ13" s="170">
        <f t="shared" si="34"/>
        <v>151</v>
      </c>
      <c r="AK13" s="170">
        <f t="shared" si="34"/>
        <v>13.5</v>
      </c>
      <c r="AL13" s="170">
        <f t="shared" si="35"/>
        <v>232</v>
      </c>
      <c r="AM13" s="170">
        <f t="shared" si="36"/>
        <v>67.5</v>
      </c>
      <c r="AN13" s="170">
        <f t="shared" si="37"/>
        <v>7</v>
      </c>
      <c r="AO13" s="170">
        <f t="shared" si="5"/>
        <v>0</v>
      </c>
      <c r="AP13" s="170">
        <f t="shared" si="38"/>
        <v>22</v>
      </c>
      <c r="AQ13" s="170">
        <f t="shared" si="6"/>
        <v>50</v>
      </c>
      <c r="AR13" s="170">
        <f t="shared" si="39"/>
        <v>110.286</v>
      </c>
      <c r="AS13" s="170">
        <f t="shared" si="40"/>
        <v>169.28600000000006</v>
      </c>
      <c r="AT13" s="170">
        <f t="shared" si="41"/>
        <v>722.28600000000006</v>
      </c>
      <c r="AU13" s="170">
        <f t="shared" si="63"/>
        <v>257</v>
      </c>
      <c r="AV13" s="170">
        <f t="shared" si="64"/>
        <v>0</v>
      </c>
      <c r="AW13" s="170">
        <f t="shared" si="65"/>
        <v>296</v>
      </c>
      <c r="AX13" s="170">
        <f t="shared" si="66"/>
        <v>0</v>
      </c>
      <c r="AY13" s="170"/>
      <c r="AZ13" s="170">
        <f t="shared" si="42"/>
        <v>300</v>
      </c>
      <c r="BA13" s="170">
        <v>53</v>
      </c>
      <c r="BB13" s="170">
        <f t="shared" si="43"/>
        <v>85</v>
      </c>
      <c r="BC13" s="170">
        <f t="shared" si="43"/>
        <v>829</v>
      </c>
      <c r="BD13" s="91">
        <f t="shared" si="44"/>
        <v>48</v>
      </c>
      <c r="BE13" s="90"/>
      <c r="BF13" s="90"/>
      <c r="BG13" s="90">
        <f t="shared" si="7"/>
        <v>1214</v>
      </c>
      <c r="BH13" s="90">
        <f>BL13-FC13</f>
        <v>-593</v>
      </c>
      <c r="BI13" s="90">
        <f t="shared" si="8"/>
        <v>1293.4740000000002</v>
      </c>
      <c r="BJ13" s="90">
        <f t="shared" si="46"/>
        <v>5018.5259999999998</v>
      </c>
      <c r="BK13" s="92"/>
      <c r="BL13" s="93">
        <f t="shared" si="67"/>
        <v>5719</v>
      </c>
      <c r="BM13" s="93">
        <f t="shared" si="47"/>
        <v>54180</v>
      </c>
      <c r="BN13" s="92"/>
      <c r="BO13" s="94">
        <f t="shared" si="48"/>
        <v>0.15586846482922298</v>
      </c>
      <c r="BP13" s="94">
        <f t="shared" si="48"/>
        <v>3.8310527436047112E-2</v>
      </c>
      <c r="BQ13" s="94">
        <f t="shared" si="49"/>
        <v>0.35136063463701028</v>
      </c>
      <c r="BR13" s="94">
        <f t="shared" si="68"/>
        <v>0.71539628729310034</v>
      </c>
      <c r="BS13" s="94">
        <f t="shared" si="9"/>
        <v>0</v>
      </c>
      <c r="BT13" s="94">
        <f t="shared" si="9"/>
        <v>7.6392676169047741E-2</v>
      </c>
      <c r="BU13" s="95">
        <f t="shared" si="9"/>
        <v>1.2636422018264812</v>
      </c>
      <c r="BV13" s="94">
        <f t="shared" si="10"/>
        <v>0.12830905769828027</v>
      </c>
      <c r="BW13" s="94">
        <f t="shared" si="10"/>
        <v>3.153676839397291E-2</v>
      </c>
      <c r="BX13" s="94">
        <f t="shared" si="10"/>
        <v>0.28923587585172772</v>
      </c>
      <c r="BY13" s="94">
        <f t="shared" si="50"/>
        <v>0.5889056750767222</v>
      </c>
      <c r="BZ13" s="95">
        <f t="shared" si="11"/>
        <v>1.0402151606598597</v>
      </c>
      <c r="CA13" s="96" t="e">
        <f>#REF!</f>
        <v>#REF!</v>
      </c>
      <c r="CB13" s="94">
        <f t="shared" si="51"/>
        <v>5.1834039330815151E-2</v>
      </c>
      <c r="CC13" s="95">
        <f t="shared" si="51"/>
        <v>7.9563835683190767E-2</v>
      </c>
      <c r="CD13" s="97">
        <f t="shared" si="12"/>
        <v>0.16250954846375829</v>
      </c>
      <c r="CE13" s="98">
        <f t="shared" si="12"/>
        <v>0.24944772157151218</v>
      </c>
      <c r="CF13" s="97">
        <f t="shared" si="52"/>
        <v>0.3668363019508058</v>
      </c>
      <c r="CG13" s="94">
        <f t="shared" si="52"/>
        <v>7.4215436810856655E-2</v>
      </c>
      <c r="CH13" s="95">
        <f t="shared" si="53"/>
        <v>0.73579304495335029</v>
      </c>
      <c r="CI13" s="96" t="e">
        <f>#REF!</f>
        <v>#REF!</v>
      </c>
      <c r="CJ13" s="94">
        <f t="shared" si="54"/>
        <v>0.3835063437139562</v>
      </c>
      <c r="CK13" s="94">
        <f t="shared" si="54"/>
        <v>6.7474048442931742E-2</v>
      </c>
      <c r="CL13" s="95">
        <f t="shared" si="69"/>
        <v>0.69204152249134954</v>
      </c>
      <c r="CM13" s="95" t="e">
        <f>#REF!</f>
        <v>#REF!</v>
      </c>
      <c r="CN13" s="94">
        <f t="shared" si="55"/>
        <v>0.54291393052427495</v>
      </c>
      <c r="CO13" s="94">
        <f t="shared" si="55"/>
        <v>4.853866266276631E-2</v>
      </c>
      <c r="CP13" s="95">
        <f t="shared" si="56"/>
        <v>0.83414590650087284</v>
      </c>
      <c r="CQ13" s="95" t="e">
        <f>#REF!</f>
        <v>#REF!</v>
      </c>
      <c r="CR13" s="97" t="str">
        <f t="shared" si="70"/>
        <v xml:space="preserve">0,00 </v>
      </c>
      <c r="CS13" s="95" t="str">
        <f t="shared" si="70"/>
        <v xml:space="preserve">0,00 </v>
      </c>
      <c r="CT13" s="96" t="e">
        <f>#REF!</f>
        <v>#REF!</v>
      </c>
      <c r="CU13" s="97">
        <f t="shared" si="71"/>
        <v>3.3590452982526858E-2</v>
      </c>
      <c r="CV13" s="95">
        <f t="shared" si="57"/>
        <v>7.6341938596651948E-2</v>
      </c>
      <c r="CW13" s="96" t="e">
        <f>#REF!</f>
        <v>#REF!</v>
      </c>
      <c r="CX13" s="97">
        <f t="shared" si="58"/>
        <v>0.12078911292475469</v>
      </c>
      <c r="CY13" s="98">
        <f t="shared" si="58"/>
        <v>0</v>
      </c>
      <c r="CZ13" s="97">
        <f t="shared" si="58"/>
        <v>0.1391189783102233</v>
      </c>
      <c r="DA13" s="98">
        <f t="shared" si="58"/>
        <v>0</v>
      </c>
      <c r="DB13" s="94">
        <f t="shared" si="13"/>
        <v>0.14099896450360469</v>
      </c>
      <c r="DC13" s="94">
        <f t="shared" si="14"/>
        <v>3.9949706609354659E-2</v>
      </c>
      <c r="DD13" s="94">
        <f t="shared" si="14"/>
        <v>0.38962713857829429</v>
      </c>
      <c r="DE13" s="94">
        <f t="shared" si="14"/>
        <v>2.2559834320576747E-2</v>
      </c>
      <c r="DF13" s="94">
        <f t="shared" si="14"/>
        <v>0</v>
      </c>
      <c r="DG13" s="94">
        <f t="shared" si="14"/>
        <v>0</v>
      </c>
      <c r="DH13" s="95">
        <f t="shared" si="14"/>
        <v>0.57057580969125365</v>
      </c>
      <c r="DI13" s="96" t="e">
        <f>#REF!</f>
        <v>#REF!</v>
      </c>
      <c r="DJ13" s="95">
        <f t="shared" si="59"/>
        <v>-0.27870795316879193</v>
      </c>
      <c r="DK13" s="96" t="e">
        <f>#REF!</f>
        <v>#REF!</v>
      </c>
      <c r="DL13" s="95">
        <f t="shared" si="60"/>
        <v>0.60792831537445202</v>
      </c>
      <c r="DM13" s="96">
        <f t="shared" si="15"/>
        <v>0</v>
      </c>
      <c r="DN13" s="94">
        <f t="shared" si="16"/>
        <v>2.3586898977813906</v>
      </c>
      <c r="DO13" s="100">
        <v>3.4</v>
      </c>
      <c r="DP13" s="94">
        <f t="shared" si="73"/>
        <v>2.687910259987051</v>
      </c>
      <c r="DQ13" s="94">
        <f t="shared" si="74"/>
        <v>4.4933545748971842</v>
      </c>
      <c r="DR13" s="101" t="str">
        <f t="shared" si="17"/>
        <v>3,315, hL/NhL</v>
      </c>
      <c r="DS13" s="116"/>
      <c r="DT13" s="134">
        <v>8</v>
      </c>
      <c r="DU13" s="76">
        <v>622389</v>
      </c>
      <c r="DV13" s="135">
        <v>25851</v>
      </c>
      <c r="DW13" s="135">
        <v>5124020</v>
      </c>
      <c r="DX13" s="136">
        <v>115104</v>
      </c>
      <c r="DY13" s="136">
        <v>84152.8</v>
      </c>
      <c r="DZ13" s="136">
        <v>388421</v>
      </c>
      <c r="EA13" s="136">
        <v>228364</v>
      </c>
      <c r="EB13" s="136">
        <v>53193.1</v>
      </c>
      <c r="EC13" s="136">
        <v>399749</v>
      </c>
      <c r="ED13" s="135">
        <v>46533</v>
      </c>
      <c r="EE13" s="303">
        <v>38206</v>
      </c>
      <c r="EF13" s="303">
        <v>41001</v>
      </c>
      <c r="EG13" s="135">
        <v>91529</v>
      </c>
      <c r="EH13" s="135">
        <v>180298</v>
      </c>
      <c r="EI13" s="357">
        <v>30937</v>
      </c>
      <c r="EJ13" s="303">
        <v>40127</v>
      </c>
      <c r="EK13" s="136"/>
      <c r="EL13" s="135">
        <v>695188</v>
      </c>
      <c r="EM13" s="135">
        <v>6154</v>
      </c>
      <c r="EN13" s="136">
        <v>43062.2</v>
      </c>
      <c r="EO13" s="135">
        <v>2978726</v>
      </c>
      <c r="EP13" s="136">
        <v>2757222</v>
      </c>
      <c r="EQ13" s="136">
        <v>0</v>
      </c>
      <c r="ER13" s="136">
        <v>1338</v>
      </c>
      <c r="ES13" s="139">
        <v>343214</v>
      </c>
      <c r="ET13" s="136">
        <v>8523680</v>
      </c>
      <c r="EU13" s="136">
        <v>415075</v>
      </c>
      <c r="EV13" s="136">
        <v>132068</v>
      </c>
      <c r="EW13" s="136">
        <v>101708</v>
      </c>
      <c r="EX13" s="135">
        <v>206359</v>
      </c>
      <c r="EY13" s="135">
        <v>1624308</v>
      </c>
      <c r="EZ13" s="140">
        <v>766114</v>
      </c>
      <c r="FA13" s="140">
        <v>741686</v>
      </c>
      <c r="FB13" s="136">
        <v>30425</v>
      </c>
      <c r="FC13" s="135">
        <v>6312</v>
      </c>
      <c r="FD13" s="104">
        <f t="shared" si="72"/>
        <v>4577</v>
      </c>
      <c r="FE13" s="105">
        <f t="shared" si="18"/>
        <v>0</v>
      </c>
      <c r="FF13" s="105">
        <f t="shared" si="18"/>
        <v>0</v>
      </c>
      <c r="FG13" s="105">
        <f t="shared" si="18"/>
        <v>1703</v>
      </c>
      <c r="FH13" s="105">
        <f t="shared" si="18"/>
        <v>732</v>
      </c>
      <c r="FI13" s="105">
        <f t="shared" si="18"/>
        <v>547</v>
      </c>
      <c r="FJ13" s="105">
        <f t="shared" si="18"/>
        <v>818</v>
      </c>
      <c r="FK13" s="105">
        <f t="shared" si="18"/>
        <v>0</v>
      </c>
      <c r="FL13" s="105">
        <f>FL46-FL45</f>
        <v>777</v>
      </c>
      <c r="FM13" s="105">
        <f t="shared" si="18"/>
        <v>0</v>
      </c>
      <c r="FN13" s="124">
        <f t="shared" si="75"/>
        <v>1142</v>
      </c>
      <c r="FO13" s="104">
        <v>1025374</v>
      </c>
      <c r="FP13" s="353"/>
      <c r="FY13" s="119">
        <v>8</v>
      </c>
      <c r="FZ13" s="107">
        <v>8106</v>
      </c>
      <c r="GA13" s="107">
        <v>1522</v>
      </c>
      <c r="GB13" s="108">
        <f>GA13/FZ13/0.1</f>
        <v>1.8776215149272142</v>
      </c>
      <c r="GC13" s="109"/>
      <c r="GD13" s="110"/>
      <c r="GE13" s="110"/>
      <c r="GF13" s="111"/>
      <c r="GG13" s="111"/>
      <c r="GH13" s="111"/>
      <c r="GI13" s="112"/>
      <c r="GJ13" s="111">
        <f t="shared" si="61"/>
        <v>927.76951379763477</v>
      </c>
      <c r="GK13" s="113"/>
    </row>
    <row r="14" spans="1:194" s="141" customFormat="1" ht="15" customHeight="1">
      <c r="B14" s="354">
        <f t="shared" si="62"/>
        <v>42895</v>
      </c>
      <c r="D14" s="86">
        <v>5889.12</v>
      </c>
      <c r="E14" s="128">
        <v>5760</v>
      </c>
      <c r="F14" s="128">
        <v>667.29600000000005</v>
      </c>
      <c r="G14" s="86"/>
      <c r="H14" s="86">
        <v>5042.16</v>
      </c>
      <c r="I14" s="86">
        <v>1946.462</v>
      </c>
      <c r="J14" s="86">
        <v>4893.3599999999997</v>
      </c>
      <c r="K14" s="86"/>
      <c r="L14" s="86">
        <v>441</v>
      </c>
      <c r="M14" s="115">
        <f>I14+J14</f>
        <v>6839.8220000000001</v>
      </c>
      <c r="N14" s="88">
        <f>SUM(D14:H14)</f>
        <v>17358.576000000001</v>
      </c>
      <c r="O14" s="88">
        <f>N14+L14+K14+((J14+I14)*0.5)</f>
        <v>21219.487000000001</v>
      </c>
      <c r="P14" s="89">
        <f t="shared" si="21"/>
        <v>141797.552</v>
      </c>
      <c r="R14" s="170">
        <f t="shared" si="22"/>
        <v>272</v>
      </c>
      <c r="S14" s="170">
        <f t="shared" si="23"/>
        <v>51.3</v>
      </c>
      <c r="T14" s="170">
        <f t="shared" si="2"/>
        <v>382.1</v>
      </c>
      <c r="U14" s="91">
        <f t="shared" si="76"/>
        <v>5.4800000000002909</v>
      </c>
      <c r="V14" s="170">
        <f t="shared" si="24"/>
        <v>1405</v>
      </c>
      <c r="W14" s="91">
        <f t="shared" si="3"/>
        <v>125.1</v>
      </c>
      <c r="X14" s="170">
        <f t="shared" si="25"/>
        <v>1405</v>
      </c>
      <c r="Y14" s="170" t="str">
        <f t="shared" si="26"/>
        <v>0</v>
      </c>
      <c r="Z14" s="170">
        <f t="shared" si="4"/>
        <v>166.8</v>
      </c>
      <c r="AA14" s="170">
        <f t="shared" si="27"/>
        <v>2115.88</v>
      </c>
      <c r="AB14" s="170">
        <f t="shared" si="28"/>
        <v>174</v>
      </c>
      <c r="AC14" s="170">
        <f t="shared" si="28"/>
        <v>33</v>
      </c>
      <c r="AD14" s="170">
        <f t="shared" si="29"/>
        <v>381</v>
      </c>
      <c r="AE14" s="170">
        <f t="shared" si="30"/>
        <v>174</v>
      </c>
      <c r="AF14" s="170">
        <f t="shared" si="31"/>
        <v>128</v>
      </c>
      <c r="AG14" s="170">
        <f t="shared" si="31"/>
        <v>12.19999999999709</v>
      </c>
      <c r="AH14" s="170">
        <f t="shared" si="32"/>
        <v>229</v>
      </c>
      <c r="AI14" s="170">
        <f t="shared" si="33"/>
        <v>88.80000000000291</v>
      </c>
      <c r="AJ14" s="170">
        <f t="shared" si="34"/>
        <v>129</v>
      </c>
      <c r="AK14" s="170">
        <f t="shared" si="34"/>
        <v>6.9000000000014552</v>
      </c>
      <c r="AL14" s="170">
        <f t="shared" si="35"/>
        <v>151</v>
      </c>
      <c r="AM14" s="170">
        <f t="shared" si="36"/>
        <v>15.099999999998545</v>
      </c>
      <c r="AN14" s="170">
        <f t="shared" si="37"/>
        <v>119</v>
      </c>
      <c r="AO14" s="170">
        <f t="shared" si="5"/>
        <v>153</v>
      </c>
      <c r="AP14" s="170">
        <f t="shared" si="38"/>
        <v>27</v>
      </c>
      <c r="AQ14" s="170">
        <f t="shared" si="6"/>
        <v>66</v>
      </c>
      <c r="AR14" s="170">
        <f t="shared" si="39"/>
        <v>152.69999999999999</v>
      </c>
      <c r="AS14" s="170">
        <f t="shared" si="40"/>
        <v>210.70000000000005</v>
      </c>
      <c r="AT14" s="170">
        <f t="shared" si="41"/>
        <v>980.7</v>
      </c>
      <c r="AU14" s="170">
        <f t="shared" si="63"/>
        <v>296</v>
      </c>
      <c r="AV14" s="170">
        <f t="shared" si="64"/>
        <v>12</v>
      </c>
      <c r="AW14" s="170">
        <f t="shared" si="65"/>
        <v>474</v>
      </c>
      <c r="AX14" s="170">
        <f t="shared" si="66"/>
        <v>0</v>
      </c>
      <c r="AY14" s="170" t="str">
        <f t="shared" si="66"/>
        <v/>
      </c>
      <c r="AZ14" s="170">
        <f t="shared" si="42"/>
        <v>341</v>
      </c>
      <c r="BA14" s="170">
        <v>95</v>
      </c>
      <c r="BB14" s="170">
        <f t="shared" si="43"/>
        <v>89</v>
      </c>
      <c r="BC14" s="170">
        <f t="shared" si="43"/>
        <v>1089</v>
      </c>
      <c r="BD14" s="91">
        <f t="shared" si="44"/>
        <v>260</v>
      </c>
      <c r="BE14" s="90"/>
      <c r="BF14" s="90"/>
      <c r="BG14" s="90">
        <f t="shared" si="7"/>
        <v>1519</v>
      </c>
      <c r="BH14" s="90">
        <f t="shared" si="45"/>
        <v>791</v>
      </c>
      <c r="BI14" s="90">
        <f t="shared" si="8"/>
        <v>1035.42</v>
      </c>
      <c r="BJ14" s="90">
        <f t="shared" si="46"/>
        <v>5607.58</v>
      </c>
      <c r="BK14" s="92"/>
      <c r="BL14" s="93">
        <f>FD14+FN14</f>
        <v>7434</v>
      </c>
      <c r="BM14" s="93">
        <f t="shared" si="47"/>
        <v>61614</v>
      </c>
      <c r="BN14" s="92"/>
      <c r="BO14" s="94">
        <f t="shared" si="48"/>
        <v>0.15669488096258588</v>
      </c>
      <c r="BP14" s="94">
        <f t="shared" si="48"/>
        <v>2.955311541684064E-2</v>
      </c>
      <c r="BQ14" s="94">
        <f t="shared" si="49"/>
        <v>0.22012174270516199</v>
      </c>
      <c r="BR14" s="94">
        <f t="shared" si="68"/>
        <v>0.80939819026629833</v>
      </c>
      <c r="BS14" s="94">
        <f t="shared" si="9"/>
        <v>0</v>
      </c>
      <c r="BT14" s="94">
        <f t="shared" si="9"/>
        <v>9.6090831413821048E-2</v>
      </c>
      <c r="BU14" s="95">
        <f t="shared" si="9"/>
        <v>1.218924870334986</v>
      </c>
      <c r="BV14" s="94">
        <f t="shared" si="10"/>
        <v>0.1281840602461313</v>
      </c>
      <c r="BW14" s="94">
        <f t="shared" si="10"/>
        <v>2.417589077436226E-2</v>
      </c>
      <c r="BX14" s="94">
        <f t="shared" si="10"/>
        <v>0.18007032875017198</v>
      </c>
      <c r="BY14" s="94">
        <f t="shared" si="50"/>
        <v>0.66212722296255322</v>
      </c>
      <c r="BZ14" s="95">
        <f t="shared" si="11"/>
        <v>0.99714003453523647</v>
      </c>
      <c r="CA14" s="96" t="e">
        <f>#REF!</f>
        <v>#REF!</v>
      </c>
      <c r="CB14" s="94">
        <f t="shared" si="51"/>
        <v>7.1962154410236207E-2</v>
      </c>
      <c r="CC14" s="95">
        <f t="shared" si="51"/>
        <v>9.9295520198014214E-2</v>
      </c>
      <c r="CD14" s="97">
        <f t="shared" si="12"/>
        <v>0.22325142379436189</v>
      </c>
      <c r="CE14" s="98">
        <f t="shared" si="12"/>
        <v>0.30804895215109407</v>
      </c>
      <c r="CF14" s="97">
        <f t="shared" si="52"/>
        <v>0.29546010269785639</v>
      </c>
      <c r="CG14" s="94">
        <f t="shared" si="52"/>
        <v>5.6035536718558973E-2</v>
      </c>
      <c r="CH14" s="95">
        <f t="shared" si="53"/>
        <v>0.64695574211427176</v>
      </c>
      <c r="CI14" s="96" t="e">
        <f>#REF!</f>
        <v>#REF!</v>
      </c>
      <c r="CJ14" s="94">
        <f t="shared" si="54"/>
        <v>0.22222222222222224</v>
      </c>
      <c r="CK14" s="94">
        <f t="shared" si="54"/>
        <v>2.1180555555550502E-2</v>
      </c>
      <c r="CL14" s="95">
        <f t="shared" si="69"/>
        <v>0.39756944444444442</v>
      </c>
      <c r="CM14" s="95" t="e">
        <f>#REF!</f>
        <v>#REF!</v>
      </c>
      <c r="CN14" s="94">
        <f t="shared" si="55"/>
        <v>1.9331750827219105</v>
      </c>
      <c r="CO14" s="94">
        <f t="shared" si="55"/>
        <v>0.10340238814561237</v>
      </c>
      <c r="CP14" s="95">
        <f t="shared" si="56"/>
        <v>2.2628638565194454</v>
      </c>
      <c r="CQ14" s="95" t="e">
        <f>#REF!</f>
        <v>#REF!</v>
      </c>
      <c r="CR14" s="97" t="str">
        <f t="shared" si="70"/>
        <v xml:space="preserve">0,00 </v>
      </c>
      <c r="CS14" s="95" t="str">
        <f t="shared" si="70"/>
        <v xml:space="preserve">0,00 </v>
      </c>
      <c r="CT14" s="96" t="e">
        <f>#REF!</f>
        <v>#REF!</v>
      </c>
      <c r="CU14" s="97">
        <f t="shared" si="71"/>
        <v>5.354847922319006E-2</v>
      </c>
      <c r="CV14" s="95">
        <f t="shared" si="57"/>
        <v>0.1308962825455757</v>
      </c>
      <c r="CW14" s="96" t="e">
        <f>#REF!</f>
        <v>#REF!</v>
      </c>
      <c r="CX14" s="97">
        <f t="shared" si="58"/>
        <v>0.13949441850314287</v>
      </c>
      <c r="CY14" s="98">
        <f t="shared" si="58"/>
        <v>5.6551791285057926E-3</v>
      </c>
      <c r="CZ14" s="97">
        <f t="shared" si="58"/>
        <v>0.22337957557597879</v>
      </c>
      <c r="DA14" s="98">
        <f t="shared" si="58"/>
        <v>0</v>
      </c>
      <c r="DB14" s="94">
        <f t="shared" si="13"/>
        <v>0.1607013402350396</v>
      </c>
      <c r="DC14" s="94">
        <f t="shared" si="14"/>
        <v>4.194257853641796E-2</v>
      </c>
      <c r="DD14" s="94">
        <f t="shared" si="14"/>
        <v>0.51320750591190067</v>
      </c>
      <c r="DE14" s="94">
        <f t="shared" si="14"/>
        <v>0.1225288811176255</v>
      </c>
      <c r="DF14" s="94">
        <f t="shared" si="14"/>
        <v>0</v>
      </c>
      <c r="DG14" s="94">
        <f t="shared" si="14"/>
        <v>0</v>
      </c>
      <c r="DH14" s="95">
        <f t="shared" si="14"/>
        <v>0.71585142468335816</v>
      </c>
      <c r="DI14" s="96" t="e">
        <f>#REF!</f>
        <v>#REF!</v>
      </c>
      <c r="DJ14" s="95">
        <f t="shared" si="59"/>
        <v>0.37277055755400684</v>
      </c>
      <c r="DK14" s="96" t="e">
        <f>#REF!</f>
        <v>#REF!</v>
      </c>
      <c r="DL14" s="95">
        <f t="shared" si="60"/>
        <v>0.48795713110312233</v>
      </c>
      <c r="DM14" s="96">
        <f t="shared" si="15"/>
        <v>0</v>
      </c>
      <c r="DN14" s="94">
        <f t="shared" si="16"/>
        <v>2.6426557814522096</v>
      </c>
      <c r="DO14" s="100">
        <v>3.4</v>
      </c>
      <c r="DP14" s="94">
        <f t="shared" si="73"/>
        <v>3.5033834701093385</v>
      </c>
      <c r="DQ14" s="94">
        <f t="shared" si="74"/>
        <v>4.3452090061470177</v>
      </c>
      <c r="DR14" s="101" t="str">
        <f t="shared" si="17"/>
        <v>3,315, hL/NhL</v>
      </c>
      <c r="DT14" s="142">
        <v>9</v>
      </c>
      <c r="DU14" s="76">
        <v>622563</v>
      </c>
      <c r="DV14" s="143">
        <v>25884</v>
      </c>
      <c r="DW14" s="135">
        <v>5124401</v>
      </c>
      <c r="DX14" s="136">
        <v>115232</v>
      </c>
      <c r="DY14" s="136">
        <v>84165</v>
      </c>
      <c r="DZ14" s="136">
        <v>388650</v>
      </c>
      <c r="EA14" s="136">
        <v>228493</v>
      </c>
      <c r="EB14" s="136">
        <v>53200</v>
      </c>
      <c r="EC14" s="136">
        <v>399900</v>
      </c>
      <c r="ED14" s="135">
        <v>46652</v>
      </c>
      <c r="EE14" s="136">
        <v>41150</v>
      </c>
      <c r="EF14" s="136">
        <v>38210</v>
      </c>
      <c r="EG14" s="135">
        <v>91556</v>
      </c>
      <c r="EH14" s="135">
        <v>180364</v>
      </c>
      <c r="EI14" s="135">
        <v>30949</v>
      </c>
      <c r="EJ14" s="303">
        <v>40127</v>
      </c>
      <c r="EK14" s="136"/>
      <c r="EL14" s="135">
        <v>695460</v>
      </c>
      <c r="EM14" s="136">
        <v>3821</v>
      </c>
      <c r="EN14" s="136">
        <v>43117</v>
      </c>
      <c r="EO14" s="135">
        <v>2980131</v>
      </c>
      <c r="EP14" s="136">
        <v>2758473</v>
      </c>
      <c r="EQ14" s="136">
        <v>0</v>
      </c>
      <c r="ER14" s="136">
        <v>1668</v>
      </c>
      <c r="ES14" s="144">
        <v>344042</v>
      </c>
      <c r="ET14" s="136">
        <v>8676380</v>
      </c>
      <c r="EU14" s="136">
        <v>415549</v>
      </c>
      <c r="EV14" s="136">
        <v>132364</v>
      </c>
      <c r="EW14" s="136">
        <v>102049</v>
      </c>
      <c r="EX14" s="135">
        <v>206448</v>
      </c>
      <c r="EY14" s="135">
        <v>1625397</v>
      </c>
      <c r="EZ14" s="140">
        <v>766627</v>
      </c>
      <c r="FA14" s="140">
        <v>741946</v>
      </c>
      <c r="FB14" s="145">
        <v>30527</v>
      </c>
      <c r="FC14" s="146">
        <v>6643</v>
      </c>
      <c r="FD14" s="104">
        <f>SUM(FE14:FM14)</f>
        <v>5822</v>
      </c>
      <c r="FE14" s="105">
        <f t="shared" si="18"/>
        <v>0</v>
      </c>
      <c r="FF14" s="105">
        <f t="shared" si="18"/>
        <v>0</v>
      </c>
      <c r="FG14" s="105">
        <f t="shared" si="18"/>
        <v>1687</v>
      </c>
      <c r="FH14" s="105">
        <f t="shared" si="18"/>
        <v>2650</v>
      </c>
      <c r="FI14" s="105">
        <f t="shared" si="18"/>
        <v>648</v>
      </c>
      <c r="FJ14" s="105">
        <f t="shared" si="18"/>
        <v>837</v>
      </c>
      <c r="FK14" s="105">
        <f t="shared" si="18"/>
        <v>0</v>
      </c>
      <c r="FL14" s="105">
        <f>FL47-FL46</f>
        <v>0</v>
      </c>
      <c r="FM14" s="105">
        <f t="shared" si="18"/>
        <v>0</v>
      </c>
      <c r="FN14" s="124">
        <f t="shared" si="75"/>
        <v>1612</v>
      </c>
      <c r="FO14" s="303">
        <f>FO13+1612</f>
        <v>1026986</v>
      </c>
      <c r="FP14" s="353"/>
      <c r="FY14" s="141">
        <v>9</v>
      </c>
      <c r="FZ14" s="107"/>
      <c r="GA14" s="107">
        <v>660</v>
      </c>
      <c r="GB14" s="108"/>
      <c r="GC14" s="109"/>
      <c r="GD14" s="110"/>
      <c r="GE14" s="110"/>
      <c r="GF14" s="111"/>
      <c r="GG14" s="111"/>
      <c r="GH14" s="111"/>
      <c r="GI14" s="112"/>
      <c r="GJ14" s="111" t="e">
        <f t="shared" si="61"/>
        <v>#DIV/0!</v>
      </c>
      <c r="GK14" s="113"/>
    </row>
    <row r="15" spans="1:194" s="119" customFormat="1" ht="15" customHeight="1">
      <c r="A15" s="119" t="s">
        <v>125</v>
      </c>
      <c r="B15" s="354">
        <f t="shared" si="62"/>
        <v>42896</v>
      </c>
      <c r="D15" s="128">
        <v>5098.5600000000004</v>
      </c>
      <c r="E15" s="128">
        <v>5537.04</v>
      </c>
      <c r="F15" s="128">
        <v>3131.136</v>
      </c>
      <c r="G15" s="86">
        <v>161.98699999999999</v>
      </c>
      <c r="H15" s="86">
        <v>4345.5460000000003</v>
      </c>
      <c r="I15" s="86">
        <v>1931.5029999999999</v>
      </c>
      <c r="J15" s="86">
        <v>3782.28</v>
      </c>
      <c r="K15" s="86"/>
      <c r="L15" s="86">
        <v>369.6</v>
      </c>
      <c r="M15" s="115">
        <f t="shared" si="19"/>
        <v>5713.7830000000004</v>
      </c>
      <c r="N15" s="88">
        <f t="shared" si="1"/>
        <v>18274.269</v>
      </c>
      <c r="O15" s="88">
        <f t="shared" si="20"/>
        <v>21500.7605</v>
      </c>
      <c r="P15" s="89">
        <f t="shared" si="21"/>
        <v>163298.3125</v>
      </c>
      <c r="R15" s="170">
        <f t="shared" si="22"/>
        <v>218</v>
      </c>
      <c r="S15" s="170">
        <f t="shared" si="23"/>
        <v>50.7</v>
      </c>
      <c r="T15" s="170">
        <f t="shared" si="2"/>
        <v>452</v>
      </c>
      <c r="U15" s="91">
        <f t="shared" si="76"/>
        <v>5.0300000000002907</v>
      </c>
      <c r="V15" s="170">
        <f t="shared" si="24"/>
        <v>1278</v>
      </c>
      <c r="W15" s="91">
        <f t="shared" si="3"/>
        <v>113.6</v>
      </c>
      <c r="X15" s="170">
        <f t="shared" si="25"/>
        <v>1278</v>
      </c>
      <c r="Y15" s="170" t="str">
        <f t="shared" si="26"/>
        <v>0</v>
      </c>
      <c r="Z15" s="170">
        <f t="shared" si="4"/>
        <v>142.4</v>
      </c>
      <c r="AA15" s="170">
        <f t="shared" si="27"/>
        <v>2003.7300000000005</v>
      </c>
      <c r="AB15" s="170">
        <f t="shared" si="28"/>
        <v>0</v>
      </c>
      <c r="AC15" s="170">
        <f t="shared" si="28"/>
        <v>0</v>
      </c>
      <c r="AD15" s="170">
        <f t="shared" si="29"/>
        <v>285</v>
      </c>
      <c r="AE15" s="170">
        <f t="shared" si="30"/>
        <v>285</v>
      </c>
      <c r="AF15" s="170">
        <f t="shared" si="31"/>
        <v>136</v>
      </c>
      <c r="AG15" s="170">
        <f t="shared" si="31"/>
        <v>11.30000000000291</v>
      </c>
      <c r="AH15" s="170">
        <f t="shared" si="32"/>
        <v>249</v>
      </c>
      <c r="AI15" s="170">
        <f t="shared" si="33"/>
        <v>101.69999999999709</v>
      </c>
      <c r="AJ15" s="170">
        <f t="shared" si="34"/>
        <v>179</v>
      </c>
      <c r="AK15" s="170">
        <f t="shared" si="34"/>
        <v>41.5</v>
      </c>
      <c r="AL15" s="170">
        <f t="shared" si="35"/>
        <v>388</v>
      </c>
      <c r="AM15" s="170">
        <f t="shared" si="36"/>
        <v>167.5</v>
      </c>
      <c r="AN15" s="170">
        <f t="shared" si="37"/>
        <v>17</v>
      </c>
      <c r="AO15" s="170">
        <f t="shared" si="5"/>
        <v>21.69999999999709</v>
      </c>
      <c r="AP15" s="170">
        <f t="shared" si="38"/>
        <v>20</v>
      </c>
      <c r="AQ15" s="170">
        <f t="shared" si="6"/>
        <v>35</v>
      </c>
      <c r="AR15" s="170">
        <f t="shared" si="39"/>
        <v>90.18</v>
      </c>
      <c r="AS15" s="170">
        <f t="shared" si="40"/>
        <v>33.180000000000007</v>
      </c>
      <c r="AT15" s="170">
        <f t="shared" si="41"/>
        <v>498.18</v>
      </c>
      <c r="AU15" s="170">
        <f t="shared" si="63"/>
        <v>230</v>
      </c>
      <c r="AV15" s="170">
        <f t="shared" si="64"/>
        <v>59</v>
      </c>
      <c r="AW15" s="170">
        <f t="shared" si="65"/>
        <v>235</v>
      </c>
      <c r="AX15" s="170">
        <f t="shared" si="66"/>
        <v>0</v>
      </c>
      <c r="AY15" s="170" t="str">
        <f t="shared" si="66"/>
        <v/>
      </c>
      <c r="AZ15" s="170">
        <f t="shared" si="42"/>
        <v>343</v>
      </c>
      <c r="BA15" s="170">
        <v>40</v>
      </c>
      <c r="BB15" s="170">
        <f t="shared" si="43"/>
        <v>86</v>
      </c>
      <c r="BC15" s="170">
        <f t="shared" si="43"/>
        <v>836</v>
      </c>
      <c r="BD15" s="91">
        <f t="shared" si="44"/>
        <v>273</v>
      </c>
      <c r="BE15" s="90"/>
      <c r="BF15" s="90"/>
      <c r="BG15" s="90">
        <f t="shared" si="7"/>
        <v>1265</v>
      </c>
      <c r="BH15" s="90">
        <f t="shared" si="45"/>
        <v>782</v>
      </c>
      <c r="BI15" s="90">
        <f>IF(FC15=0,"",(FC15-BJ15))</f>
        <v>2148.3900000000021</v>
      </c>
      <c r="BJ15" s="90">
        <f t="shared" si="46"/>
        <v>4804.6099999999979</v>
      </c>
      <c r="BK15" s="92"/>
      <c r="BL15" s="93">
        <f>FD15+FN15</f>
        <v>7735</v>
      </c>
      <c r="BM15" s="93">
        <f t="shared" si="47"/>
        <v>69349</v>
      </c>
      <c r="BN15" s="92"/>
      <c r="BO15" s="94">
        <f t="shared" si="48"/>
        <v>0.11929341742753158</v>
      </c>
      <c r="BP15" s="94">
        <f t="shared" si="48"/>
        <v>2.7743927814568126E-2</v>
      </c>
      <c r="BQ15" s="94">
        <f t="shared" si="49"/>
        <v>0.24734231503323059</v>
      </c>
      <c r="BR15" s="94">
        <f t="shared" si="68"/>
        <v>0.69934397923112535</v>
      </c>
      <c r="BS15" s="94">
        <f t="shared" si="9"/>
        <v>0</v>
      </c>
      <c r="BT15" s="94">
        <f t="shared" si="9"/>
        <v>7.7923773585690359E-2</v>
      </c>
      <c r="BU15" s="95">
        <f t="shared" si="9"/>
        <v>1.0964761435874675</v>
      </c>
      <c r="BV15" s="94">
        <f t="shared" si="10"/>
        <v>0.10139176239835795</v>
      </c>
      <c r="BW15" s="94">
        <f t="shared" si="10"/>
        <v>2.3580561255030955E-2</v>
      </c>
      <c r="BX15" s="94">
        <f t="shared" si="10"/>
        <v>0.21022512203696236</v>
      </c>
      <c r="BY15" s="94">
        <f t="shared" si="50"/>
        <v>0.59439757956468564</v>
      </c>
      <c r="BZ15" s="95">
        <f t="shared" si="11"/>
        <v>0.93193447738743951</v>
      </c>
      <c r="CA15" s="96" t="e">
        <f>#REF!</f>
        <v>#REF!</v>
      </c>
      <c r="CB15" s="94">
        <f t="shared" si="51"/>
        <v>4.1942702445339083E-2</v>
      </c>
      <c r="CC15" s="95">
        <f t="shared" si="51"/>
        <v>1.5432012276961091E-2</v>
      </c>
      <c r="CD15" s="97">
        <f t="shared" si="12"/>
        <v>0.15782888499615755</v>
      </c>
      <c r="CE15" s="98">
        <f t="shared" si="12"/>
        <v>5.8070108717814456E-2</v>
      </c>
      <c r="CF15" s="97">
        <f t="shared" si="52"/>
        <v>0</v>
      </c>
      <c r="CG15" s="94">
        <f t="shared" si="52"/>
        <v>0</v>
      </c>
      <c r="CH15" s="95">
        <f t="shared" si="53"/>
        <v>0.55898135944266614</v>
      </c>
      <c r="CI15" s="96" t="e">
        <f>#REF!</f>
        <v>#REF!</v>
      </c>
      <c r="CJ15" s="94">
        <f t="shared" si="54"/>
        <v>0.24561859766228888</v>
      </c>
      <c r="CK15" s="94">
        <f t="shared" si="54"/>
        <v>2.0408015835180728E-2</v>
      </c>
      <c r="CL15" s="95">
        <f t="shared" si="69"/>
        <v>0.44969875601404363</v>
      </c>
      <c r="CM15" s="95" t="e">
        <f>#REF!</f>
        <v>#REF!</v>
      </c>
      <c r="CN15" s="94">
        <f t="shared" si="55"/>
        <v>0.57167749979560134</v>
      </c>
      <c r="CO15" s="94">
        <f t="shared" si="55"/>
        <v>0.13253975553920366</v>
      </c>
      <c r="CP15" s="95">
        <f t="shared" si="56"/>
        <v>1.2391668710653259</v>
      </c>
      <c r="CQ15" s="95" t="e">
        <f>#REF!</f>
        <v>#REF!</v>
      </c>
      <c r="CR15" s="97">
        <f t="shared" si="70"/>
        <v>1.0494669325316228</v>
      </c>
      <c r="CS15" s="95">
        <f t="shared" si="70"/>
        <v>1.339613672701951</v>
      </c>
      <c r="CT15" s="96" t="e">
        <f>#REF!</f>
        <v>#REF!</v>
      </c>
      <c r="CU15" s="97">
        <f t="shared" si="71"/>
        <v>4.6024135977389261E-2</v>
      </c>
      <c r="CV15" s="95">
        <f t="shared" si="57"/>
        <v>8.0542237960431196E-2</v>
      </c>
      <c r="CW15" s="96" t="e">
        <f>#REF!</f>
        <v>#REF!</v>
      </c>
      <c r="CX15" s="97">
        <f t="shared" si="58"/>
        <v>0.10697296032854281</v>
      </c>
      <c r="CY15" s="98">
        <f t="shared" si="58"/>
        <v>2.7440889823408806E-2</v>
      </c>
      <c r="CZ15" s="97">
        <f t="shared" si="58"/>
        <v>0.10929845946611982</v>
      </c>
      <c r="DA15" s="98">
        <f t="shared" si="58"/>
        <v>0</v>
      </c>
      <c r="DB15" s="94">
        <f t="shared" si="13"/>
        <v>0.15952924083778339</v>
      </c>
      <c r="DC15" s="94">
        <f t="shared" si="14"/>
        <v>3.9998585166324693E-2</v>
      </c>
      <c r="DD15" s="94">
        <f t="shared" si="14"/>
        <v>0.38882345580287725</v>
      </c>
      <c r="DE15" s="94">
        <f t="shared" si="14"/>
        <v>0.12697225291170514</v>
      </c>
      <c r="DF15" s="94">
        <f t="shared" si="14"/>
        <v>0</v>
      </c>
      <c r="DG15" s="94">
        <f t="shared" si="14"/>
        <v>0</v>
      </c>
      <c r="DH15" s="95">
        <f t="shared" si="14"/>
        <v>0.58835128180698537</v>
      </c>
      <c r="DI15" s="96" t="e">
        <f>#REF!</f>
        <v>#REF!</v>
      </c>
      <c r="DJ15" s="95">
        <f t="shared" si="59"/>
        <v>0.36370806511704551</v>
      </c>
      <c r="DK15" s="96" t="e">
        <f>#REF!</f>
        <v>#REF!</v>
      </c>
      <c r="DL15" s="95">
        <f t="shared" si="60"/>
        <v>0.99921581843581864</v>
      </c>
      <c r="DM15" s="96">
        <f t="shared" si="15"/>
        <v>0</v>
      </c>
      <c r="DN15" s="94">
        <f t="shared" si="16"/>
        <v>2.2346232822787817</v>
      </c>
      <c r="DO15" s="100">
        <v>3.4</v>
      </c>
      <c r="DP15" s="94">
        <f t="shared" si="73"/>
        <v>3.5975471658316458</v>
      </c>
      <c r="DQ15" s="94">
        <f t="shared" si="74"/>
        <v>4.2467677061880229</v>
      </c>
      <c r="DR15" s="101" t="str">
        <f t="shared" si="17"/>
        <v>3,315, hL/NhL</v>
      </c>
      <c r="DS15" s="147"/>
      <c r="DT15" s="134">
        <v>10</v>
      </c>
      <c r="DU15" s="76">
        <v>622563</v>
      </c>
      <c r="DV15" s="76">
        <v>25884</v>
      </c>
      <c r="DW15" s="76">
        <v>5124686</v>
      </c>
      <c r="DX15" s="77">
        <v>115368</v>
      </c>
      <c r="DY15" s="77">
        <v>84176.3</v>
      </c>
      <c r="DZ15" s="77">
        <v>388899</v>
      </c>
      <c r="EA15" s="77">
        <v>228672</v>
      </c>
      <c r="EB15" s="77">
        <v>53241.5</v>
      </c>
      <c r="EC15" s="77">
        <v>400288</v>
      </c>
      <c r="ED15" s="76">
        <v>46669</v>
      </c>
      <c r="EE15" s="77">
        <v>41150</v>
      </c>
      <c r="EF15" s="77">
        <v>38231.699999999997</v>
      </c>
      <c r="EG15" s="76">
        <v>91576</v>
      </c>
      <c r="EH15" s="76">
        <v>180399</v>
      </c>
      <c r="EI15" s="76">
        <v>31008</v>
      </c>
      <c r="EJ15" s="104">
        <v>40127</v>
      </c>
      <c r="EK15" s="77"/>
      <c r="EL15" s="76">
        <v>695678</v>
      </c>
      <c r="EM15" s="77">
        <v>4520</v>
      </c>
      <c r="EN15" s="77">
        <v>43167.3</v>
      </c>
      <c r="EO15" s="76">
        <v>2981409</v>
      </c>
      <c r="EP15" s="77">
        <v>2759609</v>
      </c>
      <c r="EQ15" s="77">
        <v>0</v>
      </c>
      <c r="ER15" s="77">
        <v>1424</v>
      </c>
      <c r="ES15" s="121">
        <v>344450</v>
      </c>
      <c r="ET15" s="77">
        <v>8766560</v>
      </c>
      <c r="EU15" s="77">
        <v>415784</v>
      </c>
      <c r="EV15" s="77">
        <v>132594</v>
      </c>
      <c r="EW15" s="77">
        <v>102392</v>
      </c>
      <c r="EX15" s="76">
        <v>206534</v>
      </c>
      <c r="EY15" s="76">
        <v>1626233</v>
      </c>
      <c r="EZ15" s="149">
        <v>767134</v>
      </c>
      <c r="FA15" s="150">
        <v>742219</v>
      </c>
      <c r="FB15" s="151">
        <v>30575.200000000001</v>
      </c>
      <c r="FC15" s="127">
        <v>6953</v>
      </c>
      <c r="FD15" s="104">
        <f t="shared" ref="FD15:FD32" si="77">SUM(FE15:FM15)</f>
        <v>6123</v>
      </c>
      <c r="FE15" s="105">
        <f t="shared" si="18"/>
        <v>0</v>
      </c>
      <c r="FF15" s="105">
        <f t="shared" si="18"/>
        <v>0</v>
      </c>
      <c r="FG15" s="105">
        <f t="shared" si="18"/>
        <v>1664</v>
      </c>
      <c r="FH15" s="105">
        <f t="shared" si="18"/>
        <v>1934</v>
      </c>
      <c r="FI15" s="105">
        <f t="shared" si="18"/>
        <v>615</v>
      </c>
      <c r="FJ15" s="105">
        <f t="shared" si="18"/>
        <v>790</v>
      </c>
      <c r="FK15" s="105">
        <f t="shared" si="18"/>
        <v>0</v>
      </c>
      <c r="FL15" s="105">
        <f t="shared" si="18"/>
        <v>1120</v>
      </c>
      <c r="FM15" s="105">
        <f t="shared" si="18"/>
        <v>0</v>
      </c>
      <c r="FN15" s="124">
        <f t="shared" si="75"/>
        <v>1612</v>
      </c>
      <c r="FO15" s="303">
        <f>FO14+1612</f>
        <v>1028598</v>
      </c>
      <c r="FP15" s="353"/>
      <c r="FY15" s="119">
        <v>10</v>
      </c>
      <c r="FZ15" s="107"/>
      <c r="GA15" s="107"/>
      <c r="GB15" s="108"/>
      <c r="GC15" s="109"/>
      <c r="GD15" s="110"/>
      <c r="GE15" s="110"/>
      <c r="GF15" s="111"/>
      <c r="GG15" s="111"/>
      <c r="GH15" s="111"/>
      <c r="GI15" s="112"/>
      <c r="GJ15" s="111" t="e">
        <f t="shared" si="61"/>
        <v>#DIV/0!</v>
      </c>
      <c r="GK15" s="113"/>
    </row>
    <row r="16" spans="1:194" s="141" customFormat="1" ht="15" customHeight="1">
      <c r="A16" s="141">
        <v>0</v>
      </c>
      <c r="B16" s="354">
        <v>42897</v>
      </c>
      <c r="D16" s="128"/>
      <c r="E16" s="128"/>
      <c r="F16" s="128">
        <v>2970.2159999999999</v>
      </c>
      <c r="G16" s="86"/>
      <c r="H16" s="86">
        <v>6366.9960000000001</v>
      </c>
      <c r="I16" s="86">
        <v>2210.4140000000002</v>
      </c>
      <c r="J16" s="86"/>
      <c r="K16" s="86"/>
      <c r="L16" s="86"/>
      <c r="M16" s="115">
        <f t="shared" si="19"/>
        <v>2210.4140000000002</v>
      </c>
      <c r="N16" s="88">
        <f t="shared" si="1"/>
        <v>9337.2119999999995</v>
      </c>
      <c r="O16" s="88">
        <f t="shared" si="20"/>
        <v>10442.419</v>
      </c>
      <c r="P16" s="89">
        <f t="shared" si="21"/>
        <v>173740.73149999999</v>
      </c>
      <c r="Q16" s="152"/>
      <c r="R16" s="170">
        <f t="shared" si="22"/>
        <v>199</v>
      </c>
      <c r="S16" s="170">
        <f t="shared" si="23"/>
        <v>55.6</v>
      </c>
      <c r="T16" s="170">
        <f t="shared" si="2"/>
        <v>332.8</v>
      </c>
      <c r="U16" s="91">
        <f t="shared" si="76"/>
        <v>4.2699999999997091</v>
      </c>
      <c r="V16" s="170">
        <f t="shared" si="24"/>
        <v>1218</v>
      </c>
      <c r="W16" s="91">
        <f t="shared" si="3"/>
        <v>107.9</v>
      </c>
      <c r="X16" s="170">
        <f t="shared" si="25"/>
        <v>1218</v>
      </c>
      <c r="Y16" s="170" t="str">
        <f t="shared" si="26"/>
        <v>0</v>
      </c>
      <c r="Z16" s="170">
        <f t="shared" si="4"/>
        <v>117.7</v>
      </c>
      <c r="AA16" s="170">
        <f t="shared" si="27"/>
        <v>1809.6699999999996</v>
      </c>
      <c r="AB16" s="170">
        <f t="shared" si="28"/>
        <v>150</v>
      </c>
      <c r="AC16" s="170">
        <f t="shared" si="28"/>
        <v>0</v>
      </c>
      <c r="AD16" s="170">
        <f t="shared" si="29"/>
        <v>150</v>
      </c>
      <c r="AE16" s="170">
        <f t="shared" si="30"/>
        <v>0</v>
      </c>
      <c r="AF16" s="170">
        <f t="shared" si="31"/>
        <v>53</v>
      </c>
      <c r="AG16" s="170">
        <f t="shared" si="31"/>
        <v>21.69999999999709</v>
      </c>
      <c r="AH16" s="170">
        <f t="shared" si="32"/>
        <v>107</v>
      </c>
      <c r="AI16" s="170">
        <f t="shared" si="33"/>
        <v>32.30000000000291</v>
      </c>
      <c r="AJ16" s="170">
        <f t="shared" si="34"/>
        <v>184</v>
      </c>
      <c r="AK16" s="170">
        <f t="shared" si="34"/>
        <v>28.5</v>
      </c>
      <c r="AL16" s="170">
        <f t="shared" si="35"/>
        <v>294</v>
      </c>
      <c r="AM16" s="170">
        <f t="shared" si="36"/>
        <v>81.5</v>
      </c>
      <c r="AN16" s="170">
        <f t="shared" si="37"/>
        <v>0</v>
      </c>
      <c r="AO16" s="170">
        <f t="shared" si="5"/>
        <v>31.30000000000291</v>
      </c>
      <c r="AP16" s="170">
        <f t="shared" si="38"/>
        <v>76</v>
      </c>
      <c r="AQ16" s="170">
        <f t="shared" si="6"/>
        <v>122</v>
      </c>
      <c r="AR16" s="170">
        <f t="shared" si="39"/>
        <v>63.72</v>
      </c>
      <c r="AS16" s="170">
        <f t="shared" si="40"/>
        <v>44.720000000000027</v>
      </c>
      <c r="AT16" s="170">
        <f t="shared" si="41"/>
        <v>538.72</v>
      </c>
      <c r="AU16" s="170">
        <f t="shared" si="63"/>
        <v>254</v>
      </c>
      <c r="AV16" s="170">
        <f t="shared" si="64"/>
        <v>42</v>
      </c>
      <c r="AW16" s="170">
        <f t="shared" si="65"/>
        <v>240</v>
      </c>
      <c r="AX16" s="170">
        <f t="shared" si="66"/>
        <v>0</v>
      </c>
      <c r="AY16" s="170" t="str">
        <f t="shared" si="66"/>
        <v/>
      </c>
      <c r="AZ16" s="170">
        <f t="shared" si="42"/>
        <v>422</v>
      </c>
      <c r="BA16" s="170">
        <v>0</v>
      </c>
      <c r="BB16" s="170">
        <f t="shared" si="43"/>
        <v>60</v>
      </c>
      <c r="BC16" s="170">
        <f t="shared" si="43"/>
        <v>1087</v>
      </c>
      <c r="BD16" s="91">
        <f t="shared" si="44"/>
        <v>240</v>
      </c>
      <c r="BE16" s="90"/>
      <c r="BF16" s="90"/>
      <c r="BG16" s="90">
        <f t="shared" si="7"/>
        <v>1569</v>
      </c>
      <c r="BH16" s="90">
        <f t="shared" si="45"/>
        <v>-2</v>
      </c>
      <c r="BI16" s="90">
        <f t="shared" si="8"/>
        <v>1184.3099999999977</v>
      </c>
      <c r="BJ16" s="90">
        <f t="shared" si="46"/>
        <v>4663.6900000000023</v>
      </c>
      <c r="BK16" s="92"/>
      <c r="BL16" s="93">
        <f>FD16+FN16</f>
        <v>5846</v>
      </c>
      <c r="BM16" s="93">
        <f t="shared" si="47"/>
        <v>75195</v>
      </c>
      <c r="BN16" s="92"/>
      <c r="BO16" s="94">
        <f t="shared" si="48"/>
        <v>0.21312571675570824</v>
      </c>
      <c r="BP16" s="94">
        <f t="shared" si="48"/>
        <v>5.9546682671444112E-2</v>
      </c>
      <c r="BQ16" s="94">
        <f t="shared" si="49"/>
        <v>0.35642330922763671</v>
      </c>
      <c r="BR16" s="94">
        <f t="shared" si="68"/>
        <v>1.3044579045650886</v>
      </c>
      <c r="BS16" s="94">
        <f t="shared" si="9"/>
        <v>0</v>
      </c>
      <c r="BT16" s="94">
        <f t="shared" si="9"/>
        <v>0.1260547581012405</v>
      </c>
      <c r="BU16" s="95">
        <f t="shared" si="9"/>
        <v>1.9381267127703641</v>
      </c>
      <c r="BV16" s="94">
        <f t="shared" si="10"/>
        <v>0.19056887106330439</v>
      </c>
      <c r="BW16" s="94">
        <f t="shared" si="10"/>
        <v>5.3244367995576504E-2</v>
      </c>
      <c r="BX16" s="94">
        <f t="shared" si="10"/>
        <v>0.31870010195913423</v>
      </c>
      <c r="BY16" s="94">
        <f t="shared" si="50"/>
        <v>1.1663964068095716</v>
      </c>
      <c r="BZ16" s="95">
        <f t="shared" si="11"/>
        <v>1.7329988386790451</v>
      </c>
      <c r="CA16" s="96" t="e">
        <f>#REF!</f>
        <v>#REF!</v>
      </c>
      <c r="CB16" s="94">
        <f t="shared" si="51"/>
        <v>6.1020344040973652E-2</v>
      </c>
      <c r="CC16" s="95">
        <f t="shared" si="51"/>
        <v>4.2825326200758684E-2</v>
      </c>
      <c r="CD16" s="97">
        <f t="shared" si="12"/>
        <v>0.28827178980951079</v>
      </c>
      <c r="CE16" s="98">
        <f t="shared" si="12"/>
        <v>0.20231504143567686</v>
      </c>
      <c r="CF16" s="97" t="str">
        <f t="shared" si="52"/>
        <v>0,00</v>
      </c>
      <c r="CG16" s="94" t="str">
        <f t="shared" si="52"/>
        <v>0,00</v>
      </c>
      <c r="CH16" s="95" t="str">
        <f t="shared" si="53"/>
        <v xml:space="preserve">0,00 </v>
      </c>
      <c r="CI16" s="96" t="e">
        <f>#REF!</f>
        <v>#REF!</v>
      </c>
      <c r="CJ16" s="94" t="str">
        <f t="shared" si="54"/>
        <v>0,00</v>
      </c>
      <c r="CK16" s="94" t="str">
        <f t="shared" si="54"/>
        <v>0,00</v>
      </c>
      <c r="CL16" s="95" t="str">
        <f t="shared" si="69"/>
        <v xml:space="preserve">0,00 </v>
      </c>
      <c r="CM16" s="95" t="e">
        <f>#REF!</f>
        <v>#REF!</v>
      </c>
      <c r="CN16" s="94">
        <f t="shared" si="55"/>
        <v>0.61948356617835199</v>
      </c>
      <c r="CO16" s="94">
        <f t="shared" si="55"/>
        <v>9.5952617587407793E-2</v>
      </c>
      <c r="CP16" s="95">
        <f t="shared" si="56"/>
        <v>0.98982700248062772</v>
      </c>
      <c r="CQ16" s="95" t="e">
        <f>#REF!</f>
        <v>#REF!</v>
      </c>
      <c r="CR16" s="97" t="str">
        <f t="shared" si="70"/>
        <v xml:space="preserve">0,00 </v>
      </c>
      <c r="CS16" s="95" t="str">
        <f t="shared" si="70"/>
        <v xml:space="preserve">0,00 </v>
      </c>
      <c r="CT16" s="96" t="e">
        <f>#REF!</f>
        <v>#REF!</v>
      </c>
      <c r="CU16" s="97">
        <f t="shared" si="71"/>
        <v>0.11936555323735085</v>
      </c>
      <c r="CV16" s="95">
        <f t="shared" si="57"/>
        <v>0.19161312493364219</v>
      </c>
      <c r="CW16" s="96" t="e">
        <f>#REF!</f>
        <v>#REF!</v>
      </c>
      <c r="CX16" s="97">
        <f t="shared" si="58"/>
        <v>0.24323865954813728</v>
      </c>
      <c r="CY16" s="98">
        <f t="shared" si="58"/>
        <v>4.0220565752054196E-2</v>
      </c>
      <c r="CZ16" s="97">
        <f t="shared" si="58"/>
        <v>0.22983180429745254</v>
      </c>
      <c r="DA16" s="98">
        <f t="shared" si="58"/>
        <v>0</v>
      </c>
      <c r="DB16" s="94">
        <f t="shared" si="13"/>
        <v>0.40412092255635407</v>
      </c>
      <c r="DC16" s="94">
        <f t="shared" si="14"/>
        <v>5.7457951074363134E-2</v>
      </c>
      <c r="DD16" s="94">
        <f t="shared" si="14"/>
        <v>1.0409465469638788</v>
      </c>
      <c r="DE16" s="94">
        <f t="shared" si="14"/>
        <v>0.22983180429745254</v>
      </c>
      <c r="DF16" s="94">
        <f t="shared" si="14"/>
        <v>0</v>
      </c>
      <c r="DG16" s="94">
        <f t="shared" si="14"/>
        <v>0</v>
      </c>
      <c r="DH16" s="95">
        <f t="shared" si="14"/>
        <v>1.5025254205945959</v>
      </c>
      <c r="DI16" s="96" t="e">
        <f>#REF!</f>
        <v>#REF!</v>
      </c>
      <c r="DJ16" s="95">
        <f t="shared" si="59"/>
        <v>-1.9152650358121043E-3</v>
      </c>
      <c r="DK16" s="96" t="e">
        <f>#REF!</f>
        <v>#REF!</v>
      </c>
      <c r="DL16" s="95">
        <f t="shared" si="60"/>
        <v>1.1341337672813145</v>
      </c>
      <c r="DM16" s="96">
        <f t="shared" si="15"/>
        <v>0</v>
      </c>
      <c r="DN16" s="94">
        <f t="shared" si="16"/>
        <v>4.4661011974332796</v>
      </c>
      <c r="DO16" s="100">
        <v>3.4</v>
      </c>
      <c r="DP16" s="94">
        <f>IF($O16&lt;&gt;0,IF($O16&lt;&gt;0,BL16/$O16*10,0)," ")</f>
        <v>5.5983196996787807</v>
      </c>
      <c r="DQ16" s="94">
        <f>IF($P16&lt;&gt;0,IF($P16&lt;&gt;0,BM16/$P16*10,0)," ")</f>
        <v>4.3280006565414979</v>
      </c>
      <c r="DR16" s="101"/>
      <c r="DS16" s="153"/>
      <c r="DT16" s="142">
        <v>11</v>
      </c>
      <c r="DU16" s="120">
        <v>622713</v>
      </c>
      <c r="DV16" s="120">
        <v>25884</v>
      </c>
      <c r="DW16" s="120">
        <v>5124692</v>
      </c>
      <c r="DX16" s="120">
        <v>115421</v>
      </c>
      <c r="DY16" s="120">
        <v>84198</v>
      </c>
      <c r="DZ16" s="120">
        <v>389006</v>
      </c>
      <c r="EA16" s="120">
        <v>228856</v>
      </c>
      <c r="EB16" s="120">
        <v>53270</v>
      </c>
      <c r="EC16" s="120">
        <v>400582</v>
      </c>
      <c r="ED16" s="120">
        <v>46669</v>
      </c>
      <c r="EE16" s="120">
        <v>41181</v>
      </c>
      <c r="EF16" s="120">
        <v>38232</v>
      </c>
      <c r="EG16" s="120">
        <v>91652</v>
      </c>
      <c r="EH16" s="120">
        <v>180521</v>
      </c>
      <c r="EI16" s="120">
        <v>31050</v>
      </c>
      <c r="EJ16" s="330">
        <v>40127</v>
      </c>
      <c r="EK16" s="120"/>
      <c r="EL16" s="120">
        <v>695877</v>
      </c>
      <c r="EM16" s="120">
        <v>3328</v>
      </c>
      <c r="EN16" s="120">
        <v>43210</v>
      </c>
      <c r="EO16" s="120">
        <v>2982627</v>
      </c>
      <c r="EP16" s="120">
        <v>2760688</v>
      </c>
      <c r="EQ16" s="120">
        <v>0</v>
      </c>
      <c r="ER16" s="120">
        <v>1177</v>
      </c>
      <c r="ES16" s="120">
        <v>344925</v>
      </c>
      <c r="ET16" s="121">
        <v>8830280</v>
      </c>
      <c r="EU16" s="120">
        <v>416024</v>
      </c>
      <c r="EV16" s="120">
        <v>132848</v>
      </c>
      <c r="EW16" s="120">
        <v>102814</v>
      </c>
      <c r="EX16" s="120">
        <v>206594</v>
      </c>
      <c r="EY16" s="120">
        <v>1627320</v>
      </c>
      <c r="EZ16" s="120">
        <v>767690</v>
      </c>
      <c r="FA16" s="149">
        <v>742459</v>
      </c>
      <c r="FB16" s="151">
        <v>30584.3</v>
      </c>
      <c r="FC16" s="127">
        <v>5848</v>
      </c>
      <c r="FD16" s="104">
        <f t="shared" si="77"/>
        <v>5846</v>
      </c>
      <c r="FE16" s="105">
        <f t="shared" si="18"/>
        <v>0</v>
      </c>
      <c r="FF16" s="105">
        <f t="shared" si="18"/>
        <v>0</v>
      </c>
      <c r="FG16" s="105">
        <f t="shared" si="18"/>
        <v>1691</v>
      </c>
      <c r="FH16" s="105">
        <f t="shared" si="18"/>
        <v>2784</v>
      </c>
      <c r="FI16" s="105">
        <f t="shared" si="18"/>
        <v>537</v>
      </c>
      <c r="FJ16" s="105">
        <f t="shared" si="18"/>
        <v>834</v>
      </c>
      <c r="FK16" s="105">
        <f t="shared" si="18"/>
        <v>0</v>
      </c>
      <c r="FL16" s="105">
        <f t="shared" si="18"/>
        <v>0</v>
      </c>
      <c r="FM16" s="105">
        <f t="shared" si="18"/>
        <v>0</v>
      </c>
      <c r="FN16" s="124">
        <f t="shared" si="75"/>
        <v>0</v>
      </c>
      <c r="FO16" s="303">
        <f>FO15</f>
        <v>1028598</v>
      </c>
      <c r="FP16" s="358"/>
      <c r="FY16" s="141">
        <v>11</v>
      </c>
      <c r="FZ16" s="107"/>
      <c r="GA16" s="107"/>
      <c r="GB16" s="107"/>
      <c r="GC16" s="109"/>
      <c r="GD16" s="110"/>
      <c r="GE16" s="110"/>
      <c r="GF16" s="111"/>
      <c r="GG16" s="111"/>
      <c r="GH16" s="111"/>
      <c r="GI16" s="112"/>
      <c r="GJ16" s="111" t="e">
        <f t="shared" si="61"/>
        <v>#DIV/0!</v>
      </c>
      <c r="GK16" s="113"/>
    </row>
    <row r="17" spans="1:193" s="119" customFormat="1" ht="15" customHeight="1">
      <c r="A17" s="119" t="s">
        <v>126</v>
      </c>
      <c r="B17" s="354">
        <f t="shared" si="62"/>
        <v>42898</v>
      </c>
      <c r="D17" s="359"/>
      <c r="E17" s="128">
        <v>4080</v>
      </c>
      <c r="F17" s="86">
        <v>2758.6800000000003</v>
      </c>
      <c r="G17" s="86">
        <v>3618.5370000000003</v>
      </c>
      <c r="H17" s="86">
        <v>4911.7260000000006</v>
      </c>
      <c r="I17" s="86">
        <v>1688.4829999999999</v>
      </c>
      <c r="J17" s="86">
        <v>3240</v>
      </c>
      <c r="K17" s="509"/>
      <c r="L17" s="86">
        <v>136.24</v>
      </c>
      <c r="M17" s="115">
        <f t="shared" si="19"/>
        <v>4928.4830000000002</v>
      </c>
      <c r="N17" s="88">
        <f t="shared" si="1"/>
        <v>15368.943000000001</v>
      </c>
      <c r="O17" s="88">
        <f t="shared" si="20"/>
        <v>17969.424500000001</v>
      </c>
      <c r="P17" s="89">
        <f t="shared" si="21"/>
        <v>191710.15599999999</v>
      </c>
      <c r="Q17" s="155"/>
      <c r="R17" s="170">
        <f t="shared" si="22"/>
        <v>195</v>
      </c>
      <c r="S17" s="170">
        <f t="shared" si="23"/>
        <v>53.1</v>
      </c>
      <c r="T17" s="170">
        <f t="shared" si="2"/>
        <v>277</v>
      </c>
      <c r="U17" s="91">
        <f t="shared" si="76"/>
        <v>3.8</v>
      </c>
      <c r="V17" s="170">
        <f t="shared" si="24"/>
        <v>1172</v>
      </c>
      <c r="W17" s="91">
        <f t="shared" si="3"/>
        <v>105.9</v>
      </c>
      <c r="X17" s="170">
        <f t="shared" si="25"/>
        <v>1172</v>
      </c>
      <c r="Y17" s="170" t="str">
        <f t="shared" si="26"/>
        <v>0</v>
      </c>
      <c r="Z17" s="170">
        <f t="shared" si="4"/>
        <v>115.2</v>
      </c>
      <c r="AA17" s="170">
        <f t="shared" si="27"/>
        <v>1700.9</v>
      </c>
      <c r="AB17" s="170">
        <f t="shared" si="28"/>
        <v>166</v>
      </c>
      <c r="AC17" s="170">
        <f t="shared" si="28"/>
        <v>82</v>
      </c>
      <c r="AD17" s="170">
        <f t="shared" si="29"/>
        <v>248</v>
      </c>
      <c r="AE17" s="170">
        <f t="shared" si="30"/>
        <v>0</v>
      </c>
      <c r="AF17" s="170">
        <f t="shared" si="31"/>
        <v>135</v>
      </c>
      <c r="AG17" s="170">
        <f t="shared" si="31"/>
        <v>11</v>
      </c>
      <c r="AH17" s="170">
        <f t="shared" si="32"/>
        <v>244</v>
      </c>
      <c r="AI17" s="170">
        <f t="shared" si="33"/>
        <v>98</v>
      </c>
      <c r="AJ17" s="170">
        <f t="shared" si="34"/>
        <v>187</v>
      </c>
      <c r="AK17" s="170">
        <f t="shared" si="34"/>
        <v>40</v>
      </c>
      <c r="AL17" s="170">
        <f t="shared" si="35"/>
        <v>296</v>
      </c>
      <c r="AM17" s="170">
        <f t="shared" si="36"/>
        <v>69</v>
      </c>
      <c r="AN17" s="170">
        <f t="shared" si="37"/>
        <v>25</v>
      </c>
      <c r="AO17" s="170">
        <f t="shared" si="5"/>
        <v>65</v>
      </c>
      <c r="AP17" s="170">
        <f t="shared" si="38"/>
        <v>90</v>
      </c>
      <c r="AQ17" s="170">
        <f t="shared" si="6"/>
        <v>145</v>
      </c>
      <c r="AR17" s="170">
        <f t="shared" si="39"/>
        <v>104.66800000000001</v>
      </c>
      <c r="AS17" s="170">
        <f t="shared" si="40"/>
        <v>93.668000000000006</v>
      </c>
      <c r="AT17" s="170">
        <f t="shared" si="41"/>
        <v>584.66800000000001</v>
      </c>
      <c r="AU17" s="170">
        <f t="shared" si="63"/>
        <v>225</v>
      </c>
      <c r="AV17" s="170">
        <f t="shared" si="64"/>
        <v>41</v>
      </c>
      <c r="AW17" s="170">
        <f t="shared" si="65"/>
        <v>266</v>
      </c>
      <c r="AX17" s="170">
        <f t="shared" si="66"/>
        <v>0</v>
      </c>
      <c r="AY17" s="170" t="str">
        <f t="shared" si="66"/>
        <v/>
      </c>
      <c r="AZ17" s="170">
        <f t="shared" si="42"/>
        <v>226</v>
      </c>
      <c r="BA17" s="170">
        <v>62</v>
      </c>
      <c r="BB17" s="170">
        <f t="shared" si="43"/>
        <v>66</v>
      </c>
      <c r="BC17" s="170">
        <f t="shared" si="43"/>
        <v>735</v>
      </c>
      <c r="BD17" s="91">
        <f t="shared" si="44"/>
        <v>165</v>
      </c>
      <c r="BE17" s="90"/>
      <c r="BF17" s="90"/>
      <c r="BG17" s="90">
        <f t="shared" si="7"/>
        <v>1027</v>
      </c>
      <c r="BH17" s="90">
        <f t="shared" si="45"/>
        <v>-174</v>
      </c>
      <c r="BI17" s="90">
        <f t="shared" si="8"/>
        <v>1277.4319999999998</v>
      </c>
      <c r="BJ17" s="90">
        <f t="shared" si="46"/>
        <v>4351.5680000000002</v>
      </c>
      <c r="BK17" s="92"/>
      <c r="BL17" s="331">
        <f>FD17+FN17</f>
        <v>5455</v>
      </c>
      <c r="BM17" s="93">
        <f t="shared" si="47"/>
        <v>80650</v>
      </c>
      <c r="BN17" s="92"/>
      <c r="BO17" s="94">
        <f t="shared" si="48"/>
        <v>0.12687925252894749</v>
      </c>
      <c r="BP17" s="94">
        <f t="shared" si="48"/>
        <v>3.4550196457882626E-2</v>
      </c>
      <c r="BQ17" s="94">
        <f t="shared" si="49"/>
        <v>0.18023360487445361</v>
      </c>
      <c r="BR17" s="94">
        <f t="shared" si="68"/>
        <v>0.76257684084064858</v>
      </c>
      <c r="BS17" s="94">
        <f t="shared" si="9"/>
        <v>0</v>
      </c>
      <c r="BT17" s="94">
        <f t="shared" si="9"/>
        <v>7.4956358417101299E-2</v>
      </c>
      <c r="BU17" s="95">
        <f t="shared" si="9"/>
        <v>1.106712413469163</v>
      </c>
      <c r="BV17" s="94">
        <f t="shared" si="10"/>
        <v>0.10851766566035545</v>
      </c>
      <c r="BW17" s="94">
        <f t="shared" si="10"/>
        <v>2.9550195110589102E-2</v>
      </c>
      <c r="BX17" s="94">
        <f t="shared" si="10"/>
        <v>0.15415073532265877</v>
      </c>
      <c r="BY17" s="94">
        <f t="shared" si="50"/>
        <v>0.65221899566121333</v>
      </c>
      <c r="BZ17" s="95">
        <f t="shared" si="11"/>
        <v>0.9465522949830697</v>
      </c>
      <c r="CA17" s="96" t="e">
        <f>#REF!</f>
        <v>#REF!</v>
      </c>
      <c r="CB17" s="94">
        <f t="shared" si="51"/>
        <v>5.824783091968249E-2</v>
      </c>
      <c r="CC17" s="95">
        <f t="shared" si="51"/>
        <v>5.2126321574739357E-2</v>
      </c>
      <c r="CD17" s="97">
        <f t="shared" si="12"/>
        <v>0.21237366548692571</v>
      </c>
      <c r="CE17" s="98">
        <f t="shared" si="12"/>
        <v>0.19005442445474602</v>
      </c>
      <c r="CF17" s="97" t="str">
        <f>IF($D17&lt;&gt;0,IF($D17&lt;&gt;0,AB17/$D17*10,0),"0,00")</f>
        <v>0,00</v>
      </c>
      <c r="CG17" s="94" t="str">
        <f t="shared" si="52"/>
        <v>0,00</v>
      </c>
      <c r="CH17" s="95" t="str">
        <f t="shared" si="53"/>
        <v xml:space="preserve">0,00 </v>
      </c>
      <c r="CI17" s="96" t="e">
        <f>#REF!</f>
        <v>#REF!</v>
      </c>
      <c r="CJ17" s="94">
        <f t="shared" si="54"/>
        <v>0.33088235294117646</v>
      </c>
      <c r="CK17" s="94">
        <f t="shared" si="54"/>
        <v>2.6960784313725492E-2</v>
      </c>
      <c r="CL17" s="95">
        <f t="shared" si="69"/>
        <v>0.59803921568627449</v>
      </c>
      <c r="CM17" s="95" t="e">
        <f>#REF!</f>
        <v>#REF!</v>
      </c>
      <c r="CN17" s="94">
        <f t="shared" si="55"/>
        <v>0.67786042600084084</v>
      </c>
      <c r="CO17" s="94">
        <f t="shared" si="55"/>
        <v>0.14499688256702478</v>
      </c>
      <c r="CP17" s="95">
        <f t="shared" si="56"/>
        <v>1.0729769309959833</v>
      </c>
      <c r="CQ17" s="95" t="e">
        <f>#REF!</f>
        <v>#REF!</v>
      </c>
      <c r="CR17" s="97">
        <f t="shared" si="70"/>
        <v>6.9088695237882039E-2</v>
      </c>
      <c r="CS17" s="95">
        <f t="shared" si="70"/>
        <v>0.17963060761849334</v>
      </c>
      <c r="CT17" s="96" t="e">
        <f>#REF!</f>
        <v>#REF!</v>
      </c>
      <c r="CU17" s="97">
        <f t="shared" si="71"/>
        <v>0.18323497686963808</v>
      </c>
      <c r="CV17" s="95">
        <f t="shared" si="57"/>
        <v>0.29521190717886131</v>
      </c>
      <c r="CW17" s="96" t="e">
        <f>#REF!</f>
        <v>#REF!</v>
      </c>
      <c r="CX17" s="97">
        <f t="shared" si="58"/>
        <v>0.125212691146564</v>
      </c>
      <c r="CY17" s="98">
        <f t="shared" si="58"/>
        <v>2.2816534831151657E-2</v>
      </c>
      <c r="CZ17" s="97">
        <f t="shared" si="58"/>
        <v>0.14802922597771564</v>
      </c>
      <c r="DA17" s="98">
        <f t="shared" si="58"/>
        <v>0</v>
      </c>
      <c r="DB17" s="94">
        <f t="shared" si="13"/>
        <v>0.12576919199610426</v>
      </c>
      <c r="DC17" s="94">
        <f t="shared" si="14"/>
        <v>3.6729056069658768E-2</v>
      </c>
      <c r="DD17" s="94">
        <f t="shared" si="14"/>
        <v>0.40902812441210901</v>
      </c>
      <c r="DE17" s="94">
        <f t="shared" si="14"/>
        <v>9.1822640174146916E-2</v>
      </c>
      <c r="DF17" s="94">
        <f t="shared" si="14"/>
        <v>0</v>
      </c>
      <c r="DG17" s="94">
        <f t="shared" si="14"/>
        <v>0</v>
      </c>
      <c r="DH17" s="95">
        <f t="shared" si="14"/>
        <v>0.57152637247787208</v>
      </c>
      <c r="DI17" s="96" t="e">
        <f>#REF!</f>
        <v>#REF!</v>
      </c>
      <c r="DJ17" s="95">
        <f t="shared" si="59"/>
        <v>-9.6831147820009483E-2</v>
      </c>
      <c r="DK17" s="96" t="e">
        <f>#REF!</f>
        <v>#REF!</v>
      </c>
      <c r="DL17" s="95">
        <f t="shared" si="60"/>
        <v>0.71089199322994445</v>
      </c>
      <c r="DM17" s="96">
        <f t="shared" si="15"/>
        <v>0</v>
      </c>
      <c r="DN17" s="94">
        <f t="shared" si="16"/>
        <v>2.4216512888323165</v>
      </c>
      <c r="DO17" s="100">
        <v>3.4</v>
      </c>
      <c r="DP17" s="94">
        <f>IF($O17&lt;&gt;0,IF($O17&lt;&gt;0,BL17/$O17*10,0)," ")</f>
        <v>3.0357121342422513</v>
      </c>
      <c r="DQ17" s="94">
        <f>IF($P17&lt;&gt;0,IF($P17&lt;&gt;0,BM17/$P17*10,0)," ")</f>
        <v>4.206871544145006</v>
      </c>
      <c r="DR17" s="101" t="str">
        <f t="shared" si="17"/>
        <v>3,315, hL/NhL</v>
      </c>
      <c r="DS17" s="147"/>
      <c r="DT17" s="134">
        <v>12</v>
      </c>
      <c r="DU17" s="120">
        <v>622879</v>
      </c>
      <c r="DV17" s="120">
        <v>25966</v>
      </c>
      <c r="DW17" s="120">
        <v>5124888</v>
      </c>
      <c r="DX17" s="120">
        <v>115556</v>
      </c>
      <c r="DY17" s="120">
        <v>84209</v>
      </c>
      <c r="DZ17" s="120">
        <v>389250</v>
      </c>
      <c r="EA17" s="120">
        <v>229043</v>
      </c>
      <c r="EB17" s="120">
        <v>53310</v>
      </c>
      <c r="EC17" s="120">
        <v>400878</v>
      </c>
      <c r="ED17" s="120">
        <v>46694</v>
      </c>
      <c r="EE17" s="120">
        <v>41225</v>
      </c>
      <c r="EF17" s="120">
        <v>38253</v>
      </c>
      <c r="EG17" s="120">
        <v>91742</v>
      </c>
      <c r="EH17" s="120">
        <v>180666</v>
      </c>
      <c r="EI17" s="120">
        <v>31091</v>
      </c>
      <c r="EJ17" s="330">
        <v>40127</v>
      </c>
      <c r="EK17" s="120"/>
      <c r="EL17" s="120">
        <v>696072</v>
      </c>
      <c r="EM17" s="120">
        <v>2770</v>
      </c>
      <c r="EN17" s="120">
        <v>43248</v>
      </c>
      <c r="EO17" s="120">
        <v>2983799</v>
      </c>
      <c r="EP17" s="120">
        <v>2761747</v>
      </c>
      <c r="EQ17" s="120">
        <v>0</v>
      </c>
      <c r="ER17" s="120">
        <v>1152</v>
      </c>
      <c r="ES17" s="120">
        <v>345405</v>
      </c>
      <c r="ET17" s="121">
        <v>8934948</v>
      </c>
      <c r="EU17" s="120">
        <v>416290</v>
      </c>
      <c r="EV17" s="120">
        <v>133073</v>
      </c>
      <c r="EW17" s="120">
        <v>103040</v>
      </c>
      <c r="EX17" s="120">
        <v>206660</v>
      </c>
      <c r="EY17" s="120">
        <v>1628055</v>
      </c>
      <c r="EZ17" s="120">
        <v>768221</v>
      </c>
      <c r="FA17" s="77">
        <v>742624</v>
      </c>
      <c r="FB17" s="77">
        <v>30655.200000000001</v>
      </c>
      <c r="FC17" s="77">
        <v>5629</v>
      </c>
      <c r="FD17" s="104">
        <f t="shared" si="77"/>
        <v>5455</v>
      </c>
      <c r="FE17" s="105">
        <f t="shared" si="18"/>
        <v>0</v>
      </c>
      <c r="FF17" s="105">
        <f t="shared" si="18"/>
        <v>0</v>
      </c>
      <c r="FG17" s="105">
        <f t="shared" si="18"/>
        <v>1454</v>
      </c>
      <c r="FH17" s="105">
        <f t="shared" si="18"/>
        <v>2085</v>
      </c>
      <c r="FI17" s="105">
        <f t="shared" si="18"/>
        <v>534</v>
      </c>
      <c r="FJ17" s="105">
        <f t="shared" si="18"/>
        <v>505</v>
      </c>
      <c r="FK17" s="105">
        <f t="shared" si="18"/>
        <v>0</v>
      </c>
      <c r="FL17" s="105">
        <f t="shared" si="18"/>
        <v>877</v>
      </c>
      <c r="FM17" s="105">
        <f t="shared" si="18"/>
        <v>0</v>
      </c>
      <c r="FN17" s="80">
        <f>IF(FO17="",0,(FO17-FO16))</f>
        <v>0</v>
      </c>
      <c r="FO17" s="303">
        <f>FO16</f>
        <v>1028598</v>
      </c>
      <c r="FP17" s="358"/>
      <c r="FY17" s="119">
        <v>12</v>
      </c>
      <c r="FZ17" s="107"/>
      <c r="GA17" s="107"/>
      <c r="GB17" s="107"/>
      <c r="GC17" s="109"/>
      <c r="GD17" s="110"/>
      <c r="GE17" s="110"/>
      <c r="GF17" s="111"/>
      <c r="GG17" s="111"/>
      <c r="GH17" s="111"/>
      <c r="GI17" s="112"/>
      <c r="GJ17" s="111" t="e">
        <f t="shared" si="61"/>
        <v>#DIV/0!</v>
      </c>
      <c r="GK17" s="113"/>
    </row>
    <row r="18" spans="1:193" s="119" customFormat="1" ht="15" customHeight="1">
      <c r="B18" s="354">
        <f t="shared" si="62"/>
        <v>42899</v>
      </c>
      <c r="D18" s="154">
        <v>3934.8</v>
      </c>
      <c r="E18" s="128">
        <v>3948</v>
      </c>
      <c r="F18" s="128">
        <v>2938.752</v>
      </c>
      <c r="G18" s="86">
        <v>5969.9439999999995</v>
      </c>
      <c r="H18" s="86"/>
      <c r="I18" s="86">
        <v>1785.577</v>
      </c>
      <c r="J18" s="86">
        <v>1882.8</v>
      </c>
      <c r="K18" s="86"/>
      <c r="L18" s="86">
        <v>136.24</v>
      </c>
      <c r="M18" s="115">
        <f t="shared" si="19"/>
        <v>3668.377</v>
      </c>
      <c r="N18" s="88">
        <f t="shared" si="1"/>
        <v>16791.495999999999</v>
      </c>
      <c r="O18" s="88">
        <f t="shared" si="20"/>
        <v>18761.924500000001</v>
      </c>
      <c r="P18" s="89">
        <f t="shared" si="21"/>
        <v>210472.08049999998</v>
      </c>
      <c r="R18" s="170">
        <f t="shared" si="22"/>
        <v>294</v>
      </c>
      <c r="S18" s="170">
        <f t="shared" si="23"/>
        <v>9.6900000000023283</v>
      </c>
      <c r="T18" s="170">
        <f t="shared" si="2"/>
        <v>432.7</v>
      </c>
      <c r="U18" s="91">
        <f t="shared" si="76"/>
        <v>5.4800000000002909</v>
      </c>
      <c r="V18" s="170">
        <f t="shared" si="24"/>
        <v>1285</v>
      </c>
      <c r="W18" s="91">
        <f t="shared" si="3"/>
        <v>114.7</v>
      </c>
      <c r="X18" s="170">
        <f t="shared" si="25"/>
        <v>1285</v>
      </c>
      <c r="Y18" s="170" t="str">
        <f t="shared" si="26"/>
        <v>0</v>
      </c>
      <c r="Z18" s="170">
        <f t="shared" si="4"/>
        <v>150.69999999999999</v>
      </c>
      <c r="AA18" s="170">
        <f t="shared" si="27"/>
        <v>2026.8700000000026</v>
      </c>
      <c r="AB18" s="170">
        <f t="shared" si="28"/>
        <v>159</v>
      </c>
      <c r="AC18" s="170">
        <f t="shared" si="28"/>
        <v>43</v>
      </c>
      <c r="AD18" s="170">
        <f t="shared" si="29"/>
        <v>368</v>
      </c>
      <c r="AE18" s="170">
        <f t="shared" si="30"/>
        <v>166</v>
      </c>
      <c r="AF18" s="170">
        <f t="shared" si="31"/>
        <v>130</v>
      </c>
      <c r="AG18" s="170">
        <f t="shared" si="31"/>
        <v>15</v>
      </c>
      <c r="AH18" s="170">
        <f t="shared" si="32"/>
        <v>236</v>
      </c>
      <c r="AI18" s="170">
        <f t="shared" si="33"/>
        <v>91</v>
      </c>
      <c r="AJ18" s="170">
        <f t="shared" si="34"/>
        <v>198</v>
      </c>
      <c r="AK18" s="170">
        <f t="shared" si="34"/>
        <v>14.5</v>
      </c>
      <c r="AL18" s="170">
        <f t="shared" si="35"/>
        <v>290</v>
      </c>
      <c r="AM18" s="170">
        <f t="shared" si="36"/>
        <v>77.5</v>
      </c>
      <c r="AN18" s="170">
        <f t="shared" si="37"/>
        <v>21.80000000000291</v>
      </c>
      <c r="AO18" s="170">
        <f t="shared" si="5"/>
        <v>70.299999999995634</v>
      </c>
      <c r="AP18" s="170">
        <f t="shared" si="38"/>
        <v>14</v>
      </c>
      <c r="AQ18" s="170">
        <f>IF(AP18=0.1,0,(IF(AP18&gt;=(EH18-EH17),(AP18),(EH18-EH17))))</f>
        <v>74</v>
      </c>
      <c r="AR18" s="170">
        <f t="shared" si="39"/>
        <v>52.38</v>
      </c>
      <c r="AS18" s="170">
        <f t="shared" si="40"/>
        <v>79.38</v>
      </c>
      <c r="AT18" s="170">
        <f t="shared" si="41"/>
        <v>527.38</v>
      </c>
      <c r="AU18" s="170">
        <f t="shared" si="63"/>
        <v>299</v>
      </c>
      <c r="AV18" s="170">
        <f t="shared" si="64"/>
        <v>14</v>
      </c>
      <c r="AW18" s="170">
        <f t="shared" si="65"/>
        <v>149</v>
      </c>
      <c r="AX18" s="170">
        <f t="shared" si="66"/>
        <v>0</v>
      </c>
      <c r="AY18" s="170" t="str">
        <f t="shared" si="66"/>
        <v/>
      </c>
      <c r="AZ18" s="170">
        <f t="shared" si="42"/>
        <v>306</v>
      </c>
      <c r="BA18" s="170">
        <v>55</v>
      </c>
      <c r="BB18" s="170">
        <f t="shared" si="43"/>
        <v>102.89999999999418</v>
      </c>
      <c r="BC18" s="170">
        <f t="shared" si="43"/>
        <v>1040</v>
      </c>
      <c r="BD18" s="91">
        <f t="shared" si="44"/>
        <v>300</v>
      </c>
      <c r="BE18" s="90"/>
      <c r="BF18" s="90"/>
      <c r="BG18" s="90">
        <f t="shared" si="7"/>
        <v>1448.8999999999942</v>
      </c>
      <c r="BH18" s="90">
        <f t="shared" si="45"/>
        <v>1354</v>
      </c>
      <c r="BI18" s="90">
        <f t="shared" si="8"/>
        <v>1507.5500000000075</v>
      </c>
      <c r="BJ18" s="90">
        <f t="shared" si="46"/>
        <v>5055.4499999999925</v>
      </c>
      <c r="BK18" s="92"/>
      <c r="BL18" s="331">
        <f>FD18+FN18</f>
        <v>7917</v>
      </c>
      <c r="BM18" s="93">
        <f t="shared" si="47"/>
        <v>88567</v>
      </c>
      <c r="BN18" s="92"/>
      <c r="BO18" s="94">
        <f t="shared" si="48"/>
        <v>0.17508862819608212</v>
      </c>
      <c r="BP18" s="94">
        <f t="shared" si="48"/>
        <v>5.7707782558518482E-3</v>
      </c>
      <c r="BQ18" s="94">
        <f t="shared" si="49"/>
        <v>0.25768996401511812</v>
      </c>
      <c r="BR18" s="94">
        <f t="shared" si="68"/>
        <v>0.76526832391825006</v>
      </c>
      <c r="BS18" s="94">
        <f t="shared" si="9"/>
        <v>0</v>
      </c>
      <c r="BT18" s="94">
        <f t="shared" si="9"/>
        <v>8.9747810439284259E-2</v>
      </c>
      <c r="BU18" s="95">
        <f t="shared" si="9"/>
        <v>1.2070812511285491</v>
      </c>
      <c r="BV18" s="94">
        <f t="shared" si="10"/>
        <v>0.15670034276068001</v>
      </c>
      <c r="BW18" s="94">
        <f t="shared" si="10"/>
        <v>5.1647153787461025E-3</v>
      </c>
      <c r="BX18" s="94">
        <f t="shared" si="10"/>
        <v>0.23062666092702802</v>
      </c>
      <c r="BY18" s="94">
        <f t="shared" si="50"/>
        <v>0.68489775662406061</v>
      </c>
      <c r="BZ18" s="95">
        <f t="shared" si="11"/>
        <v>1.080310284800476</v>
      </c>
      <c r="CA18" s="96" t="e">
        <f>#REF!</f>
        <v>#REF!</v>
      </c>
      <c r="CB18" s="94">
        <f t="shared" si="51"/>
        <v>2.7918244740831356E-2</v>
      </c>
      <c r="CC18" s="95">
        <f t="shared" si="51"/>
        <v>4.2309092545383599E-2</v>
      </c>
      <c r="CD18" s="97">
        <f t="shared" si="12"/>
        <v>0.14278794137025722</v>
      </c>
      <c r="CE18" s="98">
        <f t="shared" si="12"/>
        <v>0.21638997300441037</v>
      </c>
      <c r="CF18" s="97">
        <f t="shared" si="52"/>
        <v>0.40408661177188165</v>
      </c>
      <c r="CG18" s="94">
        <f t="shared" si="52"/>
        <v>0.10928128494459692</v>
      </c>
      <c r="CH18" s="95">
        <f t="shared" si="53"/>
        <v>0.93524448510724811</v>
      </c>
      <c r="CI18" s="96" t="e">
        <f>#REF!</f>
        <v>#REF!</v>
      </c>
      <c r="CJ18" s="94">
        <f t="shared" si="54"/>
        <v>0.3292806484295846</v>
      </c>
      <c r="CK18" s="94">
        <f t="shared" si="54"/>
        <v>3.7993920972644375E-2</v>
      </c>
      <c r="CL18" s="95">
        <f t="shared" si="69"/>
        <v>0.59777102330293819</v>
      </c>
      <c r="CM18" s="95" t="e">
        <f>#REF!</f>
        <v>#REF!</v>
      </c>
      <c r="CN18" s="94">
        <f t="shared" si="55"/>
        <v>0.67375539004312035</v>
      </c>
      <c r="CO18" s="94">
        <f t="shared" si="55"/>
        <v>4.9340672503157809E-2</v>
      </c>
      <c r="CP18" s="95">
        <f t="shared" si="56"/>
        <v>0.98681345006315602</v>
      </c>
      <c r="CQ18" s="95" t="e">
        <f>#REF!</f>
        <v>#REF!</v>
      </c>
      <c r="CR18" s="97">
        <f t="shared" si="70"/>
        <v>3.6516255428866523E-2</v>
      </c>
      <c r="CS18" s="95">
        <f t="shared" si="70"/>
        <v>0.11775654847012909</v>
      </c>
      <c r="CT18" s="96" t="e">
        <f>#REF!</f>
        <v>#REF!</v>
      </c>
      <c r="CU18" s="97" t="str">
        <f t="shared" si="71"/>
        <v xml:space="preserve">0,00 </v>
      </c>
      <c r="CV18" s="95" t="str">
        <f t="shared" si="57"/>
        <v xml:space="preserve">0,00 </v>
      </c>
      <c r="CW18" s="96" t="e">
        <f>#REF!</f>
        <v>#REF!</v>
      </c>
      <c r="CX18" s="97">
        <f t="shared" si="58"/>
        <v>0.15936531457633782</v>
      </c>
      <c r="CY18" s="98">
        <f t="shared" si="58"/>
        <v>7.4619210838419055E-3</v>
      </c>
      <c r="CZ18" s="97">
        <f t="shared" si="58"/>
        <v>7.9416160106603129E-2</v>
      </c>
      <c r="DA18" s="98">
        <f t="shared" si="58"/>
        <v>0</v>
      </c>
      <c r="DB18" s="94">
        <f t="shared" si="13"/>
        <v>0.16309627511825878</v>
      </c>
      <c r="DC18" s="94">
        <f t="shared" si="14"/>
        <v>5.4845119966234902E-2</v>
      </c>
      <c r="DD18" s="94">
        <f t="shared" si="14"/>
        <v>0.55431413765682724</v>
      </c>
      <c r="DE18" s="94">
        <f t="shared" si="14"/>
        <v>0.15989830893946941</v>
      </c>
      <c r="DF18" s="94">
        <f t="shared" si="14"/>
        <v>0</v>
      </c>
      <c r="DG18" s="94">
        <f t="shared" si="14"/>
        <v>0</v>
      </c>
      <c r="DH18" s="95">
        <f t="shared" si="14"/>
        <v>0.77225553274132097</v>
      </c>
      <c r="DI18" s="96" t="e">
        <f>#REF!</f>
        <v>#REF!</v>
      </c>
      <c r="DJ18" s="95">
        <f t="shared" si="59"/>
        <v>0.72167436768013848</v>
      </c>
      <c r="DK18" s="96" t="e">
        <f>#REF!</f>
        <v>#REF!</v>
      </c>
      <c r="DL18" s="95">
        <f t="shared" si="60"/>
        <v>0.80351565213899423</v>
      </c>
      <c r="DM18" s="96">
        <f t="shared" si="15"/>
        <v>0</v>
      </c>
      <c r="DN18" s="94">
        <f t="shared" si="16"/>
        <v>2.6945263530934644</v>
      </c>
      <c r="DO18" s="100">
        <v>3.4</v>
      </c>
      <c r="DP18" s="94">
        <f>IF($O18&lt;&gt;0,IF($O18&lt;&gt;0,BL18/$O18*10,0)," ")</f>
        <v>4.2197163729125977</v>
      </c>
      <c r="DQ18" s="94">
        <f t="shared" si="74"/>
        <v>4.2080165592319503</v>
      </c>
      <c r="DR18" s="101" t="str">
        <f t="shared" si="17"/>
        <v>3,315, hL/NhL</v>
      </c>
      <c r="DS18" s="147"/>
      <c r="DT18" s="134">
        <v>13</v>
      </c>
      <c r="DU18" s="135">
        <v>623038</v>
      </c>
      <c r="DV18" s="135">
        <v>26009</v>
      </c>
      <c r="DW18" s="135">
        <v>5125256</v>
      </c>
      <c r="DX18" s="156">
        <v>115686</v>
      </c>
      <c r="DY18" s="135">
        <v>84224</v>
      </c>
      <c r="DZ18" s="135">
        <v>389486</v>
      </c>
      <c r="EA18" s="136">
        <v>229241</v>
      </c>
      <c r="EB18" s="136">
        <v>53324.5</v>
      </c>
      <c r="EC18" s="136">
        <v>401168</v>
      </c>
      <c r="ED18" s="136">
        <v>46715.8</v>
      </c>
      <c r="EE18" s="136">
        <v>41273.699999999997</v>
      </c>
      <c r="EF18" s="136">
        <v>38274.6</v>
      </c>
      <c r="EG18" s="135">
        <v>91756</v>
      </c>
      <c r="EH18" s="135">
        <v>180740</v>
      </c>
      <c r="EI18" s="135">
        <v>31105</v>
      </c>
      <c r="EJ18" s="303">
        <v>40127</v>
      </c>
      <c r="EK18" s="136"/>
      <c r="EL18" s="135">
        <v>696366</v>
      </c>
      <c r="EM18" s="136">
        <v>4327</v>
      </c>
      <c r="EN18" s="136">
        <v>43302.8</v>
      </c>
      <c r="EO18" s="135">
        <v>2985084</v>
      </c>
      <c r="EP18" s="136">
        <v>2762894</v>
      </c>
      <c r="EQ18" s="136">
        <v>0</v>
      </c>
      <c r="ER18" s="136">
        <v>1507</v>
      </c>
      <c r="ES18" s="136">
        <v>345880</v>
      </c>
      <c r="ET18" s="136">
        <v>8987328</v>
      </c>
      <c r="EU18" s="303">
        <v>416439</v>
      </c>
      <c r="EV18" s="136">
        <v>133372</v>
      </c>
      <c r="EW18" s="136">
        <v>103346</v>
      </c>
      <c r="EX18" s="136">
        <v>206762.9</v>
      </c>
      <c r="EY18" s="136">
        <v>1629095</v>
      </c>
      <c r="EZ18" s="136">
        <v>768317.9</v>
      </c>
      <c r="FA18" s="145">
        <v>742924</v>
      </c>
      <c r="FB18" s="136">
        <v>30727.599999999999</v>
      </c>
      <c r="FC18" s="136">
        <v>6563</v>
      </c>
      <c r="FD18" s="104">
        <f t="shared" si="77"/>
        <v>6212</v>
      </c>
      <c r="FE18" s="105">
        <f t="shared" si="18"/>
        <v>0</v>
      </c>
      <c r="FF18" s="105">
        <f t="shared" si="18"/>
        <v>0</v>
      </c>
      <c r="FG18" s="105">
        <f t="shared" si="18"/>
        <v>1724</v>
      </c>
      <c r="FH18" s="105">
        <f t="shared" si="18"/>
        <v>2686</v>
      </c>
      <c r="FI18" s="105">
        <f t="shared" si="18"/>
        <v>533</v>
      </c>
      <c r="FJ18" s="105">
        <f t="shared" si="18"/>
        <v>1033</v>
      </c>
      <c r="FK18" s="105">
        <f t="shared" si="18"/>
        <v>0</v>
      </c>
      <c r="FL18" s="105">
        <f t="shared" si="18"/>
        <v>236</v>
      </c>
      <c r="FM18" s="105">
        <f t="shared" si="18"/>
        <v>0</v>
      </c>
      <c r="FN18" s="124">
        <f t="shared" si="75"/>
        <v>1705</v>
      </c>
      <c r="FO18" s="136">
        <f>FO17+1705</f>
        <v>1030303</v>
      </c>
      <c r="FP18" s="106">
        <f>(1032007-FO17)/2</f>
        <v>1704.5</v>
      </c>
      <c r="FY18" s="119">
        <v>13</v>
      </c>
      <c r="FZ18" s="107"/>
      <c r="GA18" s="107"/>
      <c r="GB18" s="107"/>
      <c r="GC18" s="109"/>
      <c r="GD18" s="110"/>
      <c r="GE18" s="110"/>
      <c r="GF18" s="111"/>
      <c r="GG18" s="111"/>
      <c r="GH18" s="111"/>
      <c r="GI18" s="112"/>
      <c r="GJ18" s="111" t="e">
        <f t="shared" si="61"/>
        <v>#DIV/0!</v>
      </c>
      <c r="GK18" s="113"/>
    </row>
    <row r="19" spans="1:193" s="119" customFormat="1" ht="15" customHeight="1">
      <c r="A19" s="119">
        <v>0</v>
      </c>
      <c r="B19" s="354">
        <f t="shared" si="62"/>
        <v>42900</v>
      </c>
      <c r="D19" s="157">
        <v>5357.76</v>
      </c>
      <c r="E19" s="128">
        <v>1776.96</v>
      </c>
      <c r="F19" s="128">
        <v>3050.4960000000001</v>
      </c>
      <c r="G19" s="86">
        <v>5225.5720000000001</v>
      </c>
      <c r="H19" s="86">
        <v>7634.0489999999991</v>
      </c>
      <c r="I19" s="86">
        <v>2486.8229999999999</v>
      </c>
      <c r="J19" s="86">
        <v>6126.6</v>
      </c>
      <c r="K19" s="86">
        <v>7.4589999999999996</v>
      </c>
      <c r="L19" s="86"/>
      <c r="M19" s="115">
        <f t="shared" si="19"/>
        <v>8613.4230000000007</v>
      </c>
      <c r="N19" s="88">
        <f t="shared" si="1"/>
        <v>23044.837</v>
      </c>
      <c r="O19" s="88">
        <f t="shared" si="20"/>
        <v>27351.548500000001</v>
      </c>
      <c r="P19" s="89">
        <f t="shared" si="21"/>
        <v>237823.62899999999</v>
      </c>
      <c r="R19" s="170">
        <f t="shared" si="22"/>
        <v>297</v>
      </c>
      <c r="S19" s="170">
        <f t="shared" si="23"/>
        <v>11.609999999997672</v>
      </c>
      <c r="T19" s="170">
        <f t="shared" si="2"/>
        <v>393.5</v>
      </c>
      <c r="U19" s="91">
        <f t="shared" si="76"/>
        <v>5.819999999999709</v>
      </c>
      <c r="V19" s="170">
        <f t="shared" si="24"/>
        <v>1509</v>
      </c>
      <c r="W19" s="91">
        <f t="shared" si="3"/>
        <v>134</v>
      </c>
      <c r="X19" s="170">
        <f t="shared" si="25"/>
        <v>1509</v>
      </c>
      <c r="Y19" s="170" t="str">
        <f t="shared" si="26"/>
        <v>0</v>
      </c>
      <c r="Z19" s="170">
        <f t="shared" si="4"/>
        <v>173.5</v>
      </c>
      <c r="AA19" s="170">
        <f t="shared" si="27"/>
        <v>2216.9299999999976</v>
      </c>
      <c r="AB19" s="170">
        <f t="shared" si="28"/>
        <v>143</v>
      </c>
      <c r="AC19" s="170">
        <f t="shared" si="28"/>
        <v>43</v>
      </c>
      <c r="AD19" s="170">
        <f t="shared" si="29"/>
        <v>321</v>
      </c>
      <c r="AE19" s="170">
        <f t="shared" si="30"/>
        <v>135</v>
      </c>
      <c r="AF19" s="170">
        <f t="shared" si="31"/>
        <v>0</v>
      </c>
      <c r="AG19" s="170">
        <f t="shared" si="31"/>
        <v>3</v>
      </c>
      <c r="AH19" s="170">
        <f t="shared" si="32"/>
        <v>174</v>
      </c>
      <c r="AI19" s="170">
        <f t="shared" si="33"/>
        <v>171</v>
      </c>
      <c r="AJ19" s="170">
        <f t="shared" si="34"/>
        <v>186</v>
      </c>
      <c r="AK19" s="170">
        <f t="shared" si="34"/>
        <v>82.5</v>
      </c>
      <c r="AL19" s="170">
        <f t="shared" si="35"/>
        <v>382</v>
      </c>
      <c r="AM19" s="170">
        <f t="shared" si="36"/>
        <v>113.5</v>
      </c>
      <c r="AN19" s="170">
        <f t="shared" si="37"/>
        <v>15.19999999999709</v>
      </c>
      <c r="AO19" s="170">
        <f t="shared" si="5"/>
        <v>53.700000000004366</v>
      </c>
      <c r="AP19" s="170">
        <f t="shared" si="38"/>
        <v>58</v>
      </c>
      <c r="AQ19" s="170">
        <f>IF(AP19=0.1,0,(IF(AP19&gt;=(EH19-EH18),(AP19),(EH19-EH18))))</f>
        <v>87</v>
      </c>
      <c r="AR19" s="170">
        <f t="shared" si="39"/>
        <v>38.311999999999998</v>
      </c>
      <c r="AS19" s="170">
        <f t="shared" si="40"/>
        <v>-17.687999999999988</v>
      </c>
      <c r="AT19" s="170">
        <f t="shared" si="41"/>
        <v>767.31200000000001</v>
      </c>
      <c r="AU19" s="170">
        <f t="shared" si="63"/>
        <v>303</v>
      </c>
      <c r="AV19" s="170">
        <f t="shared" si="64"/>
        <v>35</v>
      </c>
      <c r="AW19" s="170">
        <f t="shared" si="65"/>
        <v>482</v>
      </c>
      <c r="AX19" s="170">
        <f t="shared" si="66"/>
        <v>0</v>
      </c>
      <c r="AY19" s="170" t="str">
        <f t="shared" si="66"/>
        <v/>
      </c>
      <c r="AZ19" s="170">
        <f t="shared" si="42"/>
        <v>358</v>
      </c>
      <c r="BA19" s="170">
        <v>87</v>
      </c>
      <c r="BB19" s="170">
        <f t="shared" si="43"/>
        <v>117.10000000000582</v>
      </c>
      <c r="BC19" s="170">
        <f t="shared" si="43"/>
        <v>1178</v>
      </c>
      <c r="BD19" s="91">
        <f t="shared" si="44"/>
        <v>280</v>
      </c>
      <c r="BE19" s="90"/>
      <c r="BF19" s="90"/>
      <c r="BG19" s="90">
        <f t="shared" si="7"/>
        <v>1653.1000000000058</v>
      </c>
      <c r="BH19" s="90">
        <f t="shared" si="45"/>
        <v>1605</v>
      </c>
      <c r="BI19" s="90">
        <f t="shared" si="8"/>
        <v>1291.9579999999924</v>
      </c>
      <c r="BJ19" s="90">
        <f t="shared" si="46"/>
        <v>5690.0420000000076</v>
      </c>
      <c r="BK19" s="92"/>
      <c r="BL19" s="331">
        <f t="shared" si="67"/>
        <v>8587</v>
      </c>
      <c r="BM19" s="93">
        <f t="shared" si="47"/>
        <v>97154</v>
      </c>
      <c r="BN19" s="92"/>
      <c r="BO19" s="94">
        <f t="shared" si="48"/>
        <v>0.12887919320062885</v>
      </c>
      <c r="BP19" s="94">
        <f t="shared" si="48"/>
        <v>5.0380048251144807E-3</v>
      </c>
      <c r="BQ19" s="94">
        <f t="shared" si="49"/>
        <v>0.17075408257389713</v>
      </c>
      <c r="BR19" s="94">
        <f t="shared" si="68"/>
        <v>0.65481044626178087</v>
      </c>
      <c r="BS19" s="94">
        <f t="shared" si="9"/>
        <v>0</v>
      </c>
      <c r="BT19" s="94">
        <f t="shared" si="9"/>
        <v>7.5288013536394291E-2</v>
      </c>
      <c r="BU19" s="95">
        <f t="shared" si="9"/>
        <v>0.9620072383241407</v>
      </c>
      <c r="BV19" s="94">
        <f t="shared" si="10"/>
        <v>0.10858617383216895</v>
      </c>
      <c r="BW19" s="94">
        <f t="shared" si="10"/>
        <v>4.2447322498021176E-3</v>
      </c>
      <c r="BX19" s="94">
        <f t="shared" si="10"/>
        <v>0.14386754007730129</v>
      </c>
      <c r="BY19" s="94">
        <f t="shared" si="50"/>
        <v>0.551705509470515</v>
      </c>
      <c r="BZ19" s="95">
        <f t="shared" si="11"/>
        <v>0.81053180590488227</v>
      </c>
      <c r="CA19" s="96" t="e">
        <f>#REF!</f>
        <v>#REF!</v>
      </c>
      <c r="CB19" s="94">
        <f t="shared" si="51"/>
        <v>1.400725081433689E-2</v>
      </c>
      <c r="CC19" s="95">
        <f t="shared" si="51"/>
        <v>-6.4669099082269466E-3</v>
      </c>
      <c r="CD19" s="97">
        <f t="shared" si="12"/>
        <v>4.4479413120660623E-2</v>
      </c>
      <c r="CE19" s="98">
        <f t="shared" si="12"/>
        <v>-2.0535389937310623E-2</v>
      </c>
      <c r="CF19" s="97">
        <f t="shared" si="52"/>
        <v>0.26690258615540818</v>
      </c>
      <c r="CG19" s="94">
        <f t="shared" si="52"/>
        <v>8.0257421011766111E-2</v>
      </c>
      <c r="CH19" s="95">
        <f t="shared" si="53"/>
        <v>0.59913098011109123</v>
      </c>
      <c r="CI19" s="96" t="e">
        <f>#REF!</f>
        <v>#REF!</v>
      </c>
      <c r="CJ19" s="94">
        <f t="shared" si="54"/>
        <v>0</v>
      </c>
      <c r="CK19" s="94">
        <f t="shared" si="54"/>
        <v>1.68827660723933E-2</v>
      </c>
      <c r="CL19" s="95">
        <f t="shared" si="69"/>
        <v>0.97920043219881137</v>
      </c>
      <c r="CM19" s="95" t="e">
        <f>#REF!</f>
        <v>#REF!</v>
      </c>
      <c r="CN19" s="94">
        <f t="shared" si="55"/>
        <v>0.60973690835850958</v>
      </c>
      <c r="CO19" s="94">
        <f t="shared" si="55"/>
        <v>0.2704478222557905</v>
      </c>
      <c r="CP19" s="95">
        <f t="shared" si="56"/>
        <v>1.2522553709298423</v>
      </c>
      <c r="CQ19" s="95" t="e">
        <f>#REF!</f>
        <v>#REF!</v>
      </c>
      <c r="CR19" s="97">
        <f t="shared" si="70"/>
        <v>2.9087724750509782E-2</v>
      </c>
      <c r="CS19" s="95">
        <f t="shared" si="70"/>
        <v>0.10276386967781588</v>
      </c>
      <c r="CT19" s="96" t="e">
        <f>#REF!</f>
        <v>#REF!</v>
      </c>
      <c r="CU19" s="97">
        <f t="shared" si="71"/>
        <v>7.5975409641724861E-2</v>
      </c>
      <c r="CV19" s="95">
        <f t="shared" si="57"/>
        <v>0.11396311446258731</v>
      </c>
      <c r="CW19" s="96" t="e">
        <f>#REF!</f>
        <v>#REF!</v>
      </c>
      <c r="CX19" s="97">
        <f t="shared" si="58"/>
        <v>0.11077983390958651</v>
      </c>
      <c r="CY19" s="98">
        <f t="shared" si="58"/>
        <v>1.2796350451602403E-2</v>
      </c>
      <c r="CZ19" s="97">
        <f t="shared" si="58"/>
        <v>0.17622402621921021</v>
      </c>
      <c r="DA19" s="98">
        <f t="shared" si="58"/>
        <v>0</v>
      </c>
      <c r="DB19" s="94">
        <f t="shared" si="13"/>
        <v>0.13088838461924743</v>
      </c>
      <c r="DC19" s="94">
        <f t="shared" si="14"/>
        <v>4.2812932510934737E-2</v>
      </c>
      <c r="DD19" s="94">
        <f t="shared" si="14"/>
        <v>0.43068859519964653</v>
      </c>
      <c r="DE19" s="94">
        <f t="shared" si="14"/>
        <v>0.10237080361281922</v>
      </c>
      <c r="DF19" s="94">
        <f t="shared" si="14"/>
        <v>0</v>
      </c>
      <c r="DG19" s="94">
        <f t="shared" si="14"/>
        <v>0</v>
      </c>
      <c r="DH19" s="95">
        <f t="shared" si="14"/>
        <v>0.60438991232982875</v>
      </c>
      <c r="DI19" s="96" t="e">
        <f>#REF!</f>
        <v>#REF!</v>
      </c>
      <c r="DJ19" s="95">
        <f t="shared" si="59"/>
        <v>0.58680407070919582</v>
      </c>
      <c r="DK19" s="96" t="e">
        <f>#REF!</f>
        <v>#REF!</v>
      </c>
      <c r="DL19" s="95">
        <f t="shared" si="60"/>
        <v>0.47235278105003542</v>
      </c>
      <c r="DM19" s="96">
        <f t="shared" si="15"/>
        <v>0</v>
      </c>
      <c r="DN19" s="94">
        <f t="shared" si="16"/>
        <v>2.0803363290381922</v>
      </c>
      <c r="DO19" s="100">
        <v>3.4</v>
      </c>
      <c r="DP19" s="94">
        <f>IF($O19&lt;&gt;0,IF($O19&lt;&gt;0,BL19/$O19*10,0)," ")</f>
        <v>3.1394931807974236</v>
      </c>
      <c r="DQ19" s="94">
        <f t="shared" si="74"/>
        <v>4.0851281434276663</v>
      </c>
      <c r="DR19" s="101" t="str">
        <f t="shared" si="17"/>
        <v>3,315, hL/NhL</v>
      </c>
      <c r="DS19" s="147"/>
      <c r="DT19" s="103">
        <v>14</v>
      </c>
      <c r="DU19" s="135">
        <v>623181</v>
      </c>
      <c r="DV19" s="135">
        <v>26052</v>
      </c>
      <c r="DW19" s="135">
        <v>5125577</v>
      </c>
      <c r="DX19" s="360">
        <v>115686</v>
      </c>
      <c r="DY19" s="361">
        <v>84227</v>
      </c>
      <c r="DZ19" s="135">
        <v>389660</v>
      </c>
      <c r="EA19" s="135">
        <v>229427</v>
      </c>
      <c r="EB19" s="136">
        <v>53407</v>
      </c>
      <c r="EC19" s="135">
        <v>401550</v>
      </c>
      <c r="ED19" s="135">
        <v>46731</v>
      </c>
      <c r="EE19" s="136">
        <v>41305</v>
      </c>
      <c r="EF19" s="136">
        <v>38297</v>
      </c>
      <c r="EG19" s="135">
        <v>91814</v>
      </c>
      <c r="EH19" s="135">
        <v>180827</v>
      </c>
      <c r="EI19" s="135">
        <v>31140</v>
      </c>
      <c r="EJ19" s="303">
        <v>40127</v>
      </c>
      <c r="EK19" s="136"/>
      <c r="EL19" s="135">
        <v>696663</v>
      </c>
      <c r="EM19" s="136">
        <v>3935</v>
      </c>
      <c r="EN19" s="136">
        <v>43361</v>
      </c>
      <c r="EO19" s="135">
        <v>2986593</v>
      </c>
      <c r="EP19" s="136">
        <v>2764234</v>
      </c>
      <c r="EQ19" s="136">
        <v>0</v>
      </c>
      <c r="ER19" s="136">
        <v>1735</v>
      </c>
      <c r="ES19" s="136">
        <v>346609</v>
      </c>
      <c r="ET19" s="303">
        <v>9025640</v>
      </c>
      <c r="EU19" s="136">
        <v>416921</v>
      </c>
      <c r="EV19" s="120">
        <v>133675</v>
      </c>
      <c r="EW19" s="136">
        <v>103704</v>
      </c>
      <c r="EX19" s="136">
        <v>206880</v>
      </c>
      <c r="EY19" s="136">
        <v>1630273</v>
      </c>
      <c r="EZ19" s="136">
        <v>768434</v>
      </c>
      <c r="FA19" s="145">
        <v>743204</v>
      </c>
      <c r="FB19" s="136">
        <v>30805</v>
      </c>
      <c r="FC19" s="136">
        <v>6982</v>
      </c>
      <c r="FD19" s="104">
        <f t="shared" si="77"/>
        <v>6882</v>
      </c>
      <c r="FE19" s="105">
        <f t="shared" si="18"/>
        <v>0</v>
      </c>
      <c r="FF19" s="105">
        <f t="shared" si="18"/>
        <v>0</v>
      </c>
      <c r="FG19" s="105">
        <f t="shared" si="18"/>
        <v>1688</v>
      </c>
      <c r="FH19" s="105">
        <f t="shared" si="18"/>
        <v>2603</v>
      </c>
      <c r="FI19" s="105">
        <f t="shared" si="18"/>
        <v>599</v>
      </c>
      <c r="FJ19" s="105">
        <f t="shared" si="18"/>
        <v>815</v>
      </c>
      <c r="FK19" s="105">
        <f t="shared" si="18"/>
        <v>0</v>
      </c>
      <c r="FL19" s="105">
        <f t="shared" si="18"/>
        <v>1177</v>
      </c>
      <c r="FM19" s="105">
        <f t="shared" si="18"/>
        <v>0</v>
      </c>
      <c r="FN19" s="124">
        <f>IF(FO19="",0,(FO19-FO18))</f>
        <v>1705</v>
      </c>
      <c r="FO19" s="136">
        <f>FO18+FP19</f>
        <v>1032008</v>
      </c>
      <c r="FP19" s="106">
        <v>1705</v>
      </c>
      <c r="FY19" s="119">
        <v>14</v>
      </c>
      <c r="FZ19" s="107"/>
      <c r="GA19" s="107"/>
      <c r="GB19" s="107"/>
      <c r="GC19" s="109"/>
      <c r="GD19" s="110"/>
      <c r="GE19" s="110"/>
      <c r="GF19" s="111"/>
      <c r="GG19" s="111"/>
      <c r="GH19" s="111"/>
      <c r="GI19" s="112"/>
      <c r="GJ19" s="111" t="e">
        <f t="shared" si="61"/>
        <v>#DIV/0!</v>
      </c>
      <c r="GK19" s="113"/>
    </row>
    <row r="20" spans="1:193" s="119" customFormat="1" ht="15" customHeight="1">
      <c r="B20" s="354">
        <f t="shared" si="62"/>
        <v>42901</v>
      </c>
      <c r="D20" s="159">
        <v>4944</v>
      </c>
      <c r="E20" s="128"/>
      <c r="F20" s="86">
        <v>2146.8960000000002</v>
      </c>
      <c r="G20" s="86">
        <v>5517.1479999999992</v>
      </c>
      <c r="H20" s="86">
        <v>7977.902</v>
      </c>
      <c r="I20" s="86">
        <v>758.89300000000003</v>
      </c>
      <c r="J20" s="86">
        <v>5400</v>
      </c>
      <c r="K20" s="86"/>
      <c r="L20" s="86">
        <v>136.24</v>
      </c>
      <c r="M20" s="115">
        <f t="shared" si="19"/>
        <v>6158.893</v>
      </c>
      <c r="N20" s="88">
        <f t="shared" si="1"/>
        <v>20585.946</v>
      </c>
      <c r="O20" s="88">
        <f>N20+L20+((J20+I20)*0.5)</f>
        <v>23801.6325</v>
      </c>
      <c r="P20" s="89">
        <f t="shared" si="21"/>
        <v>261625.26149999999</v>
      </c>
      <c r="R20" s="170">
        <f t="shared" si="22"/>
        <v>248</v>
      </c>
      <c r="S20" s="170">
        <f t="shared" si="23"/>
        <v>46.8</v>
      </c>
      <c r="T20" s="170">
        <f t="shared" si="2"/>
        <v>331.4</v>
      </c>
      <c r="U20" s="91">
        <f t="shared" si="76"/>
        <v>4.45</v>
      </c>
      <c r="V20" s="170">
        <f t="shared" si="24"/>
        <v>1289</v>
      </c>
      <c r="W20" s="91">
        <f t="shared" si="3"/>
        <v>115</v>
      </c>
      <c r="X20" s="170">
        <f t="shared" si="25"/>
        <v>1289</v>
      </c>
      <c r="Y20" s="170" t="str">
        <f t="shared" si="26"/>
        <v>0</v>
      </c>
      <c r="Z20" s="170">
        <f t="shared" si="4"/>
        <v>122.3</v>
      </c>
      <c r="AA20" s="170">
        <f t="shared" si="27"/>
        <v>1919.65</v>
      </c>
      <c r="AB20" s="170">
        <f t="shared" si="28"/>
        <v>194</v>
      </c>
      <c r="AC20" s="170">
        <f t="shared" si="28"/>
        <v>45</v>
      </c>
      <c r="AD20" s="170">
        <f t="shared" si="29"/>
        <v>313</v>
      </c>
      <c r="AE20" s="170">
        <f t="shared" si="30"/>
        <v>74</v>
      </c>
      <c r="AF20" s="170">
        <f t="shared" si="31"/>
        <v>168</v>
      </c>
      <c r="AG20" s="170">
        <f t="shared" si="31"/>
        <v>79</v>
      </c>
      <c r="AH20" s="170">
        <f t="shared" si="32"/>
        <v>247</v>
      </c>
      <c r="AI20" s="170">
        <f t="shared" si="33"/>
        <v>0</v>
      </c>
      <c r="AJ20" s="170">
        <f t="shared" si="34"/>
        <v>204</v>
      </c>
      <c r="AK20" s="170">
        <f t="shared" si="34"/>
        <v>33</v>
      </c>
      <c r="AL20" s="170">
        <f t="shared" si="35"/>
        <v>299</v>
      </c>
      <c r="AM20" s="170">
        <f t="shared" si="36"/>
        <v>62</v>
      </c>
      <c r="AN20" s="170">
        <f t="shared" si="37"/>
        <v>22</v>
      </c>
      <c r="AO20" s="170">
        <f t="shared" si="5"/>
        <v>56</v>
      </c>
      <c r="AP20" s="170">
        <f t="shared" si="38"/>
        <v>29</v>
      </c>
      <c r="AQ20" s="170">
        <f t="shared" si="6"/>
        <v>51</v>
      </c>
      <c r="AR20" s="170">
        <f t="shared" si="39"/>
        <v>96.641000000000005</v>
      </c>
      <c r="AS20" s="170">
        <f t="shared" si="40"/>
        <v>180.64099999999996</v>
      </c>
      <c r="AT20" s="170">
        <f t="shared" si="41"/>
        <v>817.64099999999996</v>
      </c>
      <c r="AU20" s="170">
        <f t="shared" si="63"/>
        <v>142</v>
      </c>
      <c r="AV20" s="170">
        <f t="shared" si="64"/>
        <v>37</v>
      </c>
      <c r="AW20" s="170">
        <f t="shared" si="65"/>
        <v>495</v>
      </c>
      <c r="AX20" s="170">
        <f t="shared" si="66"/>
        <v>0</v>
      </c>
      <c r="AY20" s="170" t="str">
        <f t="shared" si="66"/>
        <v/>
      </c>
      <c r="AZ20" s="170">
        <f t="shared" si="42"/>
        <v>234</v>
      </c>
      <c r="BA20" s="170">
        <v>112</v>
      </c>
      <c r="BB20" s="170">
        <f t="shared" si="43"/>
        <v>88</v>
      </c>
      <c r="BC20" s="170">
        <f t="shared" si="43"/>
        <v>894</v>
      </c>
      <c r="BD20" s="91">
        <f t="shared" si="44"/>
        <v>236</v>
      </c>
      <c r="BE20" s="90"/>
      <c r="BF20" s="90"/>
      <c r="BG20" s="90">
        <f t="shared" si="7"/>
        <v>1216</v>
      </c>
      <c r="BH20" s="90">
        <f t="shared" si="45"/>
        <v>348</v>
      </c>
      <c r="BI20" s="90">
        <f t="shared" si="8"/>
        <v>1800.7090000000007</v>
      </c>
      <c r="BJ20" s="90">
        <f t="shared" si="46"/>
        <v>4956.2909999999993</v>
      </c>
      <c r="BK20" s="92"/>
      <c r="BL20" s="331">
        <f t="shared" si="67"/>
        <v>7105</v>
      </c>
      <c r="BM20" s="93">
        <f t="shared" si="47"/>
        <v>104259</v>
      </c>
      <c r="BN20" s="92"/>
      <c r="BO20" s="94">
        <f t="shared" si="48"/>
        <v>0.12047053849262016</v>
      </c>
      <c r="BP20" s="94">
        <f t="shared" si="48"/>
        <v>2.2733956457478319E-2</v>
      </c>
      <c r="BQ20" s="94">
        <f t="shared" si="49"/>
        <v>0.16098361474376741</v>
      </c>
      <c r="BR20" s="94">
        <f t="shared" si="68"/>
        <v>0.62615533918140076</v>
      </c>
      <c r="BS20" s="94">
        <f t="shared" si="9"/>
        <v>0</v>
      </c>
      <c r="BT20" s="94">
        <f t="shared" si="9"/>
        <v>5.9409463135675182E-2</v>
      </c>
      <c r="BU20" s="95">
        <f t="shared" si="9"/>
        <v>0.93250511781192869</v>
      </c>
      <c r="BV20" s="94">
        <f t="shared" si="10"/>
        <v>0.10419453371528192</v>
      </c>
      <c r="BW20" s="94">
        <f t="shared" si="10"/>
        <v>1.966251684627094E-2</v>
      </c>
      <c r="BX20" s="94">
        <f t="shared" si="10"/>
        <v>0.13923414706953399</v>
      </c>
      <c r="BY20" s="94">
        <f t="shared" si="50"/>
        <v>0.54155949177015483</v>
      </c>
      <c r="BZ20" s="95">
        <f t="shared" si="11"/>
        <v>0.80652030905863281</v>
      </c>
      <c r="CA20" s="96" t="e">
        <f>#REF!</f>
        <v>#REF!</v>
      </c>
      <c r="CB20" s="94">
        <f t="shared" si="51"/>
        <v>4.0602677148300653E-2</v>
      </c>
      <c r="CC20" s="95">
        <f t="shared" si="51"/>
        <v>7.5894374051863861E-2</v>
      </c>
      <c r="CD20" s="97">
        <f t="shared" si="12"/>
        <v>0.15691293873752962</v>
      </c>
      <c r="CE20" s="98">
        <f t="shared" si="12"/>
        <v>0.29330108511383451</v>
      </c>
      <c r="CF20" s="97">
        <f t="shared" si="52"/>
        <v>0.39239482200647247</v>
      </c>
      <c r="CG20" s="94">
        <f t="shared" si="52"/>
        <v>9.1019417475728143E-2</v>
      </c>
      <c r="CH20" s="95">
        <f t="shared" si="53"/>
        <v>0.63309061488673146</v>
      </c>
      <c r="CI20" s="96" t="e">
        <f>#REF!</f>
        <v>#REF!</v>
      </c>
      <c r="CJ20" s="94" t="str">
        <f t="shared" si="54"/>
        <v>0,00</v>
      </c>
      <c r="CK20" s="94" t="str">
        <f t="shared" si="54"/>
        <v>0,00</v>
      </c>
      <c r="CL20" s="95" t="str">
        <f t="shared" si="69"/>
        <v xml:space="preserve">0,00 </v>
      </c>
      <c r="CM20" s="95" t="e">
        <f>#REF!</f>
        <v>#REF!</v>
      </c>
      <c r="CN20" s="94">
        <f t="shared" si="55"/>
        <v>0.9502090459901178</v>
      </c>
      <c r="CO20" s="94">
        <f t="shared" si="55"/>
        <v>0.15371028685134258</v>
      </c>
      <c r="CP20" s="95">
        <f t="shared" si="56"/>
        <v>1.3927083566227705</v>
      </c>
      <c r="CQ20" s="95" t="e">
        <f>#REF!</f>
        <v>#REF!</v>
      </c>
      <c r="CR20" s="97">
        <f t="shared" si="70"/>
        <v>3.9875674895797616E-2</v>
      </c>
      <c r="CS20" s="95">
        <f t="shared" si="70"/>
        <v>0.10150171791657575</v>
      </c>
      <c r="CT20" s="96" t="e">
        <f>#REF!</f>
        <v>#REF!</v>
      </c>
      <c r="CU20" s="97">
        <f t="shared" si="71"/>
        <v>3.635040891703107E-2</v>
      </c>
      <c r="CV20" s="95">
        <f t="shared" si="57"/>
        <v>6.3926581198916713E-2</v>
      </c>
      <c r="CW20" s="96" t="e">
        <f>#REF!</f>
        <v>#REF!</v>
      </c>
      <c r="CX20" s="97">
        <f t="shared" si="58"/>
        <v>5.9659773336975939E-2</v>
      </c>
      <c r="CY20" s="98">
        <f t="shared" si="58"/>
        <v>1.55451522075219E-2</v>
      </c>
      <c r="CZ20" s="97">
        <f t="shared" si="58"/>
        <v>0.20796892818171192</v>
      </c>
      <c r="DA20" s="98">
        <f t="shared" si="58"/>
        <v>0</v>
      </c>
      <c r="DB20" s="94">
        <f t="shared" si="13"/>
        <v>9.8312584231354722E-2</v>
      </c>
      <c r="DC20" s="94">
        <f t="shared" si="14"/>
        <v>3.6972253898971005E-2</v>
      </c>
      <c r="DD20" s="94">
        <f t="shared" si="14"/>
        <v>0.37560448847363725</v>
      </c>
      <c r="DE20" s="94">
        <f t="shared" si="14"/>
        <v>9.91528627290586E-2</v>
      </c>
      <c r="DF20" s="94">
        <f t="shared" si="14"/>
        <v>0</v>
      </c>
      <c r="DG20" s="94">
        <f t="shared" si="14"/>
        <v>0</v>
      </c>
      <c r="DH20" s="95">
        <f t="shared" si="14"/>
        <v>0.51088932660396291</v>
      </c>
      <c r="DI20" s="96" t="e">
        <f>#REF!</f>
        <v>#REF!</v>
      </c>
      <c r="DJ20" s="95">
        <f t="shared" si="59"/>
        <v>0.14620845860047627</v>
      </c>
      <c r="DK20" s="96" t="e">
        <f>#REF!</f>
        <v>#REF!</v>
      </c>
      <c r="DL20" s="95">
        <f t="shared" si="60"/>
        <v>0.7565485266609342</v>
      </c>
      <c r="DM20" s="96">
        <f t="shared" si="15"/>
        <v>0</v>
      </c>
      <c r="DN20" s="94">
        <f t="shared" si="16"/>
        <v>2.0823323778316465</v>
      </c>
      <c r="DO20" s="100">
        <v>3.4</v>
      </c>
      <c r="DP20" s="94">
        <f>IF($O20&lt;&gt;0,IF($O20&lt;&gt;0,BL20/$O20*10,0)," ")</f>
        <v>2.9850893630930568</v>
      </c>
      <c r="DQ20" s="94">
        <f>IF($P20&lt;&gt;0,IF($P20&lt;&gt;0,BM20/$P20*10,0)," ")</f>
        <v>3.985050961907973</v>
      </c>
      <c r="DR20" s="101" t="str">
        <f t="shared" si="17"/>
        <v>3,315, hL/NhL</v>
      </c>
      <c r="DS20" s="147"/>
      <c r="DT20" s="103">
        <v>15</v>
      </c>
      <c r="DU20" s="120">
        <v>623375</v>
      </c>
      <c r="DV20" s="120">
        <v>26097</v>
      </c>
      <c r="DW20" s="120">
        <v>5125890</v>
      </c>
      <c r="DX20" s="120">
        <v>115854</v>
      </c>
      <c r="DY20" s="120">
        <v>84306</v>
      </c>
      <c r="DZ20" s="120">
        <v>389870</v>
      </c>
      <c r="EA20" s="120">
        <v>229631</v>
      </c>
      <c r="EB20" s="120">
        <v>53440</v>
      </c>
      <c r="EC20" s="120">
        <v>401849</v>
      </c>
      <c r="ED20" s="120">
        <v>46753</v>
      </c>
      <c r="EE20" s="120">
        <v>41342</v>
      </c>
      <c r="EF20" s="120">
        <v>38316</v>
      </c>
      <c r="EG20" s="120">
        <v>91843</v>
      </c>
      <c r="EH20" s="120">
        <v>180878</v>
      </c>
      <c r="EI20" s="120">
        <v>31177</v>
      </c>
      <c r="EJ20" s="330">
        <v>40127</v>
      </c>
      <c r="EK20" s="120"/>
      <c r="EL20" s="120">
        <v>696911</v>
      </c>
      <c r="EM20" s="120">
        <v>3314</v>
      </c>
      <c r="EN20" s="121">
        <v>43405.5</v>
      </c>
      <c r="EO20" s="120">
        <v>2987882</v>
      </c>
      <c r="EP20" s="120">
        <v>2765384</v>
      </c>
      <c r="EQ20" s="120">
        <v>0</v>
      </c>
      <c r="ER20" s="120">
        <v>1223</v>
      </c>
      <c r="ES20" s="120">
        <v>347330</v>
      </c>
      <c r="ET20" s="120">
        <v>9122281</v>
      </c>
      <c r="EU20" s="120">
        <v>417416</v>
      </c>
      <c r="EV20" s="120">
        <v>133817</v>
      </c>
      <c r="EW20" s="120">
        <v>103938</v>
      </c>
      <c r="EX20" s="120">
        <v>206968</v>
      </c>
      <c r="EY20" s="120">
        <v>1631167</v>
      </c>
      <c r="EZ20" s="120">
        <v>768902</v>
      </c>
      <c r="FA20" s="151">
        <v>743440</v>
      </c>
      <c r="FB20" s="77">
        <v>30924.9</v>
      </c>
      <c r="FC20" s="77">
        <v>6757</v>
      </c>
      <c r="FD20" s="104">
        <f t="shared" si="77"/>
        <v>5805</v>
      </c>
      <c r="FE20" s="105">
        <f t="shared" si="18"/>
        <v>0</v>
      </c>
      <c r="FF20" s="105">
        <f t="shared" si="18"/>
        <v>0</v>
      </c>
      <c r="FG20" s="105">
        <f t="shared" si="18"/>
        <v>1683</v>
      </c>
      <c r="FH20" s="105">
        <f t="shared" si="18"/>
        <v>2132</v>
      </c>
      <c r="FI20" s="105">
        <f t="shared" si="18"/>
        <v>551</v>
      </c>
      <c r="FJ20" s="105">
        <f t="shared" si="18"/>
        <v>833</v>
      </c>
      <c r="FK20" s="105">
        <f t="shared" si="18"/>
        <v>0</v>
      </c>
      <c r="FL20" s="105">
        <f t="shared" si="18"/>
        <v>606</v>
      </c>
      <c r="FM20" s="105">
        <f t="shared" si="18"/>
        <v>0</v>
      </c>
      <c r="FN20" s="124">
        <f>IF(FO20="",0,(FO20-FO19))</f>
        <v>1300</v>
      </c>
      <c r="FO20" s="104">
        <f>FO19+1300</f>
        <v>1033308</v>
      </c>
      <c r="FP20" s="158"/>
      <c r="FY20" s="119">
        <v>15</v>
      </c>
      <c r="FZ20" s="107"/>
      <c r="GA20" s="107"/>
      <c r="GB20" s="107"/>
      <c r="GC20" s="109"/>
      <c r="GD20" s="110"/>
      <c r="GE20" s="110"/>
      <c r="GF20" s="111"/>
      <c r="GG20" s="111"/>
      <c r="GH20" s="111"/>
      <c r="GI20" s="112"/>
      <c r="GJ20" s="111" t="e">
        <f t="shared" si="61"/>
        <v>#DIV/0!</v>
      </c>
      <c r="GK20" s="113"/>
    </row>
    <row r="21" spans="1:193" s="119" customFormat="1" ht="15" customHeight="1">
      <c r="B21" s="354">
        <f t="shared" si="62"/>
        <v>42902</v>
      </c>
      <c r="D21" s="159">
        <v>4320</v>
      </c>
      <c r="E21" s="128">
        <v>3930.4799999999996</v>
      </c>
      <c r="F21" s="86">
        <v>588.67200000000003</v>
      </c>
      <c r="G21" s="86">
        <v>3762.7939999999999</v>
      </c>
      <c r="H21" s="86">
        <v>5539.3789999999999</v>
      </c>
      <c r="I21" s="86">
        <v>1886.7379999999998</v>
      </c>
      <c r="J21" s="86">
        <v>4530.3600000000006</v>
      </c>
      <c r="K21" s="86"/>
      <c r="L21" s="86">
        <v>136</v>
      </c>
      <c r="M21" s="115">
        <f t="shared" si="19"/>
        <v>6417.098</v>
      </c>
      <c r="N21" s="88">
        <f t="shared" si="1"/>
        <v>18141.325000000001</v>
      </c>
      <c r="O21" s="88">
        <f>N21+L21+((J21+I21)*0.5)</f>
        <v>21485.874</v>
      </c>
      <c r="P21" s="89">
        <f t="shared" si="21"/>
        <v>283111.13549999997</v>
      </c>
      <c r="R21" s="170">
        <f t="shared" si="22"/>
        <v>279</v>
      </c>
      <c r="S21" s="170">
        <f t="shared" si="23"/>
        <v>28.419999999995344</v>
      </c>
      <c r="T21" s="170">
        <f t="shared" si="2"/>
        <v>524.79999999999995</v>
      </c>
      <c r="U21" s="91">
        <f t="shared" si="76"/>
        <v>5.4400000000001452</v>
      </c>
      <c r="V21" s="170">
        <f t="shared" si="24"/>
        <v>1171</v>
      </c>
      <c r="W21" s="91">
        <f t="shared" si="3"/>
        <v>105.1</v>
      </c>
      <c r="X21" s="170">
        <f t="shared" si="25"/>
        <v>1171</v>
      </c>
      <c r="Y21" s="170" t="str">
        <f t="shared" si="26"/>
        <v>0</v>
      </c>
      <c r="Z21" s="170">
        <f t="shared" si="4"/>
        <v>119</v>
      </c>
      <c r="AA21" s="170">
        <f t="shared" si="27"/>
        <v>2008.6599999999953</v>
      </c>
      <c r="AB21" s="170">
        <f t="shared" si="28"/>
        <v>160</v>
      </c>
      <c r="AC21" s="170">
        <f t="shared" si="28"/>
        <v>26</v>
      </c>
      <c r="AD21" s="170">
        <f t="shared" si="29"/>
        <v>306</v>
      </c>
      <c r="AE21" s="170">
        <f t="shared" si="30"/>
        <v>120</v>
      </c>
      <c r="AF21" s="170">
        <f t="shared" si="31"/>
        <v>115</v>
      </c>
      <c r="AG21" s="170">
        <f t="shared" si="31"/>
        <v>17</v>
      </c>
      <c r="AH21" s="170">
        <f t="shared" si="32"/>
        <v>226</v>
      </c>
      <c r="AI21" s="170">
        <f t="shared" si="33"/>
        <v>94</v>
      </c>
      <c r="AJ21" s="170">
        <f t="shared" si="34"/>
        <v>98</v>
      </c>
      <c r="AK21" s="170">
        <f t="shared" si="34"/>
        <v>81.400000000001455</v>
      </c>
      <c r="AL21" s="170">
        <f t="shared" si="35"/>
        <v>297</v>
      </c>
      <c r="AM21" s="170">
        <f t="shared" si="36"/>
        <v>117.59999999999854</v>
      </c>
      <c r="AN21" s="170">
        <f t="shared" si="37"/>
        <v>29</v>
      </c>
      <c r="AO21" s="170">
        <f t="shared" si="5"/>
        <v>72</v>
      </c>
      <c r="AP21" s="170">
        <f t="shared" si="38"/>
        <v>29</v>
      </c>
      <c r="AQ21" s="170">
        <f t="shared" si="6"/>
        <v>56</v>
      </c>
      <c r="AR21" s="170">
        <f t="shared" si="39"/>
        <v>101.211</v>
      </c>
      <c r="AS21" s="170">
        <f t="shared" si="40"/>
        <v>43.211000000000013</v>
      </c>
      <c r="AT21" s="170">
        <f t="shared" si="41"/>
        <v>702.21100000000001</v>
      </c>
      <c r="AU21" s="170">
        <f t="shared" si="63"/>
        <v>279</v>
      </c>
      <c r="AV21" s="170">
        <f t="shared" si="64"/>
        <v>37</v>
      </c>
      <c r="AW21" s="170">
        <f t="shared" si="65"/>
        <v>380</v>
      </c>
      <c r="AX21" s="170">
        <f t="shared" si="66"/>
        <v>0</v>
      </c>
      <c r="AY21" s="170" t="str">
        <f t="shared" si="66"/>
        <v/>
      </c>
      <c r="AZ21" s="170">
        <f t="shared" si="42"/>
        <v>248</v>
      </c>
      <c r="BA21" s="170">
        <v>77</v>
      </c>
      <c r="BB21" s="170">
        <f t="shared" si="43"/>
        <v>120.39999999999418</v>
      </c>
      <c r="BC21" s="170">
        <f t="shared" si="43"/>
        <v>1085.5</v>
      </c>
      <c r="BD21" s="91">
        <f t="shared" si="44"/>
        <v>12</v>
      </c>
      <c r="BE21" s="90"/>
      <c r="BF21" s="90"/>
      <c r="BG21" s="90">
        <f t="shared" si="7"/>
        <v>1453.8999999999942</v>
      </c>
      <c r="BH21" s="90">
        <f t="shared" si="45"/>
        <v>2064.9000000000233</v>
      </c>
      <c r="BI21" s="90">
        <f t="shared" si="8"/>
        <v>782.22900000001027</v>
      </c>
      <c r="BJ21" s="90">
        <f t="shared" si="46"/>
        <v>5158.7709999999897</v>
      </c>
      <c r="BK21" s="92"/>
      <c r="BL21" s="331">
        <f>FD21+FN21</f>
        <v>8005.9000000000233</v>
      </c>
      <c r="BM21" s="93">
        <f t="shared" si="47"/>
        <v>112264.90000000002</v>
      </c>
      <c r="BN21" s="92"/>
      <c r="BO21" s="94">
        <f t="shared" si="48"/>
        <v>0.15379251515531528</v>
      </c>
      <c r="BP21" s="94">
        <f t="shared" si="48"/>
        <v>1.5665889895029907E-2</v>
      </c>
      <c r="BQ21" s="94">
        <f t="shared" si="49"/>
        <v>0.28928427223480091</v>
      </c>
      <c r="BR21" s="94">
        <f t="shared" si="68"/>
        <v>0.64548758153001495</v>
      </c>
      <c r="BS21" s="94">
        <f t="shared" si="9"/>
        <v>0</v>
      </c>
      <c r="BT21" s="94">
        <f t="shared" si="9"/>
        <v>6.5596090693485737E-2</v>
      </c>
      <c r="BU21" s="95">
        <f t="shared" si="9"/>
        <v>1.1072289372468633</v>
      </c>
      <c r="BV21" s="94">
        <f t="shared" si="10"/>
        <v>0.12985275814239627</v>
      </c>
      <c r="BW21" s="94">
        <f t="shared" si="10"/>
        <v>1.3227295291778841E-2</v>
      </c>
      <c r="BX21" s="94">
        <f t="shared" si="10"/>
        <v>0.24425350348791952</v>
      </c>
      <c r="BY21" s="94">
        <f t="shared" si="50"/>
        <v>0.54500924654030825</v>
      </c>
      <c r="BZ21" s="95">
        <f t="shared" si="11"/>
        <v>0.93487469953514357</v>
      </c>
      <c r="CA21" s="96" t="e">
        <f>#REF!</f>
        <v>#REF!</v>
      </c>
      <c r="CB21" s="94">
        <f t="shared" si="51"/>
        <v>4.7105833348924972E-2</v>
      </c>
      <c r="CC21" s="95">
        <f t="shared" si="51"/>
        <v>2.0111353161616795E-2</v>
      </c>
      <c r="CD21" s="97">
        <f t="shared" si="12"/>
        <v>0.15772082645457494</v>
      </c>
      <c r="CE21" s="98">
        <f t="shared" si="12"/>
        <v>6.7337291716598399E-2</v>
      </c>
      <c r="CF21" s="97">
        <f t="shared" si="52"/>
        <v>0.37037037037037035</v>
      </c>
      <c r="CG21" s="94">
        <f t="shared" si="52"/>
        <v>6.0185185185185189E-2</v>
      </c>
      <c r="CH21" s="95">
        <f t="shared" si="53"/>
        <v>0.70833333333333326</v>
      </c>
      <c r="CI21" s="96" t="e">
        <f>#REF!</f>
        <v>#REF!</v>
      </c>
      <c r="CJ21" s="94">
        <f t="shared" si="54"/>
        <v>0.29258512955160698</v>
      </c>
      <c r="CK21" s="94">
        <f t="shared" si="54"/>
        <v>4.3251714803281029E-2</v>
      </c>
      <c r="CL21" s="95">
        <f t="shared" si="69"/>
        <v>0.5749933850318536</v>
      </c>
      <c r="CM21" s="95" t="e">
        <f>#REF!</f>
        <v>#REF!</v>
      </c>
      <c r="CN21" s="94">
        <f t="shared" si="55"/>
        <v>1.6647640791476406</v>
      </c>
      <c r="CO21" s="94">
        <f t="shared" si="55"/>
        <v>1.3827734290063303</v>
      </c>
      <c r="CP21" s="95">
        <f t="shared" si="56"/>
        <v>5.0452544031311151</v>
      </c>
      <c r="CQ21" s="95" t="e">
        <f>#REF!</f>
        <v>#REF!</v>
      </c>
      <c r="CR21" s="97">
        <f t="shared" si="70"/>
        <v>7.7070389715727203E-2</v>
      </c>
      <c r="CS21" s="95">
        <f t="shared" si="70"/>
        <v>0.19134717446663307</v>
      </c>
      <c r="CT21" s="96" t="e">
        <f>#REF!</f>
        <v>#REF!</v>
      </c>
      <c r="CU21" s="97">
        <f t="shared" si="71"/>
        <v>5.2352438784203065E-2</v>
      </c>
      <c r="CV21" s="95">
        <f t="shared" si="57"/>
        <v>0.10109436454880592</v>
      </c>
      <c r="CW21" s="96" t="e">
        <f>#REF!</f>
        <v>#REF!</v>
      </c>
      <c r="CX21" s="97">
        <f t="shared" si="58"/>
        <v>0.12985275814239627</v>
      </c>
      <c r="CY21" s="98">
        <f t="shared" si="58"/>
        <v>1.7220616671213839E-2</v>
      </c>
      <c r="CZ21" s="97">
        <f t="shared" si="58"/>
        <v>0.17686038743408808</v>
      </c>
      <c r="DA21" s="98">
        <f t="shared" si="58"/>
        <v>0</v>
      </c>
      <c r="DB21" s="94">
        <f t="shared" si="13"/>
        <v>0.11542467390435224</v>
      </c>
      <c r="DC21" s="94">
        <f t="shared" si="14"/>
        <v>5.6036817492271518E-2</v>
      </c>
      <c r="DD21" s="94">
        <f t="shared" si="14"/>
        <v>0.50521565936763846</v>
      </c>
      <c r="DE21" s="94">
        <f t="shared" si="14"/>
        <v>5.585064866339624E-3</v>
      </c>
      <c r="DF21" s="94">
        <f t="shared" si="14"/>
        <v>0</v>
      </c>
      <c r="DG21" s="94">
        <f t="shared" si="14"/>
        <v>0</v>
      </c>
      <c r="DH21" s="95">
        <f t="shared" si="14"/>
        <v>0.67667715076426216</v>
      </c>
      <c r="DI21" s="96" t="e">
        <f>#REF!</f>
        <v>#REF!</v>
      </c>
      <c r="DJ21" s="95">
        <f t="shared" si="59"/>
        <v>0.96105003687540158</v>
      </c>
      <c r="DK21" s="96" t="e">
        <f>#REF!</f>
        <v>#REF!</v>
      </c>
      <c r="DL21" s="95">
        <f t="shared" si="60"/>
        <v>0.36406664211100292</v>
      </c>
      <c r="DM21" s="96">
        <f t="shared" si="15"/>
        <v>0</v>
      </c>
      <c r="DN21" s="94">
        <f t="shared" si="16"/>
        <v>2.4010058887993058</v>
      </c>
      <c r="DO21" s="100">
        <v>3.4</v>
      </c>
      <c r="DP21" s="94">
        <f t="shared" si="73"/>
        <v>3.7261225677857106</v>
      </c>
      <c r="DQ21" s="94">
        <f t="shared" si="74"/>
        <v>3.9654003648330542</v>
      </c>
      <c r="DR21" s="101" t="str">
        <f t="shared" si="17"/>
        <v>3,315, hL/NhL</v>
      </c>
      <c r="DS21" s="147"/>
      <c r="DT21" s="103">
        <v>16</v>
      </c>
      <c r="DU21" s="135">
        <v>623535</v>
      </c>
      <c r="DV21" s="135">
        <v>26123</v>
      </c>
      <c r="DW21" s="160">
        <v>5126196</v>
      </c>
      <c r="DX21" s="156">
        <v>115969</v>
      </c>
      <c r="DY21" s="135">
        <v>84323</v>
      </c>
      <c r="DZ21" s="160">
        <v>390096</v>
      </c>
      <c r="EA21" s="135">
        <v>229729</v>
      </c>
      <c r="EB21" s="136">
        <v>53521.4</v>
      </c>
      <c r="EC21" s="160">
        <v>402146</v>
      </c>
      <c r="ED21" s="160">
        <v>46782</v>
      </c>
      <c r="EE21" s="136">
        <v>41394.199999999997</v>
      </c>
      <c r="EF21" s="136">
        <v>38335.800000000003</v>
      </c>
      <c r="EG21" s="160">
        <v>91872</v>
      </c>
      <c r="EH21" s="160">
        <v>180934</v>
      </c>
      <c r="EI21" s="160">
        <v>31214</v>
      </c>
      <c r="EJ21" s="303">
        <v>40127</v>
      </c>
      <c r="EK21" s="136"/>
      <c r="EL21" s="160">
        <v>697190</v>
      </c>
      <c r="EM21" s="161">
        <v>5248</v>
      </c>
      <c r="EN21" s="161">
        <v>43459.9</v>
      </c>
      <c r="EO21" s="160">
        <v>2989053</v>
      </c>
      <c r="EP21" s="136">
        <v>2766435</v>
      </c>
      <c r="EQ21" s="136">
        <v>0</v>
      </c>
      <c r="ER21" s="136">
        <v>1190</v>
      </c>
      <c r="ES21" s="136">
        <v>347931</v>
      </c>
      <c r="ET21" s="136">
        <v>9223492</v>
      </c>
      <c r="EU21" s="136">
        <v>417796</v>
      </c>
      <c r="EV21" s="136">
        <v>134096</v>
      </c>
      <c r="EW21" s="136">
        <v>104186</v>
      </c>
      <c r="EX21" s="136">
        <v>207088.4</v>
      </c>
      <c r="EY21" s="136">
        <v>1632252.5</v>
      </c>
      <c r="EZ21" s="136">
        <v>769186.2</v>
      </c>
      <c r="FA21" s="145">
        <v>743452</v>
      </c>
      <c r="FB21" s="136">
        <v>31023.3</v>
      </c>
      <c r="FC21" s="136">
        <v>5941</v>
      </c>
      <c r="FD21" s="104">
        <f t="shared" si="77"/>
        <v>5893.9000000000233</v>
      </c>
      <c r="FE21" s="105">
        <f t="shared" si="18"/>
        <v>0</v>
      </c>
      <c r="FF21" s="105">
        <f t="shared" si="18"/>
        <v>0</v>
      </c>
      <c r="FG21" s="105">
        <f t="shared" si="18"/>
        <v>1686</v>
      </c>
      <c r="FH21" s="105">
        <f t="shared" si="18"/>
        <v>1820</v>
      </c>
      <c r="FI21" s="105">
        <f t="shared" si="18"/>
        <v>473</v>
      </c>
      <c r="FJ21" s="105">
        <f t="shared" si="18"/>
        <v>820</v>
      </c>
      <c r="FK21" s="105">
        <f t="shared" si="18"/>
        <v>0</v>
      </c>
      <c r="FL21" s="105">
        <f t="shared" si="18"/>
        <v>1094.9000000000233</v>
      </c>
      <c r="FM21" s="105">
        <f t="shared" si="18"/>
        <v>0</v>
      </c>
      <c r="FN21" s="80">
        <f t="shared" si="75"/>
        <v>2112</v>
      </c>
      <c r="FO21" s="77">
        <v>1035420</v>
      </c>
      <c r="FP21" s="162"/>
      <c r="FY21" s="119">
        <v>16</v>
      </c>
      <c r="FZ21" s="107"/>
      <c r="GA21" s="163"/>
      <c r="GB21" s="107"/>
      <c r="GC21" s="109"/>
      <c r="GD21" s="110"/>
      <c r="GE21" s="110"/>
      <c r="GF21" s="111"/>
      <c r="GG21" s="111"/>
      <c r="GH21" s="111"/>
      <c r="GI21" s="164"/>
      <c r="GJ21" s="111" t="e">
        <f t="shared" si="61"/>
        <v>#DIV/0!</v>
      </c>
      <c r="GK21" s="113"/>
    </row>
    <row r="22" spans="1:193" ht="15" customHeight="1">
      <c r="B22" s="354">
        <f t="shared" si="62"/>
        <v>42903</v>
      </c>
      <c r="D22" s="329">
        <v>4004</v>
      </c>
      <c r="E22" s="329">
        <v>4800</v>
      </c>
      <c r="F22" s="329">
        <v>2260.2240000000002</v>
      </c>
      <c r="G22" s="329">
        <v>4600.0329999999994</v>
      </c>
      <c r="H22" s="329">
        <v>5036.8819999999996</v>
      </c>
      <c r="I22" s="329">
        <v>1739.3620000000001</v>
      </c>
      <c r="J22" s="329"/>
      <c r="K22" s="391"/>
      <c r="L22" s="284"/>
      <c r="M22" s="115">
        <f t="shared" si="19"/>
        <v>1739.3620000000001</v>
      </c>
      <c r="N22" s="88">
        <f t="shared" si="1"/>
        <v>20701.138999999999</v>
      </c>
      <c r="O22" s="88">
        <f t="shared" si="20"/>
        <v>21570.82</v>
      </c>
      <c r="P22" s="89">
        <f t="shared" si="21"/>
        <v>304681.95549999998</v>
      </c>
      <c r="Q22" s="168"/>
      <c r="R22" s="170">
        <f t="shared" si="22"/>
        <v>326</v>
      </c>
      <c r="S22" s="170">
        <f t="shared" si="23"/>
        <v>54.580000000004659</v>
      </c>
      <c r="T22" s="170">
        <f t="shared" si="2"/>
        <v>399.2</v>
      </c>
      <c r="U22" s="91">
        <f t="shared" si="76"/>
        <v>6.7099999999998543</v>
      </c>
      <c r="V22" s="170">
        <f>IF(EO22=0,"",(EO22-EO21))</f>
        <v>1966</v>
      </c>
      <c r="W22" s="91">
        <f t="shared" si="3"/>
        <v>174</v>
      </c>
      <c r="X22" s="170">
        <f t="shared" si="25"/>
        <v>1966</v>
      </c>
      <c r="Y22" s="170" t="str">
        <f t="shared" si="26"/>
        <v>0</v>
      </c>
      <c r="Z22" s="170">
        <f t="shared" si="4"/>
        <v>223.7</v>
      </c>
      <c r="AA22" s="170">
        <f t="shared" si="27"/>
        <v>2752.4900000000043</v>
      </c>
      <c r="AB22" s="170">
        <f t="shared" si="28"/>
        <v>0</v>
      </c>
      <c r="AC22" s="170">
        <f t="shared" si="28"/>
        <v>0</v>
      </c>
      <c r="AD22" s="170">
        <f t="shared" si="29"/>
        <v>319</v>
      </c>
      <c r="AE22" s="170">
        <f t="shared" si="30"/>
        <v>319</v>
      </c>
      <c r="AF22" s="170">
        <f t="shared" si="31"/>
        <v>146</v>
      </c>
      <c r="AG22" s="170">
        <f t="shared" si="31"/>
        <v>17</v>
      </c>
      <c r="AH22" s="170">
        <f t="shared" si="32"/>
        <v>314</v>
      </c>
      <c r="AI22" s="170">
        <f t="shared" si="33"/>
        <v>151</v>
      </c>
      <c r="AJ22" s="170">
        <f t="shared" si="34"/>
        <v>92</v>
      </c>
      <c r="AK22" s="170">
        <f t="shared" si="34"/>
        <v>46.599999999998545</v>
      </c>
      <c r="AL22" s="170">
        <f t="shared" si="35"/>
        <v>164</v>
      </c>
      <c r="AM22" s="170">
        <f t="shared" si="36"/>
        <v>25.400000000001455</v>
      </c>
      <c r="AN22" s="170">
        <f t="shared" si="37"/>
        <v>44</v>
      </c>
      <c r="AO22" s="170">
        <f t="shared" si="5"/>
        <v>15</v>
      </c>
      <c r="AP22" s="170">
        <f t="shared" si="38"/>
        <v>18</v>
      </c>
      <c r="AQ22" s="170">
        <f t="shared" si="6"/>
        <v>38</v>
      </c>
      <c r="AR22" s="170">
        <f t="shared" si="39"/>
        <v>48.768000000000001</v>
      </c>
      <c r="AS22" s="170">
        <f t="shared" si="40"/>
        <v>145.76800000000003</v>
      </c>
      <c r="AT22" s="170">
        <f t="shared" si="41"/>
        <v>399.76800000000003</v>
      </c>
      <c r="AU22" s="170">
        <f t="shared" si="63"/>
        <v>254</v>
      </c>
      <c r="AV22" s="170">
        <f t="shared" si="64"/>
        <v>20</v>
      </c>
      <c r="AW22" s="170">
        <f t="shared" si="65"/>
        <v>0</v>
      </c>
      <c r="AX22" s="170">
        <f t="shared" si="66"/>
        <v>0</v>
      </c>
      <c r="AY22" s="170" t="str">
        <f t="shared" si="66"/>
        <v/>
      </c>
      <c r="AZ22" s="170">
        <f t="shared" si="42"/>
        <v>443</v>
      </c>
      <c r="BA22" s="170">
        <v>26</v>
      </c>
      <c r="BB22" s="170">
        <f t="shared" si="43"/>
        <v>118.60000000000582</v>
      </c>
      <c r="BC22" s="170">
        <f t="shared" si="43"/>
        <v>1262.5</v>
      </c>
      <c r="BD22" s="91">
        <f t="shared" si="44"/>
        <v>96</v>
      </c>
      <c r="BE22" s="90"/>
      <c r="BF22" s="90"/>
      <c r="BG22" s="90">
        <f t="shared" si="7"/>
        <v>1824.1000000000058</v>
      </c>
      <c r="BH22" s="90">
        <f t="shared" si="45"/>
        <v>-1668.6000000000231</v>
      </c>
      <c r="BI22" s="90">
        <f t="shared" si="8"/>
        <v>234.64199999998982</v>
      </c>
      <c r="BJ22" s="90">
        <f t="shared" si="46"/>
        <v>5846.3580000000102</v>
      </c>
      <c r="BK22" s="92"/>
      <c r="BL22" s="331">
        <f>FD22+FN22-92.7</f>
        <v>4412.3999999999769</v>
      </c>
      <c r="BM22" s="93">
        <f t="shared" si="47"/>
        <v>116677.3</v>
      </c>
      <c r="BN22" s="92"/>
      <c r="BO22" s="94">
        <f t="shared" si="48"/>
        <v>0.15747925754230241</v>
      </c>
      <c r="BP22" s="94">
        <f t="shared" si="48"/>
        <v>2.6365699008158279E-2</v>
      </c>
      <c r="BQ22" s="94">
        <f t="shared" si="49"/>
        <v>0.19283963070824267</v>
      </c>
      <c r="BR22" s="94">
        <f t="shared" si="68"/>
        <v>0.94970619732566419</v>
      </c>
      <c r="BS22" s="94">
        <f t="shared" ref="BS22:BU36" si="78">IF($N22&lt;&gt;0,IF($N22&lt;&gt;0,Y22/$N22*10,0)," ")</f>
        <v>0</v>
      </c>
      <c r="BT22" s="94">
        <f t="shared" si="78"/>
        <v>0.10806168684727926</v>
      </c>
      <c r="BU22" s="95">
        <f t="shared" si="78"/>
        <v>1.3296321521245784</v>
      </c>
      <c r="BV22" s="94">
        <f t="shared" si="10"/>
        <v>0.15113009148470016</v>
      </c>
      <c r="BW22" s="94">
        <f t="shared" si="10"/>
        <v>2.5302700592747359E-2</v>
      </c>
      <c r="BX22" s="94">
        <f t="shared" si="10"/>
        <v>0.18506482368310523</v>
      </c>
      <c r="BY22" s="94">
        <f t="shared" si="50"/>
        <v>0.9114164412850323</v>
      </c>
      <c r="BZ22" s="95">
        <f t="shared" si="11"/>
        <v>1.2760247408304388</v>
      </c>
      <c r="CA22" s="96" t="e">
        <f>#REF!</f>
        <v>#REF!</v>
      </c>
      <c r="CB22" s="94">
        <f t="shared" si="51"/>
        <v>2.2608319943330853E-2</v>
      </c>
      <c r="CC22" s="95">
        <f t="shared" si="51"/>
        <v>6.7576475998594412E-2</v>
      </c>
      <c r="CD22" s="97">
        <f t="shared" si="12"/>
        <v>0.28037866758041163</v>
      </c>
      <c r="CE22" s="98">
        <f t="shared" si="12"/>
        <v>0.83805441305490191</v>
      </c>
      <c r="CF22" s="97">
        <f t="shared" si="52"/>
        <v>0</v>
      </c>
      <c r="CG22" s="94">
        <f t="shared" si="52"/>
        <v>0</v>
      </c>
      <c r="CH22" s="95">
        <f t="shared" si="53"/>
        <v>0.79670329670329665</v>
      </c>
      <c r="CI22" s="96" t="e">
        <f>#REF!</f>
        <v>#REF!</v>
      </c>
      <c r="CJ22" s="94">
        <f t="shared" si="54"/>
        <v>0.3041666666666667</v>
      </c>
      <c r="CK22" s="94">
        <f t="shared" si="54"/>
        <v>3.5416666666666666E-2</v>
      </c>
      <c r="CL22" s="95">
        <f t="shared" si="69"/>
        <v>0.65416666666666667</v>
      </c>
      <c r="CM22" s="95" t="e">
        <f>#REF!</f>
        <v>#REF!</v>
      </c>
      <c r="CN22" s="94">
        <f t="shared" si="55"/>
        <v>0.40703930229924112</v>
      </c>
      <c r="CO22" s="94">
        <f t="shared" si="55"/>
        <v>0.20617425529504393</v>
      </c>
      <c r="CP22" s="95">
        <f t="shared" si="56"/>
        <v>0.72559179975082111</v>
      </c>
      <c r="CQ22" s="95" t="e">
        <f>#REF!</f>
        <v>#REF!</v>
      </c>
      <c r="CR22" s="97">
        <f t="shared" si="70"/>
        <v>9.5651487717588121E-2</v>
      </c>
      <c r="CS22" s="95">
        <f t="shared" si="70"/>
        <v>3.2608461721905041E-2</v>
      </c>
      <c r="CT22" s="96" t="e">
        <f>#REF!</f>
        <v>#REF!</v>
      </c>
      <c r="CU22" s="97">
        <f t="shared" si="71"/>
        <v>3.5736394062834909E-2</v>
      </c>
      <c r="CV22" s="95">
        <f t="shared" si="57"/>
        <v>7.544349857709591E-2</v>
      </c>
      <c r="CW22" s="96" t="e">
        <f>#REF!</f>
        <v>#REF!</v>
      </c>
      <c r="CX22" s="97">
        <f t="shared" si="58"/>
        <v>0.11775166637151487</v>
      </c>
      <c r="CY22" s="98">
        <f t="shared" si="58"/>
        <v>9.2717847536625871E-3</v>
      </c>
      <c r="CZ22" s="97">
        <f t="shared" si="58"/>
        <v>0</v>
      </c>
      <c r="DA22" s="98">
        <f t="shared" si="58"/>
        <v>0</v>
      </c>
      <c r="DB22" s="94">
        <f t="shared" si="13"/>
        <v>0.20537003229362633</v>
      </c>
      <c r="DC22" s="94">
        <f t="shared" si="14"/>
        <v>5.4981683589221841E-2</v>
      </c>
      <c r="DD22" s="94">
        <f t="shared" si="14"/>
        <v>0.58528141257495081</v>
      </c>
      <c r="DE22" s="94">
        <f t="shared" si="14"/>
        <v>4.4504566817580415E-2</v>
      </c>
      <c r="DF22" s="94">
        <f t="shared" si="14"/>
        <v>0</v>
      </c>
      <c r="DG22" s="94">
        <f t="shared" si="14"/>
        <v>0</v>
      </c>
      <c r="DH22" s="95">
        <f t="shared" si="14"/>
        <v>0.84563312845779892</v>
      </c>
      <c r="DI22" s="96" t="e">
        <f>#REF!</f>
        <v>#REF!</v>
      </c>
      <c r="DJ22" s="95">
        <f t="shared" si="59"/>
        <v>-0.77354500199808041</v>
      </c>
      <c r="DK22" s="96" t="e">
        <f>#REF!</f>
        <v>#REF!</v>
      </c>
      <c r="DL22" s="95">
        <f t="shared" si="60"/>
        <v>0.10877750590844011</v>
      </c>
      <c r="DM22" s="96">
        <f t="shared" si="15"/>
        <v>0</v>
      </c>
      <c r="DN22" s="94">
        <f t="shared" si="16"/>
        <v>2.7103086484426693</v>
      </c>
      <c r="DO22" s="100">
        <v>3.4</v>
      </c>
      <c r="DP22" s="94">
        <f t="shared" si="73"/>
        <v>2.0455411523530294</v>
      </c>
      <c r="DQ22" s="94">
        <f t="shared" si="74"/>
        <v>3.8294785068097021</v>
      </c>
      <c r="DR22" s="101" t="str">
        <f t="shared" si="17"/>
        <v>3,315, hL/NhL</v>
      </c>
      <c r="DS22" s="116"/>
      <c r="DT22" s="103">
        <v>17</v>
      </c>
      <c r="DU22" s="135">
        <v>623535</v>
      </c>
      <c r="DV22" s="135">
        <v>26123</v>
      </c>
      <c r="DW22" s="120">
        <v>5126515</v>
      </c>
      <c r="DX22" s="120">
        <v>116115</v>
      </c>
      <c r="DY22" s="120">
        <v>84340</v>
      </c>
      <c r="DZ22" s="120">
        <v>390410</v>
      </c>
      <c r="EA22" s="120">
        <v>229821</v>
      </c>
      <c r="EB22" s="120">
        <v>53568</v>
      </c>
      <c r="EC22" s="120">
        <v>402310</v>
      </c>
      <c r="ED22" s="120">
        <v>46826</v>
      </c>
      <c r="EE22" s="136">
        <v>41394</v>
      </c>
      <c r="EF22" s="120">
        <v>38351</v>
      </c>
      <c r="EG22" s="120">
        <v>91890</v>
      </c>
      <c r="EH22" s="120">
        <v>180972</v>
      </c>
      <c r="EI22" s="120">
        <v>31234</v>
      </c>
      <c r="EJ22" s="330">
        <v>40127</v>
      </c>
      <c r="EK22" s="120"/>
      <c r="EL22" s="120">
        <v>697516</v>
      </c>
      <c r="EM22" s="120">
        <v>3992</v>
      </c>
      <c r="EN22" s="120">
        <v>43527</v>
      </c>
      <c r="EO22" s="120">
        <v>2991019</v>
      </c>
      <c r="EP22" s="120">
        <v>2768175</v>
      </c>
      <c r="EQ22" s="120">
        <v>0</v>
      </c>
      <c r="ER22" s="120">
        <v>2237</v>
      </c>
      <c r="ES22" s="120">
        <v>348282</v>
      </c>
      <c r="ET22" s="121">
        <v>9272260</v>
      </c>
      <c r="EU22" s="120">
        <v>417796</v>
      </c>
      <c r="EV22" s="220">
        <v>134350</v>
      </c>
      <c r="EW22" s="120">
        <v>104629</v>
      </c>
      <c r="EX22" s="120">
        <v>207207</v>
      </c>
      <c r="EY22" s="120">
        <v>1633515</v>
      </c>
      <c r="EZ22" s="120">
        <v>769732</v>
      </c>
      <c r="FA22" s="151">
        <v>743548</v>
      </c>
      <c r="FB22" s="77">
        <v>31036</v>
      </c>
      <c r="FC22" s="77">
        <v>6081</v>
      </c>
      <c r="FD22" s="104">
        <f t="shared" si="77"/>
        <v>4505.0999999999767</v>
      </c>
      <c r="FE22" s="105">
        <f t="shared" ref="FE22:FM26" si="79">FE55-FE54</f>
        <v>0</v>
      </c>
      <c r="FF22" s="105">
        <f t="shared" si="79"/>
        <v>0</v>
      </c>
      <c r="FG22" s="105">
        <f t="shared" si="79"/>
        <v>1536</v>
      </c>
      <c r="FH22" s="105">
        <f t="shared" si="79"/>
        <v>1657</v>
      </c>
      <c r="FI22" s="105">
        <f t="shared" si="79"/>
        <v>468</v>
      </c>
      <c r="FJ22" s="105">
        <f t="shared" si="79"/>
        <v>844</v>
      </c>
      <c r="FK22" s="105">
        <f t="shared" si="79"/>
        <v>0</v>
      </c>
      <c r="FL22" s="105">
        <f t="shared" si="79"/>
        <v>9.9999999976716936E-2</v>
      </c>
      <c r="FM22" s="105">
        <f t="shared" si="79"/>
        <v>0</v>
      </c>
      <c r="FN22" s="80">
        <f t="shared" si="75"/>
        <v>0</v>
      </c>
      <c r="FO22" s="77">
        <v>1035420</v>
      </c>
      <c r="FP22" s="162"/>
      <c r="FR22" s="64"/>
      <c r="FS22" s="64"/>
      <c r="FT22" s="64"/>
      <c r="FU22" s="64"/>
      <c r="FV22" s="64"/>
      <c r="FW22" s="64"/>
      <c r="FX22" s="64"/>
      <c r="FY22" s="64">
        <v>17</v>
      </c>
      <c r="FZ22" s="107"/>
      <c r="GA22" s="107"/>
      <c r="GB22" s="107"/>
      <c r="GC22" s="109"/>
      <c r="GD22" s="110"/>
      <c r="GE22" s="110"/>
      <c r="GF22" s="111"/>
      <c r="GG22" s="111"/>
      <c r="GH22" s="111"/>
      <c r="GI22" s="164"/>
      <c r="GJ22" s="111" t="e">
        <f t="shared" si="61"/>
        <v>#DIV/0!</v>
      </c>
      <c r="GK22" s="118"/>
    </row>
    <row r="23" spans="1:193" s="119" customFormat="1" ht="15" customHeight="1">
      <c r="B23" s="354">
        <f t="shared" si="62"/>
        <v>42904</v>
      </c>
      <c r="D23" s="128"/>
      <c r="E23" s="128">
        <v>4040.52</v>
      </c>
      <c r="F23" s="86">
        <v>2922.6239999999998</v>
      </c>
      <c r="G23" s="86"/>
      <c r="H23" s="86">
        <v>8143.4139999999998</v>
      </c>
      <c r="I23" s="86">
        <v>1681.117</v>
      </c>
      <c r="J23" s="86"/>
      <c r="K23" s="284"/>
      <c r="L23" s="284"/>
      <c r="M23" s="115">
        <f>I23+J23</f>
        <v>1681.117</v>
      </c>
      <c r="N23" s="88">
        <f>SUM(D23:H23)</f>
        <v>15106.558000000001</v>
      </c>
      <c r="O23" s="88">
        <f t="shared" si="20"/>
        <v>15947.1165</v>
      </c>
      <c r="P23" s="89">
        <f t="shared" si="21"/>
        <v>320629.07199999999</v>
      </c>
      <c r="R23" s="170">
        <f t="shared" si="22"/>
        <v>87</v>
      </c>
      <c r="S23" s="170">
        <f t="shared" si="23"/>
        <v>45.6</v>
      </c>
      <c r="T23" s="170">
        <f t="shared" si="2"/>
        <v>492.5</v>
      </c>
      <c r="U23" s="91">
        <f t="shared" si="76"/>
        <v>1.8</v>
      </c>
      <c r="V23" s="170">
        <f>IF(EO23=0,"",(EO23-EO22))</f>
        <v>1223</v>
      </c>
      <c r="W23" s="91">
        <f t="shared" si="3"/>
        <v>108.9</v>
      </c>
      <c r="X23" s="170">
        <f>IF(V23="","",V23)</f>
        <v>1223</v>
      </c>
      <c r="Y23" s="170">
        <f t="shared" si="26"/>
        <v>24.8</v>
      </c>
      <c r="Z23" s="170">
        <f t="shared" si="4"/>
        <v>150.9</v>
      </c>
      <c r="AA23" s="170">
        <f t="shared" si="27"/>
        <v>1849.9</v>
      </c>
      <c r="AB23" s="170">
        <f t="shared" si="28"/>
        <v>0</v>
      </c>
      <c r="AC23" s="170">
        <f t="shared" si="28"/>
        <v>0</v>
      </c>
      <c r="AD23" s="170">
        <f t="shared" si="29"/>
        <v>1</v>
      </c>
      <c r="AE23" s="170">
        <f t="shared" si="30"/>
        <v>1</v>
      </c>
      <c r="AF23" s="170">
        <f t="shared" si="31"/>
        <v>106</v>
      </c>
      <c r="AG23" s="170">
        <f t="shared" si="31"/>
        <v>7</v>
      </c>
      <c r="AH23" s="170">
        <f t="shared" si="32"/>
        <v>176</v>
      </c>
      <c r="AI23" s="170">
        <f t="shared" si="33"/>
        <v>63</v>
      </c>
      <c r="AJ23" s="170">
        <f t="shared" si="34"/>
        <v>258</v>
      </c>
      <c r="AK23" s="170">
        <f t="shared" si="34"/>
        <v>167</v>
      </c>
      <c r="AL23" s="170">
        <f t="shared" si="35"/>
        <v>549</v>
      </c>
      <c r="AM23" s="170">
        <f t="shared" si="36"/>
        <v>124</v>
      </c>
      <c r="AN23" s="170">
        <f t="shared" si="37"/>
        <v>4</v>
      </c>
      <c r="AO23" s="170">
        <f>IF(AN23="","",(EE23-EE22)+(EF23-EF22))</f>
        <v>91</v>
      </c>
      <c r="AP23" s="170">
        <f t="shared" si="38"/>
        <v>16</v>
      </c>
      <c r="AQ23" s="170">
        <f>IF(AP23=0.1,0,(IF(AP23&gt;=(EH23-EH22),(AP23),(EH23-EH22))))</f>
        <v>30</v>
      </c>
      <c r="AR23" s="170">
        <f t="shared" si="39"/>
        <v>18.986000000000001</v>
      </c>
      <c r="AS23" s="170">
        <f t="shared" si="40"/>
        <v>-44.01400000000001</v>
      </c>
      <c r="AT23" s="170">
        <f t="shared" si="41"/>
        <v>191.98599999999999</v>
      </c>
      <c r="AU23" s="170">
        <f t="shared" si="63"/>
        <v>229</v>
      </c>
      <c r="AV23" s="170">
        <f t="shared" si="64"/>
        <v>43</v>
      </c>
      <c r="AW23" s="170">
        <f t="shared" si="65"/>
        <v>7</v>
      </c>
      <c r="AX23" s="170">
        <f>IF(EJ23=0,"",(EJ23-EJ22))</f>
        <v>12</v>
      </c>
      <c r="AY23" s="170" t="str">
        <f t="shared" si="66"/>
        <v/>
      </c>
      <c r="AZ23" s="170">
        <f t="shared" si="42"/>
        <v>320</v>
      </c>
      <c r="BA23" s="170">
        <v>0</v>
      </c>
      <c r="BB23" s="170">
        <f t="shared" si="43"/>
        <v>82</v>
      </c>
      <c r="BC23" s="170">
        <f t="shared" si="43"/>
        <v>482</v>
      </c>
      <c r="BD23" s="91">
        <f t="shared" si="44"/>
        <v>218</v>
      </c>
      <c r="BE23" s="90"/>
      <c r="BF23" s="90"/>
      <c r="BG23" s="90">
        <f t="shared" si="7"/>
        <v>884</v>
      </c>
      <c r="BH23" s="90">
        <f>BL23-FC23</f>
        <v>-45.200000000069849</v>
      </c>
      <c r="BI23" s="90">
        <f>IF(FC23=0,"",(FC23-BJ23))</f>
        <v>1963.114</v>
      </c>
      <c r="BJ23" s="90">
        <f t="shared" si="46"/>
        <v>3827.886</v>
      </c>
      <c r="BK23" s="92"/>
      <c r="BL23" s="331">
        <f t="shared" si="67"/>
        <v>5745.7999999999302</v>
      </c>
      <c r="BM23" s="93">
        <f>BL23+BM22</f>
        <v>122423.09999999993</v>
      </c>
      <c r="BN23" s="92"/>
      <c r="BO23" s="94">
        <f t="shared" si="48"/>
        <v>5.7590882052682014E-2</v>
      </c>
      <c r="BP23" s="94">
        <f t="shared" si="48"/>
        <v>3.0185565765543682E-2</v>
      </c>
      <c r="BQ23" s="94">
        <f t="shared" si="49"/>
        <v>0.32601734955110218</v>
      </c>
      <c r="BR23" s="94">
        <f t="shared" si="68"/>
        <v>0.8095821695451737</v>
      </c>
      <c r="BS23" s="94">
        <f t="shared" si="78"/>
        <v>1.6416711205821999E-2</v>
      </c>
      <c r="BT23" s="94">
        <f>IF($N23&lt;&gt;0,IF($N23&lt;&gt;0,Z23/$N23*10,0)," ")</f>
        <v>9.9890391974134671E-2</v>
      </c>
      <c r="BU23" s="95">
        <f t="shared" si="78"/>
        <v>1.2245675024052467</v>
      </c>
      <c r="BV23" s="94">
        <f t="shared" si="10"/>
        <v>5.4555317257511726E-2</v>
      </c>
      <c r="BW23" s="94">
        <f t="shared" si="10"/>
        <v>2.8594511114282007E-2</v>
      </c>
      <c r="BX23" s="94">
        <f t="shared" si="10"/>
        <v>0.30883326148648882</v>
      </c>
      <c r="BY23" s="94">
        <f t="shared" si="50"/>
        <v>0.76690980466594072</v>
      </c>
      <c r="BZ23" s="95">
        <f t="shared" si="11"/>
        <v>1.1600216252261029</v>
      </c>
      <c r="CA23" s="96" t="e">
        <f>#REF!</f>
        <v>#REF!</v>
      </c>
      <c r="CB23" s="94">
        <f t="shared" si="51"/>
        <v>1.1905600614380663E-2</v>
      </c>
      <c r="CC23" s="95">
        <f t="shared" si="51"/>
        <v>-2.7599973951403699E-2</v>
      </c>
      <c r="CD23" s="97">
        <f t="shared" si="12"/>
        <v>0.11293681522463934</v>
      </c>
      <c r="CE23" s="98">
        <f t="shared" si="12"/>
        <v>-0.2618140200830758</v>
      </c>
      <c r="CF23" s="97" t="str">
        <f t="shared" si="52"/>
        <v>0,00</v>
      </c>
      <c r="CG23" s="94" t="str">
        <f t="shared" si="52"/>
        <v>0,00</v>
      </c>
      <c r="CH23" s="95" t="str">
        <f t="shared" si="53"/>
        <v xml:space="preserve">0,00 </v>
      </c>
      <c r="CI23" s="96" t="e">
        <f>#REF!</f>
        <v>#REF!</v>
      </c>
      <c r="CJ23" s="94">
        <f t="shared" si="54"/>
        <v>0.26234247077108885</v>
      </c>
      <c r="CK23" s="94">
        <f t="shared" si="54"/>
        <v>1.7324502786770019E-2</v>
      </c>
      <c r="CL23" s="95">
        <f t="shared" si="69"/>
        <v>0.43558749863878909</v>
      </c>
      <c r="CM23" s="95" t="e">
        <f>#REF!</f>
        <v>#REF!</v>
      </c>
      <c r="CN23" s="94">
        <f t="shared" si="55"/>
        <v>0.88276836158192096</v>
      </c>
      <c r="CO23" s="94">
        <f t="shared" si="55"/>
        <v>0.57140432707046818</v>
      </c>
      <c r="CP23" s="95">
        <f t="shared" si="56"/>
        <v>1.8784489554592041</v>
      </c>
      <c r="CQ23" s="95" t="e">
        <f>#REF!</f>
        <v>#REF!</v>
      </c>
      <c r="CR23" s="97" t="str">
        <f t="shared" si="70"/>
        <v xml:space="preserve">0,00 </v>
      </c>
      <c r="CS23" s="95" t="str">
        <f t="shared" si="70"/>
        <v xml:space="preserve">0,00 </v>
      </c>
      <c r="CT23" s="96" t="e">
        <f>#REF!</f>
        <v>#REF!</v>
      </c>
      <c r="CU23" s="97">
        <f t="shared" si="71"/>
        <v>1.9647779174680299E-2</v>
      </c>
      <c r="CV23" s="95">
        <f t="shared" si="57"/>
        <v>3.683958595252556E-2</v>
      </c>
      <c r="CW23" s="96" t="e">
        <f>#REF!</f>
        <v>#REF!</v>
      </c>
      <c r="CX23" s="99">
        <f t="shared" si="58"/>
        <v>0.14359962818356534</v>
      </c>
      <c r="CY23" s="98">
        <f t="shared" si="58"/>
        <v>2.6964122322678211E-2</v>
      </c>
      <c r="CZ23" s="99">
        <f t="shared" si="58"/>
        <v>4.3895082850871504E-3</v>
      </c>
      <c r="DA23" s="95">
        <f t="shared" si="58"/>
        <v>7.5248713458636865E-3</v>
      </c>
      <c r="DB23" s="94">
        <f t="shared" si="13"/>
        <v>0.20066323588969831</v>
      </c>
      <c r="DC23" s="94">
        <f t="shared" si="14"/>
        <v>5.1419954196735188E-2</v>
      </c>
      <c r="DD23" s="94">
        <f t="shared" si="14"/>
        <v>0.30224899905885805</v>
      </c>
      <c r="DE23" s="94">
        <f t="shared" si="14"/>
        <v>0.13670182944985698</v>
      </c>
      <c r="DF23" s="94">
        <f t="shared" si="14"/>
        <v>0</v>
      </c>
      <c r="DG23" s="94">
        <f t="shared" si="14"/>
        <v>0</v>
      </c>
      <c r="DH23" s="95">
        <f t="shared" si="14"/>
        <v>0.55433218914529148</v>
      </c>
      <c r="DI23" s="96" t="e">
        <f>#REF!</f>
        <v>#REF!</v>
      </c>
      <c r="DJ23" s="95">
        <f t="shared" si="59"/>
        <v>-2.8343682069463687E-2</v>
      </c>
      <c r="DK23" s="96" t="e">
        <f>#REF!</f>
        <v>#REF!</v>
      </c>
      <c r="DL23" s="95">
        <f t="shared" si="60"/>
        <v>1.2310150239386537</v>
      </c>
      <c r="DM23" s="96">
        <f t="shared" si="15"/>
        <v>0</v>
      </c>
      <c r="DN23" s="94">
        <f t="shared" si="16"/>
        <v>2.4003624730527302</v>
      </c>
      <c r="DO23" s="100">
        <v>3.4</v>
      </c>
      <c r="DP23" s="94">
        <f>IF($O23&lt;&gt;0,IF($O23&lt;&gt;0,BL23/$O23*10,0)," ")</f>
        <v>3.6030338149219205</v>
      </c>
      <c r="DQ23" s="94">
        <f>IF($P23&lt;&gt;0,IF($P23&lt;&gt;0,BM23/$P23*10,0)," ")</f>
        <v>3.8182158353999767</v>
      </c>
      <c r="DR23" s="101" t="str">
        <f t="shared" si="17"/>
        <v>3,315, hL/NhL</v>
      </c>
      <c r="DS23" s="171"/>
      <c r="DT23" s="103">
        <v>18</v>
      </c>
      <c r="DU23" s="135">
        <v>623535</v>
      </c>
      <c r="DV23" s="135">
        <v>26123</v>
      </c>
      <c r="DW23" s="120">
        <v>5126516</v>
      </c>
      <c r="DX23" s="120">
        <v>116221</v>
      </c>
      <c r="DY23" s="120">
        <v>84347</v>
      </c>
      <c r="DZ23" s="120">
        <v>390586</v>
      </c>
      <c r="EA23" s="120">
        <v>230079</v>
      </c>
      <c r="EB23" s="120">
        <v>53735</v>
      </c>
      <c r="EC23" s="121">
        <v>402859</v>
      </c>
      <c r="ED23" s="120">
        <v>46830</v>
      </c>
      <c r="EE23" s="120">
        <v>41483</v>
      </c>
      <c r="EF23" s="120">
        <v>38353</v>
      </c>
      <c r="EG23" s="120">
        <v>91906</v>
      </c>
      <c r="EH23" s="120">
        <v>181002</v>
      </c>
      <c r="EI23" s="120">
        <v>31277</v>
      </c>
      <c r="EJ23" s="120">
        <v>40139</v>
      </c>
      <c r="EK23" s="120"/>
      <c r="EL23" s="120">
        <v>697603</v>
      </c>
      <c r="EM23" s="120">
        <v>4925</v>
      </c>
      <c r="EN23" s="120">
        <v>43545</v>
      </c>
      <c r="EO23" s="330">
        <v>2992242</v>
      </c>
      <c r="EP23" s="120">
        <v>2769264</v>
      </c>
      <c r="EQ23" s="120">
        <v>248</v>
      </c>
      <c r="ER23" s="120">
        <v>1509</v>
      </c>
      <c r="ES23" s="120">
        <v>348455</v>
      </c>
      <c r="ET23" s="120">
        <v>9291246</v>
      </c>
      <c r="EU23" s="120">
        <v>417803</v>
      </c>
      <c r="EV23" s="120">
        <v>134579</v>
      </c>
      <c r="EW23" s="120">
        <v>104949</v>
      </c>
      <c r="EX23" s="120">
        <v>207289</v>
      </c>
      <c r="EY23" s="120">
        <v>1633997</v>
      </c>
      <c r="EZ23" s="120">
        <v>770188</v>
      </c>
      <c r="FA23" s="151">
        <v>743766</v>
      </c>
      <c r="FB23" s="77">
        <v>31035.9</v>
      </c>
      <c r="FC23" s="77">
        <v>5791</v>
      </c>
      <c r="FD23" s="104">
        <f t="shared" si="77"/>
        <v>5182.7999999999302</v>
      </c>
      <c r="FE23" s="105">
        <f t="shared" si="79"/>
        <v>0</v>
      </c>
      <c r="FF23" s="105">
        <f t="shared" si="79"/>
        <v>0</v>
      </c>
      <c r="FG23" s="105">
        <f t="shared" si="79"/>
        <v>1428</v>
      </c>
      <c r="FH23" s="105">
        <f t="shared" si="79"/>
        <v>1786</v>
      </c>
      <c r="FI23" s="105">
        <f t="shared" si="79"/>
        <v>516.69999999995343</v>
      </c>
      <c r="FJ23" s="105">
        <f t="shared" si="79"/>
        <v>814</v>
      </c>
      <c r="FK23" s="105">
        <f t="shared" si="79"/>
        <v>0</v>
      </c>
      <c r="FL23" s="105">
        <f t="shared" si="79"/>
        <v>638.09999999997672</v>
      </c>
      <c r="FM23" s="105">
        <f t="shared" si="79"/>
        <v>0</v>
      </c>
      <c r="FN23" s="80">
        <f>IF(FO23="",0,(FO23-FO22))</f>
        <v>563</v>
      </c>
      <c r="FO23" s="77">
        <v>1035983</v>
      </c>
      <c r="FP23" s="162"/>
      <c r="FY23" s="119">
        <v>18</v>
      </c>
      <c r="FZ23" s="107"/>
      <c r="GA23" s="107"/>
      <c r="GB23" s="107"/>
      <c r="GC23" s="109"/>
      <c r="GD23" s="110"/>
      <c r="GE23" s="110"/>
      <c r="GF23" s="111"/>
      <c r="GG23" s="111"/>
      <c r="GH23" s="111"/>
      <c r="GI23" s="164"/>
      <c r="GJ23" s="111" t="e">
        <f t="shared" si="61"/>
        <v>#DIV/0!</v>
      </c>
    </row>
    <row r="24" spans="1:193" s="119" customFormat="1" ht="15" customHeight="1">
      <c r="B24" s="354">
        <f t="shared" si="62"/>
        <v>42905</v>
      </c>
      <c r="D24" s="128"/>
      <c r="E24" s="128">
        <v>4104</v>
      </c>
      <c r="F24" s="86">
        <v>3006.72</v>
      </c>
      <c r="G24" s="86">
        <v>4551.5969999999998</v>
      </c>
      <c r="H24" s="86">
        <v>7214.5929999999998</v>
      </c>
      <c r="I24" s="86">
        <v>2253.9830000000002</v>
      </c>
      <c r="J24" s="86">
        <v>1201.5</v>
      </c>
      <c r="K24" s="284">
        <v>0.05</v>
      </c>
      <c r="L24" s="284">
        <v>136</v>
      </c>
      <c r="M24" s="115">
        <f t="shared" si="19"/>
        <v>3455.4830000000002</v>
      </c>
      <c r="N24" s="88">
        <f t="shared" si="1"/>
        <v>18876.91</v>
      </c>
      <c r="O24" s="88">
        <f t="shared" si="20"/>
        <v>20740.6515</v>
      </c>
      <c r="P24" s="89">
        <f t="shared" si="21"/>
        <v>341369.72349999996</v>
      </c>
      <c r="R24" s="170">
        <f t="shared" si="22"/>
        <v>63</v>
      </c>
      <c r="S24" s="170">
        <f t="shared" si="23"/>
        <v>141.4</v>
      </c>
      <c r="T24" s="170">
        <f t="shared" si="2"/>
        <v>407.7</v>
      </c>
      <c r="U24" s="91">
        <f t="shared" si="76"/>
        <v>1.1000000000000001</v>
      </c>
      <c r="V24" s="170">
        <f t="shared" si="24"/>
        <v>1516</v>
      </c>
      <c r="W24" s="91">
        <f t="shared" si="3"/>
        <v>134.1</v>
      </c>
      <c r="X24" s="170">
        <f t="shared" si="25"/>
        <v>1516</v>
      </c>
      <c r="Y24" s="170" t="str">
        <f t="shared" si="26"/>
        <v>0</v>
      </c>
      <c r="Z24" s="170">
        <f t="shared" si="4"/>
        <v>182.7</v>
      </c>
      <c r="AA24" s="170">
        <f t="shared" si="27"/>
        <v>2129.1999999999998</v>
      </c>
      <c r="AB24" s="170">
        <f t="shared" si="28"/>
        <v>239</v>
      </c>
      <c r="AC24" s="170">
        <f t="shared" si="28"/>
        <v>69</v>
      </c>
      <c r="AD24" s="170">
        <f>(IF(SUM(AB24:AC24)&gt;=(DW24-DW23),(SUM(AB24:AC24)),(DW24-DW23)))</f>
        <v>308</v>
      </c>
      <c r="AE24" s="170">
        <f t="shared" si="30"/>
        <v>0</v>
      </c>
      <c r="AF24" s="170">
        <f t="shared" si="31"/>
        <v>83</v>
      </c>
      <c r="AG24" s="170">
        <f t="shared" si="31"/>
        <v>10</v>
      </c>
      <c r="AH24" s="170">
        <f t="shared" si="32"/>
        <v>211</v>
      </c>
      <c r="AI24" s="170">
        <f>IF(AF24="","",(AH24-AG24-AF24))</f>
        <v>118</v>
      </c>
      <c r="AJ24" s="170">
        <f t="shared" si="34"/>
        <v>183</v>
      </c>
      <c r="AK24" s="170">
        <f t="shared" si="34"/>
        <v>32</v>
      </c>
      <c r="AL24" s="170">
        <f t="shared" si="35"/>
        <v>302</v>
      </c>
      <c r="AM24" s="170">
        <f t="shared" si="36"/>
        <v>87</v>
      </c>
      <c r="AN24" s="170">
        <f t="shared" si="37"/>
        <v>24</v>
      </c>
      <c r="AO24" s="170">
        <f t="shared" si="5"/>
        <v>57</v>
      </c>
      <c r="AP24" s="170">
        <f t="shared" si="38"/>
        <v>22</v>
      </c>
      <c r="AQ24" s="170">
        <f t="shared" si="6"/>
        <v>45</v>
      </c>
      <c r="AR24" s="170">
        <f t="shared" si="39"/>
        <v>76.212000000000003</v>
      </c>
      <c r="AS24" s="170">
        <f t="shared" si="40"/>
        <v>131.21199999999999</v>
      </c>
      <c r="AT24" s="170">
        <f t="shared" si="41"/>
        <v>711.21199999999999</v>
      </c>
      <c r="AU24" s="170">
        <f t="shared" si="63"/>
        <v>291</v>
      </c>
      <c r="AV24" s="170">
        <f t="shared" si="64"/>
        <v>37</v>
      </c>
      <c r="AW24" s="170">
        <f t="shared" si="65"/>
        <v>289</v>
      </c>
      <c r="AX24" s="170">
        <f t="shared" si="66"/>
        <v>34</v>
      </c>
      <c r="AY24" s="170" t="str">
        <f t="shared" si="66"/>
        <v/>
      </c>
      <c r="AZ24" s="170">
        <f t="shared" si="42"/>
        <v>226</v>
      </c>
      <c r="BA24" s="170">
        <v>89</v>
      </c>
      <c r="BB24" s="170">
        <f t="shared" si="43"/>
        <v>95</v>
      </c>
      <c r="BC24" s="170">
        <f t="shared" si="43"/>
        <v>0</v>
      </c>
      <c r="BD24" s="91">
        <f t="shared" si="44"/>
        <v>150</v>
      </c>
      <c r="BE24" s="90"/>
      <c r="BF24" s="90"/>
      <c r="BG24" s="90">
        <f t="shared" si="7"/>
        <v>321</v>
      </c>
      <c r="BH24" s="90">
        <f t="shared" si="45"/>
        <v>445.29999999998836</v>
      </c>
      <c r="BI24" s="90">
        <f t="shared" si="8"/>
        <v>1209.5879999999997</v>
      </c>
      <c r="BJ24" s="90">
        <f t="shared" si="46"/>
        <v>4155.4120000000003</v>
      </c>
      <c r="BK24" s="92"/>
      <c r="BL24" s="331">
        <f t="shared" si="67"/>
        <v>5810.2999999999884</v>
      </c>
      <c r="BM24" s="93">
        <f t="shared" si="47"/>
        <v>128233.39999999992</v>
      </c>
      <c r="BN24" s="92"/>
      <c r="BO24" s="94">
        <f t="shared" si="48"/>
        <v>3.3374106249380857E-2</v>
      </c>
      <c r="BP24" s="94">
        <f t="shared" si="48"/>
        <v>7.4906327359721483E-2</v>
      </c>
      <c r="BQ24" s="94">
        <f t="shared" si="49"/>
        <v>0.21597814472813612</v>
      </c>
      <c r="BR24" s="94">
        <f t="shared" si="68"/>
        <v>0.80309754085811713</v>
      </c>
      <c r="BS24" s="94">
        <f t="shared" si="78"/>
        <v>0</v>
      </c>
      <c r="BT24" s="94">
        <f t="shared" si="78"/>
        <v>9.6784908123204477E-2</v>
      </c>
      <c r="BU24" s="95">
        <f t="shared" si="78"/>
        <v>1.1279388416854241</v>
      </c>
      <c r="BV24" s="94">
        <f t="shared" si="10"/>
        <v>3.0375130694423946E-2</v>
      </c>
      <c r="BW24" s="94">
        <f t="shared" si="10"/>
        <v>6.8175293336373732E-2</v>
      </c>
      <c r="BX24" s="94">
        <f t="shared" si="10"/>
        <v>0.19657048863677209</v>
      </c>
      <c r="BY24" s="94">
        <f t="shared" si="50"/>
        <v>0.73093171639280474</v>
      </c>
      <c r="BZ24" s="95">
        <f t="shared" si="11"/>
        <v>1.0265829884851976</v>
      </c>
      <c r="CA24" s="96" t="e">
        <f>#REF!</f>
        <v>#REF!</v>
      </c>
      <c r="CB24" s="94">
        <f t="shared" si="51"/>
        <v>3.674522953148314E-2</v>
      </c>
      <c r="CC24" s="95">
        <f t="shared" si="51"/>
        <v>6.3263200772646896E-2</v>
      </c>
      <c r="CD24" s="97">
        <f t="shared" si="12"/>
        <v>0.22055382706267113</v>
      </c>
      <c r="CE24" s="98">
        <f t="shared" si="12"/>
        <v>0.37972115620305463</v>
      </c>
      <c r="CF24" s="97" t="str">
        <f t="shared" si="52"/>
        <v>0,00</v>
      </c>
      <c r="CG24" s="94" t="str">
        <f t="shared" si="52"/>
        <v>0,00</v>
      </c>
      <c r="CH24" s="95" t="str">
        <f t="shared" si="53"/>
        <v xml:space="preserve">0,00 </v>
      </c>
      <c r="CI24" s="96" t="e">
        <f>#REF!</f>
        <v>#REF!</v>
      </c>
      <c r="CJ24" s="94">
        <f t="shared" si="54"/>
        <v>0.20224171539961011</v>
      </c>
      <c r="CK24" s="94">
        <f t="shared" si="54"/>
        <v>2.4366471734892786E-2</v>
      </c>
      <c r="CL24" s="95">
        <f t="shared" si="69"/>
        <v>0.51413255360623777</v>
      </c>
      <c r="CM24" s="95" t="e">
        <f>#REF!</f>
        <v>#REF!</v>
      </c>
      <c r="CN24" s="94">
        <f t="shared" si="55"/>
        <v>0.60863665389527466</v>
      </c>
      <c r="CO24" s="94">
        <f t="shared" si="55"/>
        <v>0.10642826734780758</v>
      </c>
      <c r="CP24" s="95">
        <f t="shared" si="56"/>
        <v>1.004416773094934</v>
      </c>
      <c r="CQ24" s="95" t="e">
        <f>#REF!</f>
        <v>#REF!</v>
      </c>
      <c r="CR24" s="97">
        <f t="shared" si="70"/>
        <v>5.2728745537006023E-2</v>
      </c>
      <c r="CS24" s="95">
        <f t="shared" si="70"/>
        <v>0.12523077065038932</v>
      </c>
      <c r="CT24" s="96" t="e">
        <f>#REF!</f>
        <v>#REF!</v>
      </c>
      <c r="CU24" s="97">
        <f t="shared" si="71"/>
        <v>3.0493750652323699E-2</v>
      </c>
      <c r="CV24" s="95">
        <f t="shared" si="57"/>
        <v>6.2373580879753025E-2</v>
      </c>
      <c r="CW24" s="96" t="e">
        <f>#REF!</f>
        <v>#REF!</v>
      </c>
      <c r="CX24" s="99">
        <f t="shared" si="58"/>
        <v>0.14030417511233917</v>
      </c>
      <c r="CY24" s="95">
        <f t="shared" si="58"/>
        <v>1.7839362471328345E-2</v>
      </c>
      <c r="CZ24" s="99">
        <f t="shared" si="58"/>
        <v>0.13933988524902413</v>
      </c>
      <c r="DA24" s="95">
        <f t="shared" si="58"/>
        <v>1.6392927676355779E-2</v>
      </c>
      <c r="DB24" s="94">
        <f t="shared" si="13"/>
        <v>0.10896475455460018</v>
      </c>
      <c r="DC24" s="94">
        <f t="shared" si="14"/>
        <v>4.5803768507464676E-2</v>
      </c>
      <c r="DD24" s="94">
        <f t="shared" si="14"/>
        <v>0</v>
      </c>
      <c r="DE24" s="94">
        <f t="shared" si="14"/>
        <v>7.2321739748628433E-2</v>
      </c>
      <c r="DF24" s="94">
        <f t="shared" si="14"/>
        <v>0</v>
      </c>
      <c r="DG24" s="94">
        <f t="shared" si="14"/>
        <v>0</v>
      </c>
      <c r="DH24" s="95">
        <f t="shared" si="14"/>
        <v>0.15476852306206484</v>
      </c>
      <c r="DI24" s="96" t="e">
        <f>#REF!</f>
        <v>#REF!</v>
      </c>
      <c r="DJ24" s="95">
        <f t="shared" si="59"/>
        <v>0.21469913806708932</v>
      </c>
      <c r="DK24" s="96" t="e">
        <f>#REF!</f>
        <v>#REF!</v>
      </c>
      <c r="DL24" s="95">
        <f t="shared" si="60"/>
        <v>0.58319672359375974</v>
      </c>
      <c r="DM24" s="96">
        <f t="shared" si="15"/>
        <v>0</v>
      </c>
      <c r="DN24" s="94">
        <f t="shared" si="16"/>
        <v>2.0035108347488508</v>
      </c>
      <c r="DO24" s="100">
        <v>3.4</v>
      </c>
      <c r="DP24" s="94">
        <f>IF($O24&lt;&gt;0,IF($O24&lt;&gt;0,BL24/$O24*10,0)," ")</f>
        <v>2.8014066964096997</v>
      </c>
      <c r="DQ24" s="94">
        <f t="shared" si="74"/>
        <v>3.7564374100095006</v>
      </c>
      <c r="DR24" s="101" t="str">
        <f t="shared" si="17"/>
        <v>3,315, hL/NhL</v>
      </c>
      <c r="DT24" s="103">
        <v>19</v>
      </c>
      <c r="DU24" s="120">
        <v>623774</v>
      </c>
      <c r="DV24" s="120">
        <v>26192</v>
      </c>
      <c r="DW24" s="120">
        <v>5126763</v>
      </c>
      <c r="DX24" s="120">
        <v>116304</v>
      </c>
      <c r="DY24" s="120">
        <v>84357</v>
      </c>
      <c r="DZ24" s="120">
        <v>390797</v>
      </c>
      <c r="EA24" s="120">
        <v>230262</v>
      </c>
      <c r="EB24" s="120">
        <v>53767</v>
      </c>
      <c r="EC24" s="120">
        <v>403161</v>
      </c>
      <c r="ED24" s="120">
        <v>46854</v>
      </c>
      <c r="EE24" s="120">
        <v>41521</v>
      </c>
      <c r="EF24" s="120">
        <v>38372</v>
      </c>
      <c r="EG24" s="120">
        <v>91928</v>
      </c>
      <c r="EH24" s="120">
        <v>181047</v>
      </c>
      <c r="EI24" s="120">
        <v>31314</v>
      </c>
      <c r="EJ24" s="120">
        <v>40173</v>
      </c>
      <c r="EK24" s="120"/>
      <c r="EL24" s="120">
        <v>697666</v>
      </c>
      <c r="EM24" s="120">
        <v>4077</v>
      </c>
      <c r="EN24" s="120">
        <v>43556</v>
      </c>
      <c r="EO24" s="120">
        <v>2993758</v>
      </c>
      <c r="EP24" s="120">
        <v>2770605</v>
      </c>
      <c r="EQ24" s="120">
        <v>0</v>
      </c>
      <c r="ER24" s="120">
        <v>1827</v>
      </c>
      <c r="ES24" s="120">
        <v>349090</v>
      </c>
      <c r="ET24" s="120">
        <v>9367458</v>
      </c>
      <c r="EU24" s="120">
        <v>418092</v>
      </c>
      <c r="EV24" s="120">
        <v>134870</v>
      </c>
      <c r="EW24" s="120">
        <v>105175</v>
      </c>
      <c r="EX24" s="120">
        <v>207384</v>
      </c>
      <c r="EY24" s="330">
        <v>1633997</v>
      </c>
      <c r="EZ24" s="120">
        <v>771602</v>
      </c>
      <c r="FA24" s="151">
        <v>743916</v>
      </c>
      <c r="FB24" s="77">
        <v>31147.1</v>
      </c>
      <c r="FC24" s="77">
        <v>5365</v>
      </c>
      <c r="FD24" s="104">
        <f>SUM(FE24:FM24)</f>
        <v>4643.2999999999884</v>
      </c>
      <c r="FE24" s="105">
        <f t="shared" si="79"/>
        <v>0</v>
      </c>
      <c r="FF24" s="105">
        <f t="shared" si="79"/>
        <v>0</v>
      </c>
      <c r="FG24" s="105">
        <f t="shared" si="79"/>
        <v>3</v>
      </c>
      <c r="FH24" s="105">
        <f t="shared" si="79"/>
        <v>1821</v>
      </c>
      <c r="FI24" s="105">
        <f t="shared" si="79"/>
        <v>593</v>
      </c>
      <c r="FJ24" s="105">
        <f t="shared" si="79"/>
        <v>771</v>
      </c>
      <c r="FK24" s="105">
        <f t="shared" si="79"/>
        <v>0</v>
      </c>
      <c r="FL24" s="105">
        <f t="shared" si="79"/>
        <v>1455.2999999999884</v>
      </c>
      <c r="FM24" s="105">
        <f t="shared" si="79"/>
        <v>0</v>
      </c>
      <c r="FN24" s="80">
        <f t="shared" si="75"/>
        <v>1167</v>
      </c>
      <c r="FO24" s="104">
        <v>1037150</v>
      </c>
      <c r="FP24" s="162"/>
      <c r="FY24" s="119">
        <v>19</v>
      </c>
      <c r="FZ24" s="107"/>
      <c r="GA24" s="107"/>
      <c r="GB24" s="107"/>
      <c r="GC24" s="109"/>
      <c r="GD24" s="110"/>
      <c r="GE24" s="110"/>
      <c r="GF24" s="111"/>
      <c r="GG24" s="111"/>
      <c r="GH24" s="111"/>
      <c r="GI24" s="164"/>
      <c r="GJ24" s="111" t="e">
        <f t="shared" si="61"/>
        <v>#DIV/0!</v>
      </c>
    </row>
    <row r="25" spans="1:193" ht="15" customHeight="1">
      <c r="B25" s="354">
        <f t="shared" si="62"/>
        <v>42906</v>
      </c>
      <c r="D25" s="86">
        <v>5484</v>
      </c>
      <c r="E25" s="86">
        <v>5337.6</v>
      </c>
      <c r="F25" s="86">
        <v>2947.1039999999998</v>
      </c>
      <c r="G25" s="86">
        <v>1916.915</v>
      </c>
      <c r="H25" s="86">
        <v>5183.3239999999996</v>
      </c>
      <c r="I25" s="86">
        <v>1628.759</v>
      </c>
      <c r="J25" s="86">
        <v>3153.45</v>
      </c>
      <c r="K25" s="284">
        <v>4.5860000000000003</v>
      </c>
      <c r="L25" s="284">
        <v>136</v>
      </c>
      <c r="M25" s="115">
        <f>I25+J25</f>
        <v>4782.2089999999998</v>
      </c>
      <c r="N25" s="88">
        <f>SUM(D25:H25)</f>
        <v>20868.942999999999</v>
      </c>
      <c r="O25" s="88">
        <f t="shared" si="20"/>
        <v>23396.047500000001</v>
      </c>
      <c r="P25" s="89">
        <f t="shared" si="21"/>
        <v>364765.77099999995</v>
      </c>
      <c r="R25" s="170">
        <f t="shared" si="22"/>
        <v>245.19999999995343</v>
      </c>
      <c r="S25" s="170">
        <f t="shared" si="23"/>
        <v>119.38000000000466</v>
      </c>
      <c r="T25" s="170">
        <f t="shared" si="2"/>
        <v>198</v>
      </c>
      <c r="U25" s="91">
        <f t="shared" si="76"/>
        <v>5.6099999999998547</v>
      </c>
      <c r="V25" s="170">
        <f t="shared" si="24"/>
        <v>1389.7000000001863</v>
      </c>
      <c r="W25" s="91">
        <f t="shared" si="3"/>
        <v>123.7</v>
      </c>
      <c r="X25" s="170">
        <f t="shared" si="25"/>
        <v>1389.7000000001863</v>
      </c>
      <c r="Y25" s="170">
        <f t="shared" si="26"/>
        <v>99.7</v>
      </c>
      <c r="Z25" s="170">
        <f t="shared" si="4"/>
        <v>142.80000000000001</v>
      </c>
      <c r="AA25" s="170">
        <f t="shared" si="27"/>
        <v>1957.8900000001443</v>
      </c>
      <c r="AB25" s="170">
        <f t="shared" si="28"/>
        <v>202</v>
      </c>
      <c r="AC25" s="170">
        <f t="shared" si="28"/>
        <v>126</v>
      </c>
      <c r="AD25" s="170">
        <f t="shared" si="29"/>
        <v>589</v>
      </c>
      <c r="AE25" s="170">
        <f t="shared" si="30"/>
        <v>261</v>
      </c>
      <c r="AF25" s="170">
        <f t="shared" si="31"/>
        <v>132</v>
      </c>
      <c r="AG25" s="170">
        <f t="shared" si="31"/>
        <v>9.1000000000058208</v>
      </c>
      <c r="AH25" s="170">
        <f t="shared" si="32"/>
        <v>221</v>
      </c>
      <c r="AI25" s="170">
        <f t="shared" si="33"/>
        <v>79.899999999994179</v>
      </c>
      <c r="AJ25" s="170">
        <f t="shared" si="34"/>
        <v>198</v>
      </c>
      <c r="AK25" s="170">
        <f t="shared" si="34"/>
        <v>2.1999999999970896</v>
      </c>
      <c r="AL25" s="170">
        <f t="shared" si="35"/>
        <v>282</v>
      </c>
      <c r="AM25" s="170">
        <f t="shared" si="36"/>
        <v>81.80000000000291</v>
      </c>
      <c r="AN25" s="170">
        <f t="shared" si="37"/>
        <v>24.5</v>
      </c>
      <c r="AO25" s="170">
        <f t="shared" si="5"/>
        <v>43.80000000000291</v>
      </c>
      <c r="AP25" s="170">
        <f t="shared" si="38"/>
        <v>61.30000000000291</v>
      </c>
      <c r="AQ25" s="170">
        <f t="shared" si="6"/>
        <v>112</v>
      </c>
      <c r="AR25" s="170">
        <f t="shared" si="39"/>
        <v>41.53</v>
      </c>
      <c r="AS25" s="170">
        <f t="shared" si="40"/>
        <v>20.529999999999973</v>
      </c>
      <c r="AT25" s="170">
        <f t="shared" si="41"/>
        <v>561.53</v>
      </c>
      <c r="AU25" s="170">
        <f t="shared" si="63"/>
        <v>245</v>
      </c>
      <c r="AV25" s="170">
        <f t="shared" si="64"/>
        <v>39</v>
      </c>
      <c r="AW25" s="170">
        <f>IF(EU25="","",(EU25-EU24))</f>
        <v>296</v>
      </c>
      <c r="AX25" s="170">
        <f t="shared" si="66"/>
        <v>30</v>
      </c>
      <c r="AY25" s="170" t="str">
        <f t="shared" si="66"/>
        <v/>
      </c>
      <c r="AZ25" s="170">
        <f t="shared" si="42"/>
        <v>306</v>
      </c>
      <c r="BA25" s="170">
        <v>67</v>
      </c>
      <c r="BB25" s="170">
        <f t="shared" si="43"/>
        <v>121.79999999998836</v>
      </c>
      <c r="BC25" s="170">
        <f t="shared" si="43"/>
        <v>855.60000000009313</v>
      </c>
      <c r="BD25" s="91">
        <f t="shared" si="44"/>
        <v>91</v>
      </c>
      <c r="BE25" s="90"/>
      <c r="BF25" s="90"/>
      <c r="BG25" s="90">
        <f t="shared" si="7"/>
        <v>1283.4000000000815</v>
      </c>
      <c r="BH25" s="90">
        <f t="shared" si="45"/>
        <v>-1485</v>
      </c>
      <c r="BI25" s="90">
        <f t="shared" si="8"/>
        <v>1129.3799999997718</v>
      </c>
      <c r="BJ25" s="90">
        <f t="shared" si="46"/>
        <v>5119.6200000002282</v>
      </c>
      <c r="BK25" s="92"/>
      <c r="BL25" s="331">
        <f>FD25+FN25</f>
        <v>4764</v>
      </c>
      <c r="BM25" s="93">
        <f t="shared" si="47"/>
        <v>132997.39999999991</v>
      </c>
      <c r="BN25" s="92"/>
      <c r="BO25" s="94">
        <f t="shared" si="48"/>
        <v>0.11749516973617372</v>
      </c>
      <c r="BP25" s="94">
        <f t="shared" si="48"/>
        <v>5.7204622198644493E-2</v>
      </c>
      <c r="BQ25" s="94">
        <f t="shared" si="49"/>
        <v>9.4877828742931533E-2</v>
      </c>
      <c r="BR25" s="94">
        <f t="shared" si="68"/>
        <v>0.66591777072762437</v>
      </c>
      <c r="BS25" s="94">
        <f t="shared" si="78"/>
        <v>4.777434103873876E-2</v>
      </c>
      <c r="BT25" s="94">
        <f t="shared" si="78"/>
        <v>6.8427040123690025E-2</v>
      </c>
      <c r="BU25" s="95">
        <f t="shared" si="78"/>
        <v>0.93818359655309058</v>
      </c>
      <c r="BV25" s="94">
        <f t="shared" si="10"/>
        <v>0.10480402726142243</v>
      </c>
      <c r="BW25" s="94">
        <f t="shared" si="10"/>
        <v>5.1025712783325752E-2</v>
      </c>
      <c r="BX25" s="94">
        <f t="shared" si="10"/>
        <v>8.4629679436238114E-2</v>
      </c>
      <c r="BY25" s="94">
        <f t="shared" si="50"/>
        <v>0.5939892197603831</v>
      </c>
      <c r="BZ25" s="95">
        <f t="shared" si="11"/>
        <v>0.83684648015872942</v>
      </c>
      <c r="CA25" s="96" t="e">
        <f>#REF!</f>
        <v>#REF!</v>
      </c>
      <c r="CB25" s="94">
        <f t="shared" si="51"/>
        <v>1.7750861550439236E-2</v>
      </c>
      <c r="CC25" s="95">
        <f t="shared" si="51"/>
        <v>8.7749864587170004E-3</v>
      </c>
      <c r="CD25" s="97">
        <f t="shared" si="12"/>
        <v>8.6842712227759189E-2</v>
      </c>
      <c r="CE25" s="98">
        <f t="shared" si="12"/>
        <v>4.2929951409484558E-2</v>
      </c>
      <c r="CF25" s="97">
        <f t="shared" si="52"/>
        <v>0.36834427425237048</v>
      </c>
      <c r="CG25" s="94">
        <f t="shared" si="52"/>
        <v>0.22975929978118162</v>
      </c>
      <c r="CH25" s="95">
        <f t="shared" si="53"/>
        <v>1.0740335521517141</v>
      </c>
      <c r="CI25" s="96" t="e">
        <f>#REF!</f>
        <v>#REF!</v>
      </c>
      <c r="CJ25" s="94">
        <f t="shared" si="54"/>
        <v>0.24730215827338128</v>
      </c>
      <c r="CK25" s="94">
        <f t="shared" si="54"/>
        <v>1.7048860911281886E-2</v>
      </c>
      <c r="CL25" s="95">
        <f t="shared" si="69"/>
        <v>0.4140437649880096</v>
      </c>
      <c r="CM25" s="95" t="e">
        <f>#REF!</f>
        <v>#REF!</v>
      </c>
      <c r="CN25" s="94">
        <f t="shared" si="55"/>
        <v>0.67184598846867982</v>
      </c>
      <c r="CO25" s="94">
        <f t="shared" si="55"/>
        <v>7.4649554274199004E-3</v>
      </c>
      <c r="CP25" s="95">
        <f t="shared" si="56"/>
        <v>0.95687155933418033</v>
      </c>
      <c r="CQ25" s="95" t="e">
        <f>#REF!</f>
        <v>#REF!</v>
      </c>
      <c r="CR25" s="97">
        <f t="shared" si="70"/>
        <v>0.12780952728733408</v>
      </c>
      <c r="CS25" s="95">
        <f t="shared" si="70"/>
        <v>0.2284921344973716</v>
      </c>
      <c r="CT25" s="96" t="e">
        <f>#REF!</f>
        <v>#REF!</v>
      </c>
      <c r="CU25" s="97">
        <f t="shared" si="71"/>
        <v>0.11826387854589626</v>
      </c>
      <c r="CV25" s="95">
        <f t="shared" si="57"/>
        <v>0.21607755949657015</v>
      </c>
      <c r="CW25" s="96" t="e">
        <f>#REF!</f>
        <v>#REF!</v>
      </c>
      <c r="CX25" s="99">
        <f t="shared" si="58"/>
        <v>0.10471854273675926</v>
      </c>
      <c r="CY25" s="95">
        <f t="shared" si="58"/>
        <v>1.6669482313198414E-2</v>
      </c>
      <c r="CZ25" s="99">
        <f t="shared" si="58"/>
        <v>0.12651709653094181</v>
      </c>
      <c r="DA25" s="95">
        <f t="shared" si="58"/>
        <v>1.2822678702460318E-2</v>
      </c>
      <c r="DB25" s="94">
        <f t="shared" si="13"/>
        <v>0.13079132276509525</v>
      </c>
      <c r="DC25" s="94">
        <f t="shared" si="14"/>
        <v>5.206007553198392E-2</v>
      </c>
      <c r="DD25" s="94">
        <f t="shared" si="14"/>
        <v>0.36570279659420812</v>
      </c>
      <c r="DE25" s="94">
        <f t="shared" si="14"/>
        <v>3.8895458730796299E-2</v>
      </c>
      <c r="DF25" s="94">
        <f t="shared" si="14"/>
        <v>0</v>
      </c>
      <c r="DG25" s="94">
        <f t="shared" si="14"/>
        <v>0</v>
      </c>
      <c r="DH25" s="95">
        <f t="shared" si="14"/>
        <v>0.54855419489128732</v>
      </c>
      <c r="DI25" s="96" t="e">
        <f>#REF!</f>
        <v>#REF!</v>
      </c>
      <c r="DJ25" s="95">
        <f t="shared" si="59"/>
        <v>-0.63472259577178591</v>
      </c>
      <c r="DK25" s="96" t="e">
        <f>#REF!</f>
        <v>#REF!</v>
      </c>
      <c r="DL25" s="95">
        <f t="shared" si="60"/>
        <v>0.48272256243272366</v>
      </c>
      <c r="DM25" s="96">
        <f t="shared" si="15"/>
        <v>0</v>
      </c>
      <c r="DN25" s="94">
        <f t="shared" si="16"/>
        <v>2.188241411289761</v>
      </c>
      <c r="DO25" s="100">
        <v>3.4</v>
      </c>
      <c r="DP25" s="94">
        <f t="shared" si="73"/>
        <v>2.0362413779506987</v>
      </c>
      <c r="DQ25" s="94">
        <f t="shared" si="74"/>
        <v>3.6461041735190642</v>
      </c>
      <c r="DR25" s="101" t="str">
        <f t="shared" si="17"/>
        <v>3,315, hL/NhL</v>
      </c>
      <c r="DS25" s="173"/>
      <c r="DT25" s="103">
        <v>20</v>
      </c>
      <c r="DU25" s="120">
        <v>623976</v>
      </c>
      <c r="DV25" s="120">
        <v>26318</v>
      </c>
      <c r="DW25" s="120">
        <v>5127352</v>
      </c>
      <c r="DX25" s="120">
        <v>116436</v>
      </c>
      <c r="DY25" s="120">
        <v>84366.1</v>
      </c>
      <c r="DZ25" s="120">
        <v>391018</v>
      </c>
      <c r="EA25" s="120">
        <v>230460</v>
      </c>
      <c r="EB25" s="120">
        <v>53769.2</v>
      </c>
      <c r="EC25" s="120">
        <v>403443</v>
      </c>
      <c r="ED25" s="120">
        <v>46878.5</v>
      </c>
      <c r="EE25" s="121">
        <v>41562.5</v>
      </c>
      <c r="EF25" s="120">
        <v>38374.300000000003</v>
      </c>
      <c r="EG25" s="120">
        <v>91989.3</v>
      </c>
      <c r="EH25" s="120">
        <v>181159</v>
      </c>
      <c r="EI25" s="120">
        <v>31353</v>
      </c>
      <c r="EJ25" s="120">
        <v>40203</v>
      </c>
      <c r="EK25" s="120"/>
      <c r="EL25" s="120">
        <v>697911.2</v>
      </c>
      <c r="EM25" s="120">
        <v>1980</v>
      </c>
      <c r="EN25" s="120">
        <v>43612.1</v>
      </c>
      <c r="EO25" s="120">
        <v>2995147.7</v>
      </c>
      <c r="EP25" s="120">
        <v>2771842</v>
      </c>
      <c r="EQ25" s="120">
        <v>997</v>
      </c>
      <c r="ER25" s="120">
        <v>1428</v>
      </c>
      <c r="ES25" s="120">
        <v>349610</v>
      </c>
      <c r="ET25" s="120">
        <v>9408988</v>
      </c>
      <c r="EU25" s="120">
        <v>418388</v>
      </c>
      <c r="EV25" s="120">
        <v>135115</v>
      </c>
      <c r="EW25" s="120">
        <v>105481</v>
      </c>
      <c r="EX25" s="120">
        <v>207505.8</v>
      </c>
      <c r="EY25" s="120">
        <v>1634852.6</v>
      </c>
      <c r="EZ25" s="120">
        <v>772795.8</v>
      </c>
      <c r="FA25" s="151">
        <v>744007</v>
      </c>
      <c r="FB25" s="77">
        <v>31203</v>
      </c>
      <c r="FC25" s="77">
        <v>6249</v>
      </c>
      <c r="FD25" s="104">
        <f>SUM(FE25:FM25)</f>
        <v>4412</v>
      </c>
      <c r="FE25" s="105">
        <f t="shared" si="79"/>
        <v>0</v>
      </c>
      <c r="FF25" s="105">
        <f t="shared" si="79"/>
        <v>360</v>
      </c>
      <c r="FG25" s="105">
        <f t="shared" si="79"/>
        <v>0</v>
      </c>
      <c r="FH25" s="105">
        <f t="shared" si="79"/>
        <v>1676</v>
      </c>
      <c r="FI25" s="105">
        <f t="shared" si="79"/>
        <v>692</v>
      </c>
      <c r="FJ25" s="105">
        <f t="shared" si="79"/>
        <v>835</v>
      </c>
      <c r="FK25" s="105">
        <f t="shared" si="79"/>
        <v>0</v>
      </c>
      <c r="FL25" s="105">
        <f>FL58-FL57</f>
        <v>849</v>
      </c>
      <c r="FM25" s="105">
        <f t="shared" si="79"/>
        <v>0</v>
      </c>
      <c r="FN25" s="80">
        <f t="shared" si="75"/>
        <v>352</v>
      </c>
      <c r="FO25" s="174">
        <v>1037502</v>
      </c>
      <c r="FP25" s="162"/>
      <c r="FQ25" s="175"/>
      <c r="FR25" s="64"/>
      <c r="FS25" s="64"/>
      <c r="FT25" s="64"/>
      <c r="FU25" s="64"/>
      <c r="FV25" s="64"/>
      <c r="FW25" s="64"/>
      <c r="FX25" s="64"/>
      <c r="FY25" s="64">
        <v>20</v>
      </c>
      <c r="FZ25" s="107"/>
      <c r="GA25" s="107"/>
      <c r="GB25" s="107"/>
      <c r="GC25" s="109"/>
      <c r="GD25" s="110"/>
      <c r="GE25" s="110"/>
      <c r="GF25" s="111"/>
      <c r="GG25" s="111"/>
      <c r="GH25" s="111"/>
      <c r="GI25" s="164"/>
      <c r="GJ25" s="111" t="e">
        <f t="shared" si="61"/>
        <v>#DIV/0!</v>
      </c>
      <c r="GK25" s="118"/>
    </row>
    <row r="26" spans="1:193" s="119" customFormat="1" ht="15" customHeight="1">
      <c r="B26" s="354">
        <f t="shared" si="62"/>
        <v>42907</v>
      </c>
      <c r="D26" s="86">
        <v>3188.2799999999997</v>
      </c>
      <c r="E26" s="86">
        <v>1251</v>
      </c>
      <c r="F26" s="86">
        <v>2436.48</v>
      </c>
      <c r="G26" s="86">
        <v>1899.4059999999999</v>
      </c>
      <c r="H26" s="86">
        <v>7996.1790000000001</v>
      </c>
      <c r="I26" s="86">
        <v>2391.2350000000001</v>
      </c>
      <c r="J26" s="284">
        <v>7477.56</v>
      </c>
      <c r="K26" s="284"/>
      <c r="L26" s="284">
        <v>136</v>
      </c>
      <c r="M26" s="115">
        <f t="shared" si="19"/>
        <v>9868.7950000000001</v>
      </c>
      <c r="N26" s="88">
        <f t="shared" si="1"/>
        <v>16771.345000000001</v>
      </c>
      <c r="O26" s="88">
        <f t="shared" si="20"/>
        <v>21841.7425</v>
      </c>
      <c r="P26" s="89">
        <f t="shared" si="21"/>
        <v>386607.51349999994</v>
      </c>
      <c r="R26" s="170">
        <f t="shared" si="22"/>
        <v>235.10000000009313</v>
      </c>
      <c r="S26" s="170">
        <f t="shared" si="23"/>
        <v>57.969999999995345</v>
      </c>
      <c r="T26" s="170">
        <f t="shared" si="2"/>
        <v>156.5</v>
      </c>
      <c r="U26" s="91">
        <f t="shared" si="76"/>
        <v>5.05</v>
      </c>
      <c r="V26" s="170">
        <f t="shared" si="24"/>
        <v>1345.3999999999069</v>
      </c>
      <c r="W26" s="91">
        <f t="shared" si="3"/>
        <v>119.6</v>
      </c>
      <c r="X26" s="170">
        <f t="shared" si="25"/>
        <v>1345.3999999999069</v>
      </c>
      <c r="Y26" s="170">
        <f t="shared" si="26"/>
        <v>12</v>
      </c>
      <c r="Z26" s="170">
        <f t="shared" si="4"/>
        <v>162</v>
      </c>
      <c r="AA26" s="170">
        <f t="shared" si="27"/>
        <v>1800.0199999999954</v>
      </c>
      <c r="AB26" s="170">
        <f t="shared" si="28"/>
        <v>120</v>
      </c>
      <c r="AC26" s="170">
        <f t="shared" si="28"/>
        <v>47</v>
      </c>
      <c r="AD26" s="170">
        <f t="shared" si="29"/>
        <v>381</v>
      </c>
      <c r="AE26" s="170">
        <f t="shared" si="30"/>
        <v>214</v>
      </c>
      <c r="AF26" s="170">
        <f t="shared" si="31"/>
        <v>158</v>
      </c>
      <c r="AG26" s="170">
        <f t="shared" si="31"/>
        <v>119.39999999999418</v>
      </c>
      <c r="AH26" s="170">
        <f t="shared" si="32"/>
        <v>383</v>
      </c>
      <c r="AI26" s="170">
        <f t="shared" si="33"/>
        <v>105.60000000000582</v>
      </c>
      <c r="AJ26" s="170">
        <f t="shared" si="34"/>
        <v>199</v>
      </c>
      <c r="AK26" s="170">
        <f t="shared" si="34"/>
        <v>64.700000000004366</v>
      </c>
      <c r="AL26" s="170">
        <f t="shared" si="35"/>
        <v>360</v>
      </c>
      <c r="AM26" s="170">
        <f t="shared" si="36"/>
        <v>96.299999999995634</v>
      </c>
      <c r="AN26" s="170">
        <f t="shared" si="37"/>
        <v>52.80000000000291</v>
      </c>
      <c r="AO26" s="170">
        <f t="shared" si="5"/>
        <v>97.299999999995634</v>
      </c>
      <c r="AP26" s="170">
        <f t="shared" si="38"/>
        <v>24.599999999991269</v>
      </c>
      <c r="AQ26" s="170">
        <f t="shared" si="6"/>
        <v>56.600000000005821</v>
      </c>
      <c r="AR26" s="170">
        <f t="shared" si="39"/>
        <v>59.503</v>
      </c>
      <c r="AS26" s="170">
        <f t="shared" si="40"/>
        <v>95.502999999999929</v>
      </c>
      <c r="AT26" s="170">
        <f t="shared" si="41"/>
        <v>1034.5029999999999</v>
      </c>
      <c r="AU26" s="170">
        <f t="shared" si="63"/>
        <v>317</v>
      </c>
      <c r="AV26" s="170">
        <f t="shared" si="64"/>
        <v>12</v>
      </c>
      <c r="AW26" s="170">
        <f t="shared" si="65"/>
        <v>622</v>
      </c>
      <c r="AX26" s="170">
        <f t="shared" si="66"/>
        <v>4</v>
      </c>
      <c r="AY26" s="170" t="str">
        <f t="shared" si="66"/>
        <v/>
      </c>
      <c r="AZ26" s="170">
        <f t="shared" si="42"/>
        <v>307</v>
      </c>
      <c r="BA26" s="170">
        <v>68</v>
      </c>
      <c r="BB26" s="170">
        <f t="shared" si="43"/>
        <v>133</v>
      </c>
      <c r="BC26" s="170">
        <f t="shared" si="43"/>
        <v>949.39999999990687</v>
      </c>
      <c r="BD26" s="91">
        <f t="shared" si="44"/>
        <v>0</v>
      </c>
      <c r="BE26" s="90"/>
      <c r="BF26" s="90"/>
      <c r="BG26" s="90">
        <f t="shared" si="7"/>
        <v>1389.3999999999069</v>
      </c>
      <c r="BH26" s="90">
        <f t="shared" si="45"/>
        <v>-1021</v>
      </c>
      <c r="BI26" s="90">
        <f t="shared" si="8"/>
        <v>683.177000000097</v>
      </c>
      <c r="BJ26" s="90">
        <f t="shared" si="46"/>
        <v>5517.822999999903</v>
      </c>
      <c r="BK26" s="92"/>
      <c r="BL26" s="331">
        <f t="shared" si="67"/>
        <v>5180</v>
      </c>
      <c r="BM26" s="93">
        <f t="shared" si="47"/>
        <v>138177.39999999991</v>
      </c>
      <c r="BN26" s="92"/>
      <c r="BO26" s="94">
        <f t="shared" si="48"/>
        <v>0.14017957414870014</v>
      </c>
      <c r="BP26" s="94">
        <f t="shared" si="48"/>
        <v>3.4564908181183643E-2</v>
      </c>
      <c r="BQ26" s="94">
        <f t="shared" si="49"/>
        <v>9.3313923242292138E-2</v>
      </c>
      <c r="BR26" s="94">
        <f t="shared" si="68"/>
        <v>0.80220161233336196</v>
      </c>
      <c r="BS26" s="94">
        <f t="shared" si="78"/>
        <v>7.1550612070767124E-3</v>
      </c>
      <c r="BT26" s="94">
        <f t="shared" si="78"/>
        <v>9.6593326295535617E-2</v>
      </c>
      <c r="BU26" s="95">
        <f t="shared" si="78"/>
        <v>1.0732711061635161</v>
      </c>
      <c r="BV26" s="94">
        <f t="shared" si="10"/>
        <v>0.10763793227582147</v>
      </c>
      <c r="BW26" s="94">
        <f t="shared" si="10"/>
        <v>2.6540922730865151E-2</v>
      </c>
      <c r="BX26" s="94">
        <f t="shared" si="10"/>
        <v>7.1651792433685177E-2</v>
      </c>
      <c r="BY26" s="94">
        <f t="shared" si="50"/>
        <v>0.61597649546500555</v>
      </c>
      <c r="BZ26" s="95">
        <f t="shared" si="11"/>
        <v>0.82411922949828553</v>
      </c>
      <c r="CA26" s="96" t="e">
        <f>#REF!</f>
        <v>#REF!</v>
      </c>
      <c r="CB26" s="94">
        <f t="shared" si="51"/>
        <v>2.7242789809466893E-2</v>
      </c>
      <c r="CC26" s="95">
        <f t="shared" si="51"/>
        <v>4.3724991263860903E-2</v>
      </c>
      <c r="CD26" s="97">
        <f t="shared" si="12"/>
        <v>6.0294088589336388E-2</v>
      </c>
      <c r="CE26" s="98">
        <f t="shared" si="12"/>
        <v>9.6772706292916136E-2</v>
      </c>
      <c r="CF26" s="97">
        <f t="shared" si="52"/>
        <v>0.3763784862057285</v>
      </c>
      <c r="CG26" s="94">
        <f t="shared" si="52"/>
        <v>0.14741490709724367</v>
      </c>
      <c r="CH26" s="95">
        <f t="shared" si="53"/>
        <v>1.195001693703188</v>
      </c>
      <c r="CI26" s="96" t="e">
        <f>#REF!</f>
        <v>#REF!</v>
      </c>
      <c r="CJ26" s="94">
        <f t="shared" si="54"/>
        <v>1.2629896083133494</v>
      </c>
      <c r="CK26" s="94">
        <f t="shared" si="54"/>
        <v>0.95443645083928208</v>
      </c>
      <c r="CL26" s="95">
        <f t="shared" si="69"/>
        <v>3.0615507593924862</v>
      </c>
      <c r="CM26" s="95" t="e">
        <f>#REF!</f>
        <v>#REF!</v>
      </c>
      <c r="CN26" s="94">
        <f t="shared" si="55"/>
        <v>0.81675203572366695</v>
      </c>
      <c r="CO26" s="94">
        <f t="shared" si="55"/>
        <v>0.26554701864987346</v>
      </c>
      <c r="CP26" s="95">
        <f t="shared" si="56"/>
        <v>1.4775413711583925</v>
      </c>
      <c r="CQ26" s="95" t="e">
        <f>#REF!</f>
        <v>#REF!</v>
      </c>
      <c r="CR26" s="97">
        <f t="shared" si="70"/>
        <v>0.27798164268199066</v>
      </c>
      <c r="CS26" s="95">
        <f t="shared" si="70"/>
        <v>0.51226541350293531</v>
      </c>
      <c r="CT26" s="96" t="e">
        <f>#REF!</f>
        <v>#REF!</v>
      </c>
      <c r="CU26" s="97">
        <f t="shared" si="71"/>
        <v>3.0764693986954604E-2</v>
      </c>
      <c r="CV26" s="95">
        <f t="shared" si="57"/>
        <v>7.0783808116358843E-2</v>
      </c>
      <c r="CW26" s="96" t="e">
        <f>#REF!</f>
        <v>#REF!</v>
      </c>
      <c r="CX26" s="99">
        <f t="shared" si="58"/>
        <v>0.14513494058452525</v>
      </c>
      <c r="CY26" s="95">
        <f t="shared" si="58"/>
        <v>5.4940671514646777E-3</v>
      </c>
      <c r="CZ26" s="99">
        <f t="shared" si="58"/>
        <v>0.28477581401758584</v>
      </c>
      <c r="DA26" s="95">
        <f t="shared" si="58"/>
        <v>1.8313557171548928E-3</v>
      </c>
      <c r="DB26" s="94">
        <f t="shared" si="13"/>
        <v>0.14055655129163802</v>
      </c>
      <c r="DC26" s="94">
        <f t="shared" si="14"/>
        <v>6.0892577595400184E-2</v>
      </c>
      <c r="DD26" s="94">
        <f t="shared" si="14"/>
        <v>0.4346722794666712</v>
      </c>
      <c r="DE26" s="94">
        <f t="shared" si="14"/>
        <v>0</v>
      </c>
      <c r="DF26" s="94">
        <f t="shared" si="14"/>
        <v>0</v>
      </c>
      <c r="DG26" s="94">
        <f t="shared" si="14"/>
        <v>0</v>
      </c>
      <c r="DH26" s="95">
        <f t="shared" si="14"/>
        <v>0.63612140835370934</v>
      </c>
      <c r="DI26" s="96" t="e">
        <f>#REF!</f>
        <v>#REF!</v>
      </c>
      <c r="DJ26" s="95">
        <f t="shared" si="59"/>
        <v>-0.46745354680378637</v>
      </c>
      <c r="DK26" s="96" t="e">
        <f>#REF!</f>
        <v>#REF!</v>
      </c>
      <c r="DL26" s="95">
        <f t="shared" si="60"/>
        <v>0.31278502619472648</v>
      </c>
      <c r="DM26" s="96">
        <f t="shared" si="15"/>
        <v>0</v>
      </c>
      <c r="DN26" s="94">
        <f t="shared" si="16"/>
        <v>2.5262741743246457</v>
      </c>
      <c r="DO26" s="100">
        <v>3.4</v>
      </c>
      <c r="DP26" s="94">
        <f>IF($O26&lt;&gt;0,IF($O26&lt;&gt;0,BL26/$O26*10,0)," ")</f>
        <v>2.3716056537155863</v>
      </c>
      <c r="DQ26" s="94">
        <f>IF($P26&lt;&gt;0,IF($P26&lt;&gt;0,BM26/$P26*10,0)," ")</f>
        <v>3.5741002224469165</v>
      </c>
      <c r="DR26" s="101" t="str">
        <f t="shared" si="17"/>
        <v>3,315, hL/NhL</v>
      </c>
      <c r="DS26" s="173"/>
      <c r="DT26" s="103">
        <v>21</v>
      </c>
      <c r="DU26" s="120">
        <v>624096</v>
      </c>
      <c r="DV26" s="120">
        <v>26365</v>
      </c>
      <c r="DW26" s="120">
        <v>5127733</v>
      </c>
      <c r="DX26" s="120">
        <v>116594</v>
      </c>
      <c r="DY26" s="120">
        <v>84485.5</v>
      </c>
      <c r="DZ26" s="120">
        <v>391401</v>
      </c>
      <c r="EA26" s="120">
        <v>230659</v>
      </c>
      <c r="EB26" s="120">
        <v>53833.9</v>
      </c>
      <c r="EC26" s="120">
        <v>403803</v>
      </c>
      <c r="ED26" s="120">
        <v>46931.3</v>
      </c>
      <c r="EE26" s="121">
        <v>41644.5</v>
      </c>
      <c r="EF26" s="120">
        <v>38389.599999999999</v>
      </c>
      <c r="EG26" s="120">
        <v>92013.9</v>
      </c>
      <c r="EH26" s="120">
        <v>181215.6</v>
      </c>
      <c r="EI26" s="120">
        <v>31365</v>
      </c>
      <c r="EJ26" s="120">
        <v>40207</v>
      </c>
      <c r="EK26" s="120"/>
      <c r="EL26" s="120">
        <v>698146.3</v>
      </c>
      <c r="EM26" s="120">
        <v>1565</v>
      </c>
      <c r="EN26" s="120">
        <v>43662.6</v>
      </c>
      <c r="EO26" s="120">
        <v>2996493.1</v>
      </c>
      <c r="EP26" s="120">
        <v>2773038</v>
      </c>
      <c r="EQ26" s="120">
        <v>120</v>
      </c>
      <c r="ER26" s="120">
        <v>1620</v>
      </c>
      <c r="ES26" s="120">
        <v>350585</v>
      </c>
      <c r="ET26" s="120">
        <v>9468491</v>
      </c>
      <c r="EU26" s="120">
        <v>419010</v>
      </c>
      <c r="EV26" s="120">
        <v>135432</v>
      </c>
      <c r="EW26" s="120">
        <v>105788</v>
      </c>
      <c r="EX26" s="120">
        <v>207638.8</v>
      </c>
      <c r="EY26" s="120">
        <v>1635802</v>
      </c>
      <c r="EZ26" s="120">
        <v>773375.5</v>
      </c>
      <c r="FA26" s="145">
        <v>744007</v>
      </c>
      <c r="FB26" s="136">
        <v>31274.5</v>
      </c>
      <c r="FC26" s="136">
        <v>6201</v>
      </c>
      <c r="FD26" s="104">
        <f t="shared" si="77"/>
        <v>3980</v>
      </c>
      <c r="FE26" s="105">
        <f>FE59-FE58</f>
        <v>0</v>
      </c>
      <c r="FF26" s="105">
        <f t="shared" si="79"/>
        <v>748</v>
      </c>
      <c r="FG26" s="105">
        <f t="shared" si="79"/>
        <v>0</v>
      </c>
      <c r="FH26" s="105">
        <f t="shared" si="79"/>
        <v>1288</v>
      </c>
      <c r="FI26" s="105">
        <f t="shared" si="79"/>
        <v>639</v>
      </c>
      <c r="FJ26" s="105">
        <f t="shared" si="79"/>
        <v>853</v>
      </c>
      <c r="FK26" s="105">
        <f t="shared" si="79"/>
        <v>0</v>
      </c>
      <c r="FL26" s="105">
        <f t="shared" si="79"/>
        <v>452</v>
      </c>
      <c r="FM26" s="105">
        <f t="shared" si="79"/>
        <v>0</v>
      </c>
      <c r="FN26" s="80">
        <f t="shared" si="75"/>
        <v>1200</v>
      </c>
      <c r="FO26" s="333">
        <f>FO25+1200</f>
        <v>1038702</v>
      </c>
      <c r="FP26" s="162"/>
      <c r="FY26" s="119">
        <v>21</v>
      </c>
      <c r="FZ26" s="107"/>
      <c r="GA26" s="107"/>
      <c r="GB26" s="107"/>
      <c r="GC26" s="109"/>
      <c r="GD26" s="110"/>
      <c r="GE26" s="110"/>
      <c r="GF26" s="111"/>
      <c r="GG26" s="111"/>
      <c r="GH26" s="111"/>
      <c r="GI26" s="164"/>
      <c r="GJ26" s="111" t="e">
        <f t="shared" si="61"/>
        <v>#DIV/0!</v>
      </c>
      <c r="GK26" s="113"/>
    </row>
    <row r="27" spans="1:193" s="119" customFormat="1" ht="15" customHeight="1">
      <c r="B27" s="354">
        <f t="shared" si="62"/>
        <v>42908</v>
      </c>
      <c r="D27" s="86">
        <v>4469.28</v>
      </c>
      <c r="E27" s="86">
        <v>3948.7200000000003</v>
      </c>
      <c r="F27" s="86">
        <v>2823.3359999999998</v>
      </c>
      <c r="G27" s="86">
        <v>5202.6949999999997</v>
      </c>
      <c r="H27" s="86">
        <v>6609.9160000000002</v>
      </c>
      <c r="I27" s="86">
        <v>2262.971</v>
      </c>
      <c r="J27" s="86">
        <v>3797.52</v>
      </c>
      <c r="K27" s="284">
        <v>0</v>
      </c>
      <c r="L27" s="284"/>
      <c r="M27" s="115">
        <f t="shared" si="19"/>
        <v>6060.491</v>
      </c>
      <c r="N27" s="88">
        <f t="shared" si="1"/>
        <v>23053.947</v>
      </c>
      <c r="O27" s="88">
        <f t="shared" si="20"/>
        <v>26084.192500000001</v>
      </c>
      <c r="P27" s="89">
        <f t="shared" si="21"/>
        <v>412691.70599999995</v>
      </c>
      <c r="R27" s="170">
        <f t="shared" si="22"/>
        <v>308.09999999997672</v>
      </c>
      <c r="S27" s="170">
        <f t="shared" si="23"/>
        <v>57.859999999997669</v>
      </c>
      <c r="T27" s="170">
        <f t="shared" si="2"/>
        <v>413.3</v>
      </c>
      <c r="U27" s="91">
        <f t="shared" si="76"/>
        <v>5.85</v>
      </c>
      <c r="V27" s="170">
        <f t="shared" si="24"/>
        <v>1531.5</v>
      </c>
      <c r="W27" s="91">
        <f t="shared" si="3"/>
        <v>135.4</v>
      </c>
      <c r="X27" s="170">
        <f t="shared" si="25"/>
        <v>1531.5</v>
      </c>
      <c r="Y27" s="170">
        <f t="shared" si="26"/>
        <v>7.1</v>
      </c>
      <c r="Z27" s="170">
        <f t="shared" si="4"/>
        <v>195.7</v>
      </c>
      <c r="AA27" s="170">
        <f t="shared" si="27"/>
        <v>2316.6099999999742</v>
      </c>
      <c r="AB27" s="170">
        <f t="shared" si="28"/>
        <v>782</v>
      </c>
      <c r="AC27" s="170">
        <f t="shared" si="28"/>
        <v>29</v>
      </c>
      <c r="AD27" s="170">
        <f t="shared" si="29"/>
        <v>811</v>
      </c>
      <c r="AE27" s="170">
        <f t="shared" si="30"/>
        <v>0</v>
      </c>
      <c r="AF27" s="170">
        <f t="shared" si="31"/>
        <v>93</v>
      </c>
      <c r="AG27" s="170">
        <f t="shared" si="31"/>
        <v>11.600000000005821</v>
      </c>
      <c r="AH27" s="170">
        <f t="shared" si="32"/>
        <v>211</v>
      </c>
      <c r="AI27" s="170">
        <f t="shared" si="33"/>
        <v>106.39999999999418</v>
      </c>
      <c r="AJ27" s="170">
        <f t="shared" si="34"/>
        <v>203</v>
      </c>
      <c r="AK27" s="170">
        <f t="shared" si="34"/>
        <v>17.299999999995634</v>
      </c>
      <c r="AL27" s="170">
        <f t="shared" si="35"/>
        <v>312</v>
      </c>
      <c r="AM27" s="170">
        <f t="shared" si="36"/>
        <v>91.700000000004366</v>
      </c>
      <c r="AN27" s="170">
        <f t="shared" si="37"/>
        <v>21</v>
      </c>
      <c r="AO27" s="170">
        <f t="shared" si="5"/>
        <v>63.299999999995634</v>
      </c>
      <c r="AP27" s="170">
        <f t="shared" si="38"/>
        <v>37.600000000005821</v>
      </c>
      <c r="AQ27" s="170">
        <f t="shared" si="6"/>
        <v>45.299999999988358</v>
      </c>
      <c r="AR27" s="170">
        <f t="shared" si="39"/>
        <v>96.671000000000006</v>
      </c>
      <c r="AS27" s="170">
        <f t="shared" si="40"/>
        <v>139.67100000000005</v>
      </c>
      <c r="AT27" s="170">
        <f t="shared" si="41"/>
        <v>863.67100000000005</v>
      </c>
      <c r="AU27" s="170">
        <f>IF(EV27="","",(EV27-EV26))</f>
        <v>314</v>
      </c>
      <c r="AV27" s="170">
        <f t="shared" si="64"/>
        <v>14</v>
      </c>
      <c r="AW27" s="170">
        <f>IF(EU27="","",(EU27-EU26))</f>
        <v>410</v>
      </c>
      <c r="AX27" s="170">
        <f t="shared" si="66"/>
        <v>34</v>
      </c>
      <c r="AY27" s="170" t="str">
        <f t="shared" si="66"/>
        <v/>
      </c>
      <c r="AZ27" s="170">
        <f t="shared" si="42"/>
        <v>219</v>
      </c>
      <c r="BA27" s="170">
        <v>105</v>
      </c>
      <c r="BB27" s="170">
        <f t="shared" si="43"/>
        <v>151.30000000001746</v>
      </c>
      <c r="BC27" s="170">
        <f t="shared" si="43"/>
        <v>1053.1000000000931</v>
      </c>
      <c r="BD27" s="91">
        <f t="shared" si="44"/>
        <v>0</v>
      </c>
      <c r="BE27" s="90"/>
      <c r="BF27" s="90"/>
      <c r="BG27" s="90">
        <f t="shared" si="7"/>
        <v>1423.4000000001106</v>
      </c>
      <c r="BH27" s="90">
        <f t="shared" si="45"/>
        <v>-1399</v>
      </c>
      <c r="BI27" s="90">
        <f t="shared" si="8"/>
        <v>633.71899999993093</v>
      </c>
      <c r="BJ27" s="90">
        <f t="shared" si="46"/>
        <v>6094.2810000000691</v>
      </c>
      <c r="BK27" s="92"/>
      <c r="BL27" s="331">
        <f t="shared" si="67"/>
        <v>5329</v>
      </c>
      <c r="BM27" s="93">
        <f t="shared" si="47"/>
        <v>143506.39999999991</v>
      </c>
      <c r="BN27" s="92"/>
      <c r="BO27" s="94">
        <f t="shared" si="48"/>
        <v>0.13364305903886076</v>
      </c>
      <c r="BP27" s="94">
        <f t="shared" si="48"/>
        <v>2.5097654644559417E-2</v>
      </c>
      <c r="BQ27" s="94">
        <f t="shared" si="49"/>
        <v>0.1792751583926171</v>
      </c>
      <c r="BR27" s="94">
        <f t="shared" si="68"/>
        <v>0.6643114083675129</v>
      </c>
      <c r="BS27" s="94">
        <f t="shared" si="78"/>
        <v>3.0797329411748884E-3</v>
      </c>
      <c r="BT27" s="94">
        <f t="shared" si="78"/>
        <v>8.4887850223651501E-2</v>
      </c>
      <c r="BU27" s="95">
        <f t="shared" si="78"/>
        <v>1.0048648068809971</v>
      </c>
      <c r="BV27" s="94">
        <f t="shared" si="10"/>
        <v>0.11811751504286619</v>
      </c>
      <c r="BW27" s="94">
        <f t="shared" si="10"/>
        <v>2.2182016943786034E-2</v>
      </c>
      <c r="BX27" s="94">
        <f t="shared" si="10"/>
        <v>0.15844845494066953</v>
      </c>
      <c r="BY27" s="94">
        <f t="shared" si="50"/>
        <v>0.5871372096337657</v>
      </c>
      <c r="BZ27" s="95">
        <f t="shared" si="11"/>
        <v>0.88812793418848379</v>
      </c>
      <c r="CA27" s="96" t="e">
        <f>#REF!</f>
        <v>#REF!</v>
      </c>
      <c r="CB27" s="94">
        <f t="shared" si="51"/>
        <v>3.7061143449236549E-2</v>
      </c>
      <c r="CC27" s="95">
        <f t="shared" si="51"/>
        <v>5.3546223445483335E-2</v>
      </c>
      <c r="CD27" s="97">
        <f t="shared" si="12"/>
        <v>0.15951017830073505</v>
      </c>
      <c r="CE27" s="98">
        <f t="shared" si="12"/>
        <v>0.23046152531205813</v>
      </c>
      <c r="CF27" s="97">
        <f t="shared" si="52"/>
        <v>1.7497225503884295</v>
      </c>
      <c r="CG27" s="94">
        <f t="shared" si="52"/>
        <v>6.4887409157627182E-2</v>
      </c>
      <c r="CH27" s="95">
        <f t="shared" si="53"/>
        <v>1.8146099595460567</v>
      </c>
      <c r="CI27" s="96" t="e">
        <f>#REF!</f>
        <v>#REF!</v>
      </c>
      <c r="CJ27" s="94">
        <f t="shared" si="54"/>
        <v>0.23551935817176198</v>
      </c>
      <c r="CK27" s="94">
        <f t="shared" si="54"/>
        <v>2.9376608116062471E-2</v>
      </c>
      <c r="CL27" s="95">
        <f t="shared" si="69"/>
        <v>0.53435037176604061</v>
      </c>
      <c r="CM27" s="95" t="e">
        <f>#REF!</f>
        <v>#REF!</v>
      </c>
      <c r="CN27" s="94">
        <f t="shared" si="55"/>
        <v>0.71900758535292997</v>
      </c>
      <c r="CO27" s="94">
        <f t="shared" si="55"/>
        <v>6.1275030672918972E-2</v>
      </c>
      <c r="CP27" s="95">
        <f t="shared" si="56"/>
        <v>1.1050756976852916</v>
      </c>
      <c r="CQ27" s="95" t="e">
        <f>#REF!</f>
        <v>#REF!</v>
      </c>
      <c r="CR27" s="97">
        <f t="shared" si="70"/>
        <v>4.0363696122874784E-2</v>
      </c>
      <c r="CS27" s="95">
        <f t="shared" si="70"/>
        <v>0.12166771259894274</v>
      </c>
      <c r="CT27" s="96" t="e">
        <f>#REF!</f>
        <v>#REF!</v>
      </c>
      <c r="CU27" s="97">
        <f t="shared" si="71"/>
        <v>5.6884232719456376E-2</v>
      </c>
      <c r="CV27" s="95">
        <f t="shared" si="57"/>
        <v>6.8533397398678531E-2</v>
      </c>
      <c r="CW27" s="96" t="e">
        <f>#REF!</f>
        <v>#REF!</v>
      </c>
      <c r="CX27" s="99">
        <f t="shared" ref="CX27:CX37" si="80">IF($O27&lt;&gt;0,IF($O27&lt;&gt;0,AU27/$O27*10,0)," ")</f>
        <v>0.12037942136794152</v>
      </c>
      <c r="CY27" s="95">
        <f t="shared" ref="CY27:CY37" si="81">IF($O27&lt;&gt;0,IF($O27&lt;&gt;0,AV27/$O27*10,0)," ")</f>
        <v>5.3672353476152271E-3</v>
      </c>
      <c r="CZ27" s="99">
        <f t="shared" ref="CZ27:CZ37" si="82">IF($O27&lt;&gt;0,IF($O27&lt;&gt;0,AW27/$O27*10,0)," ")</f>
        <v>0.15718332089444592</v>
      </c>
      <c r="DA27" s="95">
        <f t="shared" ref="DA27:DA37" si="83">IF($O27&lt;&gt;0,IF($O27&lt;&gt;0,AX27/$O27*10,0)," ")</f>
        <v>1.3034714415636979E-2</v>
      </c>
      <c r="DB27" s="94">
        <f t="shared" si="13"/>
        <v>8.3958895794838187E-2</v>
      </c>
      <c r="DC27" s="94">
        <f t="shared" si="14"/>
        <v>5.8004479149591254E-2</v>
      </c>
      <c r="DD27" s="94">
        <f t="shared" si="14"/>
        <v>0.4037311103267211</v>
      </c>
      <c r="DE27" s="94">
        <f t="shared" si="14"/>
        <v>0</v>
      </c>
      <c r="DF27" s="94">
        <f t="shared" si="14"/>
        <v>0</v>
      </c>
      <c r="DG27" s="94">
        <f t="shared" si="14"/>
        <v>0</v>
      </c>
      <c r="DH27" s="95">
        <f t="shared" si="14"/>
        <v>0.5456944852711505</v>
      </c>
      <c r="DI27" s="96" t="e">
        <f>#REF!</f>
        <v>#REF!</v>
      </c>
      <c r="DJ27" s="95">
        <f t="shared" si="59"/>
        <v>-0.53634016080812164</v>
      </c>
      <c r="DK27" s="96" t="e">
        <f>#REF!</f>
        <v>#REF!</v>
      </c>
      <c r="DL27" s="95">
        <f t="shared" si="60"/>
        <v>0.24295135837535736</v>
      </c>
      <c r="DM27" s="96">
        <f t="shared" si="15"/>
        <v>0</v>
      </c>
      <c r="DN27" s="94">
        <f t="shared" si="16"/>
        <v>2.3363886001071603</v>
      </c>
      <c r="DO27" s="100">
        <v>3.4</v>
      </c>
      <c r="DP27" s="94">
        <f t="shared" si="73"/>
        <v>2.0429997976743959</v>
      </c>
      <c r="DQ27" s="94">
        <f>IF($P27&lt;&gt;0,IF($P27&lt;&gt;0,BM27/$P27*10,0)," ")</f>
        <v>3.4773269710440928</v>
      </c>
      <c r="DR27" s="101" t="str">
        <f t="shared" si="17"/>
        <v>3,315, hL/NhL</v>
      </c>
      <c r="DS27" s="173"/>
      <c r="DT27" s="103">
        <v>22</v>
      </c>
      <c r="DU27" s="362">
        <v>624878</v>
      </c>
      <c r="DV27" s="160">
        <v>26394</v>
      </c>
      <c r="DW27" s="135">
        <v>5128139</v>
      </c>
      <c r="DX27" s="183">
        <v>116687</v>
      </c>
      <c r="DY27" s="183">
        <v>84497.1</v>
      </c>
      <c r="DZ27" s="183">
        <v>391612</v>
      </c>
      <c r="EA27" s="139">
        <v>230862</v>
      </c>
      <c r="EB27" s="161">
        <v>53851.199999999997</v>
      </c>
      <c r="EC27" s="139">
        <v>404115</v>
      </c>
      <c r="ED27" s="135">
        <v>46952.3</v>
      </c>
      <c r="EE27" s="136">
        <v>41687.699999999997</v>
      </c>
      <c r="EF27" s="136">
        <v>38409.699999999997</v>
      </c>
      <c r="EG27" s="135">
        <v>92051.5</v>
      </c>
      <c r="EH27" s="135">
        <v>181260.9</v>
      </c>
      <c r="EI27" s="135">
        <v>31379</v>
      </c>
      <c r="EJ27" s="136">
        <v>40241</v>
      </c>
      <c r="EK27" s="120"/>
      <c r="EL27" s="135">
        <v>698454.4</v>
      </c>
      <c r="EM27" s="135">
        <v>4133</v>
      </c>
      <c r="EN27" s="136">
        <v>43721.1</v>
      </c>
      <c r="EO27" s="135">
        <v>2998024.6</v>
      </c>
      <c r="EP27" s="136">
        <v>2774392</v>
      </c>
      <c r="EQ27" s="136">
        <v>71</v>
      </c>
      <c r="ER27" s="136">
        <v>1957</v>
      </c>
      <c r="ES27" s="136">
        <v>351352</v>
      </c>
      <c r="ET27" s="136">
        <v>9565162</v>
      </c>
      <c r="EU27" s="136">
        <v>419420</v>
      </c>
      <c r="EV27" s="136">
        <v>135746</v>
      </c>
      <c r="EW27" s="136">
        <v>106007</v>
      </c>
      <c r="EX27" s="136">
        <v>207790.1</v>
      </c>
      <c r="EY27" s="136">
        <v>1636855.1</v>
      </c>
      <c r="EZ27" s="136">
        <v>773954.1</v>
      </c>
      <c r="FA27" s="145">
        <v>744007</v>
      </c>
      <c r="FB27" s="77">
        <v>31384.799999999999</v>
      </c>
      <c r="FC27" s="176">
        <v>6728</v>
      </c>
      <c r="FD27" s="104">
        <f>SUM(FE27:FM27)</f>
        <v>4575</v>
      </c>
      <c r="FE27" s="105">
        <v>0</v>
      </c>
      <c r="FF27" s="105">
        <v>740</v>
      </c>
      <c r="FG27" s="105">
        <v>0</v>
      </c>
      <c r="FH27" s="105">
        <v>1529</v>
      </c>
      <c r="FI27" s="105">
        <v>651</v>
      </c>
      <c r="FJ27" s="105">
        <v>860</v>
      </c>
      <c r="FK27" s="105">
        <v>0</v>
      </c>
      <c r="FL27" s="105">
        <v>795</v>
      </c>
      <c r="FM27" s="105">
        <v>0</v>
      </c>
      <c r="FN27" s="80">
        <f t="shared" si="75"/>
        <v>754</v>
      </c>
      <c r="FO27" s="174">
        <v>1039456</v>
      </c>
      <c r="FP27" s="162"/>
      <c r="FY27" s="119">
        <v>22</v>
      </c>
      <c r="FZ27" s="107"/>
      <c r="GA27" s="107"/>
      <c r="GB27" s="107"/>
      <c r="GC27" s="109"/>
      <c r="GD27" s="110"/>
      <c r="GE27" s="110"/>
      <c r="GF27" s="111"/>
      <c r="GG27" s="111"/>
      <c r="GH27" s="111"/>
      <c r="GI27" s="112"/>
      <c r="GJ27" s="111" t="e">
        <f t="shared" si="61"/>
        <v>#DIV/0!</v>
      </c>
      <c r="GK27" s="113"/>
    </row>
    <row r="28" spans="1:193" ht="15" customHeight="1">
      <c r="B28" s="354">
        <f t="shared" si="62"/>
        <v>42909</v>
      </c>
      <c r="D28" s="86">
        <v>3708</v>
      </c>
      <c r="E28" s="86">
        <v>4110.12</v>
      </c>
      <c r="F28" s="86">
        <v>1026.432</v>
      </c>
      <c r="G28" s="86">
        <v>4812.3940000000002</v>
      </c>
      <c r="H28" s="86">
        <v>3229.248</v>
      </c>
      <c r="I28" s="86">
        <v>2291.0990000000002</v>
      </c>
      <c r="J28" s="86">
        <v>7088.76</v>
      </c>
      <c r="K28" s="284">
        <v>56.1</v>
      </c>
      <c r="L28" s="284">
        <v>136</v>
      </c>
      <c r="M28" s="115">
        <f t="shared" si="19"/>
        <v>9379.8590000000004</v>
      </c>
      <c r="N28" s="88">
        <f t="shared" si="1"/>
        <v>16886.194</v>
      </c>
      <c r="O28" s="88">
        <f t="shared" si="20"/>
        <v>21712.123500000002</v>
      </c>
      <c r="P28" s="89">
        <f t="shared" si="21"/>
        <v>434403.82949999993</v>
      </c>
      <c r="R28" s="170">
        <f t="shared" si="22"/>
        <v>299.79999999993015</v>
      </c>
      <c r="S28" s="170">
        <f t="shared" si="23"/>
        <v>42.79000000000233</v>
      </c>
      <c r="T28" s="170">
        <f t="shared" si="2"/>
        <v>596.70000000000005</v>
      </c>
      <c r="U28" s="91">
        <f t="shared" si="76"/>
        <v>4.9400000000001452</v>
      </c>
      <c r="V28" s="170">
        <f t="shared" si="24"/>
        <v>1511.5</v>
      </c>
      <c r="W28" s="91">
        <f t="shared" si="3"/>
        <v>134.4</v>
      </c>
      <c r="X28" s="170">
        <f t="shared" si="25"/>
        <v>1511.5</v>
      </c>
      <c r="Y28" s="170" t="str">
        <f t="shared" si="26"/>
        <v>0</v>
      </c>
      <c r="Z28" s="170">
        <f t="shared" si="4"/>
        <v>129.1</v>
      </c>
      <c r="AA28" s="170">
        <f t="shared" si="27"/>
        <v>2455.7299999999327</v>
      </c>
      <c r="AB28" s="170">
        <f t="shared" si="28"/>
        <v>-447</v>
      </c>
      <c r="AC28" s="170">
        <f t="shared" si="28"/>
        <v>79</v>
      </c>
      <c r="AD28" s="170">
        <f t="shared" si="29"/>
        <v>444</v>
      </c>
      <c r="AE28" s="170">
        <f t="shared" si="30"/>
        <v>812</v>
      </c>
      <c r="AF28" s="170">
        <f t="shared" si="31"/>
        <v>106</v>
      </c>
      <c r="AG28" s="170">
        <f t="shared" si="31"/>
        <v>11.69999999999709</v>
      </c>
      <c r="AH28" s="170">
        <f t="shared" si="32"/>
        <v>206</v>
      </c>
      <c r="AI28" s="170">
        <f t="shared" si="33"/>
        <v>88.30000000000291</v>
      </c>
      <c r="AJ28" s="170">
        <f t="shared" si="34"/>
        <v>90</v>
      </c>
      <c r="AK28" s="170">
        <f t="shared" si="34"/>
        <v>41.900000000001455</v>
      </c>
      <c r="AL28" s="170">
        <f t="shared" si="35"/>
        <v>246</v>
      </c>
      <c r="AM28" s="170">
        <f t="shared" si="36"/>
        <v>114.09999999999854</v>
      </c>
      <c r="AN28" s="170">
        <f t="shared" si="37"/>
        <v>21.599999999998545</v>
      </c>
      <c r="AO28" s="170">
        <f t="shared" si="5"/>
        <v>60.600000000005821</v>
      </c>
      <c r="AP28" s="170">
        <f t="shared" si="38"/>
        <v>42.399999999994179</v>
      </c>
      <c r="AQ28" s="170">
        <f t="shared" si="6"/>
        <v>62.800000000017462</v>
      </c>
      <c r="AR28" s="170">
        <f t="shared" si="39"/>
        <v>135.27199999999999</v>
      </c>
      <c r="AS28" s="170">
        <f t="shared" si="40"/>
        <v>310.27199999999993</v>
      </c>
      <c r="AT28" s="170">
        <f t="shared" si="41"/>
        <v>1124.2719999999999</v>
      </c>
      <c r="AU28" s="170">
        <f t="shared" si="63"/>
        <v>236</v>
      </c>
      <c r="AV28" s="170">
        <f t="shared" si="64"/>
        <v>44</v>
      </c>
      <c r="AW28" s="170">
        <f t="shared" si="65"/>
        <v>578</v>
      </c>
      <c r="AX28" s="170">
        <f t="shared" si="66"/>
        <v>17</v>
      </c>
      <c r="AY28" s="170" t="str">
        <f t="shared" si="66"/>
        <v/>
      </c>
      <c r="AZ28" s="170">
        <f t="shared" si="42"/>
        <v>159</v>
      </c>
      <c r="BA28" s="170">
        <v>158</v>
      </c>
      <c r="BB28" s="170">
        <f t="shared" si="43"/>
        <v>184.5</v>
      </c>
      <c r="BC28" s="170">
        <f t="shared" si="43"/>
        <v>1007</v>
      </c>
      <c r="BD28" s="91">
        <f t="shared" si="44"/>
        <v>0</v>
      </c>
      <c r="BE28" s="90"/>
      <c r="BF28" s="90"/>
      <c r="BG28" s="90">
        <f t="shared" si="7"/>
        <v>1350.5</v>
      </c>
      <c r="BH28" s="90">
        <f t="shared" si="45"/>
        <v>350</v>
      </c>
      <c r="BI28" s="90">
        <f t="shared" si="8"/>
        <v>176.09800000004452</v>
      </c>
      <c r="BJ28" s="90">
        <f t="shared" si="46"/>
        <v>6010.9019999999555</v>
      </c>
      <c r="BK28" s="92"/>
      <c r="BL28" s="331">
        <f t="shared" si="67"/>
        <v>6537</v>
      </c>
      <c r="BM28" s="93">
        <f t="shared" si="47"/>
        <v>150043.39999999991</v>
      </c>
      <c r="BN28" s="92"/>
      <c r="BO28" s="94">
        <f t="shared" si="48"/>
        <v>0.17754148744230355</v>
      </c>
      <c r="BP28" s="94">
        <f t="shared" si="48"/>
        <v>2.5340227643957144E-2</v>
      </c>
      <c r="BQ28" s="94">
        <f t="shared" si="49"/>
        <v>0.3533655955865484</v>
      </c>
      <c r="BR28" s="94">
        <f t="shared" si="68"/>
        <v>0.89510993418647211</v>
      </c>
      <c r="BS28" s="94">
        <f t="shared" si="78"/>
        <v>0</v>
      </c>
      <c r="BT28" s="94">
        <f t="shared" si="78"/>
        <v>7.6452988755192547E-2</v>
      </c>
      <c r="BU28" s="95">
        <f t="shared" si="78"/>
        <v>1.4542827116637016</v>
      </c>
      <c r="BV28" s="94">
        <f t="shared" si="10"/>
        <v>0.1380795388345733</v>
      </c>
      <c r="BW28" s="94">
        <f t="shared" si="10"/>
        <v>1.9707883478095697E-2</v>
      </c>
      <c r="BX28" s="94">
        <f t="shared" si="10"/>
        <v>0.27482341835426644</v>
      </c>
      <c r="BY28" s="94">
        <f t="shared" si="50"/>
        <v>0.69615484639261549</v>
      </c>
      <c r="BZ28" s="95">
        <f t="shared" si="11"/>
        <v>1.1310409136167323</v>
      </c>
      <c r="CA28" s="96" t="e">
        <f>#REF!</f>
        <v>#REF!</v>
      </c>
      <c r="CB28" s="94">
        <f t="shared" si="51"/>
        <v>6.2302519603851733E-2</v>
      </c>
      <c r="CC28" s="95">
        <f t="shared" si="51"/>
        <v>0.14290265067808772</v>
      </c>
      <c r="CD28" s="97">
        <f t="shared" si="12"/>
        <v>0.14421538745944898</v>
      </c>
      <c r="CE28" s="98">
        <f t="shared" si="12"/>
        <v>0.33078535615514043</v>
      </c>
      <c r="CF28" s="97">
        <f t="shared" si="52"/>
        <v>-1.2055016181229774</v>
      </c>
      <c r="CG28" s="94">
        <f t="shared" si="52"/>
        <v>0.21305285868392665</v>
      </c>
      <c r="CH28" s="95">
        <f t="shared" si="53"/>
        <v>1.1974110032362459</v>
      </c>
      <c r="CI28" s="96" t="e">
        <f>#REF!</f>
        <v>#REF!</v>
      </c>
      <c r="CJ28" s="94">
        <f t="shared" si="54"/>
        <v>0.25790001265169876</v>
      </c>
      <c r="CK28" s="94">
        <f t="shared" si="54"/>
        <v>2.8466322151170988E-2</v>
      </c>
      <c r="CL28" s="95">
        <f t="shared" si="69"/>
        <v>0.50120191137971637</v>
      </c>
      <c r="CM28" s="95" t="e">
        <f>#REF!</f>
        <v>#REF!</v>
      </c>
      <c r="CN28" s="94">
        <f t="shared" si="55"/>
        <v>0.87682379349046013</v>
      </c>
      <c r="CO28" s="94">
        <f t="shared" si="55"/>
        <v>0.40821018830279504</v>
      </c>
      <c r="CP28" s="95">
        <f t="shared" si="56"/>
        <v>2.396651702207258</v>
      </c>
      <c r="CQ28" s="95" t="e">
        <f>#REF!</f>
        <v>#REF!</v>
      </c>
      <c r="CR28" s="97">
        <f t="shared" si="70"/>
        <v>4.4884105499255762E-2</v>
      </c>
      <c r="CS28" s="95">
        <f t="shared" si="70"/>
        <v>0.12592485153959926</v>
      </c>
      <c r="CT28" s="96" t="e">
        <f>#REF!</f>
        <v>#REF!</v>
      </c>
      <c r="CU28" s="97">
        <f t="shared" si="71"/>
        <v>0.13129991874267377</v>
      </c>
      <c r="CV28" s="95">
        <f t="shared" si="57"/>
        <v>0.19447252115668248</v>
      </c>
      <c r="CW28" s="96" t="e">
        <f>#REF!</f>
        <v>#REF!</v>
      </c>
      <c r="CX28" s="99">
        <f t="shared" si="80"/>
        <v>0.10869503390582685</v>
      </c>
      <c r="CY28" s="95">
        <f t="shared" si="81"/>
        <v>2.0265175812950769E-2</v>
      </c>
      <c r="CZ28" s="99">
        <f t="shared" si="82"/>
        <v>0.26621071863376233</v>
      </c>
      <c r="DA28" s="95">
        <f t="shared" si="83"/>
        <v>7.8297270186400703E-3</v>
      </c>
      <c r="DB28" s="94">
        <f t="shared" si="13"/>
        <v>7.3230976233163006E-2</v>
      </c>
      <c r="DC28" s="94">
        <f t="shared" si="14"/>
        <v>8.4975566761123097E-2</v>
      </c>
      <c r="DD28" s="94">
        <f t="shared" si="14"/>
        <v>0.46379618281003232</v>
      </c>
      <c r="DE28" s="94">
        <f t="shared" si="14"/>
        <v>0</v>
      </c>
      <c r="DF28" s="94">
        <f t="shared" si="14"/>
        <v>0</v>
      </c>
      <c r="DG28" s="94">
        <f t="shared" si="14"/>
        <v>0</v>
      </c>
      <c r="DH28" s="95">
        <f t="shared" si="14"/>
        <v>0.62200272580431837</v>
      </c>
      <c r="DI28" s="96" t="e">
        <f>#REF!</f>
        <v>#REF!</v>
      </c>
      <c r="DJ28" s="95">
        <f t="shared" si="59"/>
        <v>0.16120026214847202</v>
      </c>
      <c r="DK28" s="96" t="e">
        <f>#REF!</f>
        <v>#REF!</v>
      </c>
      <c r="DL28" s="95">
        <f t="shared" si="60"/>
        <v>8.1105839325225151E-2</v>
      </c>
      <c r="DM28" s="96">
        <f t="shared" si="15"/>
        <v>0</v>
      </c>
      <c r="DN28" s="94">
        <f t="shared" si="16"/>
        <v>2.7684542232821929</v>
      </c>
      <c r="DO28" s="100">
        <v>3.4</v>
      </c>
      <c r="DP28" s="94">
        <f>IF($O28&lt;&gt;0,IF($O28&lt;&gt;0,BL28/$O28*10,0)," ")</f>
        <v>3.0107603247558901</v>
      </c>
      <c r="DQ28" s="94">
        <f t="shared" si="74"/>
        <v>3.4540073040493287</v>
      </c>
      <c r="DR28" s="101" t="str">
        <f t="shared" si="17"/>
        <v>3,315, hL/NhL</v>
      </c>
      <c r="DS28" s="173"/>
      <c r="DT28" s="103">
        <v>23</v>
      </c>
      <c r="DU28" s="330">
        <v>624431</v>
      </c>
      <c r="DV28" s="120">
        <v>26473</v>
      </c>
      <c r="DW28" s="120">
        <v>5128583</v>
      </c>
      <c r="DX28" s="120">
        <v>116793</v>
      </c>
      <c r="DY28" s="120">
        <v>84508.800000000003</v>
      </c>
      <c r="DZ28" s="120">
        <v>391818</v>
      </c>
      <c r="EA28" s="120">
        <v>230952</v>
      </c>
      <c r="EB28" s="120">
        <v>53893.1</v>
      </c>
      <c r="EC28" s="120">
        <v>404361</v>
      </c>
      <c r="ED28" s="120">
        <v>46973.9</v>
      </c>
      <c r="EE28" s="120">
        <v>41727</v>
      </c>
      <c r="EF28" s="120">
        <v>38431</v>
      </c>
      <c r="EG28" s="120">
        <v>92093.9</v>
      </c>
      <c r="EH28" s="120">
        <v>181323.7</v>
      </c>
      <c r="EI28" s="120">
        <v>31423</v>
      </c>
      <c r="EJ28" s="120">
        <v>40258</v>
      </c>
      <c r="EK28" s="120"/>
      <c r="EL28" s="120">
        <v>698754.2</v>
      </c>
      <c r="EM28" s="120">
        <v>5967</v>
      </c>
      <c r="EN28" s="120">
        <v>43770.5</v>
      </c>
      <c r="EO28" s="120">
        <v>2999536.1</v>
      </c>
      <c r="EP28" s="120">
        <v>2775736</v>
      </c>
      <c r="EQ28" s="120">
        <v>0</v>
      </c>
      <c r="ER28" s="120">
        <v>1291</v>
      </c>
      <c r="ES28" s="120">
        <v>352341</v>
      </c>
      <c r="ET28" s="120">
        <v>9700434</v>
      </c>
      <c r="EU28" s="136">
        <v>419998</v>
      </c>
      <c r="EV28" s="120">
        <v>135982</v>
      </c>
      <c r="EW28" s="120">
        <v>106166</v>
      </c>
      <c r="EX28" s="120">
        <v>207974.6</v>
      </c>
      <c r="EY28" s="120">
        <v>1637862.1</v>
      </c>
      <c r="EZ28" s="120">
        <v>774382</v>
      </c>
      <c r="FA28" s="151">
        <v>744007</v>
      </c>
      <c r="FB28" s="150">
        <v>31548</v>
      </c>
      <c r="FC28" s="177">
        <v>6187</v>
      </c>
      <c r="FD28" s="104">
        <f t="shared" si="77"/>
        <v>5012</v>
      </c>
      <c r="FE28" s="105">
        <f>FE61-FE60</f>
        <v>0</v>
      </c>
      <c r="FF28" s="105">
        <f t="shared" ref="FF28:FM31" si="84">FF61-FF60</f>
        <v>972</v>
      </c>
      <c r="FG28" s="105">
        <f t="shared" si="84"/>
        <v>0</v>
      </c>
      <c r="FH28" s="105">
        <f t="shared" si="84"/>
        <v>1621</v>
      </c>
      <c r="FI28" s="105">
        <f t="shared" si="84"/>
        <v>684</v>
      </c>
      <c r="FJ28" s="105">
        <f t="shared" si="84"/>
        <v>819</v>
      </c>
      <c r="FK28" s="105">
        <f t="shared" si="84"/>
        <v>0</v>
      </c>
      <c r="FL28" s="105">
        <f t="shared" si="84"/>
        <v>916</v>
      </c>
      <c r="FM28" s="105">
        <f t="shared" si="84"/>
        <v>0</v>
      </c>
      <c r="FN28" s="80">
        <f t="shared" si="75"/>
        <v>1525</v>
      </c>
      <c r="FO28" s="174">
        <v>1040981</v>
      </c>
      <c r="FP28" s="162"/>
      <c r="FR28" s="64"/>
      <c r="FS28" s="64"/>
      <c r="FT28" s="64"/>
      <c r="FU28" s="64"/>
      <c r="FV28" s="64"/>
      <c r="FW28" s="64"/>
      <c r="FX28" s="64"/>
      <c r="FY28" s="64">
        <v>23</v>
      </c>
      <c r="FZ28" s="107"/>
      <c r="GA28" s="107"/>
      <c r="GB28" s="107"/>
      <c r="GC28" s="109"/>
      <c r="GD28" s="110"/>
      <c r="GE28" s="110"/>
      <c r="GF28" s="111"/>
      <c r="GG28" s="111"/>
      <c r="GH28" s="111"/>
      <c r="GI28" s="112"/>
      <c r="GJ28" s="111" t="e">
        <f t="shared" si="61"/>
        <v>#DIV/0!</v>
      </c>
      <c r="GK28" s="118"/>
    </row>
    <row r="29" spans="1:193" ht="15" customHeight="1">
      <c r="B29" s="354">
        <f t="shared" si="62"/>
        <v>42910</v>
      </c>
      <c r="D29" s="86">
        <v>4980</v>
      </c>
      <c r="E29" s="86">
        <v>2004</v>
      </c>
      <c r="F29" s="86">
        <v>2369.0880000000002</v>
      </c>
      <c r="G29" s="86">
        <v>5157.433</v>
      </c>
      <c r="H29" s="86">
        <v>6315.8540000000003</v>
      </c>
      <c r="I29" s="86">
        <v>1105.7470000000001</v>
      </c>
      <c r="J29" s="86">
        <v>6138.3600000000006</v>
      </c>
      <c r="K29" s="284"/>
      <c r="L29" s="284"/>
      <c r="M29" s="115">
        <f t="shared" si="19"/>
        <v>7244.1070000000009</v>
      </c>
      <c r="N29" s="88">
        <f t="shared" si="1"/>
        <v>20826.375</v>
      </c>
      <c r="O29" s="88">
        <f t="shared" si="20"/>
        <v>24448.428500000002</v>
      </c>
      <c r="P29" s="89">
        <f t="shared" si="21"/>
        <v>458852.25799999991</v>
      </c>
      <c r="R29" s="170">
        <f t="shared" si="22"/>
        <v>267.70000000006985</v>
      </c>
      <c r="S29" s="170">
        <f t="shared" si="23"/>
        <v>13.05</v>
      </c>
      <c r="T29" s="170">
        <f t="shared" si="2"/>
        <v>386.3</v>
      </c>
      <c r="U29" s="91">
        <f t="shared" si="76"/>
        <v>5.65</v>
      </c>
      <c r="V29" s="170">
        <f t="shared" si="24"/>
        <v>1527.8999999999069</v>
      </c>
      <c r="W29" s="91">
        <f t="shared" si="3"/>
        <v>135.6</v>
      </c>
      <c r="X29" s="170">
        <f t="shared" si="25"/>
        <v>1527.8999999999069</v>
      </c>
      <c r="Y29" s="170">
        <f t="shared" si="26"/>
        <v>48.8</v>
      </c>
      <c r="Z29" s="170">
        <f t="shared" si="4"/>
        <v>165.4</v>
      </c>
      <c r="AA29" s="170">
        <f t="shared" si="27"/>
        <v>2200.5999999999767</v>
      </c>
      <c r="AB29" s="170">
        <f t="shared" si="28"/>
        <v>170</v>
      </c>
      <c r="AC29" s="170">
        <f t="shared" si="28"/>
        <v>49</v>
      </c>
      <c r="AD29" s="170">
        <f t="shared" si="29"/>
        <v>428</v>
      </c>
      <c r="AE29" s="170">
        <f t="shared" si="30"/>
        <v>209</v>
      </c>
      <c r="AF29" s="170">
        <f t="shared" si="31"/>
        <v>0</v>
      </c>
      <c r="AG29" s="170">
        <f t="shared" si="31"/>
        <v>34.80000000000291</v>
      </c>
      <c r="AH29" s="170">
        <f t="shared" si="32"/>
        <v>190</v>
      </c>
      <c r="AI29" s="170">
        <f t="shared" si="33"/>
        <v>155.19999999999709</v>
      </c>
      <c r="AJ29" s="170">
        <f t="shared" si="34"/>
        <v>117</v>
      </c>
      <c r="AK29" s="170">
        <f t="shared" si="34"/>
        <v>54.900000000001455</v>
      </c>
      <c r="AL29" s="170">
        <f t="shared" si="35"/>
        <v>266</v>
      </c>
      <c r="AM29" s="170">
        <f t="shared" si="36"/>
        <v>94.099999999998545</v>
      </c>
      <c r="AN29" s="170">
        <f t="shared" si="37"/>
        <v>17.099999999998545</v>
      </c>
      <c r="AO29" s="170">
        <f t="shared" si="5"/>
        <v>20</v>
      </c>
      <c r="AP29" s="170">
        <f t="shared" si="38"/>
        <v>18.30000000000291</v>
      </c>
      <c r="AQ29" s="170">
        <f t="shared" si="6"/>
        <v>39.299999999988358</v>
      </c>
      <c r="AR29" s="170">
        <f t="shared" si="39"/>
        <v>75.337999999999994</v>
      </c>
      <c r="AS29" s="170">
        <f t="shared" si="40"/>
        <v>75.337999999999965</v>
      </c>
      <c r="AT29" s="170">
        <f t="shared" si="41"/>
        <v>679.33799999999997</v>
      </c>
      <c r="AU29" s="170">
        <f t="shared" si="63"/>
        <v>233</v>
      </c>
      <c r="AV29" s="170">
        <f t="shared" si="64"/>
        <v>31</v>
      </c>
      <c r="AW29" s="170">
        <f t="shared" si="65"/>
        <v>371</v>
      </c>
      <c r="AX29" s="170">
        <f t="shared" si="66"/>
        <v>27</v>
      </c>
      <c r="AY29" s="170" t="str">
        <f t="shared" si="66"/>
        <v/>
      </c>
      <c r="AZ29" s="170">
        <f t="shared" si="42"/>
        <v>396</v>
      </c>
      <c r="BA29" s="170">
        <v>53</v>
      </c>
      <c r="BB29" s="170">
        <f t="shared" si="43"/>
        <v>152.39999999999418</v>
      </c>
      <c r="BC29" s="170">
        <f t="shared" si="43"/>
        <v>1065.8999999999069</v>
      </c>
      <c r="BD29" s="91">
        <f t="shared" si="44"/>
        <v>361</v>
      </c>
      <c r="BE29" s="90"/>
      <c r="BF29" s="90"/>
      <c r="BG29" s="90">
        <f t="shared" si="7"/>
        <v>1614.299999999901</v>
      </c>
      <c r="BH29" s="90">
        <f t="shared" si="45"/>
        <v>308</v>
      </c>
      <c r="BI29" s="90">
        <f t="shared" si="8"/>
        <v>1328.4620000001341</v>
      </c>
      <c r="BJ29" s="90">
        <f t="shared" si="46"/>
        <v>5495.5379999998659</v>
      </c>
      <c r="BK29" s="92"/>
      <c r="BL29" s="331">
        <f>FD29+FN29</f>
        <v>7132</v>
      </c>
      <c r="BM29" s="93">
        <f t="shared" si="47"/>
        <v>157175.39999999991</v>
      </c>
      <c r="BN29" s="92"/>
      <c r="BO29" s="94">
        <f t="shared" si="48"/>
        <v>0.12853893200332264</v>
      </c>
      <c r="BP29" s="94">
        <f t="shared" si="48"/>
        <v>6.2660928750202577E-3</v>
      </c>
      <c r="BQ29" s="94">
        <f t="shared" si="49"/>
        <v>0.18548595230807091</v>
      </c>
      <c r="BR29" s="94">
        <f t="shared" si="68"/>
        <v>0.73363703476956843</v>
      </c>
      <c r="BS29" s="94">
        <f t="shared" si="78"/>
        <v>2.3431826229960807E-2</v>
      </c>
      <c r="BT29" s="94">
        <f t="shared" si="78"/>
        <v>7.9418525787613076E-2</v>
      </c>
      <c r="BU29" s="95">
        <f t="shared" si="78"/>
        <v>1.056640918066623</v>
      </c>
      <c r="BV29" s="94">
        <f t="shared" si="10"/>
        <v>0.10949579029182585</v>
      </c>
      <c r="BW29" s="94">
        <f t="shared" si="10"/>
        <v>5.3377663926333745E-3</v>
      </c>
      <c r="BX29" s="94">
        <f t="shared" si="10"/>
        <v>0.15800606570684081</v>
      </c>
      <c r="BY29" s="94">
        <f t="shared" si="50"/>
        <v>0.62494814339494531</v>
      </c>
      <c r="BZ29" s="95">
        <f t="shared" si="11"/>
        <v>0.9000987527684966</v>
      </c>
      <c r="CA29" s="96" t="e">
        <f>#REF!</f>
        <v>#REF!</v>
      </c>
      <c r="CB29" s="94">
        <f t="shared" si="51"/>
        <v>3.0815068543158099E-2</v>
      </c>
      <c r="CC29" s="95">
        <f t="shared" si="51"/>
        <v>3.0815068543158085E-2</v>
      </c>
      <c r="CD29" s="97">
        <f t="shared" si="12"/>
        <v>0.10399901602778643</v>
      </c>
      <c r="CE29" s="98">
        <f t="shared" si="12"/>
        <v>0.10399901602778638</v>
      </c>
      <c r="CF29" s="97">
        <f t="shared" si="52"/>
        <v>0.34136546184738958</v>
      </c>
      <c r="CG29" s="94">
        <f t="shared" si="52"/>
        <v>9.8393574297188757E-2</v>
      </c>
      <c r="CH29" s="95">
        <f t="shared" si="53"/>
        <v>0.85943775100401609</v>
      </c>
      <c r="CI29" s="96" t="e">
        <f>#REF!</f>
        <v>#REF!</v>
      </c>
      <c r="CJ29" s="94">
        <f t="shared" si="54"/>
        <v>0</v>
      </c>
      <c r="CK29" s="94">
        <f t="shared" si="54"/>
        <v>0.17365269461079297</v>
      </c>
      <c r="CL29" s="95">
        <f t="shared" si="69"/>
        <v>0.94810379241516962</v>
      </c>
      <c r="CM29" s="95" t="e">
        <f>#REF!</f>
        <v>#REF!</v>
      </c>
      <c r="CN29" s="94">
        <f t="shared" si="55"/>
        <v>0.49386092876246046</v>
      </c>
      <c r="CO29" s="94">
        <f t="shared" si="55"/>
        <v>0.2317347434962376</v>
      </c>
      <c r="CP29" s="95">
        <f t="shared" si="56"/>
        <v>1.1227949320582433</v>
      </c>
      <c r="CQ29" s="95" t="e">
        <f>#REF!</f>
        <v>#REF!</v>
      </c>
      <c r="CR29" s="97">
        <f t="shared" si="70"/>
        <v>3.315602936576887E-2</v>
      </c>
      <c r="CS29" s="95">
        <f t="shared" si="70"/>
        <v>3.8778981714352859E-2</v>
      </c>
      <c r="CT29" s="96" t="e">
        <f>#REF!</f>
        <v>#REF!</v>
      </c>
      <c r="CU29" s="97">
        <f t="shared" si="71"/>
        <v>2.8974703975112329E-2</v>
      </c>
      <c r="CV29" s="95">
        <f t="shared" si="57"/>
        <v>6.2224364274393235E-2</v>
      </c>
      <c r="CW29" s="96" t="e">
        <f>#REF!</f>
        <v>#REF!</v>
      </c>
      <c r="CX29" s="99">
        <f t="shared" si="80"/>
        <v>9.5302649002572903E-2</v>
      </c>
      <c r="CY29" s="95">
        <f t="shared" si="81"/>
        <v>1.2679751584033304E-2</v>
      </c>
      <c r="CZ29" s="99">
        <f t="shared" si="82"/>
        <v>0.15174799476375342</v>
      </c>
      <c r="DA29" s="95">
        <f t="shared" si="83"/>
        <v>1.1043654605448362E-2</v>
      </c>
      <c r="DB29" s="94">
        <f t="shared" si="13"/>
        <v>0.16197360087990931</v>
      </c>
      <c r="DC29" s="94">
        <f t="shared" si="14"/>
        <v>6.2335294884083924E-2</v>
      </c>
      <c r="DD29" s="94">
        <f t="shared" si="14"/>
        <v>0.43597894236838441</v>
      </c>
      <c r="DE29" s="94">
        <f t="shared" si="14"/>
        <v>0.14765775231729106</v>
      </c>
      <c r="DF29" s="94">
        <f t="shared" si="14"/>
        <v>0</v>
      </c>
      <c r="DG29" s="94">
        <f t="shared" si="14"/>
        <v>0</v>
      </c>
      <c r="DH29" s="95">
        <f t="shared" si="14"/>
        <v>0.66028783813237757</v>
      </c>
      <c r="DI29" s="96" t="e">
        <f>#REF!</f>
        <v>#REF!</v>
      </c>
      <c r="DJ29" s="95">
        <f t="shared" si="59"/>
        <v>0.12597946735104057</v>
      </c>
      <c r="DK29" s="96" t="e">
        <f>#REF!</f>
        <v>#REF!</v>
      </c>
      <c r="DL29" s="95">
        <f t="shared" si="60"/>
        <v>0.54337316609128228</v>
      </c>
      <c r="DM29" s="96">
        <f t="shared" si="15"/>
        <v>0</v>
      </c>
      <c r="DN29" s="94">
        <f t="shared" si="16"/>
        <v>2.2478082793746297</v>
      </c>
      <c r="DO29" s="100">
        <v>3.4</v>
      </c>
      <c r="DP29" s="94">
        <f t="shared" si="73"/>
        <v>2.9171609128169522</v>
      </c>
      <c r="DQ29" s="94">
        <f t="shared" si="74"/>
        <v>3.4254032155160479</v>
      </c>
      <c r="DR29" s="101" t="str">
        <f t="shared" si="17"/>
        <v>3,315, hL/NhL</v>
      </c>
      <c r="DS29" s="178"/>
      <c r="DT29" s="103">
        <v>24</v>
      </c>
      <c r="DU29" s="330">
        <v>624601</v>
      </c>
      <c r="DV29" s="120">
        <v>26522</v>
      </c>
      <c r="DW29" s="120">
        <v>5129011</v>
      </c>
      <c r="DX29" s="120">
        <v>116793</v>
      </c>
      <c r="DY29" s="120">
        <v>84543.6</v>
      </c>
      <c r="DZ29" s="120">
        <v>392008</v>
      </c>
      <c r="EA29" s="120">
        <v>231069</v>
      </c>
      <c r="EB29" s="120">
        <v>53948</v>
      </c>
      <c r="EC29" s="120">
        <v>404627</v>
      </c>
      <c r="ED29" s="120">
        <v>46991</v>
      </c>
      <c r="EE29" s="120">
        <v>41727</v>
      </c>
      <c r="EF29" s="120">
        <v>38451</v>
      </c>
      <c r="EG29" s="120">
        <v>92112.2</v>
      </c>
      <c r="EH29" s="120">
        <v>181363</v>
      </c>
      <c r="EI29" s="120">
        <v>31454</v>
      </c>
      <c r="EJ29" s="120">
        <v>40285</v>
      </c>
      <c r="EK29" s="120"/>
      <c r="EL29" s="120">
        <v>699021.9</v>
      </c>
      <c r="EM29" s="120">
        <v>3863</v>
      </c>
      <c r="EN29" s="120">
        <v>43827</v>
      </c>
      <c r="EO29" s="120">
        <v>3001064</v>
      </c>
      <c r="EP29" s="120">
        <v>2777092</v>
      </c>
      <c r="EQ29" s="120">
        <v>488</v>
      </c>
      <c r="ER29" s="120">
        <v>1654</v>
      </c>
      <c r="ES29" s="120">
        <v>352945</v>
      </c>
      <c r="ET29" s="120">
        <v>9775772</v>
      </c>
      <c r="EU29" s="120">
        <v>420369</v>
      </c>
      <c r="EV29" s="120">
        <v>136215</v>
      </c>
      <c r="EW29" s="120">
        <v>106562</v>
      </c>
      <c r="EX29" s="120">
        <v>208127</v>
      </c>
      <c r="EY29" s="120">
        <v>1638928</v>
      </c>
      <c r="EZ29" s="120">
        <v>774512.5</v>
      </c>
      <c r="FA29" s="151">
        <v>744368</v>
      </c>
      <c r="FB29" s="151">
        <v>31608</v>
      </c>
      <c r="FC29" s="149">
        <v>6824</v>
      </c>
      <c r="FD29" s="104">
        <f>SUM(FE29:FM29)</f>
        <v>5787</v>
      </c>
      <c r="FE29" s="105">
        <f>FE62-FE61</f>
        <v>0</v>
      </c>
      <c r="FF29" s="105">
        <f t="shared" si="84"/>
        <v>297</v>
      </c>
      <c r="FG29" s="105">
        <f t="shared" si="84"/>
        <v>1353</v>
      </c>
      <c r="FH29" s="105">
        <f t="shared" si="84"/>
        <v>1922</v>
      </c>
      <c r="FI29" s="105">
        <f t="shared" si="84"/>
        <v>619</v>
      </c>
      <c r="FJ29" s="105">
        <f t="shared" si="84"/>
        <v>830</v>
      </c>
      <c r="FK29" s="105">
        <f t="shared" si="84"/>
        <v>0</v>
      </c>
      <c r="FL29" s="105">
        <f t="shared" si="84"/>
        <v>766</v>
      </c>
      <c r="FM29" s="105">
        <f t="shared" si="84"/>
        <v>0</v>
      </c>
      <c r="FN29" s="80">
        <f t="shared" si="75"/>
        <v>1345</v>
      </c>
      <c r="FO29" s="104">
        <v>1042326</v>
      </c>
      <c r="FP29" s="81"/>
      <c r="FR29" s="64"/>
      <c r="FS29" s="64"/>
      <c r="FT29" s="64"/>
      <c r="FU29" s="64"/>
      <c r="FV29" s="64"/>
      <c r="FW29" s="64"/>
      <c r="FX29" s="64"/>
      <c r="FY29" s="64">
        <v>24</v>
      </c>
      <c r="FZ29" s="107"/>
      <c r="GA29" s="107"/>
      <c r="GB29" s="107"/>
      <c r="GC29" s="109"/>
      <c r="GD29" s="110"/>
      <c r="GE29" s="110"/>
      <c r="GF29" s="111"/>
      <c r="GG29" s="111"/>
      <c r="GH29" s="111"/>
      <c r="GI29" s="179"/>
      <c r="GJ29" s="111" t="e">
        <f t="shared" si="61"/>
        <v>#DIV/0!</v>
      </c>
      <c r="GK29" s="113"/>
    </row>
    <row r="30" spans="1:193" ht="15" customHeight="1">
      <c r="B30" s="354">
        <f t="shared" si="62"/>
        <v>42911</v>
      </c>
      <c r="D30" s="86">
        <v>4848</v>
      </c>
      <c r="E30" s="86"/>
      <c r="F30" s="86">
        <v>3732.48</v>
      </c>
      <c r="G30" s="86"/>
      <c r="H30" s="86">
        <v>6717.8869999999997</v>
      </c>
      <c r="I30" s="86">
        <v>1960.4259999999999</v>
      </c>
      <c r="J30" s="86"/>
      <c r="K30" s="284"/>
      <c r="L30" s="284"/>
      <c r="M30" s="115">
        <f t="shared" si="19"/>
        <v>1960.4259999999999</v>
      </c>
      <c r="N30" s="88">
        <f t="shared" si="1"/>
        <v>15298.366999999998</v>
      </c>
      <c r="O30" s="88">
        <f t="shared" si="20"/>
        <v>16278.579999999998</v>
      </c>
      <c r="P30" s="89">
        <f t="shared" si="21"/>
        <v>475130.83799999993</v>
      </c>
      <c r="R30" s="170">
        <f t="shared" si="22"/>
        <v>283.09999999997672</v>
      </c>
      <c r="S30" s="170">
        <f t="shared" si="23"/>
        <v>14.25</v>
      </c>
      <c r="T30" s="170">
        <f t="shared" si="2"/>
        <v>386.8</v>
      </c>
      <c r="U30" s="91">
        <f t="shared" si="76"/>
        <v>5.4</v>
      </c>
      <c r="V30" s="170">
        <f t="shared" si="24"/>
        <v>1456</v>
      </c>
      <c r="W30" s="91">
        <f>IF(EP30=0,"",(EP30-EP29)/10)</f>
        <v>130.19999999999999</v>
      </c>
      <c r="X30" s="170">
        <f t="shared" si="25"/>
        <v>1456</v>
      </c>
      <c r="Y30" s="170">
        <f t="shared" si="26"/>
        <v>14.1</v>
      </c>
      <c r="Z30" s="170">
        <f t="shared" si="4"/>
        <v>168.5</v>
      </c>
      <c r="AA30" s="170">
        <f t="shared" si="27"/>
        <v>2145.5499999999765</v>
      </c>
      <c r="AB30" s="170">
        <f t="shared" si="28"/>
        <v>143</v>
      </c>
      <c r="AC30" s="170">
        <f t="shared" si="28"/>
        <v>34</v>
      </c>
      <c r="AD30" s="170">
        <f t="shared" si="29"/>
        <v>546</v>
      </c>
      <c r="AE30" s="170">
        <f t="shared" si="30"/>
        <v>369</v>
      </c>
      <c r="AF30" s="170">
        <f>IF(DX30=0,"",(DX30-DX29))</f>
        <v>120</v>
      </c>
      <c r="AG30" s="170">
        <f t="shared" si="31"/>
        <v>51.399999999994179</v>
      </c>
      <c r="AH30" s="170">
        <f t="shared" si="32"/>
        <v>171.39999999999418</v>
      </c>
      <c r="AI30" s="170">
        <f t="shared" si="33"/>
        <v>0</v>
      </c>
      <c r="AJ30" s="170">
        <f>IF(EA30=0,"",(EA30-EA29))</f>
        <v>200</v>
      </c>
      <c r="AK30" s="170">
        <f t="shared" si="34"/>
        <v>81</v>
      </c>
      <c r="AL30" s="170">
        <f t="shared" si="35"/>
        <v>312</v>
      </c>
      <c r="AM30" s="170">
        <f t="shared" si="36"/>
        <v>31</v>
      </c>
      <c r="AN30" s="170">
        <f t="shared" si="37"/>
        <v>6</v>
      </c>
      <c r="AO30" s="170">
        <f t="shared" si="5"/>
        <v>50</v>
      </c>
      <c r="AP30" s="170">
        <f t="shared" si="38"/>
        <v>14.80000000000291</v>
      </c>
      <c r="AQ30" s="170">
        <f>IF(AP30=0.1,0,(IF(AP30&gt;=(EH30-EH29),(AP30),(EH30-EH29))))</f>
        <v>31</v>
      </c>
      <c r="AR30" s="170">
        <f t="shared" si="39"/>
        <v>79.616</v>
      </c>
      <c r="AS30" s="170">
        <f t="shared" si="40"/>
        <v>0.61599999999998545</v>
      </c>
      <c r="AT30" s="170">
        <f t="shared" si="41"/>
        <v>531.61599999999999</v>
      </c>
      <c r="AU30" s="170">
        <f t="shared" si="63"/>
        <v>241</v>
      </c>
      <c r="AV30" s="170">
        <f t="shared" si="64"/>
        <v>12</v>
      </c>
      <c r="AW30" s="170">
        <f t="shared" si="65"/>
        <v>290</v>
      </c>
      <c r="AX30" s="170">
        <f t="shared" si="66"/>
        <v>90</v>
      </c>
      <c r="AY30" s="170" t="str">
        <f t="shared" si="66"/>
        <v/>
      </c>
      <c r="AZ30" s="170">
        <f t="shared" si="42"/>
        <v>453</v>
      </c>
      <c r="BA30" s="170">
        <v>0</v>
      </c>
      <c r="BB30" s="170">
        <f t="shared" si="43"/>
        <v>110</v>
      </c>
      <c r="BC30" s="170">
        <f t="shared" si="43"/>
        <v>1074</v>
      </c>
      <c r="BD30" s="91">
        <f t="shared" si="44"/>
        <v>344</v>
      </c>
      <c r="BE30" s="90"/>
      <c r="BF30" s="90"/>
      <c r="BG30" s="90">
        <f t="shared" si="7"/>
        <v>1637</v>
      </c>
      <c r="BH30" s="90">
        <f t="shared" si="45"/>
        <v>-21</v>
      </c>
      <c r="BI30" s="90">
        <f t="shared" si="8"/>
        <v>936.4340000000293</v>
      </c>
      <c r="BJ30" s="90">
        <f t="shared" si="46"/>
        <v>5526.5659999999707</v>
      </c>
      <c r="BK30" s="92"/>
      <c r="BL30" s="331">
        <f t="shared" si="67"/>
        <v>6442</v>
      </c>
      <c r="BM30" s="93">
        <f t="shared" si="47"/>
        <v>163617.39999999991</v>
      </c>
      <c r="BN30" s="92"/>
      <c r="BO30" s="94">
        <f t="shared" si="48"/>
        <v>0.18505243075942468</v>
      </c>
      <c r="BP30" s="94">
        <f t="shared" si="48"/>
        <v>9.3147196690993236E-3</v>
      </c>
      <c r="BQ30" s="94">
        <f t="shared" si="49"/>
        <v>0.25283744336895569</v>
      </c>
      <c r="BR30" s="94">
        <f t="shared" si="68"/>
        <v>0.95173556759358702</v>
      </c>
      <c r="BS30" s="94">
        <f t="shared" si="78"/>
        <v>9.2166699883719626E-3</v>
      </c>
      <c r="BT30" s="94">
        <f t="shared" si="78"/>
        <v>0.11014247468373586</v>
      </c>
      <c r="BU30" s="95">
        <f t="shared" si="78"/>
        <v>1.4024699498972515</v>
      </c>
      <c r="BV30" s="94">
        <f t="shared" si="10"/>
        <v>0.17390951790633874</v>
      </c>
      <c r="BW30" s="94">
        <f t="shared" si="10"/>
        <v>8.7538347939439456E-3</v>
      </c>
      <c r="BX30" s="94">
        <f t="shared" si="10"/>
        <v>0.23761286303842233</v>
      </c>
      <c r="BY30" s="94">
        <f t="shared" si="50"/>
        <v>0.89442690947244785</v>
      </c>
      <c r="BZ30" s="95">
        <f t="shared" si="11"/>
        <v>1.3180203678699103</v>
      </c>
      <c r="CA30" s="96" t="e">
        <f>#REF!</f>
        <v>#REF!</v>
      </c>
      <c r="CB30" s="94">
        <f t="shared" si="51"/>
        <v>4.8908442874009903E-2</v>
      </c>
      <c r="CC30" s="95">
        <f t="shared" si="51"/>
        <v>3.7841138477679598E-4</v>
      </c>
      <c r="CD30" s="97">
        <f t="shared" si="12"/>
        <v>0.40611581360377796</v>
      </c>
      <c r="CE30" s="98">
        <f t="shared" si="12"/>
        <v>3.1421742009134007E-3</v>
      </c>
      <c r="CF30" s="97">
        <f t="shared" si="52"/>
        <v>0.29496699669966997</v>
      </c>
      <c r="CG30" s="94">
        <f t="shared" si="52"/>
        <v>7.0132013201320134E-2</v>
      </c>
      <c r="CH30" s="95">
        <f t="shared" si="53"/>
        <v>1.1262376237623763</v>
      </c>
      <c r="CI30" s="96" t="e">
        <f>#REF!</f>
        <v>#REF!</v>
      </c>
      <c r="CJ30" s="94" t="str">
        <f t="shared" si="54"/>
        <v>0,00</v>
      </c>
      <c r="CK30" s="94" t="str">
        <f t="shared" si="54"/>
        <v>0,00</v>
      </c>
      <c r="CL30" s="95" t="str">
        <f t="shared" si="69"/>
        <v xml:space="preserve">0,00 </v>
      </c>
      <c r="CM30" s="95" t="e">
        <f>#REF!</f>
        <v>#REF!</v>
      </c>
      <c r="CN30" s="94">
        <f t="shared" si="55"/>
        <v>0.53583676268861447</v>
      </c>
      <c r="CO30" s="94">
        <f t="shared" si="55"/>
        <v>0.2170138888888889</v>
      </c>
      <c r="CP30" s="95">
        <f t="shared" si="56"/>
        <v>0.83590534979423869</v>
      </c>
      <c r="CQ30" s="95" t="e">
        <f>#REF!</f>
        <v>#REF!</v>
      </c>
      <c r="CR30" s="97" t="str">
        <f t="shared" si="70"/>
        <v xml:space="preserve">0,00 </v>
      </c>
      <c r="CS30" s="95" t="str">
        <f t="shared" si="70"/>
        <v xml:space="preserve">0,00 </v>
      </c>
      <c r="CT30" s="96" t="e">
        <f>#REF!</f>
        <v>#REF!</v>
      </c>
      <c r="CU30" s="97">
        <f t="shared" si="71"/>
        <v>2.2030736748032395E-2</v>
      </c>
      <c r="CV30" s="95">
        <f t="shared" si="57"/>
        <v>4.6145462107356081E-2</v>
      </c>
      <c r="CW30" s="96" t="e">
        <f>#REF!</f>
        <v>#REF!</v>
      </c>
      <c r="CX30" s="99">
        <f t="shared" si="80"/>
        <v>0.14804731125196427</v>
      </c>
      <c r="CY30" s="95">
        <f t="shared" si="81"/>
        <v>7.3716503527949005E-3</v>
      </c>
      <c r="CZ30" s="99">
        <f t="shared" si="82"/>
        <v>0.17814821685921009</v>
      </c>
      <c r="DA30" s="95">
        <f t="shared" si="83"/>
        <v>5.5287377645961755E-2</v>
      </c>
      <c r="DB30" s="94">
        <f t="shared" si="13"/>
        <v>0.27827980081800752</v>
      </c>
      <c r="DC30" s="94">
        <f t="shared" si="14"/>
        <v>6.757346156728658E-2</v>
      </c>
      <c r="DD30" s="94">
        <f t="shared" si="14"/>
        <v>0.65976270657514369</v>
      </c>
      <c r="DE30" s="94">
        <f t="shared" si="14"/>
        <v>0.21132064344678714</v>
      </c>
      <c r="DF30" s="94">
        <f t="shared" si="14"/>
        <v>0</v>
      </c>
      <c r="DG30" s="94">
        <f t="shared" si="14"/>
        <v>0</v>
      </c>
      <c r="DH30" s="95">
        <f t="shared" si="14"/>
        <v>1.0056159689604378</v>
      </c>
      <c r="DI30" s="96" t="e">
        <f>#REF!</f>
        <v>#REF!</v>
      </c>
      <c r="DJ30" s="95">
        <f t="shared" si="59"/>
        <v>-1.2900388117391077E-2</v>
      </c>
      <c r="DK30" s="96" t="e">
        <f>#REF!</f>
        <v>#REF!</v>
      </c>
      <c r="DL30" s="95">
        <f t="shared" si="60"/>
        <v>0.57525533553911301</v>
      </c>
      <c r="DM30" s="96">
        <f t="shared" si="15"/>
        <v>0</v>
      </c>
      <c r="DN30" s="94">
        <f t="shared" si="16"/>
        <v>3.3949926836370068</v>
      </c>
      <c r="DO30" s="100">
        <v>3.4</v>
      </c>
      <c r="DP30" s="94">
        <f>IF($O30&lt;&gt;0,IF($O30&lt;&gt;0,BL30/$O30*10,0)," ")</f>
        <v>3.9573476310587292</v>
      </c>
      <c r="DQ30" s="94">
        <f>IF($P30&lt;&gt;0,IF($P30&lt;&gt;0,BM30/$P30*10,0)," ")</f>
        <v>3.4436283001272994</v>
      </c>
      <c r="DR30" s="101" t="str">
        <f t="shared" si="17"/>
        <v>3,315, hL/NhL</v>
      </c>
      <c r="DT30" s="103">
        <v>25</v>
      </c>
      <c r="DU30" s="330">
        <f>DU29+143</f>
        <v>624744</v>
      </c>
      <c r="DV30" s="330">
        <f>DV29+34</f>
        <v>26556</v>
      </c>
      <c r="DW30" s="120">
        <v>5129557</v>
      </c>
      <c r="DX30" s="120">
        <v>116913</v>
      </c>
      <c r="DY30" s="120">
        <v>84595</v>
      </c>
      <c r="DZ30" s="120">
        <v>392126</v>
      </c>
      <c r="EA30" s="120">
        <v>231269</v>
      </c>
      <c r="EB30" s="120">
        <v>54029</v>
      </c>
      <c r="EC30" s="120">
        <v>404939</v>
      </c>
      <c r="ED30" s="330">
        <v>46997</v>
      </c>
      <c r="EE30" s="120">
        <v>41771</v>
      </c>
      <c r="EF30" s="120">
        <v>38457</v>
      </c>
      <c r="EG30" s="120">
        <v>92127</v>
      </c>
      <c r="EH30" s="120">
        <v>181394</v>
      </c>
      <c r="EI30" s="120">
        <v>31466</v>
      </c>
      <c r="EJ30" s="120">
        <v>40375</v>
      </c>
      <c r="EK30" s="120"/>
      <c r="EL30" s="120">
        <v>699305</v>
      </c>
      <c r="EM30" s="120">
        <v>3868</v>
      </c>
      <c r="EN30" s="120">
        <v>43881</v>
      </c>
      <c r="EO30" s="120">
        <v>3002520</v>
      </c>
      <c r="EP30" s="120">
        <v>2778394</v>
      </c>
      <c r="EQ30" s="120">
        <v>141</v>
      </c>
      <c r="ER30" s="120">
        <v>1685</v>
      </c>
      <c r="ES30" s="120">
        <v>353397</v>
      </c>
      <c r="ET30" s="120">
        <v>9855388</v>
      </c>
      <c r="EU30" s="120">
        <v>420659</v>
      </c>
      <c r="EV30" s="120">
        <v>136456</v>
      </c>
      <c r="EW30" s="120">
        <v>107015</v>
      </c>
      <c r="EX30" s="120">
        <v>208237</v>
      </c>
      <c r="EY30" s="120">
        <v>1640002</v>
      </c>
      <c r="EZ30" s="120">
        <v>774655</v>
      </c>
      <c r="FA30" s="149">
        <v>744712</v>
      </c>
      <c r="FB30" s="151">
        <v>30122</v>
      </c>
      <c r="FC30" s="127">
        <v>6463</v>
      </c>
      <c r="FD30" s="104">
        <f t="shared" si="77"/>
        <v>5366</v>
      </c>
      <c r="FE30" s="105">
        <f>FE63-FE62</f>
        <v>0</v>
      </c>
      <c r="FF30" s="105">
        <f t="shared" si="84"/>
        <v>751</v>
      </c>
      <c r="FG30" s="105">
        <f t="shared" si="84"/>
        <v>1315</v>
      </c>
      <c r="FH30" s="105">
        <f t="shared" si="84"/>
        <v>959</v>
      </c>
      <c r="FI30" s="105">
        <f t="shared" si="84"/>
        <v>674</v>
      </c>
      <c r="FJ30" s="105">
        <f t="shared" si="84"/>
        <v>790</v>
      </c>
      <c r="FK30" s="105">
        <v>120</v>
      </c>
      <c r="FL30" s="105">
        <f t="shared" si="84"/>
        <v>757</v>
      </c>
      <c r="FM30" s="105">
        <f t="shared" si="84"/>
        <v>0</v>
      </c>
      <c r="FN30" s="80">
        <f t="shared" si="75"/>
        <v>1076</v>
      </c>
      <c r="FO30" s="77">
        <v>1043402</v>
      </c>
      <c r="FP30" s="162"/>
      <c r="FR30" s="64"/>
      <c r="FS30" s="64"/>
      <c r="FT30" s="64"/>
      <c r="FU30" s="64"/>
      <c r="FV30" s="64"/>
      <c r="FW30" s="64"/>
      <c r="FX30" s="64"/>
      <c r="FY30" s="64">
        <v>25</v>
      </c>
      <c r="FZ30" s="107"/>
      <c r="GA30" s="107"/>
      <c r="GB30" s="180"/>
      <c r="GC30" s="109"/>
      <c r="GD30" s="110"/>
      <c r="GE30" s="110"/>
      <c r="GF30" s="111"/>
      <c r="GG30" s="111"/>
      <c r="GH30" s="111"/>
      <c r="GI30" s="164"/>
      <c r="GJ30" s="111" t="e">
        <f t="shared" si="61"/>
        <v>#DIV/0!</v>
      </c>
    </row>
    <row r="31" spans="1:193" ht="15" customHeight="1">
      <c r="B31" s="354">
        <f t="shared" si="62"/>
        <v>42912</v>
      </c>
      <c r="D31" s="86">
        <v>690.12</v>
      </c>
      <c r="E31" s="86">
        <v>2936.2799999999997</v>
      </c>
      <c r="F31" s="86">
        <v>374.61599999999999</v>
      </c>
      <c r="G31" s="86">
        <v>3169.4409999999998</v>
      </c>
      <c r="H31" s="86">
        <v>6333.0540000000001</v>
      </c>
      <c r="I31" s="86">
        <v>1370.069</v>
      </c>
      <c r="J31" s="86">
        <v>6170.16</v>
      </c>
      <c r="K31" s="284">
        <v>1.696</v>
      </c>
      <c r="L31" s="284">
        <v>136</v>
      </c>
      <c r="M31" s="115">
        <f t="shared" si="19"/>
        <v>7540.2289999999994</v>
      </c>
      <c r="N31" s="88">
        <f t="shared" si="1"/>
        <v>13503.510999999999</v>
      </c>
      <c r="O31" s="88">
        <f t="shared" si="20"/>
        <v>17409.625499999998</v>
      </c>
      <c r="P31" s="89">
        <f t="shared" si="21"/>
        <v>492540.46349999995</v>
      </c>
      <c r="R31" s="170">
        <f t="shared" si="22"/>
        <v>26</v>
      </c>
      <c r="S31" s="170">
        <f t="shared" si="23"/>
        <v>1.9999999995343389E-2</v>
      </c>
      <c r="T31" s="170">
        <f t="shared" si="2"/>
        <v>458.5</v>
      </c>
      <c r="U31" s="91">
        <f t="shared" si="76"/>
        <v>1.180000000000291</v>
      </c>
      <c r="V31" s="170">
        <f t="shared" si="24"/>
        <v>1119.5</v>
      </c>
      <c r="W31" s="91">
        <f t="shared" si="3"/>
        <v>99.9</v>
      </c>
      <c r="X31" s="170">
        <f t="shared" si="25"/>
        <v>1119.5</v>
      </c>
      <c r="Y31" s="170" t="str">
        <f t="shared" si="26"/>
        <v>0</v>
      </c>
      <c r="Z31" s="170">
        <f t="shared" si="4"/>
        <v>123.4</v>
      </c>
      <c r="AA31" s="170">
        <f t="shared" si="27"/>
        <v>1605.1999999999957</v>
      </c>
      <c r="AB31" s="170">
        <f t="shared" si="28"/>
        <v>171</v>
      </c>
      <c r="AC31" s="170">
        <f t="shared" si="28"/>
        <v>141</v>
      </c>
      <c r="AD31" s="170">
        <f t="shared" si="29"/>
        <v>327</v>
      </c>
      <c r="AE31" s="170">
        <f t="shared" si="30"/>
        <v>15</v>
      </c>
      <c r="AF31" s="170">
        <f>IF(DX31=0,"",(DX31-DX30))</f>
        <v>99</v>
      </c>
      <c r="AG31" s="170">
        <f t="shared" si="31"/>
        <v>27.5</v>
      </c>
      <c r="AH31" s="170">
        <f t="shared" si="32"/>
        <v>174</v>
      </c>
      <c r="AI31" s="170">
        <f t="shared" si="33"/>
        <v>47.5</v>
      </c>
      <c r="AJ31" s="170">
        <f t="shared" si="34"/>
        <v>8</v>
      </c>
      <c r="AK31" s="170">
        <f t="shared" si="34"/>
        <v>28.599999999998545</v>
      </c>
      <c r="AL31" s="170">
        <f t="shared" si="35"/>
        <v>188</v>
      </c>
      <c r="AM31" s="170">
        <f t="shared" si="36"/>
        <v>151.40000000000146</v>
      </c>
      <c r="AN31" s="170">
        <f t="shared" si="37"/>
        <v>9.6999999999970896</v>
      </c>
      <c r="AO31" s="170">
        <f t="shared" si="5"/>
        <v>39.69999999999709</v>
      </c>
      <c r="AP31" s="170">
        <f t="shared" si="38"/>
        <v>53.100000000005821</v>
      </c>
      <c r="AQ31" s="170">
        <f t="shared" si="6"/>
        <v>74.399999999994179</v>
      </c>
      <c r="AR31" s="170">
        <f t="shared" si="39"/>
        <v>45.206000000000003</v>
      </c>
      <c r="AS31" s="170">
        <f t="shared" si="40"/>
        <v>83.206000000000017</v>
      </c>
      <c r="AT31" s="170">
        <f t="shared" si="41"/>
        <v>819.20600000000002</v>
      </c>
      <c r="AU31" s="170">
        <f t="shared" si="63"/>
        <v>215</v>
      </c>
      <c r="AV31" s="170">
        <f t="shared" si="64"/>
        <v>28</v>
      </c>
      <c r="AW31" s="170">
        <f t="shared" si="65"/>
        <v>521</v>
      </c>
      <c r="AX31" s="170">
        <f t="shared" si="66"/>
        <v>20</v>
      </c>
      <c r="AY31" s="170" t="str">
        <f t="shared" si="66"/>
        <v/>
      </c>
      <c r="AZ31" s="170">
        <f t="shared" si="42"/>
        <v>212</v>
      </c>
      <c r="BA31" s="170">
        <v>74</v>
      </c>
      <c r="BB31" s="170">
        <f t="shared" si="43"/>
        <v>99.399999999994179</v>
      </c>
      <c r="BC31" s="170">
        <f t="shared" si="43"/>
        <v>392.69999999995343</v>
      </c>
      <c r="BD31" s="91">
        <f t="shared" si="44"/>
        <v>278</v>
      </c>
      <c r="BE31" s="90"/>
      <c r="BF31" s="90"/>
      <c r="BG31" s="90">
        <f t="shared" si="7"/>
        <v>704.09999999994761</v>
      </c>
      <c r="BH31" s="90">
        <f t="shared" si="45"/>
        <v>175.09999999997672</v>
      </c>
      <c r="BI31" s="90">
        <f t="shared" si="8"/>
        <v>2264.3940000000653</v>
      </c>
      <c r="BJ31" s="90">
        <f t="shared" si="46"/>
        <v>3979.6059999999347</v>
      </c>
      <c r="BK31" s="92"/>
      <c r="BL31" s="331">
        <f t="shared" si="67"/>
        <v>6419.0999999999767</v>
      </c>
      <c r="BM31" s="93">
        <f t="shared" si="47"/>
        <v>170036.49999999988</v>
      </c>
      <c r="BN31" s="92"/>
      <c r="BO31" s="94">
        <f t="shared" si="48"/>
        <v>1.9254251727569224E-2</v>
      </c>
      <c r="BP31" s="94">
        <f t="shared" si="48"/>
        <v>1.4810962863912498E-5</v>
      </c>
      <c r="BQ31" s="94">
        <f t="shared" si="49"/>
        <v>0.33954132373424961</v>
      </c>
      <c r="BR31" s="94">
        <f t="shared" si="68"/>
        <v>0.82904364650052864</v>
      </c>
      <c r="BS31" s="94">
        <f t="shared" si="78"/>
        <v>0</v>
      </c>
      <c r="BT31" s="94">
        <f t="shared" si="78"/>
        <v>9.1383640891617018E-2</v>
      </c>
      <c r="BU31" s="95">
        <f t="shared" si="78"/>
        <v>1.1887278797343861</v>
      </c>
      <c r="BV31" s="94">
        <f t="shared" si="10"/>
        <v>1.4934267253479979E-2</v>
      </c>
      <c r="BW31" s="94">
        <f t="shared" si="10"/>
        <v>1.1487897884617558E-5</v>
      </c>
      <c r="BX31" s="94">
        <f t="shared" si="10"/>
        <v>0.26336005906617577</v>
      </c>
      <c r="BY31" s="94">
        <f t="shared" si="50"/>
        <v>0.64303508424118605</v>
      </c>
      <c r="BZ31" s="95">
        <f t="shared" si="11"/>
        <v>0.92201868443407697</v>
      </c>
      <c r="CA31" s="96" t="e">
        <f>#REF!</f>
        <v>#REF!</v>
      </c>
      <c r="CB31" s="94">
        <f t="shared" si="51"/>
        <v>2.5966095594646771E-2</v>
      </c>
      <c r="CC31" s="95">
        <f t="shared" si="51"/>
        <v>4.7793101580502137E-2</v>
      </c>
      <c r="CD31" s="97">
        <f t="shared" si="12"/>
        <v>5.9953086305468986E-2</v>
      </c>
      <c r="CE31" s="98">
        <f t="shared" si="12"/>
        <v>0.11034943368430856</v>
      </c>
      <c r="CF31" s="97">
        <f t="shared" si="52"/>
        <v>2.477829942618675</v>
      </c>
      <c r="CG31" s="94">
        <f t="shared" si="52"/>
        <v>2.0431229351417142</v>
      </c>
      <c r="CH31" s="95">
        <f t="shared" si="53"/>
        <v>4.7383063814988695</v>
      </c>
      <c r="CI31" s="96" t="e">
        <f>#REF!</f>
        <v>#REF!</v>
      </c>
      <c r="CJ31" s="94">
        <f t="shared" si="54"/>
        <v>0.33716130614246603</v>
      </c>
      <c r="CK31" s="94">
        <f t="shared" si="54"/>
        <v>9.3655918372907224E-2</v>
      </c>
      <c r="CL31" s="95">
        <f t="shared" si="69"/>
        <v>0.59258653806857664</v>
      </c>
      <c r="CM31" s="95" t="e">
        <f>#REF!</f>
        <v>#REF!</v>
      </c>
      <c r="CN31" s="94">
        <f t="shared" si="55"/>
        <v>0.21355201059217976</v>
      </c>
      <c r="CO31" s="94">
        <f t="shared" si="55"/>
        <v>0.76344843786700367</v>
      </c>
      <c r="CP31" s="95">
        <f t="shared" si="56"/>
        <v>5.0184722489162237</v>
      </c>
      <c r="CQ31" s="95" t="e">
        <f>#REF!</f>
        <v>#REF!</v>
      </c>
      <c r="CR31" s="97">
        <f t="shared" si="70"/>
        <v>3.0604765950831992E-2</v>
      </c>
      <c r="CS31" s="95">
        <f t="shared" si="70"/>
        <v>0.12525868126271192</v>
      </c>
      <c r="CT31" s="96" t="e">
        <f>#REF!</f>
        <v>#REF!</v>
      </c>
      <c r="CU31" s="97">
        <f t="shared" si="71"/>
        <v>8.3845803304386513E-2</v>
      </c>
      <c r="CV31" s="95">
        <f t="shared" si="57"/>
        <v>0.11747886564680197</v>
      </c>
      <c r="CW31" s="96" t="e">
        <f>#REF!</f>
        <v>#REF!</v>
      </c>
      <c r="CX31" s="99">
        <f t="shared" si="80"/>
        <v>0.12349490228839215</v>
      </c>
      <c r="CY31" s="95">
        <f t="shared" si="81"/>
        <v>1.608305704220921E-2</v>
      </c>
      <c r="CZ31" s="99">
        <f t="shared" si="82"/>
        <v>0.29925973996396421</v>
      </c>
      <c r="DA31" s="95">
        <f t="shared" si="83"/>
        <v>1.1487897887292292E-2</v>
      </c>
      <c r="DB31" s="94">
        <f t="shared" si="13"/>
        <v>0.12177171760529831</v>
      </c>
      <c r="DC31" s="94">
        <f t="shared" si="14"/>
        <v>5.7094852499839352E-2</v>
      </c>
      <c r="DD31" s="94">
        <f t="shared" si="14"/>
        <v>0.22556487501695741</v>
      </c>
      <c r="DE31" s="94">
        <f t="shared" si="14"/>
        <v>0.15968178063336286</v>
      </c>
      <c r="DF31" s="94">
        <f t="shared" si="14"/>
        <v>0</v>
      </c>
      <c r="DG31" s="94">
        <f t="shared" si="14"/>
        <v>0</v>
      </c>
      <c r="DH31" s="95">
        <f t="shared" si="14"/>
        <v>0.40443144512209506</v>
      </c>
      <c r="DI31" s="96" t="e">
        <f>#REF!</f>
        <v>#REF!</v>
      </c>
      <c r="DJ31" s="95">
        <f t="shared" si="59"/>
        <v>0.10057654600323065</v>
      </c>
      <c r="DK31" s="96" t="e">
        <f>#REF!</f>
        <v>#REF!</v>
      </c>
      <c r="DL31" s="95">
        <f t="shared" si="60"/>
        <v>1.3006563524299048</v>
      </c>
      <c r="DM31" s="96">
        <f t="shared" si="15"/>
        <v>0</v>
      </c>
      <c r="DN31" s="94">
        <f t="shared" si="16"/>
        <v>2.285865367982749</v>
      </c>
      <c r="DO31" s="100">
        <v>3.4</v>
      </c>
      <c r="DP31" s="94">
        <f t="shared" si="73"/>
        <v>3.6870982664158842</v>
      </c>
      <c r="DQ31" s="94">
        <f t="shared" si="74"/>
        <v>3.4522341330439725</v>
      </c>
      <c r="DR31" s="101" t="str">
        <f t="shared" si="17"/>
        <v>3,315, hL/NhL</v>
      </c>
      <c r="DT31" s="182">
        <v>26</v>
      </c>
      <c r="DU31" s="364">
        <v>624915</v>
      </c>
      <c r="DV31" s="135">
        <v>26697</v>
      </c>
      <c r="DW31" s="135">
        <v>5129884</v>
      </c>
      <c r="DX31" s="361">
        <f>DX30+99</f>
        <v>117012</v>
      </c>
      <c r="DY31" s="135">
        <v>84622.5</v>
      </c>
      <c r="DZ31" s="135">
        <v>392300</v>
      </c>
      <c r="EA31" s="136">
        <v>231277</v>
      </c>
      <c r="EB31" s="136">
        <v>54057.599999999999</v>
      </c>
      <c r="EC31" s="136">
        <v>405127</v>
      </c>
      <c r="ED31" s="136">
        <v>47006.7</v>
      </c>
      <c r="EE31" s="136">
        <v>41796.699999999997</v>
      </c>
      <c r="EF31" s="136">
        <v>38471</v>
      </c>
      <c r="EG31" s="135">
        <v>92180.1</v>
      </c>
      <c r="EH31" s="135">
        <v>181468.4</v>
      </c>
      <c r="EI31" s="135">
        <v>31494</v>
      </c>
      <c r="EJ31" s="136">
        <v>40395</v>
      </c>
      <c r="EK31" s="136"/>
      <c r="EL31" s="135">
        <v>699331</v>
      </c>
      <c r="EM31" s="135">
        <v>4585</v>
      </c>
      <c r="EN31" s="136">
        <v>43892.800000000003</v>
      </c>
      <c r="EO31" s="135">
        <v>3003639.5</v>
      </c>
      <c r="EP31" s="139">
        <v>2779393</v>
      </c>
      <c r="EQ31" s="139">
        <v>0</v>
      </c>
      <c r="ER31" s="139">
        <v>1234</v>
      </c>
      <c r="ES31" s="136">
        <v>354171</v>
      </c>
      <c r="ET31" s="136">
        <v>9900594</v>
      </c>
      <c r="EU31" s="136">
        <v>421180</v>
      </c>
      <c r="EV31" s="136">
        <v>136671</v>
      </c>
      <c r="EW31" s="136">
        <v>107227</v>
      </c>
      <c r="EX31" s="135">
        <v>208336.4</v>
      </c>
      <c r="EY31" s="135">
        <v>1640394.7</v>
      </c>
      <c r="EZ31" s="303">
        <v>774655.2</v>
      </c>
      <c r="FA31" s="145">
        <v>744990</v>
      </c>
      <c r="FB31" s="145">
        <v>30193.8</v>
      </c>
      <c r="FC31" s="140">
        <v>6244</v>
      </c>
      <c r="FD31" s="104">
        <f>SUM(FE31:FM31)</f>
        <v>4510.0999999999767</v>
      </c>
      <c r="FE31" s="105">
        <f>FE64-FE63</f>
        <v>0</v>
      </c>
      <c r="FF31" s="105">
        <f t="shared" si="84"/>
        <v>320</v>
      </c>
      <c r="FG31" s="105">
        <f t="shared" si="84"/>
        <v>1117</v>
      </c>
      <c r="FH31" s="105">
        <f t="shared" si="84"/>
        <v>1055</v>
      </c>
      <c r="FI31" s="105">
        <f t="shared" si="84"/>
        <v>477</v>
      </c>
      <c r="FJ31" s="105">
        <f t="shared" si="84"/>
        <v>572</v>
      </c>
      <c r="FK31" s="105">
        <f t="shared" si="84"/>
        <v>0</v>
      </c>
      <c r="FL31" s="105">
        <f t="shared" si="84"/>
        <v>769.09999999997672</v>
      </c>
      <c r="FM31" s="105">
        <f t="shared" si="84"/>
        <v>200</v>
      </c>
      <c r="FN31" s="124">
        <f t="shared" si="75"/>
        <v>1909</v>
      </c>
      <c r="FO31" s="136">
        <v>1045311</v>
      </c>
      <c r="FP31" s="184"/>
      <c r="FQ31" s="185"/>
      <c r="FR31" s="64"/>
      <c r="FS31" s="64"/>
      <c r="FT31" s="64"/>
      <c r="FU31" s="64"/>
      <c r="FV31" s="64"/>
      <c r="FW31" s="64"/>
      <c r="FX31" s="64"/>
      <c r="FY31" s="64">
        <v>26</v>
      </c>
      <c r="FZ31" s="107"/>
      <c r="GA31" s="107"/>
      <c r="GB31" s="180"/>
      <c r="GC31" s="109"/>
      <c r="GD31" s="110"/>
      <c r="GE31" s="110"/>
      <c r="GF31" s="111"/>
      <c r="GG31" s="111"/>
      <c r="GH31" s="111"/>
      <c r="GI31" s="112"/>
      <c r="GJ31" s="111" t="e">
        <f t="shared" si="61"/>
        <v>#DIV/0!</v>
      </c>
      <c r="GK31" s="118"/>
    </row>
    <row r="32" spans="1:193" s="119" customFormat="1" ht="15" customHeight="1">
      <c r="B32" s="354">
        <f t="shared" si="62"/>
        <v>42913</v>
      </c>
      <c r="D32" s="86">
        <v>4056</v>
      </c>
      <c r="E32" s="86">
        <v>6103.32</v>
      </c>
      <c r="F32" s="86">
        <v>3017.0880000000002</v>
      </c>
      <c r="G32" s="86">
        <v>2861.9110000000001</v>
      </c>
      <c r="H32" s="86">
        <v>2768.4119999999998</v>
      </c>
      <c r="I32" s="86">
        <v>1960.568</v>
      </c>
      <c r="J32" s="86">
        <v>3767.2799999999997</v>
      </c>
      <c r="K32" s="284"/>
      <c r="L32" s="284">
        <v>136</v>
      </c>
      <c r="M32" s="115">
        <f t="shared" si="19"/>
        <v>5727.848</v>
      </c>
      <c r="N32" s="88">
        <f t="shared" si="1"/>
        <v>18806.731</v>
      </c>
      <c r="O32" s="88">
        <f t="shared" si="20"/>
        <v>21806.654999999999</v>
      </c>
      <c r="P32" s="89">
        <f t="shared" si="21"/>
        <v>514347.11849999998</v>
      </c>
      <c r="R32" s="170">
        <f t="shared" si="22"/>
        <v>249.59999999997672</v>
      </c>
      <c r="S32" s="170">
        <f t="shared" si="23"/>
        <v>215.57000000000698</v>
      </c>
      <c r="T32" s="170">
        <f t="shared" si="2"/>
        <v>455.8</v>
      </c>
      <c r="U32" s="91">
        <f t="shared" si="76"/>
        <v>3.2599999999998546</v>
      </c>
      <c r="V32" s="170">
        <f t="shared" si="24"/>
        <v>1550.3999999999069</v>
      </c>
      <c r="W32" s="91">
        <f t="shared" si="3"/>
        <v>138.4</v>
      </c>
      <c r="X32" s="170">
        <f t="shared" si="25"/>
        <v>1550.3999999999069</v>
      </c>
      <c r="Y32" s="170" t="str">
        <f t="shared" si="26"/>
        <v>0</v>
      </c>
      <c r="Z32" s="170">
        <f t="shared" si="4"/>
        <v>147.4</v>
      </c>
      <c r="AA32" s="170">
        <f t="shared" si="27"/>
        <v>2474.6299999998905</v>
      </c>
      <c r="AB32" s="170">
        <f t="shared" si="28"/>
        <v>143</v>
      </c>
      <c r="AC32" s="170">
        <f t="shared" si="28"/>
        <v>47</v>
      </c>
      <c r="AD32" s="170">
        <f t="shared" si="29"/>
        <v>397</v>
      </c>
      <c r="AE32" s="170">
        <f t="shared" si="30"/>
        <v>207</v>
      </c>
      <c r="AF32" s="170">
        <f>IF(DX32=0,"",(DX32-DX31))</f>
        <v>123</v>
      </c>
      <c r="AG32" s="170">
        <f t="shared" si="31"/>
        <v>78.80000000000291</v>
      </c>
      <c r="AH32" s="170">
        <f t="shared" si="32"/>
        <v>286</v>
      </c>
      <c r="AI32" s="170">
        <f t="shared" si="33"/>
        <v>84.19999999999709</v>
      </c>
      <c r="AJ32" s="170">
        <f>IF(EA32=0,"",(EA32-EA31))</f>
        <v>141</v>
      </c>
      <c r="AK32" s="170">
        <f t="shared" si="34"/>
        <v>13.5</v>
      </c>
      <c r="AL32" s="170">
        <f t="shared" si="35"/>
        <v>251</v>
      </c>
      <c r="AM32" s="170">
        <f t="shared" si="36"/>
        <v>96.5</v>
      </c>
      <c r="AN32" s="170">
        <f t="shared" si="37"/>
        <v>34.700000000004366</v>
      </c>
      <c r="AO32" s="170">
        <f t="shared" si="5"/>
        <v>81.200000000004366</v>
      </c>
      <c r="AP32" s="170">
        <f t="shared" si="38"/>
        <v>34.899999999994179</v>
      </c>
      <c r="AQ32" s="170">
        <f t="shared" si="6"/>
        <v>103</v>
      </c>
      <c r="AR32" s="170">
        <f t="shared" si="39"/>
        <v>70</v>
      </c>
      <c r="AS32" s="170">
        <f t="shared" si="40"/>
        <v>88</v>
      </c>
      <c r="AT32" s="170">
        <f t="shared" si="41"/>
        <v>802</v>
      </c>
      <c r="AU32" s="170">
        <f t="shared" si="63"/>
        <v>297</v>
      </c>
      <c r="AV32" s="170">
        <f t="shared" si="64"/>
        <v>22</v>
      </c>
      <c r="AW32" s="170">
        <f t="shared" si="65"/>
        <v>417</v>
      </c>
      <c r="AX32" s="170">
        <f t="shared" si="66"/>
        <v>54</v>
      </c>
      <c r="AY32" s="170" t="str">
        <f t="shared" si="66"/>
        <v/>
      </c>
      <c r="AZ32" s="170">
        <f t="shared" si="42"/>
        <v>318</v>
      </c>
      <c r="BA32" s="170">
        <v>77</v>
      </c>
      <c r="BB32" s="170">
        <f t="shared" si="43"/>
        <v>126.60000000000582</v>
      </c>
      <c r="BC32" s="170">
        <f t="shared" si="43"/>
        <v>512.9000000001397</v>
      </c>
      <c r="BD32" s="91">
        <f t="shared" si="44"/>
        <v>354</v>
      </c>
      <c r="BE32" s="90"/>
      <c r="BF32" s="90"/>
      <c r="BG32" s="90">
        <f t="shared" si="7"/>
        <v>957.50000000014552</v>
      </c>
      <c r="BH32" s="90">
        <f t="shared" si="45"/>
        <v>-576.99999999997635</v>
      </c>
      <c r="BI32" s="90">
        <f t="shared" si="8"/>
        <v>1343.6699999999601</v>
      </c>
      <c r="BJ32" s="90">
        <f t="shared" si="46"/>
        <v>5428.3300000000399</v>
      </c>
      <c r="BK32" s="92"/>
      <c r="BL32" s="331">
        <f>FD32+FN32-99.4</f>
        <v>6195.0000000000236</v>
      </c>
      <c r="BM32" s="93">
        <f t="shared" si="47"/>
        <v>176231.49999999991</v>
      </c>
      <c r="BN32" s="92"/>
      <c r="BO32" s="94">
        <f t="shared" si="48"/>
        <v>0.1327184400095778</v>
      </c>
      <c r="BP32" s="94">
        <f t="shared" si="48"/>
        <v>0.11462385461886332</v>
      </c>
      <c r="BQ32" s="94">
        <f t="shared" si="49"/>
        <v>0.24236003588289745</v>
      </c>
      <c r="BR32" s="94">
        <f t="shared" si="68"/>
        <v>0.82438569467490497</v>
      </c>
      <c r="BS32" s="94">
        <f t="shared" si="78"/>
        <v>0</v>
      </c>
      <c r="BT32" s="94">
        <f t="shared" si="78"/>
        <v>7.8376194140278826E-2</v>
      </c>
      <c r="BU32" s="95">
        <f t="shared" si="78"/>
        <v>1.315821447119061</v>
      </c>
      <c r="BV32" s="94">
        <f t="shared" si="10"/>
        <v>0.11446047089752039</v>
      </c>
      <c r="BW32" s="94">
        <f t="shared" si="10"/>
        <v>9.8855143074445387E-2</v>
      </c>
      <c r="BX32" s="94">
        <f t="shared" si="10"/>
        <v>0.20901876055727026</v>
      </c>
      <c r="BY32" s="94">
        <f t="shared" si="50"/>
        <v>0.71097561730577519</v>
      </c>
      <c r="BZ32" s="95">
        <f t="shared" si="11"/>
        <v>1.1348049483058684</v>
      </c>
      <c r="CA32" s="96" t="e">
        <f>#REF!</f>
        <v>#REF!</v>
      </c>
      <c r="CB32" s="94">
        <f t="shared" si="51"/>
        <v>3.2100292319019126E-2</v>
      </c>
      <c r="CC32" s="95">
        <f t="shared" si="51"/>
        <v>4.0354653201052623E-2</v>
      </c>
      <c r="CD32" s="97">
        <f t="shared" si="12"/>
        <v>0.12220994691199906</v>
      </c>
      <c r="CE32" s="98">
        <f t="shared" si="12"/>
        <v>0.1536353618322274</v>
      </c>
      <c r="CF32" s="97">
        <f t="shared" si="52"/>
        <v>0.35256410256410253</v>
      </c>
      <c r="CG32" s="94">
        <f t="shared" si="52"/>
        <v>0.11587771203155819</v>
      </c>
      <c r="CH32" s="95">
        <f t="shared" si="53"/>
        <v>0.97879684418145962</v>
      </c>
      <c r="CI32" s="96" t="e">
        <f>#REF!</f>
        <v>#REF!</v>
      </c>
      <c r="CJ32" s="94">
        <f t="shared" si="54"/>
        <v>0.20152965926741512</v>
      </c>
      <c r="CK32" s="94">
        <f t="shared" si="54"/>
        <v>0.12911005813229998</v>
      </c>
      <c r="CL32" s="95">
        <f t="shared" si="69"/>
        <v>0.46859741910959934</v>
      </c>
      <c r="CM32" s="95" t="e">
        <f>#REF!</f>
        <v>#REF!</v>
      </c>
      <c r="CN32" s="94">
        <f t="shared" si="55"/>
        <v>0.46733804250986383</v>
      </c>
      <c r="CO32" s="94">
        <f t="shared" si="55"/>
        <v>4.4745131729667806E-2</v>
      </c>
      <c r="CP32" s="95">
        <f t="shared" si="56"/>
        <v>0.83192800475160145</v>
      </c>
      <c r="CQ32" s="95" t="e">
        <f>#REF!</f>
        <v>#REF!</v>
      </c>
      <c r="CR32" s="97">
        <f t="shared" si="70"/>
        <v>0.12124765584955075</v>
      </c>
      <c r="CS32" s="95">
        <f t="shared" si="70"/>
        <v>0.28372650302544128</v>
      </c>
      <c r="CT32" s="96" t="e">
        <f>#REF!</f>
        <v>#REF!</v>
      </c>
      <c r="CU32" s="97">
        <f t="shared" si="71"/>
        <v>0.12606505101117241</v>
      </c>
      <c r="CV32" s="95">
        <f t="shared" si="57"/>
        <v>0.37205444854306374</v>
      </c>
      <c r="CW32" s="96" t="e">
        <f>#REF!</f>
        <v>#REF!</v>
      </c>
      <c r="CX32" s="99">
        <f t="shared" si="80"/>
        <v>0.13619695455355257</v>
      </c>
      <c r="CY32" s="95">
        <f t="shared" si="81"/>
        <v>1.0088663300263156E-2</v>
      </c>
      <c r="CZ32" s="99">
        <f t="shared" si="82"/>
        <v>0.19122602710044251</v>
      </c>
      <c r="DA32" s="95">
        <f t="shared" si="83"/>
        <v>2.476308264610047E-2</v>
      </c>
      <c r="DB32" s="94">
        <f t="shared" si="13"/>
        <v>0.14582704224925833</v>
      </c>
      <c r="DC32" s="94">
        <f t="shared" si="14"/>
        <v>5.8055671536971554E-2</v>
      </c>
      <c r="DD32" s="94">
        <f t="shared" si="14"/>
        <v>0.23520342757756277</v>
      </c>
      <c r="DE32" s="94">
        <f t="shared" si="14"/>
        <v>0.16233576401332528</v>
      </c>
      <c r="DF32" s="94">
        <f t="shared" si="14"/>
        <v>0</v>
      </c>
      <c r="DG32" s="94">
        <f t="shared" si="14"/>
        <v>0</v>
      </c>
      <c r="DH32" s="95">
        <f t="shared" si="14"/>
        <v>0.43908614136379265</v>
      </c>
      <c r="DI32" s="96" t="e">
        <f>#REF!</f>
        <v>#REF!</v>
      </c>
      <c r="DJ32" s="95">
        <f t="shared" si="59"/>
        <v>-0.26459812382961823</v>
      </c>
      <c r="DK32" s="96" t="e">
        <f>#REF!</f>
        <v>#REF!</v>
      </c>
      <c r="DL32" s="95">
        <f t="shared" si="60"/>
        <v>0.61617428257564499</v>
      </c>
      <c r="DM32" s="96">
        <f t="shared" si="15"/>
        <v>0</v>
      </c>
      <c r="DN32" s="94">
        <f>IF($O32&lt;&gt;0,BJ32/$O32*10,"")</f>
        <v>2.4892997114871767</v>
      </c>
      <c r="DO32" s="100">
        <v>3.4</v>
      </c>
      <c r="DP32" s="94">
        <f t="shared" si="73"/>
        <v>2.8408758702332038</v>
      </c>
      <c r="DQ32" s="94">
        <f t="shared" si="74"/>
        <v>3.4263145191509405</v>
      </c>
      <c r="DR32" s="101"/>
      <c r="DS32" s="173"/>
      <c r="DT32" s="134">
        <v>27</v>
      </c>
      <c r="DU32" s="120">
        <v>625058</v>
      </c>
      <c r="DV32" s="120">
        <v>26744</v>
      </c>
      <c r="DW32" s="120">
        <v>5130281</v>
      </c>
      <c r="DX32" s="120">
        <v>117135</v>
      </c>
      <c r="DY32" s="120">
        <v>84701.3</v>
      </c>
      <c r="DZ32" s="120">
        <v>392586</v>
      </c>
      <c r="EA32" s="120">
        <v>231418</v>
      </c>
      <c r="EB32" s="120">
        <v>54071.1</v>
      </c>
      <c r="EC32" s="120">
        <v>405378</v>
      </c>
      <c r="ED32" s="120">
        <v>47041.4</v>
      </c>
      <c r="EE32" s="120">
        <v>41850.800000000003</v>
      </c>
      <c r="EF32" s="120">
        <v>38498.1</v>
      </c>
      <c r="EG32" s="120">
        <v>92215</v>
      </c>
      <c r="EH32" s="120">
        <v>181571.4</v>
      </c>
      <c r="EI32" s="120">
        <v>31516</v>
      </c>
      <c r="EJ32" s="120">
        <v>40449</v>
      </c>
      <c r="EK32" s="120"/>
      <c r="EL32" s="120">
        <v>699580.6</v>
      </c>
      <c r="EM32" s="120">
        <v>4558</v>
      </c>
      <c r="EN32" s="120">
        <v>43925.4</v>
      </c>
      <c r="EO32" s="120">
        <v>3005189.9</v>
      </c>
      <c r="EP32" s="120">
        <v>2780777</v>
      </c>
      <c r="EQ32" s="120">
        <v>0</v>
      </c>
      <c r="ER32" s="120">
        <v>1474</v>
      </c>
      <c r="ES32" s="120">
        <v>354903</v>
      </c>
      <c r="ET32" s="105">
        <f>ET31+70000</f>
        <v>9970594</v>
      </c>
      <c r="EU32" s="120">
        <v>421597</v>
      </c>
      <c r="EV32" s="120">
        <v>136968</v>
      </c>
      <c r="EW32" s="120">
        <v>107545</v>
      </c>
      <c r="EX32" s="120">
        <v>208463</v>
      </c>
      <c r="EY32" s="120">
        <v>1640907.6</v>
      </c>
      <c r="EZ32" s="120">
        <v>776810.9</v>
      </c>
      <c r="FA32" s="151">
        <v>745344</v>
      </c>
      <c r="FB32" s="151">
        <v>30278.2</v>
      </c>
      <c r="FC32" s="149">
        <v>6772</v>
      </c>
      <c r="FD32" s="104">
        <f t="shared" si="77"/>
        <v>4894.4000000000233</v>
      </c>
      <c r="FE32" s="105">
        <f t="shared" ref="FE32:FM35" si="85">FE65-FE64</f>
        <v>0</v>
      </c>
      <c r="FF32" s="105">
        <f t="shared" si="85"/>
        <v>709</v>
      </c>
      <c r="FG32" s="105">
        <f t="shared" si="85"/>
        <v>613</v>
      </c>
      <c r="FH32" s="105">
        <f t="shared" si="85"/>
        <v>2261</v>
      </c>
      <c r="FI32" s="105">
        <f t="shared" si="85"/>
        <v>148</v>
      </c>
      <c r="FJ32" s="105">
        <f t="shared" si="85"/>
        <v>193</v>
      </c>
      <c r="FK32" s="105">
        <f t="shared" si="85"/>
        <v>0</v>
      </c>
      <c r="FL32" s="105">
        <f t="shared" si="85"/>
        <v>755.40000000002328</v>
      </c>
      <c r="FM32" s="105">
        <v>215</v>
      </c>
      <c r="FN32" s="124">
        <f t="shared" si="75"/>
        <v>1400</v>
      </c>
      <c r="FO32" s="104">
        <f>FO31+1400</f>
        <v>1046711</v>
      </c>
      <c r="FP32" s="81"/>
      <c r="FQ32" s="186"/>
      <c r="FY32" s="119">
        <v>27</v>
      </c>
      <c r="FZ32" s="107"/>
      <c r="GA32" s="107"/>
      <c r="GB32" s="180"/>
      <c r="GC32" s="109"/>
      <c r="GD32" s="110"/>
      <c r="GE32" s="110"/>
      <c r="GF32" s="111"/>
      <c r="GG32" s="111"/>
      <c r="GH32" s="111"/>
      <c r="GI32" s="164"/>
      <c r="GJ32" s="111" t="e">
        <f t="shared" si="61"/>
        <v>#DIV/0!</v>
      </c>
    </row>
    <row r="33" spans="1:193" s="119" customFormat="1" ht="15" customHeight="1">
      <c r="A33" s="119">
        <v>0</v>
      </c>
      <c r="B33" s="354">
        <f t="shared" si="62"/>
        <v>42914</v>
      </c>
      <c r="D33" s="86">
        <v>3888</v>
      </c>
      <c r="E33" s="86">
        <v>0</v>
      </c>
      <c r="F33" s="86">
        <v>3058.56</v>
      </c>
      <c r="G33" s="86">
        <f>2801.972+1905.754</f>
        <v>4707.7260000000006</v>
      </c>
      <c r="H33" s="86">
        <v>3923.7049999999999</v>
      </c>
      <c r="I33" s="86">
        <f>1195.106+602.16</f>
        <v>1797.2660000000001</v>
      </c>
      <c r="J33" s="86">
        <v>7424.2079999999996</v>
      </c>
      <c r="K33" s="284">
        <v>0</v>
      </c>
      <c r="L33" s="284">
        <v>136</v>
      </c>
      <c r="M33" s="115">
        <f t="shared" si="19"/>
        <v>9221.4740000000002</v>
      </c>
      <c r="N33" s="88">
        <f t="shared" si="1"/>
        <v>15577.991</v>
      </c>
      <c r="O33" s="88">
        <f t="shared" si="20"/>
        <v>20324.727999999999</v>
      </c>
      <c r="P33" s="89">
        <f t="shared" si="21"/>
        <v>534671.84649999999</v>
      </c>
      <c r="R33" s="170">
        <f t="shared" si="22"/>
        <v>290.70000000006985</v>
      </c>
      <c r="S33" s="170">
        <f t="shared" si="23"/>
        <v>18.129999999993014</v>
      </c>
      <c r="T33" s="170">
        <f t="shared" si="2"/>
        <v>339.5</v>
      </c>
      <c r="U33" s="91">
        <f t="shared" si="76"/>
        <v>5.15</v>
      </c>
      <c r="V33" s="170">
        <f t="shared" si="24"/>
        <v>1485.6000000000931</v>
      </c>
      <c r="W33" s="91">
        <f t="shared" si="3"/>
        <v>131.6</v>
      </c>
      <c r="X33" s="170">
        <f t="shared" si="25"/>
        <v>1485.6000000000931</v>
      </c>
      <c r="Y33" s="170" t="str">
        <f t="shared" si="26"/>
        <v>0</v>
      </c>
      <c r="Z33" s="170">
        <f t="shared" si="4"/>
        <v>166.3</v>
      </c>
      <c r="AA33" s="170">
        <f t="shared" si="27"/>
        <v>2139.0800000001559</v>
      </c>
      <c r="AB33" s="170">
        <f t="shared" si="28"/>
        <v>164</v>
      </c>
      <c r="AC33" s="170">
        <f t="shared" si="28"/>
        <v>62</v>
      </c>
      <c r="AD33" s="170">
        <f>(IF(SUM(AB33:AC33)&gt;=(DW33-DW32),(SUM(AB33:AC33)),(DW33-DW32)))</f>
        <v>378</v>
      </c>
      <c r="AE33" s="170">
        <f t="shared" si="30"/>
        <v>152</v>
      </c>
      <c r="AF33" s="170">
        <f t="shared" si="31"/>
        <v>0</v>
      </c>
      <c r="AG33" s="170">
        <f t="shared" si="31"/>
        <v>0</v>
      </c>
      <c r="AH33" s="170">
        <f t="shared" si="32"/>
        <v>45</v>
      </c>
      <c r="AI33" s="170">
        <f t="shared" si="33"/>
        <v>45</v>
      </c>
      <c r="AJ33" s="170">
        <f>IF(EA33=0,"",(EA33-EA32))</f>
        <v>154</v>
      </c>
      <c r="AK33" s="170">
        <f t="shared" si="34"/>
        <v>49</v>
      </c>
      <c r="AL33" s="170">
        <f t="shared" si="35"/>
        <v>258</v>
      </c>
      <c r="AM33" s="170">
        <f t="shared" si="36"/>
        <v>55</v>
      </c>
      <c r="AN33" s="170">
        <f t="shared" si="37"/>
        <v>8.5</v>
      </c>
      <c r="AO33" s="170">
        <f t="shared" si="5"/>
        <v>17</v>
      </c>
      <c r="AP33" s="170">
        <f t="shared" si="38"/>
        <v>16.69999999999709</v>
      </c>
      <c r="AQ33" s="170">
        <f t="shared" si="6"/>
        <v>30.700000000011642</v>
      </c>
      <c r="AR33" s="170">
        <f>IF(ET33=0,"",(ET33-21303)/1000)</f>
        <v>63.1008</v>
      </c>
      <c r="AS33" s="170">
        <f>IF(AR33="","",(ES33-ES32)+((ET33-21303)/1000)-AW33-AU33)</f>
        <v>15.100800000000049</v>
      </c>
      <c r="AT33" s="170">
        <f>IF(AR33="","",ES33-ES32+((ET33-21303)/1000))</f>
        <v>770.10080000000005</v>
      </c>
      <c r="AU33" s="170">
        <f t="shared" si="63"/>
        <v>230</v>
      </c>
      <c r="AV33" s="170">
        <f t="shared" si="64"/>
        <v>35</v>
      </c>
      <c r="AW33" s="170">
        <f t="shared" si="65"/>
        <v>525</v>
      </c>
      <c r="AX33" s="170">
        <f t="shared" si="66"/>
        <v>2</v>
      </c>
      <c r="AY33" s="170" t="str">
        <f t="shared" si="66"/>
        <v/>
      </c>
      <c r="AZ33" s="170">
        <f t="shared" si="42"/>
        <v>265</v>
      </c>
      <c r="BA33" s="170">
        <v>103</v>
      </c>
      <c r="BB33" s="170">
        <f t="shared" si="43"/>
        <v>72.600000000005821</v>
      </c>
      <c r="BC33" s="170">
        <f t="shared" si="43"/>
        <v>922.5999999998603</v>
      </c>
      <c r="BD33" s="91">
        <f t="shared" si="44"/>
        <v>294</v>
      </c>
      <c r="BE33" s="90"/>
      <c r="BF33" s="90"/>
      <c r="BG33" s="90">
        <f t="shared" si="7"/>
        <v>1260.1999999998661</v>
      </c>
      <c r="BH33" s="90">
        <f>BL33-FC33</f>
        <v>-619</v>
      </c>
      <c r="BI33" s="90">
        <f t="shared" si="8"/>
        <v>2139.9191999999657</v>
      </c>
      <c r="BJ33" s="90">
        <f t="shared" si="46"/>
        <v>4935.0808000000343</v>
      </c>
      <c r="BK33" s="92"/>
      <c r="BL33" s="331">
        <f t="shared" si="67"/>
        <v>6456</v>
      </c>
      <c r="BM33" s="93">
        <f t="shared" si="47"/>
        <v>182687.49999999991</v>
      </c>
      <c r="BN33" s="92"/>
      <c r="BO33" s="94">
        <f t="shared" si="48"/>
        <v>0.18660942864845015</v>
      </c>
      <c r="BP33" s="94">
        <f t="shared" si="48"/>
        <v>1.1638214452680717E-2</v>
      </c>
      <c r="BQ33" s="94">
        <f t="shared" si="49"/>
        <v>0.21793567604449121</v>
      </c>
      <c r="BR33" s="94">
        <f t="shared" si="68"/>
        <v>0.95365313794320017</v>
      </c>
      <c r="BS33" s="94">
        <f t="shared" si="78"/>
        <v>0</v>
      </c>
      <c r="BT33" s="94">
        <f t="shared" si="78"/>
        <v>0.1067531750403502</v>
      </c>
      <c r="BU33" s="95">
        <f t="shared" si="78"/>
        <v>1.3731424032791879</v>
      </c>
      <c r="BV33" s="94">
        <f t="shared" si="10"/>
        <v>0.14302774433196344</v>
      </c>
      <c r="BW33" s="94">
        <f t="shared" si="10"/>
        <v>8.9201685749462495E-3</v>
      </c>
      <c r="BX33" s="94">
        <f t="shared" si="10"/>
        <v>0.16703790574712735</v>
      </c>
      <c r="BY33" s="94">
        <f t="shared" si="50"/>
        <v>0.7309322909512459</v>
      </c>
      <c r="BZ33" s="95">
        <f t="shared" si="11"/>
        <v>1.0524519688529932</v>
      </c>
      <c r="CA33" s="96" t="e">
        <f>#REF!</f>
        <v>#REF!</v>
      </c>
      <c r="CB33" s="94">
        <f t="shared" si="51"/>
        <v>3.1046319537461953E-2</v>
      </c>
      <c r="CC33" s="95">
        <f t="shared" si="51"/>
        <v>7.4297673257915434E-3</v>
      </c>
      <c r="CD33" s="97">
        <f t="shared" si="12"/>
        <v>6.8428105962235544E-2</v>
      </c>
      <c r="CE33" s="98">
        <f t="shared" si="12"/>
        <v>1.6375690046949165E-2</v>
      </c>
      <c r="CF33" s="97">
        <f t="shared" si="52"/>
        <v>0.42181069958847739</v>
      </c>
      <c r="CG33" s="94">
        <f t="shared" si="52"/>
        <v>0.15946502057613168</v>
      </c>
      <c r="CH33" s="95">
        <f t="shared" si="53"/>
        <v>0.97222222222222221</v>
      </c>
      <c r="CI33" s="96" t="e">
        <f>#REF!</f>
        <v>#REF!</v>
      </c>
      <c r="CJ33" s="94" t="str">
        <f t="shared" si="54"/>
        <v>0,00</v>
      </c>
      <c r="CK33" s="94" t="str">
        <f t="shared" si="54"/>
        <v>0,00</v>
      </c>
      <c r="CL33" s="95" t="str">
        <f t="shared" si="69"/>
        <v xml:space="preserve">0,00 </v>
      </c>
      <c r="CM33" s="95" t="e">
        <f>#REF!</f>
        <v>#REF!</v>
      </c>
      <c r="CN33" s="94">
        <f t="shared" si="55"/>
        <v>0.50350491734672531</v>
      </c>
      <c r="CO33" s="94">
        <f t="shared" si="55"/>
        <v>0.16020611006486715</v>
      </c>
      <c r="CP33" s="95">
        <f t="shared" si="56"/>
        <v>0.84353421217828006</v>
      </c>
      <c r="CQ33" s="95" t="e">
        <f>#REF!</f>
        <v>#REF!</v>
      </c>
      <c r="CR33" s="97">
        <f t="shared" si="70"/>
        <v>1.8055426335347464E-2</v>
      </c>
      <c r="CS33" s="95">
        <f t="shared" si="70"/>
        <v>3.6110852670694929E-2</v>
      </c>
      <c r="CT33" s="96" t="e">
        <f>#REF!</f>
        <v>#REF!</v>
      </c>
      <c r="CU33" s="97">
        <f t="shared" si="71"/>
        <v>4.2561813388104074E-2</v>
      </c>
      <c r="CV33" s="95">
        <f t="shared" si="57"/>
        <v>7.8242375509911269E-2</v>
      </c>
      <c r="CW33" s="96" t="e">
        <f>#REF!</f>
        <v>#REF!</v>
      </c>
      <c r="CX33" s="99">
        <f t="shared" si="80"/>
        <v>0.11316264601425417</v>
      </c>
      <c r="CY33" s="95">
        <f t="shared" si="81"/>
        <v>1.7220402654343027E-2</v>
      </c>
      <c r="CZ33" s="99">
        <f t="shared" si="82"/>
        <v>0.25830603981514538</v>
      </c>
      <c r="DA33" s="95">
        <f t="shared" si="83"/>
        <v>9.840230088196014E-4</v>
      </c>
      <c r="DB33" s="94">
        <f t="shared" si="13"/>
        <v>0.13038304866859721</v>
      </c>
      <c r="DC33" s="94">
        <f t="shared" si="14"/>
        <v>3.5720035220154399E-2</v>
      </c>
      <c r="DD33" s="94">
        <f t="shared" si="14"/>
        <v>0.45392981396841342</v>
      </c>
      <c r="DE33" s="94">
        <f t="shared" si="14"/>
        <v>0.14465138229648142</v>
      </c>
      <c r="DF33" s="94">
        <f t="shared" si="14"/>
        <v>0</v>
      </c>
      <c r="DG33" s="94">
        <f t="shared" si="14"/>
        <v>0</v>
      </c>
      <c r="DH33" s="95">
        <f t="shared" si="14"/>
        <v>0.62003289785716498</v>
      </c>
      <c r="DI33" s="96" t="e">
        <f>#REF!</f>
        <v>#REF!</v>
      </c>
      <c r="DJ33" s="95">
        <f t="shared" si="59"/>
        <v>-0.30455512122966666</v>
      </c>
      <c r="DK33" s="96" t="e">
        <f>#REF!</f>
        <v>#REF!</v>
      </c>
      <c r="DL33" s="95">
        <f t="shared" si="60"/>
        <v>1.0528648649074004</v>
      </c>
      <c r="DM33" s="96">
        <f t="shared" si="15"/>
        <v>0</v>
      </c>
      <c r="DN33" s="94">
        <f t="shared" si="16"/>
        <v>2.4281165287919397</v>
      </c>
      <c r="DO33" s="100">
        <v>3.4</v>
      </c>
      <c r="DP33" s="94">
        <f t="shared" si="73"/>
        <v>3.1764262724696737</v>
      </c>
      <c r="DQ33" s="94">
        <f t="shared" si="74"/>
        <v>3.4168154017438042</v>
      </c>
      <c r="DR33" s="101" t="str">
        <f t="shared" si="17"/>
        <v>3,315, hL/NhL</v>
      </c>
      <c r="DT33" s="134">
        <v>28</v>
      </c>
      <c r="DU33" s="135">
        <v>625222</v>
      </c>
      <c r="DV33" s="135">
        <v>26806</v>
      </c>
      <c r="DW33" s="135">
        <v>5130659</v>
      </c>
      <c r="DX33" s="135">
        <v>117135</v>
      </c>
      <c r="DY33" s="135">
        <v>84701.3</v>
      </c>
      <c r="DZ33" s="135">
        <v>392631</v>
      </c>
      <c r="EA33" s="136">
        <v>231572</v>
      </c>
      <c r="EB33" s="136">
        <v>54120.1</v>
      </c>
      <c r="EC33" s="136">
        <v>405636</v>
      </c>
      <c r="ED33" s="135">
        <v>47049.9</v>
      </c>
      <c r="EE33" s="120">
        <v>41850.800000000003</v>
      </c>
      <c r="EF33" s="136">
        <v>38515.1</v>
      </c>
      <c r="EG33" s="135">
        <v>92231.7</v>
      </c>
      <c r="EH33" s="135">
        <v>181602.1</v>
      </c>
      <c r="EI33" s="135">
        <v>31551</v>
      </c>
      <c r="EJ33" s="136">
        <v>40451</v>
      </c>
      <c r="EK33" s="136"/>
      <c r="EL33" s="135">
        <v>699871.3</v>
      </c>
      <c r="EM33" s="135">
        <v>3395</v>
      </c>
      <c r="EN33" s="136">
        <v>43976.9</v>
      </c>
      <c r="EO33" s="135">
        <v>3006675.5</v>
      </c>
      <c r="EP33" s="136">
        <v>2782093</v>
      </c>
      <c r="EQ33" s="136">
        <v>0</v>
      </c>
      <c r="ER33" s="136">
        <v>1663</v>
      </c>
      <c r="ES33" s="136">
        <v>355610</v>
      </c>
      <c r="ET33" s="136">
        <v>84403.8</v>
      </c>
      <c r="EU33" s="136">
        <v>422122</v>
      </c>
      <c r="EV33" s="136">
        <v>137198</v>
      </c>
      <c r="EW33" s="136">
        <v>107810</v>
      </c>
      <c r="EX33" s="135">
        <v>208535.6</v>
      </c>
      <c r="EY33" s="135">
        <v>1641830.2</v>
      </c>
      <c r="EZ33" s="140">
        <v>776992.2</v>
      </c>
      <c r="FA33" s="145">
        <v>745638</v>
      </c>
      <c r="FB33" s="145">
        <v>30374.2</v>
      </c>
      <c r="FC33" s="145">
        <v>7075</v>
      </c>
      <c r="FD33" s="104">
        <f>SUM(FE33:FM33)</f>
        <v>5256</v>
      </c>
      <c r="FE33" s="105">
        <v>0</v>
      </c>
      <c r="FF33" s="105">
        <v>909</v>
      </c>
      <c r="FG33" s="105">
        <f>FG66-FG65</f>
        <v>955</v>
      </c>
      <c r="FH33" s="105">
        <v>1071</v>
      </c>
      <c r="FI33" s="105">
        <v>482</v>
      </c>
      <c r="FJ33" s="105">
        <v>0</v>
      </c>
      <c r="FK33" s="105">
        <v>1072</v>
      </c>
      <c r="FL33" s="105">
        <v>767</v>
      </c>
      <c r="FM33" s="105">
        <v>0</v>
      </c>
      <c r="FN33" s="144">
        <v>1200</v>
      </c>
      <c r="FO33" s="104">
        <f>FO32+1200</f>
        <v>1047911</v>
      </c>
      <c r="FP33" s="188"/>
      <c r="FY33" s="119">
        <v>28</v>
      </c>
      <c r="FZ33" s="107"/>
      <c r="GA33" s="107"/>
      <c r="GB33" s="180"/>
      <c r="GC33" s="109"/>
      <c r="GD33" s="110"/>
      <c r="GE33" s="110"/>
      <c r="GF33" s="111"/>
      <c r="GG33" s="111"/>
      <c r="GH33" s="111"/>
      <c r="GI33" s="164"/>
      <c r="GJ33" s="111" t="e">
        <f t="shared" si="61"/>
        <v>#DIV/0!</v>
      </c>
      <c r="GK33" s="113"/>
    </row>
    <row r="34" spans="1:193" s="119" customFormat="1" ht="15" customHeight="1">
      <c r="B34" s="354">
        <f t="shared" si="62"/>
        <v>42915</v>
      </c>
      <c r="D34" s="86">
        <v>4714.32</v>
      </c>
      <c r="E34" s="86"/>
      <c r="F34" s="86">
        <v>3079.2959999999998</v>
      </c>
      <c r="G34" s="86">
        <v>1753.5440000000001</v>
      </c>
      <c r="H34" s="86">
        <v>7650.17</v>
      </c>
      <c r="I34" s="86">
        <v>1213.933</v>
      </c>
      <c r="J34" s="86">
        <v>4901.6400000000003</v>
      </c>
      <c r="K34" s="284"/>
      <c r="L34" s="284">
        <v>136</v>
      </c>
      <c r="M34" s="115">
        <f t="shared" si="19"/>
        <v>6115.5730000000003</v>
      </c>
      <c r="N34" s="88">
        <f t="shared" si="1"/>
        <v>17197.330000000002</v>
      </c>
      <c r="O34" s="88">
        <f t="shared" si="20"/>
        <v>20391.116500000004</v>
      </c>
      <c r="P34" s="89">
        <f t="shared" si="21"/>
        <v>555062.96299999999</v>
      </c>
      <c r="R34" s="170">
        <f t="shared" si="22"/>
        <v>204.39999999990687</v>
      </c>
      <c r="S34" s="170">
        <f t="shared" si="23"/>
        <v>0</v>
      </c>
      <c r="T34" s="170">
        <f t="shared" si="2"/>
        <v>461.6</v>
      </c>
      <c r="U34" s="91">
        <f t="shared" si="76"/>
        <v>4.0099999999998541</v>
      </c>
      <c r="V34" s="170">
        <f t="shared" si="24"/>
        <v>1356.2999999998137</v>
      </c>
      <c r="W34" s="91">
        <f t="shared" si="3"/>
        <v>121.5</v>
      </c>
      <c r="X34" s="170">
        <f t="shared" si="25"/>
        <v>1356.2999999998137</v>
      </c>
      <c r="Y34" s="170" t="str">
        <f t="shared" si="26"/>
        <v>0</v>
      </c>
      <c r="Z34" s="170">
        <f t="shared" si="4"/>
        <v>130.19999999999999</v>
      </c>
      <c r="AA34" s="170">
        <f t="shared" si="27"/>
        <v>2026.3099999997205</v>
      </c>
      <c r="AB34" s="170">
        <f t="shared" si="28"/>
        <v>180</v>
      </c>
      <c r="AC34" s="170">
        <f t="shared" si="28"/>
        <v>28</v>
      </c>
      <c r="AD34" s="170">
        <f t="shared" si="29"/>
        <v>374</v>
      </c>
      <c r="AE34" s="170">
        <f t="shared" si="30"/>
        <v>166</v>
      </c>
      <c r="AF34" s="170">
        <f t="shared" si="31"/>
        <v>133</v>
      </c>
      <c r="AG34" s="170">
        <f t="shared" si="31"/>
        <v>143.80000000000291</v>
      </c>
      <c r="AH34" s="170">
        <f t="shared" si="32"/>
        <v>332</v>
      </c>
      <c r="AI34" s="170">
        <f t="shared" si="33"/>
        <v>55.19999999999709</v>
      </c>
      <c r="AJ34" s="170">
        <f>IF(EA34=0,"",(EA34-EA33))</f>
        <v>154</v>
      </c>
      <c r="AK34" s="170">
        <f t="shared" si="34"/>
        <v>7.9000000000014552</v>
      </c>
      <c r="AL34" s="170">
        <f t="shared" si="35"/>
        <v>234</v>
      </c>
      <c r="AM34" s="170">
        <f t="shared" si="36"/>
        <v>72.099999999998545</v>
      </c>
      <c r="AN34" s="170">
        <f t="shared" si="37"/>
        <v>13.400000000001455</v>
      </c>
      <c r="AO34" s="170">
        <f t="shared" si="5"/>
        <v>54.299999999995634</v>
      </c>
      <c r="AP34" s="170">
        <f t="shared" si="38"/>
        <v>77.100000000005821</v>
      </c>
      <c r="AQ34" s="170">
        <f t="shared" si="6"/>
        <v>121.89999999999418</v>
      </c>
      <c r="AR34" s="170">
        <f t="shared" si="39"/>
        <v>52.742199999999997</v>
      </c>
      <c r="AS34" s="170">
        <f t="shared" si="40"/>
        <v>53.742200000000025</v>
      </c>
      <c r="AT34" s="170">
        <f t="shared" si="41"/>
        <v>851.74220000000003</v>
      </c>
      <c r="AU34" s="170">
        <f t="shared" si="63"/>
        <v>312</v>
      </c>
      <c r="AV34" s="170">
        <f t="shared" si="64"/>
        <v>78</v>
      </c>
      <c r="AW34" s="170">
        <f t="shared" si="65"/>
        <v>486</v>
      </c>
      <c r="AX34" s="170">
        <f t="shared" si="66"/>
        <v>1</v>
      </c>
      <c r="AY34" s="170" t="str">
        <f t="shared" si="66"/>
        <v/>
      </c>
      <c r="AZ34" s="170">
        <f t="shared" si="42"/>
        <v>348</v>
      </c>
      <c r="BA34" s="170">
        <v>47</v>
      </c>
      <c r="BB34" s="170">
        <f t="shared" si="43"/>
        <v>99.799999999988358</v>
      </c>
      <c r="BC34" s="170">
        <f t="shared" si="43"/>
        <v>963.9000000001397</v>
      </c>
      <c r="BD34" s="91">
        <f t="shared" si="44"/>
        <v>162</v>
      </c>
      <c r="BE34" s="90"/>
      <c r="BF34" s="90"/>
      <c r="BG34" s="90">
        <f t="shared" si="7"/>
        <v>1411.7000000001281</v>
      </c>
      <c r="BH34" s="90">
        <f t="shared" si="45"/>
        <v>-354</v>
      </c>
      <c r="BI34" s="90">
        <f t="shared" si="8"/>
        <v>956.04780000016217</v>
      </c>
      <c r="BJ34" s="90">
        <f t="shared" si="46"/>
        <v>5484.9521999998378</v>
      </c>
      <c r="BK34" s="92"/>
      <c r="BL34" s="331">
        <f t="shared" si="67"/>
        <v>6087</v>
      </c>
      <c r="BM34" s="93">
        <f t="shared" si="47"/>
        <v>188774.49999999991</v>
      </c>
      <c r="BN34" s="92"/>
      <c r="BO34" s="94">
        <f t="shared" si="48"/>
        <v>0.11885565957035589</v>
      </c>
      <c r="BP34" s="94">
        <f t="shared" si="48"/>
        <v>0</v>
      </c>
      <c r="BQ34" s="94">
        <f t="shared" si="49"/>
        <v>0.2684137595777949</v>
      </c>
      <c r="BR34" s="94">
        <f t="shared" si="68"/>
        <v>0.78866893872468202</v>
      </c>
      <c r="BS34" s="94">
        <f>IF($N34&lt;&gt;0,IF($N34&lt;&gt;0,Y34/$N34*10,0)," ")</f>
        <v>0</v>
      </c>
      <c r="BT34" s="94">
        <f t="shared" si="78"/>
        <v>7.5709426986631051E-2</v>
      </c>
      <c r="BU34" s="95">
        <f t="shared" si="78"/>
        <v>1.1782701151863226</v>
      </c>
      <c r="BV34" s="94">
        <f t="shared" si="10"/>
        <v>0.10023972939387936</v>
      </c>
      <c r="BW34" s="94">
        <f t="shared" si="10"/>
        <v>0</v>
      </c>
      <c r="BX34" s="94">
        <f t="shared" si="10"/>
        <v>0.22637308751583068</v>
      </c>
      <c r="BY34" s="94">
        <f t="shared" si="50"/>
        <v>0.66514258794991121</v>
      </c>
      <c r="BZ34" s="95">
        <f t="shared" si="11"/>
        <v>0.99372194749596965</v>
      </c>
      <c r="CA34" s="96" t="e">
        <f>#REF!</f>
        <v>#REF!</v>
      </c>
      <c r="CB34" s="94">
        <f t="shared" si="51"/>
        <v>2.5865283051077652E-2</v>
      </c>
      <c r="CC34" s="95">
        <f t="shared" si="51"/>
        <v>2.6355692686077303E-2</v>
      </c>
      <c r="CD34" s="97">
        <f t="shared" si="12"/>
        <v>8.6242450216848038E-2</v>
      </c>
      <c r="CE34" s="98">
        <f t="shared" si="12"/>
        <v>8.7877619971178531E-2</v>
      </c>
      <c r="CF34" s="97">
        <f t="shared" si="52"/>
        <v>0.38181540497887295</v>
      </c>
      <c r="CG34" s="94">
        <f t="shared" si="52"/>
        <v>5.9393507441158004E-2</v>
      </c>
      <c r="CH34" s="95">
        <f t="shared" si="53"/>
        <v>0.7933275636783248</v>
      </c>
      <c r="CI34" s="96" t="e">
        <f>#REF!</f>
        <v>#REF!</v>
      </c>
      <c r="CJ34" s="94" t="str">
        <f t="shared" si="54"/>
        <v>0,00</v>
      </c>
      <c r="CK34" s="94" t="str">
        <f t="shared" si="54"/>
        <v>0,00</v>
      </c>
      <c r="CL34" s="95" t="str">
        <f t="shared" si="69"/>
        <v xml:space="preserve">0,00 </v>
      </c>
      <c r="CM34" s="95" t="e">
        <f>#REF!</f>
        <v>#REF!</v>
      </c>
      <c r="CN34" s="94">
        <f t="shared" si="55"/>
        <v>0.50011431184270694</v>
      </c>
      <c r="CO34" s="94">
        <f t="shared" si="55"/>
        <v>2.56552146984293E-2</v>
      </c>
      <c r="CP34" s="95">
        <f t="shared" si="56"/>
        <v>0.75991395435839881</v>
      </c>
      <c r="CQ34" s="95" t="e">
        <f>#REF!</f>
        <v>#REF!</v>
      </c>
      <c r="CR34" s="97">
        <f t="shared" si="70"/>
        <v>7.6416673890141645E-2</v>
      </c>
      <c r="CS34" s="95">
        <f t="shared" si="70"/>
        <v>0.30965861136073936</v>
      </c>
      <c r="CT34" s="96" t="e">
        <f>#REF!</f>
        <v>#REF!</v>
      </c>
      <c r="CU34" s="97">
        <f t="shared" si="71"/>
        <v>0.10078207412385061</v>
      </c>
      <c r="CV34" s="95">
        <f t="shared" si="57"/>
        <v>0.15934286427621108</v>
      </c>
      <c r="CW34" s="96" t="e">
        <f>#REF!</f>
        <v>#REF!</v>
      </c>
      <c r="CX34" s="99">
        <f t="shared" si="80"/>
        <v>0.15300780611988554</v>
      </c>
      <c r="CY34" s="95">
        <f t="shared" si="81"/>
        <v>3.8251951529971386E-2</v>
      </c>
      <c r="CZ34" s="99">
        <f t="shared" si="82"/>
        <v>0.23833908260982173</v>
      </c>
      <c r="DA34" s="95">
        <f t="shared" si="83"/>
        <v>4.904096349996332E-4</v>
      </c>
      <c r="DB34" s="94">
        <f t="shared" si="13"/>
        <v>0.17066255297987235</v>
      </c>
      <c r="DC34" s="94">
        <f t="shared" si="14"/>
        <v>4.8942881572957689E-2</v>
      </c>
      <c r="DD34" s="94">
        <f t="shared" si="14"/>
        <v>0.47270584717621494</v>
      </c>
      <c r="DE34" s="94">
        <f t="shared" si="14"/>
        <v>7.9446360869940572E-2</v>
      </c>
      <c r="DF34" s="94">
        <f t="shared" si="14"/>
        <v>0</v>
      </c>
      <c r="DG34" s="94">
        <f t="shared" si="14"/>
        <v>0</v>
      </c>
      <c r="DH34" s="95">
        <f t="shared" si="14"/>
        <v>0.69231128172904499</v>
      </c>
      <c r="DI34" s="96" t="e">
        <f>#REF!</f>
        <v>#REF!</v>
      </c>
      <c r="DJ34" s="95">
        <f t="shared" si="59"/>
        <v>-0.17360501078987015</v>
      </c>
      <c r="DK34" s="96" t="e">
        <f>#REF!</f>
        <v>#REF!</v>
      </c>
      <c r="DL34" s="95">
        <f t="shared" si="60"/>
        <v>0.46885505264028188</v>
      </c>
      <c r="DM34" s="96">
        <f t="shared" si="15"/>
        <v>0</v>
      </c>
      <c r="DN34" s="94">
        <f t="shared" si="16"/>
        <v>2.6898734063923557</v>
      </c>
      <c r="DO34" s="100">
        <v>3.4</v>
      </c>
      <c r="DP34" s="94">
        <f>IF($O34&lt;&gt;0,IF($O34&lt;&gt;0,BL34/$O34*10,0)," ")</f>
        <v>2.9851234482427675</v>
      </c>
      <c r="DQ34" s="94">
        <f t="shared" si="74"/>
        <v>3.400956514549502</v>
      </c>
      <c r="DR34" s="101" t="str">
        <f t="shared" si="17"/>
        <v>3,315, hL/NhL</v>
      </c>
      <c r="DT34" s="134">
        <v>29</v>
      </c>
      <c r="DU34" s="135">
        <v>625402</v>
      </c>
      <c r="DV34" s="135">
        <v>26834</v>
      </c>
      <c r="DW34" s="136">
        <v>5131033</v>
      </c>
      <c r="DX34" s="135">
        <v>117268</v>
      </c>
      <c r="DY34" s="135">
        <v>84845.1</v>
      </c>
      <c r="DZ34" s="135">
        <v>392963</v>
      </c>
      <c r="EA34" s="136">
        <v>231726</v>
      </c>
      <c r="EB34" s="136">
        <v>54128</v>
      </c>
      <c r="EC34" s="136">
        <v>405870</v>
      </c>
      <c r="ED34" s="136">
        <v>47063.3</v>
      </c>
      <c r="EE34" s="136">
        <v>41892</v>
      </c>
      <c r="EF34" s="136">
        <v>38528.199999999997</v>
      </c>
      <c r="EG34" s="135">
        <v>92308.800000000003</v>
      </c>
      <c r="EH34" s="135">
        <v>181724</v>
      </c>
      <c r="EI34" s="135">
        <v>31629</v>
      </c>
      <c r="EJ34" s="136">
        <v>40452</v>
      </c>
      <c r="EK34" s="136"/>
      <c r="EL34" s="135">
        <v>700075.7</v>
      </c>
      <c r="EM34" s="135">
        <v>4616</v>
      </c>
      <c r="EN34" s="136">
        <v>44017</v>
      </c>
      <c r="EO34" s="135">
        <v>3008031.8</v>
      </c>
      <c r="EP34" s="136">
        <v>2783308</v>
      </c>
      <c r="EQ34" s="136">
        <v>0</v>
      </c>
      <c r="ER34" s="136">
        <v>1302</v>
      </c>
      <c r="ES34" s="136">
        <v>356409</v>
      </c>
      <c r="ET34" s="136">
        <v>137146</v>
      </c>
      <c r="EU34" s="136">
        <v>422608</v>
      </c>
      <c r="EV34" s="136">
        <v>137510</v>
      </c>
      <c r="EW34" s="136">
        <v>108158</v>
      </c>
      <c r="EX34" s="135">
        <v>208635.4</v>
      </c>
      <c r="EY34" s="135">
        <v>1642794.1</v>
      </c>
      <c r="EZ34" s="140">
        <v>776992.2</v>
      </c>
      <c r="FA34" s="140">
        <v>745800</v>
      </c>
      <c r="FB34" s="145">
        <v>30431</v>
      </c>
      <c r="FC34" s="140">
        <v>6441</v>
      </c>
      <c r="FD34" s="104">
        <f>SUM(FE34:FM34)</f>
        <v>4887</v>
      </c>
      <c r="FE34" s="105">
        <f t="shared" si="85"/>
        <v>0</v>
      </c>
      <c r="FF34" s="105">
        <f t="shared" si="85"/>
        <v>958</v>
      </c>
      <c r="FG34" s="105">
        <f t="shared" si="85"/>
        <v>782</v>
      </c>
      <c r="FH34" s="105">
        <f t="shared" si="85"/>
        <v>1901</v>
      </c>
      <c r="FI34" s="105">
        <f t="shared" si="85"/>
        <v>470</v>
      </c>
      <c r="FJ34" s="105">
        <f t="shared" si="85"/>
        <v>0</v>
      </c>
      <c r="FK34" s="105">
        <v>0</v>
      </c>
      <c r="FL34" s="105">
        <f t="shared" si="85"/>
        <v>776</v>
      </c>
      <c r="FM34" s="105">
        <v>0</v>
      </c>
      <c r="FN34" s="124">
        <v>1200</v>
      </c>
      <c r="FO34" s="77">
        <f>FO33+1200</f>
        <v>1049111</v>
      </c>
      <c r="FP34" s="189"/>
      <c r="FY34" s="119">
        <v>29</v>
      </c>
      <c r="FZ34" s="190"/>
      <c r="GA34" s="191"/>
      <c r="GB34" s="107"/>
      <c r="GC34" s="109"/>
      <c r="GD34" s="110"/>
      <c r="GE34" s="110"/>
      <c r="GF34" s="111"/>
      <c r="GG34" s="111"/>
      <c r="GH34" s="111"/>
      <c r="GI34" s="112"/>
      <c r="GJ34" s="111" t="e">
        <f t="shared" si="61"/>
        <v>#DIV/0!</v>
      </c>
      <c r="GK34" s="113"/>
    </row>
    <row r="35" spans="1:193" s="119" customFormat="1" ht="15" customHeight="1">
      <c r="B35" s="354">
        <f t="shared" si="62"/>
        <v>42916</v>
      </c>
      <c r="D35" s="86">
        <v>5052</v>
      </c>
      <c r="E35" s="86">
        <v>6346.32</v>
      </c>
      <c r="F35" s="86">
        <v>3599.712</v>
      </c>
      <c r="G35" s="86">
        <v>6861.8379999999997</v>
      </c>
      <c r="H35" s="86">
        <v>8626.4979999999996</v>
      </c>
      <c r="I35" s="86">
        <v>1981.2439999999999</v>
      </c>
      <c r="J35" s="86">
        <v>10248</v>
      </c>
      <c r="K35" s="284"/>
      <c r="L35" s="284"/>
      <c r="M35" s="115">
        <f t="shared" si="19"/>
        <v>12229.244000000001</v>
      </c>
      <c r="N35" s="88">
        <f t="shared" si="1"/>
        <v>30486.367999999999</v>
      </c>
      <c r="O35" s="88">
        <f t="shared" si="20"/>
        <v>36600.99</v>
      </c>
      <c r="P35" s="89">
        <f t="shared" si="21"/>
        <v>591663.95299999998</v>
      </c>
      <c r="R35" s="170">
        <f t="shared" si="22"/>
        <v>53.800000000046566</v>
      </c>
      <c r="S35" s="170">
        <f t="shared" si="23"/>
        <v>50.920000000006986</v>
      </c>
      <c r="T35" s="170">
        <f t="shared" si="2"/>
        <v>621.5</v>
      </c>
      <c r="U35" s="91">
        <f t="shared" si="76"/>
        <v>9.0000000000145519E-2</v>
      </c>
      <c r="V35" s="170">
        <f t="shared" si="24"/>
        <v>1580.8000000002794</v>
      </c>
      <c r="W35" s="91">
        <f t="shared" si="3"/>
        <v>140</v>
      </c>
      <c r="X35" s="170">
        <f t="shared" si="25"/>
        <v>1580.8000000002794</v>
      </c>
      <c r="Y35" s="170" t="str">
        <f t="shared" si="26"/>
        <v>0</v>
      </c>
      <c r="Z35" s="170">
        <f t="shared" si="4"/>
        <v>185.9</v>
      </c>
      <c r="AA35" s="170">
        <f t="shared" si="27"/>
        <v>2307.110000000333</v>
      </c>
      <c r="AB35" s="170">
        <f t="shared" si="28"/>
        <v>143</v>
      </c>
      <c r="AC35" s="170">
        <f t="shared" si="28"/>
        <v>95</v>
      </c>
      <c r="AD35" s="170">
        <f t="shared" si="29"/>
        <v>449</v>
      </c>
      <c r="AE35" s="170">
        <f t="shared" si="30"/>
        <v>211</v>
      </c>
      <c r="AF35" s="170">
        <f t="shared" si="31"/>
        <v>120</v>
      </c>
      <c r="AG35" s="170">
        <f t="shared" si="31"/>
        <v>15.799999999988358</v>
      </c>
      <c r="AH35" s="170">
        <f t="shared" si="32"/>
        <v>206</v>
      </c>
      <c r="AI35" s="170">
        <f t="shared" si="33"/>
        <v>70.200000000011642</v>
      </c>
      <c r="AJ35" s="170">
        <f t="shared" si="34"/>
        <v>138</v>
      </c>
      <c r="AK35" s="170">
        <f t="shared" si="34"/>
        <v>9</v>
      </c>
      <c r="AL35" s="170">
        <f t="shared" si="35"/>
        <v>229</v>
      </c>
      <c r="AM35" s="170">
        <f t="shared" si="36"/>
        <v>82</v>
      </c>
      <c r="AN35" s="170">
        <f t="shared" si="37"/>
        <v>28.5</v>
      </c>
      <c r="AO35" s="170">
        <f t="shared" si="5"/>
        <v>91.200000000004366</v>
      </c>
      <c r="AP35" s="170">
        <f t="shared" si="38"/>
        <v>21.5</v>
      </c>
      <c r="AQ35" s="170">
        <f t="shared" si="6"/>
        <v>53.5</v>
      </c>
      <c r="AR35" s="170">
        <f t="shared" si="39"/>
        <v>75.388000000000005</v>
      </c>
      <c r="AS35" s="170">
        <f t="shared" si="40"/>
        <v>65.388000000000034</v>
      </c>
      <c r="AT35" s="170">
        <f t="shared" si="41"/>
        <v>1007.388</v>
      </c>
      <c r="AU35" s="170">
        <f t="shared" si="63"/>
        <v>243</v>
      </c>
      <c r="AV35" s="170">
        <f t="shared" si="64"/>
        <v>20</v>
      </c>
      <c r="AW35" s="170">
        <f t="shared" si="65"/>
        <v>699</v>
      </c>
      <c r="AX35" s="170">
        <f t="shared" si="66"/>
        <v>4</v>
      </c>
      <c r="AY35" s="170" t="str">
        <f t="shared" si="66"/>
        <v/>
      </c>
      <c r="AZ35" s="170">
        <f t="shared" si="42"/>
        <v>306</v>
      </c>
      <c r="BA35" s="170">
        <v>88.4</v>
      </c>
      <c r="BB35" s="170">
        <f t="shared" si="43"/>
        <v>81.5</v>
      </c>
      <c r="BC35" s="170">
        <f t="shared" si="43"/>
        <v>0</v>
      </c>
      <c r="BD35" s="91">
        <f t="shared" si="44"/>
        <v>283</v>
      </c>
      <c r="BE35" s="90"/>
      <c r="BF35" s="90"/>
      <c r="BG35" s="90">
        <f t="shared" si="7"/>
        <v>387.5</v>
      </c>
      <c r="BH35" s="90">
        <f t="shared" si="45"/>
        <v>-1096.3000000000002</v>
      </c>
      <c r="BI35" s="90">
        <f t="shared" si="8"/>
        <v>1291.3019999996623</v>
      </c>
      <c r="BJ35" s="90">
        <f t="shared" si="46"/>
        <v>4754.6980000003377</v>
      </c>
      <c r="BK35" s="92"/>
      <c r="BL35" s="331">
        <f>FD35+FN35-38.3</f>
        <v>4949.7</v>
      </c>
      <c r="BM35" s="93">
        <f t="shared" si="47"/>
        <v>193724.19999999992</v>
      </c>
      <c r="BN35" s="92"/>
      <c r="BO35" s="94">
        <f t="shared" si="48"/>
        <v>1.7647231706986732E-2</v>
      </c>
      <c r="BP35" s="94">
        <f t="shared" si="48"/>
        <v>1.6702547184370073E-2</v>
      </c>
      <c r="BQ35" s="94">
        <f t="shared" si="49"/>
        <v>0.20386160791603644</v>
      </c>
      <c r="BR35" s="94">
        <f t="shared" si="68"/>
        <v>0.51852683796255417</v>
      </c>
      <c r="BS35" s="94">
        <f t="shared" si="78"/>
        <v>0</v>
      </c>
      <c r="BT35" s="94">
        <f t="shared" si="78"/>
        <v>6.0978073872230379E-2</v>
      </c>
      <c r="BU35" s="95">
        <f t="shared" si="78"/>
        <v>0.75676774616127873</v>
      </c>
      <c r="BV35" s="94">
        <f t="shared" si="10"/>
        <v>1.469905595451013E-2</v>
      </c>
      <c r="BW35" s="94">
        <f t="shared" si="10"/>
        <v>1.3912191992622874E-2</v>
      </c>
      <c r="BX35" s="94">
        <f t="shared" si="10"/>
        <v>0.16980415010632227</v>
      </c>
      <c r="BY35" s="94">
        <f t="shared" si="50"/>
        <v>0.43190088574114516</v>
      </c>
      <c r="BZ35" s="95">
        <f t="shared" si="11"/>
        <v>0.63034087329340904</v>
      </c>
      <c r="CA35" s="96" t="e">
        <f>#REF!</f>
        <v>#REF!</v>
      </c>
      <c r="CB35" s="94">
        <f t="shared" si="51"/>
        <v>2.0597257068729564E-2</v>
      </c>
      <c r="CC35" s="95">
        <f t="shared" si="51"/>
        <v>1.7865090534436374E-2</v>
      </c>
      <c r="CD35" s="97">
        <f t="shared" si="12"/>
        <v>6.1645674908440792E-2</v>
      </c>
      <c r="CE35" s="98">
        <f t="shared" si="12"/>
        <v>5.3468554556602217E-2</v>
      </c>
      <c r="CF35" s="97">
        <f t="shared" si="52"/>
        <v>0.28305621536025333</v>
      </c>
      <c r="CG35" s="94">
        <f t="shared" si="52"/>
        <v>0.1880443388756928</v>
      </c>
      <c r="CH35" s="95">
        <f t="shared" si="53"/>
        <v>0.88875692794932692</v>
      </c>
      <c r="CI35" s="96" t="e">
        <f>#REF!</f>
        <v>#REF!</v>
      </c>
      <c r="CJ35" s="94">
        <f t="shared" si="54"/>
        <v>0.18908595847672352</v>
      </c>
      <c r="CK35" s="94">
        <f t="shared" si="54"/>
        <v>2.4896317866083588E-2</v>
      </c>
      <c r="CL35" s="95">
        <f t="shared" si="69"/>
        <v>0.32459756205170875</v>
      </c>
      <c r="CM35" s="95" t="e">
        <f>#REF!</f>
        <v>#REF!</v>
      </c>
      <c r="CN35" s="94">
        <f t="shared" si="55"/>
        <v>0.38336400245352958</v>
      </c>
      <c r="CO35" s="94">
        <f t="shared" si="55"/>
        <v>2.5002000160012798E-2</v>
      </c>
      <c r="CP35" s="95">
        <f t="shared" si="56"/>
        <v>0.63616200407143675</v>
      </c>
      <c r="CQ35" s="95" t="e">
        <f>#REF!</f>
        <v>#REF!</v>
      </c>
      <c r="CR35" s="97">
        <f t="shared" si="70"/>
        <v>4.1534061282122947E-2</v>
      </c>
      <c r="CS35" s="95">
        <f t="shared" si="70"/>
        <v>0.13290899610279983</v>
      </c>
      <c r="CT35" s="96" t="e">
        <f>#REF!</f>
        <v>#REF!</v>
      </c>
      <c r="CU35" s="97">
        <f t="shared" si="71"/>
        <v>2.4923207540301986E-2</v>
      </c>
      <c r="CV35" s="95">
        <f t="shared" si="57"/>
        <v>6.2018214111914244E-2</v>
      </c>
      <c r="CW35" s="96" t="e">
        <f>#REF!</f>
        <v>#REF!</v>
      </c>
      <c r="CX35" s="99">
        <f t="shared" si="80"/>
        <v>6.6391646783324709E-2</v>
      </c>
      <c r="CY35" s="95">
        <f t="shared" si="81"/>
        <v>5.464333068586397E-3</v>
      </c>
      <c r="CZ35" s="99">
        <f t="shared" si="82"/>
        <v>0.19097844074709458</v>
      </c>
      <c r="DA35" s="95">
        <f t="shared" si="83"/>
        <v>1.0928666137172793E-3</v>
      </c>
      <c r="DB35" s="94">
        <f t="shared" si="13"/>
        <v>8.3604295949371868E-2</v>
      </c>
      <c r="DC35" s="94">
        <f t="shared" si="14"/>
        <v>2.2267157254489568E-2</v>
      </c>
      <c r="DD35" s="94">
        <f t="shared" si="14"/>
        <v>0</v>
      </c>
      <c r="DE35" s="94">
        <f t="shared" si="14"/>
        <v>7.7320312920497514E-2</v>
      </c>
      <c r="DF35" s="94">
        <f t="shared" si="14"/>
        <v>0</v>
      </c>
      <c r="DG35" s="94">
        <f t="shared" si="14"/>
        <v>0</v>
      </c>
      <c r="DH35" s="95">
        <f t="shared" si="14"/>
        <v>0.10587145320386143</v>
      </c>
      <c r="DI35" s="96" t="e">
        <f>#REF!</f>
        <v>#REF!</v>
      </c>
      <c r="DJ35" s="95">
        <f t="shared" si="59"/>
        <v>-0.29952741715456338</v>
      </c>
      <c r="DK35" s="96" t="e">
        <f>#REF!</f>
        <v>#REF!</v>
      </c>
      <c r="DL35" s="95">
        <f t="shared" si="60"/>
        <v>0.35280521100649526</v>
      </c>
      <c r="DM35" s="96">
        <f t="shared" si="15"/>
        <v>0</v>
      </c>
      <c r="DN35" s="94">
        <f t="shared" si="16"/>
        <v>1.2990626756271721</v>
      </c>
      <c r="DO35" s="100">
        <v>3.4</v>
      </c>
      <c r="DP35" s="94">
        <f>IF($O35&lt;&gt;0,IF($O35&lt;&gt;0,BL35/$O35*10,0)," ")</f>
        <v>1.3523404694791044</v>
      </c>
      <c r="DQ35" s="94">
        <f>IF($P35&lt;&gt;0,IF($P35&lt;&gt;0,BM35/$P35*10,0)," ")</f>
        <v>3.2742268481581793</v>
      </c>
      <c r="DR35" s="101" t="str">
        <f t="shared" si="17"/>
        <v>3,315, hL/NhL</v>
      </c>
      <c r="DS35" s="173"/>
      <c r="DT35" s="134">
        <v>30</v>
      </c>
      <c r="DU35" s="76">
        <v>625545</v>
      </c>
      <c r="DV35" s="76">
        <v>26929</v>
      </c>
      <c r="DW35" s="76">
        <v>5131482</v>
      </c>
      <c r="DX35" s="76">
        <v>117388</v>
      </c>
      <c r="DY35" s="76">
        <v>84860.9</v>
      </c>
      <c r="DZ35" s="76">
        <v>393169</v>
      </c>
      <c r="EA35" s="77">
        <v>231864</v>
      </c>
      <c r="EB35" s="77">
        <v>54137</v>
      </c>
      <c r="EC35" s="77">
        <v>406099</v>
      </c>
      <c r="ED35" s="76">
        <v>47091.8</v>
      </c>
      <c r="EE35" s="77">
        <v>41948.1</v>
      </c>
      <c r="EF35" s="77">
        <v>38563.300000000003</v>
      </c>
      <c r="EG35" s="76">
        <v>92330.3</v>
      </c>
      <c r="EH35" s="76">
        <v>181777.5</v>
      </c>
      <c r="EI35" s="76">
        <v>31649</v>
      </c>
      <c r="EJ35" s="77">
        <v>40456</v>
      </c>
      <c r="EK35" s="77"/>
      <c r="EL35" s="76">
        <v>700129.5</v>
      </c>
      <c r="EM35" s="76">
        <v>6215</v>
      </c>
      <c r="EN35" s="77">
        <v>44017.9</v>
      </c>
      <c r="EO35" s="76">
        <v>3009612.6</v>
      </c>
      <c r="EP35" s="77">
        <v>2784708</v>
      </c>
      <c r="EQ35" s="77">
        <v>0</v>
      </c>
      <c r="ER35" s="77">
        <v>1859</v>
      </c>
      <c r="ES35" s="77">
        <v>357341</v>
      </c>
      <c r="ET35" s="77">
        <v>212534</v>
      </c>
      <c r="EU35" s="77">
        <v>423307</v>
      </c>
      <c r="EV35" s="77">
        <v>137753</v>
      </c>
      <c r="EW35" s="77">
        <v>108464</v>
      </c>
      <c r="EX35" s="76">
        <v>208716.9</v>
      </c>
      <c r="EY35" s="76">
        <v>1642794.1</v>
      </c>
      <c r="EZ35" s="149">
        <v>777501.4</v>
      </c>
      <c r="FA35" s="149">
        <v>746083</v>
      </c>
      <c r="FB35" s="151">
        <v>30528</v>
      </c>
      <c r="FC35" s="149">
        <v>6046</v>
      </c>
      <c r="FD35" s="104">
        <f>SUM(FE35:FM35)</f>
        <v>3788</v>
      </c>
      <c r="FE35" s="105">
        <f t="shared" si="85"/>
        <v>0</v>
      </c>
      <c r="FF35" s="105">
        <f t="shared" si="85"/>
        <v>65</v>
      </c>
      <c r="FG35" s="105">
        <f t="shared" si="85"/>
        <v>386</v>
      </c>
      <c r="FH35" s="105">
        <f t="shared" si="85"/>
        <v>1024</v>
      </c>
      <c r="FI35" s="105">
        <f t="shared" si="85"/>
        <v>55</v>
      </c>
      <c r="FJ35" s="105">
        <f t="shared" si="85"/>
        <v>0</v>
      </c>
      <c r="FK35" s="121">
        <v>1173</v>
      </c>
      <c r="FL35" s="105">
        <f t="shared" si="85"/>
        <v>896</v>
      </c>
      <c r="FM35" s="105">
        <f t="shared" si="85"/>
        <v>189</v>
      </c>
      <c r="FN35" s="124">
        <v>1200</v>
      </c>
      <c r="FO35" s="77">
        <f>FO34+FN35</f>
        <v>1050311</v>
      </c>
      <c r="FP35" s="189"/>
      <c r="FY35" s="119">
        <v>30</v>
      </c>
      <c r="FZ35" s="190"/>
      <c r="GA35" s="192"/>
      <c r="GB35" s="190"/>
      <c r="GC35" s="109"/>
      <c r="GD35" s="110"/>
      <c r="GE35" s="110"/>
      <c r="GF35" s="111"/>
      <c r="GG35" s="111"/>
      <c r="GH35" s="111"/>
      <c r="GI35" s="112"/>
      <c r="GJ35" s="111" t="e">
        <f t="shared" si="61"/>
        <v>#DIV/0!</v>
      </c>
      <c r="GK35" s="113"/>
    </row>
    <row r="36" spans="1:193" s="119" customFormat="1" ht="15" customHeight="1">
      <c r="B36" s="354">
        <f t="shared" si="62"/>
        <v>42917</v>
      </c>
      <c r="D36" s="85"/>
      <c r="E36" s="85"/>
      <c r="F36" s="85"/>
      <c r="G36" s="85"/>
      <c r="H36" s="85"/>
      <c r="I36" s="85"/>
      <c r="J36" s="85"/>
      <c r="K36" s="167"/>
      <c r="L36" s="167"/>
      <c r="M36" s="115">
        <f t="shared" si="19"/>
        <v>0</v>
      </c>
      <c r="N36" s="88">
        <f t="shared" si="1"/>
        <v>0</v>
      </c>
      <c r="O36" s="88">
        <f t="shared" si="20"/>
        <v>0</v>
      </c>
      <c r="P36" s="89">
        <f t="shared" si="21"/>
        <v>591663.95299999998</v>
      </c>
      <c r="R36" s="170" t="str">
        <f t="shared" si="22"/>
        <v/>
      </c>
      <c r="S36" s="170" t="str">
        <f t="shared" si="23"/>
        <v/>
      </c>
      <c r="T36" s="170" t="str">
        <f t="shared" si="2"/>
        <v/>
      </c>
      <c r="U36" s="91" t="str">
        <f>IF(FB36=0,"",((EN36-EN35)/10))</f>
        <v/>
      </c>
      <c r="V36" s="170" t="str">
        <f t="shared" si="24"/>
        <v/>
      </c>
      <c r="W36" s="91" t="str">
        <f t="shared" si="3"/>
        <v/>
      </c>
      <c r="X36" s="90" t="str">
        <f t="shared" si="25"/>
        <v/>
      </c>
      <c r="Y36" s="90" t="str">
        <f t="shared" si="26"/>
        <v>0</v>
      </c>
      <c r="Z36" s="90" t="str">
        <f t="shared" si="4"/>
        <v/>
      </c>
      <c r="AA36" s="90" t="str">
        <f t="shared" si="27"/>
        <v/>
      </c>
      <c r="AB36" s="90" t="str">
        <f t="shared" si="28"/>
        <v/>
      </c>
      <c r="AC36" s="90" t="str">
        <f t="shared" si="28"/>
        <v/>
      </c>
      <c r="AD36" s="90">
        <f>(IF(SUM(AB36:AC36)&gt;=(DW36-DW35),(SUM(AB36:AC36)),(DW36-DW35)))</f>
        <v>0</v>
      </c>
      <c r="AE36" s="90" t="str">
        <f t="shared" si="30"/>
        <v/>
      </c>
      <c r="AF36" s="90" t="str">
        <f t="shared" si="31"/>
        <v/>
      </c>
      <c r="AG36" s="90" t="str">
        <f t="shared" si="31"/>
        <v/>
      </c>
      <c r="AH36" s="90">
        <f t="shared" si="32"/>
        <v>0</v>
      </c>
      <c r="AI36" s="90" t="str">
        <f t="shared" si="33"/>
        <v/>
      </c>
      <c r="AJ36" s="90" t="str">
        <f>IF(EA36=0,"",(EA36-EA35))</f>
        <v/>
      </c>
      <c r="AK36" s="90" t="str">
        <f>IF(EB36=0,"",(EB36-EB35))</f>
        <v/>
      </c>
      <c r="AL36" s="90">
        <f t="shared" si="35"/>
        <v>0</v>
      </c>
      <c r="AM36" s="90" t="str">
        <f t="shared" si="36"/>
        <v/>
      </c>
      <c r="AN36" s="90" t="str">
        <f t="shared" si="37"/>
        <v/>
      </c>
      <c r="AO36" s="90" t="str">
        <f t="shared" si="5"/>
        <v/>
      </c>
      <c r="AP36" s="90" t="str">
        <f t="shared" si="38"/>
        <v/>
      </c>
      <c r="AQ36" s="90" t="str">
        <f t="shared" si="6"/>
        <v/>
      </c>
      <c r="AR36" s="90" t="str">
        <f t="shared" si="39"/>
        <v/>
      </c>
      <c r="AS36" s="90" t="str">
        <f t="shared" si="40"/>
        <v/>
      </c>
      <c r="AT36" s="90" t="str">
        <f t="shared" si="41"/>
        <v/>
      </c>
      <c r="AU36" s="90" t="str">
        <f t="shared" si="63"/>
        <v/>
      </c>
      <c r="AV36" s="90" t="str">
        <f t="shared" si="64"/>
        <v/>
      </c>
      <c r="AW36" s="90" t="str">
        <f t="shared" si="65"/>
        <v/>
      </c>
      <c r="AX36" s="90" t="str">
        <f t="shared" si="66"/>
        <v/>
      </c>
      <c r="AY36" s="90" t="str">
        <f t="shared" si="66"/>
        <v/>
      </c>
      <c r="AZ36" s="90" t="str">
        <f t="shared" si="42"/>
        <v/>
      </c>
      <c r="BA36" s="90"/>
      <c r="BB36" s="90" t="str">
        <f t="shared" si="43"/>
        <v/>
      </c>
      <c r="BC36" s="90" t="str">
        <f t="shared" si="43"/>
        <v/>
      </c>
      <c r="BD36" s="91" t="str">
        <f t="shared" si="44"/>
        <v/>
      </c>
      <c r="BE36" s="90"/>
      <c r="BF36" s="90"/>
      <c r="BG36" s="90" t="str">
        <f t="shared" si="7"/>
        <v/>
      </c>
      <c r="BH36" s="90">
        <f t="shared" si="45"/>
        <v>0</v>
      </c>
      <c r="BI36" s="90" t="str">
        <f t="shared" si="8"/>
        <v/>
      </c>
      <c r="BJ36" s="90" t="str">
        <f t="shared" si="46"/>
        <v/>
      </c>
      <c r="BK36" s="92"/>
      <c r="BL36" s="331">
        <f t="shared" si="67"/>
        <v>0</v>
      </c>
      <c r="BM36" s="93">
        <f t="shared" si="47"/>
        <v>193724.19999999992</v>
      </c>
      <c r="BN36" s="92"/>
      <c r="BO36" s="94" t="str">
        <f>IF($N36&lt;&gt;0,IF($N36&lt;&gt;0,R36/$N36*10,0)," ")</f>
        <v xml:space="preserve"> </v>
      </c>
      <c r="BP36" s="94" t="str">
        <f>IF($N36&lt;&gt;0,IF($N36&lt;&gt;0,S36/$N36*10,0)," ")</f>
        <v xml:space="preserve"> </v>
      </c>
      <c r="BQ36" s="94" t="str">
        <f t="shared" si="49"/>
        <v xml:space="preserve"> </v>
      </c>
      <c r="BR36" s="94" t="str">
        <f t="shared" si="68"/>
        <v xml:space="preserve"> </v>
      </c>
      <c r="BS36" s="94" t="str">
        <f t="shared" si="78"/>
        <v xml:space="preserve"> </v>
      </c>
      <c r="BT36" s="94" t="str">
        <f t="shared" si="78"/>
        <v xml:space="preserve"> </v>
      </c>
      <c r="BU36" s="95" t="str">
        <f t="shared" si="78"/>
        <v xml:space="preserve"> </v>
      </c>
      <c r="BV36" s="94" t="str">
        <f>IF($O36&lt;&gt;0,IF($O36&lt;&gt;0,R36/$O36*10,0)," ")</f>
        <v xml:space="preserve"> </v>
      </c>
      <c r="BW36" s="94" t="str">
        <f>IF($O36&lt;&gt;0,IF($O36&lt;&gt;0,S36/$O36*10,0)," ")</f>
        <v xml:space="preserve"> </v>
      </c>
      <c r="BX36" s="94" t="str">
        <f>IF($O36&lt;&gt;0,IF($O36&lt;&gt;0,T36/$O36*10,0)," ")</f>
        <v xml:space="preserve"> </v>
      </c>
      <c r="BY36" s="94" t="str">
        <f t="shared" si="50"/>
        <v xml:space="preserve"> </v>
      </c>
      <c r="BZ36" s="95" t="str">
        <f t="shared" si="11"/>
        <v xml:space="preserve"> </v>
      </c>
      <c r="CA36" s="96" t="e">
        <f>#REF!</f>
        <v>#REF!</v>
      </c>
      <c r="CB36" s="94" t="str">
        <f t="shared" si="51"/>
        <v xml:space="preserve"> </v>
      </c>
      <c r="CC36" s="95" t="str">
        <f t="shared" si="51"/>
        <v xml:space="preserve"> </v>
      </c>
      <c r="CD36" s="97" t="str">
        <f>IFERROR(AR36*10/($I36+$J36),"")</f>
        <v/>
      </c>
      <c r="CE36" s="98" t="str">
        <f>IFERROR(AS36*10/($I36+$J36),"")</f>
        <v/>
      </c>
      <c r="CF36" s="97" t="str">
        <f t="shared" si="52"/>
        <v>0,00</v>
      </c>
      <c r="CG36" s="94" t="str">
        <f t="shared" si="52"/>
        <v>0,00</v>
      </c>
      <c r="CH36" s="95" t="str">
        <f t="shared" si="53"/>
        <v xml:space="preserve">0,00 </v>
      </c>
      <c r="CI36" s="96" t="e">
        <f>#REF!</f>
        <v>#REF!</v>
      </c>
      <c r="CJ36" s="94" t="str">
        <f t="shared" si="54"/>
        <v>0,00</v>
      </c>
      <c r="CK36" s="94" t="str">
        <f t="shared" si="54"/>
        <v>0,00</v>
      </c>
      <c r="CL36" s="95" t="str">
        <f t="shared" si="69"/>
        <v xml:space="preserve">0,00 </v>
      </c>
      <c r="CM36" s="95" t="e">
        <f>#REF!</f>
        <v>#REF!</v>
      </c>
      <c r="CN36" s="94" t="str">
        <f t="shared" si="55"/>
        <v>0,00</v>
      </c>
      <c r="CO36" s="94" t="str">
        <f t="shared" si="55"/>
        <v>0,00</v>
      </c>
      <c r="CP36" s="95" t="str">
        <f t="shared" si="56"/>
        <v xml:space="preserve">0,00 </v>
      </c>
      <c r="CQ36" s="95" t="e">
        <f>#REF!</f>
        <v>#REF!</v>
      </c>
      <c r="CR36" s="97" t="str">
        <f t="shared" si="70"/>
        <v xml:space="preserve">0,00 </v>
      </c>
      <c r="CS36" s="95" t="str">
        <f t="shared" si="70"/>
        <v xml:space="preserve">0,00 </v>
      </c>
      <c r="CT36" s="96" t="e">
        <f>#REF!</f>
        <v>#REF!</v>
      </c>
      <c r="CU36" s="97" t="str">
        <f t="shared" si="71"/>
        <v xml:space="preserve">0,00 </v>
      </c>
      <c r="CV36" s="95" t="str">
        <f t="shared" si="57"/>
        <v xml:space="preserve">0,00 </v>
      </c>
      <c r="CW36" s="96" t="e">
        <f>#REF!</f>
        <v>#REF!</v>
      </c>
      <c r="CX36" s="99" t="str">
        <f t="shared" si="80"/>
        <v xml:space="preserve"> </v>
      </c>
      <c r="CY36" s="95" t="str">
        <f t="shared" si="81"/>
        <v xml:space="preserve"> </v>
      </c>
      <c r="CZ36" s="99" t="str">
        <f t="shared" si="82"/>
        <v xml:space="preserve"> </v>
      </c>
      <c r="DA36" s="95" t="str">
        <f t="shared" si="83"/>
        <v xml:space="preserve"> </v>
      </c>
      <c r="DB36" s="94" t="str">
        <f t="shared" si="13"/>
        <v xml:space="preserve"> </v>
      </c>
      <c r="DC36" s="94" t="str">
        <f t="shared" ref="DC36:DH36" si="86">IF($O36&lt;&gt;0,IF($O36&lt;&gt;0,BB36/$O36*10,0)," ")</f>
        <v xml:space="preserve"> </v>
      </c>
      <c r="DD36" s="94" t="str">
        <f t="shared" si="86"/>
        <v xml:space="preserve"> </v>
      </c>
      <c r="DE36" s="94" t="str">
        <f t="shared" si="86"/>
        <v xml:space="preserve"> </v>
      </c>
      <c r="DF36" s="94" t="str">
        <f t="shared" si="86"/>
        <v xml:space="preserve"> </v>
      </c>
      <c r="DG36" s="94" t="str">
        <f t="shared" si="86"/>
        <v xml:space="preserve"> </v>
      </c>
      <c r="DH36" s="95" t="str">
        <f t="shared" si="86"/>
        <v xml:space="preserve"> </v>
      </c>
      <c r="DI36" s="96" t="e">
        <f>#REF!</f>
        <v>#REF!</v>
      </c>
      <c r="DJ36" s="95" t="str">
        <f t="shared" si="59"/>
        <v xml:space="preserve"> </v>
      </c>
      <c r="DK36" s="96" t="e">
        <f>#REF!</f>
        <v>#REF!</v>
      </c>
      <c r="DL36" s="95" t="str">
        <f t="shared" si="60"/>
        <v xml:space="preserve"> </v>
      </c>
      <c r="DM36" s="96">
        <f t="shared" si="15"/>
        <v>0</v>
      </c>
      <c r="DN36" s="94" t="str">
        <f t="shared" si="16"/>
        <v/>
      </c>
      <c r="DO36" s="100">
        <v>3.4</v>
      </c>
      <c r="DP36" s="94" t="str">
        <f>IF($O36&lt;&gt;0,IF($O36&lt;&gt;0,BL36/$O36*10,0)," ")</f>
        <v xml:space="preserve"> </v>
      </c>
      <c r="DQ36" s="94">
        <f>IF($P36&lt;&gt;0,IF($P36&lt;&gt;0,BM36/$P36*10,0)," ")</f>
        <v>3.2742268481581793</v>
      </c>
      <c r="DR36" s="101"/>
      <c r="DS36" s="173"/>
      <c r="DT36" s="134">
        <v>31</v>
      </c>
      <c r="DU36" s="76"/>
      <c r="DV36" s="76"/>
      <c r="DW36" s="76"/>
      <c r="DX36" s="76"/>
      <c r="DY36" s="76"/>
      <c r="DZ36" s="76"/>
      <c r="EA36" s="77"/>
      <c r="EB36" s="77"/>
      <c r="EC36" s="77"/>
      <c r="ED36" s="76"/>
      <c r="EE36" s="77"/>
      <c r="EF36" s="77"/>
      <c r="EG36" s="76"/>
      <c r="EH36" s="76"/>
      <c r="EI36" s="76"/>
      <c r="EJ36" s="77"/>
      <c r="EK36" s="77"/>
      <c r="EL36" s="76"/>
      <c r="EM36" s="76"/>
      <c r="EN36" s="77"/>
      <c r="EO36" s="76"/>
      <c r="EP36" s="77"/>
      <c r="EQ36" s="77"/>
      <c r="ER36" s="77"/>
      <c r="ES36" s="77"/>
      <c r="ET36" s="77"/>
      <c r="EU36" s="77"/>
      <c r="EV36" s="77"/>
      <c r="EW36" s="77"/>
      <c r="EX36" s="76"/>
      <c r="EY36" s="76"/>
      <c r="EZ36" s="76"/>
      <c r="FA36" s="76"/>
      <c r="FB36" s="77"/>
      <c r="FC36" s="76"/>
      <c r="FD36" s="104"/>
      <c r="FE36" s="105"/>
      <c r="FF36" s="79"/>
      <c r="FG36" s="79"/>
      <c r="FH36" s="77"/>
      <c r="FI36" s="79"/>
      <c r="FJ36" s="77"/>
      <c r="FK36" s="79"/>
      <c r="FL36" s="79"/>
      <c r="FM36" s="79"/>
      <c r="FN36" s="80">
        <f t="shared" si="75"/>
        <v>0</v>
      </c>
      <c r="FO36" s="77"/>
      <c r="FP36" s="189"/>
      <c r="FY36" s="119">
        <v>31</v>
      </c>
      <c r="FZ36" s="190"/>
      <c r="GA36" s="192"/>
      <c r="GB36" s="190"/>
      <c r="GC36" s="109"/>
      <c r="GD36" s="110"/>
      <c r="GE36" s="110"/>
      <c r="GF36" s="111"/>
      <c r="GG36" s="111"/>
      <c r="GH36" s="111"/>
      <c r="GI36" s="164"/>
      <c r="GJ36" s="111" t="e">
        <f t="shared" si="61"/>
        <v>#DIV/0!</v>
      </c>
    </row>
    <row r="37" spans="1:193" s="10" customFormat="1" ht="15" customHeight="1">
      <c r="A37" s="64" t="s">
        <v>127</v>
      </c>
      <c r="B37" s="193" t="s">
        <v>128</v>
      </c>
      <c r="C37" s="194"/>
      <c r="D37" s="195">
        <f>SUM(D6:D36)</f>
        <v>106190</v>
      </c>
      <c r="E37" s="196">
        <f t="shared" ref="E37:M37" si="87">SUM(E6:E36)</f>
        <v>80937.84</v>
      </c>
      <c r="F37" s="196">
        <f t="shared" si="87"/>
        <v>69400.512000000017</v>
      </c>
      <c r="G37" s="196">
        <f t="shared" si="87"/>
        <v>83540.955000000002</v>
      </c>
      <c r="H37" s="196">
        <f t="shared" si="87"/>
        <v>162683.05799999999</v>
      </c>
      <c r="I37" s="195">
        <f t="shared" si="87"/>
        <v>50933.398000000008</v>
      </c>
      <c r="J37" s="195">
        <f t="shared" si="87"/>
        <v>119266.72199999999</v>
      </c>
      <c r="K37" s="195">
        <f t="shared" si="87"/>
        <v>79.117999999999995</v>
      </c>
      <c r="L37" s="195">
        <f t="shared" si="87"/>
        <v>3811.5279999999993</v>
      </c>
      <c r="M37" s="197">
        <f t="shared" si="87"/>
        <v>170200.12</v>
      </c>
      <c r="N37" s="198">
        <f>SUM(N6:N36)</f>
        <v>502752.36499999999</v>
      </c>
      <c r="O37" s="199">
        <f>SUM(O6:O36)</f>
        <v>591663.95299999998</v>
      </c>
      <c r="P37" s="200">
        <f>P36</f>
        <v>591663.95299999998</v>
      </c>
      <c r="Q37" s="201">
        <f>SUM(Q6:Q33)</f>
        <v>0</v>
      </c>
      <c r="R37" s="196">
        <f>SUM(R6:R36)</f>
        <v>6186.5</v>
      </c>
      <c r="S37" s="196">
        <f t="shared" ref="S37:Z37" si="88">SUM(S6:S36)</f>
        <v>2000.4400000000021</v>
      </c>
      <c r="T37" s="196">
        <f t="shared" si="88"/>
        <v>15019.8</v>
      </c>
      <c r="U37" s="202">
        <f t="shared" si="88"/>
        <v>120.59000000000013</v>
      </c>
      <c r="V37" s="196">
        <f t="shared" si="88"/>
        <v>40315.600000000093</v>
      </c>
      <c r="W37" s="202">
        <f t="shared" si="88"/>
        <v>3593.2</v>
      </c>
      <c r="X37" s="196">
        <f t="shared" si="88"/>
        <v>40315.600000000093</v>
      </c>
      <c r="Y37" s="196">
        <f t="shared" si="88"/>
        <v>439.50000000000006</v>
      </c>
      <c r="Z37" s="196">
        <f t="shared" si="88"/>
        <v>4309.6000000000004</v>
      </c>
      <c r="AA37" s="203">
        <f>SUM(R37:V37)</f>
        <v>63642.930000000095</v>
      </c>
      <c r="AB37" s="196">
        <f t="shared" ref="AB37:AZ37" si="89">SUM(AB6:AB36)</f>
        <v>4355</v>
      </c>
      <c r="AC37" s="196">
        <f t="shared" si="89"/>
        <v>1320</v>
      </c>
      <c r="AD37" s="203">
        <f t="shared" si="89"/>
        <v>10637</v>
      </c>
      <c r="AE37" s="203">
        <f>SUM(AE6:AE36)</f>
        <v>4962</v>
      </c>
      <c r="AF37" s="196">
        <f>SUM(AF6:AF36)</f>
        <v>2993</v>
      </c>
      <c r="AG37" s="196">
        <f>SUM(AG6:AG36)</f>
        <v>1042.8999999999942</v>
      </c>
      <c r="AH37" s="203">
        <f t="shared" si="89"/>
        <v>6444.3999999999942</v>
      </c>
      <c r="AI37" s="203">
        <f t="shared" si="89"/>
        <v>2408.5</v>
      </c>
      <c r="AJ37" s="196">
        <f t="shared" si="89"/>
        <v>4543</v>
      </c>
      <c r="AK37" s="196">
        <f t="shared" si="89"/>
        <v>1206</v>
      </c>
      <c r="AL37" s="203">
        <f t="shared" si="89"/>
        <v>8238</v>
      </c>
      <c r="AM37" s="203">
        <f t="shared" si="89"/>
        <v>2489</v>
      </c>
      <c r="AN37" s="196">
        <f t="shared" si="89"/>
        <v>621.80000000000291</v>
      </c>
      <c r="AO37" s="203">
        <f t="shared" si="89"/>
        <v>1507.4000000000015</v>
      </c>
      <c r="AP37" s="196">
        <f>SUM(AP6:AP36)</f>
        <v>1074.3000000000029</v>
      </c>
      <c r="AQ37" s="203">
        <f t="shared" si="89"/>
        <v>1954.5</v>
      </c>
      <c r="AR37" s="196">
        <f t="shared" si="89"/>
        <v>2193.415</v>
      </c>
      <c r="AS37" s="203">
        <f t="shared" si="89"/>
        <v>2558.4150000000004</v>
      </c>
      <c r="AT37" s="203">
        <f t="shared" si="89"/>
        <v>20672.415000000001</v>
      </c>
      <c r="AU37" s="204">
        <f t="shared" si="89"/>
        <v>7319</v>
      </c>
      <c r="AV37" s="203">
        <f t="shared" si="89"/>
        <v>712</v>
      </c>
      <c r="AW37" s="365">
        <f>SUM(AW6:AW36)</f>
        <v>10795</v>
      </c>
      <c r="AX37" s="203">
        <f t="shared" si="89"/>
        <v>530</v>
      </c>
      <c r="AY37" s="203">
        <f t="shared" si="89"/>
        <v>0</v>
      </c>
      <c r="AZ37" s="196">
        <f t="shared" si="89"/>
        <v>9144</v>
      </c>
      <c r="BA37" s="196">
        <f>SUM(BA6:BA36)</f>
        <v>1980.4</v>
      </c>
      <c r="BB37" s="196">
        <f>SUM(BB6:BB35)</f>
        <v>3038.8999999999942</v>
      </c>
      <c r="BC37" s="196">
        <f t="shared" ref="BC37:BJ37" si="90">SUM(BC6:BC36)</f>
        <v>22994.100000000093</v>
      </c>
      <c r="BD37" s="202">
        <f t="shared" si="90"/>
        <v>5726</v>
      </c>
      <c r="BE37" s="196">
        <f t="shared" si="90"/>
        <v>0</v>
      </c>
      <c r="BF37" s="196">
        <f t="shared" si="90"/>
        <v>0</v>
      </c>
      <c r="BG37" s="203">
        <f t="shared" si="90"/>
        <v>35177.000000000087</v>
      </c>
      <c r="BH37" s="203">
        <f t="shared" si="90"/>
        <v>9074.1999999999171</v>
      </c>
      <c r="BI37" s="196">
        <f t="shared" si="90"/>
        <v>35134.354999999821</v>
      </c>
      <c r="BJ37" s="196">
        <f t="shared" si="90"/>
        <v>149515.64500000016</v>
      </c>
      <c r="BK37" s="205"/>
      <c r="BL37" s="483">
        <f>SUM(BL6:BL36)</f>
        <v>193724.19999999992</v>
      </c>
      <c r="BM37" s="196">
        <f>BM36</f>
        <v>193724.19999999992</v>
      </c>
      <c r="BN37" s="205"/>
      <c r="BO37" s="94">
        <f>IF($N37&lt;&gt;0,IF($N37&lt;&gt;0,R37/$N37*10,0)," ")</f>
        <v>0.12305262850429356</v>
      </c>
      <c r="BP37" s="206">
        <f>S37/$N$37/0.1</f>
        <v>3.9789768070012006E-2</v>
      </c>
      <c r="BQ37" s="94">
        <f>IF($N37&lt;&gt;0,IF($N37&lt;&gt;0,T37/$N37*10,0)," ")</f>
        <v>0.29875145390912283</v>
      </c>
      <c r="BR37" s="94">
        <f>IF($N37&lt;&gt;0,IF($N37&lt;&gt;0,(V37)/$N37*10,0)," ")</f>
        <v>0.80189776929244461</v>
      </c>
      <c r="BS37" s="206">
        <f>IF($N37&lt;&gt;0,IF($N37&lt;&gt;0,Y37/$N37*10,0)," ")</f>
        <v>8.741878320154696E-3</v>
      </c>
      <c r="BT37" s="206">
        <f>IF($N37&lt;&gt;0,IF($N37&lt;&gt;0,Z37/$N37*10,0)," ")</f>
        <v>8.5720133807824075E-2</v>
      </c>
      <c r="BU37" s="207">
        <f>IF($N37&lt;&gt;0,IF($N37&lt;&gt;0,AA37/$N37*10,0)," ")</f>
        <v>1.2658902161504519</v>
      </c>
      <c r="BV37" s="206">
        <f>R37/$O$37/0.1</f>
        <v>0.10456104294729612</v>
      </c>
      <c r="BW37" s="206">
        <f>S37/$O$37/0.1</f>
        <v>3.3810408591851498E-2</v>
      </c>
      <c r="BX37" s="206">
        <f>(T37+U37)/$O$37/0.1</f>
        <v>0.2558950891503779</v>
      </c>
      <c r="BY37" s="206">
        <f>(V37)/$O$37/0.1</f>
        <v>0.68139354773232386</v>
      </c>
      <c r="BZ37" s="198">
        <f>AA37/$O$37/0.1</f>
        <v>1.0756600884218492</v>
      </c>
      <c r="CA37" s="208" t="e">
        <f>#REF!</f>
        <v>#REF!</v>
      </c>
      <c r="CB37" s="209">
        <f>IF($O37&lt;&gt;0,IF($O37&lt;&gt;0,AR37/$O37*10,0)," ")</f>
        <v>3.707197284672166E-2</v>
      </c>
      <c r="CC37" s="210">
        <f>IF($O37&lt;&gt;0,IF($O37&lt;&gt;0,AS37/$O37*10,0)," ")</f>
        <v>4.3241015225411246E-2</v>
      </c>
      <c r="CD37" s="211">
        <f>IFERROR(AR37*10/($I37+$J37),"")</f>
        <v>0.12887270584768096</v>
      </c>
      <c r="CE37" s="212">
        <f>IFERROR(AS37*10/(($I37+$J37)),"")</f>
        <v>0.15031804912946012</v>
      </c>
      <c r="CF37" s="206">
        <f>AB37/$D$37/0.1</f>
        <v>0.41011394669931256</v>
      </c>
      <c r="CG37" s="206">
        <f>AC37/$D$37/0.1</f>
        <v>0.12430549015914868</v>
      </c>
      <c r="CH37" s="198">
        <f>AD37/$D$37/0.1</f>
        <v>1.0016950748658064</v>
      </c>
      <c r="CI37" s="208" t="e">
        <f>#REF!</f>
        <v>#REF!</v>
      </c>
      <c r="CJ37" s="206">
        <f>AF37/$E$37/0.1</f>
        <v>0.36978995238815371</v>
      </c>
      <c r="CK37" s="206">
        <f>AG37/$E$37/0.1</f>
        <v>0.12885196837474217</v>
      </c>
      <c r="CL37" s="198">
        <f>AH37/$E$37/0.1</f>
        <v>0.79621596029743247</v>
      </c>
      <c r="CM37" s="95" t="e">
        <f>#REF!</f>
        <v>#REF!</v>
      </c>
      <c r="CN37" s="206">
        <f>AJ37/$F$37/0.1</f>
        <v>0.65460612163783438</v>
      </c>
      <c r="CO37" s="206">
        <f>AK37/$F$37/0.1</f>
        <v>0.1737739341173736</v>
      </c>
      <c r="CP37" s="198">
        <f>AL37/$F$37/0.1</f>
        <v>1.1870229430007659</v>
      </c>
      <c r="CQ37" s="213" t="e">
        <f>#REF!</f>
        <v>#REF!</v>
      </c>
      <c r="CR37" s="214">
        <f>AN37/$G$37/0.1</f>
        <v>7.4430559238879049E-2</v>
      </c>
      <c r="CS37" s="198">
        <f>AO37/$G$37/0.1</f>
        <v>0.18043844483223842</v>
      </c>
      <c r="CT37" s="208" t="e">
        <f>#REF!</f>
        <v>#REF!</v>
      </c>
      <c r="CU37" s="214">
        <f>AP37/$H$37/0.1</f>
        <v>6.603637853918401E-2</v>
      </c>
      <c r="CV37" s="198">
        <f>AQ37/$H$37/0.1</f>
        <v>0.12014158229064024</v>
      </c>
      <c r="CW37" s="96" t="e">
        <f>#REF!</f>
        <v>#REF!</v>
      </c>
      <c r="CX37" s="99">
        <f t="shared" si="80"/>
        <v>0.12370197580720285</v>
      </c>
      <c r="CY37" s="95">
        <f t="shared" si="81"/>
        <v>1.2033858009936935E-2</v>
      </c>
      <c r="CZ37" s="99">
        <f t="shared" si="82"/>
        <v>0.18245154103549047</v>
      </c>
      <c r="DA37" s="198">
        <f t="shared" si="83"/>
        <v>8.9577875635766524E-3</v>
      </c>
      <c r="DB37" s="206">
        <f>AZ37/$O$37/0.1</f>
        <v>0.15454718770065073</v>
      </c>
      <c r="DC37" s="206">
        <f t="shared" ref="DC37:DH37" si="91">BB37/$O$37/0.1</f>
        <v>5.1361925711232131E-2</v>
      </c>
      <c r="DD37" s="215">
        <f t="shared" si="91"/>
        <v>0.388634458520073</v>
      </c>
      <c r="DE37" s="215">
        <f t="shared" si="91"/>
        <v>9.6777908658565864E-2</v>
      </c>
      <c r="DF37" s="215">
        <f t="shared" si="91"/>
        <v>0</v>
      </c>
      <c r="DG37" s="215">
        <f t="shared" si="91"/>
        <v>0</v>
      </c>
      <c r="DH37" s="216">
        <f t="shared" si="91"/>
        <v>0.59454357193195584</v>
      </c>
      <c r="DI37" s="217" t="e">
        <f>#REF!</f>
        <v>#REF!</v>
      </c>
      <c r="DJ37" s="216">
        <f>BH37/$O$37/0.1</f>
        <v>0.15336746398001228</v>
      </c>
      <c r="DK37" s="217" t="e">
        <f>#REF!</f>
        <v>#REF!</v>
      </c>
      <c r="DL37" s="213">
        <f>BI37/$O$37/0.1</f>
        <v>0.59382280806280285</v>
      </c>
      <c r="DM37" s="96">
        <f t="shared" si="15"/>
        <v>0</v>
      </c>
      <c r="DN37" s="206">
        <f>BJ37/$O$37/0.1</f>
        <v>2.5270365761153637</v>
      </c>
      <c r="DO37" s="100">
        <v>3.4</v>
      </c>
      <c r="DP37" s="206">
        <f>BL37/$O$37/0.1</f>
        <v>3.2742268481581793</v>
      </c>
      <c r="DQ37" s="218" t="str">
        <f>IF($Q37&lt;&gt;0,IF($Q37&lt;&gt;0,BM37/$Q37*10,0)," ")</f>
        <v xml:space="preserve"> </v>
      </c>
      <c r="DR37" s="101" t="e">
        <f>#REF!</f>
        <v>#REF!</v>
      </c>
      <c r="DS37" s="64"/>
      <c r="DT37" s="64"/>
      <c r="DU37" s="219"/>
      <c r="DV37" s="219"/>
      <c r="DW37" s="219"/>
      <c r="DX37" s="219"/>
      <c r="DY37" s="219"/>
      <c r="DZ37" s="219"/>
      <c r="EA37" s="219"/>
      <c r="EB37" s="220"/>
      <c r="EC37" s="219"/>
      <c r="ED37" s="219"/>
      <c r="EE37" s="219"/>
      <c r="EF37" s="219"/>
      <c r="EG37" s="219"/>
      <c r="EH37" s="219"/>
      <c r="EI37" s="219"/>
      <c r="EJ37" s="220"/>
      <c r="EK37" s="220"/>
      <c r="EL37" s="219"/>
      <c r="EM37" s="219"/>
      <c r="EN37" s="220"/>
      <c r="EO37" s="219"/>
      <c r="EP37" s="220"/>
      <c r="EQ37" s="220"/>
      <c r="ER37" s="220"/>
      <c r="ES37" s="220"/>
      <c r="ET37" s="220"/>
      <c r="EU37" s="220"/>
      <c r="EV37" s="220"/>
      <c r="EW37" s="220"/>
      <c r="EX37" s="219"/>
      <c r="EY37" s="219"/>
      <c r="EZ37" s="219"/>
      <c r="FA37" s="219"/>
      <c r="FB37" s="219"/>
      <c r="FC37" s="219"/>
      <c r="FD37" s="220"/>
      <c r="FE37" s="574" t="s">
        <v>129</v>
      </c>
      <c r="FF37" s="575"/>
      <c r="FG37" s="575"/>
      <c r="FH37" s="575"/>
      <c r="FI37" s="575"/>
      <c r="FJ37" s="575"/>
      <c r="FK37" s="575"/>
      <c r="FL37" s="575"/>
      <c r="FM37" s="576"/>
      <c r="FN37" s="220">
        <f>SUM(FN6:FN35)</f>
        <v>37832</v>
      </c>
      <c r="FO37" s="220">
        <f>FO35-FO5</f>
        <v>37832</v>
      </c>
      <c r="FP37" s="64"/>
      <c r="FQ37" s="64"/>
      <c r="FR37" s="64"/>
      <c r="FS37" s="64"/>
      <c r="FT37" s="64"/>
      <c r="FU37" s="64"/>
      <c r="FV37" s="64"/>
      <c r="FW37" s="64"/>
      <c r="FX37" s="64"/>
      <c r="FY37" s="64"/>
      <c r="FZ37" s="221">
        <f>SUM(FZ6:FZ36)</f>
        <v>38276</v>
      </c>
      <c r="GA37" s="221">
        <f t="shared" ref="GA37:GI37" si="92">SUM(GA6:GA36)</f>
        <v>6040</v>
      </c>
      <c r="GB37" s="221">
        <f t="shared" si="92"/>
        <v>6.4779304812053722</v>
      </c>
      <c r="GC37" s="221">
        <f t="shared" si="92"/>
        <v>0</v>
      </c>
      <c r="GD37" s="221">
        <f t="shared" si="92"/>
        <v>0</v>
      </c>
      <c r="GE37" s="221">
        <f t="shared" si="92"/>
        <v>0</v>
      </c>
      <c r="GF37" s="221">
        <f t="shared" si="92"/>
        <v>0</v>
      </c>
      <c r="GG37" s="221">
        <f t="shared" si="92"/>
        <v>0</v>
      </c>
      <c r="GH37" s="221">
        <f t="shared" si="92"/>
        <v>0</v>
      </c>
      <c r="GI37" s="221">
        <f t="shared" si="92"/>
        <v>0</v>
      </c>
      <c r="GJ37" s="111">
        <f t="shared" si="61"/>
        <v>0</v>
      </c>
      <c r="GK37" s="222"/>
    </row>
    <row r="38" spans="1:193" s="10" customFormat="1">
      <c r="A38" s="64"/>
      <c r="B38" s="223" t="s">
        <v>130</v>
      </c>
      <c r="C38" s="64"/>
      <c r="F38" s="224"/>
      <c r="G38" s="224"/>
      <c r="I38" s="225"/>
      <c r="J38" s="225"/>
      <c r="K38" s="225"/>
      <c r="L38" s="225"/>
      <c r="M38" s="226"/>
      <c r="N38" s="227"/>
      <c r="O38" s="227"/>
      <c r="P38" s="102"/>
      <c r="Q38" s="64"/>
      <c r="R38" s="228"/>
      <c r="S38" s="228"/>
      <c r="T38" s="228"/>
      <c r="U38" s="228"/>
      <c r="V38" s="229"/>
      <c r="W38" s="229"/>
      <c r="X38" s="229"/>
      <c r="Y38" s="229"/>
      <c r="Z38" s="229"/>
      <c r="AA38" s="230"/>
      <c r="AB38" s="152"/>
      <c r="AC38" s="152"/>
      <c r="AD38" s="153"/>
      <c r="AE38" s="231"/>
      <c r="AF38" s="152"/>
      <c r="AG38" s="152"/>
      <c r="AH38" s="152"/>
      <c r="AI38" s="231"/>
      <c r="AJ38" s="152"/>
      <c r="AK38" s="152"/>
      <c r="AL38" s="152"/>
      <c r="AM38" s="231"/>
      <c r="AN38" s="152"/>
      <c r="AO38" s="231"/>
      <c r="AP38" s="152"/>
      <c r="AQ38" s="231"/>
      <c r="AR38" s="232"/>
      <c r="AS38" s="230"/>
      <c r="AT38" s="230"/>
      <c r="AU38" s="232"/>
      <c r="AV38" s="152"/>
      <c r="AW38" s="232"/>
      <c r="AX38" s="152"/>
      <c r="AY38" s="152"/>
      <c r="AZ38" s="152"/>
      <c r="BA38" s="152"/>
      <c r="BB38" s="152"/>
      <c r="BC38" s="152"/>
      <c r="BD38" s="228"/>
      <c r="BE38" s="228"/>
      <c r="BF38" s="228"/>
      <c r="BG38" s="152"/>
      <c r="BH38" s="152"/>
      <c r="BI38" s="233"/>
      <c r="BJ38" s="233"/>
      <c r="BK38" s="234"/>
      <c r="BL38" s="235"/>
      <c r="BM38" s="233"/>
      <c r="BN38" s="234"/>
      <c r="BO38" s="178"/>
      <c r="BP38" s="178"/>
      <c r="BQ38" s="178"/>
      <c r="BR38" s="178"/>
      <c r="BS38" s="178"/>
      <c r="BT38" s="178"/>
      <c r="BU38" s="178"/>
      <c r="BV38" s="178"/>
      <c r="BW38" s="178"/>
      <c r="BX38" s="178"/>
      <c r="BY38" s="178"/>
      <c r="BZ38" s="64"/>
      <c r="CA38" s="236"/>
      <c r="CB38" s="236"/>
      <c r="CC38" s="236"/>
      <c r="CD38" s="236"/>
      <c r="CE38" s="236"/>
      <c r="CF38" s="237"/>
      <c r="CG38" s="237"/>
      <c r="CH38" s="64"/>
      <c r="CI38" s="236"/>
      <c r="CJ38" s="236"/>
      <c r="CK38" s="236"/>
      <c r="CL38" s="236"/>
      <c r="CM38" s="236"/>
      <c r="CN38" s="236"/>
      <c r="CO38" s="236"/>
      <c r="CP38" s="236"/>
      <c r="CQ38" s="236"/>
      <c r="CR38" s="64"/>
      <c r="CS38" s="238"/>
      <c r="CT38" s="236"/>
      <c r="CU38" s="236"/>
      <c r="CV38" s="239"/>
      <c r="CW38" s="236"/>
      <c r="CX38" s="236"/>
      <c r="CY38" s="236"/>
      <c r="CZ38" s="236"/>
      <c r="DA38" s="236"/>
      <c r="DB38" s="64"/>
      <c r="DC38" s="64"/>
      <c r="DD38" s="64"/>
      <c r="DE38" s="64"/>
      <c r="DF38" s="64"/>
      <c r="DG38" s="64"/>
      <c r="DH38" s="240"/>
      <c r="DI38" s="236"/>
      <c r="DJ38" s="241"/>
      <c r="DK38" s="242"/>
      <c r="DL38" s="243"/>
      <c r="DM38" s="242"/>
      <c r="DN38" s="64"/>
      <c r="DO38" s="100"/>
      <c r="DP38" s="240"/>
      <c r="DQ38" s="244"/>
      <c r="DR38" s="245"/>
      <c r="DS38" s="64"/>
      <c r="DT38" s="64"/>
      <c r="DU38" s="246"/>
      <c r="DV38" s="246"/>
      <c r="DW38" s="246"/>
      <c r="DX38" s="219"/>
      <c r="DY38" s="219"/>
      <c r="DZ38" s="219"/>
      <c r="EA38" s="246"/>
      <c r="EB38" s="246"/>
      <c r="EC38" s="9"/>
      <c r="ED38" s="9"/>
      <c r="EE38" s="246"/>
      <c r="EF38" s="246"/>
      <c r="EG38" s="9"/>
      <c r="EH38" s="9"/>
      <c r="EI38" s="9"/>
      <c r="EJ38" s="64"/>
      <c r="EK38" s="64"/>
      <c r="EL38" s="9"/>
      <c r="EM38" s="9"/>
      <c r="EN38" s="64"/>
      <c r="EO38" s="9"/>
      <c r="EP38" s="220"/>
      <c r="EQ38" s="64"/>
      <c r="ER38" s="64"/>
      <c r="ES38" s="247"/>
      <c r="ET38" s="175"/>
      <c r="EU38" s="220"/>
      <c r="EV38" s="220"/>
      <c r="EW38" s="246"/>
      <c r="EX38" s="64"/>
      <c r="EY38" s="64"/>
      <c r="EZ38" s="64"/>
      <c r="FA38" s="64"/>
      <c r="FB38" s="64"/>
      <c r="FC38" s="141"/>
      <c r="FD38" s="249" t="s">
        <v>53</v>
      </c>
      <c r="FE38" s="250"/>
      <c r="FF38" s="267">
        <v>470478</v>
      </c>
      <c r="FG38" s="267">
        <v>886898</v>
      </c>
      <c r="FH38" s="267">
        <v>955744</v>
      </c>
      <c r="FI38" s="267">
        <v>777220</v>
      </c>
      <c r="FJ38" s="267">
        <v>1247639</v>
      </c>
      <c r="FK38" s="267"/>
      <c r="FL38" s="267">
        <v>267853</v>
      </c>
      <c r="FM38" s="267"/>
      <c r="FN38" s="508">
        <f>2025/3</f>
        <v>675</v>
      </c>
      <c r="FO38" s="508">
        <f>1015853-FO5</f>
        <v>3374</v>
      </c>
      <c r="FP38" s="507" t="s">
        <v>208</v>
      </c>
      <c r="FQ38" s="9"/>
      <c r="FR38" s="64"/>
      <c r="FS38" s="64"/>
      <c r="FT38" s="64"/>
      <c r="FU38" s="64"/>
      <c r="FV38" s="64"/>
      <c r="FW38" s="64"/>
      <c r="FX38" s="64"/>
      <c r="FY38" s="64"/>
      <c r="FZ38" s="9"/>
      <c r="GA38" s="64"/>
      <c r="GB38" s="64"/>
      <c r="GC38" s="64"/>
      <c r="GD38" s="64"/>
      <c r="GE38" s="64"/>
      <c r="GF38" s="64"/>
      <c r="GG38" s="64"/>
      <c r="GH38" s="64"/>
      <c r="GI38" s="64"/>
      <c r="GJ38" s="64"/>
    </row>
    <row r="39" spans="1:193" s="10" customFormat="1">
      <c r="A39" s="64"/>
      <c r="B39" s="64"/>
      <c r="C39" s="64"/>
      <c r="D39" s="478"/>
      <c r="E39" s="454"/>
      <c r="F39" s="479"/>
      <c r="G39" s="478"/>
      <c r="H39" s="478"/>
      <c r="I39" s="478"/>
      <c r="J39" s="478"/>
      <c r="K39" s="478"/>
      <c r="L39" s="478"/>
      <c r="M39" s="254"/>
      <c r="N39" s="255"/>
      <c r="O39" s="256"/>
      <c r="P39" s="257"/>
      <c r="Q39" s="64"/>
      <c r="R39" s="258"/>
      <c r="S39" s="258"/>
      <c r="T39" s="258"/>
      <c r="U39" s="258"/>
      <c r="V39" s="258"/>
      <c r="W39" s="258"/>
      <c r="X39" s="258"/>
      <c r="Y39" s="258"/>
      <c r="Z39" s="258"/>
      <c r="AA39" s="258"/>
      <c r="AB39" s="152"/>
      <c r="AD39" s="231"/>
      <c r="AE39" s="152"/>
      <c r="AF39" s="152"/>
      <c r="AG39" s="152"/>
      <c r="AH39" s="152"/>
      <c r="AI39" s="152"/>
      <c r="AJ39" s="152"/>
      <c r="AK39" s="152"/>
      <c r="AL39" s="152"/>
      <c r="AM39" s="152"/>
      <c r="AN39" s="152"/>
      <c r="AO39" s="152"/>
      <c r="AP39" s="152"/>
      <c r="AQ39" s="152"/>
      <c r="AR39" s="258"/>
      <c r="AS39" s="258"/>
      <c r="AT39" s="258"/>
      <c r="AU39" s="258"/>
      <c r="AV39" s="152"/>
      <c r="AW39" s="258"/>
      <c r="AX39" s="152"/>
      <c r="AY39" s="152"/>
      <c r="AZ39" s="152"/>
      <c r="BA39" s="152"/>
      <c r="BB39" s="152"/>
      <c r="BC39" s="231"/>
      <c r="BD39" s="231"/>
      <c r="BE39" s="231"/>
      <c r="BF39" s="231"/>
      <c r="BG39" s="152"/>
      <c r="BH39" s="231"/>
      <c r="BI39" s="116"/>
      <c r="BJ39" s="116"/>
      <c r="BK39" s="259"/>
      <c r="BL39" s="260"/>
      <c r="BM39" s="165"/>
      <c r="BN39" s="259"/>
      <c r="BO39" s="64"/>
      <c r="BP39" s="64"/>
      <c r="BQ39" s="64"/>
      <c r="BR39" s="116"/>
      <c r="BS39" s="116"/>
      <c r="BT39" s="116"/>
      <c r="BU39" s="116"/>
      <c r="BV39" s="64"/>
      <c r="BW39" s="64"/>
      <c r="BX39" s="64"/>
      <c r="BY39" s="116"/>
      <c r="BZ39" s="243"/>
      <c r="CA39" s="243"/>
      <c r="CB39" s="243"/>
      <c r="CC39" s="243"/>
      <c r="CD39" s="243"/>
      <c r="CE39" s="243"/>
      <c r="CF39" s="141"/>
      <c r="CG39" s="237"/>
      <c r="CH39" s="243"/>
      <c r="CI39" s="243"/>
      <c r="CJ39" s="243"/>
      <c r="CK39" s="243"/>
      <c r="CL39" s="243"/>
      <c r="CM39" s="243"/>
      <c r="CN39" s="243"/>
      <c r="CO39" s="243"/>
      <c r="CP39" s="243"/>
      <c r="CQ39" s="243"/>
      <c r="CR39" s="243"/>
      <c r="CS39" s="243"/>
      <c r="CT39" s="243"/>
      <c r="CU39" s="243"/>
      <c r="CV39" s="243"/>
      <c r="CW39" s="243"/>
      <c r="CX39" s="243"/>
      <c r="CY39" s="116"/>
      <c r="CZ39" s="243"/>
      <c r="DA39" s="243"/>
      <c r="DB39" s="243"/>
      <c r="DC39" s="243"/>
      <c r="DD39" s="116"/>
      <c r="DE39" s="116"/>
      <c r="DF39" s="116"/>
      <c r="DG39" s="116"/>
      <c r="DH39" s="243"/>
      <c r="DI39" s="243"/>
      <c r="DJ39" s="64"/>
      <c r="DK39" s="64"/>
      <c r="DL39" s="74"/>
      <c r="DM39" s="64"/>
      <c r="DN39" s="74"/>
      <c r="DO39" s="261"/>
      <c r="DP39" s="262"/>
      <c r="DQ39" s="263"/>
      <c r="DR39" s="244"/>
      <c r="DS39" s="64"/>
      <c r="DT39" s="64"/>
      <c r="DU39" s="246"/>
      <c r="DV39" s="246"/>
      <c r="DW39" s="246"/>
      <c r="DX39" s="219"/>
      <c r="DY39" s="219"/>
      <c r="DZ39" s="219"/>
      <c r="EA39" s="246"/>
      <c r="EB39" s="246"/>
      <c r="EC39" s="9"/>
      <c r="ED39" s="9"/>
      <c r="EE39" s="246"/>
      <c r="EF39" s="246"/>
      <c r="EG39" s="9"/>
      <c r="EH39" s="9"/>
      <c r="EI39" s="9"/>
      <c r="EJ39" s="64"/>
      <c r="EK39" s="64"/>
      <c r="EL39" s="9"/>
      <c r="EM39" s="9"/>
      <c r="EN39" s="64"/>
      <c r="EO39" s="9"/>
      <c r="EP39" s="220"/>
      <c r="EQ39" s="64"/>
      <c r="ER39" s="64"/>
      <c r="ES39" s="257"/>
      <c r="ET39" s="366"/>
      <c r="EU39" s="64"/>
      <c r="EV39" s="64"/>
      <c r="EW39" s="246"/>
      <c r="EX39" s="64"/>
      <c r="EY39" s="64"/>
      <c r="EZ39" s="64"/>
      <c r="FA39" s="64"/>
      <c r="FB39" s="64"/>
      <c r="FC39" s="152"/>
      <c r="FD39" s="249">
        <v>1</v>
      </c>
      <c r="FE39" s="250"/>
      <c r="FF39" s="250">
        <v>470478</v>
      </c>
      <c r="FG39" s="250">
        <v>888894</v>
      </c>
      <c r="FH39" s="267">
        <f>FH38+980</f>
        <v>956724</v>
      </c>
      <c r="FI39" s="250">
        <f>FI38+655</f>
        <v>777875</v>
      </c>
      <c r="FJ39" s="250">
        <v>1248413</v>
      </c>
      <c r="FK39" s="250"/>
      <c r="FL39" s="267">
        <f>FL38+1139</f>
        <v>268992</v>
      </c>
      <c r="FM39" s="250"/>
      <c r="FN39" s="334"/>
      <c r="FO39" s="508">
        <f>FO38/3</f>
        <v>1124.6666666666667</v>
      </c>
      <c r="FP39" s="64"/>
      <c r="FQ39" s="9"/>
      <c r="FR39" s="9"/>
      <c r="FS39" s="9"/>
      <c r="FT39" s="9"/>
      <c r="FU39" s="9"/>
      <c r="FV39" s="9"/>
      <c r="FW39" s="9"/>
      <c r="FX39" s="9"/>
      <c r="FY39" s="9"/>
      <c r="FZ39" s="246"/>
      <c r="GA39" s="64"/>
      <c r="GB39" s="64"/>
      <c r="GC39" s="64"/>
      <c r="GD39" s="64"/>
      <c r="GE39" s="64"/>
      <c r="GF39" s="64"/>
      <c r="GG39" s="64"/>
      <c r="GH39" s="64"/>
      <c r="GI39" s="64"/>
      <c r="GJ39" s="64"/>
    </row>
    <row r="40" spans="1:193">
      <c r="D40" s="454"/>
      <c r="E40" s="454"/>
      <c r="F40" s="152"/>
      <c r="G40" s="152"/>
      <c r="H40" s="152"/>
      <c r="I40" s="152"/>
      <c r="J40" s="152"/>
      <c r="K40" s="152"/>
      <c r="L40" s="454"/>
      <c r="M40" s="454"/>
      <c r="AB40" s="152"/>
      <c r="FC40" s="220"/>
      <c r="FD40" s="249">
        <v>2</v>
      </c>
      <c r="FE40" s="367"/>
      <c r="FF40" s="287">
        <v>470478</v>
      </c>
      <c r="FG40" s="303">
        <v>890879</v>
      </c>
      <c r="FH40" s="303">
        <f>FH39+1268</f>
        <v>957992</v>
      </c>
      <c r="FI40" s="303">
        <f>437+FI39</f>
        <v>778312</v>
      </c>
      <c r="FJ40" s="303">
        <v>1249168</v>
      </c>
      <c r="FK40" s="303"/>
      <c r="FL40" s="303">
        <f>FL39+1137.8</f>
        <v>270129.8</v>
      </c>
      <c r="FM40" s="303"/>
      <c r="FN40" s="334"/>
      <c r="FO40" s="508">
        <f>1016946-1015853</f>
        <v>1093</v>
      </c>
    </row>
    <row r="41" spans="1:193">
      <c r="B41" s="220"/>
      <c r="D41" s="399"/>
      <c r="E41" s="398"/>
      <c r="F41" s="454"/>
      <c r="G41" s="454"/>
      <c r="H41" s="454"/>
      <c r="I41" s="454"/>
      <c r="J41" s="454"/>
      <c r="K41" s="454"/>
      <c r="L41" s="454"/>
      <c r="M41" s="454"/>
      <c r="CH41" s="178"/>
      <c r="CP41" s="178"/>
      <c r="FC41" s="220"/>
      <c r="FD41" s="249">
        <v>3</v>
      </c>
      <c r="FE41" s="250"/>
      <c r="FF41" s="250">
        <v>470478</v>
      </c>
      <c r="FG41" s="250">
        <v>892874</v>
      </c>
      <c r="FH41" s="250">
        <f>FH40+1687</f>
        <v>959679</v>
      </c>
      <c r="FI41" s="250">
        <f>FI40+468</f>
        <v>778780</v>
      </c>
      <c r="FJ41" s="250">
        <v>1249938</v>
      </c>
      <c r="FK41" s="250"/>
      <c r="FL41" s="250">
        <f>FL40+1138.1</f>
        <v>271267.89999999997</v>
      </c>
      <c r="FM41" s="250"/>
      <c r="FN41" s="334"/>
      <c r="FO41" s="508">
        <f>1019214-1016946</f>
        <v>2268</v>
      </c>
    </row>
    <row r="42" spans="1:193">
      <c r="D42" s="399"/>
      <c r="FC42" s="220"/>
      <c r="FD42" s="249">
        <v>4</v>
      </c>
      <c r="FE42" s="250"/>
      <c r="FF42" s="250">
        <v>470478</v>
      </c>
      <c r="FG42" s="250">
        <v>893659</v>
      </c>
      <c r="FH42" s="250">
        <v>960159</v>
      </c>
      <c r="FI42" s="250">
        <f>FI41+253</f>
        <v>779033</v>
      </c>
      <c r="FJ42" s="250">
        <v>1250280</v>
      </c>
      <c r="FK42" s="250"/>
      <c r="FL42" s="250">
        <v>272174</v>
      </c>
      <c r="FM42" s="250"/>
      <c r="FN42" s="264"/>
      <c r="FO42" s="508">
        <f>FO41/2</f>
        <v>1134</v>
      </c>
    </row>
    <row r="43" spans="1:193">
      <c r="D43" s="368"/>
      <c r="FC43" s="220"/>
      <c r="FD43" s="249">
        <v>5</v>
      </c>
      <c r="FE43" s="250"/>
      <c r="FF43" s="250">
        <v>470478</v>
      </c>
      <c r="FG43" s="250">
        <v>895683</v>
      </c>
      <c r="FH43" s="250">
        <f>FH42+298</f>
        <v>960457</v>
      </c>
      <c r="FI43" s="250">
        <f>FI42+466</f>
        <v>779499</v>
      </c>
      <c r="FJ43" s="250">
        <v>1251030</v>
      </c>
      <c r="FK43" s="250"/>
      <c r="FL43" s="250">
        <v>272174</v>
      </c>
      <c r="FM43" s="250"/>
      <c r="FN43" s="264"/>
      <c r="FO43" s="507"/>
    </row>
    <row r="44" spans="1:193">
      <c r="B44" s="220"/>
      <c r="D44" s="368"/>
      <c r="FC44" s="220"/>
      <c r="FD44" s="249">
        <v>6</v>
      </c>
      <c r="FE44" s="129">
        <v>0</v>
      </c>
      <c r="FF44" s="250">
        <v>470478</v>
      </c>
      <c r="FG44" s="136">
        <v>897677</v>
      </c>
      <c r="FH44" s="136">
        <f>FH43+1476</f>
        <v>961933</v>
      </c>
      <c r="FI44" s="136">
        <f>FI43+615</f>
        <v>780114</v>
      </c>
      <c r="FJ44" s="136">
        <v>1251832</v>
      </c>
      <c r="FK44" s="136">
        <v>0</v>
      </c>
      <c r="FL44" s="136">
        <f>FL43+456</f>
        <v>272630</v>
      </c>
      <c r="FM44" s="136">
        <v>0</v>
      </c>
      <c r="FO44" s="507"/>
    </row>
    <row r="45" spans="1:193">
      <c r="B45" s="220"/>
      <c r="D45" s="368"/>
      <c r="FC45" s="220"/>
      <c r="FD45" s="249">
        <v>7</v>
      </c>
      <c r="FE45" s="250">
        <v>0</v>
      </c>
      <c r="FF45" s="250">
        <v>470478</v>
      </c>
      <c r="FG45" s="250">
        <v>899208</v>
      </c>
      <c r="FH45" s="250">
        <f>FH44+1784</f>
        <v>963717</v>
      </c>
      <c r="FI45" s="265">
        <f>FI44+480</f>
        <v>780594</v>
      </c>
      <c r="FJ45" s="250">
        <v>1252612</v>
      </c>
      <c r="FK45" s="250">
        <v>0</v>
      </c>
      <c r="FL45" s="250">
        <f>FL44+1276</f>
        <v>273906</v>
      </c>
      <c r="FM45" s="250">
        <v>0</v>
      </c>
      <c r="FN45" s="152"/>
    </row>
    <row r="46" spans="1:193">
      <c r="B46" s="220"/>
      <c r="D46" s="368"/>
      <c r="FC46" s="220"/>
      <c r="FD46" s="249">
        <v>8</v>
      </c>
      <c r="FE46" s="250">
        <v>0</v>
      </c>
      <c r="FF46" s="250">
        <v>470478</v>
      </c>
      <c r="FG46" s="250">
        <v>900911</v>
      </c>
      <c r="FH46" s="250">
        <f>FH45+732</f>
        <v>964449</v>
      </c>
      <c r="FI46" s="250">
        <f>FI45+547</f>
        <v>781141</v>
      </c>
      <c r="FJ46" s="250">
        <v>1253430</v>
      </c>
      <c r="FK46" s="250">
        <v>0</v>
      </c>
      <c r="FL46" s="250">
        <f>FL45+777</f>
        <v>274683</v>
      </c>
      <c r="FM46" s="250">
        <v>0</v>
      </c>
    </row>
    <row r="47" spans="1:193">
      <c r="B47" s="220"/>
      <c r="C47" s="220"/>
      <c r="D47"/>
      <c r="FC47" s="220"/>
      <c r="FD47" s="249">
        <v>9</v>
      </c>
      <c r="FE47" s="250">
        <v>0</v>
      </c>
      <c r="FF47" s="250">
        <v>470478</v>
      </c>
      <c r="FG47" s="250">
        <v>902598</v>
      </c>
      <c r="FH47" s="250">
        <f>FH46+2650</f>
        <v>967099</v>
      </c>
      <c r="FI47" s="250">
        <f>FI46+648</f>
        <v>781789</v>
      </c>
      <c r="FJ47" s="250">
        <v>1254267</v>
      </c>
      <c r="FK47" s="250">
        <v>0</v>
      </c>
      <c r="FL47" s="250">
        <v>274683</v>
      </c>
      <c r="FM47" s="250">
        <v>0</v>
      </c>
    </row>
    <row r="48" spans="1:193">
      <c r="B48" s="220"/>
      <c r="D48"/>
      <c r="FC48" s="220"/>
      <c r="FD48" s="249">
        <v>10</v>
      </c>
      <c r="FE48" s="250">
        <v>0</v>
      </c>
      <c r="FF48" s="250">
        <v>470478</v>
      </c>
      <c r="FG48" s="250">
        <v>904262</v>
      </c>
      <c r="FH48" s="250">
        <f>FH47+1934</f>
        <v>969033</v>
      </c>
      <c r="FI48" s="250">
        <f>FI47+615</f>
        <v>782404</v>
      </c>
      <c r="FJ48" s="250">
        <v>1255057</v>
      </c>
      <c r="FK48" s="250">
        <v>0</v>
      </c>
      <c r="FL48" s="250">
        <f>FL47+1120</f>
        <v>275803</v>
      </c>
      <c r="FM48" s="250">
        <v>0</v>
      </c>
    </row>
    <row r="49" spans="2:169">
      <c r="B49" s="220"/>
      <c r="C49" s="220"/>
      <c r="D49"/>
      <c r="FC49" s="220"/>
      <c r="FD49" s="249">
        <v>11</v>
      </c>
      <c r="FE49" s="250">
        <v>0</v>
      </c>
      <c r="FF49" s="250">
        <v>470478</v>
      </c>
      <c r="FG49" s="250">
        <v>905953</v>
      </c>
      <c r="FH49" s="250">
        <f>FH48+2784</f>
        <v>971817</v>
      </c>
      <c r="FI49" s="250">
        <f>FI48+537</f>
        <v>782941</v>
      </c>
      <c r="FJ49" s="250">
        <v>1255891</v>
      </c>
      <c r="FK49" s="250">
        <v>0</v>
      </c>
      <c r="FL49" s="250">
        <v>275803</v>
      </c>
      <c r="FM49" s="250">
        <v>0</v>
      </c>
    </row>
    <row r="50" spans="2:169">
      <c r="B50" s="220"/>
      <c r="C50" s="220"/>
      <c r="D50"/>
      <c r="FC50" s="220"/>
      <c r="FD50" s="249">
        <v>12</v>
      </c>
      <c r="FE50" s="250">
        <v>0</v>
      </c>
      <c r="FF50" s="250">
        <v>470478</v>
      </c>
      <c r="FG50" s="250">
        <f>FG49+1454</f>
        <v>907407</v>
      </c>
      <c r="FH50" s="250">
        <f>FH49+2085</f>
        <v>973902</v>
      </c>
      <c r="FI50" s="250">
        <f>FI49+534</f>
        <v>783475</v>
      </c>
      <c r="FJ50" s="250">
        <f>FJ49+505</f>
        <v>1256396</v>
      </c>
      <c r="FK50" s="250">
        <v>0</v>
      </c>
      <c r="FL50" s="250">
        <f>FL49+877</f>
        <v>276680</v>
      </c>
      <c r="FM50" s="250">
        <v>0</v>
      </c>
    </row>
    <row r="51" spans="2:169">
      <c r="B51" s="220"/>
      <c r="C51" s="220"/>
      <c r="D51"/>
      <c r="FC51" s="220"/>
      <c r="FD51" s="249">
        <v>13</v>
      </c>
      <c r="FE51" s="250">
        <v>0</v>
      </c>
      <c r="FF51" s="250">
        <v>470478</v>
      </c>
      <c r="FG51" s="250">
        <v>909131</v>
      </c>
      <c r="FH51" s="250">
        <f>FH50+2686</f>
        <v>976588</v>
      </c>
      <c r="FI51" s="250">
        <f>FI50+533</f>
        <v>784008</v>
      </c>
      <c r="FJ51" s="250">
        <v>1257429</v>
      </c>
      <c r="FK51" s="250">
        <v>0</v>
      </c>
      <c r="FL51" s="250">
        <f>FL50+236</f>
        <v>276916</v>
      </c>
      <c r="FM51" s="250">
        <v>0</v>
      </c>
    </row>
    <row r="52" spans="2:169">
      <c r="B52" s="220"/>
      <c r="C52" s="220"/>
      <c r="FC52" s="220"/>
      <c r="FD52" s="249">
        <v>14</v>
      </c>
      <c r="FE52" s="250">
        <v>0</v>
      </c>
      <c r="FF52" s="250">
        <v>470478</v>
      </c>
      <c r="FG52" s="250">
        <v>910819</v>
      </c>
      <c r="FH52" s="250">
        <f>FH51+2603</f>
        <v>979191</v>
      </c>
      <c r="FI52" s="250">
        <f>FI51+599</f>
        <v>784607</v>
      </c>
      <c r="FJ52" s="250">
        <v>1258244</v>
      </c>
      <c r="FK52" s="250">
        <v>0</v>
      </c>
      <c r="FL52" s="250">
        <f>FL51+1177</f>
        <v>278093</v>
      </c>
      <c r="FM52" s="250">
        <v>0</v>
      </c>
    </row>
    <row r="53" spans="2:169">
      <c r="C53" s="220"/>
      <c r="FC53" s="220"/>
      <c r="FD53" s="249">
        <v>15</v>
      </c>
      <c r="FE53" s="250">
        <v>0</v>
      </c>
      <c r="FF53" s="250">
        <v>470478</v>
      </c>
      <c r="FG53" s="250">
        <v>912502</v>
      </c>
      <c r="FH53" s="250">
        <f>FH52+2132</f>
        <v>981323</v>
      </c>
      <c r="FI53" s="250">
        <f>FI52+551</f>
        <v>785158</v>
      </c>
      <c r="FJ53" s="250">
        <v>1259077</v>
      </c>
      <c r="FK53" s="250">
        <v>0</v>
      </c>
      <c r="FL53" s="250">
        <f>FL52+606</f>
        <v>278699</v>
      </c>
      <c r="FM53" s="250">
        <v>0</v>
      </c>
    </row>
    <row r="54" spans="2:169">
      <c r="B54" s="220"/>
      <c r="C54" s="220"/>
      <c r="FC54" s="220"/>
      <c r="FD54" s="249">
        <v>16</v>
      </c>
      <c r="FE54" s="250">
        <v>0</v>
      </c>
      <c r="FF54" s="250">
        <v>470478</v>
      </c>
      <c r="FG54" s="136">
        <v>914188</v>
      </c>
      <c r="FH54" s="136">
        <f>FH53+1820</f>
        <v>983143</v>
      </c>
      <c r="FI54" s="303">
        <f>FI53+473</f>
        <v>785631</v>
      </c>
      <c r="FJ54" s="161">
        <v>1259897</v>
      </c>
      <c r="FK54" s="161">
        <v>0</v>
      </c>
      <c r="FL54" s="136">
        <f>FL53+1094.9</f>
        <v>279793.90000000002</v>
      </c>
      <c r="FM54" s="161">
        <v>0</v>
      </c>
    </row>
    <row r="55" spans="2:169">
      <c r="B55" s="220"/>
      <c r="C55" s="220"/>
      <c r="FC55" s="220"/>
      <c r="FD55" s="249">
        <v>17</v>
      </c>
      <c r="FE55" s="250">
        <v>0</v>
      </c>
      <c r="FF55" s="250">
        <v>470478</v>
      </c>
      <c r="FG55" s="250">
        <v>915724</v>
      </c>
      <c r="FH55" s="250">
        <f>FH54+1657</f>
        <v>984800</v>
      </c>
      <c r="FI55" s="250">
        <f>FI54+468</f>
        <v>786099</v>
      </c>
      <c r="FJ55" s="250">
        <v>1260741</v>
      </c>
      <c r="FK55" s="250">
        <v>0</v>
      </c>
      <c r="FL55" s="250">
        <v>279794</v>
      </c>
      <c r="FM55" s="250">
        <v>0</v>
      </c>
    </row>
    <row r="56" spans="2:169">
      <c r="B56" s="220"/>
      <c r="C56" s="220"/>
      <c r="FC56" s="220"/>
      <c r="FD56" s="249">
        <v>18</v>
      </c>
      <c r="FE56" s="250">
        <v>0</v>
      </c>
      <c r="FF56" s="250">
        <v>470478</v>
      </c>
      <c r="FG56" s="250">
        <v>917152</v>
      </c>
      <c r="FH56" s="250">
        <f>FH55+1786</f>
        <v>986586</v>
      </c>
      <c r="FI56" s="250">
        <f>FI55+516.7</f>
        <v>786615.7</v>
      </c>
      <c r="FJ56" s="250">
        <v>1261555</v>
      </c>
      <c r="FK56" s="250">
        <v>0</v>
      </c>
      <c r="FL56" s="250">
        <f>FL55+638.1</f>
        <v>280432.09999999998</v>
      </c>
      <c r="FM56" s="250">
        <v>0</v>
      </c>
    </row>
    <row r="57" spans="2:169">
      <c r="B57" s="220"/>
      <c r="C57" s="220"/>
      <c r="FC57" s="220"/>
      <c r="FD57" s="249">
        <v>19</v>
      </c>
      <c r="FE57" s="250">
        <v>0</v>
      </c>
      <c r="FF57" s="250">
        <v>470478</v>
      </c>
      <c r="FG57" s="250">
        <v>917155</v>
      </c>
      <c r="FH57" s="250">
        <f>FH56+1821</f>
        <v>988407</v>
      </c>
      <c r="FI57" s="250">
        <f>FI56+593</f>
        <v>787208.7</v>
      </c>
      <c r="FJ57" s="250">
        <v>1262326</v>
      </c>
      <c r="FK57" s="250">
        <v>0</v>
      </c>
      <c r="FL57" s="250">
        <f>FL56+1455.3</f>
        <v>281887.39999999997</v>
      </c>
      <c r="FM57" s="250">
        <v>0</v>
      </c>
    </row>
    <row r="58" spans="2:169">
      <c r="C58" s="220"/>
      <c r="FC58" s="220"/>
      <c r="FD58" s="249">
        <v>20</v>
      </c>
      <c r="FE58" s="266">
        <v>0</v>
      </c>
      <c r="FF58" s="250">
        <f>470478+360</f>
        <v>470838</v>
      </c>
      <c r="FG58" s="136">
        <v>917155</v>
      </c>
      <c r="FH58" s="136">
        <f>FH57+1676</f>
        <v>990083</v>
      </c>
      <c r="FI58" s="136">
        <f>FI57+692</f>
        <v>787900.7</v>
      </c>
      <c r="FJ58" s="136">
        <v>1263161</v>
      </c>
      <c r="FK58" s="136">
        <v>0</v>
      </c>
      <c r="FL58" s="136">
        <f>FL57+849</f>
        <v>282736.39999999997</v>
      </c>
      <c r="FM58" s="136">
        <v>0</v>
      </c>
    </row>
    <row r="59" spans="2:169">
      <c r="FC59" s="220"/>
      <c r="FD59" s="249">
        <v>21</v>
      </c>
      <c r="FE59" s="250">
        <v>0</v>
      </c>
      <c r="FF59" s="250">
        <f>FF58+748</f>
        <v>471586</v>
      </c>
      <c r="FG59" s="250">
        <v>917155</v>
      </c>
      <c r="FH59" s="250">
        <f>FH58+1288</f>
        <v>991371</v>
      </c>
      <c r="FI59" s="250">
        <f>FI58+639</f>
        <v>788539.7</v>
      </c>
      <c r="FJ59" s="250">
        <v>1264014</v>
      </c>
      <c r="FK59" s="250">
        <v>0</v>
      </c>
      <c r="FL59" s="250">
        <f>FL58+452</f>
        <v>283188.39999999997</v>
      </c>
      <c r="FM59" s="250">
        <v>0</v>
      </c>
    </row>
    <row r="60" spans="2:169">
      <c r="FC60" s="220"/>
      <c r="FD60" s="249">
        <v>22</v>
      </c>
      <c r="FE60" s="250">
        <f>FE59+FE27</f>
        <v>0</v>
      </c>
      <c r="FF60" s="250">
        <f t="shared" ref="FF60:FM60" si="93">FF59+FF27</f>
        <v>472326</v>
      </c>
      <c r="FG60" s="250">
        <f t="shared" si="93"/>
        <v>917155</v>
      </c>
      <c r="FH60" s="250">
        <f t="shared" si="93"/>
        <v>992900</v>
      </c>
      <c r="FI60" s="250">
        <f t="shared" si="93"/>
        <v>789190.7</v>
      </c>
      <c r="FJ60" s="250">
        <f t="shared" si="93"/>
        <v>1264874</v>
      </c>
      <c r="FK60" s="250">
        <f t="shared" si="93"/>
        <v>0</v>
      </c>
      <c r="FL60" s="250">
        <f t="shared" si="93"/>
        <v>283983.39999999997</v>
      </c>
      <c r="FM60" s="250">
        <f t="shared" si="93"/>
        <v>0</v>
      </c>
    </row>
    <row r="61" spans="2:169">
      <c r="FC61" s="220"/>
      <c r="FD61" s="249">
        <v>23</v>
      </c>
      <c r="FE61" s="250">
        <v>0</v>
      </c>
      <c r="FF61" s="250">
        <f>FF60+972</f>
        <v>473298</v>
      </c>
      <c r="FG61" s="250">
        <v>917155</v>
      </c>
      <c r="FH61" s="250">
        <f>FH60+1621</f>
        <v>994521</v>
      </c>
      <c r="FI61" s="250">
        <f>FI60+684</f>
        <v>789874.7</v>
      </c>
      <c r="FJ61" s="250">
        <v>1265693</v>
      </c>
      <c r="FK61" s="250">
        <v>0</v>
      </c>
      <c r="FL61" s="250">
        <f>FL60+916</f>
        <v>284899.39999999997</v>
      </c>
      <c r="FM61" s="250">
        <v>0</v>
      </c>
    </row>
    <row r="62" spans="2:169">
      <c r="FD62" s="249">
        <v>24</v>
      </c>
      <c r="FE62" s="250">
        <v>0</v>
      </c>
      <c r="FF62" s="250">
        <f>FF61+297</f>
        <v>473595</v>
      </c>
      <c r="FG62" s="250">
        <v>918508</v>
      </c>
      <c r="FH62" s="250">
        <f>FH61+1922</f>
        <v>996443</v>
      </c>
      <c r="FI62" s="250">
        <f>FI61+619</f>
        <v>790493.7</v>
      </c>
      <c r="FJ62" s="250">
        <v>1266523</v>
      </c>
      <c r="FK62" s="250">
        <v>0</v>
      </c>
      <c r="FL62" s="250">
        <f>FL61+766</f>
        <v>285665.39999999997</v>
      </c>
      <c r="FM62" s="250">
        <v>0</v>
      </c>
    </row>
    <row r="63" spans="2:169">
      <c r="FD63" s="249">
        <v>25</v>
      </c>
      <c r="FE63" s="250">
        <v>0</v>
      </c>
      <c r="FF63" s="250">
        <f>FF62+751</f>
        <v>474346</v>
      </c>
      <c r="FG63" s="250">
        <v>919823</v>
      </c>
      <c r="FH63" s="250">
        <f>FH62+959</f>
        <v>997402</v>
      </c>
      <c r="FI63" s="250">
        <f>FI62+674</f>
        <v>791167.7</v>
      </c>
      <c r="FJ63" s="250">
        <v>1267313</v>
      </c>
      <c r="FK63" s="250">
        <v>0</v>
      </c>
      <c r="FL63" s="250">
        <f>FL62+757</f>
        <v>286422.39999999997</v>
      </c>
      <c r="FM63" s="250">
        <v>0</v>
      </c>
    </row>
    <row r="64" spans="2:169">
      <c r="FD64" s="249">
        <v>26</v>
      </c>
      <c r="FE64" s="250">
        <v>0</v>
      </c>
      <c r="FF64" s="250">
        <f>FF63+320</f>
        <v>474666</v>
      </c>
      <c r="FG64" s="250">
        <v>920940</v>
      </c>
      <c r="FH64" s="250">
        <f>FH63+1055</f>
        <v>998457</v>
      </c>
      <c r="FI64" s="250">
        <f>FI63+477</f>
        <v>791644.7</v>
      </c>
      <c r="FJ64" s="250">
        <v>1267885</v>
      </c>
      <c r="FK64" s="250">
        <v>0</v>
      </c>
      <c r="FL64" s="250">
        <f>FL63+769.1</f>
        <v>287191.49999999994</v>
      </c>
      <c r="FM64" s="250">
        <v>200</v>
      </c>
    </row>
    <row r="65" spans="160:169">
      <c r="FD65" s="249">
        <v>27</v>
      </c>
      <c r="FE65" s="250">
        <v>0</v>
      </c>
      <c r="FF65" s="250">
        <f>FF64+709</f>
        <v>475375</v>
      </c>
      <c r="FG65" s="250">
        <v>921553</v>
      </c>
      <c r="FH65" s="267">
        <f>FH64+2261</f>
        <v>1000718</v>
      </c>
      <c r="FI65" s="250">
        <f>FI64+148</f>
        <v>791792.7</v>
      </c>
      <c r="FJ65" s="250">
        <v>1268078</v>
      </c>
      <c r="FK65" s="267">
        <v>0</v>
      </c>
      <c r="FL65" s="250">
        <f>FL64+755.4</f>
        <v>287946.89999999997</v>
      </c>
      <c r="FM65" s="250">
        <v>215</v>
      </c>
    </row>
    <row r="66" spans="160:169">
      <c r="FD66" s="249">
        <v>28</v>
      </c>
      <c r="FE66" s="250"/>
      <c r="FF66" s="250">
        <f>FF65+FF33</f>
        <v>476284</v>
      </c>
      <c r="FG66" s="105">
        <v>922508</v>
      </c>
      <c r="FH66" s="250">
        <f>FH65+FH33</f>
        <v>1001789</v>
      </c>
      <c r="FI66" s="250">
        <f>FI65+FI33</f>
        <v>792274.7</v>
      </c>
      <c r="FJ66" s="105">
        <v>1268078</v>
      </c>
      <c r="FK66" s="250">
        <f>FK65+FK33</f>
        <v>1072</v>
      </c>
      <c r="FL66" s="250">
        <f>FL65+FL33</f>
        <v>288713.89999999997</v>
      </c>
      <c r="FM66" s="250">
        <v>0</v>
      </c>
    </row>
    <row r="67" spans="160:169">
      <c r="FD67" s="249">
        <v>29</v>
      </c>
      <c r="FE67" s="136">
        <v>0</v>
      </c>
      <c r="FF67" s="371">
        <f>FF66+958</f>
        <v>477242</v>
      </c>
      <c r="FG67" s="371">
        <v>923290</v>
      </c>
      <c r="FH67" s="303">
        <f>FH66+1901</f>
        <v>1003690</v>
      </c>
      <c r="FI67" s="371">
        <f>FI66+470</f>
        <v>792744.7</v>
      </c>
      <c r="FJ67" s="136">
        <v>1268078</v>
      </c>
      <c r="FK67" s="371">
        <v>0</v>
      </c>
      <c r="FL67" s="371">
        <f>FL66+776</f>
        <v>289489.89999999997</v>
      </c>
      <c r="FM67" s="371">
        <v>0</v>
      </c>
    </row>
    <row r="68" spans="160:169">
      <c r="FD68" s="249">
        <v>30</v>
      </c>
      <c r="FE68" s="250">
        <v>0</v>
      </c>
      <c r="FF68" s="267">
        <f>FF67+65</f>
        <v>477307</v>
      </c>
      <c r="FG68" s="267">
        <v>923676</v>
      </c>
      <c r="FH68" s="267">
        <f>FH67+1024</f>
        <v>1004714</v>
      </c>
      <c r="FI68" s="267">
        <f>FI67+55</f>
        <v>792799.7</v>
      </c>
      <c r="FJ68" s="267">
        <v>1268078</v>
      </c>
      <c r="FK68" s="267">
        <f>67*17.5</f>
        <v>1172.5</v>
      </c>
      <c r="FL68" s="267">
        <f>FL67+896</f>
        <v>290385.89999999997</v>
      </c>
      <c r="FM68" s="250">
        <v>189</v>
      </c>
    </row>
    <row r="69" spans="160:169">
      <c r="FD69" s="249">
        <v>31</v>
      </c>
      <c r="FE69" s="267"/>
      <c r="FF69" s="267"/>
      <c r="FG69" s="267"/>
      <c r="FH69" s="267"/>
      <c r="FI69" s="267"/>
      <c r="FJ69" s="267"/>
      <c r="FK69" s="267"/>
      <c r="FL69" s="267"/>
      <c r="FM69" s="267"/>
    </row>
    <row r="70" spans="160:169">
      <c r="FE70" s="79"/>
      <c r="FF70" s="79"/>
      <c r="FG70" s="79"/>
      <c r="FH70" s="79"/>
      <c r="FI70" s="79"/>
      <c r="FJ70" s="79"/>
      <c r="FK70" s="79"/>
      <c r="FL70" s="79"/>
      <c r="FM70" s="79"/>
    </row>
    <row r="74" spans="160:169">
      <c r="FI74" s="243"/>
    </row>
    <row r="75" spans="160:169">
      <c r="FI75" s="372"/>
    </row>
    <row r="79" spans="160:169">
      <c r="FJ79" s="220">
        <v>67</v>
      </c>
      <c r="FK79" s="220">
        <v>0.72916666666666663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customSheetViews>
    <customSheetView guid="{CAAAA4EE-AC24-494B-BD01-DBAF6444BECB}" scale="90" showGridLines="0" hiddenColumns="1">
      <pane xSplit="3" ySplit="5" topLeftCell="FK24" activePane="bottomRight" state="frozen"/>
      <selection pane="bottomRight" activeCell="FN32" sqref="FN32:FN35"/>
      <pageMargins left="0.7" right="0.7" top="0.75" bottom="0.75" header="0.3" footer="0.3"/>
      <pageSetup orientation="portrait" r:id="rId1"/>
    </customSheetView>
    <customSheetView guid="{34EDC84D-4B3C-44BF-BB1A-7A0DFA8F65E7}" scale="90" showGridLines="0" hiddenColumns="1">
      <pane xSplit="3" ySplit="5" topLeftCell="FK24" activePane="bottomRight" state="frozen"/>
      <selection pane="bottomRight" activeCell="FN32" sqref="FN32:FN35"/>
      <pageMargins left="0.7" right="0.7" top="0.75" bottom="0.75" header="0.3" footer="0.3"/>
      <pageSetup orientation="portrait" r:id="rId2"/>
    </customSheetView>
  </customSheetViews>
  <mergeCells count="9">
    <mergeCell ref="FE37:FM37"/>
    <mergeCell ref="FC3:FC4"/>
    <mergeCell ref="B4:B5"/>
    <mergeCell ref="CF4:CH4"/>
    <mergeCell ref="CJ4:CL4"/>
    <mergeCell ref="CN4:CP4"/>
    <mergeCell ref="CR4:CT4"/>
    <mergeCell ref="CU4:CW4"/>
    <mergeCell ref="CX4:DB4"/>
  </mergeCells>
  <conditionalFormatting sqref="DR39 DQ38:DQ39">
    <cfRule type="cellIs" dxfId="783" priority="111" stopIfTrue="1" operator="lessThanOrEqual">
      <formula>0.145</formula>
    </cfRule>
    <cfRule type="cellIs" dxfId="782" priority="112" stopIfTrue="1" operator="greaterThan">
      <formula>0.15</formula>
    </cfRule>
  </conditionalFormatting>
  <conditionalFormatting sqref="D6:F7 E10:F21 N15:N36 G15:M21 N6:N9 G6:M8 H9:L9 G9:G14 D10:D15 D23:M36 H10:N14">
    <cfRule type="expression" dxfId="781" priority="110" stopIfTrue="1">
      <formula>OR($B6=TODAY(),$B6=TODAY()-1)</formula>
    </cfRule>
  </conditionalFormatting>
  <conditionalFormatting sqref="G15:G21 G10:G13 G6 I7:M8 H17">
    <cfRule type="expression" dxfId="780" priority="109" stopIfTrue="1">
      <formula>OR($B6=TODAY(),$B6=TODAY()-1)</formula>
    </cfRule>
  </conditionalFormatting>
  <conditionalFormatting sqref="D6:F7">
    <cfRule type="expression" dxfId="779" priority="108" stopIfTrue="1">
      <formula>OR($B6=TODAY(),$B6=TODAY()-1)</formula>
    </cfRule>
  </conditionalFormatting>
  <conditionalFormatting sqref="I7:M8">
    <cfRule type="expression" dxfId="778" priority="107" stopIfTrue="1">
      <formula>OR($B7=TODAY(),$B7=TODAY()-1)</formula>
    </cfRule>
  </conditionalFormatting>
  <conditionalFormatting sqref="I7:M8">
    <cfRule type="expression" dxfId="777" priority="106" stopIfTrue="1">
      <formula>OR($B7=TODAY(),$B7=TODAY()-1)</formula>
    </cfRule>
  </conditionalFormatting>
  <conditionalFormatting sqref="D6:F6">
    <cfRule type="expression" dxfId="776" priority="105" stopIfTrue="1">
      <formula>OR($B6=TODAY(),$B6=TODAY()-1)</formula>
    </cfRule>
  </conditionalFormatting>
  <conditionalFormatting sqref="D6:F7 G6:L21">
    <cfRule type="expression" dxfId="775" priority="104" stopIfTrue="1">
      <formula>OR($B6=TODAY(),$B6=TODAY()-1)</formula>
    </cfRule>
  </conditionalFormatting>
  <conditionalFormatting sqref="G15:G21 G10:G13 G6 I7:M8 H17">
    <cfRule type="expression" dxfId="774" priority="103" stopIfTrue="1">
      <formula>OR($B6=TODAY(),$B6=TODAY()-1)</formula>
    </cfRule>
  </conditionalFormatting>
  <conditionalFormatting sqref="D6:F7 G6:L21">
    <cfRule type="expression" dxfId="773" priority="102" stopIfTrue="1">
      <formula>OR($B6=TODAY(),$B6=TODAY()-1)</formula>
    </cfRule>
  </conditionalFormatting>
  <conditionalFormatting sqref="G15:G21 G10:G13 G6 I7:M8 H17">
    <cfRule type="expression" dxfId="772" priority="101" stopIfTrue="1">
      <formula>OR($B6=TODAY(),$B6=TODAY()-1)</formula>
    </cfRule>
  </conditionalFormatting>
  <conditionalFormatting sqref="D6:F7 G6:L21">
    <cfRule type="expression" dxfId="771" priority="100" stopIfTrue="1">
      <formula>OR($B6=TODAY(),$B6=TODAY()-1)</formula>
    </cfRule>
  </conditionalFormatting>
  <conditionalFormatting sqref="G15:G21 G10:G13 G6 I7:M8 H17">
    <cfRule type="expression" dxfId="770" priority="99" stopIfTrue="1">
      <formula>OR($B6=TODAY(),$B6=TODAY()-1)</formula>
    </cfRule>
  </conditionalFormatting>
  <conditionalFormatting sqref="D6:F7 G6:L21">
    <cfRule type="expression" dxfId="769" priority="98" stopIfTrue="1">
      <formula>OR($B6=TODAY(),$B6=TODAY()-1)</formula>
    </cfRule>
  </conditionalFormatting>
  <conditionalFormatting sqref="G15:G21 G10:G13 G6 I7:M8 H17">
    <cfRule type="expression" dxfId="768" priority="97" stopIfTrue="1">
      <formula>OR($B6=TODAY(),$B6=TODAY()-1)</formula>
    </cfRule>
  </conditionalFormatting>
  <conditionalFormatting sqref="D6:F7 G6:L21">
    <cfRule type="expression" dxfId="767" priority="96" stopIfTrue="1">
      <formula>OR($B6=TODAY(),$B6=TODAY()-1)</formula>
    </cfRule>
  </conditionalFormatting>
  <conditionalFormatting sqref="G15:G21 G10:G13 G6 I7:M8 H17">
    <cfRule type="expression" dxfId="766" priority="95" stopIfTrue="1">
      <formula>OR($B6=TODAY(),$B6=TODAY()-1)</formula>
    </cfRule>
  </conditionalFormatting>
  <conditionalFormatting sqref="D6:F7 G6:L21">
    <cfRule type="expression" dxfId="765" priority="94" stopIfTrue="1">
      <formula>OR($B6=TODAY(),$B6=TODAY()-1)</formula>
    </cfRule>
  </conditionalFormatting>
  <conditionalFormatting sqref="G15:G21 G10:G13 G6 I7:M8 H17">
    <cfRule type="expression" dxfId="764" priority="93" stopIfTrue="1">
      <formula>OR($B6=TODAY(),$B6=TODAY()-1)</formula>
    </cfRule>
  </conditionalFormatting>
  <conditionalFormatting sqref="D6:F7 G6:L21">
    <cfRule type="expression" dxfId="763" priority="92" stopIfTrue="1">
      <formula>OR($B6=TODAY(),$B6=TODAY()-1)</formula>
    </cfRule>
  </conditionalFormatting>
  <conditionalFormatting sqref="D6:F7 G6:L21">
    <cfRule type="expression" dxfId="762" priority="91" stopIfTrue="1">
      <formula>OR($B6=TODAY(),$B6=TODAY()-1)</formula>
    </cfRule>
  </conditionalFormatting>
  <conditionalFormatting sqref="G15:G21 G10:G13 G6 I7:M8 H17">
    <cfRule type="expression" dxfId="761" priority="90" stopIfTrue="1">
      <formula>OR($B6=TODAY(),$B6=TODAY()-1)</formula>
    </cfRule>
  </conditionalFormatting>
  <conditionalFormatting sqref="D6:F7 G6:L21">
    <cfRule type="expression" dxfId="760" priority="89" stopIfTrue="1">
      <formula>OR($B6=TODAY(),$B6=TODAY()-1)</formula>
    </cfRule>
  </conditionalFormatting>
  <conditionalFormatting sqref="G15:G21 G10:G13 G6 I7:M8 H17">
    <cfRule type="expression" dxfId="759" priority="88" stopIfTrue="1">
      <formula>OR($B6=TODAY(),$B6=TODAY()-1)</formula>
    </cfRule>
  </conditionalFormatting>
  <conditionalFormatting sqref="D6:F7">
    <cfRule type="expression" dxfId="758" priority="87" stopIfTrue="1">
      <formula>OR($B6=TODAY(),$B6=TODAY()-1)</formula>
    </cfRule>
  </conditionalFormatting>
  <conditionalFormatting sqref="G15:G21 G10:G13 G6 I7:M8 H17">
    <cfRule type="expression" dxfId="757" priority="86" stopIfTrue="1">
      <formula>OR($B6=TODAY(),$B6=TODAY()-1)</formula>
    </cfRule>
  </conditionalFormatting>
  <conditionalFormatting sqref="D29 D30:F31">
    <cfRule type="expression" dxfId="756" priority="85" stopIfTrue="1">
      <formula>OR($B29=TODAY(),$B29=TODAY()-1)</formula>
    </cfRule>
  </conditionalFormatting>
  <conditionalFormatting sqref="D29 D30:F31">
    <cfRule type="expression" dxfId="755" priority="84" stopIfTrue="1">
      <formula>OR($B29=TODAY(),$B29=TODAY()-1)</formula>
    </cfRule>
  </conditionalFormatting>
  <conditionalFormatting sqref="D29 D30:F31">
    <cfRule type="expression" dxfId="754" priority="83" stopIfTrue="1">
      <formula>OR($B29=TODAY(),$B29=TODAY()-1)</formula>
    </cfRule>
  </conditionalFormatting>
  <conditionalFormatting sqref="D29 D30:F31">
    <cfRule type="expression" dxfId="753" priority="82" stopIfTrue="1">
      <formula>OR($B29=TODAY(),$B29=TODAY()-1)</formula>
    </cfRule>
  </conditionalFormatting>
  <conditionalFormatting sqref="D29 D30:F31">
    <cfRule type="expression" dxfId="752" priority="81" stopIfTrue="1">
      <formula>OR($B29=TODAY(),$B29=TODAY()-1)</formula>
    </cfRule>
  </conditionalFormatting>
  <conditionalFormatting sqref="D29 D30:F31">
    <cfRule type="expression" dxfId="751" priority="80" stopIfTrue="1">
      <formula>OR($B29=TODAY(),$B29=TODAY()-1)</formula>
    </cfRule>
  </conditionalFormatting>
  <conditionalFormatting sqref="D29 D30:F31">
    <cfRule type="expression" dxfId="750" priority="79" stopIfTrue="1">
      <formula>OR($B29=TODAY(),$B29=TODAY()-1)</formula>
    </cfRule>
  </conditionalFormatting>
  <conditionalFormatting sqref="D29 D30:F31">
    <cfRule type="expression" dxfId="749" priority="78" stopIfTrue="1">
      <formula>OR($B29=TODAY(),$B29=TODAY()-1)</formula>
    </cfRule>
  </conditionalFormatting>
  <conditionalFormatting sqref="D29 D30:F31">
    <cfRule type="expression" dxfId="748" priority="77" stopIfTrue="1">
      <formula>OR($B29=TODAY(),$B29=TODAY()-1)</formula>
    </cfRule>
  </conditionalFormatting>
  <conditionalFormatting sqref="D29 D30:F31">
    <cfRule type="expression" dxfId="747" priority="76" stopIfTrue="1">
      <formula>OR($B29=TODAY(),$B29=TODAY()-1)</formula>
    </cfRule>
  </conditionalFormatting>
  <conditionalFormatting sqref="D29 D30:F31">
    <cfRule type="expression" dxfId="746" priority="75" stopIfTrue="1">
      <formula>OR($B29=TODAY(),$B29=TODAY()-1)</formula>
    </cfRule>
  </conditionalFormatting>
  <conditionalFormatting sqref="DP6:DQ37">
    <cfRule type="cellIs" dxfId="745" priority="73" stopIfTrue="1" operator="lessThanOrEqual">
      <formula>$D$2</formula>
    </cfRule>
    <cfRule type="cellIs" dxfId="744" priority="74" stopIfTrue="1" operator="greaterThan">
      <formula>$D$2</formula>
    </cfRule>
  </conditionalFormatting>
  <conditionalFormatting sqref="BZ6:BZ37 DH6:DH37 DJ6:DJ37 CS6:CS37">
    <cfRule type="cellIs" dxfId="743" priority="71" stopIfTrue="1" operator="lessThanOrEqual">
      <formula>#REF!</formula>
    </cfRule>
    <cfRule type="cellIs" dxfId="742" priority="72" stopIfTrue="1" operator="greaterThan">
      <formula>#REF!</formula>
    </cfRule>
  </conditionalFormatting>
  <conditionalFormatting sqref="DL6:DL37">
    <cfRule type="cellIs" dxfId="741" priority="69" stopIfTrue="1" operator="greaterThan">
      <formula>$D$3</formula>
    </cfRule>
    <cfRule type="cellIs" dxfId="740" priority="70" stopIfTrue="1" operator="lessThanOrEqual">
      <formula>$D$3</formula>
    </cfRule>
  </conditionalFormatting>
  <conditionalFormatting sqref="E20:F20">
    <cfRule type="expression" dxfId="739" priority="68" stopIfTrue="1">
      <formula>OR($B20=TODAY(),$B20=TODAY()-1)</formula>
    </cfRule>
  </conditionalFormatting>
  <conditionalFormatting sqref="E20:F20">
    <cfRule type="expression" dxfId="738" priority="67" stopIfTrue="1">
      <formula>OR($B20=TODAY(),$B20=TODAY()-1)</formula>
    </cfRule>
  </conditionalFormatting>
  <conditionalFormatting sqref="E20:F20">
    <cfRule type="expression" dxfId="737" priority="66" stopIfTrue="1">
      <formula>OR($B20=TODAY(),$B20=TODAY()-1)</formula>
    </cfRule>
  </conditionalFormatting>
  <conditionalFormatting sqref="E20:F20">
    <cfRule type="expression" dxfId="736" priority="65" stopIfTrue="1">
      <formula>OR($B20=TODAY(),$B20=TODAY()-1)</formula>
    </cfRule>
  </conditionalFormatting>
  <conditionalFormatting sqref="E20:F20">
    <cfRule type="expression" dxfId="735" priority="64" stopIfTrue="1">
      <formula>OR($B20=TODAY(),$B20=TODAY()-1)</formula>
    </cfRule>
  </conditionalFormatting>
  <conditionalFormatting sqref="E20:F20">
    <cfRule type="expression" dxfId="734" priority="63" stopIfTrue="1">
      <formula>OR($B20=TODAY(),$B20=TODAY()-1)</formula>
    </cfRule>
  </conditionalFormatting>
  <conditionalFormatting sqref="E20:F20">
    <cfRule type="expression" dxfId="733" priority="62" stopIfTrue="1">
      <formula>OR($B20=TODAY(),$B20=TODAY()-1)</formula>
    </cfRule>
  </conditionalFormatting>
  <conditionalFormatting sqref="E20:F20">
    <cfRule type="expression" dxfId="732" priority="61" stopIfTrue="1">
      <formula>OR($B20=TODAY(),$B20=TODAY()-1)</formula>
    </cfRule>
  </conditionalFormatting>
  <conditionalFormatting sqref="E20:F20">
    <cfRule type="expression" dxfId="731" priority="60" stopIfTrue="1">
      <formula>OR($B20=TODAY(),$B20=TODAY()-1)</formula>
    </cfRule>
  </conditionalFormatting>
  <conditionalFormatting sqref="E20:F20">
    <cfRule type="expression" dxfId="730" priority="59" stopIfTrue="1">
      <formula>OR($B20=TODAY(),$B20=TODAY()-1)</formula>
    </cfRule>
  </conditionalFormatting>
  <conditionalFormatting sqref="D34:F34">
    <cfRule type="expression" dxfId="729" priority="58" stopIfTrue="1">
      <formula>OR($B34=TODAY(),$B34=TODAY()-1)</formula>
    </cfRule>
  </conditionalFormatting>
  <conditionalFormatting sqref="D34:F34">
    <cfRule type="expression" dxfId="728" priority="57" stopIfTrue="1">
      <formula>OR($B34=TODAY(),$B34=TODAY()-1)</formula>
    </cfRule>
  </conditionalFormatting>
  <conditionalFormatting sqref="CH37">
    <cfRule type="cellIs" dxfId="727" priority="55" stopIfTrue="1" operator="lessThanOrEqual">
      <formula>#REF!</formula>
    </cfRule>
    <cfRule type="cellIs" dxfId="726" priority="56" stopIfTrue="1" operator="greaterThan">
      <formula>#REF!</formula>
    </cfRule>
  </conditionalFormatting>
  <conditionalFormatting sqref="CP6:CP37 CV6:CV37 CL6:CL37">
    <cfRule type="cellIs" dxfId="725" priority="53" operator="greaterThan">
      <formula>#REF!</formula>
    </cfRule>
    <cfRule type="cellIs" dxfId="724" priority="54" operator="lessThanOrEqual">
      <formula>#REF!</formula>
    </cfRule>
  </conditionalFormatting>
  <conditionalFormatting sqref="G14">
    <cfRule type="expression" dxfId="723" priority="52" stopIfTrue="1">
      <formula>OR($B15=TODAY(),$B15=TODAY()-1)</formula>
    </cfRule>
  </conditionalFormatting>
  <conditionalFormatting sqref="I16:M18">
    <cfRule type="expression" dxfId="722" priority="51" stopIfTrue="1">
      <formula>OR($B16=TODAY(),$B16=TODAY()-1)</formula>
    </cfRule>
  </conditionalFormatting>
  <conditionalFormatting sqref="I16:M18">
    <cfRule type="expression" dxfId="721" priority="50" stopIfTrue="1">
      <formula>OR($B16=TODAY(),$B16=TODAY()-1)</formula>
    </cfRule>
  </conditionalFormatting>
  <conditionalFormatting sqref="I16:M18">
    <cfRule type="expression" dxfId="720" priority="49" stopIfTrue="1">
      <formula>OR($B16=TODAY(),$B16=TODAY()-1)</formula>
    </cfRule>
  </conditionalFormatting>
  <conditionalFormatting sqref="I16:M18">
    <cfRule type="expression" dxfId="719" priority="48" stopIfTrue="1">
      <formula>OR($B16=TODAY(),$B16=TODAY()-1)</formula>
    </cfRule>
  </conditionalFormatting>
  <conditionalFormatting sqref="D16">
    <cfRule type="expression" dxfId="718" priority="47" stopIfTrue="1">
      <formula>OR($B16=TODAY(),$B16=TODAY()-1)</formula>
    </cfRule>
  </conditionalFormatting>
  <conditionalFormatting sqref="G6:L21">
    <cfRule type="expression" dxfId="717" priority="46" stopIfTrue="1">
      <formula>OR($B6=TODAY(),$B6=TODAY()-1)</formula>
    </cfRule>
  </conditionalFormatting>
  <conditionalFormatting sqref="G6:L21">
    <cfRule type="expression" dxfId="716" priority="45" stopIfTrue="1">
      <formula>OR($B6=TODAY(),$B6=TODAY()-1)</formula>
    </cfRule>
  </conditionalFormatting>
  <conditionalFormatting sqref="G6:L21">
    <cfRule type="expression" dxfId="715" priority="44" stopIfTrue="1">
      <formula>OR($B6=TODAY(),$B6=TODAY()-1)</formula>
    </cfRule>
  </conditionalFormatting>
  <conditionalFormatting sqref="G15">
    <cfRule type="expression" dxfId="714" priority="43" stopIfTrue="1">
      <formula>OR($B16=TODAY(),$B16=TODAY()-1)</formula>
    </cfRule>
  </conditionalFormatting>
  <conditionalFormatting sqref="D6:J6">
    <cfRule type="expression" dxfId="713" priority="42" stopIfTrue="1">
      <formula>OR($B6=TODAY(),$B6=TODAY()-1)</formula>
    </cfRule>
  </conditionalFormatting>
  <conditionalFormatting sqref="G6">
    <cfRule type="expression" dxfId="712" priority="41" stopIfTrue="1">
      <formula>OR($B6=TODAY(),$B6=TODAY()-1)</formula>
    </cfRule>
  </conditionalFormatting>
  <conditionalFormatting sqref="D6:F6">
    <cfRule type="expression" dxfId="711" priority="40" stopIfTrue="1">
      <formula>OR($B6=TODAY(),$B6=TODAY()-1)</formula>
    </cfRule>
  </conditionalFormatting>
  <conditionalFormatting sqref="D6:F6">
    <cfRule type="expression" dxfId="710" priority="39" stopIfTrue="1">
      <formula>OR($B6=TODAY(),$B6=TODAY()-1)</formula>
    </cfRule>
  </conditionalFormatting>
  <conditionalFormatting sqref="D6:J6">
    <cfRule type="expression" dxfId="709" priority="38" stopIfTrue="1">
      <formula>OR($B6=TODAY(),$B6=TODAY()-1)</formula>
    </cfRule>
  </conditionalFormatting>
  <conditionalFormatting sqref="G6">
    <cfRule type="expression" dxfId="708" priority="37" stopIfTrue="1">
      <formula>OR($B6=TODAY(),$B6=TODAY()-1)</formula>
    </cfRule>
  </conditionalFormatting>
  <conditionalFormatting sqref="D6:J6">
    <cfRule type="expression" dxfId="707" priority="36" stopIfTrue="1">
      <formula>OR($B6=TODAY(),$B6=TODAY()-1)</formula>
    </cfRule>
  </conditionalFormatting>
  <conditionalFormatting sqref="G6">
    <cfRule type="expression" dxfId="706" priority="35" stopIfTrue="1">
      <formula>OR($B6=TODAY(),$B6=TODAY()-1)</formula>
    </cfRule>
  </conditionalFormatting>
  <conditionalFormatting sqref="D6:J6">
    <cfRule type="expression" dxfId="705" priority="34" stopIfTrue="1">
      <formula>OR($B6=TODAY(),$B6=TODAY()-1)</formula>
    </cfRule>
  </conditionalFormatting>
  <conditionalFormatting sqref="G6">
    <cfRule type="expression" dxfId="704" priority="33" stopIfTrue="1">
      <formula>OR($B6=TODAY(),$B6=TODAY()-1)</formula>
    </cfRule>
  </conditionalFormatting>
  <conditionalFormatting sqref="D6:J6">
    <cfRule type="expression" dxfId="703" priority="32" stopIfTrue="1">
      <formula>OR($B6=TODAY(),$B6=TODAY()-1)</formula>
    </cfRule>
  </conditionalFormatting>
  <conditionalFormatting sqref="G6">
    <cfRule type="expression" dxfId="702" priority="31" stopIfTrue="1">
      <formula>OR($B6=TODAY(),$B6=TODAY()-1)</formula>
    </cfRule>
  </conditionalFormatting>
  <conditionalFormatting sqref="D6:J6">
    <cfRule type="expression" dxfId="701" priority="30" stopIfTrue="1">
      <formula>OR($B6=TODAY(),$B6=TODAY()-1)</formula>
    </cfRule>
  </conditionalFormatting>
  <conditionalFormatting sqref="G6">
    <cfRule type="expression" dxfId="700" priority="29" stopIfTrue="1">
      <formula>OR($B6=TODAY(),$B6=TODAY()-1)</formula>
    </cfRule>
  </conditionalFormatting>
  <conditionalFormatting sqref="D6:J6">
    <cfRule type="expression" dxfId="699" priority="28" stopIfTrue="1">
      <formula>OR($B6=TODAY(),$B6=TODAY()-1)</formula>
    </cfRule>
  </conditionalFormatting>
  <conditionalFormatting sqref="G6">
    <cfRule type="expression" dxfId="698" priority="27" stopIfTrue="1">
      <formula>OR($B6=TODAY(),$B6=TODAY()-1)</formula>
    </cfRule>
  </conditionalFormatting>
  <conditionalFormatting sqref="D6:J6">
    <cfRule type="expression" dxfId="697" priority="26" stopIfTrue="1">
      <formula>OR($B6=TODAY(),$B6=TODAY()-1)</formula>
    </cfRule>
  </conditionalFormatting>
  <conditionalFormatting sqref="D6:J6">
    <cfRule type="expression" dxfId="696" priority="25" stopIfTrue="1">
      <formula>OR($B6=TODAY(),$B6=TODAY()-1)</formula>
    </cfRule>
  </conditionalFormatting>
  <conditionalFormatting sqref="G6">
    <cfRule type="expression" dxfId="695" priority="24" stopIfTrue="1">
      <formula>OR($B6=TODAY(),$B6=TODAY()-1)</formula>
    </cfRule>
  </conditionalFormatting>
  <conditionalFormatting sqref="D6:J6">
    <cfRule type="expression" dxfId="694" priority="23" stopIfTrue="1">
      <formula>OR($B6=TODAY(),$B6=TODAY()-1)</formula>
    </cfRule>
  </conditionalFormatting>
  <conditionalFormatting sqref="G6">
    <cfRule type="expression" dxfId="693" priority="22" stopIfTrue="1">
      <formula>OR($B6=TODAY(),$B6=TODAY()-1)</formula>
    </cfRule>
  </conditionalFormatting>
  <conditionalFormatting sqref="D6:F6">
    <cfRule type="expression" dxfId="692" priority="21" stopIfTrue="1">
      <formula>OR($B6=TODAY(),$B6=TODAY()-1)</formula>
    </cfRule>
  </conditionalFormatting>
  <conditionalFormatting sqref="G6">
    <cfRule type="expression" dxfId="691" priority="20" stopIfTrue="1">
      <formula>OR($B6=TODAY(),$B6=TODAY()-1)</formula>
    </cfRule>
  </conditionalFormatting>
  <conditionalFormatting sqref="G6:J6">
    <cfRule type="expression" dxfId="690" priority="19" stopIfTrue="1">
      <formula>OR($B6=TODAY(),$B6=TODAY()-1)</formula>
    </cfRule>
  </conditionalFormatting>
  <conditionalFormatting sqref="G6:J6">
    <cfRule type="expression" dxfId="689" priority="18" stopIfTrue="1">
      <formula>OR($B6=TODAY(),$B6=TODAY()-1)</formula>
    </cfRule>
  </conditionalFormatting>
  <conditionalFormatting sqref="G6:J6">
    <cfRule type="expression" dxfId="688" priority="17" stopIfTrue="1">
      <formula>OR($B6=TODAY(),$B6=TODAY()-1)</formula>
    </cfRule>
  </conditionalFormatting>
  <conditionalFormatting sqref="K13">
    <cfRule type="expression" dxfId="687" priority="16" stopIfTrue="1">
      <formula>OR($B13=TODAY(),$B13=TODAY()-1)</formula>
    </cfRule>
  </conditionalFormatting>
  <conditionalFormatting sqref="K13">
    <cfRule type="expression" dxfId="686" priority="15" stopIfTrue="1">
      <formula>OR($B13=TODAY(),$B13=TODAY()-1)</formula>
    </cfRule>
  </conditionalFormatting>
  <conditionalFormatting sqref="K13">
    <cfRule type="expression" dxfId="685" priority="14" stopIfTrue="1">
      <formula>OR($B13=TODAY(),$B13=TODAY()-1)</formula>
    </cfRule>
  </conditionalFormatting>
  <conditionalFormatting sqref="K13">
    <cfRule type="expression" dxfId="684" priority="13" stopIfTrue="1">
      <formula>OR($B13=TODAY(),$B13=TODAY()-1)</formula>
    </cfRule>
  </conditionalFormatting>
  <conditionalFormatting sqref="K13">
    <cfRule type="expression" dxfId="683" priority="12" stopIfTrue="1">
      <formula>OR($B13=TODAY(),$B13=TODAY()-1)</formula>
    </cfRule>
  </conditionalFormatting>
  <conditionalFormatting sqref="K13">
    <cfRule type="expression" dxfId="682" priority="11" stopIfTrue="1">
      <formula>OR($B13=TODAY(),$B13=TODAY()-1)</formula>
    </cfRule>
  </conditionalFormatting>
  <conditionalFormatting sqref="K13">
    <cfRule type="expression" dxfId="681" priority="10" stopIfTrue="1">
      <formula>OR($B13=TODAY(),$B13=TODAY()-1)</formula>
    </cfRule>
  </conditionalFormatting>
  <conditionalFormatting sqref="K13">
    <cfRule type="expression" dxfId="680" priority="9" stopIfTrue="1">
      <formula>OR($B13=TODAY(),$B13=TODAY()-1)</formula>
    </cfRule>
  </conditionalFormatting>
  <conditionalFormatting sqref="K13">
    <cfRule type="expression" dxfId="679" priority="8" stopIfTrue="1">
      <formula>OR($B13=TODAY(),$B13=TODAY()-1)</formula>
    </cfRule>
  </conditionalFormatting>
  <conditionalFormatting sqref="K13">
    <cfRule type="expression" dxfId="678" priority="7" stopIfTrue="1">
      <formula>OR($B13=TODAY(),$B13=TODAY()-1)</formula>
    </cfRule>
  </conditionalFormatting>
  <conditionalFormatting sqref="K13">
    <cfRule type="expression" dxfId="677" priority="6" stopIfTrue="1">
      <formula>OR($B13=TODAY(),$B13=TODAY()-1)</formula>
    </cfRule>
  </conditionalFormatting>
  <conditionalFormatting sqref="K13">
    <cfRule type="expression" dxfId="676" priority="5" stopIfTrue="1">
      <formula>OR($B13=TODAY(),$B13=TODAY()-1)</formula>
    </cfRule>
  </conditionalFormatting>
  <conditionalFormatting sqref="K13">
    <cfRule type="expression" dxfId="675" priority="4" stopIfTrue="1">
      <formula>OR($B13=TODAY(),$B13=TODAY()-1)</formula>
    </cfRule>
  </conditionalFormatting>
  <conditionalFormatting sqref="K13">
    <cfRule type="expression" dxfId="674" priority="3" stopIfTrue="1">
      <formula>OR($B13=TODAY(),$B13=TODAY()-1)</formula>
    </cfRule>
  </conditionalFormatting>
  <conditionalFormatting sqref="K13">
    <cfRule type="expression" dxfId="673" priority="2" stopIfTrue="1">
      <formula>OR($B13=TODAY(),$B13=TODAY()-1)</formula>
    </cfRule>
  </conditionalFormatting>
  <conditionalFormatting sqref="K13">
    <cfRule type="expression" dxfId="672" priority="1" stopIfTrue="1">
      <formula>OR($B13=TODAY(),$B13=TODAY()-1)</formula>
    </cfRule>
  </conditionalFormatting>
  <hyperlinks>
    <hyperlink ref="BA5" r:id="rId3" xr:uid="{00000000-0004-0000-1900-000000000000}"/>
  </hyperlinks>
  <pageMargins left="0.7" right="0.7" top="0.75" bottom="0.75" header="0.3" footer="0.3"/>
  <pageSetup orientation="portrait"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GL84"/>
  <sheetViews>
    <sheetView showGridLines="0" zoomScale="80" zoomScaleNormal="80" workbookViewId="0">
      <pane xSplit="3" ySplit="5" topLeftCell="D21" activePane="bottomRight" state="frozen"/>
      <selection activeCell="FD6" sqref="FD6:FD36"/>
      <selection pane="topRight" activeCell="FD6" sqref="FD6:FD36"/>
      <selection pane="bottomLeft" activeCell="FD6" sqref="FD6:FD36"/>
      <selection pane="bottomRight" activeCell="FD6" sqref="FD6:FD36"/>
    </sheetView>
  </sheetViews>
  <sheetFormatPr defaultRowHeight="15" outlineLevelCol="2"/>
  <cols>
    <col min="1" max="1" width="0.7109375" style="64" customWidth="1"/>
    <col min="2" max="2" width="6.5703125" style="64" customWidth="1"/>
    <col min="3" max="3" width="6.85546875" style="64" bestFit="1" customWidth="1"/>
    <col min="4" max="4" width="13.85546875" style="64" customWidth="1" outlineLevel="1"/>
    <col min="5" max="5" width="12" style="64" customWidth="1" outlineLevel="1"/>
    <col min="6" max="6" width="10" style="64" customWidth="1" outlineLevel="1"/>
    <col min="7" max="7" width="9.85546875" style="64" customWidth="1" outlineLevel="1"/>
    <col min="8" max="8" width="10.42578125" style="64" customWidth="1" outlineLevel="1"/>
    <col min="9" max="9" width="10.7109375" style="64" customWidth="1" outlineLevel="1"/>
    <col min="10" max="11" width="9.28515625" style="64" customWidth="1" outlineLevel="1"/>
    <col min="12" max="12" width="10.5703125" style="64" customWidth="1" outlineLevel="1"/>
    <col min="13" max="13" width="10.85546875" style="64" customWidth="1" outlineLevel="1"/>
    <col min="14" max="14" width="14.28515625" style="64" customWidth="1" outlineLevel="1"/>
    <col min="15" max="15" width="11" style="64" customWidth="1"/>
    <col min="16" max="16" width="11.85546875" style="64" customWidth="1" outlineLevel="1"/>
    <col min="17" max="17" width="1.42578125" style="64" customWidth="1"/>
    <col min="18" max="18" width="12.28515625" style="64" customWidth="1" outlineLevel="2"/>
    <col min="19" max="19" width="12.85546875" style="64" customWidth="1" outlineLevel="2"/>
    <col min="20" max="20" width="12.5703125" style="64" customWidth="1" outlineLevel="2"/>
    <col min="21" max="21" width="14.140625" style="64" customWidth="1" outlineLevel="2"/>
    <col min="22" max="22" width="9.42578125" style="64" customWidth="1" outlineLevel="2"/>
    <col min="23" max="23" width="10.7109375" style="64" customWidth="1" outlineLevel="2"/>
    <col min="24" max="24" width="11.5703125" style="64" customWidth="1" outlineLevel="2"/>
    <col min="25" max="26" width="10.7109375" style="64" customWidth="1" outlineLevel="2"/>
    <col min="27" max="27" width="11" style="64" customWidth="1" outlineLevel="1"/>
    <col min="28" max="29" width="12" style="64" customWidth="1" outlineLevel="2"/>
    <col min="30" max="31" width="10.85546875" style="64" customWidth="1" outlineLevel="1"/>
    <col min="32" max="32" width="12" style="64" customWidth="1" outlineLevel="2"/>
    <col min="33" max="33" width="8.140625" style="64" customWidth="1" outlineLevel="2"/>
    <col min="34" max="34" width="9.5703125" style="64" customWidth="1" outlineLevel="1"/>
    <col min="35" max="35" width="10.85546875" style="64" customWidth="1" outlineLevel="1"/>
    <col min="36" max="36" width="12" style="64" customWidth="1" outlineLevel="2"/>
    <col min="37" max="37" width="8.140625" style="64" customWidth="1" outlineLevel="2"/>
    <col min="38" max="38" width="9.5703125" style="64" customWidth="1" outlineLevel="1"/>
    <col min="39" max="39" width="10.85546875" style="64" customWidth="1" outlineLevel="1"/>
    <col min="40" max="40" width="9.5703125" style="64" customWidth="1" outlineLevel="2"/>
    <col min="41" max="41" width="9.5703125" style="64" customWidth="1" outlineLevel="1"/>
    <col min="42" max="42" width="9.5703125" style="64" customWidth="1" outlineLevel="2"/>
    <col min="43" max="43" width="9.5703125" style="64" customWidth="1" outlineLevel="1"/>
    <col min="44" max="44" width="11.28515625" style="64" customWidth="1" outlineLevel="2"/>
    <col min="45" max="45" width="9.140625" style="64" customWidth="1" outlineLevel="1"/>
    <col min="46" max="46" width="13.5703125" style="64" customWidth="1" outlineLevel="1"/>
    <col min="47" max="47" width="11.28515625" style="64" customWidth="1" outlineLevel="2"/>
    <col min="48" max="48" width="9.5703125" style="64" customWidth="1" outlineLevel="1"/>
    <col min="49" max="49" width="11.28515625" style="64" customWidth="1" outlineLevel="2"/>
    <col min="50" max="51" width="9.5703125" style="64" customWidth="1" outlineLevel="1"/>
    <col min="52" max="52" width="13.85546875" style="64" customWidth="1" outlineLevel="2"/>
    <col min="53" max="53" width="10.28515625" style="64" customWidth="1" outlineLevel="2"/>
    <col min="54" max="54" width="13.85546875" style="64" customWidth="1" outlineLevel="2"/>
    <col min="55" max="55" width="14.85546875" style="64" customWidth="1" outlineLevel="2"/>
    <col min="56" max="56" width="15.28515625" style="64" customWidth="1" outlineLevel="2"/>
    <col min="57" max="58" width="13.7109375" style="64" customWidth="1" outlineLevel="2"/>
    <col min="59" max="60" width="9.5703125" style="64" customWidth="1" outlineLevel="1"/>
    <col min="61" max="61" width="17" style="64" customWidth="1" outlineLevel="1"/>
    <col min="62" max="62" width="19.140625" style="64" customWidth="1" outlineLevel="1"/>
    <col min="63" max="63" width="2.28515625" style="261" customWidth="1"/>
    <col min="64" max="64" width="19.28515625" style="64" customWidth="1"/>
    <col min="65" max="65" width="14.28515625" style="64" customWidth="1"/>
    <col min="66" max="66" width="0.85546875" style="64" customWidth="1"/>
    <col min="67" max="67" width="12.28515625" style="64" customWidth="1" outlineLevel="2"/>
    <col min="68" max="68" width="12.42578125" style="64" customWidth="1" outlineLevel="2"/>
    <col min="69" max="69" width="12.5703125" style="64" customWidth="1" outlineLevel="2"/>
    <col min="70" max="72" width="9.42578125" style="64" customWidth="1" outlineLevel="2"/>
    <col min="73" max="73" width="21.42578125" style="64" customWidth="1" outlineLevel="1"/>
    <col min="74" max="74" width="12.28515625" style="64" customWidth="1" outlineLevel="2"/>
    <col min="75" max="75" width="12.42578125" style="64" customWidth="1" outlineLevel="2"/>
    <col min="76" max="76" width="12.5703125" style="64" customWidth="1" outlineLevel="2"/>
    <col min="77" max="77" width="9.42578125" style="64" customWidth="1" outlineLevel="2"/>
    <col min="78" max="78" width="13.7109375" style="64" customWidth="1" outlineLevel="1"/>
    <col min="79" max="79" width="0.42578125" style="64" customWidth="1" outlineLevel="1"/>
    <col min="80" max="80" width="11.7109375" style="64" customWidth="1" outlineLevel="2"/>
    <col min="81" max="81" width="9.7109375" style="64" customWidth="1" outlineLevel="1"/>
    <col min="82" max="82" width="11.42578125" style="64" customWidth="1" outlineLevel="1"/>
    <col min="83" max="83" width="12.85546875" style="64" customWidth="1" outlineLevel="1"/>
    <col min="84" max="84" width="13.7109375" style="64" customWidth="1" outlineLevel="2"/>
    <col min="85" max="85" width="11" style="64" customWidth="1" outlineLevel="2"/>
    <col min="86" max="86" width="8.7109375" style="64" customWidth="1" outlineLevel="1"/>
    <col min="87" max="87" width="0.140625" style="64" customWidth="1" outlineLevel="1"/>
    <col min="88" max="89" width="11.7109375" style="64" customWidth="1" outlineLevel="2"/>
    <col min="90" max="90" width="10.28515625" style="64" customWidth="1" outlineLevel="1"/>
    <col min="91" max="91" width="0.5703125" style="64" customWidth="1" outlineLevel="1"/>
    <col min="92" max="93" width="11.7109375" style="64" customWidth="1" outlineLevel="2"/>
    <col min="94" max="94" width="8.7109375" style="64" customWidth="1" outlineLevel="1"/>
    <col min="95" max="95" width="0.28515625" style="64" customWidth="1" outlineLevel="1"/>
    <col min="96" max="96" width="14.42578125" style="64" customWidth="1" outlineLevel="2"/>
    <col min="97" max="97" width="6.7109375" style="64" customWidth="1" outlineLevel="1"/>
    <col min="98" max="98" width="0.28515625" style="64" customWidth="1" outlineLevel="1"/>
    <col min="99" max="99" width="11" style="64" customWidth="1" outlineLevel="2"/>
    <col min="100" max="100" width="7.28515625" style="64" customWidth="1" outlineLevel="1"/>
    <col min="101" max="101" width="0.42578125" style="64" customWidth="1" outlineLevel="1"/>
    <col min="102" max="104" width="8.140625" style="64" customWidth="1" outlineLevel="1"/>
    <col min="105" max="105" width="8.42578125" style="64" customWidth="1" outlineLevel="1"/>
    <col min="106" max="106" width="10.42578125" style="64" customWidth="1" outlineLevel="2"/>
    <col min="107" max="107" width="9.7109375" style="64" customWidth="1" outlineLevel="2"/>
    <col min="108" max="108" width="18.28515625" style="64" customWidth="1" outlineLevel="2"/>
    <col min="109" max="109" width="14.85546875" style="64" customWidth="1" outlineLevel="2"/>
    <col min="110" max="110" width="17" style="64" customWidth="1" outlineLevel="2"/>
    <col min="111" max="111" width="14.85546875" style="64" customWidth="1" outlineLevel="2"/>
    <col min="112" max="112" width="11" style="64" customWidth="1" outlineLevel="1"/>
    <col min="113" max="113" width="0.28515625" style="64" customWidth="1" outlineLevel="1"/>
    <col min="114" max="114" width="9.85546875" style="64" customWidth="1" outlineLevel="1"/>
    <col min="115" max="115" width="0.42578125" style="64" customWidth="1" outlineLevel="1"/>
    <col min="116" max="116" width="9.85546875" style="64" customWidth="1" outlineLevel="1"/>
    <col min="117" max="117" width="0.42578125" style="64" customWidth="1" outlineLevel="1"/>
    <col min="118" max="118" width="13.140625" style="64" customWidth="1" outlineLevel="2"/>
    <col min="119" max="119" width="1.7109375" style="261" customWidth="1"/>
    <col min="120" max="120" width="16.42578125" style="64" customWidth="1"/>
    <col min="121" max="121" width="15.140625" style="64" customWidth="1"/>
    <col min="122" max="122" width="3.42578125" style="64" customWidth="1"/>
    <col min="123" max="123" width="8.42578125" style="64" customWidth="1"/>
    <col min="124" max="124" width="9.140625" style="64" customWidth="1"/>
    <col min="125" max="131" width="15.7109375" style="219" customWidth="1" outlineLevel="1"/>
    <col min="132" max="132" width="15.7109375" style="220" customWidth="1" outlineLevel="1"/>
    <col min="133" max="139" width="15.7109375" style="219" customWidth="1" outlineLevel="1"/>
    <col min="140" max="141" width="15.7109375" style="220" customWidth="1" outlineLevel="1"/>
    <col min="142" max="143" width="15.7109375" style="219" customWidth="1" outlineLevel="1"/>
    <col min="144" max="144" width="15.7109375" style="220" customWidth="1" outlineLevel="1"/>
    <col min="145" max="145" width="15.7109375" style="219" customWidth="1" outlineLevel="1"/>
    <col min="146" max="153" width="15.7109375" style="220" customWidth="1" outlineLevel="1"/>
    <col min="154" max="159" width="15.7109375" style="219" customWidth="1" outlineLevel="1"/>
    <col min="160" max="160" width="20.5703125" style="220" customWidth="1"/>
    <col min="161" max="162" width="11.85546875" style="220" customWidth="1" outlineLevel="1"/>
    <col min="163" max="169" width="10.7109375" style="220" customWidth="1" outlineLevel="1"/>
    <col min="170" max="170" width="15.5703125" style="220" customWidth="1"/>
    <col min="171" max="171" width="20.5703125" style="220" customWidth="1"/>
    <col min="172" max="172" width="77.140625" style="64" customWidth="1"/>
    <col min="173" max="173" width="9.140625" style="9"/>
    <col min="174" max="179" width="9.140625" style="9" hidden="1" customWidth="1"/>
    <col min="180" max="181" width="9.140625" style="9"/>
    <col min="182" max="182" width="12.28515625" style="9" customWidth="1"/>
    <col min="183" max="183" width="12" style="64" customWidth="1"/>
    <col min="184" max="184" width="9.28515625" style="64" bestFit="1" customWidth="1"/>
    <col min="185" max="185" width="9.140625" style="64"/>
    <col min="186" max="187" width="13.5703125" style="64" customWidth="1"/>
    <col min="188" max="188" width="9.7109375" style="64" bestFit="1" customWidth="1"/>
    <col min="189" max="189" width="9.140625" style="64"/>
    <col min="190" max="190" width="10.85546875" style="64" customWidth="1"/>
    <col min="191" max="191" width="15" style="64" customWidth="1"/>
    <col min="192" max="192" width="13.7109375" style="64" customWidth="1"/>
    <col min="193" max="194" width="9.140625" style="10"/>
    <col min="195" max="16384" width="9.140625" style="64"/>
  </cols>
  <sheetData>
    <row r="1" spans="1:194" s="4" customFormat="1">
      <c r="A1" s="1"/>
      <c r="B1" s="2" t="s">
        <v>0</v>
      </c>
      <c r="C1" s="1"/>
      <c r="D1" s="3"/>
      <c r="E1" s="3"/>
      <c r="F1" s="3"/>
      <c r="G1" s="3"/>
      <c r="H1" s="3"/>
      <c r="I1" s="3"/>
      <c r="J1" s="3"/>
      <c r="K1" s="3" t="s">
        <v>209</v>
      </c>
      <c r="L1" s="3"/>
      <c r="M1" s="3"/>
      <c r="N1" s="3"/>
      <c r="AA1" s="5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5"/>
      <c r="AS1" s="5"/>
      <c r="AT1" s="5"/>
      <c r="AU1" s="5"/>
      <c r="AV1" s="6"/>
      <c r="AW1" s="5"/>
      <c r="AX1" s="6"/>
      <c r="AY1" s="6"/>
      <c r="AZ1" s="374"/>
      <c r="BA1" s="6"/>
      <c r="BB1" s="6"/>
      <c r="BD1" s="5"/>
      <c r="BE1" s="5">
        <f>2693/10</f>
        <v>269.3</v>
      </c>
      <c r="BF1" s="5"/>
      <c r="BG1" s="6"/>
      <c r="BK1" s="7"/>
      <c r="CF1" s="22"/>
      <c r="CK1" s="22"/>
      <c r="CO1" s="22"/>
      <c r="DO1" s="7"/>
      <c r="DU1" s="8"/>
      <c r="DV1" s="8"/>
      <c r="DW1" s="8"/>
      <c r="DX1" s="8"/>
      <c r="DY1" s="8"/>
      <c r="DZ1" s="8"/>
      <c r="EA1" s="8"/>
      <c r="EB1" s="3"/>
      <c r="EC1" s="8"/>
      <c r="ED1" s="8"/>
      <c r="EE1" s="8"/>
      <c r="EF1" s="8"/>
      <c r="EG1" s="8"/>
      <c r="EH1" s="8"/>
      <c r="EI1" s="8"/>
      <c r="EJ1" s="3"/>
      <c r="EK1" s="3"/>
      <c r="EL1" s="8"/>
      <c r="EM1" s="8"/>
      <c r="EN1" s="3"/>
      <c r="EO1" s="8"/>
      <c r="EP1" s="3"/>
      <c r="EQ1" s="3"/>
      <c r="ER1" s="3"/>
      <c r="ES1" s="3"/>
      <c r="ET1" s="3"/>
      <c r="EU1" s="3"/>
      <c r="EV1" s="3"/>
      <c r="EW1" s="3"/>
      <c r="EX1" s="8"/>
      <c r="EY1" s="8"/>
      <c r="EZ1" s="8"/>
      <c r="FA1" s="8"/>
      <c r="FB1" s="8"/>
      <c r="FC1" s="8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Q1" s="9"/>
      <c r="FR1" s="9"/>
      <c r="FS1" s="9"/>
      <c r="FT1" s="9"/>
      <c r="FU1" s="9"/>
      <c r="FV1" s="9"/>
      <c r="FW1" s="9"/>
      <c r="FX1" s="9"/>
      <c r="FY1" s="9"/>
      <c r="FZ1" s="9"/>
      <c r="GK1" s="10"/>
      <c r="GL1" s="10"/>
    </row>
    <row r="2" spans="1:194" s="4" customFormat="1" ht="13.5" customHeight="1">
      <c r="B2" s="11" t="s">
        <v>1</v>
      </c>
      <c r="C2" s="12"/>
      <c r="D2" s="13" t="s">
        <v>2</v>
      </c>
      <c r="E2" s="14"/>
      <c r="F2" s="14"/>
      <c r="G2" s="3"/>
      <c r="H2" s="12"/>
      <c r="I2" s="12"/>
      <c r="J2" s="12"/>
      <c r="K2" s="336" t="s">
        <v>210</v>
      </c>
      <c r="L2" s="12"/>
      <c r="M2" s="12"/>
      <c r="N2" s="12"/>
      <c r="R2" s="15"/>
      <c r="S2" s="15"/>
      <c r="T2" s="15"/>
      <c r="U2" s="15"/>
      <c r="V2" s="16"/>
      <c r="W2" s="16"/>
      <c r="X2" s="16"/>
      <c r="Y2" s="16"/>
      <c r="Z2" s="16"/>
      <c r="AA2" s="17"/>
      <c r="AB2" s="17"/>
      <c r="AC2" s="17"/>
      <c r="AD2" s="17"/>
      <c r="AE2" s="17"/>
      <c r="AF2" s="5"/>
      <c r="AG2" s="5"/>
      <c r="AH2" s="5"/>
      <c r="AI2" s="17"/>
      <c r="AJ2" s="5"/>
      <c r="AK2" s="5"/>
      <c r="AL2" s="5"/>
      <c r="AM2" s="17"/>
      <c r="AN2" s="5"/>
      <c r="AO2" s="5"/>
      <c r="AP2" s="5"/>
      <c r="AQ2" s="5"/>
      <c r="AR2" s="17"/>
      <c r="AS2" s="17"/>
      <c r="AT2" s="17"/>
      <c r="AU2" s="17"/>
      <c r="AV2" s="5"/>
      <c r="AW2" s="17"/>
      <c r="AX2" s="5"/>
      <c r="AY2" s="5"/>
      <c r="AZ2" s="5"/>
      <c r="BA2" s="5"/>
      <c r="BB2" s="5"/>
      <c r="BC2" s="6"/>
      <c r="BD2" s="18"/>
      <c r="BE2" s="18">
        <f>BE1*24</f>
        <v>6463.2000000000007</v>
      </c>
      <c r="BF2" s="18"/>
      <c r="BG2" s="5"/>
      <c r="BH2" s="5"/>
      <c r="BI2" s="19"/>
      <c r="BJ2" s="19"/>
      <c r="BK2" s="20"/>
      <c r="BL2" s="19"/>
      <c r="BM2" s="19"/>
      <c r="BN2" s="19"/>
      <c r="CG2" s="21"/>
      <c r="CK2" s="22"/>
      <c r="CO2" s="22"/>
      <c r="CU2" s="22"/>
      <c r="DO2" s="7"/>
      <c r="DU2" s="8" t="s">
        <v>3</v>
      </c>
      <c r="DV2" s="8"/>
      <c r="DW2" s="8"/>
      <c r="DX2" s="8"/>
      <c r="DY2" s="8"/>
      <c r="DZ2" s="8"/>
      <c r="EA2" s="3"/>
      <c r="EB2" s="3"/>
      <c r="EC2" s="8"/>
      <c r="ED2" s="8"/>
      <c r="EE2" s="8"/>
      <c r="EF2" s="8"/>
      <c r="EG2" s="8"/>
      <c r="EH2" s="8"/>
      <c r="EI2" s="8"/>
      <c r="EJ2" s="9"/>
      <c r="EK2" s="9"/>
      <c r="EL2" s="8"/>
      <c r="EM2" s="8"/>
      <c r="EN2" s="9"/>
      <c r="EO2" s="8"/>
      <c r="EP2" s="246"/>
      <c r="EQ2" s="246"/>
      <c r="ER2" s="246"/>
      <c r="ES2" s="246"/>
      <c r="ET2" s="246"/>
      <c r="EU2" s="9"/>
      <c r="EV2" s="9"/>
      <c r="EW2" s="3"/>
      <c r="EX2" s="8"/>
      <c r="EY2" s="8"/>
      <c r="EZ2" s="8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23"/>
      <c r="FQ2" s="9"/>
      <c r="FR2" s="9"/>
      <c r="GK2" s="10"/>
      <c r="GL2" s="10"/>
    </row>
    <row r="3" spans="1:194" s="16" customFormat="1" ht="30" customHeight="1">
      <c r="D3" s="337"/>
      <c r="E3" s="338"/>
      <c r="F3" s="338"/>
      <c r="G3" s="28"/>
      <c r="H3" s="339"/>
      <c r="I3" s="339"/>
      <c r="J3" s="339"/>
      <c r="K3" s="339"/>
      <c r="L3" s="339"/>
      <c r="M3" s="339"/>
      <c r="N3" s="339"/>
      <c r="P3" s="340"/>
      <c r="R3" s="27">
        <v>202</v>
      </c>
      <c r="S3" s="27">
        <v>69</v>
      </c>
      <c r="T3" s="27">
        <v>486</v>
      </c>
      <c r="U3" s="27"/>
      <c r="V3" s="27">
        <v>1402</v>
      </c>
      <c r="W3" s="27"/>
      <c r="X3" s="27">
        <v>1402</v>
      </c>
      <c r="Y3" s="27">
        <v>98</v>
      </c>
      <c r="Z3" s="27">
        <v>149</v>
      </c>
      <c r="AA3" s="27">
        <v>2166</v>
      </c>
      <c r="AB3" s="27">
        <v>113</v>
      </c>
      <c r="AC3" s="27">
        <v>35</v>
      </c>
      <c r="AD3" s="28">
        <v>268</v>
      </c>
      <c r="AE3" s="28">
        <v>120</v>
      </c>
      <c r="AF3" s="27">
        <v>159</v>
      </c>
      <c r="AG3" s="27">
        <v>42</v>
      </c>
      <c r="AH3" s="28">
        <v>286</v>
      </c>
      <c r="AI3" s="28">
        <v>85</v>
      </c>
      <c r="AJ3" s="27">
        <v>195</v>
      </c>
      <c r="AK3" s="27">
        <v>39</v>
      </c>
      <c r="AL3" s="27">
        <v>313</v>
      </c>
      <c r="AM3" s="28">
        <v>80</v>
      </c>
      <c r="AN3" s="27">
        <v>26</v>
      </c>
      <c r="AO3" s="27">
        <v>66</v>
      </c>
      <c r="AP3" s="27">
        <v>37</v>
      </c>
      <c r="AQ3" s="27">
        <v>67</v>
      </c>
      <c r="AR3" s="27">
        <v>75</v>
      </c>
      <c r="AS3" s="27">
        <v>105</v>
      </c>
      <c r="AT3" s="27">
        <v>796</v>
      </c>
      <c r="AU3" s="27">
        <v>235</v>
      </c>
      <c r="AV3" s="27"/>
      <c r="AW3" s="27">
        <v>456</v>
      </c>
      <c r="AX3" s="27">
        <v>61</v>
      </c>
      <c r="AY3" s="341" t="s">
        <v>199</v>
      </c>
      <c r="AZ3" s="27">
        <v>322</v>
      </c>
      <c r="BA3" s="27">
        <v>72</v>
      </c>
      <c r="BB3" s="27">
        <v>108</v>
      </c>
      <c r="BC3" s="29">
        <v>670</v>
      </c>
      <c r="BD3" s="27"/>
      <c r="BE3" s="27"/>
      <c r="BF3" s="27"/>
      <c r="BG3" s="27">
        <v>1100</v>
      </c>
      <c r="BH3" s="27"/>
      <c r="BI3" s="342">
        <v>1323</v>
      </c>
      <c r="BJ3" s="342">
        <v>5140</v>
      </c>
      <c r="BK3" s="343"/>
      <c r="BL3" s="342">
        <v>6932</v>
      </c>
      <c r="BM3" s="342"/>
      <c r="BN3" s="342"/>
      <c r="BO3" s="344" t="s">
        <v>4</v>
      </c>
      <c r="BY3" s="375"/>
      <c r="CC3" s="16">
        <f>COLUMN(CC2)-3</f>
        <v>78</v>
      </c>
      <c r="CD3" s="16">
        <f>COLUMN(CD2)-3</f>
        <v>79</v>
      </c>
      <c r="CE3" s="16">
        <f>COLUMN(CE2)-3</f>
        <v>80</v>
      </c>
      <c r="CF3" s="16">
        <f>COLUMN(CF2)-3</f>
        <v>81</v>
      </c>
      <c r="CG3" s="16">
        <f>COLUMN(CG2)-2</f>
        <v>83</v>
      </c>
      <c r="CH3" s="16">
        <f>COLUMN(CH2)-2</f>
        <v>84</v>
      </c>
      <c r="CI3" s="16">
        <f t="shared" ref="CI3:CX3" si="0">COLUMN(CI2)-2</f>
        <v>85</v>
      </c>
      <c r="CJ3" s="16">
        <f t="shared" si="0"/>
        <v>86</v>
      </c>
      <c r="CK3" s="16">
        <f t="shared" si="0"/>
        <v>87</v>
      </c>
      <c r="CL3" s="16">
        <f t="shared" si="0"/>
        <v>88</v>
      </c>
      <c r="CM3" s="16">
        <f t="shared" si="0"/>
        <v>89</v>
      </c>
      <c r="CN3" s="16">
        <f t="shared" si="0"/>
        <v>90</v>
      </c>
      <c r="CO3" s="16">
        <f t="shared" si="0"/>
        <v>91</v>
      </c>
      <c r="CP3" s="16">
        <f t="shared" si="0"/>
        <v>92</v>
      </c>
      <c r="CQ3" s="16">
        <f t="shared" si="0"/>
        <v>93</v>
      </c>
      <c r="CR3" s="16">
        <f t="shared" si="0"/>
        <v>94</v>
      </c>
      <c r="CS3" s="16">
        <f t="shared" si="0"/>
        <v>95</v>
      </c>
      <c r="CT3" s="16">
        <f t="shared" si="0"/>
        <v>96</v>
      </c>
      <c r="CU3" s="16">
        <f t="shared" si="0"/>
        <v>97</v>
      </c>
      <c r="CV3" s="16">
        <f t="shared" si="0"/>
        <v>98</v>
      </c>
      <c r="CW3" s="16">
        <f t="shared" si="0"/>
        <v>99</v>
      </c>
      <c r="CX3" s="16">
        <f t="shared" si="0"/>
        <v>100</v>
      </c>
      <c r="CY3" s="16">
        <f>COLUMN(CY2)-3</f>
        <v>100</v>
      </c>
      <c r="CZ3" s="16">
        <f>COLUMN(CZ2)-2</f>
        <v>102</v>
      </c>
      <c r="DA3" s="16">
        <f>COLUMN(DA2)-3</f>
        <v>102</v>
      </c>
      <c r="DB3" s="16">
        <f>COLUMN(DB2)-2</f>
        <v>104</v>
      </c>
      <c r="DC3" s="16">
        <f>COLUMN(DC2)-2</f>
        <v>105</v>
      </c>
      <c r="DO3" s="345"/>
      <c r="DU3" s="346" t="s">
        <v>5</v>
      </c>
      <c r="DV3" s="347" t="s">
        <v>6</v>
      </c>
      <c r="DW3" s="347" t="s">
        <v>7</v>
      </c>
      <c r="DX3" s="347" t="s">
        <v>8</v>
      </c>
      <c r="DY3" s="347" t="s">
        <v>9</v>
      </c>
      <c r="DZ3" s="347" t="s">
        <v>10</v>
      </c>
      <c r="EA3" s="347" t="s">
        <v>11</v>
      </c>
      <c r="EB3" s="347" t="s">
        <v>12</v>
      </c>
      <c r="EC3" s="347" t="s">
        <v>13</v>
      </c>
      <c r="ED3" s="347" t="s">
        <v>14</v>
      </c>
      <c r="EE3" s="348" t="s">
        <v>200</v>
      </c>
      <c r="EF3" s="348" t="s">
        <v>201</v>
      </c>
      <c r="EG3" s="347" t="s">
        <v>17</v>
      </c>
      <c r="EH3" s="347" t="s">
        <v>18</v>
      </c>
      <c r="EI3" s="347" t="s">
        <v>19</v>
      </c>
      <c r="EJ3" s="347" t="s">
        <v>20</v>
      </c>
      <c r="EK3" s="347" t="s">
        <v>21</v>
      </c>
      <c r="EL3" s="347" t="s">
        <v>22</v>
      </c>
      <c r="EM3" s="347" t="s">
        <v>23</v>
      </c>
      <c r="EN3" s="347" t="s">
        <v>24</v>
      </c>
      <c r="EO3" s="348" t="s">
        <v>25</v>
      </c>
      <c r="EP3" s="348" t="s">
        <v>26</v>
      </c>
      <c r="EQ3" s="347" t="s">
        <v>27</v>
      </c>
      <c r="ER3" s="347" t="s">
        <v>28</v>
      </c>
      <c r="ES3" s="347" t="s">
        <v>29</v>
      </c>
      <c r="ET3" s="347" t="s">
        <v>30</v>
      </c>
      <c r="EU3" s="347" t="s">
        <v>31</v>
      </c>
      <c r="EV3" s="347" t="s">
        <v>32</v>
      </c>
      <c r="EW3" s="347" t="s">
        <v>33</v>
      </c>
      <c r="EX3" s="347" t="s">
        <v>34</v>
      </c>
      <c r="EY3" s="348" t="s">
        <v>35</v>
      </c>
      <c r="EZ3" s="347" t="s">
        <v>36</v>
      </c>
      <c r="FA3" s="348" t="s">
        <v>37</v>
      </c>
      <c r="FB3" s="36" t="s">
        <v>38</v>
      </c>
      <c r="FC3" s="577" t="s">
        <v>39</v>
      </c>
      <c r="FD3" s="37" t="s">
        <v>40</v>
      </c>
      <c r="FE3" s="38" t="s">
        <v>41</v>
      </c>
      <c r="FF3" s="38" t="s">
        <v>42</v>
      </c>
      <c r="FG3" s="38" t="s">
        <v>43</v>
      </c>
      <c r="FH3" s="38" t="s">
        <v>44</v>
      </c>
      <c r="FI3" s="38" t="s">
        <v>45</v>
      </c>
      <c r="FJ3" s="38" t="s">
        <v>46</v>
      </c>
      <c r="FK3" s="38" t="s">
        <v>47</v>
      </c>
      <c r="FL3" s="38" t="s">
        <v>48</v>
      </c>
      <c r="FM3" s="39" t="s">
        <v>49</v>
      </c>
      <c r="FN3" s="38" t="s">
        <v>50</v>
      </c>
      <c r="FO3" s="40" t="s">
        <v>51</v>
      </c>
      <c r="FP3" s="41" t="s">
        <v>52</v>
      </c>
      <c r="FQ3" s="23"/>
      <c r="GK3" s="222"/>
      <c r="GL3" s="222"/>
    </row>
    <row r="4" spans="1:194" s="4" customFormat="1" ht="26.25" customHeight="1">
      <c r="B4" s="579" t="s">
        <v>53</v>
      </c>
      <c r="C4" s="42"/>
      <c r="D4" s="43" t="s">
        <v>54</v>
      </c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2"/>
      <c r="R4" s="45" t="s">
        <v>55</v>
      </c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7"/>
      <c r="BL4" s="48" t="s">
        <v>55</v>
      </c>
      <c r="BM4" s="48"/>
      <c r="BN4" s="47"/>
      <c r="BO4" s="32" t="s">
        <v>56</v>
      </c>
      <c r="BP4" s="32"/>
      <c r="BQ4" s="32"/>
      <c r="BR4" s="32"/>
      <c r="BS4" s="32"/>
      <c r="BT4" s="32"/>
      <c r="BU4" s="32"/>
      <c r="BV4" s="32" t="s">
        <v>57</v>
      </c>
      <c r="BW4" s="32"/>
      <c r="BX4" s="32"/>
      <c r="BY4" s="32"/>
      <c r="BZ4" s="32"/>
      <c r="CA4" s="32"/>
      <c r="CB4" s="32"/>
      <c r="CC4" s="32"/>
      <c r="CD4" s="32"/>
      <c r="CE4" s="32"/>
      <c r="CF4" s="581" t="s">
        <v>56</v>
      </c>
      <c r="CG4" s="581"/>
      <c r="CH4" s="581"/>
      <c r="CI4" s="49"/>
      <c r="CJ4" s="581" t="s">
        <v>56</v>
      </c>
      <c r="CK4" s="581"/>
      <c r="CL4" s="581"/>
      <c r="CM4" s="49"/>
      <c r="CN4" s="581" t="s">
        <v>56</v>
      </c>
      <c r="CO4" s="581"/>
      <c r="CP4" s="581"/>
      <c r="CQ4" s="49"/>
      <c r="CR4" s="581" t="s">
        <v>56</v>
      </c>
      <c r="CS4" s="581"/>
      <c r="CT4" s="581"/>
      <c r="CU4" s="581" t="s">
        <v>56</v>
      </c>
      <c r="CV4" s="581"/>
      <c r="CW4" s="581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50"/>
      <c r="DP4" s="32" t="s">
        <v>58</v>
      </c>
      <c r="DQ4" s="51"/>
      <c r="DR4" s="52"/>
      <c r="DS4" s="53"/>
      <c r="DT4" s="33" t="s">
        <v>53</v>
      </c>
      <c r="DU4" s="347"/>
      <c r="DV4" s="347"/>
      <c r="DW4" s="347"/>
      <c r="DX4" s="347"/>
      <c r="DY4" s="347"/>
      <c r="DZ4" s="347"/>
      <c r="EA4" s="347"/>
      <c r="EB4" s="347"/>
      <c r="EC4" s="347"/>
      <c r="ED4" s="347"/>
      <c r="EE4" s="347"/>
      <c r="EF4" s="347"/>
      <c r="EG4" s="347"/>
      <c r="EH4" s="347"/>
      <c r="EI4" s="347"/>
      <c r="EJ4" s="347"/>
      <c r="EK4" s="347"/>
      <c r="EL4" s="347"/>
      <c r="EM4" s="347"/>
      <c r="EN4" s="347"/>
      <c r="EO4" s="347"/>
      <c r="EP4" s="347"/>
      <c r="EQ4" s="347"/>
      <c r="ER4" s="347"/>
      <c r="ES4" s="347"/>
      <c r="ET4" s="347"/>
      <c r="EU4" s="347"/>
      <c r="EV4" s="347"/>
      <c r="EW4" s="347"/>
      <c r="EX4" s="347"/>
      <c r="EY4" s="347"/>
      <c r="EZ4" s="347"/>
      <c r="FA4" s="347"/>
      <c r="FB4" s="54"/>
      <c r="FC4" s="578"/>
      <c r="FD4" s="55"/>
      <c r="FE4" s="54"/>
      <c r="FF4" s="54"/>
      <c r="FG4" s="54"/>
      <c r="FH4" s="54"/>
      <c r="FI4" s="54"/>
      <c r="FJ4" s="54"/>
      <c r="FK4" s="54"/>
      <c r="FL4" s="54"/>
      <c r="FM4" s="56"/>
      <c r="FN4" s="349"/>
      <c r="FO4" s="58"/>
      <c r="FP4" s="350"/>
      <c r="FZ4" s="60"/>
      <c r="GA4" s="60"/>
      <c r="GB4" s="60"/>
      <c r="GC4" s="60"/>
      <c r="GD4" s="61" t="s">
        <v>59</v>
      </c>
      <c r="GE4" s="61"/>
      <c r="GF4" s="61"/>
      <c r="GG4" s="62"/>
      <c r="GH4" s="34" t="s">
        <v>60</v>
      </c>
      <c r="GI4" s="63" t="s">
        <v>61</v>
      </c>
      <c r="GJ4" s="63"/>
    </row>
    <row r="5" spans="1:194" ht="36" customHeight="1">
      <c r="B5" s="580"/>
      <c r="C5" s="65"/>
      <c r="D5" s="66" t="s">
        <v>62</v>
      </c>
      <c r="E5" s="66" t="s">
        <v>63</v>
      </c>
      <c r="F5" s="66" t="s">
        <v>64</v>
      </c>
      <c r="G5" s="66" t="s">
        <v>65</v>
      </c>
      <c r="H5" s="66" t="s">
        <v>66</v>
      </c>
      <c r="I5" s="66" t="s">
        <v>19</v>
      </c>
      <c r="J5" s="66" t="s">
        <v>20</v>
      </c>
      <c r="K5" s="66" t="s">
        <v>21</v>
      </c>
      <c r="L5" s="67" t="s">
        <v>67</v>
      </c>
      <c r="M5" s="67" t="s">
        <v>68</v>
      </c>
      <c r="N5" s="66" t="s">
        <v>69</v>
      </c>
      <c r="O5" s="66" t="s">
        <v>70</v>
      </c>
      <c r="P5" s="66" t="s">
        <v>71</v>
      </c>
      <c r="Q5" s="65"/>
      <c r="R5" s="66" t="s">
        <v>22</v>
      </c>
      <c r="S5" s="66" t="s">
        <v>72</v>
      </c>
      <c r="T5" s="66" t="s">
        <v>23</v>
      </c>
      <c r="U5" s="68" t="s">
        <v>73</v>
      </c>
      <c r="V5" s="66" t="s">
        <v>74</v>
      </c>
      <c r="W5" s="68" t="s">
        <v>75</v>
      </c>
      <c r="X5" s="66" t="s">
        <v>76</v>
      </c>
      <c r="Y5" s="66" t="s">
        <v>27</v>
      </c>
      <c r="Z5" s="66" t="s">
        <v>28</v>
      </c>
      <c r="AA5" s="67" t="s">
        <v>77</v>
      </c>
      <c r="AB5" s="67" t="s">
        <v>78</v>
      </c>
      <c r="AC5" s="66" t="s">
        <v>6</v>
      </c>
      <c r="AD5" s="67" t="s">
        <v>79</v>
      </c>
      <c r="AE5" s="67" t="s">
        <v>80</v>
      </c>
      <c r="AF5" s="67" t="s">
        <v>8</v>
      </c>
      <c r="AG5" s="66" t="s">
        <v>9</v>
      </c>
      <c r="AH5" s="67" t="s">
        <v>81</v>
      </c>
      <c r="AI5" s="67" t="s">
        <v>82</v>
      </c>
      <c r="AJ5" s="67" t="s">
        <v>11</v>
      </c>
      <c r="AK5" s="66" t="s">
        <v>12</v>
      </c>
      <c r="AL5" s="67" t="s">
        <v>83</v>
      </c>
      <c r="AM5" s="67" t="s">
        <v>84</v>
      </c>
      <c r="AN5" s="66" t="s">
        <v>14</v>
      </c>
      <c r="AO5" s="66" t="s">
        <v>65</v>
      </c>
      <c r="AP5" s="66" t="s">
        <v>17</v>
      </c>
      <c r="AQ5" s="66" t="s">
        <v>66</v>
      </c>
      <c r="AR5" s="67" t="s">
        <v>85</v>
      </c>
      <c r="AS5" s="66" t="s">
        <v>86</v>
      </c>
      <c r="AT5" s="67" t="s">
        <v>87</v>
      </c>
      <c r="AU5" s="67" t="s">
        <v>88</v>
      </c>
      <c r="AV5" s="66">
        <v>561</v>
      </c>
      <c r="AW5" s="67" t="s">
        <v>89</v>
      </c>
      <c r="AX5" s="66">
        <v>562</v>
      </c>
      <c r="AY5" s="66" t="s">
        <v>21</v>
      </c>
      <c r="AZ5" s="66" t="s">
        <v>33</v>
      </c>
      <c r="BA5" s="66" t="s">
        <v>90</v>
      </c>
      <c r="BB5" s="66" t="s">
        <v>34</v>
      </c>
      <c r="BC5" s="67" t="s">
        <v>91</v>
      </c>
      <c r="BD5" s="68" t="s">
        <v>92</v>
      </c>
      <c r="BE5" s="67" t="s">
        <v>93</v>
      </c>
      <c r="BF5" s="67" t="s">
        <v>94</v>
      </c>
      <c r="BG5" s="66" t="s">
        <v>95</v>
      </c>
      <c r="BH5" s="66" t="s">
        <v>96</v>
      </c>
      <c r="BI5" s="66" t="s">
        <v>97</v>
      </c>
      <c r="BJ5" s="66" t="s">
        <v>98</v>
      </c>
      <c r="BK5" s="69"/>
      <c r="BL5" s="66" t="s">
        <v>99</v>
      </c>
      <c r="BM5" s="70" t="s">
        <v>71</v>
      </c>
      <c r="BN5" s="69"/>
      <c r="BO5" s="67" t="s">
        <v>22</v>
      </c>
      <c r="BP5" s="67" t="s">
        <v>72</v>
      </c>
      <c r="BQ5" s="67" t="s">
        <v>23</v>
      </c>
      <c r="BR5" s="67" t="s">
        <v>74</v>
      </c>
      <c r="BS5" s="67" t="s">
        <v>27</v>
      </c>
      <c r="BT5" s="67" t="s">
        <v>28</v>
      </c>
      <c r="BU5" s="67" t="s">
        <v>101</v>
      </c>
      <c r="BV5" s="67" t="s">
        <v>22</v>
      </c>
      <c r="BW5" s="67" t="s">
        <v>100</v>
      </c>
      <c r="BX5" s="67" t="s">
        <v>23</v>
      </c>
      <c r="BY5" s="67" t="s">
        <v>74</v>
      </c>
      <c r="BZ5" s="67" t="s">
        <v>102</v>
      </c>
      <c r="CA5" s="71" t="s">
        <v>1</v>
      </c>
      <c r="CB5" s="66" t="s">
        <v>103</v>
      </c>
      <c r="CC5" s="66" t="s">
        <v>86</v>
      </c>
      <c r="CD5" s="67" t="s">
        <v>104</v>
      </c>
      <c r="CE5" s="67" t="s">
        <v>204</v>
      </c>
      <c r="CF5" s="66" t="s">
        <v>78</v>
      </c>
      <c r="CG5" s="66" t="s">
        <v>6</v>
      </c>
      <c r="CH5" s="67" t="s">
        <v>106</v>
      </c>
      <c r="CI5" s="71" t="s">
        <v>1</v>
      </c>
      <c r="CJ5" s="66" t="s">
        <v>8</v>
      </c>
      <c r="CK5" s="66" t="s">
        <v>9</v>
      </c>
      <c r="CL5" s="67" t="s">
        <v>107</v>
      </c>
      <c r="CM5" s="71" t="s">
        <v>1</v>
      </c>
      <c r="CN5" s="66" t="s">
        <v>11</v>
      </c>
      <c r="CO5" s="66" t="s">
        <v>12</v>
      </c>
      <c r="CP5" s="67" t="s">
        <v>205</v>
      </c>
      <c r="CQ5" s="71" t="s">
        <v>1</v>
      </c>
      <c r="CR5" s="66" t="s">
        <v>109</v>
      </c>
      <c r="CS5" s="67" t="s">
        <v>206</v>
      </c>
      <c r="CT5" s="71" t="s">
        <v>1</v>
      </c>
      <c r="CU5" s="66" t="s">
        <v>17</v>
      </c>
      <c r="CV5" s="67" t="s">
        <v>207</v>
      </c>
      <c r="CW5" s="71" t="s">
        <v>1</v>
      </c>
      <c r="CX5" s="67" t="s">
        <v>110</v>
      </c>
      <c r="CY5" s="66" t="s">
        <v>19</v>
      </c>
      <c r="CZ5" s="67" t="s">
        <v>111</v>
      </c>
      <c r="DA5" s="66" t="s">
        <v>112</v>
      </c>
      <c r="DB5" s="66" t="s">
        <v>33</v>
      </c>
      <c r="DC5" s="66" t="s">
        <v>34</v>
      </c>
      <c r="DD5" s="66" t="s">
        <v>91</v>
      </c>
      <c r="DE5" s="66" t="s">
        <v>92</v>
      </c>
      <c r="DF5" s="66" t="s">
        <v>113</v>
      </c>
      <c r="DG5" s="66" t="s">
        <v>114</v>
      </c>
      <c r="DH5" s="67" t="s">
        <v>115</v>
      </c>
      <c r="DI5" s="71" t="s">
        <v>1</v>
      </c>
      <c r="DJ5" s="66" t="s">
        <v>96</v>
      </c>
      <c r="DK5" s="71" t="s">
        <v>1</v>
      </c>
      <c r="DL5" s="66" t="s">
        <v>97</v>
      </c>
      <c r="DM5" s="71" t="s">
        <v>1</v>
      </c>
      <c r="DN5" s="67" t="s">
        <v>98</v>
      </c>
      <c r="DO5" s="69"/>
      <c r="DP5" s="66" t="s">
        <v>116</v>
      </c>
      <c r="DQ5" s="72" t="s">
        <v>71</v>
      </c>
      <c r="DR5" s="73" t="s">
        <v>1</v>
      </c>
      <c r="DS5" s="74"/>
      <c r="DT5" s="75"/>
      <c r="DU5" s="76">
        <v>625545</v>
      </c>
      <c r="DV5" s="76">
        <v>26929</v>
      </c>
      <c r="DW5" s="76">
        <v>5131482</v>
      </c>
      <c r="DX5" s="76">
        <v>117388</v>
      </c>
      <c r="DY5" s="76">
        <v>84860.9</v>
      </c>
      <c r="DZ5" s="76">
        <v>393169</v>
      </c>
      <c r="EA5" s="77">
        <v>231864</v>
      </c>
      <c r="EB5" s="77">
        <v>54137</v>
      </c>
      <c r="EC5" s="77">
        <v>406099</v>
      </c>
      <c r="ED5" s="355">
        <v>47091.8</v>
      </c>
      <c r="EE5" s="104">
        <v>41948.1</v>
      </c>
      <c r="EF5" s="104">
        <v>38563.300000000003</v>
      </c>
      <c r="EG5" s="355">
        <v>92330.3</v>
      </c>
      <c r="EH5" s="355">
        <v>181777.5</v>
      </c>
      <c r="EI5" s="355">
        <v>31649</v>
      </c>
      <c r="EJ5" s="104">
        <v>40456</v>
      </c>
      <c r="EK5" s="104"/>
      <c r="EL5" s="76">
        <v>700129.5</v>
      </c>
      <c r="EM5" s="355">
        <v>6215</v>
      </c>
      <c r="EN5" s="104">
        <v>44017.9</v>
      </c>
      <c r="EO5" s="355">
        <v>3009612.6</v>
      </c>
      <c r="EP5" s="104">
        <v>2784708</v>
      </c>
      <c r="EQ5" s="104">
        <v>0</v>
      </c>
      <c r="ER5" s="104">
        <v>1859</v>
      </c>
      <c r="ES5" s="104">
        <v>357341</v>
      </c>
      <c r="ET5" s="104">
        <v>212534</v>
      </c>
      <c r="EU5" s="104">
        <v>423307</v>
      </c>
      <c r="EV5" s="104">
        <v>137753</v>
      </c>
      <c r="EW5" s="104">
        <v>108464</v>
      </c>
      <c r="EX5" s="355">
        <v>208716.9</v>
      </c>
      <c r="EY5" s="355">
        <v>1642794.1</v>
      </c>
      <c r="EZ5" s="355">
        <v>777501.4</v>
      </c>
      <c r="FA5" s="355">
        <v>746083</v>
      </c>
      <c r="FB5" s="104">
        <v>30528</v>
      </c>
      <c r="FC5" s="355">
        <v>6046</v>
      </c>
      <c r="FD5" s="78">
        <v>2337</v>
      </c>
      <c r="FE5" s="77"/>
      <c r="FF5" s="79"/>
      <c r="FG5" s="79"/>
      <c r="FH5" s="77"/>
      <c r="FI5" s="79"/>
      <c r="FJ5" s="77"/>
      <c r="FK5" s="79"/>
      <c r="FL5" s="79"/>
      <c r="FM5" s="79"/>
      <c r="FN5" s="80"/>
      <c r="FO5" s="77"/>
      <c r="FP5" s="81"/>
      <c r="FQ5" s="64"/>
      <c r="FR5" s="64"/>
      <c r="FS5" s="64"/>
      <c r="FT5" s="64"/>
      <c r="FU5" s="64"/>
      <c r="FV5" s="64"/>
      <c r="FW5" s="64"/>
      <c r="FX5" s="64"/>
      <c r="FY5" s="64"/>
      <c r="FZ5" s="82" t="s">
        <v>117</v>
      </c>
      <c r="GA5" s="82" t="s">
        <v>118</v>
      </c>
      <c r="GB5" s="82" t="s">
        <v>119</v>
      </c>
      <c r="GC5" s="70" t="s">
        <v>120</v>
      </c>
      <c r="GD5" s="70" t="s">
        <v>121</v>
      </c>
      <c r="GE5" s="70" t="s">
        <v>122</v>
      </c>
      <c r="GF5" s="70" t="s">
        <v>74</v>
      </c>
      <c r="GG5" s="70" t="s">
        <v>120</v>
      </c>
      <c r="GH5" s="70" t="s">
        <v>120</v>
      </c>
      <c r="GI5" s="83" t="s">
        <v>123</v>
      </c>
      <c r="GJ5" s="70" t="s">
        <v>124</v>
      </c>
      <c r="GK5" s="64"/>
      <c r="GL5" s="64"/>
    </row>
    <row r="6" spans="1:194" ht="15" customHeight="1">
      <c r="A6" s="4"/>
      <c r="B6" s="351">
        <v>42917</v>
      </c>
      <c r="C6" s="53"/>
      <c r="D6" s="86">
        <v>1833.6</v>
      </c>
      <c r="E6" s="86">
        <v>3124.7999999999997</v>
      </c>
      <c r="F6" s="86"/>
      <c r="G6" s="86">
        <v>3037.1030000000001</v>
      </c>
      <c r="H6" s="86">
        <v>4354.7979999999998</v>
      </c>
      <c r="I6" s="86">
        <v>1377.52</v>
      </c>
      <c r="J6" s="86">
        <v>5237.04</v>
      </c>
      <c r="K6" s="86"/>
      <c r="L6" s="86">
        <v>239.6</v>
      </c>
      <c r="M6" s="285">
        <f>I6+J6</f>
        <v>6614.5599999999995</v>
      </c>
      <c r="N6" s="88">
        <f>SUM(D6:H6)</f>
        <v>12350.300999999999</v>
      </c>
      <c r="O6" s="88">
        <f>N6+L6+((J6+I6)*0.5)</f>
        <v>15897.181</v>
      </c>
      <c r="P6" s="89">
        <f>O6</f>
        <v>15897.181</v>
      </c>
      <c r="Q6" s="74"/>
      <c r="R6" s="170">
        <f>IF(EL6=0,"",(EL6-EL5))</f>
        <v>8.3000000000465661</v>
      </c>
      <c r="S6" s="170">
        <f>IF(EZ6=0,"",((EZ6-EZ5)/10))</f>
        <v>88.790000000002323</v>
      </c>
      <c r="T6" s="170">
        <f t="shared" ref="T6:T36" si="1">IF(EM6=0,"",((EM6/10)))</f>
        <v>404.5</v>
      </c>
      <c r="U6" s="91">
        <f>IF(FB6=0,"",((EN6-EN5)/10))</f>
        <v>0</v>
      </c>
      <c r="V6" s="170">
        <f>IF(EO6=0,"",(EO6-EO5))</f>
        <v>1433.1999999997206</v>
      </c>
      <c r="W6" s="91">
        <f t="shared" ref="W6:W36" si="2">IF(EP6=0,"",(EP6-EP5)/10)</f>
        <v>127.9</v>
      </c>
      <c r="X6" s="170">
        <f>IF(V6="","",V6)</f>
        <v>1433.1999999997206</v>
      </c>
      <c r="Y6" s="170" t="str">
        <f>IF(EQ6=0,"0",(EQ6/10))</f>
        <v>0</v>
      </c>
      <c r="Z6" s="170">
        <f t="shared" ref="Z6:Z36" si="3">IF(ER6=0,"",(ER6/10))</f>
        <v>152.19999999999999</v>
      </c>
      <c r="AA6" s="170">
        <f>IF(SUM(R6:V6)=0,"",SUM(R6:V6))</f>
        <v>1934.7899999997694</v>
      </c>
      <c r="AB6" s="170">
        <f>IF(DU6=0,"",(DU6-DU5))</f>
        <v>76</v>
      </c>
      <c r="AC6" s="170">
        <f>IF(DV6=0,"",(DV6-DV5))</f>
        <v>0</v>
      </c>
      <c r="AD6" s="170">
        <f>(IF(SUM(AB6:AC6)&gt;=(DW6-DW5),(SUM(AB6:AC6)),(DW6-DW5)))</f>
        <v>228</v>
      </c>
      <c r="AE6" s="170">
        <f>IF(AB6="","",(AD6-AC6-AB6))</f>
        <v>152</v>
      </c>
      <c r="AF6" s="170">
        <f>IF(DX6=0,"",(DX6-DX5))</f>
        <v>109</v>
      </c>
      <c r="AG6" s="170">
        <f>IF(DY6=0,"",(DY6-DY5))</f>
        <v>0</v>
      </c>
      <c r="AH6" s="170">
        <f>(IF(SUM(AF6:AG6)&gt;=(DZ6-DZ5),(SUM(AF6:AG6)),(DZ6-DZ5)))</f>
        <v>158</v>
      </c>
      <c r="AI6" s="170">
        <f>IF(AF6="","",(AH6-AG6-AF6))</f>
        <v>49</v>
      </c>
      <c r="AJ6" s="170">
        <f>IF(EA6=0,"",(EA6-EA5))</f>
        <v>14</v>
      </c>
      <c r="AK6" s="170">
        <f>IF(EB6=0,"",(EB6-EB5))</f>
        <v>46.19999999999709</v>
      </c>
      <c r="AL6" s="170">
        <f>(IF(SUM(AJ6:AK6)&gt;=(EC6-EC5),(SUM(AJ6:AK6)),(EC6-EC5)))</f>
        <v>152</v>
      </c>
      <c r="AM6" s="170">
        <f>IF(AJ6="","",(AL6-AK6-AJ6))</f>
        <v>91.80000000000291</v>
      </c>
      <c r="AN6" s="170">
        <f>IF(ED6=0,"",(ED6-ED5))</f>
        <v>11.69999999999709</v>
      </c>
      <c r="AO6" s="170">
        <f t="shared" ref="AO6:AO36" si="4">IF(AN6="","",(EE6-EE5)+(EF6-EF5))</f>
        <v>18.69999999999709</v>
      </c>
      <c r="AP6" s="170">
        <f>IF(EG6=0,"",(EG6-EG5))</f>
        <v>21</v>
      </c>
      <c r="AQ6" s="170">
        <f t="shared" ref="AQ6:AQ36" si="5">IF(AP6=0.1,0,(IF(AP6&gt;=(EH6-EH5),(AP6),(EH6-EH5))))</f>
        <v>102.70000000001164</v>
      </c>
      <c r="AR6" s="170">
        <f>IF(ET6=0,"",(ET6-ET5)/1000)</f>
        <v>119.67</v>
      </c>
      <c r="AS6" s="170">
        <f>IF(AR6="","",(ES6-ES5)+((ET6-ET5)/1000)-AW6-AU6)</f>
        <v>184.66999999999996</v>
      </c>
      <c r="AT6" s="170">
        <f>IF(AR6="","",ES6-ES5+((ET6-ET5)/1000))</f>
        <v>908.67</v>
      </c>
      <c r="AU6" s="170">
        <f>IF(EV6="","",(EV6-EV5))</f>
        <v>217</v>
      </c>
      <c r="AV6" s="170">
        <f>IF(EI6=0,"",(EI6-EI5))</f>
        <v>48</v>
      </c>
      <c r="AW6" s="170">
        <f>IF(EU6="","",(EU6-EU5))</f>
        <v>507</v>
      </c>
      <c r="AX6" s="170">
        <f>IF(EJ6=0,"",(EJ6-EJ5))</f>
        <v>39</v>
      </c>
      <c r="AY6" s="170"/>
      <c r="AZ6" s="170">
        <f>IF(EW6=0,"",EW6-EW5)</f>
        <v>312</v>
      </c>
      <c r="BA6" s="170">
        <v>78</v>
      </c>
      <c r="BB6" s="170">
        <f>IF(EX6=0,"",(EX6-EX5))</f>
        <v>82.200000000011642</v>
      </c>
      <c r="BC6" s="170">
        <f>IF(EY6=0,"",(EY6-EY5))</f>
        <v>0</v>
      </c>
      <c r="BD6" s="91">
        <f>IF(FA6=0,"",(FA6-FA5))</f>
        <v>345</v>
      </c>
      <c r="BE6" s="90"/>
      <c r="BF6" s="90"/>
      <c r="BG6" s="90">
        <f t="shared" ref="BG6:BG36" si="6">IFERROR(SUM(BB6:BC6)+AZ6,"")</f>
        <v>394.20000000001164</v>
      </c>
      <c r="BH6" s="90">
        <f>BL6-FC6</f>
        <v>1699</v>
      </c>
      <c r="BI6" s="90">
        <f t="shared" ref="BI6:BI36" si="7">IF(FC6=0,"",(FC6-BJ6))</f>
        <v>1698.9400000002101</v>
      </c>
      <c r="BJ6" s="90">
        <f>IF(BH6=0,"",(AA6+AD6+AO6+BG6+AH6+AL6+AQ6+AT6+AX6+AV6))</f>
        <v>3984.0599999997899</v>
      </c>
      <c r="BK6" s="92"/>
      <c r="BL6" s="93">
        <f>FD6+FN6</f>
        <v>7382</v>
      </c>
      <c r="BM6" s="93">
        <f>BL6</f>
        <v>7382</v>
      </c>
      <c r="BN6" s="92"/>
      <c r="BO6" s="94">
        <f>IF($N6&lt;&gt;0,IF($N6&lt;&gt;0,R6/$N6*10,0)," ")</f>
        <v>6.7204839785253547E-3</v>
      </c>
      <c r="BP6" s="94">
        <f>IF($N6&lt;&gt;0,IF($N6&lt;&gt;0,S6/$N6*10,0)," ")</f>
        <v>7.1892984632522167E-2</v>
      </c>
      <c r="BQ6" s="94">
        <f>IF($N6&lt;&gt;0,IF($N6&lt;&gt;0,T6/$N6*10,0)," ")</f>
        <v>0.32752238184316323</v>
      </c>
      <c r="BR6" s="94">
        <f>IF($N6&lt;&gt;0,IF($N6&lt;&gt;0,(V6)/$N6*10,0)," ")</f>
        <v>1.1604575467429665</v>
      </c>
      <c r="BS6" s="94">
        <f t="shared" ref="BS6:BU21" si="8">IF($N6&lt;&gt;0,IF($N6&lt;&gt;0,Y6/$N6*10,0)," ")</f>
        <v>0</v>
      </c>
      <c r="BT6" s="94">
        <f t="shared" si="8"/>
        <v>0.12323586283443619</v>
      </c>
      <c r="BU6" s="95">
        <f>IF($N6&lt;&gt;0,IF($N6&lt;&gt;0,AA6/$N6*10,0)," ")</f>
        <v>1.5665933971971771</v>
      </c>
      <c r="BV6" s="94">
        <f t="shared" ref="BV6:BX35" si="9">IF($O6&lt;&gt;0,IF($O6&lt;&gt;0,R6/$O6*10,0)," ")</f>
        <v>5.2210514556301308E-3</v>
      </c>
      <c r="BW6" s="94">
        <f t="shared" si="9"/>
        <v>5.5852669728049469E-2</v>
      </c>
      <c r="BX6" s="94">
        <f t="shared" si="9"/>
        <v>0.25444762816753486</v>
      </c>
      <c r="BY6" s="94">
        <f>IF($O6&lt;&gt;0,IF($O6&lt;&gt;0,(V6)/$O6*10,0)," ")</f>
        <v>0.90154348748983892</v>
      </c>
      <c r="BZ6" s="95">
        <f t="shared" ref="BZ6:BZ36" si="10">IF($O6&lt;&gt;0,IF($O6&lt;&gt;0,AA6/$O6*10,0)," ")</f>
        <v>1.2170648368410533</v>
      </c>
      <c r="CA6" s="96" t="e">
        <f>#REF!</f>
        <v>#REF!</v>
      </c>
      <c r="CB6" s="94">
        <f>IF($O6&lt;&gt;0,IF($O6&lt;&gt;0,AR6/$O6*10,0)," ")</f>
        <v>7.5277497312259328E-2</v>
      </c>
      <c r="CC6" s="95">
        <f>IF($O6&lt;&gt;0,IF($O6&lt;&gt;0,AS6/$O6*10,0)," ")</f>
        <v>0.1161652496753984</v>
      </c>
      <c r="CD6" s="97">
        <f t="shared" ref="CD6:CE35" si="11">IFERROR(AR6*10/($I6+$J6),"")</f>
        <v>0.18091906339953076</v>
      </c>
      <c r="CE6" s="98">
        <f>IFERROR(AS6*10/($I6+$J6),"")</f>
        <v>0.27918712658135986</v>
      </c>
      <c r="CF6" s="94">
        <f>IF($D6&lt;&gt;0,IF($D6&lt;&gt;0,AB6/$D6*10,0),"0,00")</f>
        <v>0.4144851657940663</v>
      </c>
      <c r="CG6" s="94">
        <f>IF($D6&lt;&gt;0,IF($D6&lt;&gt;0,AC6/$D6*10,0),"0,00")</f>
        <v>0</v>
      </c>
      <c r="CH6" s="95">
        <f>IF($D6&lt;&gt;0,IF($O6&lt;&gt;0,AD6/$D6*10,0),"0,00 ")</f>
        <v>1.243455497382199</v>
      </c>
      <c r="CI6" s="96" t="e">
        <f>#REF!</f>
        <v>#REF!</v>
      </c>
      <c r="CJ6" s="94">
        <f>IF($E6&lt;&gt;0,IF($E6&lt;&gt;0,AF6/$E6*10,0),"0,00")</f>
        <v>0.34882232462877627</v>
      </c>
      <c r="CK6" s="94">
        <f>IF($E6&lt;&gt;0,IF($E6&lt;&gt;0,AG6/$E6*10,0),"0,00")</f>
        <v>0</v>
      </c>
      <c r="CL6" s="95">
        <f>IF($E6&lt;&gt;0,IF($E6&lt;&gt;0,AH6/$E6*10,0),"0,00 ")</f>
        <v>0.50563236047107019</v>
      </c>
      <c r="CM6" s="95" t="e">
        <f>#REF!</f>
        <v>#REF!</v>
      </c>
      <c r="CN6" s="94" t="str">
        <f>IF($F6&lt;&gt;0,IF($F6&lt;&gt;0,AJ6/$F6*10,0),"0,00")</f>
        <v>0,00</v>
      </c>
      <c r="CO6" s="94" t="str">
        <f>IF($F6&lt;&gt;0,IF($F6&lt;&gt;0,AK6/$F6*10,0),"0,00")</f>
        <v>0,00</v>
      </c>
      <c r="CP6" s="95" t="str">
        <f>IF($F6&lt;&gt;0,IF($F6&lt;&gt;0,AL6/$F6*10,0),"0,00 ")</f>
        <v xml:space="preserve">0,00 </v>
      </c>
      <c r="CQ6" s="95" t="e">
        <f>#REF!</f>
        <v>#REF!</v>
      </c>
      <c r="CR6" s="97">
        <f>IF($G6&lt;&gt;0,IF($G6&lt;&gt;0,AN6/$G6*10,0),"0,00 ")</f>
        <v>3.8523553531102137E-2</v>
      </c>
      <c r="CS6" s="95">
        <f>IF($G6&lt;&gt;0,IF($G6&lt;&gt;0,AO6/$G6*10,0),"0,00 ")</f>
        <v>6.157183342151086E-2</v>
      </c>
      <c r="CT6" s="96" t="e">
        <f>#REF!</f>
        <v>#REF!</v>
      </c>
      <c r="CU6" s="97">
        <f>IF($H6&lt;&gt;0,IF($H6&lt;&gt;0,AP6/$H6*10,0),"0,00 ")</f>
        <v>4.8222673014913661E-2</v>
      </c>
      <c r="CV6" s="95">
        <f>IF($H6&lt;&gt;0,IF($H6&lt;&gt;0,AQ6/$H6*10,0),"0,00 ")</f>
        <v>0.23583183422058074</v>
      </c>
      <c r="CW6" s="96" t="e">
        <f>#REF!</f>
        <v>#REF!</v>
      </c>
      <c r="CX6" s="97">
        <f>IF($O6&lt;&gt;0,IF($O6&lt;&gt;0,AU6/$O6*10,0)," ")</f>
        <v>0.13650218865847974</v>
      </c>
      <c r="CY6" s="98">
        <f>IF($O6&lt;&gt;0,IF($O6&lt;&gt;0,AV6/$O6*10,0)," ")</f>
        <v>3.0194032514318101E-2</v>
      </c>
      <c r="CZ6" s="97">
        <f>IF($O6&lt;&gt;0,IF($O6&lt;&gt;0,AW6/$O6*10,0)," ")</f>
        <v>0.31892446843248495</v>
      </c>
      <c r="DA6" s="98">
        <f>IF($O6&lt;&gt;0,IF($O6&lt;&gt;0,AX6/$O6*10,0)," ")</f>
        <v>2.453265141788346E-2</v>
      </c>
      <c r="DB6" s="94">
        <f t="shared" ref="DB6:DB36" si="12">IF($O6&lt;&gt;0,IF($O6&lt;&gt;0,AZ6/$O6*10,0)," ")</f>
        <v>0.19626121134306768</v>
      </c>
      <c r="DC6" s="94">
        <f t="shared" ref="DC6:DH35" si="13">IF($O6&lt;&gt;0,IF($O6&lt;&gt;0,BB6/$O6*10,0)," ")</f>
        <v>5.1707280680777082E-2</v>
      </c>
      <c r="DD6" s="94">
        <f t="shared" si="13"/>
        <v>0</v>
      </c>
      <c r="DE6" s="94">
        <f t="shared" si="13"/>
        <v>0.21701960869666137</v>
      </c>
      <c r="DF6" s="94">
        <f t="shared" si="13"/>
        <v>0</v>
      </c>
      <c r="DG6" s="94">
        <f t="shared" si="13"/>
        <v>0</v>
      </c>
      <c r="DH6" s="95">
        <f>IF($O6&lt;&gt;0,IF($O6&lt;&gt;0,BG6/$O6*10,0)," ")</f>
        <v>0.24796849202384477</v>
      </c>
      <c r="DI6" s="96" t="e">
        <f>#REF!</f>
        <v>#REF!</v>
      </c>
      <c r="DJ6" s="95">
        <f>IF($O6&lt;&gt;0,IF($O6&lt;&gt;0,BH6/$O6*10,0)," ")</f>
        <v>1.0687429425380512</v>
      </c>
      <c r="DK6" s="96" t="e">
        <f>#REF!</f>
        <v>#REF!</v>
      </c>
      <c r="DL6" s="95">
        <f>IF($O6&lt;&gt;0,BI6/$O6*10," ")</f>
        <v>1.0687051999975405</v>
      </c>
      <c r="DM6" s="96">
        <f t="shared" ref="DM6:DM37" si="14">$D$3</f>
        <v>0</v>
      </c>
      <c r="DN6" s="94">
        <f t="shared" ref="DN6:DN36" si="15">IF($O6&lt;&gt;0,BJ6/$O6*10,"")</f>
        <v>2.5061424412289135</v>
      </c>
      <c r="DO6" s="100">
        <v>3.4</v>
      </c>
      <c r="DP6" s="94">
        <f>IF($O6&lt;&gt;0,IF($O6&lt;&gt;0,BL6/$O6*10,0)," ")</f>
        <v>4.6435905837645048</v>
      </c>
      <c r="DQ6" s="94">
        <f>IF($P6&lt;&gt;0,IF($P6&lt;&gt;0,BM6/$P6*10,0)," ")</f>
        <v>4.6435905837645048</v>
      </c>
      <c r="DR6" s="101" t="str">
        <f t="shared" ref="DR6:DR35" si="16">$D$2</f>
        <v>3,315, hL/NhL</v>
      </c>
      <c r="DS6" s="102"/>
      <c r="DT6" s="103">
        <v>1</v>
      </c>
      <c r="DU6" s="355">
        <f>DU5+76</f>
        <v>625621</v>
      </c>
      <c r="DV6" s="355">
        <v>26929</v>
      </c>
      <c r="DW6" s="355">
        <v>5131710</v>
      </c>
      <c r="DX6" s="355">
        <v>117497</v>
      </c>
      <c r="DY6" s="355">
        <v>84860.9</v>
      </c>
      <c r="DZ6" s="355">
        <v>393327</v>
      </c>
      <c r="EA6" s="104">
        <v>231878</v>
      </c>
      <c r="EB6" s="104">
        <v>54183.199999999997</v>
      </c>
      <c r="EC6" s="104">
        <v>406251</v>
      </c>
      <c r="ED6" s="355">
        <v>47103.5</v>
      </c>
      <c r="EE6" s="104">
        <v>41948</v>
      </c>
      <c r="EF6" s="104">
        <v>38582.1</v>
      </c>
      <c r="EG6" s="355">
        <f>EG5+21</f>
        <v>92351.3</v>
      </c>
      <c r="EH6" s="355">
        <v>181880.2</v>
      </c>
      <c r="EI6" s="355">
        <v>31697</v>
      </c>
      <c r="EJ6" s="104">
        <v>40495</v>
      </c>
      <c r="EK6" s="104"/>
      <c r="EL6" s="355">
        <v>700137.8</v>
      </c>
      <c r="EM6" s="355">
        <v>4045</v>
      </c>
      <c r="EN6" s="104">
        <v>44017.9</v>
      </c>
      <c r="EO6" s="355">
        <v>3011045.8</v>
      </c>
      <c r="EP6" s="104">
        <v>2785987</v>
      </c>
      <c r="EQ6" s="104">
        <v>0</v>
      </c>
      <c r="ER6" s="104">
        <v>1522</v>
      </c>
      <c r="ES6" s="104">
        <v>358130</v>
      </c>
      <c r="ET6" s="104">
        <v>332204</v>
      </c>
      <c r="EU6" s="288">
        <v>423814</v>
      </c>
      <c r="EV6" s="288">
        <v>137970</v>
      </c>
      <c r="EW6" s="104">
        <v>108776</v>
      </c>
      <c r="EX6" s="355">
        <v>208799.1</v>
      </c>
      <c r="EY6" s="355">
        <v>1642794.1</v>
      </c>
      <c r="EZ6" s="355">
        <v>778389.3</v>
      </c>
      <c r="FA6" s="355">
        <v>746428</v>
      </c>
      <c r="FB6" s="104">
        <v>30611.7</v>
      </c>
      <c r="FC6" s="355">
        <v>5683</v>
      </c>
      <c r="FD6" s="104">
        <f t="shared" ref="FD6:FD20" si="17">SUM(FE6:FM6)</f>
        <v>6182</v>
      </c>
      <c r="FE6" s="105">
        <f t="shared" ref="FE6:FL21" si="18">FE39-FE38</f>
        <v>0</v>
      </c>
      <c r="FF6" s="105">
        <f t="shared" si="18"/>
        <v>1051</v>
      </c>
      <c r="FG6" s="105">
        <f t="shared" si="18"/>
        <v>338</v>
      </c>
      <c r="FH6" s="105">
        <f t="shared" si="18"/>
        <v>1634</v>
      </c>
      <c r="FI6" s="105">
        <f t="shared" si="18"/>
        <v>577</v>
      </c>
      <c r="FJ6" s="105">
        <f t="shared" si="18"/>
        <v>0</v>
      </c>
      <c r="FK6" s="105">
        <v>1472</v>
      </c>
      <c r="FL6" s="105">
        <f t="shared" si="18"/>
        <v>884</v>
      </c>
      <c r="FM6" s="105">
        <v>226</v>
      </c>
      <c r="FN6" s="124">
        <v>1200</v>
      </c>
      <c r="FO6" s="77"/>
      <c r="FP6" s="353"/>
      <c r="FR6" s="64"/>
      <c r="FS6" s="64"/>
      <c r="FT6" s="64"/>
      <c r="FU6" s="64"/>
      <c r="FV6" s="64"/>
      <c r="FW6" s="64"/>
      <c r="FX6" s="64"/>
      <c r="FY6" s="64">
        <v>1</v>
      </c>
      <c r="FZ6" s="107">
        <v>8054</v>
      </c>
      <c r="GA6" s="107">
        <v>1246</v>
      </c>
      <c r="GB6" s="108">
        <f>GA6/FZ6/0.1</f>
        <v>1.5470573628010924</v>
      </c>
      <c r="GC6" s="109"/>
      <c r="GD6" s="110"/>
      <c r="GE6" s="110"/>
      <c r="GF6" s="111"/>
      <c r="GG6" s="111"/>
      <c r="GH6" s="111"/>
      <c r="GI6" s="112"/>
      <c r="GJ6" s="111">
        <f>(SUM(ER5+ES5)/(GB6+GI6))</f>
        <v>232182.72873194225</v>
      </c>
      <c r="GK6" s="113"/>
    </row>
    <row r="7" spans="1:194" ht="15" customHeight="1">
      <c r="B7" s="351">
        <v>42918</v>
      </c>
      <c r="D7" s="86"/>
      <c r="E7" s="86"/>
      <c r="F7" s="86"/>
      <c r="G7" s="86"/>
      <c r="H7" s="86"/>
      <c r="I7" s="86"/>
      <c r="J7" s="86"/>
      <c r="K7" s="86"/>
      <c r="L7" s="86"/>
      <c r="M7" s="285">
        <f>I7+J7</f>
        <v>0</v>
      </c>
      <c r="N7" s="88">
        <f t="shared" ref="N7:N36" si="19">SUM(D7:H7)</f>
        <v>0</v>
      </c>
      <c r="O7" s="88">
        <f t="shared" ref="O7:O36" si="20">N7+L7+((J7+I7)*0.5)</f>
        <v>0</v>
      </c>
      <c r="P7" s="89">
        <f t="shared" ref="P7:P36" si="21">P6+O7</f>
        <v>15897.181</v>
      </c>
      <c r="R7" s="170">
        <f t="shared" ref="R7:R36" si="22">IF(EL7=0,"",(EL7-EL6))</f>
        <v>6.6999999999534339</v>
      </c>
      <c r="S7" s="170">
        <f t="shared" ref="S7:S36" si="23">IF(EZ7=0,"",((EZ7-EZ6)/10))</f>
        <v>126.11999999999534</v>
      </c>
      <c r="T7" s="170">
        <f t="shared" si="1"/>
        <v>33.799999999999997</v>
      </c>
      <c r="U7" s="91">
        <f>IF(FB7=0,"",((EN7-EN6)/10))</f>
        <v>0</v>
      </c>
      <c r="V7" s="170">
        <f t="shared" ref="V7:V36" si="24">IF(EO7=0,"",(EO7-EO6))</f>
        <v>110.10000000009313</v>
      </c>
      <c r="W7" s="91">
        <f t="shared" si="2"/>
        <v>0</v>
      </c>
      <c r="X7" s="170">
        <f t="shared" ref="X7:X36" si="25">IF(V7="","",V7)</f>
        <v>110.10000000009313</v>
      </c>
      <c r="Y7" s="170" t="str">
        <f t="shared" ref="Y7:Y36" si="26">IF(EQ7=0,"0",(EQ7/10))</f>
        <v>0</v>
      </c>
      <c r="Z7" s="170">
        <f t="shared" si="3"/>
        <v>17.2</v>
      </c>
      <c r="AA7" s="170">
        <f t="shared" ref="AA7:AA36" si="27">IF(SUM(R7:V7)=0,"",SUM(R7:V7))</f>
        <v>276.72000000004192</v>
      </c>
      <c r="AB7" s="170">
        <f t="shared" ref="AB7:AC36" si="28">IF(DU7=0,"",(DU7-DU6))</f>
        <v>76</v>
      </c>
      <c r="AC7" s="170">
        <f t="shared" si="28"/>
        <v>0</v>
      </c>
      <c r="AD7" s="170">
        <f t="shared" ref="AD7:AD35" si="29">(IF(SUM(AB7:AC7)&gt;=(DW7-DW6),(SUM(AB7:AC7)),(DW7-DW6)))</f>
        <v>76</v>
      </c>
      <c r="AE7" s="170">
        <f t="shared" ref="AE7:AE36" si="30">IF(AB7="","",(AD7-AC7-AB7))</f>
        <v>0</v>
      </c>
      <c r="AF7" s="170">
        <f>IF(DX7=0,"",(DX7-DX6))</f>
        <v>29</v>
      </c>
      <c r="AG7" s="170">
        <f t="shared" ref="AF7:AG36" si="31">IF(DY7=0,"",(DY7-DY6))</f>
        <v>0</v>
      </c>
      <c r="AH7" s="170">
        <f t="shared" ref="AH7:AH36" si="32">(IF(SUM(AF7:AG7)&gt;=(DZ7-DZ6),(SUM(AF7:AG7)),(DZ7-DZ6)))</f>
        <v>35</v>
      </c>
      <c r="AI7" s="170">
        <f t="shared" ref="AI7:AI36" si="33">IF(AF7="","",(AH7-AG7-AF7))</f>
        <v>6</v>
      </c>
      <c r="AJ7" s="170">
        <f t="shared" ref="AJ7:AK35" si="34">IF(EA7=0,"",(EA7-EA6))</f>
        <v>48</v>
      </c>
      <c r="AK7" s="170">
        <f t="shared" si="34"/>
        <v>0</v>
      </c>
      <c r="AL7" s="170">
        <f t="shared" ref="AL7:AL36" si="35">(IF(SUM(AJ7:AK7)&gt;=(EC7-EC6),(SUM(AJ7:AK7)),(EC7-EC6)))</f>
        <v>48</v>
      </c>
      <c r="AM7" s="170">
        <f t="shared" ref="AM7:AM36" si="36">IF(AJ7="","",(AL7-AK7-AJ7))</f>
        <v>0</v>
      </c>
      <c r="AN7" s="170">
        <f t="shared" ref="AN7:AN36" si="37">IF(ED7=0,"",(ED7-ED6))</f>
        <v>0</v>
      </c>
      <c r="AO7" s="170">
        <f t="shared" si="4"/>
        <v>1.3000000000029104</v>
      </c>
      <c r="AP7" s="170">
        <f t="shared" ref="AP7:AP36" si="38">IF(EG7=0,"",(EG7-EG6))</f>
        <v>0</v>
      </c>
      <c r="AQ7" s="170">
        <f t="shared" si="5"/>
        <v>0.29999999998835847</v>
      </c>
      <c r="AR7" s="170">
        <f t="shared" ref="AR7:AR36" si="39">IF(ET7=0,"",(ET7-ET6)/1000)</f>
        <v>20.466000000000001</v>
      </c>
      <c r="AS7" s="170">
        <f t="shared" ref="AS7:AS36" si="40">IF(AR7="","",(ES7-ES6)+((ET7-ET6)/1000)-AW7-AU7)</f>
        <v>28.466000000000001</v>
      </c>
      <c r="AT7" s="170">
        <f t="shared" ref="AT7:AT36" si="41">IF(AR7="","",ES7-ES6+((ET7-ET6)/1000))</f>
        <v>32.466000000000001</v>
      </c>
      <c r="AU7" s="170">
        <f>IF(EV7="","",(EV7-EV6))</f>
        <v>4</v>
      </c>
      <c r="AV7" s="170">
        <f>IF(EI7=0,"",(EI7-EI6))</f>
        <v>1</v>
      </c>
      <c r="AW7" s="170">
        <f>IF(EU7="","",(EU7-EU6))</f>
        <v>0</v>
      </c>
      <c r="AX7" s="170">
        <f>IF(EJ7=0,"",(EJ7-EJ6))</f>
        <v>1</v>
      </c>
      <c r="AY7" s="170"/>
      <c r="AZ7" s="170">
        <f t="shared" ref="AZ7:AZ36" si="42">IF(EW7=0,"",EW7-EW6)</f>
        <v>198</v>
      </c>
      <c r="BA7" s="170">
        <v>0</v>
      </c>
      <c r="BB7" s="170">
        <f t="shared" ref="BB7:BC36" si="43">IF(EX7=0,"",(EX7-EX6))</f>
        <v>21.100000000005821</v>
      </c>
      <c r="BC7" s="170">
        <f t="shared" si="43"/>
        <v>0</v>
      </c>
      <c r="BD7" s="91">
        <f t="shared" ref="BD7:BD36" si="44">IF(FA7=0,"",(FA7-FA6))</f>
        <v>29</v>
      </c>
      <c r="BE7" s="90"/>
      <c r="BF7" s="90"/>
      <c r="BG7" s="90">
        <f t="shared" si="6"/>
        <v>219.10000000000582</v>
      </c>
      <c r="BH7" s="90">
        <f t="shared" ref="BH7:BH36" si="45">BL7-FC7</f>
        <v>1847.5</v>
      </c>
      <c r="BI7" s="90">
        <f t="shared" si="7"/>
        <v>281.11399999996104</v>
      </c>
      <c r="BJ7" s="90">
        <f t="shared" ref="BJ7:BJ36" si="46">IF(BH7=0,"",(AA7+AD7+AO7+BG7+AH7+AL7+AQ7+AT7+AX7+AV7))</f>
        <v>690.88600000003896</v>
      </c>
      <c r="BK7" s="92"/>
      <c r="BL7" s="93">
        <f>FD7+FN7</f>
        <v>2819.5</v>
      </c>
      <c r="BM7" s="93">
        <f t="shared" ref="BM7:BM36" si="47">BL7+BM6</f>
        <v>10201.5</v>
      </c>
      <c r="BN7" s="92"/>
      <c r="BO7" s="94" t="str">
        <f t="shared" ref="BO7:BP35" si="48">IF($N7&lt;&gt;0,IF($N7&lt;&gt;0,R7/$N7*10,0)," ")</f>
        <v xml:space="preserve"> </v>
      </c>
      <c r="BP7" s="94" t="str">
        <f>IF($N7&lt;&gt;0,IF($N7&lt;&gt;0,S7/$N7*10,0)," ")</f>
        <v xml:space="preserve"> </v>
      </c>
      <c r="BQ7" s="94" t="str">
        <f t="shared" ref="BQ7:BQ36" si="49">IF($N7&lt;&gt;0,IF($N7&lt;&gt;0,T7/$N7*10,0)," ")</f>
        <v xml:space="preserve"> </v>
      </c>
      <c r="BR7" s="94" t="str">
        <f>IF($N7&lt;&gt;0,IF($N7&lt;&gt;0,(V7)/$N7*10,0)," ")</f>
        <v xml:space="preserve"> </v>
      </c>
      <c r="BS7" s="94" t="str">
        <f t="shared" si="8"/>
        <v xml:space="preserve"> </v>
      </c>
      <c r="BT7" s="94" t="str">
        <f t="shared" si="8"/>
        <v xml:space="preserve"> </v>
      </c>
      <c r="BU7" s="95" t="str">
        <f t="shared" si="8"/>
        <v xml:space="preserve"> </v>
      </c>
      <c r="BV7" s="94" t="str">
        <f t="shared" si="9"/>
        <v xml:space="preserve"> </v>
      </c>
      <c r="BW7" s="94" t="str">
        <f t="shared" si="9"/>
        <v xml:space="preserve"> </v>
      </c>
      <c r="BX7" s="94" t="str">
        <f t="shared" si="9"/>
        <v xml:space="preserve"> </v>
      </c>
      <c r="BY7" s="94" t="str">
        <f t="shared" ref="BY7:BY36" si="50">IF($O7&lt;&gt;0,IF($O7&lt;&gt;0,(V7)/$O7*10,0)," ")</f>
        <v xml:space="preserve"> </v>
      </c>
      <c r="BZ7" s="95" t="str">
        <f t="shared" si="10"/>
        <v xml:space="preserve"> </v>
      </c>
      <c r="CA7" s="96" t="e">
        <f>#REF!</f>
        <v>#REF!</v>
      </c>
      <c r="CB7" s="94" t="str">
        <f t="shared" ref="CB7:CC36" si="51">IF($O7&lt;&gt;0,IF($O7&lt;&gt;0,AR7/$O7*10,0)," ")</f>
        <v xml:space="preserve"> </v>
      </c>
      <c r="CC7" s="95" t="str">
        <f t="shared" si="51"/>
        <v xml:space="preserve"> </v>
      </c>
      <c r="CD7" s="97" t="str">
        <f t="shared" si="11"/>
        <v/>
      </c>
      <c r="CE7" s="98" t="str">
        <f>IFERROR(AS7*10/($I7+$J7),"")</f>
        <v/>
      </c>
      <c r="CF7" s="97" t="str">
        <f t="shared" ref="CF7:CG36" si="52">IF($D7&lt;&gt;0,IF($D7&lt;&gt;0,AB7/$D7*10,0),"0,00")</f>
        <v>0,00</v>
      </c>
      <c r="CG7" s="94" t="str">
        <f t="shared" si="52"/>
        <v>0,00</v>
      </c>
      <c r="CH7" s="95" t="str">
        <f t="shared" ref="CH7:CH36" si="53">IF($D7&lt;&gt;0,IF($O7&lt;&gt;0,AD7/$D7*10,0),"0,00 ")</f>
        <v xml:space="preserve">0,00 </v>
      </c>
      <c r="CI7" s="96" t="e">
        <f>#REF!</f>
        <v>#REF!</v>
      </c>
      <c r="CJ7" s="94" t="str">
        <f t="shared" ref="CJ7:CK36" si="54">IF($E7&lt;&gt;0,IF($E7&lt;&gt;0,AF7/$E7*10,0),"0,00")</f>
        <v>0,00</v>
      </c>
      <c r="CK7" s="94" t="str">
        <f t="shared" si="54"/>
        <v>0,00</v>
      </c>
      <c r="CL7" s="95" t="str">
        <f>IF($E7&lt;&gt;0,IF($E7&lt;&gt;0,AH7/$E7*10,0),"0,00 ")</f>
        <v xml:space="preserve">0,00 </v>
      </c>
      <c r="CM7" s="95" t="e">
        <f>#REF!</f>
        <v>#REF!</v>
      </c>
      <c r="CN7" s="94" t="str">
        <f t="shared" ref="CN7:CO36" si="55">IF($F7&lt;&gt;0,IF($F7&lt;&gt;0,AJ7/$F7*10,0),"0,00")</f>
        <v>0,00</v>
      </c>
      <c r="CO7" s="94" t="str">
        <f t="shared" si="55"/>
        <v>0,00</v>
      </c>
      <c r="CP7" s="95" t="str">
        <f t="shared" ref="CP7:CP36" si="56">IF($F7&lt;&gt;0,IF($F7&lt;&gt;0,AL7/$F7*10,0),"0,00 ")</f>
        <v xml:space="preserve">0,00 </v>
      </c>
      <c r="CQ7" s="95" t="e">
        <f>#REF!</f>
        <v>#REF!</v>
      </c>
      <c r="CR7" s="97" t="str">
        <f>IF($G7&lt;&gt;0,IF($G7&lt;&gt;0,AN7/$G7*10,0),"0,00 ")</f>
        <v xml:space="preserve">0,00 </v>
      </c>
      <c r="CS7" s="95" t="str">
        <f>IF($G7&lt;&gt;0,IF($G7&lt;&gt;0,AO7/$G7*10,0),"0,00 ")</f>
        <v xml:space="preserve">0,00 </v>
      </c>
      <c r="CT7" s="96" t="e">
        <f>#REF!</f>
        <v>#REF!</v>
      </c>
      <c r="CU7" s="97" t="str">
        <f>IF($H7&lt;&gt;0,IF($H7&lt;&gt;0,AP7/$H7*10,0),"0,00 ")</f>
        <v xml:space="preserve">0,00 </v>
      </c>
      <c r="CV7" s="95" t="str">
        <f t="shared" ref="CV7:CV36" si="57">IF($H7&lt;&gt;0,IF($H7&lt;&gt;0,AQ7/$H7*10,0),"0,00 ")</f>
        <v xml:space="preserve">0,00 </v>
      </c>
      <c r="CW7" s="96" t="e">
        <f>#REF!</f>
        <v>#REF!</v>
      </c>
      <c r="CX7" s="97" t="str">
        <f t="shared" ref="CX7:DA26" si="58">IF($O7&lt;&gt;0,IF($O7&lt;&gt;0,AU7/$O7*10,0)," ")</f>
        <v xml:space="preserve"> </v>
      </c>
      <c r="CY7" s="98" t="str">
        <f t="shared" si="58"/>
        <v xml:space="preserve"> </v>
      </c>
      <c r="CZ7" s="97" t="str">
        <f t="shared" si="58"/>
        <v xml:space="preserve"> </v>
      </c>
      <c r="DA7" s="98" t="str">
        <f t="shared" si="58"/>
        <v xml:space="preserve"> </v>
      </c>
      <c r="DB7" s="94" t="str">
        <f t="shared" si="12"/>
        <v xml:space="preserve"> </v>
      </c>
      <c r="DC7" s="94" t="str">
        <f t="shared" si="13"/>
        <v xml:space="preserve"> </v>
      </c>
      <c r="DD7" s="94" t="str">
        <f t="shared" si="13"/>
        <v xml:space="preserve"> </v>
      </c>
      <c r="DE7" s="94" t="str">
        <f t="shared" si="13"/>
        <v xml:space="preserve"> </v>
      </c>
      <c r="DF7" s="94" t="str">
        <f t="shared" si="13"/>
        <v xml:space="preserve"> </v>
      </c>
      <c r="DG7" s="94" t="str">
        <f t="shared" si="13"/>
        <v xml:space="preserve"> </v>
      </c>
      <c r="DH7" s="95" t="str">
        <f t="shared" si="13"/>
        <v xml:space="preserve"> </v>
      </c>
      <c r="DI7" s="96" t="e">
        <f>#REF!</f>
        <v>#REF!</v>
      </c>
      <c r="DJ7" s="95" t="str">
        <f t="shared" ref="DJ7:DJ36" si="59">IF($O7&lt;&gt;0,IF($O7&lt;&gt;0,BH7/$O7*10,0)," ")</f>
        <v xml:space="preserve"> </v>
      </c>
      <c r="DK7" s="96" t="e">
        <f>#REF!</f>
        <v>#REF!</v>
      </c>
      <c r="DL7" s="95" t="str">
        <f t="shared" ref="DL7:DL36" si="60">IF($O7&lt;&gt;0,BI7/$O7*10," ")</f>
        <v xml:space="preserve"> </v>
      </c>
      <c r="DM7" s="96">
        <f t="shared" si="14"/>
        <v>0</v>
      </c>
      <c r="DN7" s="94" t="str">
        <f t="shared" si="15"/>
        <v/>
      </c>
      <c r="DO7" s="100">
        <v>3.4</v>
      </c>
      <c r="DP7" s="94" t="str">
        <f>IF($O7&lt;&gt;0,IF($O7&lt;&gt;0,BL7/$O7*10,0)," ")</f>
        <v xml:space="preserve"> </v>
      </c>
      <c r="DQ7" s="94">
        <f>IF($P7&lt;&gt;0,IF($P7&lt;&gt;0,BM7/$P7*10,0)," ")</f>
        <v>6.417175472808669</v>
      </c>
      <c r="DR7" s="101" t="str">
        <f t="shared" si="16"/>
        <v>3,315, hL/NhL</v>
      </c>
      <c r="DS7" s="116"/>
      <c r="DT7" s="103">
        <v>2</v>
      </c>
      <c r="DU7" s="355">
        <f>DU6+76</f>
        <v>625697</v>
      </c>
      <c r="DV7" s="355">
        <v>26929</v>
      </c>
      <c r="DW7" s="104">
        <v>5131713</v>
      </c>
      <c r="DX7" s="355">
        <v>117526</v>
      </c>
      <c r="DY7" s="355">
        <v>84860.9</v>
      </c>
      <c r="DZ7" s="355">
        <v>393362</v>
      </c>
      <c r="EA7" s="355">
        <v>231926</v>
      </c>
      <c r="EB7" s="104">
        <v>54183.199999999997</v>
      </c>
      <c r="EC7" s="105">
        <v>406299</v>
      </c>
      <c r="ED7" s="104">
        <v>47103.5</v>
      </c>
      <c r="EE7" s="104">
        <v>41948</v>
      </c>
      <c r="EF7" s="104">
        <v>38583.4</v>
      </c>
      <c r="EG7" s="355">
        <v>92351.3</v>
      </c>
      <c r="EH7" s="355">
        <v>181880.5</v>
      </c>
      <c r="EI7" s="355">
        <v>31698</v>
      </c>
      <c r="EJ7" s="104">
        <v>40496</v>
      </c>
      <c r="EK7" s="104"/>
      <c r="EL7" s="355">
        <v>700144.5</v>
      </c>
      <c r="EM7" s="355">
        <v>338</v>
      </c>
      <c r="EN7" s="104">
        <v>44017.9</v>
      </c>
      <c r="EO7" s="355">
        <v>3011155.9</v>
      </c>
      <c r="EP7" s="104">
        <v>2785987</v>
      </c>
      <c r="EQ7" s="104">
        <v>0</v>
      </c>
      <c r="ER7" s="104">
        <v>172</v>
      </c>
      <c r="ES7" s="104">
        <v>358142</v>
      </c>
      <c r="ET7" s="104">
        <v>352670</v>
      </c>
      <c r="EU7" s="104">
        <v>423814</v>
      </c>
      <c r="EV7" s="104">
        <v>137974</v>
      </c>
      <c r="EW7" s="104">
        <v>108974</v>
      </c>
      <c r="EX7" s="355">
        <v>208820.2</v>
      </c>
      <c r="EY7" s="376">
        <v>1642794.1</v>
      </c>
      <c r="EZ7" s="355">
        <v>779650.5</v>
      </c>
      <c r="FA7" s="355">
        <v>746457</v>
      </c>
      <c r="FB7" s="104">
        <v>30611.7</v>
      </c>
      <c r="FC7" s="355">
        <v>972</v>
      </c>
      <c r="FD7" s="104">
        <f t="shared" si="17"/>
        <v>2819.5</v>
      </c>
      <c r="FE7" s="105">
        <f t="shared" si="18"/>
        <v>0</v>
      </c>
      <c r="FF7" s="105">
        <f t="shared" si="18"/>
        <v>276</v>
      </c>
      <c r="FG7" s="105">
        <f t="shared" si="18"/>
        <v>6</v>
      </c>
      <c r="FH7" s="105">
        <f t="shared" si="18"/>
        <v>682</v>
      </c>
      <c r="FI7" s="105">
        <f t="shared" si="18"/>
        <v>577</v>
      </c>
      <c r="FJ7" s="105">
        <f t="shared" si="18"/>
        <v>0</v>
      </c>
      <c r="FK7" s="105">
        <v>806</v>
      </c>
      <c r="FL7" s="105">
        <f t="shared" si="18"/>
        <v>471.5</v>
      </c>
      <c r="FM7" s="105">
        <v>1</v>
      </c>
      <c r="FN7" s="124">
        <v>0</v>
      </c>
      <c r="FO7" s="77"/>
      <c r="FP7" s="353"/>
      <c r="FR7" s="64"/>
      <c r="FS7" s="64"/>
      <c r="FT7" s="64"/>
      <c r="FU7" s="64"/>
      <c r="FV7" s="64"/>
      <c r="FW7" s="64"/>
      <c r="FX7" s="64"/>
      <c r="FY7" s="64">
        <v>2</v>
      </c>
      <c r="FZ7" s="107"/>
      <c r="GA7" s="107">
        <v>83</v>
      </c>
      <c r="GB7" s="108"/>
      <c r="GC7" s="109"/>
      <c r="GD7" s="110"/>
      <c r="GE7" s="110"/>
      <c r="GF7" s="111"/>
      <c r="GG7" s="111"/>
      <c r="GH7" s="111"/>
      <c r="GI7" s="112"/>
      <c r="GJ7" s="111" t="e">
        <f t="shared" ref="GJ7:GJ37" si="61">(SUM(EQ6+ER6)/(GB7+GI7))</f>
        <v>#DIV/0!</v>
      </c>
      <c r="GK7" s="118"/>
    </row>
    <row r="8" spans="1:194" s="119" customFormat="1" ht="15" customHeight="1">
      <c r="B8" s="351">
        <v>42919</v>
      </c>
      <c r="D8" s="86"/>
      <c r="E8" s="86">
        <v>1296</v>
      </c>
      <c r="F8" s="86">
        <v>829.44</v>
      </c>
      <c r="G8" s="86">
        <v>56.999000000000002</v>
      </c>
      <c r="H8" s="86">
        <v>2067.71</v>
      </c>
      <c r="I8" s="86">
        <v>535.32600000000002</v>
      </c>
      <c r="J8" s="86"/>
      <c r="K8" s="86">
        <v>7.9369999999999994</v>
      </c>
      <c r="L8" s="86">
        <v>204.40799999999999</v>
      </c>
      <c r="M8" s="284">
        <f t="shared" ref="M8:M36" si="62">I8+J8</f>
        <v>535.32600000000002</v>
      </c>
      <c r="N8" s="88">
        <f t="shared" si="19"/>
        <v>4250.1489999999994</v>
      </c>
      <c r="O8" s="88">
        <f t="shared" si="20"/>
        <v>4722.2199999999993</v>
      </c>
      <c r="P8" s="89">
        <f t="shared" si="21"/>
        <v>20619.400999999998</v>
      </c>
      <c r="R8" s="170">
        <f t="shared" si="22"/>
        <v>148.19999999995343</v>
      </c>
      <c r="S8" s="170">
        <f t="shared" si="23"/>
        <v>66.790000000002323</v>
      </c>
      <c r="T8" s="170">
        <f t="shared" si="1"/>
        <v>249.2</v>
      </c>
      <c r="U8" s="91">
        <f>IF(FB8=0,"",((EN8-EN7)/10))</f>
        <v>2.3799999999995634</v>
      </c>
      <c r="V8" s="170">
        <f t="shared" si="24"/>
        <v>1031.7000000001863</v>
      </c>
      <c r="W8" s="91">
        <f t="shared" si="2"/>
        <v>0</v>
      </c>
      <c r="X8" s="170">
        <f t="shared" si="25"/>
        <v>1031.7000000001863</v>
      </c>
      <c r="Y8" s="170">
        <f t="shared" si="26"/>
        <v>34.799999999999997</v>
      </c>
      <c r="Z8" s="170">
        <f t="shared" si="3"/>
        <v>132.80000000000001</v>
      </c>
      <c r="AA8" s="170">
        <f t="shared" si="27"/>
        <v>1498.2700000001414</v>
      </c>
      <c r="AB8" s="170">
        <f t="shared" si="28"/>
        <v>47</v>
      </c>
      <c r="AC8" s="170">
        <f t="shared" si="28"/>
        <v>44</v>
      </c>
      <c r="AD8" s="170">
        <f t="shared" si="29"/>
        <v>123</v>
      </c>
      <c r="AE8" s="170">
        <f t="shared" si="30"/>
        <v>32</v>
      </c>
      <c r="AF8" s="170">
        <f t="shared" si="31"/>
        <v>29</v>
      </c>
      <c r="AG8" s="170">
        <f t="shared" si="31"/>
        <v>42.700000000011642</v>
      </c>
      <c r="AH8" s="170">
        <f t="shared" si="32"/>
        <v>167</v>
      </c>
      <c r="AI8" s="170">
        <f t="shared" si="33"/>
        <v>95.299999999988358</v>
      </c>
      <c r="AJ8" s="170">
        <f t="shared" si="34"/>
        <v>56</v>
      </c>
      <c r="AK8" s="170">
        <f t="shared" si="34"/>
        <v>54.400000000001455</v>
      </c>
      <c r="AL8" s="170">
        <f t="shared" si="35"/>
        <v>175</v>
      </c>
      <c r="AM8" s="170">
        <f t="shared" si="36"/>
        <v>64.599999999998545</v>
      </c>
      <c r="AN8" s="170">
        <f t="shared" si="37"/>
        <v>4.8000000000029104</v>
      </c>
      <c r="AO8" s="170">
        <f t="shared" si="4"/>
        <v>6.1999999999970896</v>
      </c>
      <c r="AP8" s="170">
        <f t="shared" si="38"/>
        <v>48.399999999994179</v>
      </c>
      <c r="AQ8" s="170">
        <f t="shared" si="5"/>
        <v>124.89999999999418</v>
      </c>
      <c r="AR8" s="170">
        <f t="shared" si="39"/>
        <v>83.224000000000004</v>
      </c>
      <c r="AS8" s="170">
        <f t="shared" si="40"/>
        <v>210.22399999999999</v>
      </c>
      <c r="AT8" s="170">
        <f t="shared" si="41"/>
        <v>442.22399999999999</v>
      </c>
      <c r="AU8" s="170">
        <f t="shared" ref="AU8:AU36" si="63">IF(EV8="","",(EV8-EV7))</f>
        <v>154</v>
      </c>
      <c r="AV8" s="170">
        <f t="shared" ref="AV8:AV36" si="64">IF(EI8=0,"",(EI8-EI7))</f>
        <v>33</v>
      </c>
      <c r="AW8" s="170">
        <f t="shared" ref="AW8:AW36" si="65">IF(EU8="","",(EU8-EU7))</f>
        <v>78</v>
      </c>
      <c r="AX8" s="170">
        <f t="shared" ref="AX8:AY36" si="66">IF(EJ8=0,"",(EJ8-EJ7))</f>
        <v>33</v>
      </c>
      <c r="AY8" s="170"/>
      <c r="AZ8" s="170">
        <f t="shared" si="42"/>
        <v>277</v>
      </c>
      <c r="BA8" s="170">
        <v>50</v>
      </c>
      <c r="BB8" s="170">
        <f t="shared" si="43"/>
        <v>100.39999999999418</v>
      </c>
      <c r="BC8" s="170">
        <f t="shared" si="43"/>
        <v>308.5</v>
      </c>
      <c r="BD8" s="91">
        <f t="shared" si="44"/>
        <v>9</v>
      </c>
      <c r="BE8" s="90"/>
      <c r="BF8" s="90"/>
      <c r="BG8" s="90">
        <f t="shared" si="6"/>
        <v>685.89999999999418</v>
      </c>
      <c r="BH8" s="90">
        <f t="shared" si="45"/>
        <v>719.29999999998836</v>
      </c>
      <c r="BI8" s="90">
        <f t="shared" si="7"/>
        <v>1102.505999999873</v>
      </c>
      <c r="BJ8" s="90">
        <f t="shared" si="46"/>
        <v>3288.494000000127</v>
      </c>
      <c r="BK8" s="92"/>
      <c r="BL8" s="93">
        <f t="shared" ref="BL8:BL35" si="67">FD8+FN8</f>
        <v>5110.2999999999884</v>
      </c>
      <c r="BM8" s="93">
        <f t="shared" si="47"/>
        <v>15311.799999999988</v>
      </c>
      <c r="BN8" s="92" t="s">
        <v>125</v>
      </c>
      <c r="BO8" s="94">
        <f t="shared" si="48"/>
        <v>0.3486936575634253</v>
      </c>
      <c r="BP8" s="94">
        <f t="shared" si="48"/>
        <v>0.15714743177239748</v>
      </c>
      <c r="BQ8" s="94">
        <f t="shared" si="49"/>
        <v>0.58633238505285357</v>
      </c>
      <c r="BR8" s="94">
        <f t="shared" ref="BR8:BR36" si="68">IF($N8&lt;&gt;0,IF($N8&lt;&gt;0,(V8)/$N8*10,0)," ")</f>
        <v>2.427444308423508</v>
      </c>
      <c r="BS8" s="94">
        <f t="shared" si="8"/>
        <v>8.1879482342854332E-2</v>
      </c>
      <c r="BT8" s="94">
        <f t="shared" si="8"/>
        <v>0.31245963376813385</v>
      </c>
      <c r="BU8" s="95">
        <f t="shared" si="8"/>
        <v>3.5252175864896538</v>
      </c>
      <c r="BV8" s="94">
        <f t="shared" si="9"/>
        <v>0.31383544180481526</v>
      </c>
      <c r="BW8" s="94">
        <f t="shared" si="9"/>
        <v>0.14143771361775251</v>
      </c>
      <c r="BX8" s="94">
        <f t="shared" si="9"/>
        <v>0.5277178953966567</v>
      </c>
      <c r="BY8" s="94">
        <f t="shared" si="50"/>
        <v>2.1847774987192174</v>
      </c>
      <c r="BZ8" s="95">
        <f t="shared" si="10"/>
        <v>3.1728085519102067</v>
      </c>
      <c r="CA8" s="96" t="e">
        <f>#REF!</f>
        <v>#REF!</v>
      </c>
      <c r="CB8" s="94">
        <f t="shared" si="51"/>
        <v>0.17623914175959615</v>
      </c>
      <c r="CC8" s="95">
        <f t="shared" si="51"/>
        <v>0.4451804447907976</v>
      </c>
      <c r="CD8" s="97">
        <f t="shared" si="11"/>
        <v>1.5546414708047058</v>
      </c>
      <c r="CE8" s="98">
        <f t="shared" si="11"/>
        <v>3.9270276429689566</v>
      </c>
      <c r="CF8" s="97" t="str">
        <f t="shared" si="52"/>
        <v>0,00</v>
      </c>
      <c r="CG8" s="94" t="str">
        <f t="shared" si="52"/>
        <v>0,00</v>
      </c>
      <c r="CH8" s="95" t="str">
        <f t="shared" si="53"/>
        <v xml:space="preserve">0,00 </v>
      </c>
      <c r="CI8" s="96" t="e">
        <f>#REF!</f>
        <v>#REF!</v>
      </c>
      <c r="CJ8" s="94">
        <f t="shared" si="54"/>
        <v>0.22376543209876543</v>
      </c>
      <c r="CK8" s="94">
        <f t="shared" si="54"/>
        <v>0.32947530864206515</v>
      </c>
      <c r="CL8" s="95">
        <f t="shared" ref="CL8:CL36" si="69">IF($E8&lt;&gt;0,IF($E8&lt;&gt;0,AH8/$E8*10,0),"0,00 ")</f>
        <v>1.2885802469135801</v>
      </c>
      <c r="CM8" s="95" t="e">
        <f>#REF!</f>
        <v>#REF!</v>
      </c>
      <c r="CN8" s="94">
        <f t="shared" si="55"/>
        <v>0.67515432098765427</v>
      </c>
      <c r="CO8" s="94">
        <f t="shared" si="55"/>
        <v>0.65586419753088165</v>
      </c>
      <c r="CP8" s="95">
        <f t="shared" si="56"/>
        <v>2.1098572530864197</v>
      </c>
      <c r="CQ8" s="95" t="e">
        <f>#REF!</f>
        <v>#REF!</v>
      </c>
      <c r="CR8" s="97">
        <f t="shared" ref="CR8:CS36" si="70">IF($G8&lt;&gt;0,IF($G8&lt;&gt;0,AN8/$G8*10,0),"0,00 ")</f>
        <v>0.84212003719414552</v>
      </c>
      <c r="CS8" s="95">
        <f t="shared" si="70"/>
        <v>1.0877383813746013</v>
      </c>
      <c r="CT8" s="96" t="e">
        <f>#REF!</f>
        <v>#REF!</v>
      </c>
      <c r="CU8" s="97">
        <f t="shared" ref="CU8:CU36" si="71">IF($H8&lt;&gt;0,IF($H8&lt;&gt;0,AP8/$H8*10,0),"0,00 ")</f>
        <v>0.23407537807523385</v>
      </c>
      <c r="CV8" s="95">
        <f t="shared" si="57"/>
        <v>0.60404989094212524</v>
      </c>
      <c r="CW8" s="96" t="e">
        <f>#REF!</f>
        <v>#REF!</v>
      </c>
      <c r="CX8" s="97">
        <f t="shared" si="58"/>
        <v>0.32611780052602379</v>
      </c>
      <c r="CY8" s="98">
        <f t="shared" si="58"/>
        <v>6.9882385827005095E-2</v>
      </c>
      <c r="CZ8" s="97">
        <f t="shared" si="58"/>
        <v>0.16517654831837569</v>
      </c>
      <c r="DA8" s="98">
        <f t="shared" si="58"/>
        <v>6.9882385827005095E-2</v>
      </c>
      <c r="DB8" s="94">
        <f t="shared" si="12"/>
        <v>0.58658851133577017</v>
      </c>
      <c r="DC8" s="94">
        <f t="shared" si="13"/>
        <v>0.21261186475851229</v>
      </c>
      <c r="DD8" s="94">
        <f t="shared" si="13"/>
        <v>0.65329442507972957</v>
      </c>
      <c r="DE8" s="94">
        <f t="shared" si="13"/>
        <v>1.9058832498274121E-2</v>
      </c>
      <c r="DF8" s="94">
        <f t="shared" si="13"/>
        <v>0</v>
      </c>
      <c r="DG8" s="94">
        <f t="shared" si="13"/>
        <v>0</v>
      </c>
      <c r="DH8" s="95">
        <f t="shared" si="13"/>
        <v>1.4524948011740118</v>
      </c>
      <c r="DI8" s="96" t="e">
        <f>#REF!</f>
        <v>#REF!</v>
      </c>
      <c r="DJ8" s="95">
        <f t="shared" si="59"/>
        <v>1.5232242462231502</v>
      </c>
      <c r="DK8" s="96" t="e">
        <f>#REF!</f>
        <v>#REF!</v>
      </c>
      <c r="DL8" s="95">
        <f t="shared" si="60"/>
        <v>2.3347196869266429</v>
      </c>
      <c r="DM8" s="96">
        <f t="shared" si="14"/>
        <v>0</v>
      </c>
      <c r="DN8" s="94">
        <f t="shared" si="15"/>
        <v>6.9638729241757638</v>
      </c>
      <c r="DO8" s="100">
        <v>3.4</v>
      </c>
      <c r="DP8" s="94">
        <f>IF($O8&lt;&gt;0,IF($O8&lt;&gt;0,BL8/$O8*10,0)," ")</f>
        <v>10.821816857325556</v>
      </c>
      <c r="DQ8" s="94">
        <f>IF($P8&lt;&gt;0,IF($P8&lt;&gt;0,BM8/$P8*10,0)," ")</f>
        <v>7.4259189197591091</v>
      </c>
      <c r="DR8" s="101" t="str">
        <f t="shared" si="16"/>
        <v>3,315, hL/NhL</v>
      </c>
      <c r="DS8" s="116"/>
      <c r="DT8" s="103">
        <v>3</v>
      </c>
      <c r="DU8" s="330">
        <v>625744</v>
      </c>
      <c r="DV8" s="330">
        <v>26973</v>
      </c>
      <c r="DW8" s="330">
        <v>5131836</v>
      </c>
      <c r="DX8" s="355">
        <v>117555</v>
      </c>
      <c r="DY8" s="330">
        <v>84903.6</v>
      </c>
      <c r="DZ8" s="330">
        <v>393529</v>
      </c>
      <c r="EA8" s="330">
        <v>231982</v>
      </c>
      <c r="EB8" s="105">
        <v>54237.599999999999</v>
      </c>
      <c r="EC8" s="330">
        <v>406474</v>
      </c>
      <c r="ED8" s="330">
        <v>47108.3</v>
      </c>
      <c r="EE8" s="403">
        <v>41948</v>
      </c>
      <c r="EF8" s="105">
        <v>38589.599999999999</v>
      </c>
      <c r="EG8" s="330">
        <v>92399.7</v>
      </c>
      <c r="EH8" s="330">
        <v>182005.4</v>
      </c>
      <c r="EI8" s="330">
        <v>31731</v>
      </c>
      <c r="EJ8" s="105">
        <v>40529</v>
      </c>
      <c r="EK8" s="105"/>
      <c r="EL8" s="330">
        <v>700292.7</v>
      </c>
      <c r="EM8" s="105">
        <v>2492</v>
      </c>
      <c r="EN8" s="105">
        <v>44041.7</v>
      </c>
      <c r="EO8" s="330">
        <v>3012187.6</v>
      </c>
      <c r="EP8" s="104">
        <v>2785987</v>
      </c>
      <c r="EQ8" s="105">
        <v>348</v>
      </c>
      <c r="ER8" s="105">
        <v>1328</v>
      </c>
      <c r="ES8" s="105">
        <v>358501</v>
      </c>
      <c r="ET8" s="105">
        <v>435894</v>
      </c>
      <c r="EU8" s="105">
        <v>423892</v>
      </c>
      <c r="EV8" s="105">
        <v>138128</v>
      </c>
      <c r="EW8" s="105">
        <v>109251</v>
      </c>
      <c r="EX8" s="330">
        <v>208920.6</v>
      </c>
      <c r="EY8" s="330">
        <v>1643102.6</v>
      </c>
      <c r="EZ8" s="330">
        <v>780318.4</v>
      </c>
      <c r="FA8" s="330">
        <v>746466</v>
      </c>
      <c r="FB8" s="104">
        <v>30665.9</v>
      </c>
      <c r="FC8" s="104">
        <v>4391</v>
      </c>
      <c r="FD8" s="104">
        <f t="shared" si="17"/>
        <v>3910.2999999999884</v>
      </c>
      <c r="FE8" s="105">
        <f t="shared" si="18"/>
        <v>0</v>
      </c>
      <c r="FF8" s="105">
        <f t="shared" si="18"/>
        <v>750</v>
      </c>
      <c r="FG8" s="105">
        <f t="shared" si="18"/>
        <v>838</v>
      </c>
      <c r="FH8" s="105">
        <f t="shared" si="18"/>
        <v>552</v>
      </c>
      <c r="FI8" s="105">
        <f t="shared" si="18"/>
        <v>228</v>
      </c>
      <c r="FJ8" s="105">
        <f t="shared" si="18"/>
        <v>0</v>
      </c>
      <c r="FK8" s="105">
        <f t="shared" si="18"/>
        <v>402</v>
      </c>
      <c r="FL8" s="105">
        <f t="shared" si="18"/>
        <v>864.29999999998836</v>
      </c>
      <c r="FM8" s="105">
        <v>276</v>
      </c>
      <c r="FN8" s="124">
        <v>1200</v>
      </c>
      <c r="FO8" s="77"/>
      <c r="FP8" s="353"/>
      <c r="FY8" s="119">
        <v>3</v>
      </c>
      <c r="FZ8" s="107"/>
      <c r="GA8" s="107">
        <v>0</v>
      </c>
      <c r="GB8" s="108"/>
      <c r="GC8" s="109"/>
      <c r="GD8" s="110"/>
      <c r="GE8" s="110"/>
      <c r="GF8" s="111"/>
      <c r="GG8" s="111"/>
      <c r="GH8" s="111"/>
      <c r="GI8" s="112"/>
      <c r="GJ8" s="111" t="e">
        <f t="shared" si="61"/>
        <v>#DIV/0!</v>
      </c>
      <c r="GK8" s="113"/>
    </row>
    <row r="9" spans="1:194" s="119" customFormat="1" ht="15" customHeight="1">
      <c r="B9" s="351">
        <v>42920</v>
      </c>
      <c r="D9" s="86">
        <v>3414</v>
      </c>
      <c r="E9" s="86">
        <v>3881.64</v>
      </c>
      <c r="F9" s="152">
        <v>2426.1120000000001</v>
      </c>
      <c r="G9" s="86"/>
      <c r="H9" s="86">
        <v>6902.0730000000003</v>
      </c>
      <c r="I9" s="86">
        <v>1421.317</v>
      </c>
      <c r="J9" s="86">
        <v>2051.88</v>
      </c>
      <c r="K9" s="86"/>
      <c r="L9" s="86">
        <v>613.08000000000004</v>
      </c>
      <c r="M9" s="284">
        <f t="shared" si="62"/>
        <v>3473.1970000000001</v>
      </c>
      <c r="N9" s="88">
        <f t="shared" si="19"/>
        <v>16623.825000000001</v>
      </c>
      <c r="O9" s="88">
        <f t="shared" si="20"/>
        <v>18973.503500000003</v>
      </c>
      <c r="P9" s="89">
        <f t="shared" si="21"/>
        <v>39592.904500000004</v>
      </c>
      <c r="R9" s="170">
        <f t="shared" si="22"/>
        <v>284.5</v>
      </c>
      <c r="S9" s="170">
        <f t="shared" si="23"/>
        <v>38.069999999995346</v>
      </c>
      <c r="T9" s="170">
        <f t="shared" si="1"/>
        <v>779.5</v>
      </c>
      <c r="U9" s="91">
        <f>IF(FB9=0,"",((EN9-EN8)/10))</f>
        <v>5.0200000000004366</v>
      </c>
      <c r="V9" s="170">
        <f>IF(EO9=0,"",(EO9-EO8))</f>
        <v>1536.1000000000931</v>
      </c>
      <c r="W9" s="91">
        <f t="shared" si="2"/>
        <v>0</v>
      </c>
      <c r="X9" s="170">
        <f t="shared" si="25"/>
        <v>1536.1000000000931</v>
      </c>
      <c r="Y9" s="170" t="str">
        <f t="shared" si="26"/>
        <v>0</v>
      </c>
      <c r="Z9" s="170">
        <f t="shared" si="3"/>
        <v>163</v>
      </c>
      <c r="AA9" s="170">
        <f t="shared" si="27"/>
        <v>2643.1900000000887</v>
      </c>
      <c r="AB9" s="170">
        <f t="shared" si="28"/>
        <v>131</v>
      </c>
      <c r="AC9" s="170">
        <f t="shared" si="28"/>
        <v>60</v>
      </c>
      <c r="AD9" s="170">
        <f t="shared" si="29"/>
        <v>384</v>
      </c>
      <c r="AE9" s="170">
        <f t="shared" si="30"/>
        <v>193</v>
      </c>
      <c r="AF9" s="170">
        <f t="shared" si="31"/>
        <v>121</v>
      </c>
      <c r="AG9" s="170">
        <f t="shared" si="31"/>
        <v>9.2999999999883585</v>
      </c>
      <c r="AH9" s="170">
        <f t="shared" si="32"/>
        <v>193</v>
      </c>
      <c r="AI9" s="170">
        <f t="shared" si="33"/>
        <v>62.700000000011642</v>
      </c>
      <c r="AJ9" s="170">
        <f t="shared" si="34"/>
        <v>150</v>
      </c>
      <c r="AK9" s="170">
        <f t="shared" si="34"/>
        <v>9.2000000000043656</v>
      </c>
      <c r="AL9" s="170">
        <f t="shared" si="35"/>
        <v>231</v>
      </c>
      <c r="AM9" s="170">
        <f t="shared" si="36"/>
        <v>71.799999999995634</v>
      </c>
      <c r="AN9" s="170">
        <f t="shared" si="37"/>
        <v>0</v>
      </c>
      <c r="AO9" s="170">
        <f t="shared" si="4"/>
        <v>2.3000000000029104</v>
      </c>
      <c r="AP9" s="170">
        <f t="shared" si="38"/>
        <v>33.600000000005821</v>
      </c>
      <c r="AQ9" s="170">
        <f t="shared" si="5"/>
        <v>53.899999999994179</v>
      </c>
      <c r="AR9" s="170">
        <f t="shared" si="39"/>
        <v>66.778000000000006</v>
      </c>
      <c r="AS9" s="170">
        <f t="shared" si="40"/>
        <v>93.77800000000002</v>
      </c>
      <c r="AT9" s="170">
        <f t="shared" si="41"/>
        <v>743.77800000000002</v>
      </c>
      <c r="AU9" s="170">
        <f t="shared" si="63"/>
        <v>222</v>
      </c>
      <c r="AV9" s="170">
        <f t="shared" si="64"/>
        <v>37</v>
      </c>
      <c r="AW9" s="170">
        <f t="shared" si="65"/>
        <v>428</v>
      </c>
      <c r="AX9" s="170">
        <f t="shared" si="66"/>
        <v>44</v>
      </c>
      <c r="AY9" s="170"/>
      <c r="AZ9" s="170">
        <f t="shared" si="42"/>
        <v>294</v>
      </c>
      <c r="BA9" s="170">
        <v>78.599999999999994</v>
      </c>
      <c r="BB9" s="170">
        <f t="shared" si="43"/>
        <v>116.10000000000582</v>
      </c>
      <c r="BC9" s="170">
        <f t="shared" si="43"/>
        <v>1060.5999999998603</v>
      </c>
      <c r="BD9" s="91">
        <f t="shared" si="44"/>
        <v>176</v>
      </c>
      <c r="BE9" s="90"/>
      <c r="BF9" s="90"/>
      <c r="BG9" s="90">
        <f t="shared" si="6"/>
        <v>1470.6999999998661</v>
      </c>
      <c r="BH9" s="90">
        <f t="shared" si="45"/>
        <v>-1464.2999999999884</v>
      </c>
      <c r="BI9" s="90">
        <f t="shared" si="7"/>
        <v>979.13200000004781</v>
      </c>
      <c r="BJ9" s="90">
        <f t="shared" si="46"/>
        <v>5802.8679999999522</v>
      </c>
      <c r="BK9" s="92"/>
      <c r="BL9" s="93">
        <f t="shared" si="67"/>
        <v>5317.7000000000116</v>
      </c>
      <c r="BM9" s="93">
        <f t="shared" si="47"/>
        <v>20629.5</v>
      </c>
      <c r="BN9" s="92"/>
      <c r="BO9" s="94">
        <f t="shared" si="48"/>
        <v>0.17113991515189797</v>
      </c>
      <c r="BP9" s="94">
        <f t="shared" si="48"/>
        <v>2.290086667779247E-2</v>
      </c>
      <c r="BQ9" s="94">
        <f t="shared" si="49"/>
        <v>0.46890532112795935</v>
      </c>
      <c r="BR9" s="94">
        <f t="shared" si="68"/>
        <v>0.92403523256536513</v>
      </c>
      <c r="BS9" s="94">
        <f t="shared" si="8"/>
        <v>0</v>
      </c>
      <c r="BT9" s="94">
        <f t="shared" si="8"/>
        <v>9.8052042775955583E-2</v>
      </c>
      <c r="BU9" s="95">
        <f t="shared" si="8"/>
        <v>1.5900010978220047</v>
      </c>
      <c r="BV9" s="94">
        <f t="shared" si="9"/>
        <v>0.14994594962390576</v>
      </c>
      <c r="BW9" s="94">
        <f t="shared" si="9"/>
        <v>2.0064823557755341E-2</v>
      </c>
      <c r="BX9" s="94">
        <f t="shared" si="9"/>
        <v>0.41083609044581559</v>
      </c>
      <c r="BY9" s="94">
        <f t="shared" si="50"/>
        <v>0.80960271781123239</v>
      </c>
      <c r="BZ9" s="95">
        <f t="shared" si="10"/>
        <v>1.3930953764021961</v>
      </c>
      <c r="CA9" s="96" t="e">
        <f>#REF!</f>
        <v>#REF!</v>
      </c>
      <c r="CB9" s="94">
        <f t="shared" si="51"/>
        <v>3.5195397623849489E-2</v>
      </c>
      <c r="CC9" s="95">
        <f t="shared" si="51"/>
        <v>4.9425768941408217E-2</v>
      </c>
      <c r="CD9" s="97">
        <f t="shared" si="11"/>
        <v>0.19226666382586419</v>
      </c>
      <c r="CE9" s="98">
        <f t="shared" si="11"/>
        <v>0.2700048399212599</v>
      </c>
      <c r="CF9" s="97">
        <f t="shared" si="52"/>
        <v>0.38371411833626246</v>
      </c>
      <c r="CG9" s="94">
        <f t="shared" si="52"/>
        <v>0.1757469244288225</v>
      </c>
      <c r="CH9" s="95">
        <f t="shared" si="53"/>
        <v>1.1247803163444638</v>
      </c>
      <c r="CI9" s="96" t="e">
        <f>#REF!</f>
        <v>#REF!</v>
      </c>
      <c r="CJ9" s="94">
        <f t="shared" si="54"/>
        <v>0.31172391051205162</v>
      </c>
      <c r="CK9" s="94">
        <f t="shared" si="54"/>
        <v>2.3958945188086372E-2</v>
      </c>
      <c r="CL9" s="95">
        <f t="shared" si="69"/>
        <v>0.49721251842004927</v>
      </c>
      <c r="CM9" s="95" t="e">
        <f>#REF!</f>
        <v>#REF!</v>
      </c>
      <c r="CN9" s="94">
        <f t="shared" si="55"/>
        <v>0.61827318771763218</v>
      </c>
      <c r="CO9" s="94">
        <f t="shared" si="55"/>
        <v>3.79207555133661E-2</v>
      </c>
      <c r="CP9" s="95">
        <f t="shared" si="56"/>
        <v>0.95214070908515347</v>
      </c>
      <c r="CQ9" s="95" t="e">
        <f>#REF!</f>
        <v>#REF!</v>
      </c>
      <c r="CR9" s="97" t="str">
        <f t="shared" si="70"/>
        <v xml:space="preserve">0,00 </v>
      </c>
      <c r="CS9" s="95" t="str">
        <f t="shared" si="70"/>
        <v xml:space="preserve">0,00 </v>
      </c>
      <c r="CT9" s="96" t="e">
        <f>#REF!</f>
        <v>#REF!</v>
      </c>
      <c r="CU9" s="97">
        <f t="shared" si="71"/>
        <v>4.8681026700247626E-2</v>
      </c>
      <c r="CV9" s="95">
        <f t="shared" si="57"/>
        <v>7.8092480331625261E-2</v>
      </c>
      <c r="CW9" s="96" t="e">
        <f>#REF!</f>
        <v>#REF!</v>
      </c>
      <c r="CX9" s="97">
        <f t="shared" si="58"/>
        <v>0.11700527527770502</v>
      </c>
      <c r="CY9" s="98">
        <f t="shared" si="58"/>
        <v>1.9500879212950836E-2</v>
      </c>
      <c r="CZ9" s="97">
        <f t="shared" si="58"/>
        <v>0.22557773792278268</v>
      </c>
      <c r="DA9" s="98">
        <f t="shared" si="58"/>
        <v>2.319023473972532E-2</v>
      </c>
      <c r="DB9" s="94">
        <f t="shared" si="12"/>
        <v>0.15495293212452826</v>
      </c>
      <c r="DC9" s="94">
        <f t="shared" si="13"/>
        <v>6.1190596665505553E-2</v>
      </c>
      <c r="DD9" s="94">
        <f t="shared" si="13"/>
        <v>0.5589900673852144</v>
      </c>
      <c r="DE9" s="94">
        <f t="shared" si="13"/>
        <v>9.2760938958901279E-2</v>
      </c>
      <c r="DF9" s="94">
        <f t="shared" si="13"/>
        <v>0</v>
      </c>
      <c r="DG9" s="94">
        <f t="shared" si="13"/>
        <v>0</v>
      </c>
      <c r="DH9" s="95">
        <f t="shared" si="13"/>
        <v>0.77513359617524824</v>
      </c>
      <c r="DI9" s="96" t="e">
        <f>#REF!</f>
        <v>#REF!</v>
      </c>
      <c r="DJ9" s="95">
        <f t="shared" si="59"/>
        <v>-0.77176047112226165</v>
      </c>
      <c r="DK9" s="96" t="e">
        <f>#REF!</f>
        <v>#REF!</v>
      </c>
      <c r="DL9" s="95">
        <f t="shared" si="60"/>
        <v>0.51605229366313277</v>
      </c>
      <c r="DM9" s="96">
        <f t="shared" si="14"/>
        <v>0</v>
      </c>
      <c r="DN9" s="94">
        <f t="shared" si="15"/>
        <v>3.0584061609918018</v>
      </c>
      <c r="DO9" s="100">
        <v>3.4</v>
      </c>
      <c r="DP9" s="94">
        <f t="shared" ref="DP9:DP33" si="72">IF($O9&lt;&gt;0,IF($O9&lt;&gt;0,BL9/$O9*10,0)," ")</f>
        <v>2.8026979835326724</v>
      </c>
      <c r="DQ9" s="94">
        <f t="shared" ref="DQ9:DQ34" si="73">IF($P9&lt;&gt;0,IF($P9&lt;&gt;0,BM9/$P9*10,0)," ")</f>
        <v>5.2104032933476754</v>
      </c>
      <c r="DR9" s="101" t="str">
        <f t="shared" si="16"/>
        <v>3,315, hL/NhL</v>
      </c>
      <c r="DS9" s="116"/>
      <c r="DT9" s="103">
        <v>4</v>
      </c>
      <c r="DU9" s="355">
        <v>625875</v>
      </c>
      <c r="DV9" s="355">
        <v>27033</v>
      </c>
      <c r="DW9" s="104">
        <v>5132220</v>
      </c>
      <c r="DX9" s="80">
        <v>117676</v>
      </c>
      <c r="DY9" s="104">
        <v>84912.9</v>
      </c>
      <c r="DZ9" s="104">
        <v>393722</v>
      </c>
      <c r="EA9" s="355">
        <v>232132</v>
      </c>
      <c r="EB9" s="104">
        <v>54246.8</v>
      </c>
      <c r="EC9" s="104">
        <v>406705</v>
      </c>
      <c r="ED9" s="355">
        <v>47108.3</v>
      </c>
      <c r="EE9" s="403">
        <v>41948</v>
      </c>
      <c r="EF9" s="104">
        <v>38591.9</v>
      </c>
      <c r="EG9" s="355">
        <v>92433.3</v>
      </c>
      <c r="EH9" s="355">
        <v>182059.3</v>
      </c>
      <c r="EI9" s="355">
        <v>31768</v>
      </c>
      <c r="EJ9" s="104">
        <v>40573</v>
      </c>
      <c r="EK9" s="104"/>
      <c r="EL9" s="355">
        <v>700577.2</v>
      </c>
      <c r="EM9" s="104">
        <v>7795</v>
      </c>
      <c r="EN9" s="104">
        <v>44091.9</v>
      </c>
      <c r="EO9" s="355">
        <v>3013723.7</v>
      </c>
      <c r="EP9" s="104">
        <f>EP8</f>
        <v>2785987</v>
      </c>
      <c r="EQ9" s="104">
        <v>0</v>
      </c>
      <c r="ER9" s="104">
        <v>1630</v>
      </c>
      <c r="ES9" s="80">
        <v>359178</v>
      </c>
      <c r="ET9" s="104">
        <v>502672</v>
      </c>
      <c r="EU9" s="104">
        <v>424320</v>
      </c>
      <c r="EV9" s="104">
        <v>138350</v>
      </c>
      <c r="EW9" s="104">
        <v>109545</v>
      </c>
      <c r="EX9" s="355">
        <v>209036.7</v>
      </c>
      <c r="EY9" s="355">
        <v>1644163.2</v>
      </c>
      <c r="EZ9" s="377">
        <v>780699.1</v>
      </c>
      <c r="FA9" s="378">
        <v>746642</v>
      </c>
      <c r="FB9" s="379">
        <v>30746.1</v>
      </c>
      <c r="FC9" s="104">
        <v>6782</v>
      </c>
      <c r="FD9" s="104">
        <f t="shared" si="17"/>
        <v>4117.7000000000116</v>
      </c>
      <c r="FE9" s="105">
        <f t="shared" si="18"/>
        <v>0</v>
      </c>
      <c r="FF9" s="105">
        <f t="shared" si="18"/>
        <v>0</v>
      </c>
      <c r="FG9" s="105">
        <f t="shared" si="18"/>
        <v>725</v>
      </c>
      <c r="FH9" s="105">
        <f t="shared" si="18"/>
        <v>1670</v>
      </c>
      <c r="FI9" s="105">
        <f t="shared" si="18"/>
        <v>494</v>
      </c>
      <c r="FJ9" s="105">
        <f t="shared" si="18"/>
        <v>0</v>
      </c>
      <c r="FK9" s="105">
        <v>0</v>
      </c>
      <c r="FL9" s="105">
        <f t="shared" si="18"/>
        <v>953.70000000001164</v>
      </c>
      <c r="FM9" s="105">
        <v>275</v>
      </c>
      <c r="FN9" s="124">
        <v>1200</v>
      </c>
      <c r="FO9" s="77"/>
      <c r="FP9" s="353"/>
      <c r="FY9" s="119">
        <v>4</v>
      </c>
      <c r="FZ9" s="107"/>
      <c r="GA9" s="107">
        <v>0</v>
      </c>
      <c r="GB9" s="108"/>
      <c r="GC9" s="109"/>
      <c r="GD9" s="110"/>
      <c r="GE9" s="110"/>
      <c r="GF9" s="111"/>
      <c r="GG9" s="111"/>
      <c r="GH9" s="111"/>
      <c r="GI9" s="112"/>
      <c r="GJ9" s="111" t="e">
        <f t="shared" si="61"/>
        <v>#DIV/0!</v>
      </c>
      <c r="GK9" s="113"/>
    </row>
    <row r="10" spans="1:194" s="119" customFormat="1" ht="15" customHeight="1">
      <c r="B10" s="351">
        <v>42921</v>
      </c>
      <c r="D10" s="128">
        <v>2467.92</v>
      </c>
      <c r="E10" s="128">
        <v>1846.32</v>
      </c>
      <c r="F10" s="128">
        <v>3276.288</v>
      </c>
      <c r="G10" s="86">
        <v>1556.0930000000001</v>
      </c>
      <c r="H10" s="86">
        <v>4643.99</v>
      </c>
      <c r="I10" s="86">
        <v>1829.1469999999999</v>
      </c>
      <c r="J10" s="86">
        <v>11045.52</v>
      </c>
      <c r="K10" s="86"/>
      <c r="L10" s="86">
        <v>613.08000000000004</v>
      </c>
      <c r="M10" s="284">
        <f t="shared" si="62"/>
        <v>12874.667000000001</v>
      </c>
      <c r="N10" s="88">
        <f t="shared" si="19"/>
        <v>13790.611000000001</v>
      </c>
      <c r="O10" s="88">
        <f t="shared" si="20"/>
        <v>20841.0245</v>
      </c>
      <c r="P10" s="89">
        <f t="shared" si="21"/>
        <v>60433.929000000004</v>
      </c>
      <c r="R10" s="170">
        <f t="shared" si="22"/>
        <v>301.40000000002328</v>
      </c>
      <c r="S10" s="170">
        <f t="shared" si="23"/>
        <v>13.040000000002328</v>
      </c>
      <c r="T10" s="170">
        <f t="shared" si="1"/>
        <v>802.1</v>
      </c>
      <c r="U10" s="91">
        <f>IF(FB10=0,"",((EN10-EN9)/10))</f>
        <v>5.5599999999998548</v>
      </c>
      <c r="V10" s="170">
        <f t="shared" si="24"/>
        <v>1516.1999999997206</v>
      </c>
      <c r="W10" s="91">
        <f>IF(EP10=0,"",(EP10-2774683)/10)</f>
        <v>279.5</v>
      </c>
      <c r="X10" s="170">
        <f t="shared" si="25"/>
        <v>1516.1999999997206</v>
      </c>
      <c r="Y10" s="170" t="str">
        <f t="shared" si="26"/>
        <v>0</v>
      </c>
      <c r="Z10" s="170">
        <f t="shared" si="3"/>
        <v>124.4</v>
      </c>
      <c r="AA10" s="170">
        <f t="shared" si="27"/>
        <v>2638.2999999997464</v>
      </c>
      <c r="AB10" s="170">
        <f t="shared" si="28"/>
        <v>133</v>
      </c>
      <c r="AC10" s="170">
        <f t="shared" si="28"/>
        <v>36</v>
      </c>
      <c r="AD10" s="170">
        <f t="shared" si="29"/>
        <v>329</v>
      </c>
      <c r="AE10" s="170">
        <f t="shared" si="30"/>
        <v>160</v>
      </c>
      <c r="AF10" s="170">
        <f t="shared" si="31"/>
        <v>15</v>
      </c>
      <c r="AG10" s="170">
        <f t="shared" si="31"/>
        <v>72.900000000008731</v>
      </c>
      <c r="AH10" s="170">
        <f t="shared" si="32"/>
        <v>341</v>
      </c>
      <c r="AI10" s="170">
        <f t="shared" si="33"/>
        <v>253.09999999999127</v>
      </c>
      <c r="AJ10" s="170">
        <f t="shared" si="34"/>
        <v>152</v>
      </c>
      <c r="AK10" s="170">
        <f t="shared" si="34"/>
        <v>8.5999999999985448</v>
      </c>
      <c r="AL10" s="170">
        <f t="shared" si="35"/>
        <v>235</v>
      </c>
      <c r="AM10" s="170">
        <f t="shared" si="36"/>
        <v>74.400000000001455</v>
      </c>
      <c r="AN10" s="170">
        <f t="shared" si="37"/>
        <v>34.899999999994179</v>
      </c>
      <c r="AO10" s="170">
        <f t="shared" si="4"/>
        <v>67.899999999994179</v>
      </c>
      <c r="AP10" s="170">
        <f t="shared" si="38"/>
        <v>33.30000000000291</v>
      </c>
      <c r="AQ10" s="170">
        <f t="shared" si="5"/>
        <v>256</v>
      </c>
      <c r="AR10" s="170">
        <f t="shared" si="39"/>
        <v>79.956999999999994</v>
      </c>
      <c r="AS10" s="170">
        <f t="shared" si="40"/>
        <v>169.95699999999988</v>
      </c>
      <c r="AT10" s="170">
        <f t="shared" si="41"/>
        <v>1082.9569999999999</v>
      </c>
      <c r="AU10" s="170">
        <f t="shared" si="63"/>
        <v>265</v>
      </c>
      <c r="AV10" s="170">
        <f t="shared" si="64"/>
        <v>32</v>
      </c>
      <c r="AW10" s="170">
        <f t="shared" si="65"/>
        <v>648</v>
      </c>
      <c r="AX10" s="170">
        <f t="shared" si="66"/>
        <v>16</v>
      </c>
      <c r="AY10" s="170"/>
      <c r="AZ10" s="170">
        <f t="shared" si="42"/>
        <v>271</v>
      </c>
      <c r="BA10" s="170">
        <v>71</v>
      </c>
      <c r="BB10" s="170">
        <f t="shared" si="43"/>
        <v>88.399999999994179</v>
      </c>
      <c r="BC10" s="170">
        <f t="shared" si="43"/>
        <v>1168.6000000000931</v>
      </c>
      <c r="BD10" s="91">
        <f t="shared" si="44"/>
        <v>282</v>
      </c>
      <c r="BE10" s="90"/>
      <c r="BF10" s="90"/>
      <c r="BG10" s="90">
        <f t="shared" si="6"/>
        <v>1528.0000000000873</v>
      </c>
      <c r="BH10" s="90">
        <f t="shared" si="45"/>
        <v>-1575.2999999999884</v>
      </c>
      <c r="BI10" s="90">
        <f t="shared" si="7"/>
        <v>1336.8430000001717</v>
      </c>
      <c r="BJ10" s="90">
        <f t="shared" si="46"/>
        <v>6526.1569999998283</v>
      </c>
      <c r="BK10" s="92"/>
      <c r="BL10" s="93">
        <f t="shared" si="67"/>
        <v>6287.7000000000116</v>
      </c>
      <c r="BM10" s="93">
        <f t="shared" si="47"/>
        <v>26917.200000000012</v>
      </c>
      <c r="BN10" s="92"/>
      <c r="BO10" s="94">
        <f t="shared" si="48"/>
        <v>0.21855449334335025</v>
      </c>
      <c r="BP10" s="94">
        <f t="shared" si="48"/>
        <v>9.4557086701976632E-3</v>
      </c>
      <c r="BQ10" s="94">
        <f t="shared" si="49"/>
        <v>0.58162760156167115</v>
      </c>
      <c r="BR10" s="94">
        <f t="shared" si="68"/>
        <v>1.0994436722199767</v>
      </c>
      <c r="BS10" s="94">
        <f t="shared" si="8"/>
        <v>0</v>
      </c>
      <c r="BT10" s="94">
        <f t="shared" si="8"/>
        <v>9.0206300504016831E-2</v>
      </c>
      <c r="BU10" s="95">
        <f t="shared" si="8"/>
        <v>1.9131132043386232</v>
      </c>
      <c r="BV10" s="94">
        <f t="shared" si="9"/>
        <v>0.14461861027994247</v>
      </c>
      <c r="BW10" s="94">
        <f t="shared" si="9"/>
        <v>6.2568901063392197E-3</v>
      </c>
      <c r="BX10" s="94">
        <f t="shared" si="9"/>
        <v>0.3848659167403215</v>
      </c>
      <c r="BY10" s="94">
        <f t="shared" si="50"/>
        <v>0.72750742171994509</v>
      </c>
      <c r="BZ10" s="95">
        <f t="shared" si="10"/>
        <v>1.2659166539532385</v>
      </c>
      <c r="CA10" s="96" t="e">
        <f>#REF!</f>
        <v>#REF!</v>
      </c>
      <c r="CB10" s="94">
        <f t="shared" si="51"/>
        <v>3.8365196490220521E-2</v>
      </c>
      <c r="CC10" s="95">
        <f t="shared" si="51"/>
        <v>8.1549253972615351E-2</v>
      </c>
      <c r="CD10" s="97">
        <f t="shared" si="11"/>
        <v>6.2104130537900502E-2</v>
      </c>
      <c r="CE10" s="98">
        <f t="shared" si="11"/>
        <v>0.13200885118038383</v>
      </c>
      <c r="CF10" s="97">
        <f t="shared" si="52"/>
        <v>0.53891536192421141</v>
      </c>
      <c r="CG10" s="94">
        <f t="shared" si="52"/>
        <v>0.14587182728775649</v>
      </c>
      <c r="CH10" s="95">
        <f t="shared" si="53"/>
        <v>1.3331064216019968</v>
      </c>
      <c r="CI10" s="96" t="e">
        <f>#REF!</f>
        <v>#REF!</v>
      </c>
      <c r="CJ10" s="94">
        <f t="shared" si="54"/>
        <v>8.1242688158065776E-2</v>
      </c>
      <c r="CK10" s="94">
        <f t="shared" si="54"/>
        <v>0.39483946444824697</v>
      </c>
      <c r="CL10" s="95">
        <f t="shared" si="69"/>
        <v>1.8469171107933622</v>
      </c>
      <c r="CM10" s="95" t="e">
        <f>#REF!</f>
        <v>#REF!</v>
      </c>
      <c r="CN10" s="94">
        <f t="shared" si="55"/>
        <v>0.46393967807469916</v>
      </c>
      <c r="CO10" s="94">
        <f t="shared" si="55"/>
        <v>2.6249218627906169E-2</v>
      </c>
      <c r="CP10" s="95">
        <f t="shared" si="56"/>
        <v>0.71727516018127835</v>
      </c>
      <c r="CQ10" s="95" t="e">
        <f>#REF!</f>
        <v>#REF!</v>
      </c>
      <c r="CR10" s="97">
        <f t="shared" si="70"/>
        <v>0.22427965423656671</v>
      </c>
      <c r="CS10" s="95">
        <f t="shared" si="70"/>
        <v>0.43634924133708058</v>
      </c>
      <c r="CT10" s="96" t="e">
        <f>#REF!</f>
        <v>#REF!</v>
      </c>
      <c r="CU10" s="97">
        <f t="shared" si="71"/>
        <v>7.170558076137741E-2</v>
      </c>
      <c r="CV10" s="95">
        <f t="shared" si="57"/>
        <v>0.55125011035768812</v>
      </c>
      <c r="CW10" s="96" t="e">
        <f>#REF!</f>
        <v>#REF!</v>
      </c>
      <c r="CX10" s="97">
        <f t="shared" si="58"/>
        <v>0.12715305814260713</v>
      </c>
      <c r="CY10" s="98">
        <f t="shared" si="58"/>
        <v>1.5354331549295958E-2</v>
      </c>
      <c r="CZ10" s="97">
        <f t="shared" si="58"/>
        <v>0.31092521387324312</v>
      </c>
      <c r="DA10" s="98">
        <f t="shared" si="58"/>
        <v>7.6771657746479791E-3</v>
      </c>
      <c r="DB10" s="94">
        <f t="shared" si="12"/>
        <v>0.13003199530810014</v>
      </c>
      <c r="DC10" s="94">
        <f t="shared" si="13"/>
        <v>4.241634090492729E-2</v>
      </c>
      <c r="DD10" s="94">
        <f t="shared" si="13"/>
        <v>0.56072099526589636</v>
      </c>
      <c r="DE10" s="94">
        <f t="shared" si="13"/>
        <v>0.13531004677817063</v>
      </c>
      <c r="DF10" s="94">
        <f t="shared" si="13"/>
        <v>0</v>
      </c>
      <c r="DG10" s="94">
        <f t="shared" si="13"/>
        <v>0</v>
      </c>
      <c r="DH10" s="95">
        <f t="shared" si="13"/>
        <v>0.73316933147892382</v>
      </c>
      <c r="DI10" s="96" t="e">
        <f>#REF!</f>
        <v>#REF!</v>
      </c>
      <c r="DJ10" s="95">
        <f t="shared" si="59"/>
        <v>-0.7558649528001794</v>
      </c>
      <c r="DK10" s="96" t="e">
        <f>#REF!</f>
        <v>#REF!</v>
      </c>
      <c r="DL10" s="95">
        <f t="shared" si="60"/>
        <v>0.64144783285494045</v>
      </c>
      <c r="DM10" s="96">
        <f t="shared" si="14"/>
        <v>0</v>
      </c>
      <c r="DN10" s="94">
        <f t="shared" si="15"/>
        <v>3.1313993225236256</v>
      </c>
      <c r="DO10" s="100">
        <v>3.4</v>
      </c>
      <c r="DP10" s="94">
        <f>IF($O10&lt;&gt;0,IF($O10&lt;&gt;0,BL10/$O10*10,0)," ")</f>
        <v>3.0169822025783866</v>
      </c>
      <c r="DQ10" s="94">
        <f>IF($P10&lt;&gt;0,IF($P10&lt;&gt;0,BM10/$P10*10,0)," ")</f>
        <v>4.4539880900346578</v>
      </c>
      <c r="DR10" s="101" t="str">
        <f t="shared" si="16"/>
        <v>3,315, hL/NhL</v>
      </c>
      <c r="DS10" s="116"/>
      <c r="DT10" s="103">
        <v>5</v>
      </c>
      <c r="DU10" s="355">
        <v>626008</v>
      </c>
      <c r="DV10" s="355">
        <v>27069</v>
      </c>
      <c r="DW10" s="355">
        <v>5132549</v>
      </c>
      <c r="DX10" s="287">
        <v>117691</v>
      </c>
      <c r="DY10" s="355">
        <v>84985.8</v>
      </c>
      <c r="DZ10" s="355">
        <v>394063</v>
      </c>
      <c r="EA10" s="355">
        <v>232284</v>
      </c>
      <c r="EB10" s="104">
        <v>54255.4</v>
      </c>
      <c r="EC10" s="355">
        <v>406940</v>
      </c>
      <c r="ED10" s="355">
        <v>47143.199999999997</v>
      </c>
      <c r="EE10" s="104">
        <v>41998.7</v>
      </c>
      <c r="EF10" s="104">
        <v>38609.1</v>
      </c>
      <c r="EG10" s="355">
        <v>92466.6</v>
      </c>
      <c r="EH10" s="355">
        <v>182315.3</v>
      </c>
      <c r="EI10" s="355">
        <v>31800</v>
      </c>
      <c r="EJ10" s="104">
        <v>40589</v>
      </c>
      <c r="EK10" s="104"/>
      <c r="EL10" s="355">
        <v>700878.6</v>
      </c>
      <c r="EM10" s="104">
        <v>8021</v>
      </c>
      <c r="EN10" s="104">
        <v>44147.5</v>
      </c>
      <c r="EO10" s="355">
        <v>3015239.9</v>
      </c>
      <c r="EP10" s="104">
        <v>2777478</v>
      </c>
      <c r="EQ10" s="104">
        <v>0</v>
      </c>
      <c r="ER10" s="104">
        <v>1244</v>
      </c>
      <c r="ES10" s="80">
        <v>360181</v>
      </c>
      <c r="ET10" s="104">
        <v>582629</v>
      </c>
      <c r="EU10" s="104">
        <v>424968</v>
      </c>
      <c r="EV10" s="104">
        <v>138615</v>
      </c>
      <c r="EW10" s="104">
        <v>109816</v>
      </c>
      <c r="EX10" s="355">
        <v>209125.1</v>
      </c>
      <c r="EY10" s="355">
        <v>1645331.8</v>
      </c>
      <c r="EZ10" s="355">
        <v>780829.5</v>
      </c>
      <c r="FA10" s="380">
        <v>746924</v>
      </c>
      <c r="FB10" s="104">
        <v>30824.400000000001</v>
      </c>
      <c r="FC10" s="104">
        <v>7863</v>
      </c>
      <c r="FD10" s="77">
        <f t="shared" si="17"/>
        <v>5087.7000000000116</v>
      </c>
      <c r="FE10" s="105">
        <f t="shared" si="18"/>
        <v>0</v>
      </c>
      <c r="FF10" s="105">
        <f t="shared" si="18"/>
        <v>252</v>
      </c>
      <c r="FG10" s="105">
        <f t="shared" si="18"/>
        <v>1243</v>
      </c>
      <c r="FH10" s="105">
        <f t="shared" si="18"/>
        <v>1675</v>
      </c>
      <c r="FI10" s="105">
        <f t="shared" si="18"/>
        <v>684</v>
      </c>
      <c r="FJ10" s="105">
        <f t="shared" si="18"/>
        <v>0</v>
      </c>
      <c r="FK10" s="105">
        <f t="shared" si="18"/>
        <v>0</v>
      </c>
      <c r="FL10" s="105">
        <f t="shared" si="18"/>
        <v>850.70000000001164</v>
      </c>
      <c r="FM10" s="105">
        <v>383</v>
      </c>
      <c r="FN10" s="124">
        <v>1200</v>
      </c>
      <c r="FO10" s="77"/>
      <c r="FP10" s="353"/>
      <c r="FY10" s="119">
        <v>5</v>
      </c>
      <c r="FZ10" s="107">
        <v>3949</v>
      </c>
      <c r="GA10" s="107">
        <v>188</v>
      </c>
      <c r="GB10" s="108">
        <f>GA10/FZ10/0.1</f>
        <v>0.4760698911116738</v>
      </c>
      <c r="GC10" s="109"/>
      <c r="GD10" s="110"/>
      <c r="GE10" s="110"/>
      <c r="GF10" s="111"/>
      <c r="GG10" s="111"/>
      <c r="GH10" s="111"/>
      <c r="GI10" s="112"/>
      <c r="GJ10" s="111">
        <f t="shared" si="61"/>
        <v>3423.867021276596</v>
      </c>
      <c r="GK10" s="113"/>
    </row>
    <row r="11" spans="1:194" s="119" customFormat="1" ht="15.75" customHeight="1">
      <c r="B11" s="351">
        <v>42922</v>
      </c>
      <c r="D11" s="128">
        <v>3708</v>
      </c>
      <c r="E11" s="128">
        <v>3806.2799999999997</v>
      </c>
      <c r="F11" s="128">
        <v>3089.6640000000002</v>
      </c>
      <c r="G11" s="86">
        <v>4530.7019999999993</v>
      </c>
      <c r="H11" s="86">
        <v>5492.835</v>
      </c>
      <c r="I11" s="86">
        <v>2195.7959999999998</v>
      </c>
      <c r="J11" s="86"/>
      <c r="K11" s="86">
        <v>15.239000000000001</v>
      </c>
      <c r="L11" s="86">
        <v>206.72</v>
      </c>
      <c r="M11" s="284">
        <f t="shared" si="62"/>
        <v>2195.7959999999998</v>
      </c>
      <c r="N11" s="88">
        <f t="shared" si="19"/>
        <v>20627.481</v>
      </c>
      <c r="O11" s="88">
        <f>N11+L11+K11+((J11+I11)*0.5)</f>
        <v>21947.338000000003</v>
      </c>
      <c r="P11" s="89">
        <f t="shared" si="21"/>
        <v>82381.267000000007</v>
      </c>
      <c r="R11" s="170">
        <f t="shared" si="22"/>
        <v>295</v>
      </c>
      <c r="S11" s="170">
        <f t="shared" si="23"/>
        <v>0</v>
      </c>
      <c r="T11" s="170">
        <f t="shared" si="1"/>
        <v>409.4</v>
      </c>
      <c r="U11" s="91">
        <f t="shared" ref="U11:U35" si="74">IF(FB11=0,"",((EN11-EN10)/10))</f>
        <v>5.430000000000291</v>
      </c>
      <c r="V11" s="170">
        <f t="shared" si="24"/>
        <v>1383</v>
      </c>
      <c r="W11" s="91">
        <f t="shared" si="2"/>
        <v>122.2</v>
      </c>
      <c r="X11" s="170">
        <f t="shared" si="25"/>
        <v>1383</v>
      </c>
      <c r="Y11" s="170" t="str">
        <f t="shared" si="26"/>
        <v>0</v>
      </c>
      <c r="Z11" s="170">
        <f t="shared" si="3"/>
        <v>165.5</v>
      </c>
      <c r="AA11" s="170">
        <f t="shared" si="27"/>
        <v>2092.8300000000004</v>
      </c>
      <c r="AB11" s="170">
        <f t="shared" si="28"/>
        <v>114</v>
      </c>
      <c r="AC11" s="170">
        <f t="shared" si="28"/>
        <v>21</v>
      </c>
      <c r="AD11" s="170">
        <f t="shared" si="29"/>
        <v>249</v>
      </c>
      <c r="AE11" s="170">
        <f t="shared" si="30"/>
        <v>114</v>
      </c>
      <c r="AF11" s="170">
        <f t="shared" si="31"/>
        <v>256</v>
      </c>
      <c r="AG11" s="170">
        <f>IF(DY11=0,"",(DY11-DY10))</f>
        <v>6.5999999999912689</v>
      </c>
      <c r="AH11" s="170">
        <f>(IF(SUM(AF11:AG11)&gt;=(DZ11-DZ10),(SUM(AF11:AG11)),(DZ11-DZ10)))</f>
        <v>262.59999999999127</v>
      </c>
      <c r="AI11" s="170">
        <f t="shared" si="33"/>
        <v>0</v>
      </c>
      <c r="AJ11" s="170">
        <f t="shared" si="34"/>
        <v>153</v>
      </c>
      <c r="AK11" s="170">
        <f t="shared" si="34"/>
        <v>9.5999999999985448</v>
      </c>
      <c r="AL11" s="170">
        <f t="shared" si="35"/>
        <v>237</v>
      </c>
      <c r="AM11" s="170">
        <f t="shared" si="36"/>
        <v>74.400000000001455</v>
      </c>
      <c r="AN11" s="170">
        <f t="shared" si="37"/>
        <v>30.700000000004366</v>
      </c>
      <c r="AO11" s="170">
        <f t="shared" si="4"/>
        <v>92.300000000010186</v>
      </c>
      <c r="AP11" s="170">
        <f t="shared" si="38"/>
        <v>25.599999999991269</v>
      </c>
      <c r="AQ11" s="170">
        <f t="shared" si="5"/>
        <v>44.5</v>
      </c>
      <c r="AR11" s="170">
        <f t="shared" si="39"/>
        <v>104.029</v>
      </c>
      <c r="AS11" s="170">
        <f t="shared" si="40"/>
        <v>-10.971000000000004</v>
      </c>
      <c r="AT11" s="170">
        <f t="shared" si="41"/>
        <v>369.029</v>
      </c>
      <c r="AU11" s="170">
        <f t="shared" si="63"/>
        <v>273</v>
      </c>
      <c r="AV11" s="170">
        <f t="shared" si="64"/>
        <v>21</v>
      </c>
      <c r="AW11" s="170">
        <f t="shared" si="65"/>
        <v>107</v>
      </c>
      <c r="AX11" s="170">
        <f t="shared" si="66"/>
        <v>95</v>
      </c>
      <c r="AY11" s="170"/>
      <c r="AZ11" s="170">
        <f t="shared" si="42"/>
        <v>301</v>
      </c>
      <c r="BA11" s="170">
        <v>45.6</v>
      </c>
      <c r="BB11" s="170">
        <f t="shared" si="43"/>
        <v>78.399999999994179</v>
      </c>
      <c r="BC11" s="170">
        <f t="shared" si="43"/>
        <v>1128</v>
      </c>
      <c r="BD11" s="91">
        <f t="shared" si="44"/>
        <v>485</v>
      </c>
      <c r="BE11" s="90"/>
      <c r="BF11" s="90"/>
      <c r="BG11" s="90">
        <f t="shared" si="6"/>
        <v>1507.3999999999942</v>
      </c>
      <c r="BH11" s="90">
        <f t="shared" si="45"/>
        <v>801</v>
      </c>
      <c r="BI11" s="90">
        <f t="shared" si="7"/>
        <v>1483.341000000004</v>
      </c>
      <c r="BJ11" s="90">
        <f t="shared" si="46"/>
        <v>4970.658999999996</v>
      </c>
      <c r="BK11" s="92"/>
      <c r="BL11" s="93">
        <f t="shared" si="67"/>
        <v>7255</v>
      </c>
      <c r="BM11" s="93">
        <f t="shared" si="47"/>
        <v>34172.200000000012</v>
      </c>
      <c r="BN11" s="92"/>
      <c r="BO11" s="94">
        <f t="shared" si="48"/>
        <v>0.14301309985450961</v>
      </c>
      <c r="BP11" s="94">
        <f t="shared" si="48"/>
        <v>0</v>
      </c>
      <c r="BQ11" s="94">
        <f t="shared" si="49"/>
        <v>0.19847309518791945</v>
      </c>
      <c r="BR11" s="94">
        <f t="shared" si="68"/>
        <v>0.67046480372470096</v>
      </c>
      <c r="BS11" s="94">
        <f t="shared" si="8"/>
        <v>0</v>
      </c>
      <c r="BT11" s="94">
        <f t="shared" si="8"/>
        <v>8.0232772969224889E-2</v>
      </c>
      <c r="BU11" s="95">
        <f t="shared" si="8"/>
        <v>1.0145834093847914</v>
      </c>
      <c r="BV11" s="94">
        <f t="shared" si="9"/>
        <v>0.13441265633217109</v>
      </c>
      <c r="BW11" s="94">
        <f t="shared" si="9"/>
        <v>0</v>
      </c>
      <c r="BX11" s="94">
        <f t="shared" si="9"/>
        <v>0.18653742882166391</v>
      </c>
      <c r="BY11" s="94">
        <f t="shared" si="50"/>
        <v>0.63014475833014449</v>
      </c>
      <c r="BZ11" s="95">
        <f t="shared" si="10"/>
        <v>0.95356894763273803</v>
      </c>
      <c r="CA11" s="96" t="e">
        <f>#REF!</f>
        <v>#REF!</v>
      </c>
      <c r="CB11" s="94">
        <f t="shared" si="51"/>
        <v>4.7399370256201445E-2</v>
      </c>
      <c r="CC11" s="95">
        <f t="shared" si="51"/>
        <v>-4.9987839071872868E-3</v>
      </c>
      <c r="CD11" s="97">
        <f t="shared" si="11"/>
        <v>0.47376441163022431</v>
      </c>
      <c r="CE11" s="98">
        <f t="shared" si="11"/>
        <v>-4.9963657826136876E-2</v>
      </c>
      <c r="CF11" s="97">
        <f t="shared" si="52"/>
        <v>0.30744336569579289</v>
      </c>
      <c r="CG11" s="94">
        <f t="shared" si="52"/>
        <v>5.6634304207119748E-2</v>
      </c>
      <c r="CH11" s="95">
        <f t="shared" si="53"/>
        <v>0.67152103559870546</v>
      </c>
      <c r="CI11" s="96" t="e">
        <f>#REF!</f>
        <v>#REF!</v>
      </c>
      <c r="CJ11" s="94">
        <f t="shared" si="54"/>
        <v>0.67257269565034628</v>
      </c>
      <c r="CK11" s="94">
        <f t="shared" si="54"/>
        <v>1.7339764809712551E-2</v>
      </c>
      <c r="CL11" s="95">
        <f t="shared" si="69"/>
        <v>0.68991246046005883</v>
      </c>
      <c r="CM11" s="95" t="e">
        <f>#REF!</f>
        <v>#REF!</v>
      </c>
      <c r="CN11" s="94">
        <f t="shared" si="55"/>
        <v>0.49519947800149133</v>
      </c>
      <c r="CO11" s="94">
        <f t="shared" si="55"/>
        <v>3.1071339796167299E-2</v>
      </c>
      <c r="CP11" s="95">
        <f t="shared" si="56"/>
        <v>0.76707370121799645</v>
      </c>
      <c r="CQ11" s="95" t="e">
        <f>#REF!</f>
        <v>#REF!</v>
      </c>
      <c r="CR11" s="97">
        <f t="shared" si="70"/>
        <v>6.7759918882337372E-2</v>
      </c>
      <c r="CS11" s="95">
        <f t="shared" si="70"/>
        <v>0.20372118934330749</v>
      </c>
      <c r="CT11" s="96" t="e">
        <f>#REF!</f>
        <v>#REF!</v>
      </c>
      <c r="CU11" s="97">
        <f t="shared" si="71"/>
        <v>4.6606169673750017E-2</v>
      </c>
      <c r="CV11" s="95">
        <f t="shared" si="57"/>
        <v>8.1014630878225913E-2</v>
      </c>
      <c r="CW11" s="96" t="e">
        <f>#REF!</f>
        <v>#REF!</v>
      </c>
      <c r="CX11" s="97">
        <f t="shared" si="58"/>
        <v>0.12438866162265326</v>
      </c>
      <c r="CY11" s="98">
        <f t="shared" si="58"/>
        <v>9.5683585863579439E-3</v>
      </c>
      <c r="CZ11" s="97">
        <f t="shared" si="58"/>
        <v>4.8753065178109525E-2</v>
      </c>
      <c r="DA11" s="98">
        <f t="shared" si="58"/>
        <v>4.3285431700190696E-2</v>
      </c>
      <c r="DB11" s="94">
        <f t="shared" si="12"/>
        <v>0.13714647307113051</v>
      </c>
      <c r="DC11" s="94">
        <f t="shared" si="13"/>
        <v>3.5721872055733669E-2</v>
      </c>
      <c r="DD11" s="94">
        <f t="shared" si="13"/>
        <v>0.51395754692436946</v>
      </c>
      <c r="DE11" s="94">
        <f t="shared" si="13"/>
        <v>0.22098351973255248</v>
      </c>
      <c r="DF11" s="94">
        <f t="shared" si="13"/>
        <v>0</v>
      </c>
      <c r="DG11" s="94">
        <f t="shared" si="13"/>
        <v>0</v>
      </c>
      <c r="DH11" s="95">
        <f t="shared" si="13"/>
        <v>0.68682589205123368</v>
      </c>
      <c r="DI11" s="96" t="e">
        <f>#REF!</f>
        <v>#REF!</v>
      </c>
      <c r="DJ11" s="95">
        <f t="shared" si="59"/>
        <v>0.36496453465108153</v>
      </c>
      <c r="DK11" s="96" t="e">
        <f>#REF!</f>
        <v>#REF!</v>
      </c>
      <c r="DL11" s="95">
        <f t="shared" si="60"/>
        <v>0.67586374256413406</v>
      </c>
      <c r="DM11" s="96">
        <f t="shared" si="14"/>
        <v>0</v>
      </c>
      <c r="DN11" s="94">
        <f t="shared" si="15"/>
        <v>2.2648117963098739</v>
      </c>
      <c r="DO11" s="100">
        <v>3.4</v>
      </c>
      <c r="DP11" s="94">
        <f>IF($O11&lt;&gt;0,IF($O11&lt;&gt;0,BL11/$O11*10,0)," ")</f>
        <v>3.3056400735250895</v>
      </c>
      <c r="DQ11" s="94">
        <f t="shared" si="73"/>
        <v>4.1480546784986947</v>
      </c>
      <c r="DR11" s="101" t="str">
        <f t="shared" si="16"/>
        <v>3,315, hL/NhL</v>
      </c>
      <c r="DS11" s="116"/>
      <c r="DT11" s="103">
        <v>6</v>
      </c>
      <c r="DU11" s="355">
        <v>626122</v>
      </c>
      <c r="DV11" s="355">
        <v>27090</v>
      </c>
      <c r="DW11" s="104">
        <v>5132798</v>
      </c>
      <c r="DX11" s="287">
        <v>117947</v>
      </c>
      <c r="DY11" s="104">
        <v>84992.4</v>
      </c>
      <c r="DZ11" s="355">
        <v>394240</v>
      </c>
      <c r="EA11" s="355">
        <v>232437</v>
      </c>
      <c r="EB11" s="104">
        <v>54265</v>
      </c>
      <c r="EC11" s="104">
        <v>407177</v>
      </c>
      <c r="ED11" s="355">
        <v>47173.9</v>
      </c>
      <c r="EE11" s="104">
        <v>42053.8</v>
      </c>
      <c r="EF11" s="104">
        <v>38646.300000000003</v>
      </c>
      <c r="EG11" s="355">
        <v>92492.2</v>
      </c>
      <c r="EH11" s="355">
        <v>182359.8</v>
      </c>
      <c r="EI11" s="355">
        <v>31821</v>
      </c>
      <c r="EJ11" s="104">
        <v>40684</v>
      </c>
      <c r="EK11" s="104"/>
      <c r="EL11" s="355">
        <v>701173.6</v>
      </c>
      <c r="EM11" s="104">
        <v>4094</v>
      </c>
      <c r="EN11" s="104">
        <v>44201.8</v>
      </c>
      <c r="EO11" s="355">
        <v>3016622.9</v>
      </c>
      <c r="EP11" s="104">
        <v>2778700</v>
      </c>
      <c r="EQ11" s="104">
        <v>0</v>
      </c>
      <c r="ER11" s="104">
        <v>1655</v>
      </c>
      <c r="ES11" s="80">
        <v>360446</v>
      </c>
      <c r="ET11" s="104">
        <v>686658</v>
      </c>
      <c r="EU11" s="104">
        <v>425075</v>
      </c>
      <c r="EV11" s="104">
        <v>138888</v>
      </c>
      <c r="EW11" s="104">
        <v>110117</v>
      </c>
      <c r="EX11" s="355">
        <v>209203.5</v>
      </c>
      <c r="EY11" s="355">
        <v>1646459.8</v>
      </c>
      <c r="EZ11" s="355">
        <v>780829.5</v>
      </c>
      <c r="FA11" s="355">
        <v>747409</v>
      </c>
      <c r="FB11" s="104">
        <v>30872.7</v>
      </c>
      <c r="FC11" s="104">
        <v>6454</v>
      </c>
      <c r="FD11" s="77">
        <f t="shared" si="17"/>
        <v>5336</v>
      </c>
      <c r="FE11" s="105">
        <f t="shared" si="18"/>
        <v>0</v>
      </c>
      <c r="FF11" s="105">
        <f t="shared" si="18"/>
        <v>801</v>
      </c>
      <c r="FG11" s="105">
        <f t="shared" si="18"/>
        <v>613</v>
      </c>
      <c r="FH11" s="105">
        <f t="shared" si="18"/>
        <v>1683</v>
      </c>
      <c r="FI11" s="105">
        <f t="shared" si="18"/>
        <v>400</v>
      </c>
      <c r="FJ11" s="105">
        <f t="shared" si="18"/>
        <v>0</v>
      </c>
      <c r="FK11" s="105">
        <f t="shared" si="18"/>
        <v>703</v>
      </c>
      <c r="FL11" s="105">
        <f t="shared" si="18"/>
        <v>865</v>
      </c>
      <c r="FM11" s="105">
        <v>271</v>
      </c>
      <c r="FN11" s="80">
        <f>1200+719</f>
        <v>1919</v>
      </c>
      <c r="FO11" s="104"/>
      <c r="FP11" s="353"/>
      <c r="FY11" s="119">
        <v>6</v>
      </c>
      <c r="FZ11" s="107">
        <v>9080</v>
      </c>
      <c r="GA11" s="107">
        <v>1148</v>
      </c>
      <c r="GB11" s="108">
        <f>GA11/FZ11/0.1</f>
        <v>1.2643171806167399</v>
      </c>
      <c r="GC11" s="109"/>
      <c r="GD11" s="110"/>
      <c r="GE11" s="110"/>
      <c r="GF11" s="111"/>
      <c r="GG11" s="111"/>
      <c r="GH11" s="111"/>
      <c r="GI11" s="112"/>
      <c r="GJ11" s="111">
        <f t="shared" si="61"/>
        <v>983.93031358885025</v>
      </c>
      <c r="GK11" s="113"/>
    </row>
    <row r="12" spans="1:194" s="119" customFormat="1" ht="15" customHeight="1">
      <c r="B12" s="351">
        <v>42923</v>
      </c>
      <c r="D12" s="128"/>
      <c r="E12" s="128">
        <v>4857</v>
      </c>
      <c r="F12" s="128">
        <v>608.61599999999999</v>
      </c>
      <c r="G12" s="86">
        <v>4080.143</v>
      </c>
      <c r="H12" s="86">
        <v>5534.7809999999999</v>
      </c>
      <c r="I12" s="86">
        <v>1822.521</v>
      </c>
      <c r="J12" s="86">
        <v>1863.048</v>
      </c>
      <c r="K12" s="86"/>
      <c r="L12" s="86">
        <v>207</v>
      </c>
      <c r="M12" s="284">
        <f t="shared" si="62"/>
        <v>3685.569</v>
      </c>
      <c r="N12" s="88">
        <f t="shared" si="19"/>
        <v>15080.54</v>
      </c>
      <c r="O12" s="88">
        <f>N12+L12+K12+((J12+I12)*0.5)</f>
        <v>17130.324500000002</v>
      </c>
      <c r="P12" s="89">
        <f t="shared" si="21"/>
        <v>99511.59150000001</v>
      </c>
      <c r="R12" s="170">
        <f t="shared" si="22"/>
        <v>212.20000000006985</v>
      </c>
      <c r="S12" s="170">
        <f t="shared" si="23"/>
        <v>9.9999999976716943E-3</v>
      </c>
      <c r="T12" s="170">
        <f t="shared" si="1"/>
        <v>97</v>
      </c>
      <c r="U12" s="91">
        <f t="shared" si="74"/>
        <v>4.7099999999998543</v>
      </c>
      <c r="V12" s="170">
        <f t="shared" si="24"/>
        <v>1388.8000000002794</v>
      </c>
      <c r="W12" s="91">
        <f>IF(EP12=0,"",(EP12-2776700)/10)</f>
        <v>23.3</v>
      </c>
      <c r="X12" s="170">
        <f t="shared" si="25"/>
        <v>1388.8000000002794</v>
      </c>
      <c r="Y12" s="170" t="str">
        <f t="shared" si="26"/>
        <v>0</v>
      </c>
      <c r="Z12" s="170">
        <f t="shared" si="3"/>
        <v>175</v>
      </c>
      <c r="AA12" s="170">
        <f t="shared" si="27"/>
        <v>1702.7200000003468</v>
      </c>
      <c r="AB12" s="170">
        <f t="shared" si="28"/>
        <v>38</v>
      </c>
      <c r="AC12" s="170">
        <f t="shared" si="28"/>
        <v>19</v>
      </c>
      <c r="AD12" s="170">
        <f t="shared" si="29"/>
        <v>119</v>
      </c>
      <c r="AE12" s="170">
        <f t="shared" si="30"/>
        <v>62</v>
      </c>
      <c r="AF12" s="170">
        <f t="shared" si="31"/>
        <v>107</v>
      </c>
      <c r="AG12" s="170">
        <f t="shared" si="31"/>
        <v>9.1000000000058208</v>
      </c>
      <c r="AH12" s="170">
        <f t="shared" si="32"/>
        <v>182</v>
      </c>
      <c r="AI12" s="170">
        <f t="shared" si="33"/>
        <v>65.899999999994179</v>
      </c>
      <c r="AJ12" s="170">
        <f t="shared" si="34"/>
        <v>102</v>
      </c>
      <c r="AK12" s="170">
        <f t="shared" si="34"/>
        <v>151.09999999999854</v>
      </c>
      <c r="AL12" s="170">
        <f t="shared" si="35"/>
        <v>375</v>
      </c>
      <c r="AM12" s="170">
        <f t="shared" si="36"/>
        <v>121.90000000000146</v>
      </c>
      <c r="AN12" s="170">
        <f t="shared" si="37"/>
        <v>25.299999999995634</v>
      </c>
      <c r="AO12" s="170">
        <f t="shared" si="4"/>
        <v>76.399999999994179</v>
      </c>
      <c r="AP12" s="170">
        <f t="shared" si="38"/>
        <v>29.69999999999709</v>
      </c>
      <c r="AQ12" s="170">
        <f t="shared" si="5"/>
        <v>39.800000000017462</v>
      </c>
      <c r="AR12" s="170">
        <f t="shared" si="39"/>
        <v>79.361000000000004</v>
      </c>
      <c r="AS12" s="170">
        <f t="shared" si="40"/>
        <v>149.36099999999999</v>
      </c>
      <c r="AT12" s="170">
        <f t="shared" si="41"/>
        <v>740.36099999999999</v>
      </c>
      <c r="AU12" s="170">
        <f t="shared" si="63"/>
        <v>281</v>
      </c>
      <c r="AV12" s="170">
        <f t="shared" si="64"/>
        <v>36</v>
      </c>
      <c r="AW12" s="170">
        <f t="shared" si="65"/>
        <v>310</v>
      </c>
      <c r="AX12" s="170">
        <f t="shared" si="66"/>
        <v>14</v>
      </c>
      <c r="AY12" s="170"/>
      <c r="AZ12" s="170">
        <f t="shared" si="42"/>
        <v>333</v>
      </c>
      <c r="BA12" s="170">
        <v>16.2</v>
      </c>
      <c r="BB12" s="170">
        <f t="shared" si="43"/>
        <v>86.700000000011642</v>
      </c>
      <c r="BC12" s="170">
        <f t="shared" si="43"/>
        <v>964</v>
      </c>
      <c r="BD12" s="91">
        <f t="shared" si="44"/>
        <v>106</v>
      </c>
      <c r="BE12" s="90"/>
      <c r="BF12" s="90"/>
      <c r="BG12" s="90">
        <f t="shared" si="6"/>
        <v>1383.7000000000116</v>
      </c>
      <c r="BH12" s="90">
        <f t="shared" si="45"/>
        <v>339</v>
      </c>
      <c r="BI12" s="90">
        <f t="shared" si="7"/>
        <v>963.01899999963007</v>
      </c>
      <c r="BJ12" s="90">
        <f t="shared" si="46"/>
        <v>4668.9810000003699</v>
      </c>
      <c r="BK12" s="92"/>
      <c r="BL12" s="93">
        <f t="shared" si="67"/>
        <v>5971</v>
      </c>
      <c r="BM12" s="93">
        <f t="shared" si="47"/>
        <v>40143.200000000012</v>
      </c>
      <c r="BN12" s="92"/>
      <c r="BO12" s="94">
        <f t="shared" si="48"/>
        <v>0.14071114164351531</v>
      </c>
      <c r="BP12" s="94">
        <f t="shared" si="48"/>
        <v>6.6310622813716838E-6</v>
      </c>
      <c r="BQ12" s="94">
        <f t="shared" si="49"/>
        <v>6.4321304144281305E-2</v>
      </c>
      <c r="BR12" s="94">
        <f t="shared" si="68"/>
        <v>0.92092192985150356</v>
      </c>
      <c r="BS12" s="94">
        <f t="shared" si="8"/>
        <v>0</v>
      </c>
      <c r="BT12" s="94">
        <f t="shared" si="8"/>
        <v>0.11604358995102296</v>
      </c>
      <c r="BU12" s="95">
        <f t="shared" si="8"/>
        <v>1.1290842370368346</v>
      </c>
      <c r="BV12" s="94">
        <f t="shared" si="9"/>
        <v>0.12387389392423349</v>
      </c>
      <c r="BW12" s="94">
        <f t="shared" si="9"/>
        <v>5.8376010318261594E-6</v>
      </c>
      <c r="BX12" s="94">
        <f t="shared" si="9"/>
        <v>5.6624730021897711E-2</v>
      </c>
      <c r="BY12" s="94">
        <f t="shared" si="50"/>
        <v>0.81072603148894185</v>
      </c>
      <c r="BZ12" s="95">
        <f t="shared" si="10"/>
        <v>0.99398000312273516</v>
      </c>
      <c r="CA12" s="96" t="e">
        <f>#REF!</f>
        <v>#REF!</v>
      </c>
      <c r="CB12" s="94">
        <f t="shared" si="51"/>
        <v>4.6327785559462105E-2</v>
      </c>
      <c r="CC12" s="95">
        <f t="shared" si="51"/>
        <v>8.7190992791759417E-2</v>
      </c>
      <c r="CD12" s="97">
        <f t="shared" si="11"/>
        <v>0.21532903060558628</v>
      </c>
      <c r="CE12" s="98">
        <f t="shared" si="11"/>
        <v>0.4052589980000374</v>
      </c>
      <c r="CF12" s="97" t="str">
        <f t="shared" si="52"/>
        <v>0,00</v>
      </c>
      <c r="CG12" s="94" t="str">
        <f t="shared" si="52"/>
        <v>0,00</v>
      </c>
      <c r="CH12" s="95" t="str">
        <f t="shared" si="53"/>
        <v xml:space="preserve">0,00 </v>
      </c>
      <c r="CI12" s="96" t="e">
        <f>#REF!</f>
        <v>#REF!</v>
      </c>
      <c r="CJ12" s="94">
        <f t="shared" si="54"/>
        <v>0.22030059707638461</v>
      </c>
      <c r="CK12" s="94">
        <f t="shared" si="54"/>
        <v>1.8735845171928805E-2</v>
      </c>
      <c r="CL12" s="95">
        <f t="shared" si="69"/>
        <v>0.37471690343833641</v>
      </c>
      <c r="CM12" s="95" t="e">
        <f>#REF!</f>
        <v>#REF!</v>
      </c>
      <c r="CN12" s="94">
        <f t="shared" si="55"/>
        <v>1.6759335935959621</v>
      </c>
      <c r="CO12" s="94">
        <f t="shared" si="55"/>
        <v>2.4826820195328176</v>
      </c>
      <c r="CP12" s="95">
        <f t="shared" si="56"/>
        <v>6.1615205646910365</v>
      </c>
      <c r="CQ12" s="95" t="e">
        <f>#REF!</f>
        <v>#REF!</v>
      </c>
      <c r="CR12" s="97">
        <f t="shared" si="70"/>
        <v>6.2007630614896669E-2</v>
      </c>
      <c r="CS12" s="95">
        <f t="shared" si="70"/>
        <v>0.18724833909006175</v>
      </c>
      <c r="CT12" s="96" t="e">
        <f>#REF!</f>
        <v>#REF!</v>
      </c>
      <c r="CU12" s="97">
        <f t="shared" si="71"/>
        <v>5.3660659744255629E-2</v>
      </c>
      <c r="CV12" s="95">
        <f t="shared" si="57"/>
        <v>7.1908897569781832E-2</v>
      </c>
      <c r="CW12" s="96" t="e">
        <f>#REF!</f>
        <v>#REF!</v>
      </c>
      <c r="CX12" s="97">
        <f t="shared" si="58"/>
        <v>0.16403658903250781</v>
      </c>
      <c r="CY12" s="98">
        <f t="shared" si="58"/>
        <v>2.1015363719467193E-2</v>
      </c>
      <c r="CZ12" s="97">
        <f t="shared" si="58"/>
        <v>0.18096563202874527</v>
      </c>
      <c r="DA12" s="98">
        <f t="shared" si="58"/>
        <v>8.1726414464594627E-3</v>
      </c>
      <c r="DB12" s="94">
        <f t="shared" si="12"/>
        <v>0.19439211440507154</v>
      </c>
      <c r="DC12" s="94">
        <f t="shared" si="13"/>
        <v>5.0612000957723613E-2</v>
      </c>
      <c r="DD12" s="94">
        <f t="shared" si="13"/>
        <v>0.5627447395990659</v>
      </c>
      <c r="DE12" s="94">
        <f t="shared" si="13"/>
        <v>6.1878570951764508E-2</v>
      </c>
      <c r="DF12" s="94">
        <f t="shared" si="13"/>
        <v>0</v>
      </c>
      <c r="DG12" s="94">
        <f t="shared" si="13"/>
        <v>0</v>
      </c>
      <c r="DH12" s="95">
        <f t="shared" si="13"/>
        <v>0.807748854961861</v>
      </c>
      <c r="DI12" s="96" t="e">
        <f>#REF!</f>
        <v>#REF!</v>
      </c>
      <c r="DJ12" s="95">
        <f t="shared" si="59"/>
        <v>0.1978946750249827</v>
      </c>
      <c r="DK12" s="96" t="e">
        <f>#REF!</f>
        <v>#REF!</v>
      </c>
      <c r="DL12" s="95">
        <f t="shared" si="60"/>
        <v>0.56217207093749444</v>
      </c>
      <c r="DM12" s="96">
        <f t="shared" si="14"/>
        <v>0</v>
      </c>
      <c r="DN12" s="94">
        <f t="shared" si="15"/>
        <v>2.725564830952484</v>
      </c>
      <c r="DO12" s="100">
        <v>3.4</v>
      </c>
      <c r="DP12" s="94">
        <f>IF($O12&lt;&gt;0,IF($O12&lt;&gt;0,BL12/$O12*10,0)," ")</f>
        <v>3.4856315769149608</v>
      </c>
      <c r="DQ12" s="94">
        <f t="shared" si="73"/>
        <v>4.0340225088250152</v>
      </c>
      <c r="DR12" s="101" t="str">
        <f t="shared" si="16"/>
        <v>3,315, hL/NhL</v>
      </c>
      <c r="DS12" s="116"/>
      <c r="DT12" s="134">
        <v>7</v>
      </c>
      <c r="DU12" s="355">
        <v>626160</v>
      </c>
      <c r="DV12" s="355">
        <v>27109</v>
      </c>
      <c r="DW12" s="361">
        <v>5132917</v>
      </c>
      <c r="DX12" s="303">
        <v>118054</v>
      </c>
      <c r="DY12" s="303">
        <v>85001.5</v>
      </c>
      <c r="DZ12" s="303">
        <v>394422</v>
      </c>
      <c r="EA12" s="303">
        <v>232539</v>
      </c>
      <c r="EB12" s="303">
        <v>54416.1</v>
      </c>
      <c r="EC12" s="303">
        <v>407552</v>
      </c>
      <c r="ED12" s="355">
        <v>47199.199999999997</v>
      </c>
      <c r="EE12" s="303">
        <v>42096.9</v>
      </c>
      <c r="EF12" s="303">
        <v>38679.599999999999</v>
      </c>
      <c r="EG12" s="361">
        <v>92521.9</v>
      </c>
      <c r="EH12" s="361">
        <v>182399.6</v>
      </c>
      <c r="EI12" s="355">
        <v>31857</v>
      </c>
      <c r="EJ12" s="303">
        <v>40698</v>
      </c>
      <c r="EK12" s="303"/>
      <c r="EL12" s="361">
        <v>701385.8</v>
      </c>
      <c r="EM12" s="303">
        <v>970</v>
      </c>
      <c r="EN12" s="303">
        <v>44248.9</v>
      </c>
      <c r="EO12" s="361">
        <v>3018011.7</v>
      </c>
      <c r="EP12" s="303">
        <v>2776933</v>
      </c>
      <c r="EQ12" s="303">
        <v>0</v>
      </c>
      <c r="ER12" s="303">
        <v>1750</v>
      </c>
      <c r="ES12" s="303">
        <v>361107</v>
      </c>
      <c r="ET12" s="303">
        <v>766019</v>
      </c>
      <c r="EU12" s="303">
        <v>425385</v>
      </c>
      <c r="EV12" s="303">
        <v>139169</v>
      </c>
      <c r="EW12" s="303">
        <v>110450</v>
      </c>
      <c r="EX12" s="361">
        <v>209290.2</v>
      </c>
      <c r="EY12" s="361">
        <v>1647423.8</v>
      </c>
      <c r="EZ12" s="361">
        <v>780829.6</v>
      </c>
      <c r="FA12" s="361">
        <v>747515</v>
      </c>
      <c r="FB12" s="303">
        <v>30892</v>
      </c>
      <c r="FC12" s="303">
        <v>5632</v>
      </c>
      <c r="FD12" s="77">
        <f t="shared" si="17"/>
        <v>4771</v>
      </c>
      <c r="FE12" s="105">
        <f t="shared" si="18"/>
        <v>0</v>
      </c>
      <c r="FF12" s="105">
        <f t="shared" si="18"/>
        <v>94</v>
      </c>
      <c r="FG12" s="105">
        <f t="shared" si="18"/>
        <v>616</v>
      </c>
      <c r="FH12" s="105">
        <f t="shared" si="18"/>
        <v>1649</v>
      </c>
      <c r="FI12" s="105">
        <f t="shared" si="18"/>
        <v>400</v>
      </c>
      <c r="FJ12" s="105">
        <f t="shared" si="18"/>
        <v>0</v>
      </c>
      <c r="FK12" s="105">
        <v>1020</v>
      </c>
      <c r="FL12" s="105">
        <f t="shared" si="18"/>
        <v>869</v>
      </c>
      <c r="FM12" s="105">
        <v>123</v>
      </c>
      <c r="FN12" s="80">
        <v>1200</v>
      </c>
      <c r="FO12" s="105"/>
      <c r="FP12" s="358"/>
      <c r="FY12" s="119">
        <v>7</v>
      </c>
      <c r="FZ12" s="107">
        <v>9087</v>
      </c>
      <c r="GA12" s="107">
        <v>1193</v>
      </c>
      <c r="GB12" s="108">
        <f>GA12/FZ12/0.1</f>
        <v>1.312864531748652</v>
      </c>
      <c r="GC12" s="109"/>
      <c r="GD12" s="110"/>
      <c r="GE12" s="110"/>
      <c r="GF12" s="111"/>
      <c r="GG12" s="111"/>
      <c r="GH12" s="111"/>
      <c r="GI12" s="112"/>
      <c r="GJ12" s="111">
        <f t="shared" si="61"/>
        <v>1260.6022632020117</v>
      </c>
      <c r="GK12" s="113"/>
    </row>
    <row r="13" spans="1:194" s="119" customFormat="1" ht="15" customHeight="1">
      <c r="B13" s="351">
        <v>42924</v>
      </c>
      <c r="D13" s="128">
        <v>4420.8</v>
      </c>
      <c r="E13" s="128">
        <v>4720.08</v>
      </c>
      <c r="F13" s="128">
        <v>3130.1280000000002</v>
      </c>
      <c r="G13" s="86">
        <v>5769.2330000000002</v>
      </c>
      <c r="H13" s="86">
        <v>7531.3140000000003</v>
      </c>
      <c r="I13" s="86">
        <v>1785.9179999999999</v>
      </c>
      <c r="J13" s="86">
        <v>6165.3239999999996</v>
      </c>
      <c r="K13" s="86"/>
      <c r="L13" s="86"/>
      <c r="M13" s="284">
        <f t="shared" si="62"/>
        <v>7951.2419999999993</v>
      </c>
      <c r="N13" s="88">
        <f t="shared" si="19"/>
        <v>25571.555</v>
      </c>
      <c r="O13" s="88">
        <f>N13+L13+K13+((J13+I13)*0.5)</f>
        <v>29547.175999999999</v>
      </c>
      <c r="P13" s="89">
        <f t="shared" si="21"/>
        <v>129058.76750000002</v>
      </c>
      <c r="R13" s="170">
        <f t="shared" si="22"/>
        <v>336</v>
      </c>
      <c r="S13" s="170">
        <f t="shared" si="23"/>
        <v>43.7</v>
      </c>
      <c r="T13" s="170">
        <f t="shared" si="1"/>
        <v>873.1</v>
      </c>
      <c r="U13" s="91">
        <f t="shared" si="74"/>
        <v>5.3299999999995631</v>
      </c>
      <c r="V13" s="170">
        <f t="shared" si="24"/>
        <v>1508.8999999999069</v>
      </c>
      <c r="W13" s="91">
        <f t="shared" si="2"/>
        <v>133.69999999999999</v>
      </c>
      <c r="X13" s="170">
        <f t="shared" si="25"/>
        <v>1508.8999999999069</v>
      </c>
      <c r="Y13" s="170" t="str">
        <f t="shared" si="26"/>
        <v>0</v>
      </c>
      <c r="Z13" s="170">
        <f t="shared" si="3"/>
        <v>185.1</v>
      </c>
      <c r="AA13" s="170">
        <f t="shared" si="27"/>
        <v>2767.0299999999061</v>
      </c>
      <c r="AB13" s="170">
        <f t="shared" si="28"/>
        <v>115</v>
      </c>
      <c r="AC13" s="170">
        <f t="shared" si="28"/>
        <v>103</v>
      </c>
      <c r="AD13" s="170">
        <f t="shared" si="29"/>
        <v>432</v>
      </c>
      <c r="AE13" s="170">
        <f t="shared" si="30"/>
        <v>214</v>
      </c>
      <c r="AF13" s="170">
        <f t="shared" si="31"/>
        <v>112</v>
      </c>
      <c r="AG13" s="170">
        <f t="shared" si="31"/>
        <v>12.399999999994179</v>
      </c>
      <c r="AH13" s="170">
        <f t="shared" si="32"/>
        <v>187</v>
      </c>
      <c r="AI13" s="170">
        <f t="shared" si="33"/>
        <v>62.600000000005821</v>
      </c>
      <c r="AJ13" s="170">
        <f t="shared" si="34"/>
        <v>147</v>
      </c>
      <c r="AK13" s="170">
        <f t="shared" si="34"/>
        <v>11.400000000001455</v>
      </c>
      <c r="AL13" s="170">
        <f t="shared" si="35"/>
        <v>237</v>
      </c>
      <c r="AM13" s="170">
        <f t="shared" si="36"/>
        <v>78.599999999998545</v>
      </c>
      <c r="AN13" s="170">
        <f t="shared" si="37"/>
        <v>20.900000000001455</v>
      </c>
      <c r="AO13" s="170">
        <f t="shared" si="4"/>
        <v>26.80000000000291</v>
      </c>
      <c r="AP13" s="170">
        <f t="shared" si="38"/>
        <v>26.200000000011642</v>
      </c>
      <c r="AQ13" s="170">
        <f t="shared" si="5"/>
        <v>36.100000000005821</v>
      </c>
      <c r="AR13" s="170">
        <f t="shared" si="39"/>
        <v>106.852</v>
      </c>
      <c r="AS13" s="170">
        <f t="shared" si="40"/>
        <v>70.851999999999975</v>
      </c>
      <c r="AT13" s="170">
        <f t="shared" si="41"/>
        <v>686.85199999999998</v>
      </c>
      <c r="AU13" s="170">
        <f t="shared" si="63"/>
        <v>223</v>
      </c>
      <c r="AV13" s="170">
        <f t="shared" si="64"/>
        <v>35</v>
      </c>
      <c r="AW13" s="170">
        <f t="shared" si="65"/>
        <v>393</v>
      </c>
      <c r="AX13" s="170">
        <f t="shared" si="66"/>
        <v>24</v>
      </c>
      <c r="AY13" s="170"/>
      <c r="AZ13" s="170">
        <f t="shared" si="42"/>
        <v>353</v>
      </c>
      <c r="BA13" s="170">
        <v>29</v>
      </c>
      <c r="BB13" s="170">
        <f t="shared" si="43"/>
        <v>122.29999999998836</v>
      </c>
      <c r="BC13" s="170">
        <f t="shared" si="43"/>
        <v>857.80000000004657</v>
      </c>
      <c r="BD13" s="91">
        <f t="shared" si="44"/>
        <v>75</v>
      </c>
      <c r="BE13" s="90"/>
      <c r="BF13" s="90"/>
      <c r="BG13" s="90">
        <f t="shared" si="6"/>
        <v>1333.1000000000349</v>
      </c>
      <c r="BH13" s="90">
        <f>BL13-FC13</f>
        <v>-875</v>
      </c>
      <c r="BI13" s="90">
        <f t="shared" si="7"/>
        <v>985.11800000005042</v>
      </c>
      <c r="BJ13" s="90">
        <f t="shared" si="46"/>
        <v>5764.8819999999496</v>
      </c>
      <c r="BK13" s="92"/>
      <c r="BL13" s="93">
        <f t="shared" si="67"/>
        <v>5875</v>
      </c>
      <c r="BM13" s="93">
        <f t="shared" si="47"/>
        <v>46018.200000000012</v>
      </c>
      <c r="BN13" s="92"/>
      <c r="BO13" s="94">
        <f t="shared" si="48"/>
        <v>0.13139599840525928</v>
      </c>
      <c r="BP13" s="94">
        <f t="shared" si="48"/>
        <v>1.7089300983064971E-2</v>
      </c>
      <c r="BQ13" s="94">
        <f t="shared" si="49"/>
        <v>0.34143406609414251</v>
      </c>
      <c r="BR13" s="94">
        <f t="shared" si="68"/>
        <v>0.5900697083145342</v>
      </c>
      <c r="BS13" s="94">
        <f t="shared" si="8"/>
        <v>0</v>
      </c>
      <c r="BT13" s="94">
        <f t="shared" si="8"/>
        <v>7.238511697861158E-2</v>
      </c>
      <c r="BU13" s="95">
        <f t="shared" si="8"/>
        <v>1.0820734210336078</v>
      </c>
      <c r="BV13" s="94">
        <f t="shared" si="9"/>
        <v>0.11371645127778032</v>
      </c>
      <c r="BW13" s="94">
        <f t="shared" si="9"/>
        <v>1.4789907502497025E-2</v>
      </c>
      <c r="BX13" s="94">
        <f t="shared" si="9"/>
        <v>0.29549355241258929</v>
      </c>
      <c r="BY13" s="94">
        <f t="shared" si="50"/>
        <v>0.51067486111021476</v>
      </c>
      <c r="BZ13" s="95">
        <f t="shared" si="10"/>
        <v>0.93647866719983874</v>
      </c>
      <c r="CA13" s="96" t="e">
        <f>#REF!</f>
        <v>#REF!</v>
      </c>
      <c r="CB13" s="94">
        <f t="shared" si="51"/>
        <v>3.6163185273611259E-2</v>
      </c>
      <c r="CC13" s="95">
        <f t="shared" si="51"/>
        <v>2.3979279779563357E-2</v>
      </c>
      <c r="CD13" s="97">
        <f t="shared" si="11"/>
        <v>0.13438403711017727</v>
      </c>
      <c r="CE13" s="98">
        <f t="shared" si="11"/>
        <v>8.9108091540918991E-2</v>
      </c>
      <c r="CF13" s="97">
        <f t="shared" si="52"/>
        <v>0.26013391241404271</v>
      </c>
      <c r="CG13" s="94">
        <f t="shared" si="52"/>
        <v>0.23298950416214259</v>
      </c>
      <c r="CH13" s="95">
        <f t="shared" si="53"/>
        <v>0.9771986970684039</v>
      </c>
      <c r="CI13" s="96" t="e">
        <f>#REF!</f>
        <v>#REF!</v>
      </c>
      <c r="CJ13" s="94">
        <f t="shared" si="54"/>
        <v>0.23728411382857917</v>
      </c>
      <c r="CK13" s="94">
        <f t="shared" si="54"/>
        <v>2.6270741173866078E-2</v>
      </c>
      <c r="CL13" s="95">
        <f t="shared" si="69"/>
        <v>0.39617972576735988</v>
      </c>
      <c r="CM13" s="95" t="e">
        <f>#REF!</f>
        <v>#REF!</v>
      </c>
      <c r="CN13" s="94">
        <f t="shared" si="55"/>
        <v>0.46962935701032038</v>
      </c>
      <c r="CO13" s="94">
        <f t="shared" si="55"/>
        <v>3.6420235849784592E-2</v>
      </c>
      <c r="CP13" s="95">
        <f t="shared" si="56"/>
        <v>0.75715753477174086</v>
      </c>
      <c r="CQ13" s="95" t="e">
        <f>#REF!</f>
        <v>#REF!</v>
      </c>
      <c r="CR13" s="97">
        <f t="shared" si="70"/>
        <v>3.6226652659030162E-2</v>
      </c>
      <c r="CS13" s="95">
        <f t="shared" si="70"/>
        <v>4.6453315371389761E-2</v>
      </c>
      <c r="CT13" s="96" t="e">
        <f>#REF!</f>
        <v>#REF!</v>
      </c>
      <c r="CU13" s="97">
        <f t="shared" si="71"/>
        <v>3.4788086116196514E-2</v>
      </c>
      <c r="CV13" s="95">
        <f t="shared" si="57"/>
        <v>4.7933202625738108E-2</v>
      </c>
      <c r="CW13" s="96" t="e">
        <f>#REF!</f>
        <v>#REF!</v>
      </c>
      <c r="CX13" s="97">
        <f t="shared" si="58"/>
        <v>7.5472525699241108E-2</v>
      </c>
      <c r="CY13" s="98">
        <f t="shared" si="58"/>
        <v>1.1845463674768785E-2</v>
      </c>
      <c r="CZ13" s="97">
        <f t="shared" si="58"/>
        <v>0.13300763497668949</v>
      </c>
      <c r="DA13" s="98">
        <f t="shared" si="58"/>
        <v>8.1226036626985947E-3</v>
      </c>
      <c r="DB13" s="94">
        <f t="shared" si="12"/>
        <v>0.11946996220552515</v>
      </c>
      <c r="DC13" s="94">
        <f t="shared" si="13"/>
        <v>4.1391434497830983E-2</v>
      </c>
      <c r="DD13" s="94">
        <f t="shared" si="13"/>
        <v>0.29031539257763467</v>
      </c>
      <c r="DE13" s="94">
        <f t="shared" si="13"/>
        <v>2.538313644593311E-2</v>
      </c>
      <c r="DF13" s="94">
        <f t="shared" si="13"/>
        <v>0</v>
      </c>
      <c r="DG13" s="94">
        <f t="shared" si="13"/>
        <v>0</v>
      </c>
      <c r="DH13" s="95">
        <f t="shared" si="13"/>
        <v>0.45117678928099086</v>
      </c>
      <c r="DI13" s="96" t="e">
        <f>#REF!</f>
        <v>#REF!</v>
      </c>
      <c r="DJ13" s="95">
        <f t="shared" si="59"/>
        <v>-0.29613659186921959</v>
      </c>
      <c r="DK13" s="96" t="e">
        <f>#REF!</f>
        <v>#REF!</v>
      </c>
      <c r="DL13" s="95">
        <f t="shared" si="60"/>
        <v>0.33340512812461354</v>
      </c>
      <c r="DM13" s="96">
        <f t="shared" si="14"/>
        <v>0</v>
      </c>
      <c r="DN13" s="94">
        <f t="shared" si="15"/>
        <v>1.9510771520093662</v>
      </c>
      <c r="DO13" s="100">
        <v>3.4</v>
      </c>
      <c r="DP13" s="94">
        <f t="shared" si="72"/>
        <v>1.9883456882647601</v>
      </c>
      <c r="DQ13" s="94">
        <f t="shared" si="73"/>
        <v>3.5656779381532528</v>
      </c>
      <c r="DR13" s="101" t="str">
        <f t="shared" si="16"/>
        <v>3,315, hL/NhL</v>
      </c>
      <c r="DS13" s="116"/>
      <c r="DT13" s="134">
        <v>8</v>
      </c>
      <c r="DU13" s="355">
        <f>DU12+115</f>
        <v>626275</v>
      </c>
      <c r="DV13" s="361">
        <v>27212</v>
      </c>
      <c r="DW13" s="361">
        <v>5133349</v>
      </c>
      <c r="DX13" s="303">
        <v>118166</v>
      </c>
      <c r="DY13" s="303">
        <v>85013.9</v>
      </c>
      <c r="DZ13" s="303">
        <v>394609</v>
      </c>
      <c r="EA13" s="303">
        <v>232686</v>
      </c>
      <c r="EB13" s="303">
        <v>54427.5</v>
      </c>
      <c r="EC13" s="303">
        <v>407789</v>
      </c>
      <c r="ED13" s="361">
        <v>47220.1</v>
      </c>
      <c r="EE13" s="303">
        <f>EE12</f>
        <v>42096.9</v>
      </c>
      <c r="EF13" s="303">
        <v>38706.400000000001</v>
      </c>
      <c r="EG13" s="361">
        <v>92548.1</v>
      </c>
      <c r="EH13" s="361">
        <v>182435.7</v>
      </c>
      <c r="EI13" s="361">
        <v>31892</v>
      </c>
      <c r="EJ13" s="303">
        <v>40722</v>
      </c>
      <c r="EK13" s="303"/>
      <c r="EL13" s="361">
        <v>701721.8</v>
      </c>
      <c r="EM13" s="361">
        <v>8731</v>
      </c>
      <c r="EN13" s="303">
        <v>44302.2</v>
      </c>
      <c r="EO13" s="361">
        <v>3019520.6</v>
      </c>
      <c r="EP13" s="303">
        <v>2778270</v>
      </c>
      <c r="EQ13" s="303">
        <v>0</v>
      </c>
      <c r="ER13" s="303">
        <v>1851</v>
      </c>
      <c r="ES13" s="381">
        <v>361687</v>
      </c>
      <c r="ET13" s="303">
        <v>872871</v>
      </c>
      <c r="EU13" s="303">
        <v>425778</v>
      </c>
      <c r="EV13" s="303">
        <v>139392</v>
      </c>
      <c r="EW13" s="303">
        <v>110803</v>
      </c>
      <c r="EX13" s="361">
        <v>209412.5</v>
      </c>
      <c r="EY13" s="361">
        <v>1648281.6000000001</v>
      </c>
      <c r="EZ13" s="382">
        <v>781266.6</v>
      </c>
      <c r="FA13" s="382">
        <v>747590</v>
      </c>
      <c r="FB13" s="303">
        <v>30611.9</v>
      </c>
      <c r="FC13" s="361">
        <v>6750</v>
      </c>
      <c r="FD13" s="77">
        <f t="shared" si="17"/>
        <v>4675</v>
      </c>
      <c r="FE13" s="105">
        <f t="shared" si="18"/>
        <v>0</v>
      </c>
      <c r="FF13" s="105">
        <f t="shared" si="18"/>
        <v>350</v>
      </c>
      <c r="FG13" s="105">
        <f t="shared" si="18"/>
        <v>759</v>
      </c>
      <c r="FH13" s="105">
        <f t="shared" si="18"/>
        <v>1656</v>
      </c>
      <c r="FI13" s="105">
        <f t="shared" si="18"/>
        <v>0</v>
      </c>
      <c r="FJ13" s="105">
        <f t="shared" si="18"/>
        <v>0</v>
      </c>
      <c r="FK13" s="105">
        <v>804</v>
      </c>
      <c r="FL13" s="105">
        <f t="shared" si="18"/>
        <v>874</v>
      </c>
      <c r="FM13" s="105">
        <v>232</v>
      </c>
      <c r="FN13" s="80">
        <v>1200</v>
      </c>
      <c r="FO13" s="105"/>
      <c r="FP13" s="358"/>
      <c r="FY13" s="119">
        <v>8</v>
      </c>
      <c r="FZ13" s="107">
        <v>8106</v>
      </c>
      <c r="GA13" s="107">
        <v>1522</v>
      </c>
      <c r="GB13" s="108">
        <f>GA13/FZ13/0.1</f>
        <v>1.8776215149272142</v>
      </c>
      <c r="GC13" s="109"/>
      <c r="GD13" s="110"/>
      <c r="GE13" s="110"/>
      <c r="GF13" s="111"/>
      <c r="GG13" s="111"/>
      <c r="GH13" s="111"/>
      <c r="GI13" s="112"/>
      <c r="GJ13" s="111">
        <f t="shared" si="61"/>
        <v>932.03022339027609</v>
      </c>
      <c r="GK13" s="113"/>
    </row>
    <row r="14" spans="1:194" s="141" customFormat="1" ht="15" customHeight="1">
      <c r="B14" s="351">
        <v>42925</v>
      </c>
      <c r="D14" s="86">
        <v>0</v>
      </c>
      <c r="E14" s="128">
        <v>0</v>
      </c>
      <c r="F14" s="128">
        <v>2006.712</v>
      </c>
      <c r="G14" s="86">
        <v>0</v>
      </c>
      <c r="H14" s="86">
        <v>7981.7610000000004</v>
      </c>
      <c r="I14" s="86">
        <v>2010.0820000000001</v>
      </c>
      <c r="J14" s="86">
        <v>0</v>
      </c>
      <c r="K14" s="86">
        <v>0</v>
      </c>
      <c r="L14" s="86"/>
      <c r="M14" s="284">
        <f>I14+J14</f>
        <v>2010.0820000000001</v>
      </c>
      <c r="N14" s="88">
        <f>SUM(D14:H14)</f>
        <v>9988.473</v>
      </c>
      <c r="O14" s="88">
        <f>N14+L14+K14+((J14+I14)*0.5)</f>
        <v>10993.513999999999</v>
      </c>
      <c r="P14" s="89">
        <f t="shared" si="21"/>
        <v>140052.28150000001</v>
      </c>
      <c r="R14" s="170">
        <f t="shared" si="22"/>
        <v>294.69999999995343</v>
      </c>
      <c r="S14" s="170">
        <f t="shared" si="23"/>
        <v>5.9800000000046563</v>
      </c>
      <c r="T14" s="170">
        <f t="shared" si="1"/>
        <v>494.9</v>
      </c>
      <c r="U14" s="91">
        <f t="shared" si="74"/>
        <v>5.7700000000004366</v>
      </c>
      <c r="V14" s="170">
        <f t="shared" si="24"/>
        <v>1393.1000000000931</v>
      </c>
      <c r="W14" s="91">
        <f t="shared" si="2"/>
        <v>124.2</v>
      </c>
      <c r="X14" s="170">
        <f t="shared" si="25"/>
        <v>1393.1000000000931</v>
      </c>
      <c r="Y14" s="170" t="str">
        <f t="shared" si="26"/>
        <v>0</v>
      </c>
      <c r="Z14" s="170">
        <f t="shared" si="3"/>
        <v>150.80000000000001</v>
      </c>
      <c r="AA14" s="170">
        <f t="shared" si="27"/>
        <v>2194.4500000000517</v>
      </c>
      <c r="AB14" s="170">
        <f t="shared" si="28"/>
        <v>0</v>
      </c>
      <c r="AC14" s="170">
        <f t="shared" si="28"/>
        <v>17</v>
      </c>
      <c r="AD14" s="170">
        <f t="shared" si="29"/>
        <v>32</v>
      </c>
      <c r="AE14" s="170">
        <f t="shared" si="30"/>
        <v>15</v>
      </c>
      <c r="AF14" s="170">
        <f t="shared" si="31"/>
        <v>28</v>
      </c>
      <c r="AG14" s="170">
        <f t="shared" si="31"/>
        <v>34.700000000011642</v>
      </c>
      <c r="AH14" s="170">
        <f t="shared" si="32"/>
        <v>94</v>
      </c>
      <c r="AI14" s="170">
        <f t="shared" si="33"/>
        <v>31.299999999988358</v>
      </c>
      <c r="AJ14" s="170">
        <f t="shared" si="34"/>
        <v>93</v>
      </c>
      <c r="AK14" s="170">
        <f t="shared" si="34"/>
        <v>9.1999999999970896</v>
      </c>
      <c r="AL14" s="170">
        <f t="shared" si="35"/>
        <v>192</v>
      </c>
      <c r="AM14" s="170">
        <f t="shared" si="36"/>
        <v>89.80000000000291</v>
      </c>
      <c r="AN14" s="170">
        <f t="shared" si="37"/>
        <v>1.5</v>
      </c>
      <c r="AO14" s="170">
        <f t="shared" si="4"/>
        <v>49.799999999995634</v>
      </c>
      <c r="AP14" s="170">
        <f t="shared" si="38"/>
        <v>24.399999999994179</v>
      </c>
      <c r="AQ14" s="170">
        <f t="shared" si="5"/>
        <v>32.899999999994179</v>
      </c>
      <c r="AR14" s="170">
        <f t="shared" si="39"/>
        <v>66.789000000000001</v>
      </c>
      <c r="AS14" s="170">
        <f t="shared" si="40"/>
        <v>151.78899999999999</v>
      </c>
      <c r="AT14" s="170">
        <f t="shared" si="41"/>
        <v>462.78899999999999</v>
      </c>
      <c r="AU14" s="170">
        <f t="shared" si="63"/>
        <v>311</v>
      </c>
      <c r="AV14" s="170">
        <f t="shared" si="64"/>
        <v>13</v>
      </c>
      <c r="AW14" s="170">
        <f t="shared" si="65"/>
        <v>0</v>
      </c>
      <c r="AX14" s="170">
        <f t="shared" si="66"/>
        <v>13</v>
      </c>
      <c r="AY14" s="170" t="str">
        <f t="shared" si="66"/>
        <v/>
      </c>
      <c r="AZ14" s="170">
        <f t="shared" si="42"/>
        <v>380</v>
      </c>
      <c r="BA14" s="170">
        <v>0</v>
      </c>
      <c r="BB14" s="170">
        <f t="shared" si="43"/>
        <v>84.799999999988358</v>
      </c>
      <c r="BC14" s="170">
        <f t="shared" si="43"/>
        <v>1189.5999999998603</v>
      </c>
      <c r="BD14" s="91">
        <f t="shared" si="44"/>
        <v>297</v>
      </c>
      <c r="BE14" s="90"/>
      <c r="BF14" s="90"/>
      <c r="BG14" s="90">
        <f t="shared" si="6"/>
        <v>1654.3999999998487</v>
      </c>
      <c r="BH14" s="90">
        <f t="shared" si="45"/>
        <v>-1120</v>
      </c>
      <c r="BI14" s="90">
        <f t="shared" si="7"/>
        <v>1439.6610000001101</v>
      </c>
      <c r="BJ14" s="90">
        <f t="shared" si="46"/>
        <v>4738.3389999998899</v>
      </c>
      <c r="BK14" s="92"/>
      <c r="BL14" s="93">
        <f>FD14+FN14</f>
        <v>5058</v>
      </c>
      <c r="BM14" s="93">
        <f t="shared" si="47"/>
        <v>51076.200000000012</v>
      </c>
      <c r="BN14" s="92"/>
      <c r="BO14" s="94">
        <f t="shared" si="48"/>
        <v>0.29504009271482579</v>
      </c>
      <c r="BP14" s="94">
        <f t="shared" si="48"/>
        <v>5.9869011009036676E-3</v>
      </c>
      <c r="BQ14" s="94">
        <f t="shared" si="49"/>
        <v>0.49547112957105655</v>
      </c>
      <c r="BR14" s="94">
        <f t="shared" si="68"/>
        <v>1.3947076795423017</v>
      </c>
      <c r="BS14" s="94">
        <f t="shared" si="8"/>
        <v>0</v>
      </c>
      <c r="BT14" s="94">
        <f t="shared" si="8"/>
        <v>0.15097402776180105</v>
      </c>
      <c r="BU14" s="95">
        <f t="shared" si="8"/>
        <v>2.1969824616836346</v>
      </c>
      <c r="BV14" s="94">
        <f t="shared" si="9"/>
        <v>0.26806715305038359</v>
      </c>
      <c r="BW14" s="94">
        <f t="shared" si="9"/>
        <v>5.4395710052351385E-3</v>
      </c>
      <c r="BX14" s="94">
        <f t="shared" si="9"/>
        <v>0.45017453018206921</v>
      </c>
      <c r="BY14" s="94">
        <f t="shared" si="50"/>
        <v>1.2672017336768691</v>
      </c>
      <c r="BZ14" s="95">
        <f t="shared" si="10"/>
        <v>1.9961315371955244</v>
      </c>
      <c r="CA14" s="96" t="e">
        <f>#REF!</f>
        <v>#REF!</v>
      </c>
      <c r="CB14" s="94">
        <f t="shared" si="51"/>
        <v>6.0753094961265353E-2</v>
      </c>
      <c r="CC14" s="95">
        <f t="shared" si="51"/>
        <v>0.13807141192524974</v>
      </c>
      <c r="CD14" s="97">
        <f t="shared" si="11"/>
        <v>0.33227002679492673</v>
      </c>
      <c r="CE14" s="98">
        <f t="shared" si="11"/>
        <v>0.7551383475897997</v>
      </c>
      <c r="CF14" s="97" t="str">
        <f t="shared" si="52"/>
        <v>0,00</v>
      </c>
      <c r="CG14" s="94" t="str">
        <f t="shared" si="52"/>
        <v>0,00</v>
      </c>
      <c r="CH14" s="95" t="str">
        <f t="shared" si="53"/>
        <v xml:space="preserve">0,00 </v>
      </c>
      <c r="CI14" s="96" t="e">
        <f>#REF!</f>
        <v>#REF!</v>
      </c>
      <c r="CJ14" s="94" t="str">
        <f t="shared" si="54"/>
        <v>0,00</v>
      </c>
      <c r="CK14" s="94" t="str">
        <f t="shared" si="54"/>
        <v>0,00</v>
      </c>
      <c r="CL14" s="95" t="str">
        <f t="shared" si="69"/>
        <v xml:space="preserve">0,00 </v>
      </c>
      <c r="CM14" s="95" t="e">
        <f>#REF!</f>
        <v>#REF!</v>
      </c>
      <c r="CN14" s="94">
        <f t="shared" si="55"/>
        <v>0.46344467965507757</v>
      </c>
      <c r="CO14" s="94">
        <f t="shared" si="55"/>
        <v>4.5846140352960918E-2</v>
      </c>
      <c r="CP14" s="95">
        <f t="shared" si="56"/>
        <v>0.95678901606209565</v>
      </c>
      <c r="CQ14" s="95" t="e">
        <f>#REF!</f>
        <v>#REF!</v>
      </c>
      <c r="CR14" s="97" t="str">
        <f t="shared" si="70"/>
        <v xml:space="preserve">0,00 </v>
      </c>
      <c r="CS14" s="95" t="str">
        <f t="shared" si="70"/>
        <v xml:space="preserve">0,00 </v>
      </c>
      <c r="CT14" s="96" t="e">
        <f>#REF!</f>
        <v>#REF!</v>
      </c>
      <c r="CU14" s="97">
        <f t="shared" si="71"/>
        <v>3.056969508357138E-2</v>
      </c>
      <c r="CV14" s="95">
        <f t="shared" si="57"/>
        <v>4.1218974108588539E-2</v>
      </c>
      <c r="CW14" s="96" t="e">
        <f>#REF!</f>
        <v>#REF!</v>
      </c>
      <c r="CX14" s="97">
        <f t="shared" si="58"/>
        <v>0.28289407736234295</v>
      </c>
      <c r="CY14" s="98">
        <f t="shared" si="58"/>
        <v>1.1825154359197615E-2</v>
      </c>
      <c r="CZ14" s="97">
        <f t="shared" si="58"/>
        <v>0</v>
      </c>
      <c r="DA14" s="98">
        <f t="shared" si="58"/>
        <v>1.1825154359197615E-2</v>
      </c>
      <c r="DB14" s="94">
        <f t="shared" si="12"/>
        <v>0.3456583581919303</v>
      </c>
      <c r="DC14" s="94">
        <f t="shared" si="13"/>
        <v>7.7136391512293859E-2</v>
      </c>
      <c r="DD14" s="94">
        <f t="shared" si="13"/>
        <v>1.0820925865922946</v>
      </c>
      <c r="DE14" s="94">
        <f t="shared" si="13"/>
        <v>0.27015929574474551</v>
      </c>
      <c r="DF14" s="94">
        <f t="shared" si="13"/>
        <v>0</v>
      </c>
      <c r="DG14" s="94">
        <f t="shared" si="13"/>
        <v>0</v>
      </c>
      <c r="DH14" s="95">
        <f t="shared" si="13"/>
        <v>1.5048873362965187</v>
      </c>
      <c r="DI14" s="96" t="e">
        <f>#REF!</f>
        <v>#REF!</v>
      </c>
      <c r="DJ14" s="95">
        <f t="shared" si="59"/>
        <v>-1.0187825294077946</v>
      </c>
      <c r="DK14" s="96" t="e">
        <f>#REF!</f>
        <v>#REF!</v>
      </c>
      <c r="DL14" s="95">
        <f t="shared" si="60"/>
        <v>1.3095548884552386</v>
      </c>
      <c r="DM14" s="96">
        <f t="shared" si="14"/>
        <v>0</v>
      </c>
      <c r="DN14" s="94">
        <f t="shared" si="15"/>
        <v>4.3101223139388285</v>
      </c>
      <c r="DO14" s="100">
        <v>3.4</v>
      </c>
      <c r="DP14" s="94">
        <f t="shared" si="72"/>
        <v>4.6008946729862723</v>
      </c>
      <c r="DQ14" s="94">
        <f t="shared" si="73"/>
        <v>3.6469380900446104</v>
      </c>
      <c r="DR14" s="101" t="str">
        <f t="shared" si="16"/>
        <v>3,315, hL/NhL</v>
      </c>
      <c r="DT14" s="142">
        <v>9</v>
      </c>
      <c r="DU14" s="355">
        <f>DU13</f>
        <v>626275</v>
      </c>
      <c r="DV14" s="404">
        <v>27229</v>
      </c>
      <c r="DW14" s="361">
        <v>5133381</v>
      </c>
      <c r="DX14" s="303">
        <v>118194</v>
      </c>
      <c r="DY14" s="303">
        <v>85048.6</v>
      </c>
      <c r="DZ14" s="303">
        <v>394703</v>
      </c>
      <c r="EA14" s="303">
        <v>232779</v>
      </c>
      <c r="EB14" s="303">
        <v>54436.7</v>
      </c>
      <c r="EC14" s="303">
        <v>407981</v>
      </c>
      <c r="ED14" s="361">
        <v>47221.599999999999</v>
      </c>
      <c r="EE14" s="303">
        <v>42139.5</v>
      </c>
      <c r="EF14" s="303">
        <v>38713.599999999999</v>
      </c>
      <c r="EG14" s="361">
        <v>92572.5</v>
      </c>
      <c r="EH14" s="361">
        <v>182468.6</v>
      </c>
      <c r="EI14" s="361">
        <v>31905</v>
      </c>
      <c r="EJ14" s="303">
        <v>40735</v>
      </c>
      <c r="EK14" s="303"/>
      <c r="EL14" s="361">
        <v>702016.5</v>
      </c>
      <c r="EM14" s="303">
        <v>4949</v>
      </c>
      <c r="EN14" s="303">
        <v>44359.9</v>
      </c>
      <c r="EO14" s="361">
        <v>3020913.7</v>
      </c>
      <c r="EP14" s="303">
        <v>2779512</v>
      </c>
      <c r="EQ14" s="303">
        <v>0</v>
      </c>
      <c r="ER14" s="303">
        <v>1508</v>
      </c>
      <c r="ES14" s="187">
        <v>362083</v>
      </c>
      <c r="ET14" s="303">
        <v>939660</v>
      </c>
      <c r="EU14" s="303">
        <v>425778</v>
      </c>
      <c r="EV14" s="303">
        <v>139703</v>
      </c>
      <c r="EW14" s="303">
        <v>111183</v>
      </c>
      <c r="EX14" s="361">
        <v>209497.3</v>
      </c>
      <c r="EY14" s="361">
        <v>1649471.2</v>
      </c>
      <c r="EZ14" s="382">
        <v>781326.4</v>
      </c>
      <c r="FA14" s="382">
        <v>747887</v>
      </c>
      <c r="FB14" s="383">
        <v>30611.9</v>
      </c>
      <c r="FC14" s="384">
        <v>6178</v>
      </c>
      <c r="FD14" s="77">
        <f t="shared" si="17"/>
        <v>3858</v>
      </c>
      <c r="FE14" s="105">
        <f t="shared" si="18"/>
        <v>0</v>
      </c>
      <c r="FF14" s="105">
        <f t="shared" si="18"/>
        <v>136</v>
      </c>
      <c r="FG14" s="105">
        <f t="shared" si="18"/>
        <v>741</v>
      </c>
      <c r="FH14" s="105">
        <f t="shared" si="18"/>
        <v>867</v>
      </c>
      <c r="FI14" s="105">
        <f t="shared" si="18"/>
        <v>0</v>
      </c>
      <c r="FJ14" s="105">
        <f t="shared" si="18"/>
        <v>0</v>
      </c>
      <c r="FK14" s="105">
        <v>1072</v>
      </c>
      <c r="FL14" s="105">
        <f t="shared" si="18"/>
        <v>879</v>
      </c>
      <c r="FM14" s="105">
        <v>163</v>
      </c>
      <c r="FN14" s="80">
        <v>1200</v>
      </c>
      <c r="FO14" s="381"/>
      <c r="FP14" s="358"/>
      <c r="FY14" s="141">
        <v>9</v>
      </c>
      <c r="FZ14" s="107"/>
      <c r="GA14" s="107">
        <v>660</v>
      </c>
      <c r="GB14" s="108"/>
      <c r="GC14" s="109"/>
      <c r="GD14" s="110"/>
      <c r="GE14" s="110"/>
      <c r="GF14" s="111"/>
      <c r="GG14" s="111"/>
      <c r="GH14" s="111"/>
      <c r="GI14" s="112"/>
      <c r="GJ14" s="111" t="e">
        <f t="shared" si="61"/>
        <v>#DIV/0!</v>
      </c>
      <c r="GK14" s="113"/>
    </row>
    <row r="15" spans="1:194" s="119" customFormat="1" ht="15" customHeight="1">
      <c r="A15" s="119" t="s">
        <v>125</v>
      </c>
      <c r="B15" s="351">
        <v>42926</v>
      </c>
      <c r="D15" s="128">
        <v>0</v>
      </c>
      <c r="E15" s="128">
        <v>3240</v>
      </c>
      <c r="F15" s="128">
        <v>466.56</v>
      </c>
      <c r="G15" s="86">
        <v>2678.39</v>
      </c>
      <c r="H15" s="86">
        <v>5154.4319999999998</v>
      </c>
      <c r="I15" s="86">
        <v>2067.1620000000003</v>
      </c>
      <c r="J15" s="86">
        <v>0</v>
      </c>
      <c r="K15" s="86">
        <v>0</v>
      </c>
      <c r="L15" s="86"/>
      <c r="M15" s="284">
        <f t="shared" si="62"/>
        <v>2067.1620000000003</v>
      </c>
      <c r="N15" s="88">
        <f t="shared" si="19"/>
        <v>11539.382</v>
      </c>
      <c r="O15" s="88">
        <f t="shared" si="20"/>
        <v>12572.963</v>
      </c>
      <c r="P15" s="89">
        <f t="shared" si="21"/>
        <v>152625.2445</v>
      </c>
      <c r="R15" s="170">
        <f t="shared" si="22"/>
        <v>4.3000000000465661</v>
      </c>
      <c r="S15" s="170">
        <f t="shared" si="23"/>
        <v>115.76999999999535</v>
      </c>
      <c r="T15" s="170">
        <f t="shared" si="1"/>
        <v>386.6</v>
      </c>
      <c r="U15" s="91">
        <f t="shared" si="74"/>
        <v>2.0099999999998546</v>
      </c>
      <c r="V15" s="170">
        <f t="shared" si="24"/>
        <v>1251.5</v>
      </c>
      <c r="W15" s="91">
        <f t="shared" si="2"/>
        <v>112</v>
      </c>
      <c r="X15" s="170">
        <f t="shared" si="25"/>
        <v>1251.5</v>
      </c>
      <c r="Y15" s="170" t="str">
        <f t="shared" si="26"/>
        <v>0</v>
      </c>
      <c r="Z15" s="170">
        <f t="shared" si="3"/>
        <v>146.80000000000001</v>
      </c>
      <c r="AA15" s="170">
        <f t="shared" si="27"/>
        <v>1760.1800000000417</v>
      </c>
      <c r="AB15" s="170">
        <f t="shared" si="28"/>
        <v>67</v>
      </c>
      <c r="AC15" s="170">
        <f t="shared" si="28"/>
        <v>147</v>
      </c>
      <c r="AD15" s="170">
        <f t="shared" si="29"/>
        <v>362</v>
      </c>
      <c r="AE15" s="170">
        <f t="shared" si="30"/>
        <v>148</v>
      </c>
      <c r="AF15" s="170">
        <f t="shared" si="31"/>
        <v>103</v>
      </c>
      <c r="AG15" s="170">
        <f t="shared" si="31"/>
        <v>6.5999999999912689</v>
      </c>
      <c r="AH15" s="170">
        <f t="shared" si="32"/>
        <v>160</v>
      </c>
      <c r="AI15" s="170">
        <f t="shared" si="33"/>
        <v>50.400000000008731</v>
      </c>
      <c r="AJ15" s="170">
        <f t="shared" si="34"/>
        <v>60</v>
      </c>
      <c r="AK15" s="170">
        <f t="shared" si="34"/>
        <v>28.80000000000291</v>
      </c>
      <c r="AL15" s="170">
        <f t="shared" si="35"/>
        <v>159</v>
      </c>
      <c r="AM15" s="170">
        <f t="shared" si="36"/>
        <v>70.19999999999709</v>
      </c>
      <c r="AN15" s="170">
        <f t="shared" si="37"/>
        <v>14.200000000004366</v>
      </c>
      <c r="AO15" s="170">
        <f t="shared" si="4"/>
        <v>57.700000000004366</v>
      </c>
      <c r="AP15" s="170">
        <f t="shared" si="38"/>
        <v>19.100000000005821</v>
      </c>
      <c r="AQ15" s="170">
        <f t="shared" si="5"/>
        <v>47</v>
      </c>
      <c r="AR15" s="170">
        <f t="shared" si="39"/>
        <v>51.826000000000001</v>
      </c>
      <c r="AS15" s="170">
        <f t="shared" si="40"/>
        <v>52.826000000000022</v>
      </c>
      <c r="AT15" s="170">
        <f t="shared" si="41"/>
        <v>464.82600000000002</v>
      </c>
      <c r="AU15" s="170">
        <f t="shared" si="63"/>
        <v>215</v>
      </c>
      <c r="AV15" s="170">
        <f t="shared" si="64"/>
        <v>20</v>
      </c>
      <c r="AW15" s="170">
        <f t="shared" si="65"/>
        <v>197</v>
      </c>
      <c r="AX15" s="170">
        <f t="shared" si="66"/>
        <v>19</v>
      </c>
      <c r="AY15" s="170" t="str">
        <f t="shared" si="66"/>
        <v/>
      </c>
      <c r="AZ15" s="170">
        <f t="shared" si="42"/>
        <v>229</v>
      </c>
      <c r="BA15" s="170">
        <v>119</v>
      </c>
      <c r="BB15" s="170">
        <f t="shared" si="43"/>
        <v>122.40000000002328</v>
      </c>
      <c r="BC15" s="170">
        <f t="shared" si="43"/>
        <v>122</v>
      </c>
      <c r="BD15" s="91">
        <f t="shared" si="44"/>
        <v>260</v>
      </c>
      <c r="BE15" s="90"/>
      <c r="BF15" s="90"/>
      <c r="BG15" s="90">
        <f t="shared" si="6"/>
        <v>473.40000000002328</v>
      </c>
      <c r="BH15" s="90">
        <f t="shared" si="45"/>
        <v>-1769</v>
      </c>
      <c r="BI15" s="90">
        <f>IF(FC15=0,"",(FC15-BJ15))</f>
        <v>1791.8939999999307</v>
      </c>
      <c r="BJ15" s="90">
        <f t="shared" si="46"/>
        <v>3523.1060000000693</v>
      </c>
      <c r="BK15" s="92"/>
      <c r="BL15" s="93">
        <f>FD15+FN15</f>
        <v>3546</v>
      </c>
      <c r="BM15" s="93">
        <f t="shared" si="47"/>
        <v>54622.200000000012</v>
      </c>
      <c r="BN15" s="92"/>
      <c r="BO15" s="94">
        <f t="shared" si="48"/>
        <v>3.7263694017986111E-3</v>
      </c>
      <c r="BP15" s="94">
        <f t="shared" si="48"/>
        <v>0.10032599666082234</v>
      </c>
      <c r="BQ15" s="94">
        <f t="shared" si="49"/>
        <v>0.33502660714412608</v>
      </c>
      <c r="BR15" s="94">
        <f t="shared" si="68"/>
        <v>1.0845468154187115</v>
      </c>
      <c r="BS15" s="94">
        <f t="shared" si="8"/>
        <v>0</v>
      </c>
      <c r="BT15" s="94">
        <f t="shared" si="8"/>
        <v>0.12721651818095633</v>
      </c>
      <c r="BU15" s="95">
        <f t="shared" si="8"/>
        <v>1.5253676496713964</v>
      </c>
      <c r="BV15" s="94">
        <f t="shared" si="9"/>
        <v>3.4200371066442858E-3</v>
      </c>
      <c r="BW15" s="94">
        <f t="shared" si="9"/>
        <v>9.207853391439659E-2</v>
      </c>
      <c r="BX15" s="94">
        <f t="shared" si="9"/>
        <v>0.30748519660799134</v>
      </c>
      <c r="BY15" s="94">
        <f t="shared" si="50"/>
        <v>0.99538986951604014</v>
      </c>
      <c r="BZ15" s="95">
        <f t="shared" si="10"/>
        <v>1.3999723056530444</v>
      </c>
      <c r="CA15" s="96" t="e">
        <f>#REF!</f>
        <v>#REF!</v>
      </c>
      <c r="CB15" s="94">
        <f t="shared" si="51"/>
        <v>4.1220196066750536E-2</v>
      </c>
      <c r="CC15" s="95">
        <f t="shared" si="51"/>
        <v>4.2015553533403402E-2</v>
      </c>
      <c r="CD15" s="97">
        <f t="shared" si="11"/>
        <v>0.25071087800569086</v>
      </c>
      <c r="CE15" s="98">
        <f t="shared" si="11"/>
        <v>0.25554842823155621</v>
      </c>
      <c r="CF15" s="97" t="str">
        <f t="shared" si="52"/>
        <v>0,00</v>
      </c>
      <c r="CG15" s="94" t="str">
        <f t="shared" si="52"/>
        <v>0,00</v>
      </c>
      <c r="CH15" s="95" t="str">
        <f t="shared" si="53"/>
        <v xml:space="preserve">0,00 </v>
      </c>
      <c r="CI15" s="96" t="e">
        <f>#REF!</f>
        <v>#REF!</v>
      </c>
      <c r="CJ15" s="94">
        <f t="shared" si="54"/>
        <v>0.3179012345679012</v>
      </c>
      <c r="CK15" s="94">
        <f t="shared" si="54"/>
        <v>2.0370370370343425E-2</v>
      </c>
      <c r="CL15" s="95">
        <f t="shared" si="69"/>
        <v>0.49382716049382713</v>
      </c>
      <c r="CM15" s="95" t="e">
        <f>#REF!</f>
        <v>#REF!</v>
      </c>
      <c r="CN15" s="94">
        <f t="shared" si="55"/>
        <v>1.286008230452675</v>
      </c>
      <c r="CO15" s="94">
        <f t="shared" si="55"/>
        <v>0.61728395061734631</v>
      </c>
      <c r="CP15" s="95">
        <f t="shared" si="56"/>
        <v>3.4079218106995883</v>
      </c>
      <c r="CQ15" s="95" t="e">
        <f>#REF!</f>
        <v>#REF!</v>
      </c>
      <c r="CR15" s="97">
        <f t="shared" si="70"/>
        <v>5.3016924346358692E-2</v>
      </c>
      <c r="CS15" s="95">
        <f t="shared" si="70"/>
        <v>0.21542792498480196</v>
      </c>
      <c r="CT15" s="96" t="e">
        <f>#REF!</f>
        <v>#REF!</v>
      </c>
      <c r="CU15" s="97">
        <f t="shared" si="71"/>
        <v>3.7055489334238613E-2</v>
      </c>
      <c r="CV15" s="95">
        <f t="shared" si="57"/>
        <v>9.1183664853857815E-2</v>
      </c>
      <c r="CW15" s="96" t="e">
        <f>#REF!</f>
        <v>#REF!</v>
      </c>
      <c r="CX15" s="97">
        <f t="shared" si="58"/>
        <v>0.17100185533036247</v>
      </c>
      <c r="CY15" s="98">
        <f t="shared" si="58"/>
        <v>1.5907149333056973E-2</v>
      </c>
      <c r="CZ15" s="97">
        <f t="shared" si="58"/>
        <v>0.15668542093061119</v>
      </c>
      <c r="DA15" s="98">
        <f t="shared" si="58"/>
        <v>1.5111791866404125E-2</v>
      </c>
      <c r="DB15" s="94">
        <f t="shared" si="12"/>
        <v>0.18213685986350234</v>
      </c>
      <c r="DC15" s="94">
        <f t="shared" si="13"/>
        <v>9.7351753918327191E-2</v>
      </c>
      <c r="DD15" s="94">
        <f t="shared" si="13"/>
        <v>9.7033610931647543E-2</v>
      </c>
      <c r="DE15" s="94">
        <f t="shared" si="13"/>
        <v>0.20679294132974066</v>
      </c>
      <c r="DF15" s="94">
        <f t="shared" si="13"/>
        <v>0</v>
      </c>
      <c r="DG15" s="94">
        <f t="shared" si="13"/>
        <v>0</v>
      </c>
      <c r="DH15" s="95">
        <f t="shared" si="13"/>
        <v>0.37652222471347707</v>
      </c>
      <c r="DI15" s="96" t="e">
        <f>#REF!</f>
        <v>#REF!</v>
      </c>
      <c r="DJ15" s="95">
        <f t="shared" si="59"/>
        <v>-1.4069873585088892</v>
      </c>
      <c r="DK15" s="96" t="e">
        <f>#REF!</f>
        <v>#REF!</v>
      </c>
      <c r="DL15" s="95">
        <f t="shared" si="60"/>
        <v>1.4251962723503844</v>
      </c>
      <c r="DM15" s="96">
        <f t="shared" si="14"/>
        <v>0</v>
      </c>
      <c r="DN15" s="94">
        <f t="shared" si="15"/>
        <v>2.8021286629095061</v>
      </c>
      <c r="DO15" s="100">
        <v>3.4</v>
      </c>
      <c r="DP15" s="94">
        <f t="shared" si="72"/>
        <v>2.8203375767510015</v>
      </c>
      <c r="DQ15" s="94">
        <f t="shared" si="73"/>
        <v>3.5788443896645168</v>
      </c>
      <c r="DR15" s="101" t="str">
        <f t="shared" si="16"/>
        <v>3,315, hL/NhL</v>
      </c>
      <c r="DS15" s="147"/>
      <c r="DT15" s="134">
        <v>10</v>
      </c>
      <c r="DU15" s="355">
        <v>626342</v>
      </c>
      <c r="DV15" s="355">
        <v>27376</v>
      </c>
      <c r="DW15" s="355">
        <v>5133743</v>
      </c>
      <c r="DX15" s="104">
        <v>118297</v>
      </c>
      <c r="DY15" s="104">
        <v>85055.2</v>
      </c>
      <c r="DZ15" s="104">
        <v>394863</v>
      </c>
      <c r="EA15" s="104">
        <v>232839</v>
      </c>
      <c r="EB15" s="104">
        <v>54465.5</v>
      </c>
      <c r="EC15" s="104">
        <v>408140</v>
      </c>
      <c r="ED15" s="355">
        <v>47235.8</v>
      </c>
      <c r="EE15" s="104">
        <v>42164.5</v>
      </c>
      <c r="EF15" s="104">
        <v>38746.300000000003</v>
      </c>
      <c r="EG15" s="355">
        <v>92591.6</v>
      </c>
      <c r="EH15" s="355">
        <v>182515.6</v>
      </c>
      <c r="EI15" s="355">
        <v>31925</v>
      </c>
      <c r="EJ15" s="104">
        <v>40754</v>
      </c>
      <c r="EK15" s="104"/>
      <c r="EL15" s="355">
        <v>702020.8</v>
      </c>
      <c r="EM15" s="104">
        <v>3866</v>
      </c>
      <c r="EN15" s="104">
        <v>44380</v>
      </c>
      <c r="EO15" s="355">
        <v>3022165.2</v>
      </c>
      <c r="EP15" s="303">
        <v>2780632</v>
      </c>
      <c r="EQ15" s="104">
        <v>0</v>
      </c>
      <c r="ER15" s="104">
        <v>1468</v>
      </c>
      <c r="ES15" s="105">
        <v>362496</v>
      </c>
      <c r="ET15" s="104">
        <v>991486</v>
      </c>
      <c r="EU15" s="104">
        <v>425975</v>
      </c>
      <c r="EV15" s="104">
        <v>139918</v>
      </c>
      <c r="EW15" s="104">
        <v>111412</v>
      </c>
      <c r="EX15" s="355">
        <v>209619.7</v>
      </c>
      <c r="EY15" s="355">
        <v>1649593.2</v>
      </c>
      <c r="EZ15" s="385">
        <v>782484.1</v>
      </c>
      <c r="FA15" s="386">
        <v>748147</v>
      </c>
      <c r="FB15" s="387">
        <v>30732.3</v>
      </c>
      <c r="FC15" s="378">
        <v>5315</v>
      </c>
      <c r="FD15" s="77">
        <f t="shared" si="17"/>
        <v>2346</v>
      </c>
      <c r="FE15" s="105">
        <f t="shared" si="18"/>
        <v>0</v>
      </c>
      <c r="FF15" s="105">
        <f t="shared" si="18"/>
        <v>0</v>
      </c>
      <c r="FG15" s="105">
        <f t="shared" si="18"/>
        <v>590</v>
      </c>
      <c r="FH15" s="105">
        <f t="shared" si="18"/>
        <v>697</v>
      </c>
      <c r="FI15" s="105">
        <f t="shared" si="18"/>
        <v>0</v>
      </c>
      <c r="FJ15" s="105">
        <f t="shared" si="18"/>
        <v>0</v>
      </c>
      <c r="FK15" s="105">
        <v>0</v>
      </c>
      <c r="FL15" s="105">
        <f t="shared" si="18"/>
        <v>893</v>
      </c>
      <c r="FM15" s="105">
        <v>166</v>
      </c>
      <c r="FN15" s="80">
        <v>1200</v>
      </c>
      <c r="FO15" s="381"/>
      <c r="FP15" s="358"/>
      <c r="FY15" s="119">
        <v>10</v>
      </c>
      <c r="FZ15" s="107"/>
      <c r="GA15" s="107"/>
      <c r="GB15" s="108"/>
      <c r="GC15" s="109"/>
      <c r="GD15" s="110"/>
      <c r="GE15" s="110"/>
      <c r="GF15" s="111"/>
      <c r="GG15" s="111"/>
      <c r="GH15" s="111"/>
      <c r="GI15" s="112"/>
      <c r="GJ15" s="111" t="e">
        <f t="shared" si="61"/>
        <v>#DIV/0!</v>
      </c>
      <c r="GK15" s="113"/>
    </row>
    <row r="16" spans="1:194" s="141" customFormat="1" ht="15" customHeight="1">
      <c r="A16" s="141">
        <v>0</v>
      </c>
      <c r="B16" s="351">
        <v>42927</v>
      </c>
      <c r="D16" s="128">
        <v>2220</v>
      </c>
      <c r="E16" s="128">
        <v>4748.16</v>
      </c>
      <c r="F16" s="128">
        <v>2207.52</v>
      </c>
      <c r="G16" s="86">
        <v>4336.808</v>
      </c>
      <c r="H16" s="86">
        <v>2487.62</v>
      </c>
      <c r="I16" s="86">
        <v>1772.751</v>
      </c>
      <c r="J16" s="86">
        <v>6074.88</v>
      </c>
      <c r="K16" s="86">
        <v>13.193</v>
      </c>
      <c r="L16" s="86"/>
      <c r="M16" s="284">
        <f t="shared" si="62"/>
        <v>7847.6310000000003</v>
      </c>
      <c r="N16" s="88">
        <f t="shared" si="19"/>
        <v>16000.108</v>
      </c>
      <c r="O16" s="88">
        <f t="shared" si="20"/>
        <v>19923.923500000001</v>
      </c>
      <c r="P16" s="89">
        <f t="shared" si="21"/>
        <v>172549.16800000001</v>
      </c>
      <c r="Q16" s="152"/>
      <c r="R16" s="170">
        <f t="shared" si="22"/>
        <v>177.29999999993015</v>
      </c>
      <c r="S16" s="170">
        <f t="shared" si="23"/>
        <v>172.97000000000699</v>
      </c>
      <c r="T16" s="170">
        <f t="shared" si="1"/>
        <v>319.2</v>
      </c>
      <c r="U16" s="91">
        <f t="shared" si="74"/>
        <v>2.0099999999998546</v>
      </c>
      <c r="V16" s="170">
        <f t="shared" si="24"/>
        <v>1031.1999999997206</v>
      </c>
      <c r="W16" s="91">
        <f t="shared" si="2"/>
        <v>93.7</v>
      </c>
      <c r="X16" s="170">
        <f t="shared" si="25"/>
        <v>1031.1999999997206</v>
      </c>
      <c r="Y16" s="170" t="str">
        <f t="shared" si="26"/>
        <v>0</v>
      </c>
      <c r="Z16" s="170">
        <f t="shared" si="3"/>
        <v>106.5</v>
      </c>
      <c r="AA16" s="170">
        <f t="shared" si="27"/>
        <v>1702.6799999996574</v>
      </c>
      <c r="AB16" s="170">
        <f t="shared" si="28"/>
        <v>93</v>
      </c>
      <c r="AC16" s="170">
        <f t="shared" si="28"/>
        <v>82</v>
      </c>
      <c r="AD16" s="170">
        <f t="shared" si="29"/>
        <v>315</v>
      </c>
      <c r="AE16" s="170">
        <f t="shared" si="30"/>
        <v>140</v>
      </c>
      <c r="AF16" s="170">
        <f t="shared" si="31"/>
        <v>134</v>
      </c>
      <c r="AG16" s="170">
        <f t="shared" si="31"/>
        <v>29.5</v>
      </c>
      <c r="AH16" s="170">
        <f t="shared" si="32"/>
        <v>227</v>
      </c>
      <c r="AI16" s="170">
        <f t="shared" si="33"/>
        <v>63.5</v>
      </c>
      <c r="AJ16" s="170">
        <f t="shared" si="34"/>
        <v>90</v>
      </c>
      <c r="AK16" s="170">
        <f t="shared" si="34"/>
        <v>10</v>
      </c>
      <c r="AL16" s="170">
        <f t="shared" si="35"/>
        <v>190</v>
      </c>
      <c r="AM16" s="170">
        <f t="shared" si="36"/>
        <v>90</v>
      </c>
      <c r="AN16" s="170">
        <f t="shared" si="37"/>
        <v>31.599999999998545</v>
      </c>
      <c r="AO16" s="170">
        <f t="shared" si="4"/>
        <v>89.30000000000291</v>
      </c>
      <c r="AP16" s="170">
        <f t="shared" si="38"/>
        <v>19.599999999991269</v>
      </c>
      <c r="AQ16" s="170">
        <f t="shared" si="5"/>
        <v>80.299999999988358</v>
      </c>
      <c r="AR16" s="170">
        <f t="shared" si="39"/>
        <v>61.064</v>
      </c>
      <c r="AS16" s="170">
        <f t="shared" si="40"/>
        <v>170.06399999999996</v>
      </c>
      <c r="AT16" s="170">
        <f t="shared" si="41"/>
        <v>787.06399999999996</v>
      </c>
      <c r="AU16" s="170">
        <f t="shared" si="63"/>
        <v>252</v>
      </c>
      <c r="AV16" s="170">
        <f t="shared" si="64"/>
        <v>34</v>
      </c>
      <c r="AW16" s="170">
        <f t="shared" si="65"/>
        <v>365</v>
      </c>
      <c r="AX16" s="170">
        <f t="shared" si="66"/>
        <v>60</v>
      </c>
      <c r="AY16" s="170" t="str">
        <f t="shared" si="66"/>
        <v/>
      </c>
      <c r="AZ16" s="170">
        <f t="shared" si="42"/>
        <v>265</v>
      </c>
      <c r="BA16" s="170">
        <v>75</v>
      </c>
      <c r="BB16" s="170">
        <f t="shared" si="43"/>
        <v>89.799999999988358</v>
      </c>
      <c r="BC16" s="170">
        <f t="shared" si="43"/>
        <v>237.60000000009313</v>
      </c>
      <c r="BD16" s="91">
        <f t="shared" si="44"/>
        <v>227</v>
      </c>
      <c r="BE16" s="90"/>
      <c r="BF16" s="90"/>
      <c r="BG16" s="90">
        <f t="shared" si="6"/>
        <v>592.40000000008149</v>
      </c>
      <c r="BH16" s="90">
        <f t="shared" si="45"/>
        <v>-319</v>
      </c>
      <c r="BI16" s="90">
        <f t="shared" si="7"/>
        <v>1779.25600000027</v>
      </c>
      <c r="BJ16" s="90">
        <f t="shared" si="46"/>
        <v>4077.74399999973</v>
      </c>
      <c r="BK16" s="92"/>
      <c r="BL16" s="93">
        <f>FD16+FN16</f>
        <v>5538</v>
      </c>
      <c r="BM16" s="93">
        <f t="shared" si="47"/>
        <v>60160.200000000012</v>
      </c>
      <c r="BN16" s="92"/>
      <c r="BO16" s="94">
        <f t="shared" si="48"/>
        <v>0.11081175202063021</v>
      </c>
      <c r="BP16" s="94">
        <f t="shared" si="48"/>
        <v>0.10810552028774242</v>
      </c>
      <c r="BQ16" s="94">
        <f t="shared" si="49"/>
        <v>0.19949865338408965</v>
      </c>
      <c r="BR16" s="94">
        <f t="shared" si="68"/>
        <v>0.64449564965419026</v>
      </c>
      <c r="BS16" s="94">
        <f t="shared" si="8"/>
        <v>0</v>
      </c>
      <c r="BT16" s="94">
        <f t="shared" si="8"/>
        <v>6.6562050706157727E-2</v>
      </c>
      <c r="BU16" s="95">
        <f t="shared" si="8"/>
        <v>1.0641678168670219</v>
      </c>
      <c r="BV16" s="94">
        <f t="shared" si="9"/>
        <v>8.8988496668304384E-2</v>
      </c>
      <c r="BW16" s="94">
        <f t="shared" si="9"/>
        <v>8.6815229942037775E-2</v>
      </c>
      <c r="BX16" s="94">
        <f t="shared" si="9"/>
        <v>0.16020940855349097</v>
      </c>
      <c r="BY16" s="94">
        <f t="shared" si="50"/>
        <v>0.51756874091577421</v>
      </c>
      <c r="BZ16" s="95">
        <f t="shared" si="10"/>
        <v>0.8545907135206865</v>
      </c>
      <c r="CA16" s="96" t="e">
        <f>#REF!</f>
        <v>#REF!</v>
      </c>
      <c r="CB16" s="94">
        <f t="shared" si="51"/>
        <v>3.0648581841824476E-2</v>
      </c>
      <c r="CC16" s="95">
        <f t="shared" si="51"/>
        <v>8.5356681880453894E-2</v>
      </c>
      <c r="CD16" s="97">
        <f t="shared" si="11"/>
        <v>7.7812017410094844E-2</v>
      </c>
      <c r="CE16" s="98">
        <f t="shared" si="11"/>
        <v>0.21670743693224104</v>
      </c>
      <c r="CF16" s="97">
        <f t="shared" si="52"/>
        <v>0.41891891891891897</v>
      </c>
      <c r="CG16" s="94">
        <f t="shared" si="52"/>
        <v>0.36936936936936937</v>
      </c>
      <c r="CH16" s="95">
        <f t="shared" si="53"/>
        <v>1.4189189189189189</v>
      </c>
      <c r="CI16" s="96" t="e">
        <f>#REF!</f>
        <v>#REF!</v>
      </c>
      <c r="CJ16" s="94">
        <f t="shared" si="54"/>
        <v>0.28221458417576495</v>
      </c>
      <c r="CK16" s="94">
        <f t="shared" si="54"/>
        <v>6.212933009839601E-2</v>
      </c>
      <c r="CL16" s="95">
        <f t="shared" si="69"/>
        <v>0.47807992990969134</v>
      </c>
      <c r="CM16" s="95" t="e">
        <f>#REF!</f>
        <v>#REF!</v>
      </c>
      <c r="CN16" s="94">
        <f t="shared" si="55"/>
        <v>0.40769732550554466</v>
      </c>
      <c r="CO16" s="94">
        <f t="shared" si="55"/>
        <v>4.5299702833949407E-2</v>
      </c>
      <c r="CP16" s="95">
        <f t="shared" si="56"/>
        <v>0.86069435384503867</v>
      </c>
      <c r="CQ16" s="95" t="e">
        <f>#REF!</f>
        <v>#REF!</v>
      </c>
      <c r="CR16" s="97">
        <f t="shared" si="70"/>
        <v>7.2864650683171925E-2</v>
      </c>
      <c r="CS16" s="95">
        <f t="shared" si="70"/>
        <v>0.20591181348125837</v>
      </c>
      <c r="CT16" s="96" t="e">
        <f>#REF!</f>
        <v>#REF!</v>
      </c>
      <c r="CU16" s="97">
        <f t="shared" si="71"/>
        <v>7.8790168916439279E-2</v>
      </c>
      <c r="CV16" s="95">
        <f t="shared" si="57"/>
        <v>0.32279849816285594</v>
      </c>
      <c r="CW16" s="96" t="e">
        <f>#REF!</f>
        <v>#REF!</v>
      </c>
      <c r="CX16" s="97">
        <f t="shared" si="58"/>
        <v>0.12648111201591394</v>
      </c>
      <c r="CY16" s="98">
        <f t="shared" si="58"/>
        <v>1.7064911938655052E-2</v>
      </c>
      <c r="CZ16" s="97">
        <f t="shared" si="58"/>
        <v>0.18319684875320869</v>
      </c>
      <c r="DA16" s="98">
        <f t="shared" si="58"/>
        <v>3.0114550479979508E-2</v>
      </c>
      <c r="DB16" s="94">
        <f t="shared" si="12"/>
        <v>0.13300593128657615</v>
      </c>
      <c r="DC16" s="94">
        <f t="shared" si="13"/>
        <v>4.5071443885030156E-2</v>
      </c>
      <c r="DD16" s="94">
        <f t="shared" si="13"/>
        <v>0.11925361990076559</v>
      </c>
      <c r="DE16" s="94">
        <f t="shared" si="13"/>
        <v>0.11393338264925582</v>
      </c>
      <c r="DF16" s="94">
        <f t="shared" si="13"/>
        <v>0</v>
      </c>
      <c r="DG16" s="94">
        <f t="shared" si="13"/>
        <v>0</v>
      </c>
      <c r="DH16" s="95">
        <f t="shared" si="13"/>
        <v>0.29733099507237187</v>
      </c>
      <c r="DI16" s="96" t="e">
        <f>#REF!</f>
        <v>#REF!</v>
      </c>
      <c r="DJ16" s="95">
        <f t="shared" si="59"/>
        <v>-0.16010902671855773</v>
      </c>
      <c r="DK16" s="96" t="e">
        <f>#REF!</f>
        <v>#REF!</v>
      </c>
      <c r="DL16" s="95">
        <f t="shared" si="60"/>
        <v>0.89302491048024246</v>
      </c>
      <c r="DM16" s="96">
        <f t="shared" si="14"/>
        <v>0</v>
      </c>
      <c r="DN16" s="94">
        <f t="shared" si="15"/>
        <v>2.0466571255404236</v>
      </c>
      <c r="DO16" s="100">
        <v>3.4</v>
      </c>
      <c r="DP16" s="94">
        <f>IF($O16&lt;&gt;0,IF($O16&lt;&gt;0,BL16/$O16*10,0)," ")</f>
        <v>2.7795730093021085</v>
      </c>
      <c r="DQ16" s="94">
        <f>IF($P16&lt;&gt;0,IF($P16&lt;&gt;0,BM16/$P16*10,0)," ")</f>
        <v>3.4865540470180658</v>
      </c>
      <c r="DR16" s="101"/>
      <c r="DS16" s="153"/>
      <c r="DT16" s="142">
        <v>11</v>
      </c>
      <c r="DU16" s="330">
        <f>DU15+93</f>
        <v>626435</v>
      </c>
      <c r="DV16" s="330">
        <v>27458</v>
      </c>
      <c r="DW16" s="330">
        <v>5134058</v>
      </c>
      <c r="DX16" s="330">
        <v>118431</v>
      </c>
      <c r="DY16" s="330">
        <v>85084.7</v>
      </c>
      <c r="DZ16" s="330">
        <v>395090</v>
      </c>
      <c r="EA16" s="330">
        <v>232929</v>
      </c>
      <c r="EB16" s="330">
        <v>54475.5</v>
      </c>
      <c r="EC16" s="330">
        <v>408330</v>
      </c>
      <c r="ED16" s="330">
        <v>47267.4</v>
      </c>
      <c r="EE16" s="330">
        <v>42220.3</v>
      </c>
      <c r="EF16" s="330">
        <v>38779.800000000003</v>
      </c>
      <c r="EG16" s="330">
        <v>92611.199999999997</v>
      </c>
      <c r="EH16" s="330">
        <v>182595.9</v>
      </c>
      <c r="EI16" s="330">
        <v>31959</v>
      </c>
      <c r="EJ16" s="330">
        <v>40814</v>
      </c>
      <c r="EK16" s="330"/>
      <c r="EL16" s="330">
        <v>702198.1</v>
      </c>
      <c r="EM16" s="330">
        <v>3192</v>
      </c>
      <c r="EN16" s="330">
        <v>44400.1</v>
      </c>
      <c r="EO16" s="330">
        <v>3023196.4</v>
      </c>
      <c r="EP16" s="303">
        <v>2781569</v>
      </c>
      <c r="EQ16" s="330">
        <v>0</v>
      </c>
      <c r="ER16" s="330">
        <v>1065</v>
      </c>
      <c r="ES16" s="330">
        <v>363222</v>
      </c>
      <c r="ET16" s="105">
        <v>1052550</v>
      </c>
      <c r="EU16" s="104">
        <v>426340</v>
      </c>
      <c r="EV16" s="330">
        <v>140170</v>
      </c>
      <c r="EW16" s="330">
        <v>111677</v>
      </c>
      <c r="EX16" s="330">
        <v>209709.5</v>
      </c>
      <c r="EY16" s="330">
        <v>1649830.8</v>
      </c>
      <c r="EZ16" s="330">
        <v>784213.8</v>
      </c>
      <c r="FA16" s="385">
        <v>748374</v>
      </c>
      <c r="FB16" s="387">
        <v>30813.3</v>
      </c>
      <c r="FC16" s="378">
        <v>5857</v>
      </c>
      <c r="FD16" s="77">
        <f t="shared" si="17"/>
        <v>4338</v>
      </c>
      <c r="FE16" s="105">
        <f t="shared" si="18"/>
        <v>0</v>
      </c>
      <c r="FF16" s="105">
        <f t="shared" si="18"/>
        <v>0</v>
      </c>
      <c r="FG16" s="105">
        <f t="shared" si="18"/>
        <v>969</v>
      </c>
      <c r="FH16" s="105">
        <f t="shared" si="18"/>
        <v>969</v>
      </c>
      <c r="FI16" s="105">
        <f t="shared" si="18"/>
        <v>1030</v>
      </c>
      <c r="FJ16" s="105">
        <f t="shared" si="18"/>
        <v>0</v>
      </c>
      <c r="FK16" s="105">
        <f t="shared" si="18"/>
        <v>268</v>
      </c>
      <c r="FL16" s="105">
        <f t="shared" si="18"/>
        <v>833</v>
      </c>
      <c r="FM16" s="105">
        <v>269</v>
      </c>
      <c r="FN16" s="80">
        <v>1200</v>
      </c>
      <c r="FO16" s="381"/>
      <c r="FP16" s="358"/>
      <c r="FY16" s="141">
        <v>11</v>
      </c>
      <c r="FZ16" s="107"/>
      <c r="GA16" s="107"/>
      <c r="GB16" s="107"/>
      <c r="GC16" s="109"/>
      <c r="GD16" s="110"/>
      <c r="GE16" s="110"/>
      <c r="GF16" s="111"/>
      <c r="GG16" s="111"/>
      <c r="GH16" s="111"/>
      <c r="GI16" s="112"/>
      <c r="GJ16" s="111" t="e">
        <f t="shared" si="61"/>
        <v>#DIV/0!</v>
      </c>
      <c r="GK16" s="113"/>
    </row>
    <row r="17" spans="1:193" s="119" customFormat="1" ht="15" customHeight="1">
      <c r="A17" s="119" t="s">
        <v>126</v>
      </c>
      <c r="B17" s="351">
        <v>42928</v>
      </c>
      <c r="D17" s="154">
        <v>5472</v>
      </c>
      <c r="E17" s="128">
        <v>1272</v>
      </c>
      <c r="F17" s="86">
        <v>787.96799999999996</v>
      </c>
      <c r="G17" s="86">
        <v>5741.2439999999997</v>
      </c>
      <c r="H17" s="86">
        <v>6589.8360000000002</v>
      </c>
      <c r="I17" s="86">
        <v>1860.6590000000001</v>
      </c>
      <c r="J17" s="86">
        <v>7390.68</v>
      </c>
      <c r="K17" s="86">
        <v>2.4359999999999999</v>
      </c>
      <c r="L17" s="86"/>
      <c r="M17" s="284">
        <f t="shared" si="62"/>
        <v>9251.3389999999999</v>
      </c>
      <c r="N17" s="88">
        <f t="shared" si="19"/>
        <v>19863.047999999999</v>
      </c>
      <c r="O17" s="88">
        <f t="shared" si="20"/>
        <v>24488.717499999999</v>
      </c>
      <c r="P17" s="89">
        <f t="shared" si="21"/>
        <v>197037.8855</v>
      </c>
      <c r="Q17" s="155"/>
      <c r="R17" s="170">
        <f t="shared" si="22"/>
        <v>276.70000000006985</v>
      </c>
      <c r="S17" s="170">
        <f t="shared" si="23"/>
        <v>8.3899999999906871</v>
      </c>
      <c r="T17" s="170">
        <f t="shared" si="1"/>
        <v>336.9</v>
      </c>
      <c r="U17" s="91">
        <f t="shared" si="74"/>
        <v>5.5200000000004366</v>
      </c>
      <c r="V17" s="170">
        <f t="shared" si="24"/>
        <v>1565.3999999999069</v>
      </c>
      <c r="W17" s="91">
        <f t="shared" si="2"/>
        <v>139.4</v>
      </c>
      <c r="X17" s="170">
        <f t="shared" si="25"/>
        <v>1565.3999999999069</v>
      </c>
      <c r="Y17" s="170" t="str">
        <f t="shared" si="26"/>
        <v>0</v>
      </c>
      <c r="Z17" s="170">
        <f t="shared" si="3"/>
        <v>154.69999999999999</v>
      </c>
      <c r="AA17" s="170">
        <f t="shared" si="27"/>
        <v>2192.909999999968</v>
      </c>
      <c r="AB17" s="170">
        <f t="shared" si="28"/>
        <v>218</v>
      </c>
      <c r="AC17" s="170">
        <f t="shared" si="28"/>
        <v>32</v>
      </c>
      <c r="AD17" s="170">
        <f t="shared" si="29"/>
        <v>428</v>
      </c>
      <c r="AE17" s="170">
        <f t="shared" si="30"/>
        <v>178</v>
      </c>
      <c r="AF17" s="170">
        <f t="shared" si="31"/>
        <v>122</v>
      </c>
      <c r="AG17" s="170">
        <f t="shared" si="31"/>
        <v>5.3000000000029104</v>
      </c>
      <c r="AH17" s="170">
        <f t="shared" si="32"/>
        <v>247</v>
      </c>
      <c r="AI17" s="170">
        <f t="shared" si="33"/>
        <v>119.69999999999709</v>
      </c>
      <c r="AJ17" s="170">
        <f t="shared" si="34"/>
        <v>67</v>
      </c>
      <c r="AK17" s="170">
        <f t="shared" si="34"/>
        <v>26.80000000000291</v>
      </c>
      <c r="AL17" s="170">
        <f t="shared" si="35"/>
        <v>163</v>
      </c>
      <c r="AM17" s="170">
        <f t="shared" si="36"/>
        <v>69.19999999999709</v>
      </c>
      <c r="AN17" s="170">
        <f t="shared" si="37"/>
        <v>14.599999999998545</v>
      </c>
      <c r="AO17" s="170">
        <f t="shared" si="4"/>
        <v>64.5</v>
      </c>
      <c r="AP17" s="170">
        <f t="shared" si="38"/>
        <v>25.900000000008731</v>
      </c>
      <c r="AQ17" s="170">
        <f t="shared" si="5"/>
        <v>97.5</v>
      </c>
      <c r="AR17" s="170">
        <f t="shared" si="39"/>
        <v>89.474999999999994</v>
      </c>
      <c r="AS17" s="170">
        <f t="shared" si="40"/>
        <v>-7.5249999999999773</v>
      </c>
      <c r="AT17" s="170">
        <f t="shared" si="41"/>
        <v>931.47500000000002</v>
      </c>
      <c r="AU17" s="170">
        <f t="shared" si="63"/>
        <v>300</v>
      </c>
      <c r="AV17" s="170">
        <f t="shared" si="64"/>
        <v>13</v>
      </c>
      <c r="AW17" s="170">
        <f t="shared" si="65"/>
        <v>639</v>
      </c>
      <c r="AX17" s="170">
        <f t="shared" si="66"/>
        <v>30</v>
      </c>
      <c r="AY17" s="170" t="str">
        <f t="shared" si="66"/>
        <v/>
      </c>
      <c r="AZ17" s="170">
        <f t="shared" si="42"/>
        <v>344</v>
      </c>
      <c r="BA17" s="170">
        <v>42.8</v>
      </c>
      <c r="BB17" s="170">
        <f t="shared" si="43"/>
        <v>84.299999999988358</v>
      </c>
      <c r="BC17" s="170">
        <f t="shared" si="43"/>
        <v>1157.0999999998603</v>
      </c>
      <c r="BD17" s="91">
        <f t="shared" si="44"/>
        <v>254</v>
      </c>
      <c r="BE17" s="90"/>
      <c r="BF17" s="90"/>
      <c r="BG17" s="90">
        <f t="shared" si="6"/>
        <v>1585.3999999998487</v>
      </c>
      <c r="BH17" s="90">
        <f t="shared" si="45"/>
        <v>-1332</v>
      </c>
      <c r="BI17" s="90">
        <f t="shared" si="7"/>
        <v>1251.215000000183</v>
      </c>
      <c r="BJ17" s="90">
        <f t="shared" si="46"/>
        <v>5752.784999999817</v>
      </c>
      <c r="BK17" s="92"/>
      <c r="BL17" s="93">
        <f>FD17+FN17</f>
        <v>5672</v>
      </c>
      <c r="BM17" s="93">
        <f t="shared" si="47"/>
        <v>65832.200000000012</v>
      </c>
      <c r="BN17" s="92"/>
      <c r="BO17" s="94">
        <f t="shared" si="48"/>
        <v>0.13930389736764964</v>
      </c>
      <c r="BP17" s="94">
        <f t="shared" si="48"/>
        <v>4.2239237401987288E-3</v>
      </c>
      <c r="BQ17" s="94">
        <f t="shared" si="49"/>
        <v>0.1696114312365353</v>
      </c>
      <c r="BR17" s="94">
        <f t="shared" si="68"/>
        <v>0.78809657007318668</v>
      </c>
      <c r="BS17" s="94">
        <f t="shared" si="8"/>
        <v>0</v>
      </c>
      <c r="BT17" s="94">
        <f t="shared" si="8"/>
        <v>7.7883313779436067E-2</v>
      </c>
      <c r="BU17" s="95">
        <f t="shared" si="8"/>
        <v>1.1040148521012325</v>
      </c>
      <c r="BV17" s="94">
        <f t="shared" si="9"/>
        <v>0.11299080893071262</v>
      </c>
      <c r="BW17" s="94">
        <f t="shared" si="9"/>
        <v>3.4260675349742946E-3</v>
      </c>
      <c r="BX17" s="94">
        <f t="shared" si="9"/>
        <v>0.13757355810895364</v>
      </c>
      <c r="BY17" s="94">
        <f t="shared" si="50"/>
        <v>0.63923314889802085</v>
      </c>
      <c r="BZ17" s="95">
        <f t="shared" si="10"/>
        <v>0.89547768273286188</v>
      </c>
      <c r="CA17" s="96" t="e">
        <f>#REF!</f>
        <v>#REF!</v>
      </c>
      <c r="CB17" s="94">
        <f t="shared" si="51"/>
        <v>3.6537233932320057E-2</v>
      </c>
      <c r="CC17" s="95">
        <f t="shared" si="51"/>
        <v>-3.0728436472836837E-3</v>
      </c>
      <c r="CD17" s="97">
        <f t="shared" si="11"/>
        <v>9.6715729474403656E-2</v>
      </c>
      <c r="CE17" s="98">
        <f t="shared" si="11"/>
        <v>-8.1339576898003391E-3</v>
      </c>
      <c r="CF17" s="97">
        <f>IF($D17&lt;&gt;0,IF($D17&lt;&gt;0,AB17/$D17*10,0),"0,00")</f>
        <v>0.39839181286549707</v>
      </c>
      <c r="CG17" s="94">
        <f t="shared" si="52"/>
        <v>5.8479532163742687E-2</v>
      </c>
      <c r="CH17" s="95">
        <f t="shared" si="53"/>
        <v>0.78216374269005851</v>
      </c>
      <c r="CI17" s="96" t="e">
        <f>#REF!</f>
        <v>#REF!</v>
      </c>
      <c r="CJ17" s="94">
        <f t="shared" si="54"/>
        <v>0.95911949685534603</v>
      </c>
      <c r="CK17" s="94">
        <f t="shared" si="54"/>
        <v>4.1666666666689549E-2</v>
      </c>
      <c r="CL17" s="95">
        <f t="shared" si="69"/>
        <v>1.9418238993710693</v>
      </c>
      <c r="CM17" s="95" t="e">
        <f>#REF!</f>
        <v>#REF!</v>
      </c>
      <c r="CN17" s="94">
        <f t="shared" si="55"/>
        <v>0.85028833658219627</v>
      </c>
      <c r="CO17" s="94">
        <f t="shared" si="55"/>
        <v>0.34011533463291549</v>
      </c>
      <c r="CP17" s="95">
        <f t="shared" si="56"/>
        <v>2.0686119233268356</v>
      </c>
      <c r="CQ17" s="95" t="e">
        <f>#REF!</f>
        <v>#REF!</v>
      </c>
      <c r="CR17" s="97">
        <f t="shared" si="70"/>
        <v>2.5430028753347787E-2</v>
      </c>
      <c r="CS17" s="95">
        <f t="shared" si="70"/>
        <v>0.11234499004048601</v>
      </c>
      <c r="CT17" s="96" t="e">
        <f>#REF!</f>
        <v>#REF!</v>
      </c>
      <c r="CU17" s="97">
        <f t="shared" si="71"/>
        <v>3.9302950786648909E-2</v>
      </c>
      <c r="CV17" s="95">
        <f t="shared" si="57"/>
        <v>0.1479551236176439</v>
      </c>
      <c r="CW17" s="96" t="e">
        <f>#REF!</f>
        <v>#REF!</v>
      </c>
      <c r="CX17" s="97">
        <f t="shared" si="58"/>
        <v>0.12250539457609408</v>
      </c>
      <c r="CY17" s="98">
        <f t="shared" si="58"/>
        <v>5.3085670982974103E-3</v>
      </c>
      <c r="CZ17" s="97">
        <f t="shared" si="58"/>
        <v>0.26093649044708039</v>
      </c>
      <c r="DA17" s="98">
        <f t="shared" si="58"/>
        <v>1.2250539457609406E-2</v>
      </c>
      <c r="DB17" s="94">
        <f t="shared" si="12"/>
        <v>0.14047285244725455</v>
      </c>
      <c r="DC17" s="94">
        <f t="shared" si="13"/>
        <v>3.4424015875877685E-2</v>
      </c>
      <c r="DD17" s="94">
        <f t="shared" si="13"/>
        <v>0.4725033068799378</v>
      </c>
      <c r="DE17" s="94">
        <f t="shared" si="13"/>
        <v>0.10372123407442632</v>
      </c>
      <c r="DF17" s="94">
        <f t="shared" si="13"/>
        <v>0</v>
      </c>
      <c r="DG17" s="94">
        <f t="shared" si="13"/>
        <v>0</v>
      </c>
      <c r="DH17" s="95">
        <f t="shared" si="13"/>
        <v>0.64740017520307003</v>
      </c>
      <c r="DI17" s="96" t="e">
        <f>#REF!</f>
        <v>#REF!</v>
      </c>
      <c r="DJ17" s="95">
        <f t="shared" si="59"/>
        <v>-0.5439239519178577</v>
      </c>
      <c r="DK17" s="96" t="e">
        <f>#REF!</f>
        <v>#REF!</v>
      </c>
      <c r="DL17" s="95">
        <f t="shared" si="60"/>
        <v>0.51093529091516654</v>
      </c>
      <c r="DM17" s="96">
        <f t="shared" si="14"/>
        <v>0</v>
      </c>
      <c r="DN17" s="94">
        <f t="shared" si="15"/>
        <v>2.3491573211213765</v>
      </c>
      <c r="DO17" s="100">
        <v>3.4</v>
      </c>
      <c r="DP17" s="94">
        <f>IF($O17&lt;&gt;0,IF($O17&lt;&gt;0,BL17/$O17*10,0)," ")</f>
        <v>2.3161686601186853</v>
      </c>
      <c r="DQ17" s="94">
        <f>IF($P17&lt;&gt;0,IF($P17&lt;&gt;0,BM17/$P17*10,0)," ")</f>
        <v>3.3410935076239441</v>
      </c>
      <c r="DR17" s="101" t="str">
        <f t="shared" si="16"/>
        <v>3,315, hL/NhL</v>
      </c>
      <c r="DS17" s="147"/>
      <c r="DT17" s="134">
        <v>12</v>
      </c>
      <c r="DU17" s="330">
        <v>626653</v>
      </c>
      <c r="DV17" s="330">
        <v>27490</v>
      </c>
      <c r="DW17" s="330">
        <v>5134486</v>
      </c>
      <c r="DX17" s="330">
        <v>118553</v>
      </c>
      <c r="DY17" s="330">
        <v>85090</v>
      </c>
      <c r="DZ17" s="330">
        <v>395337</v>
      </c>
      <c r="EA17" s="330">
        <v>232996</v>
      </c>
      <c r="EB17" s="330">
        <v>54502.3</v>
      </c>
      <c r="EC17" s="330">
        <v>408493</v>
      </c>
      <c r="ED17" s="330">
        <v>47282</v>
      </c>
      <c r="EE17" s="330">
        <v>42248.3</v>
      </c>
      <c r="EF17" s="330">
        <v>38816.300000000003</v>
      </c>
      <c r="EG17" s="330">
        <v>92637.1</v>
      </c>
      <c r="EH17" s="330">
        <v>182693.4</v>
      </c>
      <c r="EI17" s="330">
        <v>31972</v>
      </c>
      <c r="EJ17" s="330">
        <v>40844</v>
      </c>
      <c r="EK17" s="330"/>
      <c r="EL17" s="330">
        <v>702474.8</v>
      </c>
      <c r="EM17" s="330">
        <v>3369</v>
      </c>
      <c r="EN17" s="330">
        <v>44455.3</v>
      </c>
      <c r="EO17" s="330">
        <v>3024761.8</v>
      </c>
      <c r="EP17" s="330">
        <v>2782963</v>
      </c>
      <c r="EQ17" s="330">
        <v>0</v>
      </c>
      <c r="ER17" s="330">
        <v>1547</v>
      </c>
      <c r="ES17" s="330">
        <v>364064</v>
      </c>
      <c r="ET17" s="105">
        <v>1142025</v>
      </c>
      <c r="EU17" s="330">
        <v>426979</v>
      </c>
      <c r="EV17" s="330">
        <v>140470</v>
      </c>
      <c r="EW17" s="330">
        <v>112021</v>
      </c>
      <c r="EX17" s="330">
        <v>209793.8</v>
      </c>
      <c r="EY17" s="330">
        <v>1650987.9</v>
      </c>
      <c r="EZ17" s="330">
        <v>784297.7</v>
      </c>
      <c r="FA17" s="104">
        <v>748628</v>
      </c>
      <c r="FB17" s="104">
        <v>30860.6</v>
      </c>
      <c r="FC17" s="104">
        <v>7004</v>
      </c>
      <c r="FD17" s="77">
        <f t="shared" si="17"/>
        <v>4472</v>
      </c>
      <c r="FE17" s="105">
        <f t="shared" si="18"/>
        <v>0</v>
      </c>
      <c r="FF17" s="105">
        <f t="shared" si="18"/>
        <v>310</v>
      </c>
      <c r="FG17" s="105">
        <f t="shared" si="18"/>
        <v>1147</v>
      </c>
      <c r="FH17" s="105">
        <f t="shared" si="18"/>
        <v>1648</v>
      </c>
      <c r="FI17" s="105">
        <f t="shared" si="18"/>
        <v>608</v>
      </c>
      <c r="FJ17" s="105">
        <f t="shared" si="18"/>
        <v>0</v>
      </c>
      <c r="FK17" s="105">
        <v>469</v>
      </c>
      <c r="FL17" s="105">
        <v>0</v>
      </c>
      <c r="FM17" s="105">
        <v>290</v>
      </c>
      <c r="FN17" s="80">
        <v>1200</v>
      </c>
      <c r="FO17" s="381"/>
      <c r="FP17" s="358"/>
      <c r="FY17" s="119">
        <v>12</v>
      </c>
      <c r="FZ17" s="107"/>
      <c r="GA17" s="107"/>
      <c r="GB17" s="107"/>
      <c r="GC17" s="109"/>
      <c r="GD17" s="110"/>
      <c r="GE17" s="110"/>
      <c r="GF17" s="111"/>
      <c r="GG17" s="111"/>
      <c r="GH17" s="111"/>
      <c r="GI17" s="112"/>
      <c r="GJ17" s="111" t="e">
        <f t="shared" si="61"/>
        <v>#DIV/0!</v>
      </c>
      <c r="GK17" s="113"/>
    </row>
    <row r="18" spans="1:193" s="119" customFormat="1" ht="15" customHeight="1">
      <c r="B18" s="351">
        <v>42929</v>
      </c>
      <c r="D18" s="154">
        <v>4790.16</v>
      </c>
      <c r="E18" s="128"/>
      <c r="F18" s="128">
        <v>2187.6480000000001</v>
      </c>
      <c r="G18" s="86">
        <v>3910.9139999999998</v>
      </c>
      <c r="H18" s="86">
        <v>3208.3020000000001</v>
      </c>
      <c r="I18" s="86">
        <v>1047.4739999999999</v>
      </c>
      <c r="J18" s="86">
        <v>2027.76</v>
      </c>
      <c r="K18" s="86"/>
      <c r="L18" s="86"/>
      <c r="M18" s="284">
        <f t="shared" si="62"/>
        <v>3075.2339999999999</v>
      </c>
      <c r="N18" s="88">
        <f t="shared" si="19"/>
        <v>14097.023999999999</v>
      </c>
      <c r="O18" s="88">
        <f t="shared" si="20"/>
        <v>15634.641</v>
      </c>
      <c r="P18" s="89">
        <f t="shared" si="21"/>
        <v>212672.52650000001</v>
      </c>
      <c r="R18" s="170">
        <f t="shared" si="22"/>
        <v>316.5</v>
      </c>
      <c r="S18" s="170">
        <f t="shared" si="23"/>
        <v>55.640000000002331</v>
      </c>
      <c r="T18" s="170">
        <f t="shared" si="1"/>
        <v>106.8</v>
      </c>
      <c r="U18" s="91">
        <f t="shared" si="74"/>
        <v>5.5299999999995633</v>
      </c>
      <c r="V18" s="170">
        <f t="shared" si="24"/>
        <v>1548.3000000002794</v>
      </c>
      <c r="W18" s="91">
        <f t="shared" si="2"/>
        <v>137.6</v>
      </c>
      <c r="X18" s="170">
        <f t="shared" si="25"/>
        <v>1548.3000000002794</v>
      </c>
      <c r="Y18" s="170" t="str">
        <f t="shared" si="26"/>
        <v>0</v>
      </c>
      <c r="Z18" s="170">
        <f t="shared" si="3"/>
        <v>186.1</v>
      </c>
      <c r="AA18" s="170">
        <f t="shared" si="27"/>
        <v>2032.7700000002812</v>
      </c>
      <c r="AB18" s="170">
        <f t="shared" si="28"/>
        <v>197</v>
      </c>
      <c r="AC18" s="170">
        <f t="shared" si="28"/>
        <v>32</v>
      </c>
      <c r="AD18" s="170">
        <f t="shared" si="29"/>
        <v>400</v>
      </c>
      <c r="AE18" s="170">
        <f t="shared" si="30"/>
        <v>171</v>
      </c>
      <c r="AF18" s="170">
        <f t="shared" si="31"/>
        <v>21</v>
      </c>
      <c r="AG18" s="170">
        <f t="shared" si="31"/>
        <v>91.69999999999709</v>
      </c>
      <c r="AH18" s="170">
        <f t="shared" si="32"/>
        <v>136</v>
      </c>
      <c r="AI18" s="170">
        <f t="shared" si="33"/>
        <v>23.30000000000291</v>
      </c>
      <c r="AJ18" s="170">
        <f t="shared" si="34"/>
        <v>120</v>
      </c>
      <c r="AK18" s="170">
        <f t="shared" si="34"/>
        <v>6.5999999999985448</v>
      </c>
      <c r="AL18" s="170">
        <f t="shared" si="35"/>
        <v>218</v>
      </c>
      <c r="AM18" s="170">
        <f t="shared" si="36"/>
        <v>91.400000000001455</v>
      </c>
      <c r="AN18" s="170">
        <f t="shared" si="37"/>
        <v>15.69999999999709</v>
      </c>
      <c r="AO18" s="170">
        <f t="shared" si="4"/>
        <v>59.599999999991269</v>
      </c>
      <c r="AP18" s="170">
        <f t="shared" si="38"/>
        <v>22.19999999999709</v>
      </c>
      <c r="AQ18" s="170">
        <f>IF(AP18=0.1,0,(IF(AP18&gt;=(EH18-EH17),(AP18),(EH18-EH17))))</f>
        <v>22.19999999999709</v>
      </c>
      <c r="AR18" s="170">
        <f t="shared" si="39"/>
        <v>106.604</v>
      </c>
      <c r="AS18" s="170">
        <f t="shared" si="40"/>
        <v>35.604000000000042</v>
      </c>
      <c r="AT18" s="170">
        <f t="shared" si="41"/>
        <v>535.60400000000004</v>
      </c>
      <c r="AU18" s="170">
        <f t="shared" si="63"/>
        <v>322</v>
      </c>
      <c r="AV18" s="170">
        <f t="shared" si="64"/>
        <v>81</v>
      </c>
      <c r="AW18" s="170">
        <f t="shared" si="65"/>
        <v>178</v>
      </c>
      <c r="AX18" s="170">
        <f t="shared" si="66"/>
        <v>35</v>
      </c>
      <c r="AY18" s="170" t="str">
        <f t="shared" si="66"/>
        <v/>
      </c>
      <c r="AZ18" s="170">
        <f t="shared" si="42"/>
        <v>260</v>
      </c>
      <c r="BA18" s="170">
        <v>71</v>
      </c>
      <c r="BB18" s="170">
        <f t="shared" si="43"/>
        <v>76.200000000011642</v>
      </c>
      <c r="BC18" s="170">
        <f t="shared" si="43"/>
        <v>1123.1000000000931</v>
      </c>
      <c r="BD18" s="91">
        <f t="shared" si="44"/>
        <v>8</v>
      </c>
      <c r="BE18" s="90"/>
      <c r="BF18" s="90"/>
      <c r="BG18" s="90">
        <f t="shared" si="6"/>
        <v>1459.3000000001048</v>
      </c>
      <c r="BH18" s="90">
        <f t="shared" si="45"/>
        <v>-1211</v>
      </c>
      <c r="BI18" s="90">
        <f t="shared" si="7"/>
        <v>913.52599999962513</v>
      </c>
      <c r="BJ18" s="90">
        <f t="shared" si="46"/>
        <v>4979.4740000003749</v>
      </c>
      <c r="BK18" s="92"/>
      <c r="BL18" s="93">
        <f>FD18+FN18</f>
        <v>4682</v>
      </c>
      <c r="BM18" s="93">
        <f t="shared" si="47"/>
        <v>70514.200000000012</v>
      </c>
      <c r="BN18" s="92"/>
      <c r="BO18" s="94">
        <f t="shared" si="48"/>
        <v>0.22451547220179238</v>
      </c>
      <c r="BP18" s="94">
        <f t="shared" si="48"/>
        <v>3.9469323454370465E-2</v>
      </c>
      <c r="BQ18" s="94">
        <f t="shared" si="49"/>
        <v>7.5760671188472128E-2</v>
      </c>
      <c r="BR18" s="94">
        <f t="shared" si="68"/>
        <v>1.098316921358919</v>
      </c>
      <c r="BS18" s="94">
        <f t="shared" si="8"/>
        <v>0</v>
      </c>
      <c r="BT18" s="94">
        <f t="shared" si="8"/>
        <v>0.13201367891549309</v>
      </c>
      <c r="BU18" s="95">
        <f t="shared" si="8"/>
        <v>1.4419852019832562</v>
      </c>
      <c r="BV18" s="94">
        <f t="shared" si="9"/>
        <v>0.20243509268936843</v>
      </c>
      <c r="BW18" s="94">
        <f t="shared" si="9"/>
        <v>3.558764157104876E-2</v>
      </c>
      <c r="BX18" s="94">
        <f t="shared" si="9"/>
        <v>6.8309851182384043E-2</v>
      </c>
      <c r="BY18" s="94">
        <f t="shared" si="50"/>
        <v>0.99030096054030237</v>
      </c>
      <c r="BZ18" s="95">
        <f t="shared" si="10"/>
        <v>1.3001705635583711</v>
      </c>
      <c r="CA18" s="96" t="e">
        <f>#REF!</f>
        <v>#REF!</v>
      </c>
      <c r="CB18" s="94">
        <f t="shared" si="51"/>
        <v>6.8184488534146714E-2</v>
      </c>
      <c r="CC18" s="95">
        <f t="shared" si="51"/>
        <v>2.2772508815520637E-2</v>
      </c>
      <c r="CD18" s="97">
        <f t="shared" si="11"/>
        <v>0.34665329532646944</v>
      </c>
      <c r="CE18" s="98">
        <f t="shared" si="11"/>
        <v>0.11577655554016392</v>
      </c>
      <c r="CF18" s="97">
        <f t="shared" si="52"/>
        <v>0.41125974915242919</v>
      </c>
      <c r="CG18" s="94">
        <f t="shared" si="52"/>
        <v>6.6803614075521489E-2</v>
      </c>
      <c r="CH18" s="95">
        <f t="shared" si="53"/>
        <v>0.83504517594401861</v>
      </c>
      <c r="CI18" s="96" t="e">
        <f>#REF!</f>
        <v>#REF!</v>
      </c>
      <c r="CJ18" s="94" t="str">
        <f t="shared" si="54"/>
        <v>0,00</v>
      </c>
      <c r="CK18" s="94" t="str">
        <f t="shared" si="54"/>
        <v>0,00</v>
      </c>
      <c r="CL18" s="95" t="str">
        <f t="shared" si="69"/>
        <v xml:space="preserve">0,00 </v>
      </c>
      <c r="CM18" s="95" t="e">
        <f>#REF!</f>
        <v>#REF!</v>
      </c>
      <c r="CN18" s="94">
        <f t="shared" si="55"/>
        <v>0.54853431630682814</v>
      </c>
      <c r="CO18" s="94">
        <f t="shared" si="55"/>
        <v>3.0169387396868898E-2</v>
      </c>
      <c r="CP18" s="95">
        <f t="shared" si="56"/>
        <v>0.99650400795740446</v>
      </c>
      <c r="CQ18" s="95" t="e">
        <f>#REF!</f>
        <v>#REF!</v>
      </c>
      <c r="CR18" s="97">
        <f t="shared" si="70"/>
        <v>4.0144068624360166E-2</v>
      </c>
      <c r="CS18" s="95">
        <f t="shared" si="70"/>
        <v>0.1523940439498063</v>
      </c>
      <c r="CT18" s="96" t="e">
        <f>#REF!</f>
        <v>#REF!</v>
      </c>
      <c r="CU18" s="97">
        <f t="shared" si="71"/>
        <v>6.9195480974038881E-2</v>
      </c>
      <c r="CV18" s="95">
        <f t="shared" si="57"/>
        <v>6.9195480974038881E-2</v>
      </c>
      <c r="CW18" s="96" t="e">
        <f>#REF!</f>
        <v>#REF!</v>
      </c>
      <c r="CX18" s="97">
        <f t="shared" si="58"/>
        <v>0.20595292210419158</v>
      </c>
      <c r="CY18" s="98">
        <f t="shared" si="58"/>
        <v>5.1808033200122727E-2</v>
      </c>
      <c r="CZ18" s="97">
        <f t="shared" si="58"/>
        <v>0.11384975197064008</v>
      </c>
      <c r="DA18" s="98">
        <f t="shared" si="58"/>
        <v>2.2386187185238215E-2</v>
      </c>
      <c r="DB18" s="94">
        <f t="shared" si="12"/>
        <v>0.16629739051891246</v>
      </c>
      <c r="DC18" s="94">
        <f t="shared" si="13"/>
        <v>4.8737927529011793E-2</v>
      </c>
      <c r="DD18" s="94">
        <f t="shared" si="13"/>
        <v>0.71834076650694645</v>
      </c>
      <c r="DE18" s="94">
        <f t="shared" si="13"/>
        <v>5.1168427851973073E-3</v>
      </c>
      <c r="DF18" s="94">
        <f t="shared" si="13"/>
        <v>0</v>
      </c>
      <c r="DG18" s="94">
        <f t="shared" si="13"/>
        <v>0</v>
      </c>
      <c r="DH18" s="95">
        <f t="shared" si="13"/>
        <v>0.93337608455487064</v>
      </c>
      <c r="DI18" s="96" t="e">
        <f>#REF!</f>
        <v>#REF!</v>
      </c>
      <c r="DJ18" s="95">
        <f t="shared" si="59"/>
        <v>-0.77456207660924226</v>
      </c>
      <c r="DK18" s="96" t="e">
        <f>#REF!</f>
        <v>#REF!</v>
      </c>
      <c r="DL18" s="95">
        <f t="shared" si="60"/>
        <v>0.58429611527352954</v>
      </c>
      <c r="DM18" s="96">
        <f t="shared" si="14"/>
        <v>0</v>
      </c>
      <c r="DN18" s="94">
        <f t="shared" si="15"/>
        <v>3.1848982013724365</v>
      </c>
      <c r="DO18" s="100">
        <v>3.4</v>
      </c>
      <c r="DP18" s="94">
        <f>IF($O18&lt;&gt;0,IF($O18&lt;&gt;0,BL18/$O18*10,0)," ")</f>
        <v>2.9946322400367236</v>
      </c>
      <c r="DQ18" s="94">
        <f t="shared" si="73"/>
        <v>3.315623374606405</v>
      </c>
      <c r="DR18" s="101" t="str">
        <f t="shared" si="16"/>
        <v>3,315, hL/NhL</v>
      </c>
      <c r="DS18" s="147"/>
      <c r="DT18" s="134">
        <v>13</v>
      </c>
      <c r="DU18" s="361">
        <v>626850</v>
      </c>
      <c r="DV18" s="361">
        <v>27522</v>
      </c>
      <c r="DW18" s="361">
        <v>5134886</v>
      </c>
      <c r="DX18" s="360">
        <v>118574</v>
      </c>
      <c r="DY18" s="361">
        <v>85181.7</v>
      </c>
      <c r="DZ18" s="361">
        <v>395473</v>
      </c>
      <c r="EA18" s="303">
        <v>233116</v>
      </c>
      <c r="EB18" s="303">
        <v>54508.9</v>
      </c>
      <c r="EC18" s="303">
        <v>408711</v>
      </c>
      <c r="ED18" s="303">
        <v>47297.7</v>
      </c>
      <c r="EE18" s="303">
        <v>42277.599999999999</v>
      </c>
      <c r="EF18" s="303">
        <v>38846.6</v>
      </c>
      <c r="EG18" s="361">
        <v>92659.3</v>
      </c>
      <c r="EH18" s="361">
        <v>182684.9</v>
      </c>
      <c r="EI18" s="361">
        <v>32053</v>
      </c>
      <c r="EJ18" s="303">
        <v>40879</v>
      </c>
      <c r="EK18" s="303"/>
      <c r="EL18" s="361">
        <v>702791.3</v>
      </c>
      <c r="EM18" s="303">
        <v>1068</v>
      </c>
      <c r="EN18" s="303">
        <v>44510.6</v>
      </c>
      <c r="EO18" s="361">
        <v>3026310.1</v>
      </c>
      <c r="EP18" s="303">
        <v>2784339</v>
      </c>
      <c r="EQ18" s="303">
        <v>0</v>
      </c>
      <c r="ER18" s="303">
        <v>1861</v>
      </c>
      <c r="ES18" s="303">
        <v>364493</v>
      </c>
      <c r="ET18" s="303">
        <v>1248629</v>
      </c>
      <c r="EU18" s="303">
        <v>427157</v>
      </c>
      <c r="EV18" s="303">
        <v>140792</v>
      </c>
      <c r="EW18" s="303">
        <v>112281</v>
      </c>
      <c r="EX18" s="303">
        <v>209870</v>
      </c>
      <c r="EY18" s="303">
        <v>1652111</v>
      </c>
      <c r="EZ18" s="303">
        <v>784854.1</v>
      </c>
      <c r="FA18" s="383">
        <v>748636</v>
      </c>
      <c r="FB18" s="303">
        <v>30936.7</v>
      </c>
      <c r="FC18" s="303">
        <v>5893</v>
      </c>
      <c r="FD18" s="77">
        <f t="shared" si="17"/>
        <v>3482</v>
      </c>
      <c r="FE18" s="105">
        <f t="shared" si="18"/>
        <v>0</v>
      </c>
      <c r="FF18" s="105">
        <f t="shared" si="18"/>
        <v>934</v>
      </c>
      <c r="FG18" s="105">
        <f t="shared" si="18"/>
        <v>836</v>
      </c>
      <c r="FH18" s="105">
        <f t="shared" si="18"/>
        <v>1180</v>
      </c>
      <c r="FI18" s="105">
        <f t="shared" si="18"/>
        <v>426</v>
      </c>
      <c r="FJ18" s="105">
        <f t="shared" si="18"/>
        <v>0</v>
      </c>
      <c r="FK18" s="105">
        <v>0</v>
      </c>
      <c r="FL18" s="105">
        <f t="shared" si="18"/>
        <v>0</v>
      </c>
      <c r="FM18" s="105">
        <v>106</v>
      </c>
      <c r="FN18" s="80">
        <v>1200</v>
      </c>
      <c r="FO18" s="381"/>
      <c r="FP18" s="358"/>
      <c r="FY18" s="119">
        <v>13</v>
      </c>
      <c r="FZ18" s="107"/>
      <c r="GA18" s="107"/>
      <c r="GB18" s="107"/>
      <c r="GC18" s="109"/>
      <c r="GD18" s="110"/>
      <c r="GE18" s="110"/>
      <c r="GF18" s="111"/>
      <c r="GG18" s="111"/>
      <c r="GH18" s="111"/>
      <c r="GI18" s="112"/>
      <c r="GJ18" s="111" t="e">
        <f t="shared" si="61"/>
        <v>#DIV/0!</v>
      </c>
      <c r="GK18" s="113"/>
    </row>
    <row r="19" spans="1:193" s="119" customFormat="1" ht="15" customHeight="1">
      <c r="A19" s="119">
        <v>0</v>
      </c>
      <c r="B19" s="351">
        <v>42930</v>
      </c>
      <c r="D19" s="157">
        <v>5055.6000000000004</v>
      </c>
      <c r="E19" s="128">
        <v>1248</v>
      </c>
      <c r="F19" s="128">
        <v>960.98400000000004</v>
      </c>
      <c r="G19" s="86">
        <v>5436.74</v>
      </c>
      <c r="H19" s="86">
        <v>7092.2190000000001</v>
      </c>
      <c r="I19" s="86">
        <v>1938.527</v>
      </c>
      <c r="J19" s="86">
        <v>0</v>
      </c>
      <c r="K19" s="86">
        <v>0</v>
      </c>
      <c r="L19" s="86"/>
      <c r="M19" s="284">
        <f t="shared" si="62"/>
        <v>1938.527</v>
      </c>
      <c r="N19" s="88">
        <f t="shared" si="19"/>
        <v>19793.543000000001</v>
      </c>
      <c r="O19" s="88">
        <f t="shared" si="20"/>
        <v>20762.806500000002</v>
      </c>
      <c r="P19" s="89">
        <f t="shared" si="21"/>
        <v>233435.33300000001</v>
      </c>
      <c r="R19" s="170">
        <f t="shared" si="22"/>
        <v>219.5</v>
      </c>
      <c r="S19" s="170">
        <f t="shared" si="23"/>
        <v>7.0000000006984919E-2</v>
      </c>
      <c r="T19" s="170">
        <f t="shared" si="1"/>
        <v>751.2</v>
      </c>
      <c r="U19" s="91">
        <f t="shared" si="74"/>
        <v>5.1900000000001452</v>
      </c>
      <c r="V19" s="170">
        <f t="shared" si="24"/>
        <v>1347.6000000000931</v>
      </c>
      <c r="W19" s="91">
        <f t="shared" si="2"/>
        <v>120</v>
      </c>
      <c r="X19" s="170">
        <f t="shared" si="25"/>
        <v>1347.6000000000931</v>
      </c>
      <c r="Y19" s="170" t="str">
        <f t="shared" si="26"/>
        <v>0</v>
      </c>
      <c r="Z19" s="170">
        <f t="shared" si="3"/>
        <v>159.30000000000001</v>
      </c>
      <c r="AA19" s="170">
        <f t="shared" si="27"/>
        <v>2323.5600000001004</v>
      </c>
      <c r="AB19" s="170">
        <f t="shared" si="28"/>
        <v>183</v>
      </c>
      <c r="AC19" s="170">
        <f t="shared" si="28"/>
        <v>55</v>
      </c>
      <c r="AD19" s="170">
        <f t="shared" si="29"/>
        <v>405</v>
      </c>
      <c r="AE19" s="170">
        <f t="shared" si="30"/>
        <v>167</v>
      </c>
      <c r="AF19" s="170">
        <f t="shared" si="31"/>
        <v>73</v>
      </c>
      <c r="AG19" s="170">
        <f t="shared" si="31"/>
        <v>31.5</v>
      </c>
      <c r="AH19" s="170">
        <f t="shared" si="32"/>
        <v>166</v>
      </c>
      <c r="AI19" s="170">
        <f t="shared" si="33"/>
        <v>61.5</v>
      </c>
      <c r="AJ19" s="170">
        <f t="shared" si="34"/>
        <v>81</v>
      </c>
      <c r="AK19" s="170">
        <f t="shared" si="34"/>
        <v>103.19999999999709</v>
      </c>
      <c r="AL19" s="170">
        <f t="shared" si="35"/>
        <v>284</v>
      </c>
      <c r="AM19" s="170">
        <f t="shared" si="36"/>
        <v>99.80000000000291</v>
      </c>
      <c r="AN19" s="170">
        <f t="shared" si="37"/>
        <v>19.100000000005821</v>
      </c>
      <c r="AO19" s="170">
        <f t="shared" si="4"/>
        <v>69.100000000005821</v>
      </c>
      <c r="AP19" s="170">
        <f t="shared" si="38"/>
        <v>18</v>
      </c>
      <c r="AQ19" s="170">
        <f>IF(AP19=0.1,0,(IF(AP19&gt;=(EH19-EH18),(AP19),(EH19-EH18))))</f>
        <v>33.800000000017462</v>
      </c>
      <c r="AR19" s="170">
        <f t="shared" si="39"/>
        <v>60.042999999999999</v>
      </c>
      <c r="AS19" s="170">
        <f t="shared" si="40"/>
        <v>4.3000000000006366E-2</v>
      </c>
      <c r="AT19" s="170">
        <f t="shared" si="41"/>
        <v>246.04300000000001</v>
      </c>
      <c r="AU19" s="170">
        <f t="shared" si="63"/>
        <v>246</v>
      </c>
      <c r="AV19" s="170">
        <f t="shared" si="64"/>
        <v>12</v>
      </c>
      <c r="AW19" s="170">
        <f t="shared" si="65"/>
        <v>0</v>
      </c>
      <c r="AX19" s="170">
        <f t="shared" si="66"/>
        <v>4</v>
      </c>
      <c r="AY19" s="170" t="str">
        <f t="shared" si="66"/>
        <v/>
      </c>
      <c r="AZ19" s="170">
        <f t="shared" si="42"/>
        <v>258</v>
      </c>
      <c r="BA19" s="170">
        <v>43.6</v>
      </c>
      <c r="BB19" s="170">
        <f t="shared" si="43"/>
        <v>107</v>
      </c>
      <c r="BC19" s="170">
        <f t="shared" si="43"/>
        <v>796.69999999995343</v>
      </c>
      <c r="BD19" s="91">
        <f t="shared" si="44"/>
        <v>4</v>
      </c>
      <c r="BE19" s="90"/>
      <c r="BF19" s="90"/>
      <c r="BG19" s="90">
        <f t="shared" si="6"/>
        <v>1161.6999999999534</v>
      </c>
      <c r="BH19" s="90">
        <f t="shared" si="45"/>
        <v>310.89999999999964</v>
      </c>
      <c r="BI19" s="90">
        <f t="shared" si="7"/>
        <v>205.79699999992317</v>
      </c>
      <c r="BJ19" s="90">
        <f t="shared" si="46"/>
        <v>4705.2030000000768</v>
      </c>
      <c r="BK19" s="92"/>
      <c r="BL19" s="331">
        <f>FD19+FN19-183.1</f>
        <v>5221.8999999999996</v>
      </c>
      <c r="BM19" s="93">
        <f t="shared" si="47"/>
        <v>75736.100000000006</v>
      </c>
      <c r="BN19" s="92"/>
      <c r="BO19" s="94">
        <f t="shared" si="48"/>
        <v>0.11089474986868192</v>
      </c>
      <c r="BP19" s="94">
        <f t="shared" si="48"/>
        <v>3.5365068298780522E-5</v>
      </c>
      <c r="BQ19" s="94">
        <f t="shared" si="49"/>
        <v>0.37951770433418619</v>
      </c>
      <c r="BR19" s="94">
        <f t="shared" si="68"/>
        <v>0.68082808620977708</v>
      </c>
      <c r="BS19" s="94">
        <f t="shared" si="8"/>
        <v>0</v>
      </c>
      <c r="BT19" s="94">
        <f t="shared" si="8"/>
        <v>8.04807911347655E-2</v>
      </c>
      <c r="BU19" s="95">
        <f t="shared" si="8"/>
        <v>1.1738979726874064</v>
      </c>
      <c r="BV19" s="94">
        <f t="shared" si="9"/>
        <v>0.10571788548913172</v>
      </c>
      <c r="BW19" s="94">
        <f t="shared" si="9"/>
        <v>3.3714132050012075E-5</v>
      </c>
      <c r="BX19" s="94">
        <f t="shared" si="9"/>
        <v>0.36180079990631325</v>
      </c>
      <c r="BY19" s="94">
        <f t="shared" si="50"/>
        <v>0.64904520494379836</v>
      </c>
      <c r="BZ19" s="95">
        <f t="shared" si="10"/>
        <v>1.1190972665473236</v>
      </c>
      <c r="CA19" s="96" t="e">
        <f>#REF!</f>
        <v>#REF!</v>
      </c>
      <c r="CB19" s="94">
        <f t="shared" si="51"/>
        <v>2.8918537578241164E-2</v>
      </c>
      <c r="CC19" s="95">
        <f t="shared" si="51"/>
        <v>2.0710109685801081E-5</v>
      </c>
      <c r="CD19" s="97">
        <f t="shared" si="11"/>
        <v>0.30973517521293226</v>
      </c>
      <c r="CE19" s="98">
        <f t="shared" si="11"/>
        <v>2.2181790606995086E-4</v>
      </c>
      <c r="CF19" s="97">
        <f t="shared" si="52"/>
        <v>0.36197483978162825</v>
      </c>
      <c r="CG19" s="94">
        <f t="shared" si="52"/>
        <v>0.10879025239338555</v>
      </c>
      <c r="CH19" s="95">
        <f t="shared" si="53"/>
        <v>0.80109185853311171</v>
      </c>
      <c r="CI19" s="96" t="e">
        <f>#REF!</f>
        <v>#REF!</v>
      </c>
      <c r="CJ19" s="94">
        <f t="shared" si="54"/>
        <v>0.58493589743589747</v>
      </c>
      <c r="CK19" s="94">
        <f t="shared" si="54"/>
        <v>0.25240384615384615</v>
      </c>
      <c r="CL19" s="95">
        <f t="shared" si="69"/>
        <v>1.3301282051282051</v>
      </c>
      <c r="CM19" s="95" t="e">
        <f>#REF!</f>
        <v>#REF!</v>
      </c>
      <c r="CN19" s="94">
        <f t="shared" si="55"/>
        <v>0.84288604180714766</v>
      </c>
      <c r="CO19" s="94">
        <f t="shared" si="55"/>
        <v>1.0738992532653726</v>
      </c>
      <c r="CP19" s="95">
        <f t="shared" si="56"/>
        <v>2.9553041465830852</v>
      </c>
      <c r="CQ19" s="95" t="e">
        <f>#REF!</f>
        <v>#REF!</v>
      </c>
      <c r="CR19" s="97">
        <f t="shared" si="70"/>
        <v>3.5131347094041324E-2</v>
      </c>
      <c r="CS19" s="95">
        <f t="shared" si="70"/>
        <v>0.12709822430354556</v>
      </c>
      <c r="CT19" s="96" t="e">
        <f>#REF!</f>
        <v>#REF!</v>
      </c>
      <c r="CU19" s="97">
        <f t="shared" si="71"/>
        <v>2.5379926931190365E-2</v>
      </c>
      <c r="CV19" s="95">
        <f t="shared" si="57"/>
        <v>4.7657862793037645E-2</v>
      </c>
      <c r="CW19" s="96" t="e">
        <f>#REF!</f>
        <v>#REF!</v>
      </c>
      <c r="CX19" s="97">
        <f t="shared" si="58"/>
        <v>0.11848109262107701</v>
      </c>
      <c r="CY19" s="98">
        <f t="shared" si="58"/>
        <v>5.7795654937110733E-3</v>
      </c>
      <c r="CZ19" s="97">
        <f t="shared" si="58"/>
        <v>0</v>
      </c>
      <c r="DA19" s="98">
        <f t="shared" si="58"/>
        <v>1.9265218312370246E-3</v>
      </c>
      <c r="DB19" s="94">
        <f t="shared" si="12"/>
        <v>0.12426065811478808</v>
      </c>
      <c r="DC19" s="94">
        <f t="shared" si="13"/>
        <v>5.1534458985590406E-2</v>
      </c>
      <c r="DD19" s="94">
        <f t="shared" si="13"/>
        <v>0.38371498573661189</v>
      </c>
      <c r="DE19" s="94">
        <f t="shared" si="13"/>
        <v>1.9265218312370246E-3</v>
      </c>
      <c r="DF19" s="94">
        <f t="shared" si="13"/>
        <v>0</v>
      </c>
      <c r="DG19" s="94">
        <f t="shared" si="13"/>
        <v>0</v>
      </c>
      <c r="DH19" s="95">
        <f t="shared" si="13"/>
        <v>0.55951010283699043</v>
      </c>
      <c r="DI19" s="96" t="e">
        <f>#REF!</f>
        <v>#REF!</v>
      </c>
      <c r="DJ19" s="95">
        <f t="shared" si="59"/>
        <v>0.14973890933289755</v>
      </c>
      <c r="DK19" s="96" t="e">
        <f>#REF!</f>
        <v>#REF!</v>
      </c>
      <c r="DL19" s="95">
        <f t="shared" si="60"/>
        <v>9.911810332573448E-2</v>
      </c>
      <c r="DM19" s="96">
        <f t="shared" si="14"/>
        <v>0</v>
      </c>
      <c r="DN19" s="94">
        <f t="shared" si="15"/>
        <v>2.2661690749755223</v>
      </c>
      <c r="DO19" s="100">
        <v>3.4</v>
      </c>
      <c r="DP19" s="94">
        <f>IF($O19&lt;&gt;0,IF($O19&lt;&gt;0,BL19/$O19*10,0)," ")</f>
        <v>2.5150260876341548</v>
      </c>
      <c r="DQ19" s="94">
        <f t="shared" si="73"/>
        <v>3.244414589114494</v>
      </c>
      <c r="DR19" s="101" t="str">
        <f t="shared" si="16"/>
        <v>3,315, hL/NhL</v>
      </c>
      <c r="DS19" s="147"/>
      <c r="DT19" s="103">
        <v>14</v>
      </c>
      <c r="DU19" s="361">
        <v>627033</v>
      </c>
      <c r="DV19" s="361">
        <v>27577</v>
      </c>
      <c r="DW19" s="361">
        <v>5135291</v>
      </c>
      <c r="DX19" s="360">
        <v>118647</v>
      </c>
      <c r="DY19" s="361">
        <v>85213.2</v>
      </c>
      <c r="DZ19" s="361">
        <v>395639</v>
      </c>
      <c r="EA19" s="361">
        <v>233197</v>
      </c>
      <c r="EB19" s="303">
        <v>54612.1</v>
      </c>
      <c r="EC19" s="361">
        <v>408995</v>
      </c>
      <c r="ED19" s="361">
        <v>47316.800000000003</v>
      </c>
      <c r="EE19" s="405">
        <v>42309.5</v>
      </c>
      <c r="EF19" s="405">
        <v>38883.800000000003</v>
      </c>
      <c r="EG19" s="361">
        <v>92677.3</v>
      </c>
      <c r="EH19" s="361">
        <v>182718.7</v>
      </c>
      <c r="EI19" s="361">
        <v>32065</v>
      </c>
      <c r="EJ19" s="303">
        <v>40883</v>
      </c>
      <c r="EK19" s="303"/>
      <c r="EL19" s="361">
        <v>703010.8</v>
      </c>
      <c r="EM19" s="303">
        <v>7512</v>
      </c>
      <c r="EN19" s="303">
        <v>44562.5</v>
      </c>
      <c r="EO19" s="361">
        <v>3027657.7</v>
      </c>
      <c r="EP19" s="303">
        <v>2785539</v>
      </c>
      <c r="EQ19" s="303">
        <v>0</v>
      </c>
      <c r="ER19" s="303">
        <v>1593</v>
      </c>
      <c r="ES19" s="303">
        <v>364679</v>
      </c>
      <c r="ET19" s="303">
        <v>1308672</v>
      </c>
      <c r="EU19" s="303">
        <v>427157</v>
      </c>
      <c r="EV19" s="303">
        <v>141038</v>
      </c>
      <c r="EW19" s="303">
        <v>112539</v>
      </c>
      <c r="EX19" s="303">
        <v>209977</v>
      </c>
      <c r="EY19" s="303">
        <v>1652907.7</v>
      </c>
      <c r="EZ19" s="303">
        <v>784854.8</v>
      </c>
      <c r="FA19" s="383">
        <v>748640</v>
      </c>
      <c r="FB19" s="303">
        <v>30984.7</v>
      </c>
      <c r="FC19" s="303">
        <v>4911</v>
      </c>
      <c r="FD19" s="77">
        <f t="shared" si="17"/>
        <v>4205</v>
      </c>
      <c r="FE19" s="105">
        <f t="shared" si="18"/>
        <v>0</v>
      </c>
      <c r="FF19" s="105">
        <f t="shared" si="18"/>
        <v>587</v>
      </c>
      <c r="FG19" s="105">
        <f t="shared" si="18"/>
        <v>533</v>
      </c>
      <c r="FH19" s="105">
        <f t="shared" si="18"/>
        <v>1151</v>
      </c>
      <c r="FI19" s="105">
        <f t="shared" si="18"/>
        <v>456</v>
      </c>
      <c r="FJ19" s="105">
        <f t="shared" si="18"/>
        <v>0</v>
      </c>
      <c r="FK19" s="105">
        <f t="shared" si="18"/>
        <v>0</v>
      </c>
      <c r="FL19" s="105">
        <f t="shared" si="18"/>
        <v>1330</v>
      </c>
      <c r="FM19" s="105">
        <v>148</v>
      </c>
      <c r="FN19" s="80">
        <v>1200</v>
      </c>
      <c r="FO19" s="381"/>
      <c r="FP19" s="358"/>
      <c r="FY19" s="119">
        <v>14</v>
      </c>
      <c r="FZ19" s="107"/>
      <c r="GA19" s="107"/>
      <c r="GB19" s="107"/>
      <c r="GC19" s="109"/>
      <c r="GD19" s="110"/>
      <c r="GE19" s="110"/>
      <c r="GF19" s="111"/>
      <c r="GG19" s="111"/>
      <c r="GH19" s="111"/>
      <c r="GI19" s="112"/>
      <c r="GJ19" s="111" t="e">
        <f t="shared" si="61"/>
        <v>#DIV/0!</v>
      </c>
      <c r="GK19" s="113"/>
    </row>
    <row r="20" spans="1:193" s="119" customFormat="1" ht="15" customHeight="1">
      <c r="B20" s="351">
        <v>42931</v>
      </c>
      <c r="D20" s="159">
        <v>5561.4</v>
      </c>
      <c r="E20" s="128">
        <v>4179</v>
      </c>
      <c r="F20" s="86">
        <v>2418.768</v>
      </c>
      <c r="G20" s="86">
        <v>5200.3100000000004</v>
      </c>
      <c r="H20" s="86">
        <v>6737.1289999999999</v>
      </c>
      <c r="I20" s="86">
        <v>1153.413</v>
      </c>
      <c r="J20" s="86">
        <v>0</v>
      </c>
      <c r="K20" s="86">
        <v>0</v>
      </c>
      <c r="L20" s="86"/>
      <c r="M20" s="284">
        <f t="shared" si="62"/>
        <v>1153.413</v>
      </c>
      <c r="N20" s="88">
        <f t="shared" si="19"/>
        <v>24096.607</v>
      </c>
      <c r="O20" s="88">
        <f>N20+L20+((J20+I20)*0.5)</f>
        <v>24673.3135</v>
      </c>
      <c r="P20" s="89">
        <f t="shared" si="21"/>
        <v>258108.6465</v>
      </c>
      <c r="R20" s="170">
        <f t="shared" si="22"/>
        <v>362.89999999990687</v>
      </c>
      <c r="S20" s="170">
        <f t="shared" si="23"/>
        <v>5.75</v>
      </c>
      <c r="T20" s="170">
        <f t="shared" si="1"/>
        <v>272.5</v>
      </c>
      <c r="U20" s="91">
        <f t="shared" si="74"/>
        <v>6.1900000000001452</v>
      </c>
      <c r="V20" s="170">
        <f t="shared" si="24"/>
        <v>1365</v>
      </c>
      <c r="W20" s="91">
        <f t="shared" si="2"/>
        <v>121.5</v>
      </c>
      <c r="X20" s="170">
        <f t="shared" si="25"/>
        <v>1365</v>
      </c>
      <c r="Y20" s="170" t="str">
        <f t="shared" si="26"/>
        <v>0</v>
      </c>
      <c r="Z20" s="170">
        <f t="shared" si="3"/>
        <v>166</v>
      </c>
      <c r="AA20" s="170">
        <f t="shared" si="27"/>
        <v>2012.3399999999069</v>
      </c>
      <c r="AB20" s="170">
        <f t="shared" si="28"/>
        <v>143</v>
      </c>
      <c r="AC20" s="170">
        <f t="shared" si="28"/>
        <v>9</v>
      </c>
      <c r="AD20" s="170">
        <f t="shared" si="29"/>
        <v>362</v>
      </c>
      <c r="AE20" s="170">
        <f t="shared" si="30"/>
        <v>210</v>
      </c>
      <c r="AF20" s="170">
        <f t="shared" si="31"/>
        <v>118</v>
      </c>
      <c r="AG20" s="170">
        <f t="shared" si="31"/>
        <v>13.19999999999709</v>
      </c>
      <c r="AH20" s="170">
        <f t="shared" si="32"/>
        <v>190</v>
      </c>
      <c r="AI20" s="170">
        <f t="shared" si="33"/>
        <v>58.80000000000291</v>
      </c>
      <c r="AJ20" s="170">
        <f t="shared" si="34"/>
        <v>122</v>
      </c>
      <c r="AK20" s="170">
        <f t="shared" si="34"/>
        <v>30.200000000004366</v>
      </c>
      <c r="AL20" s="170">
        <f t="shared" si="35"/>
        <v>232</v>
      </c>
      <c r="AM20" s="170">
        <f t="shared" si="36"/>
        <v>79.799999999995634</v>
      </c>
      <c r="AN20" s="170">
        <f t="shared" si="37"/>
        <v>23.099999999998545</v>
      </c>
      <c r="AO20" s="170">
        <f t="shared" si="4"/>
        <v>76.899999999994179</v>
      </c>
      <c r="AP20" s="170">
        <f t="shared" si="38"/>
        <v>11.69999999999709</v>
      </c>
      <c r="AQ20" s="170">
        <f t="shared" si="5"/>
        <v>23.799999999988358</v>
      </c>
      <c r="AR20" s="170">
        <f t="shared" si="39"/>
        <v>40.058999999999997</v>
      </c>
      <c r="AS20" s="170">
        <f t="shared" si="40"/>
        <v>228.05899999999997</v>
      </c>
      <c r="AT20" s="170">
        <f t="shared" si="41"/>
        <v>435.05899999999997</v>
      </c>
      <c r="AU20" s="170">
        <f t="shared" si="63"/>
        <v>207</v>
      </c>
      <c r="AV20" s="170">
        <f t="shared" si="64"/>
        <v>41</v>
      </c>
      <c r="AW20" s="170">
        <f t="shared" si="65"/>
        <v>0</v>
      </c>
      <c r="AX20" s="170">
        <f t="shared" si="66"/>
        <v>1</v>
      </c>
      <c r="AY20" s="170" t="str">
        <f t="shared" si="66"/>
        <v/>
      </c>
      <c r="AZ20" s="170">
        <f t="shared" si="42"/>
        <v>321</v>
      </c>
      <c r="BA20" s="170">
        <v>24.6</v>
      </c>
      <c r="BB20" s="170">
        <f t="shared" si="43"/>
        <v>106.10000000000582</v>
      </c>
      <c r="BC20" s="170">
        <f t="shared" si="43"/>
        <v>1118.4000000001397</v>
      </c>
      <c r="BD20" s="91">
        <f t="shared" si="44"/>
        <v>0</v>
      </c>
      <c r="BE20" s="90"/>
      <c r="BF20" s="90"/>
      <c r="BG20" s="90">
        <f t="shared" si="6"/>
        <v>1545.5000000001455</v>
      </c>
      <c r="BH20" s="90">
        <f t="shared" si="45"/>
        <v>1027</v>
      </c>
      <c r="BI20" s="90">
        <f t="shared" si="7"/>
        <v>751.40099999996437</v>
      </c>
      <c r="BJ20" s="90">
        <f t="shared" si="46"/>
        <v>4919.5990000000356</v>
      </c>
      <c r="BK20" s="92"/>
      <c r="BL20" s="93">
        <f t="shared" si="67"/>
        <v>6698</v>
      </c>
      <c r="BM20" s="93">
        <f t="shared" si="47"/>
        <v>82434.100000000006</v>
      </c>
      <c r="BN20" s="92"/>
      <c r="BO20" s="94">
        <f t="shared" si="48"/>
        <v>0.15060211589121525</v>
      </c>
      <c r="BP20" s="94">
        <f t="shared" si="48"/>
        <v>2.3862280693709285E-3</v>
      </c>
      <c r="BQ20" s="94">
        <f t="shared" si="49"/>
        <v>0.11308646067888313</v>
      </c>
      <c r="BR20" s="94">
        <f t="shared" si="68"/>
        <v>0.56646979385935958</v>
      </c>
      <c r="BS20" s="94">
        <f t="shared" si="8"/>
        <v>0</v>
      </c>
      <c r="BT20" s="94">
        <f t="shared" si="8"/>
        <v>6.8889366872273761E-2</v>
      </c>
      <c r="BU20" s="95">
        <f t="shared" si="8"/>
        <v>0.83511342489002993</v>
      </c>
      <c r="BV20" s="94">
        <f t="shared" si="9"/>
        <v>0.14708198799480535</v>
      </c>
      <c r="BW20" s="94">
        <f t="shared" si="9"/>
        <v>2.3304531027014269E-3</v>
      </c>
      <c r="BX20" s="94">
        <f t="shared" si="9"/>
        <v>0.11044321225845892</v>
      </c>
      <c r="BY20" s="94">
        <f t="shared" si="50"/>
        <v>0.55322930177173002</v>
      </c>
      <c r="BZ20" s="95">
        <f t="shared" si="10"/>
        <v>0.81559373855477779</v>
      </c>
      <c r="CA20" s="96" t="e">
        <f>#REF!</f>
        <v>#REF!</v>
      </c>
      <c r="CB20" s="94">
        <f t="shared" si="51"/>
        <v>1.6235760146281121E-2</v>
      </c>
      <c r="CC20" s="95">
        <f t="shared" si="51"/>
        <v>9.2431444199823409E-2</v>
      </c>
      <c r="CD20" s="97">
        <f t="shared" si="11"/>
        <v>0.34730837956568894</v>
      </c>
      <c r="CE20" s="98">
        <f t="shared" si="11"/>
        <v>1.9772535943326455</v>
      </c>
      <c r="CF20" s="97">
        <f t="shared" si="52"/>
        <v>0.25712949976624594</v>
      </c>
      <c r="CG20" s="94">
        <f t="shared" si="52"/>
        <v>1.618297550976373E-2</v>
      </c>
      <c r="CH20" s="95">
        <f t="shared" si="53"/>
        <v>0.65091523717049671</v>
      </c>
      <c r="CI20" s="96" t="e">
        <f>#REF!</f>
        <v>#REF!</v>
      </c>
      <c r="CJ20" s="94">
        <f t="shared" si="54"/>
        <v>0.28236420196219192</v>
      </c>
      <c r="CK20" s="94">
        <f t="shared" si="54"/>
        <v>3.1586503948306033E-2</v>
      </c>
      <c r="CL20" s="95">
        <f t="shared" si="69"/>
        <v>0.45465422349844459</v>
      </c>
      <c r="CM20" s="95" t="e">
        <f>#REF!</f>
        <v>#REF!</v>
      </c>
      <c r="CN20" s="94">
        <f t="shared" si="55"/>
        <v>0.50438901126523916</v>
      </c>
      <c r="CO20" s="94">
        <f t="shared" si="55"/>
        <v>0.1248569519689543</v>
      </c>
      <c r="CP20" s="95">
        <f t="shared" si="56"/>
        <v>0.95916598863553681</v>
      </c>
      <c r="CQ20" s="95" t="e">
        <f>#REF!</f>
        <v>#REF!</v>
      </c>
      <c r="CR20" s="97">
        <f t="shared" si="70"/>
        <v>4.4420428782127493E-2</v>
      </c>
      <c r="CS20" s="95">
        <f t="shared" si="70"/>
        <v>0.14787579971192905</v>
      </c>
      <c r="CT20" s="96" t="e">
        <f>#REF!</f>
        <v>#REF!</v>
      </c>
      <c r="CU20" s="97">
        <f t="shared" si="71"/>
        <v>1.7366447933529386E-2</v>
      </c>
      <c r="CV20" s="95">
        <f t="shared" si="57"/>
        <v>3.5326620582726502E-2</v>
      </c>
      <c r="CW20" s="96" t="e">
        <f>#REF!</f>
        <v>#REF!</v>
      </c>
      <c r="CX20" s="97">
        <f t="shared" si="58"/>
        <v>8.3896311697251369E-2</v>
      </c>
      <c r="CY20" s="98">
        <f t="shared" si="58"/>
        <v>1.6617143862740609E-2</v>
      </c>
      <c r="CZ20" s="97">
        <f t="shared" si="58"/>
        <v>0</v>
      </c>
      <c r="DA20" s="98">
        <f t="shared" si="58"/>
        <v>4.052961917741612E-4</v>
      </c>
      <c r="DB20" s="94">
        <f t="shared" si="12"/>
        <v>0.13010007755950573</v>
      </c>
      <c r="DC20" s="94">
        <f t="shared" si="13"/>
        <v>4.3001925947240865E-2</v>
      </c>
      <c r="DD20" s="94">
        <f t="shared" si="13"/>
        <v>0.45328326088027848</v>
      </c>
      <c r="DE20" s="94">
        <f t="shared" si="13"/>
        <v>0</v>
      </c>
      <c r="DF20" s="94">
        <f t="shared" si="13"/>
        <v>0</v>
      </c>
      <c r="DG20" s="94">
        <f t="shared" si="13"/>
        <v>0</v>
      </c>
      <c r="DH20" s="95">
        <f t="shared" si="13"/>
        <v>0.62638526438702502</v>
      </c>
      <c r="DI20" s="96" t="e">
        <f>#REF!</f>
        <v>#REF!</v>
      </c>
      <c r="DJ20" s="95">
        <f t="shared" si="59"/>
        <v>0.41623918895206358</v>
      </c>
      <c r="DK20" s="96" t="e">
        <f>#REF!</f>
        <v>#REF!</v>
      </c>
      <c r="DL20" s="95">
        <f t="shared" si="60"/>
        <v>0.30453996379528203</v>
      </c>
      <c r="DM20" s="96">
        <f t="shared" si="14"/>
        <v>0</v>
      </c>
      <c r="DN20" s="94">
        <f t="shared" si="15"/>
        <v>1.9938947397559859</v>
      </c>
      <c r="DO20" s="100">
        <v>3.4</v>
      </c>
      <c r="DP20" s="94">
        <f>IF($O20&lt;&gt;0,IF($O20&lt;&gt;0,BL20/$O20*10,0)," ")</f>
        <v>2.7146738925033316</v>
      </c>
      <c r="DQ20" s="94">
        <f>IF($P20&lt;&gt;0,IF($P20&lt;&gt;0,BM20/$P20*10,0)," ")</f>
        <v>3.1937752228691805</v>
      </c>
      <c r="DR20" s="101" t="str">
        <f t="shared" si="16"/>
        <v>3,315, hL/NhL</v>
      </c>
      <c r="DS20" s="147"/>
      <c r="DT20" s="103">
        <v>15</v>
      </c>
      <c r="DU20" s="330">
        <v>627176</v>
      </c>
      <c r="DV20" s="330">
        <f>DV19+9</f>
        <v>27586</v>
      </c>
      <c r="DW20" s="330">
        <v>5135653</v>
      </c>
      <c r="DX20" s="330">
        <v>118765</v>
      </c>
      <c r="DY20" s="330">
        <v>85226.4</v>
      </c>
      <c r="DZ20" s="330">
        <v>395829</v>
      </c>
      <c r="EA20" s="330">
        <v>233319</v>
      </c>
      <c r="EB20" s="330">
        <v>54642.3</v>
      </c>
      <c r="EC20" s="330">
        <v>409227</v>
      </c>
      <c r="ED20" s="330">
        <v>47339.9</v>
      </c>
      <c r="EE20" s="330">
        <v>42347.5</v>
      </c>
      <c r="EF20" s="330">
        <v>38922.699999999997</v>
      </c>
      <c r="EG20" s="330">
        <v>92689</v>
      </c>
      <c r="EH20" s="330">
        <v>182742.5</v>
      </c>
      <c r="EI20" s="330">
        <v>32106</v>
      </c>
      <c r="EJ20" s="330">
        <v>40884</v>
      </c>
      <c r="EK20" s="330"/>
      <c r="EL20" s="330">
        <v>703373.7</v>
      </c>
      <c r="EM20" s="330">
        <v>2725</v>
      </c>
      <c r="EN20" s="105">
        <v>44624.4</v>
      </c>
      <c r="EO20" s="330">
        <v>3029022.7</v>
      </c>
      <c r="EP20" s="330">
        <v>2786754</v>
      </c>
      <c r="EQ20" s="330">
        <v>0</v>
      </c>
      <c r="ER20" s="330">
        <v>1660</v>
      </c>
      <c r="ES20" s="330">
        <v>365074</v>
      </c>
      <c r="ET20" s="330">
        <v>1348731</v>
      </c>
      <c r="EU20" s="330">
        <v>427157</v>
      </c>
      <c r="EV20" s="330">
        <v>141245</v>
      </c>
      <c r="EW20" s="330">
        <v>112860</v>
      </c>
      <c r="EX20" s="330">
        <v>210083.1</v>
      </c>
      <c r="EY20" s="330">
        <v>1654026.1</v>
      </c>
      <c r="EZ20" s="330">
        <v>784912.3</v>
      </c>
      <c r="FA20" s="387">
        <v>748640</v>
      </c>
      <c r="FB20" s="104">
        <v>31010.799999999999</v>
      </c>
      <c r="FC20" s="104">
        <v>5671</v>
      </c>
      <c r="FD20" s="77">
        <f t="shared" si="17"/>
        <v>6298</v>
      </c>
      <c r="FE20" s="105">
        <f t="shared" si="18"/>
        <v>0</v>
      </c>
      <c r="FF20" s="105">
        <f t="shared" si="18"/>
        <v>960</v>
      </c>
      <c r="FG20" s="105">
        <f t="shared" si="18"/>
        <v>1173</v>
      </c>
      <c r="FH20" s="105">
        <f t="shared" si="18"/>
        <v>1657</v>
      </c>
      <c r="FI20" s="105">
        <f t="shared" si="18"/>
        <v>480</v>
      </c>
      <c r="FJ20" s="105">
        <f t="shared" si="18"/>
        <v>0</v>
      </c>
      <c r="FK20" s="105">
        <f t="shared" si="18"/>
        <v>402</v>
      </c>
      <c r="FL20" s="105">
        <v>1330</v>
      </c>
      <c r="FM20" s="105">
        <v>296</v>
      </c>
      <c r="FN20" s="80">
        <v>400</v>
      </c>
      <c r="FO20" s="105"/>
      <c r="FP20" s="162"/>
      <c r="FY20" s="119">
        <v>15</v>
      </c>
      <c r="FZ20" s="107"/>
      <c r="GA20" s="107"/>
      <c r="GB20" s="107"/>
      <c r="GC20" s="109"/>
      <c r="GD20" s="110"/>
      <c r="GE20" s="110"/>
      <c r="GF20" s="111"/>
      <c r="GG20" s="111"/>
      <c r="GH20" s="111"/>
      <c r="GI20" s="112"/>
      <c r="GJ20" s="111" t="e">
        <f t="shared" si="61"/>
        <v>#DIV/0!</v>
      </c>
      <c r="GK20" s="113"/>
    </row>
    <row r="21" spans="1:193" s="119" customFormat="1" ht="15" customHeight="1">
      <c r="B21" s="351">
        <v>42932</v>
      </c>
      <c r="D21" s="159">
        <v>0</v>
      </c>
      <c r="E21" s="128">
        <v>4103.5200000000004</v>
      </c>
      <c r="F21" s="86">
        <f>2238.192+539.136</f>
        <v>2777.328</v>
      </c>
      <c r="G21" s="86">
        <v>5550.0349999999999</v>
      </c>
      <c r="H21" s="86">
        <v>7981.5910000000003</v>
      </c>
      <c r="I21" s="86">
        <f>576.962+1829.574</f>
        <v>2406.5360000000001</v>
      </c>
      <c r="J21" s="86">
        <v>0</v>
      </c>
      <c r="K21" s="86">
        <v>0</v>
      </c>
      <c r="L21" s="86"/>
      <c r="M21" s="284">
        <f t="shared" si="62"/>
        <v>2406.5360000000001</v>
      </c>
      <c r="N21" s="88">
        <f t="shared" si="19"/>
        <v>20412.474000000002</v>
      </c>
      <c r="O21" s="88">
        <f>N21+L21+((J21+I21)*0.5)</f>
        <v>21615.742000000002</v>
      </c>
      <c r="P21" s="89">
        <f t="shared" si="21"/>
        <v>279724.3885</v>
      </c>
      <c r="R21" s="170">
        <f t="shared" si="22"/>
        <v>339.20000000006985</v>
      </c>
      <c r="S21" s="170">
        <f t="shared" si="23"/>
        <v>-1.0000000009313226E-2</v>
      </c>
      <c r="T21" s="170">
        <f t="shared" si="1"/>
        <v>39.1</v>
      </c>
      <c r="U21" s="91">
        <f t="shared" si="74"/>
        <v>6.2400000000001459</v>
      </c>
      <c r="V21" s="170">
        <f t="shared" si="24"/>
        <v>1533.2999999998137</v>
      </c>
      <c r="W21" s="91">
        <f t="shared" si="2"/>
        <v>136.4</v>
      </c>
      <c r="X21" s="170">
        <f t="shared" si="25"/>
        <v>1533.2999999998137</v>
      </c>
      <c r="Y21" s="170" t="str">
        <f t="shared" si="26"/>
        <v>0</v>
      </c>
      <c r="Z21" s="170">
        <f t="shared" si="3"/>
        <v>144.69999999999999</v>
      </c>
      <c r="AA21" s="170">
        <f t="shared" si="27"/>
        <v>1917.8299999998744</v>
      </c>
      <c r="AB21" s="170">
        <f t="shared" si="28"/>
        <v>0</v>
      </c>
      <c r="AC21" s="170">
        <f t="shared" si="28"/>
        <v>0</v>
      </c>
      <c r="AD21" s="170">
        <f t="shared" si="29"/>
        <v>0</v>
      </c>
      <c r="AE21" s="170">
        <f t="shared" si="30"/>
        <v>0</v>
      </c>
      <c r="AF21" s="170">
        <f t="shared" si="31"/>
        <v>0</v>
      </c>
      <c r="AG21" s="170">
        <f t="shared" si="31"/>
        <v>10.200000000011642</v>
      </c>
      <c r="AH21" s="170">
        <f t="shared" si="32"/>
        <v>168</v>
      </c>
      <c r="AI21" s="170">
        <f t="shared" si="33"/>
        <v>157.79999999998836</v>
      </c>
      <c r="AJ21" s="170">
        <f t="shared" si="34"/>
        <v>135</v>
      </c>
      <c r="AK21" s="170">
        <f t="shared" si="34"/>
        <v>0.29999999999563443</v>
      </c>
      <c r="AL21" s="170">
        <f t="shared" si="35"/>
        <v>283</v>
      </c>
      <c r="AM21" s="170">
        <f t="shared" si="36"/>
        <v>147.70000000000437</v>
      </c>
      <c r="AN21" s="170">
        <f t="shared" si="37"/>
        <v>20.19999999999709</v>
      </c>
      <c r="AO21" s="170">
        <f t="shared" si="4"/>
        <v>70.900000000001455</v>
      </c>
      <c r="AP21" s="170">
        <f t="shared" si="38"/>
        <v>11.600000000005821</v>
      </c>
      <c r="AQ21" s="170">
        <f t="shared" si="5"/>
        <v>27.799999999988358</v>
      </c>
      <c r="AR21" s="170">
        <f t="shared" si="39"/>
        <v>51.951999999999998</v>
      </c>
      <c r="AS21" s="170">
        <f t="shared" si="40"/>
        <v>-90.048000000000002</v>
      </c>
      <c r="AT21" s="170">
        <f t="shared" si="41"/>
        <v>311.952</v>
      </c>
      <c r="AU21" s="170">
        <f t="shared" si="63"/>
        <v>300</v>
      </c>
      <c r="AV21" s="170">
        <f t="shared" si="64"/>
        <v>40</v>
      </c>
      <c r="AW21" s="170">
        <f t="shared" si="65"/>
        <v>102</v>
      </c>
      <c r="AX21" s="170">
        <f t="shared" si="66"/>
        <v>46</v>
      </c>
      <c r="AY21" s="170" t="str">
        <f t="shared" si="66"/>
        <v/>
      </c>
      <c r="AZ21" s="170">
        <f t="shared" si="42"/>
        <v>363</v>
      </c>
      <c r="BA21" s="170">
        <v>0</v>
      </c>
      <c r="BB21" s="170">
        <f t="shared" si="43"/>
        <v>108.5</v>
      </c>
      <c r="BC21" s="170">
        <f t="shared" si="43"/>
        <v>1197.5</v>
      </c>
      <c r="BD21" s="91">
        <f t="shared" si="44"/>
        <v>3</v>
      </c>
      <c r="BE21" s="90"/>
      <c r="BF21" s="90"/>
      <c r="BG21" s="90">
        <f t="shared" si="6"/>
        <v>1669</v>
      </c>
      <c r="BH21" s="90">
        <f t="shared" si="45"/>
        <v>416.69999999999982</v>
      </c>
      <c r="BI21" s="90">
        <f t="shared" si="7"/>
        <v>430.51800000013554</v>
      </c>
      <c r="BJ21" s="90">
        <f t="shared" si="46"/>
        <v>4534.4819999998645</v>
      </c>
      <c r="BK21" s="92"/>
      <c r="BL21" s="331">
        <f>FD21+FN21</f>
        <v>5381.7</v>
      </c>
      <c r="BM21" s="93">
        <f t="shared" si="47"/>
        <v>87815.8</v>
      </c>
      <c r="BN21" s="92"/>
      <c r="BO21" s="94">
        <f t="shared" si="48"/>
        <v>0.16617289996306661</v>
      </c>
      <c r="BP21" s="94">
        <f t="shared" si="48"/>
        <v>-4.898965215736821E-6</v>
      </c>
      <c r="BQ21" s="94">
        <f t="shared" si="49"/>
        <v>1.915495397569153E-2</v>
      </c>
      <c r="BR21" s="94">
        <f t="shared" si="68"/>
        <v>0.75115833582926483</v>
      </c>
      <c r="BS21" s="94">
        <f t="shared" si="8"/>
        <v>0</v>
      </c>
      <c r="BT21" s="94">
        <f t="shared" si="8"/>
        <v>7.088802660569217E-2</v>
      </c>
      <c r="BU21" s="95">
        <f t="shared" si="8"/>
        <v>0.93953824509458006</v>
      </c>
      <c r="BV21" s="94">
        <f t="shared" si="9"/>
        <v>0.15692267237463781</v>
      </c>
      <c r="BW21" s="94">
        <f t="shared" si="9"/>
        <v>-4.6262580342202575E-6</v>
      </c>
      <c r="BX21" s="94">
        <f t="shared" si="9"/>
        <v>1.8088668896954822E-2</v>
      </c>
      <c r="BY21" s="94">
        <f t="shared" si="50"/>
        <v>0.70934414372627763</v>
      </c>
      <c r="BZ21" s="95">
        <f t="shared" si="10"/>
        <v>0.88723764375050096</v>
      </c>
      <c r="CA21" s="96" t="e">
        <f>#REF!</f>
        <v>#REF!</v>
      </c>
      <c r="CB21" s="94">
        <f t="shared" si="51"/>
        <v>2.4034335716997361E-2</v>
      </c>
      <c r="CC21" s="95">
        <f t="shared" si="51"/>
        <v>-4.1658528307749042E-2</v>
      </c>
      <c r="CD21" s="97">
        <f t="shared" si="11"/>
        <v>0.21587875685217256</v>
      </c>
      <c r="CE21" s="98">
        <f t="shared" si="11"/>
        <v>-0.37418098046320519</v>
      </c>
      <c r="CF21" s="97" t="str">
        <f t="shared" si="52"/>
        <v>0,00</v>
      </c>
      <c r="CG21" s="94" t="str">
        <f t="shared" si="52"/>
        <v>0,00</v>
      </c>
      <c r="CH21" s="95" t="str">
        <f t="shared" si="53"/>
        <v xml:space="preserve">0,00 </v>
      </c>
      <c r="CI21" s="96" t="e">
        <f>#REF!</f>
        <v>#REF!</v>
      </c>
      <c r="CJ21" s="94">
        <f t="shared" si="54"/>
        <v>0</v>
      </c>
      <c r="CK21" s="94">
        <f t="shared" si="54"/>
        <v>2.4856708386974208E-2</v>
      </c>
      <c r="CL21" s="95">
        <f t="shared" si="69"/>
        <v>0.4094046087261668</v>
      </c>
      <c r="CM21" s="95" t="e">
        <f>#REF!</f>
        <v>#REF!</v>
      </c>
      <c r="CN21" s="94">
        <f t="shared" si="55"/>
        <v>0.48607870586405355</v>
      </c>
      <c r="CO21" s="94">
        <f t="shared" si="55"/>
        <v>1.0801749019044003E-3</v>
      </c>
      <c r="CP21" s="95">
        <f t="shared" si="56"/>
        <v>1.0189649908113121</v>
      </c>
      <c r="CQ21" s="95" t="e">
        <f>#REF!</f>
        <v>#REF!</v>
      </c>
      <c r="CR21" s="97">
        <f t="shared" si="70"/>
        <v>3.639616687101449E-2</v>
      </c>
      <c r="CS21" s="95">
        <f t="shared" si="70"/>
        <v>0.12774694213640356</v>
      </c>
      <c r="CT21" s="96" t="e">
        <f>#REF!</f>
        <v>#REF!</v>
      </c>
      <c r="CU21" s="97">
        <f t="shared" si="71"/>
        <v>1.4533443269651152E-2</v>
      </c>
      <c r="CV21" s="95">
        <f t="shared" si="57"/>
        <v>3.4830148525511209E-2</v>
      </c>
      <c r="CW21" s="96" t="e">
        <f>#REF!</f>
        <v>#REF!</v>
      </c>
      <c r="CX21" s="97">
        <f t="shared" si="58"/>
        <v>0.13878774089735155</v>
      </c>
      <c r="CY21" s="98">
        <f t="shared" si="58"/>
        <v>1.8505032119646873E-2</v>
      </c>
      <c r="CZ21" s="97">
        <f t="shared" si="58"/>
        <v>4.718783190509953E-2</v>
      </c>
      <c r="DA21" s="98">
        <f t="shared" si="58"/>
        <v>2.1280786937593905E-2</v>
      </c>
      <c r="DB21" s="94">
        <f t="shared" si="12"/>
        <v>0.1679331664857954</v>
      </c>
      <c r="DC21" s="94">
        <f t="shared" si="13"/>
        <v>5.0194899624542148E-2</v>
      </c>
      <c r="DD21" s="94">
        <f t="shared" si="13"/>
        <v>0.55399439908192827</v>
      </c>
      <c r="DE21" s="94">
        <f t="shared" si="13"/>
        <v>1.3878774089735155E-3</v>
      </c>
      <c r="DF21" s="94">
        <f t="shared" si="13"/>
        <v>0</v>
      </c>
      <c r="DG21" s="94">
        <f t="shared" si="13"/>
        <v>0</v>
      </c>
      <c r="DH21" s="95">
        <f t="shared" si="13"/>
        <v>0.77212246519226579</v>
      </c>
      <c r="DI21" s="96" t="e">
        <f>#REF!</f>
        <v>#REF!</v>
      </c>
      <c r="DJ21" s="95">
        <f t="shared" si="59"/>
        <v>0.19277617210642123</v>
      </c>
      <c r="DK21" s="96" t="e">
        <f>#REF!</f>
        <v>#REF!</v>
      </c>
      <c r="DL21" s="95">
        <f t="shared" si="60"/>
        <v>0.19916873545221603</v>
      </c>
      <c r="DM21" s="96">
        <f t="shared" si="14"/>
        <v>0</v>
      </c>
      <c r="DN21" s="94">
        <f t="shared" si="15"/>
        <v>2.0977683763989523</v>
      </c>
      <c r="DO21" s="100">
        <v>3.4</v>
      </c>
      <c r="DP21" s="94">
        <f t="shared" si="72"/>
        <v>2.4897132839575895</v>
      </c>
      <c r="DQ21" s="94">
        <f t="shared" si="73"/>
        <v>3.1393687361658134</v>
      </c>
      <c r="DR21" s="101" t="str">
        <f t="shared" si="16"/>
        <v>3,315, hL/NhL</v>
      </c>
      <c r="DS21" s="147"/>
      <c r="DT21" s="103">
        <v>16</v>
      </c>
      <c r="DU21" s="361">
        <v>627176</v>
      </c>
      <c r="DV21" s="361">
        <v>27586</v>
      </c>
      <c r="DW21" s="330">
        <v>5135653</v>
      </c>
      <c r="DX21" s="360">
        <v>118765</v>
      </c>
      <c r="DY21" s="361">
        <v>85236.6</v>
      </c>
      <c r="DZ21" s="362">
        <v>395997</v>
      </c>
      <c r="EA21" s="361">
        <v>233454</v>
      </c>
      <c r="EB21" s="303">
        <v>54642.6</v>
      </c>
      <c r="EC21" s="362">
        <v>409510</v>
      </c>
      <c r="ED21" s="362">
        <v>47360.1</v>
      </c>
      <c r="EE21" s="303">
        <v>42377.7</v>
      </c>
      <c r="EF21" s="303">
        <v>38963.4</v>
      </c>
      <c r="EG21" s="362">
        <v>92700.6</v>
      </c>
      <c r="EH21" s="362">
        <v>182770.3</v>
      </c>
      <c r="EI21" s="362">
        <v>32146</v>
      </c>
      <c r="EJ21" s="303">
        <v>40930</v>
      </c>
      <c r="EK21" s="303"/>
      <c r="EL21" s="362">
        <v>703712.9</v>
      </c>
      <c r="EM21" s="390">
        <v>391</v>
      </c>
      <c r="EN21" s="390">
        <v>44686.8</v>
      </c>
      <c r="EO21" s="362">
        <v>3030556</v>
      </c>
      <c r="EP21" s="303">
        <v>2788118</v>
      </c>
      <c r="EQ21" s="303">
        <v>0</v>
      </c>
      <c r="ER21" s="303">
        <v>1447</v>
      </c>
      <c r="ES21" s="303">
        <v>365334</v>
      </c>
      <c r="ET21" s="303">
        <v>1400683</v>
      </c>
      <c r="EU21" s="303">
        <v>427259</v>
      </c>
      <c r="EV21" s="303">
        <v>141545</v>
      </c>
      <c r="EW21" s="303">
        <v>113223</v>
      </c>
      <c r="EX21" s="303">
        <v>210191.6</v>
      </c>
      <c r="EY21" s="303">
        <v>1655223.6</v>
      </c>
      <c r="EZ21" s="303">
        <v>784912.2</v>
      </c>
      <c r="FA21" s="383">
        <v>748643</v>
      </c>
      <c r="FB21" s="303">
        <v>31010.799999999999</v>
      </c>
      <c r="FC21" s="303">
        <v>4965</v>
      </c>
      <c r="FD21" s="104">
        <f t="shared" ref="FD21:FD36" si="75">SUM(FE21:FM21)</f>
        <v>5381.7</v>
      </c>
      <c r="FE21" s="105">
        <f t="shared" si="18"/>
        <v>0</v>
      </c>
      <c r="FF21" s="105">
        <f>FF54-FF53</f>
        <v>684</v>
      </c>
      <c r="FG21" s="105">
        <f>FG54-FG53</f>
        <v>452</v>
      </c>
      <c r="FH21" s="105">
        <v>1660</v>
      </c>
      <c r="FI21" s="105">
        <v>0</v>
      </c>
      <c r="FJ21" s="105">
        <v>0</v>
      </c>
      <c r="FK21" s="105">
        <f>12.3*89</f>
        <v>1094.7</v>
      </c>
      <c r="FL21" s="105">
        <v>1190</v>
      </c>
      <c r="FM21" s="105">
        <v>301</v>
      </c>
      <c r="FN21" s="80">
        <v>0</v>
      </c>
      <c r="FO21" s="105"/>
      <c r="FP21" s="358"/>
      <c r="FY21" s="119">
        <v>16</v>
      </c>
      <c r="FZ21" s="107"/>
      <c r="GA21" s="163"/>
      <c r="GB21" s="107"/>
      <c r="GC21" s="109"/>
      <c r="GD21" s="110"/>
      <c r="GE21" s="110"/>
      <c r="GF21" s="111"/>
      <c r="GG21" s="111"/>
      <c r="GH21" s="111"/>
      <c r="GI21" s="164"/>
      <c r="GJ21" s="111" t="e">
        <f t="shared" si="61"/>
        <v>#DIV/0!</v>
      </c>
      <c r="GK21" s="113"/>
    </row>
    <row r="22" spans="1:193" ht="15" customHeight="1">
      <c r="B22" s="351">
        <v>42933</v>
      </c>
      <c r="D22" s="329"/>
      <c r="E22" s="329">
        <v>3912</v>
      </c>
      <c r="F22" s="329">
        <v>2135.808</v>
      </c>
      <c r="G22" s="329">
        <v>3001.511</v>
      </c>
      <c r="H22" s="329">
        <v>7714.1379999999999</v>
      </c>
      <c r="I22" s="329">
        <v>1438.3530000000001</v>
      </c>
      <c r="J22" s="329">
        <v>2395.1999999999998</v>
      </c>
      <c r="K22" s="391"/>
      <c r="L22" s="284"/>
      <c r="M22" s="284">
        <f t="shared" si="62"/>
        <v>3833.5529999999999</v>
      </c>
      <c r="N22" s="88">
        <f t="shared" si="19"/>
        <v>16763.456999999999</v>
      </c>
      <c r="O22" s="88">
        <f t="shared" si="20"/>
        <v>18680.233499999998</v>
      </c>
      <c r="P22" s="89">
        <f t="shared" si="21"/>
        <v>298404.62199999997</v>
      </c>
      <c r="Q22" s="168"/>
      <c r="R22" s="170">
        <f t="shared" si="22"/>
        <v>280.29999999993015</v>
      </c>
      <c r="S22" s="170">
        <f t="shared" si="23"/>
        <v>3.6800000000046564</v>
      </c>
      <c r="T22" s="170">
        <f t="shared" si="1"/>
        <v>133.69999999999999</v>
      </c>
      <c r="U22" s="91">
        <f t="shared" si="74"/>
        <v>4.7399999999994176</v>
      </c>
      <c r="V22" s="170">
        <f>IF(EO22=0,"",(EO22-EO21))</f>
        <v>1503</v>
      </c>
      <c r="W22" s="91">
        <f t="shared" si="2"/>
        <v>133.4</v>
      </c>
      <c r="X22" s="170">
        <f t="shared" si="25"/>
        <v>1503</v>
      </c>
      <c r="Y22" s="170">
        <f t="shared" si="26"/>
        <v>80.900000000000006</v>
      </c>
      <c r="Z22" s="170">
        <f t="shared" si="3"/>
        <v>166.3</v>
      </c>
      <c r="AA22" s="170">
        <f t="shared" si="27"/>
        <v>1925.4199999999341</v>
      </c>
      <c r="AB22" s="170">
        <f t="shared" si="28"/>
        <v>0</v>
      </c>
      <c r="AC22" s="170">
        <f t="shared" si="28"/>
        <v>0</v>
      </c>
      <c r="AD22" s="170">
        <f t="shared" si="29"/>
        <v>84</v>
      </c>
      <c r="AE22" s="170">
        <f t="shared" si="30"/>
        <v>84</v>
      </c>
      <c r="AF22" s="170">
        <f t="shared" si="31"/>
        <v>207</v>
      </c>
      <c r="AG22" s="170">
        <f t="shared" si="31"/>
        <v>48.399999999994179</v>
      </c>
      <c r="AH22" s="170">
        <f t="shared" si="32"/>
        <v>255.39999999999418</v>
      </c>
      <c r="AI22" s="170">
        <f t="shared" si="33"/>
        <v>0</v>
      </c>
      <c r="AJ22" s="170">
        <f t="shared" si="34"/>
        <v>100</v>
      </c>
      <c r="AK22" s="170">
        <f t="shared" si="34"/>
        <v>60.700000000004366</v>
      </c>
      <c r="AL22" s="170">
        <f t="shared" si="35"/>
        <v>216</v>
      </c>
      <c r="AM22" s="170">
        <f t="shared" si="36"/>
        <v>55.299999999995634</v>
      </c>
      <c r="AN22" s="170">
        <f t="shared" si="37"/>
        <v>40.599999999998545</v>
      </c>
      <c r="AO22" s="170">
        <f t="shared" si="4"/>
        <v>70.900000000001455</v>
      </c>
      <c r="AP22" s="170">
        <f t="shared" si="38"/>
        <v>5.7999999999883585</v>
      </c>
      <c r="AQ22" s="170">
        <f t="shared" si="5"/>
        <v>31.100000000005821</v>
      </c>
      <c r="AR22" s="170">
        <f t="shared" si="39"/>
        <v>55.856999999999999</v>
      </c>
      <c r="AS22" s="170">
        <f t="shared" si="40"/>
        <v>186.85699999999997</v>
      </c>
      <c r="AT22" s="170">
        <f t="shared" si="41"/>
        <v>670.85699999999997</v>
      </c>
      <c r="AU22" s="170">
        <f t="shared" si="63"/>
        <v>248</v>
      </c>
      <c r="AV22" s="170">
        <f t="shared" si="64"/>
        <v>35</v>
      </c>
      <c r="AW22" s="170">
        <f t="shared" si="65"/>
        <v>236</v>
      </c>
      <c r="AX22" s="170">
        <f t="shared" si="66"/>
        <v>13</v>
      </c>
      <c r="AY22" s="170" t="str">
        <f t="shared" si="66"/>
        <v/>
      </c>
      <c r="AZ22" s="170">
        <f t="shared" si="42"/>
        <v>230</v>
      </c>
      <c r="BA22" s="170">
        <v>112</v>
      </c>
      <c r="BB22" s="170">
        <f>IF(EX22=0,"",(EX22-EX21))</f>
        <v>106.39999999999418</v>
      </c>
      <c r="BC22" s="170">
        <f t="shared" si="43"/>
        <v>843.39999999990687</v>
      </c>
      <c r="BD22" s="91">
        <f t="shared" si="44"/>
        <v>6</v>
      </c>
      <c r="BE22" s="90"/>
      <c r="BF22" s="90"/>
      <c r="BG22" s="90">
        <f>IFERROR(SUM(BB22:BC22)+AZ22,"")</f>
        <v>1179.799999999901</v>
      </c>
      <c r="BH22" s="90">
        <f t="shared" si="45"/>
        <v>-276</v>
      </c>
      <c r="BI22" s="90">
        <f t="shared" si="7"/>
        <v>812.52300000016294</v>
      </c>
      <c r="BJ22" s="90">
        <f t="shared" si="46"/>
        <v>4481.4769999998371</v>
      </c>
      <c r="BK22" s="92"/>
      <c r="BL22" s="331">
        <f>FD22+FN22</f>
        <v>5018</v>
      </c>
      <c r="BM22" s="93">
        <f t="shared" si="47"/>
        <v>92833.8</v>
      </c>
      <c r="BN22" s="92"/>
      <c r="BO22" s="94">
        <f t="shared" si="48"/>
        <v>0.16720894741456382</v>
      </c>
      <c r="BP22" s="94">
        <f t="shared" si="48"/>
        <v>2.1952512539654898E-3</v>
      </c>
      <c r="BQ22" s="94">
        <f t="shared" si="49"/>
        <v>7.9756818656199616E-2</v>
      </c>
      <c r="BR22" s="94">
        <f t="shared" si="68"/>
        <v>0.89659310725705332</v>
      </c>
      <c r="BS22" s="94">
        <f t="shared" ref="BS22:BU36" si="76">IF($N22&lt;&gt;0,IF($N22&lt;&gt;0,Y22/$N22*10,0)," ")</f>
        <v>4.8259735447169411E-2</v>
      </c>
      <c r="BT22" s="94">
        <f t="shared" si="76"/>
        <v>9.920388139510844E-2</v>
      </c>
      <c r="BU22" s="95">
        <f t="shared" si="76"/>
        <v>1.1485817036425925</v>
      </c>
      <c r="BV22" s="94">
        <f t="shared" si="9"/>
        <v>0.15005165754482147</v>
      </c>
      <c r="BW22" s="94">
        <f t="shared" si="9"/>
        <v>1.9699967883188702E-3</v>
      </c>
      <c r="BX22" s="94">
        <f t="shared" si="9"/>
        <v>7.1572981140733599E-2</v>
      </c>
      <c r="BY22" s="94">
        <f t="shared" si="50"/>
        <v>0.80459379696725963</v>
      </c>
      <c r="BZ22" s="95">
        <f t="shared" si="10"/>
        <v>1.030725873956519</v>
      </c>
      <c r="CA22" s="96" t="e">
        <f>#REF!</f>
        <v>#REF!</v>
      </c>
      <c r="CB22" s="94">
        <f t="shared" si="51"/>
        <v>2.9901660490485839E-2</v>
      </c>
      <c r="CC22" s="95">
        <f t="shared" si="51"/>
        <v>0.10002926355283513</v>
      </c>
      <c r="CD22" s="97">
        <f t="shared" si="11"/>
        <v>0.14570556348118832</v>
      </c>
      <c r="CE22" s="98">
        <f t="shared" si="11"/>
        <v>0.48742511190010934</v>
      </c>
      <c r="CF22" s="97" t="str">
        <f t="shared" si="52"/>
        <v>0,00</v>
      </c>
      <c r="CG22" s="94" t="str">
        <f t="shared" si="52"/>
        <v>0,00</v>
      </c>
      <c r="CH22" s="95" t="str">
        <f t="shared" si="53"/>
        <v xml:space="preserve">0,00 </v>
      </c>
      <c r="CI22" s="96" t="e">
        <f>#REF!</f>
        <v>#REF!</v>
      </c>
      <c r="CJ22" s="94">
        <f t="shared" si="54"/>
        <v>0.52914110429447847</v>
      </c>
      <c r="CK22" s="94">
        <f t="shared" si="54"/>
        <v>0.12372188139057816</v>
      </c>
      <c r="CL22" s="95">
        <f t="shared" si="69"/>
        <v>0.65286298568505663</v>
      </c>
      <c r="CM22" s="95" t="e">
        <f>#REF!</f>
        <v>#REF!</v>
      </c>
      <c r="CN22" s="94">
        <f t="shared" si="55"/>
        <v>0.46820688001917776</v>
      </c>
      <c r="CO22" s="94">
        <f t="shared" si="55"/>
        <v>0.28420157617166131</v>
      </c>
      <c r="CP22" s="95">
        <f t="shared" si="56"/>
        <v>1.0113268608414241</v>
      </c>
      <c r="CQ22" s="95" t="e">
        <f>#REF!</f>
        <v>#REF!</v>
      </c>
      <c r="CR22" s="97">
        <f t="shared" si="70"/>
        <v>0.13526520475853177</v>
      </c>
      <c r="CS22" s="95">
        <f t="shared" si="70"/>
        <v>0.23621436003400106</v>
      </c>
      <c r="CT22" s="96" t="e">
        <f>#REF!</f>
        <v>#REF!</v>
      </c>
      <c r="CU22" s="97">
        <f t="shared" si="71"/>
        <v>7.5186624869666039E-3</v>
      </c>
      <c r="CV22" s="95">
        <f t="shared" si="57"/>
        <v>4.031558678365077E-2</v>
      </c>
      <c r="CW22" s="96" t="e">
        <f>#REF!</f>
        <v>#REF!</v>
      </c>
      <c r="CX22" s="97">
        <f t="shared" si="58"/>
        <v>0.1327606531256689</v>
      </c>
      <c r="CY22" s="98">
        <f t="shared" si="58"/>
        <v>1.8736382497574242E-2</v>
      </c>
      <c r="CZ22" s="97">
        <f t="shared" si="58"/>
        <v>0.12633675055507204</v>
      </c>
      <c r="DA22" s="98">
        <f t="shared" si="58"/>
        <v>6.9592277848132891E-3</v>
      </c>
      <c r="DB22" s="94">
        <f t="shared" si="12"/>
        <v>0.12312479926977359</v>
      </c>
      <c r="DC22" s="94">
        <f t="shared" si="13"/>
        <v>5.6958602792622576E-2</v>
      </c>
      <c r="DD22" s="94">
        <f t="shared" si="13"/>
        <v>0.45149328567006775</v>
      </c>
      <c r="DE22" s="94">
        <f t="shared" si="13"/>
        <v>3.2119512852984413E-3</v>
      </c>
      <c r="DF22" s="94">
        <f t="shared" si="13"/>
        <v>0</v>
      </c>
      <c r="DG22" s="94">
        <f t="shared" si="13"/>
        <v>0</v>
      </c>
      <c r="DH22" s="95">
        <f t="shared" si="13"/>
        <v>0.631576687732464</v>
      </c>
      <c r="DI22" s="96" t="e">
        <f>#REF!</f>
        <v>#REF!</v>
      </c>
      <c r="DJ22" s="95">
        <f t="shared" si="59"/>
        <v>-0.14774975912372831</v>
      </c>
      <c r="DK22" s="96" t="e">
        <f>#REF!</f>
        <v>#REF!</v>
      </c>
      <c r="DL22" s="95">
        <f t="shared" si="60"/>
        <v>0.43496404903084485</v>
      </c>
      <c r="DM22" s="96">
        <f t="shared" si="14"/>
        <v>0</v>
      </c>
      <c r="DN22" s="94">
        <f t="shared" si="15"/>
        <v>2.3990476350308136</v>
      </c>
      <c r="DO22" s="100">
        <v>3.4</v>
      </c>
      <c r="DP22" s="94">
        <f t="shared" si="72"/>
        <v>2.6862619249379298</v>
      </c>
      <c r="DQ22" s="94">
        <f t="shared" si="73"/>
        <v>3.1110040916189297</v>
      </c>
      <c r="DR22" s="101" t="str">
        <f t="shared" si="16"/>
        <v>3,315, hL/NhL</v>
      </c>
      <c r="DS22" s="116"/>
      <c r="DT22" s="103">
        <v>17</v>
      </c>
      <c r="DU22" s="361">
        <f>DU21</f>
        <v>627176</v>
      </c>
      <c r="DV22" s="361">
        <f>DV21</f>
        <v>27586</v>
      </c>
      <c r="DW22" s="330">
        <v>5135737</v>
      </c>
      <c r="DX22" s="330">
        <v>118972</v>
      </c>
      <c r="DY22" s="330">
        <v>85285</v>
      </c>
      <c r="DZ22" s="330">
        <v>396243</v>
      </c>
      <c r="EA22" s="330">
        <v>233554</v>
      </c>
      <c r="EB22" s="330">
        <v>54703.3</v>
      </c>
      <c r="EC22" s="330">
        <v>409726</v>
      </c>
      <c r="ED22" s="330">
        <v>47400.7</v>
      </c>
      <c r="EE22" s="303">
        <v>42440.7</v>
      </c>
      <c r="EF22" s="330">
        <v>38971.300000000003</v>
      </c>
      <c r="EG22" s="330">
        <v>92706.4</v>
      </c>
      <c r="EH22" s="330">
        <v>182801.4</v>
      </c>
      <c r="EI22" s="330">
        <v>32181</v>
      </c>
      <c r="EJ22" s="330">
        <v>40943</v>
      </c>
      <c r="EK22" s="330"/>
      <c r="EL22" s="330">
        <v>703993.2</v>
      </c>
      <c r="EM22" s="330">
        <v>1337</v>
      </c>
      <c r="EN22" s="330">
        <v>44734.2</v>
      </c>
      <c r="EO22" s="330">
        <v>3032059</v>
      </c>
      <c r="EP22" s="330">
        <v>2789452</v>
      </c>
      <c r="EQ22" s="330">
        <v>809</v>
      </c>
      <c r="ER22" s="330">
        <v>1663</v>
      </c>
      <c r="ES22" s="330">
        <v>365949</v>
      </c>
      <c r="ET22" s="105">
        <v>1456540</v>
      </c>
      <c r="EU22" s="303">
        <v>427495</v>
      </c>
      <c r="EV22" s="392">
        <v>141793</v>
      </c>
      <c r="EW22" s="330">
        <v>113453</v>
      </c>
      <c r="EX22" s="330">
        <v>210298</v>
      </c>
      <c r="EY22" s="330">
        <v>1656067</v>
      </c>
      <c r="EZ22" s="330">
        <v>784949</v>
      </c>
      <c r="FA22" s="387">
        <v>748649</v>
      </c>
      <c r="FB22" s="104">
        <v>31128.3</v>
      </c>
      <c r="FC22" s="104">
        <v>5294</v>
      </c>
      <c r="FD22" s="104">
        <f t="shared" si="75"/>
        <v>5018</v>
      </c>
      <c r="FE22" s="105">
        <f t="shared" ref="FE22:FK36" si="77">FE55-FE54</f>
        <v>0</v>
      </c>
      <c r="FF22" s="105">
        <f t="shared" si="77"/>
        <v>945</v>
      </c>
      <c r="FG22" s="105">
        <f>FG55-FG54</f>
        <v>979</v>
      </c>
      <c r="FH22" s="105">
        <f>FH55-FH54</f>
        <v>870</v>
      </c>
      <c r="FI22" s="105">
        <f>FI55-FI54</f>
        <v>440</v>
      </c>
      <c r="FJ22" s="105">
        <f t="shared" si="77"/>
        <v>0</v>
      </c>
      <c r="FK22" s="105">
        <v>737</v>
      </c>
      <c r="FL22" s="105">
        <v>718</v>
      </c>
      <c r="FM22" s="105">
        <v>329</v>
      </c>
      <c r="FN22" s="80">
        <f t="shared" ref="FN22:FN31" si="78">FO22-FO21</f>
        <v>0</v>
      </c>
      <c r="FO22" s="105"/>
      <c r="FP22" s="162"/>
      <c r="FR22" s="64"/>
      <c r="FS22" s="64"/>
      <c r="FT22" s="64"/>
      <c r="FU22" s="64"/>
      <c r="FV22" s="64"/>
      <c r="FW22" s="64"/>
      <c r="FX22" s="64"/>
      <c r="FY22" s="64">
        <v>17</v>
      </c>
      <c r="FZ22" s="107"/>
      <c r="GA22" s="107"/>
      <c r="GB22" s="107"/>
      <c r="GC22" s="109"/>
      <c r="GD22" s="110"/>
      <c r="GE22" s="110"/>
      <c r="GF22" s="111"/>
      <c r="GG22" s="111"/>
      <c r="GH22" s="111"/>
      <c r="GI22" s="164"/>
      <c r="GJ22" s="111" t="e">
        <f t="shared" si="61"/>
        <v>#DIV/0!</v>
      </c>
      <c r="GK22" s="118"/>
    </row>
    <row r="23" spans="1:193" s="119" customFormat="1" ht="15" customHeight="1">
      <c r="B23" s="351">
        <v>42934</v>
      </c>
      <c r="D23" s="128"/>
      <c r="E23" s="128">
        <v>1068.24</v>
      </c>
      <c r="F23" s="86">
        <v>937.00800000000004</v>
      </c>
      <c r="G23" s="86">
        <v>2241.6970000000001</v>
      </c>
      <c r="H23" s="86">
        <v>2507.0320000000002</v>
      </c>
      <c r="I23" s="86">
        <v>1997.739</v>
      </c>
      <c r="J23" s="86">
        <v>4349.88</v>
      </c>
      <c r="K23" s="284"/>
      <c r="L23" s="284"/>
      <c r="M23" s="284">
        <f>I23+J23</f>
        <v>6347.6190000000006</v>
      </c>
      <c r="N23" s="88">
        <f>SUM(D23:H23)</f>
        <v>6753.9769999999999</v>
      </c>
      <c r="O23" s="88">
        <f t="shared" si="20"/>
        <v>9927.7865000000002</v>
      </c>
      <c r="P23" s="89">
        <f t="shared" si="21"/>
        <v>308332.40849999996</v>
      </c>
      <c r="R23" s="170">
        <f t="shared" si="22"/>
        <v>132.70000000006985</v>
      </c>
      <c r="S23" s="170">
        <f t="shared" si="23"/>
        <v>59.280000000004655</v>
      </c>
      <c r="T23" s="170">
        <f t="shared" si="1"/>
        <v>711.7</v>
      </c>
      <c r="U23" s="91">
        <f t="shared" si="74"/>
        <v>1.7400000000001454</v>
      </c>
      <c r="V23" s="170">
        <f>IF(EO23=0,"",(EO23-EO22))</f>
        <v>891.10000000009313</v>
      </c>
      <c r="W23" s="91">
        <f t="shared" si="2"/>
        <v>52.5</v>
      </c>
      <c r="X23" s="170">
        <f>IF(V23="","",V23)</f>
        <v>891.10000000009313</v>
      </c>
      <c r="Y23" s="170" t="str">
        <f t="shared" si="26"/>
        <v>0</v>
      </c>
      <c r="Z23" s="170">
        <f t="shared" si="3"/>
        <v>99.5</v>
      </c>
      <c r="AA23" s="170">
        <f t="shared" si="27"/>
        <v>1796.5200000001678</v>
      </c>
      <c r="AB23" s="170">
        <f t="shared" si="28"/>
        <v>107</v>
      </c>
      <c r="AC23" s="170">
        <f t="shared" si="28"/>
        <v>85</v>
      </c>
      <c r="AD23" s="170">
        <f t="shared" si="29"/>
        <v>234</v>
      </c>
      <c r="AE23" s="170">
        <f t="shared" si="30"/>
        <v>42</v>
      </c>
      <c r="AF23" s="170">
        <f t="shared" si="31"/>
        <v>30</v>
      </c>
      <c r="AG23" s="170">
        <f t="shared" si="31"/>
        <v>30.100000000005821</v>
      </c>
      <c r="AH23" s="170">
        <f t="shared" si="32"/>
        <v>113</v>
      </c>
      <c r="AI23" s="170">
        <f t="shared" si="33"/>
        <v>52.899999999994179</v>
      </c>
      <c r="AJ23" s="170">
        <f t="shared" si="34"/>
        <v>79</v>
      </c>
      <c r="AK23" s="170">
        <f t="shared" si="34"/>
        <v>26.599999999998545</v>
      </c>
      <c r="AL23" s="170">
        <f t="shared" si="35"/>
        <v>198</v>
      </c>
      <c r="AM23" s="170">
        <f t="shared" si="36"/>
        <v>92.400000000001455</v>
      </c>
      <c r="AN23" s="170">
        <f t="shared" si="37"/>
        <v>29</v>
      </c>
      <c r="AO23" s="170">
        <f>IF(AN23="","",(EE23-EE22)+(EF23-EF22))</f>
        <v>72</v>
      </c>
      <c r="AP23" s="170">
        <f t="shared" si="38"/>
        <v>87.30000000000291</v>
      </c>
      <c r="AQ23" s="170">
        <f>IF(AP23=0.1,0,(IF(AP23&gt;=(EH23-EH22),(AP23),(EH23-EH22))))</f>
        <v>152.5</v>
      </c>
      <c r="AR23" s="170">
        <f t="shared" si="39"/>
        <v>61.962000000000003</v>
      </c>
      <c r="AS23" s="170">
        <f t="shared" si="40"/>
        <v>-6.0380000000000109</v>
      </c>
      <c r="AT23" s="170">
        <f t="shared" si="41"/>
        <v>596.96199999999999</v>
      </c>
      <c r="AU23" s="170">
        <f t="shared" si="63"/>
        <v>198</v>
      </c>
      <c r="AV23" s="170">
        <f t="shared" si="64"/>
        <v>37</v>
      </c>
      <c r="AW23" s="170">
        <f t="shared" si="65"/>
        <v>405</v>
      </c>
      <c r="AX23" s="170">
        <f>IF(EJ23=0,"",(EJ23-EJ22))</f>
        <v>28</v>
      </c>
      <c r="AY23" s="170" t="str">
        <f t="shared" si="66"/>
        <v/>
      </c>
      <c r="AZ23" s="170">
        <f t="shared" si="42"/>
        <v>263</v>
      </c>
      <c r="BA23" s="170">
        <v>39</v>
      </c>
      <c r="BB23" s="170">
        <f t="shared" si="43"/>
        <v>121</v>
      </c>
      <c r="BC23" s="170">
        <f t="shared" si="43"/>
        <v>375.80000000004657</v>
      </c>
      <c r="BD23" s="91">
        <f t="shared" si="44"/>
        <v>171</v>
      </c>
      <c r="BE23" s="90"/>
      <c r="BF23" s="90"/>
      <c r="BG23" s="90">
        <f t="shared" si="6"/>
        <v>759.80000000004657</v>
      </c>
      <c r="BH23" s="90">
        <f>BL23-FC23</f>
        <v>-1480</v>
      </c>
      <c r="BI23" s="90">
        <f>IF(FC23=0,"",(FC23-BJ23))</f>
        <v>1796.2179999997857</v>
      </c>
      <c r="BJ23" s="90">
        <f t="shared" si="46"/>
        <v>3987.7820000002143</v>
      </c>
      <c r="BK23" s="92"/>
      <c r="BL23" s="331">
        <f t="shared" si="67"/>
        <v>4304</v>
      </c>
      <c r="BM23" s="93">
        <f>BL23+BM22</f>
        <v>97137.8</v>
      </c>
      <c r="BN23" s="92"/>
      <c r="BO23" s="94">
        <f t="shared" si="48"/>
        <v>0.19647683135442992</v>
      </c>
      <c r="BP23" s="94">
        <f t="shared" si="48"/>
        <v>8.777050913854853E-2</v>
      </c>
      <c r="BQ23" s="94">
        <f t="shared" si="49"/>
        <v>1.0537495167661957</v>
      </c>
      <c r="BR23" s="94">
        <f t="shared" si="68"/>
        <v>1.3193707944224464</v>
      </c>
      <c r="BS23" s="94">
        <f t="shared" si="76"/>
        <v>0</v>
      </c>
      <c r="BT23" s="94">
        <f>IF($N23&lt;&gt;0,IF($N23&lt;&gt;0,Z23/$N23*10,0)," ")</f>
        <v>0.14732060828753193</v>
      </c>
      <c r="BU23" s="95">
        <f t="shared" si="76"/>
        <v>2.6599439115652417</v>
      </c>
      <c r="BV23" s="94">
        <f t="shared" si="9"/>
        <v>0.1336652435062638</v>
      </c>
      <c r="BW23" s="94">
        <f t="shared" si="9"/>
        <v>5.9711195441203992E-2</v>
      </c>
      <c r="BX23" s="94">
        <f t="shared" si="9"/>
        <v>0.71687681841264417</v>
      </c>
      <c r="BY23" s="94">
        <f t="shared" si="50"/>
        <v>0.8975817519847884</v>
      </c>
      <c r="BZ23" s="95">
        <f t="shared" si="10"/>
        <v>1.8095876658912515</v>
      </c>
      <c r="CA23" s="96" t="e">
        <f>#REF!</f>
        <v>#REF!</v>
      </c>
      <c r="CB23" s="94">
        <f t="shared" si="51"/>
        <v>6.2412703979885145E-2</v>
      </c>
      <c r="CC23" s="95">
        <f t="shared" si="51"/>
        <v>-6.0819196706133945E-3</v>
      </c>
      <c r="CD23" s="97">
        <f t="shared" si="11"/>
        <v>9.7614554370701823E-2</v>
      </c>
      <c r="CE23" s="98">
        <f t="shared" si="11"/>
        <v>-9.5122281283738213E-3</v>
      </c>
      <c r="CF23" s="97" t="str">
        <f t="shared" si="52"/>
        <v>0,00</v>
      </c>
      <c r="CG23" s="94" t="str">
        <f t="shared" si="52"/>
        <v>0,00</v>
      </c>
      <c r="CH23" s="95" t="str">
        <f t="shared" si="53"/>
        <v xml:space="preserve">0,00 </v>
      </c>
      <c r="CI23" s="96" t="e">
        <f>#REF!</f>
        <v>#REF!</v>
      </c>
      <c r="CJ23" s="94">
        <f t="shared" si="54"/>
        <v>0.2808357672433161</v>
      </c>
      <c r="CK23" s="94">
        <f t="shared" si="54"/>
        <v>0.281771886467515</v>
      </c>
      <c r="CL23" s="95">
        <f t="shared" si="69"/>
        <v>1.0578147232831574</v>
      </c>
      <c r="CM23" s="95" t="e">
        <f>#REF!</f>
        <v>#REF!</v>
      </c>
      <c r="CN23" s="94">
        <f t="shared" si="55"/>
        <v>0.84310913033826818</v>
      </c>
      <c r="CO23" s="94">
        <f t="shared" si="55"/>
        <v>0.28388231477211023</v>
      </c>
      <c r="CP23" s="95">
        <f t="shared" si="56"/>
        <v>2.1131089595819885</v>
      </c>
      <c r="CQ23" s="95" t="e">
        <f>#REF!</f>
        <v>#REF!</v>
      </c>
      <c r="CR23" s="97">
        <f t="shared" si="70"/>
        <v>0.1293662792072256</v>
      </c>
      <c r="CS23" s="95">
        <f t="shared" si="70"/>
        <v>0.32118524492828421</v>
      </c>
      <c r="CT23" s="96" t="e">
        <f>#REF!</f>
        <v>#REF!</v>
      </c>
      <c r="CU23" s="97">
        <f t="shared" si="71"/>
        <v>0.34822052530642966</v>
      </c>
      <c r="CV23" s="95">
        <f t="shared" si="57"/>
        <v>0.6082890046876146</v>
      </c>
      <c r="CW23" s="96" t="e">
        <f>#REF!</f>
        <v>#REF!</v>
      </c>
      <c r="CX23" s="99">
        <f t="shared" si="58"/>
        <v>0.19944022768821629</v>
      </c>
      <c r="CY23" s="95">
        <f t="shared" si="58"/>
        <v>3.7269133456888905E-2</v>
      </c>
      <c r="CZ23" s="99">
        <f t="shared" si="58"/>
        <v>0.40794592027135151</v>
      </c>
      <c r="DA23" s="95">
        <f t="shared" si="58"/>
        <v>2.8203668561969982E-2</v>
      </c>
      <c r="DB23" s="94">
        <f t="shared" si="12"/>
        <v>0.2649130297070752</v>
      </c>
      <c r="DC23" s="94">
        <f t="shared" si="13"/>
        <v>0.12188013914279885</v>
      </c>
      <c r="DD23" s="94">
        <f t="shared" si="13"/>
        <v>0.37853352305677263</v>
      </c>
      <c r="DE23" s="94">
        <f t="shared" si="13"/>
        <v>0.17224383300345952</v>
      </c>
      <c r="DF23" s="94">
        <f t="shared" si="13"/>
        <v>0</v>
      </c>
      <c r="DG23" s="94">
        <f t="shared" si="13"/>
        <v>0</v>
      </c>
      <c r="DH23" s="95">
        <f t="shared" si="13"/>
        <v>0.76532669190664659</v>
      </c>
      <c r="DI23" s="96" t="e">
        <f>#REF!</f>
        <v>#REF!</v>
      </c>
      <c r="DJ23" s="95">
        <f t="shared" si="59"/>
        <v>-1.4907653382755561</v>
      </c>
      <c r="DK23" s="96" t="e">
        <f>#REF!</f>
        <v>#REF!</v>
      </c>
      <c r="DL23" s="95">
        <f t="shared" si="60"/>
        <v>1.8092834691799484</v>
      </c>
      <c r="DM23" s="96">
        <f t="shared" si="14"/>
        <v>0</v>
      </c>
      <c r="DN23" s="94">
        <f t="shared" si="15"/>
        <v>4.0167886366212793</v>
      </c>
      <c r="DO23" s="100">
        <v>3.4</v>
      </c>
      <c r="DP23" s="94">
        <f>IF($O23&lt;&gt;0,IF($O23&lt;&gt;0,BL23/$O23*10,0)," ")</f>
        <v>4.3353067675256716</v>
      </c>
      <c r="DQ23" s="94">
        <f>IF($P23&lt;&gt;0,IF($P23&lt;&gt;0,BM23/$P23*10,0)," ")</f>
        <v>3.1504245847059575</v>
      </c>
      <c r="DR23" s="101" t="str">
        <f t="shared" si="16"/>
        <v>3,315, hL/NhL</v>
      </c>
      <c r="DS23" s="171"/>
      <c r="DT23" s="103">
        <v>18</v>
      </c>
      <c r="DU23" s="361">
        <v>627283</v>
      </c>
      <c r="DV23" s="361">
        <v>27671</v>
      </c>
      <c r="DW23" s="330">
        <v>5135971</v>
      </c>
      <c r="DX23" s="330">
        <v>119002</v>
      </c>
      <c r="DY23" s="330">
        <v>85315.1</v>
      </c>
      <c r="DZ23" s="330">
        <v>396356</v>
      </c>
      <c r="EA23" s="330">
        <v>233633</v>
      </c>
      <c r="EB23" s="330">
        <v>54729.9</v>
      </c>
      <c r="EC23" s="105">
        <v>409924</v>
      </c>
      <c r="ED23" s="330">
        <v>47429.7</v>
      </c>
      <c r="EE23" s="330">
        <v>42479.4</v>
      </c>
      <c r="EF23" s="330">
        <v>39004.6</v>
      </c>
      <c r="EG23" s="330">
        <v>92793.7</v>
      </c>
      <c r="EH23" s="330">
        <v>182953.9</v>
      </c>
      <c r="EI23" s="330">
        <v>32218</v>
      </c>
      <c r="EJ23" s="330">
        <v>40971</v>
      </c>
      <c r="EK23" s="330"/>
      <c r="EL23" s="330">
        <v>704125.9</v>
      </c>
      <c r="EM23" s="330">
        <v>7117</v>
      </c>
      <c r="EN23" s="330">
        <v>44751.6</v>
      </c>
      <c r="EO23" s="330">
        <v>3032950.1</v>
      </c>
      <c r="EP23" s="330">
        <v>2789977</v>
      </c>
      <c r="EQ23" s="330">
        <v>0</v>
      </c>
      <c r="ER23" s="330">
        <v>995</v>
      </c>
      <c r="ES23" s="330">
        <v>366484</v>
      </c>
      <c r="ET23" s="330">
        <v>1518502</v>
      </c>
      <c r="EU23" s="330">
        <v>427900</v>
      </c>
      <c r="EV23" s="330">
        <v>141991</v>
      </c>
      <c r="EW23" s="330">
        <v>113716</v>
      </c>
      <c r="EX23" s="330">
        <v>210419</v>
      </c>
      <c r="EY23" s="330">
        <v>1656442.8</v>
      </c>
      <c r="EZ23" s="330">
        <v>785541.8</v>
      </c>
      <c r="FA23" s="387">
        <v>748820</v>
      </c>
      <c r="FB23" s="104">
        <v>31171</v>
      </c>
      <c r="FC23" s="104">
        <v>5784</v>
      </c>
      <c r="FD23" s="104">
        <f t="shared" si="75"/>
        <v>4304</v>
      </c>
      <c r="FE23" s="105">
        <f t="shared" si="77"/>
        <v>0</v>
      </c>
      <c r="FF23" s="105">
        <f t="shared" si="77"/>
        <v>948</v>
      </c>
      <c r="FG23" s="105">
        <f t="shared" si="77"/>
        <v>549</v>
      </c>
      <c r="FH23" s="105">
        <f t="shared" si="77"/>
        <v>1659</v>
      </c>
      <c r="FI23" s="105">
        <f t="shared" si="77"/>
        <v>0</v>
      </c>
      <c r="FJ23" s="105">
        <f t="shared" si="77"/>
        <v>0</v>
      </c>
      <c r="FK23" s="105">
        <v>0</v>
      </c>
      <c r="FL23" s="105">
        <v>1067</v>
      </c>
      <c r="FM23" s="105">
        <v>81</v>
      </c>
      <c r="FN23" s="80">
        <f t="shared" si="78"/>
        <v>0</v>
      </c>
      <c r="FO23" s="105"/>
      <c r="FP23" s="162"/>
      <c r="FY23" s="119">
        <v>18</v>
      </c>
      <c r="FZ23" s="107"/>
      <c r="GA23" s="107"/>
      <c r="GB23" s="107"/>
      <c r="GC23" s="109"/>
      <c r="GD23" s="110"/>
      <c r="GE23" s="110"/>
      <c r="GF23" s="111"/>
      <c r="GG23" s="111"/>
      <c r="GH23" s="111"/>
      <c r="GI23" s="164"/>
      <c r="GJ23" s="111" t="e">
        <f t="shared" si="61"/>
        <v>#DIV/0!</v>
      </c>
    </row>
    <row r="24" spans="1:193" s="119" customFormat="1" ht="15" customHeight="1">
      <c r="B24" s="351">
        <v>42935</v>
      </c>
      <c r="D24" s="128">
        <v>4747.68</v>
      </c>
      <c r="E24" s="128"/>
      <c r="F24" s="86">
        <v>1928.4480000000001</v>
      </c>
      <c r="G24" s="86">
        <v>3311.5099999999998</v>
      </c>
      <c r="H24" s="86">
        <v>4933.692</v>
      </c>
      <c r="I24" s="86">
        <v>1839.0440000000001</v>
      </c>
      <c r="J24" s="86">
        <v>5610.3600000000006</v>
      </c>
      <c r="K24" s="284"/>
      <c r="L24" s="284"/>
      <c r="M24" s="284">
        <f t="shared" si="62"/>
        <v>7449.4040000000005</v>
      </c>
      <c r="N24" s="88">
        <f t="shared" si="19"/>
        <v>14921.330000000002</v>
      </c>
      <c r="O24" s="88">
        <f t="shared" si="20"/>
        <v>18646.032000000003</v>
      </c>
      <c r="P24" s="89">
        <f t="shared" si="21"/>
        <v>326978.44049999997</v>
      </c>
      <c r="R24" s="170">
        <f t="shared" si="22"/>
        <v>289.79999999993015</v>
      </c>
      <c r="S24" s="170">
        <f t="shared" si="23"/>
        <v>73.579999999993021</v>
      </c>
      <c r="T24" s="170">
        <f t="shared" si="1"/>
        <v>309.5</v>
      </c>
      <c r="U24" s="91">
        <f t="shared" si="74"/>
        <v>5.7300000000002909</v>
      </c>
      <c r="V24" s="170">
        <f t="shared" si="24"/>
        <v>1075.1000000000931</v>
      </c>
      <c r="W24" s="91">
        <f t="shared" si="2"/>
        <v>-1403.5</v>
      </c>
      <c r="X24" s="170">
        <f t="shared" si="25"/>
        <v>1075.1000000000931</v>
      </c>
      <c r="Y24" s="170" t="str">
        <f t="shared" si="26"/>
        <v>0</v>
      </c>
      <c r="Z24" s="170">
        <f t="shared" si="3"/>
        <v>126.3</v>
      </c>
      <c r="AA24" s="170">
        <f t="shared" si="27"/>
        <v>1753.7100000000164</v>
      </c>
      <c r="AB24" s="170">
        <f t="shared" si="28"/>
        <v>270</v>
      </c>
      <c r="AC24" s="170">
        <f t="shared" si="28"/>
        <v>47</v>
      </c>
      <c r="AD24" s="170">
        <f>(IF(SUM(AB24:AC24)&gt;=(DW24-DW23),(SUM(AB24:AC24)),(DW24-DW23)))</f>
        <v>392</v>
      </c>
      <c r="AE24" s="170">
        <f t="shared" si="30"/>
        <v>75</v>
      </c>
      <c r="AF24" s="170">
        <f t="shared" si="31"/>
        <v>0</v>
      </c>
      <c r="AG24" s="170">
        <f t="shared" si="31"/>
        <v>0</v>
      </c>
      <c r="AH24" s="170">
        <f t="shared" si="32"/>
        <v>38</v>
      </c>
      <c r="AI24" s="170">
        <f>IF(AF24="","",(AH24-AG24-AF24))</f>
        <v>38</v>
      </c>
      <c r="AJ24" s="170">
        <f t="shared" si="34"/>
        <v>102</v>
      </c>
      <c r="AK24" s="170">
        <f t="shared" si="34"/>
        <v>11.5</v>
      </c>
      <c r="AL24" s="170">
        <f t="shared" si="35"/>
        <v>174</v>
      </c>
      <c r="AM24" s="170">
        <f t="shared" si="36"/>
        <v>60.5</v>
      </c>
      <c r="AN24" s="170">
        <f t="shared" si="37"/>
        <v>32.80000000000291</v>
      </c>
      <c r="AO24" s="170">
        <f t="shared" si="4"/>
        <v>75.900000000001455</v>
      </c>
      <c r="AP24" s="170">
        <f t="shared" si="38"/>
        <v>27.69999999999709</v>
      </c>
      <c r="AQ24" s="170">
        <f t="shared" si="5"/>
        <v>42.300000000017462</v>
      </c>
      <c r="AR24" s="170">
        <f t="shared" si="39"/>
        <v>89.387</v>
      </c>
      <c r="AS24" s="170">
        <f t="shared" si="40"/>
        <v>152.38699999999994</v>
      </c>
      <c r="AT24" s="170">
        <f t="shared" si="41"/>
        <v>1040.3869999999999</v>
      </c>
      <c r="AU24" s="170">
        <f t="shared" si="63"/>
        <v>249</v>
      </c>
      <c r="AV24" s="170">
        <f t="shared" si="64"/>
        <v>29</v>
      </c>
      <c r="AW24" s="170">
        <f t="shared" si="65"/>
        <v>639</v>
      </c>
      <c r="AX24" s="170">
        <f t="shared" si="66"/>
        <v>27</v>
      </c>
      <c r="AY24" s="170" t="str">
        <f t="shared" si="66"/>
        <v/>
      </c>
      <c r="AZ24" s="170">
        <f t="shared" si="42"/>
        <v>253</v>
      </c>
      <c r="BA24" s="170">
        <v>96</v>
      </c>
      <c r="BB24" s="170">
        <f t="shared" si="43"/>
        <v>119.39999999999418</v>
      </c>
      <c r="BC24" s="170">
        <f t="shared" si="43"/>
        <v>927.39999999990687</v>
      </c>
      <c r="BD24" s="91">
        <f t="shared" si="44"/>
        <v>370</v>
      </c>
      <c r="BE24" s="90"/>
      <c r="BF24" s="90"/>
      <c r="BG24" s="90">
        <f t="shared" si="6"/>
        <v>1299.799999999901</v>
      </c>
      <c r="BH24" s="90">
        <f t="shared" si="45"/>
        <v>-2059</v>
      </c>
      <c r="BI24" s="90">
        <f t="shared" si="7"/>
        <v>2078.9030000000639</v>
      </c>
      <c r="BJ24" s="90">
        <f t="shared" si="46"/>
        <v>4872.0969999999361</v>
      </c>
      <c r="BK24" s="92"/>
      <c r="BL24" s="331">
        <f t="shared" si="67"/>
        <v>4892</v>
      </c>
      <c r="BM24" s="93">
        <f t="shared" si="47"/>
        <v>102029.8</v>
      </c>
      <c r="BN24" s="92"/>
      <c r="BO24" s="94">
        <f t="shared" si="48"/>
        <v>0.19421861187972528</v>
      </c>
      <c r="BP24" s="94">
        <f t="shared" si="48"/>
        <v>4.9311958116329449E-2</v>
      </c>
      <c r="BQ24" s="94">
        <f t="shared" si="49"/>
        <v>0.2074211883257055</v>
      </c>
      <c r="BR24" s="94">
        <f t="shared" si="68"/>
        <v>0.72051217954437907</v>
      </c>
      <c r="BS24" s="94">
        <f t="shared" si="76"/>
        <v>0</v>
      </c>
      <c r="BT24" s="94">
        <f t="shared" si="76"/>
        <v>8.4643929193979339E-2</v>
      </c>
      <c r="BU24" s="95">
        <f t="shared" si="76"/>
        <v>1.1753040781217332</v>
      </c>
      <c r="BV24" s="94">
        <f t="shared" si="9"/>
        <v>0.15542180770682476</v>
      </c>
      <c r="BW24" s="94">
        <f t="shared" si="9"/>
        <v>3.9461478989198884E-2</v>
      </c>
      <c r="BX24" s="94">
        <f t="shared" si="9"/>
        <v>0.16598705826526519</v>
      </c>
      <c r="BY24" s="94">
        <f t="shared" si="50"/>
        <v>0.57658380077868199</v>
      </c>
      <c r="BZ24" s="95">
        <f t="shared" si="10"/>
        <v>0.94052718562320181</v>
      </c>
      <c r="CA24" s="96" t="e">
        <f>#REF!</f>
        <v>#REF!</v>
      </c>
      <c r="CB24" s="94">
        <f t="shared" si="51"/>
        <v>4.7938885871267399E-2</v>
      </c>
      <c r="CC24" s="95">
        <f t="shared" si="51"/>
        <v>8.1726235372759151E-2</v>
      </c>
      <c r="CD24" s="97">
        <f t="shared" si="11"/>
        <v>0.11999214970754707</v>
      </c>
      <c r="CE24" s="98">
        <f t="shared" si="11"/>
        <v>0.20456267373873122</v>
      </c>
      <c r="CF24" s="97">
        <f t="shared" si="52"/>
        <v>0.56869881710646042</v>
      </c>
      <c r="CG24" s="94">
        <f t="shared" si="52"/>
        <v>9.8995720014828287E-2</v>
      </c>
      <c r="CH24" s="95">
        <f t="shared" si="53"/>
        <v>0.8256664307619721</v>
      </c>
      <c r="CI24" s="96" t="e">
        <f>#REF!</f>
        <v>#REF!</v>
      </c>
      <c r="CJ24" s="94" t="str">
        <f t="shared" si="54"/>
        <v>0,00</v>
      </c>
      <c r="CK24" s="94" t="str">
        <f t="shared" si="54"/>
        <v>0,00</v>
      </c>
      <c r="CL24" s="95" t="str">
        <f t="shared" si="69"/>
        <v xml:space="preserve">0,00 </v>
      </c>
      <c r="CM24" s="95" t="e">
        <f>#REF!</f>
        <v>#REF!</v>
      </c>
      <c r="CN24" s="94">
        <f t="shared" si="55"/>
        <v>0.52892273994424532</v>
      </c>
      <c r="CO24" s="94">
        <f t="shared" si="55"/>
        <v>5.9633446170184519E-2</v>
      </c>
      <c r="CP24" s="95">
        <f t="shared" si="56"/>
        <v>0.90227996814018319</v>
      </c>
      <c r="CQ24" s="95" t="e">
        <f>#REF!</f>
        <v>#REF!</v>
      </c>
      <c r="CR24" s="97">
        <f t="shared" si="70"/>
        <v>9.9048470335293903E-2</v>
      </c>
      <c r="CS24" s="95">
        <f t="shared" si="70"/>
        <v>0.2292005761722038</v>
      </c>
      <c r="CT24" s="96" t="e">
        <f>#REF!</f>
        <v>#REF!</v>
      </c>
      <c r="CU24" s="97">
        <f t="shared" si="71"/>
        <v>5.6144566786895264E-2</v>
      </c>
      <c r="CV24" s="95">
        <f t="shared" si="57"/>
        <v>8.5737009930935013E-2</v>
      </c>
      <c r="CW24" s="96" t="e">
        <f>#REF!</f>
        <v>#REF!</v>
      </c>
      <c r="CX24" s="99">
        <f t="shared" si="58"/>
        <v>0.13354047660113419</v>
      </c>
      <c r="CY24" s="95">
        <f t="shared" si="58"/>
        <v>1.5552906913385107E-2</v>
      </c>
      <c r="CZ24" s="99">
        <f t="shared" si="58"/>
        <v>0.34270025922941671</v>
      </c>
      <c r="DA24" s="95">
        <f t="shared" si="58"/>
        <v>1.4480292643496481E-2</v>
      </c>
      <c r="DB24" s="94">
        <f t="shared" si="12"/>
        <v>0.13568570514091147</v>
      </c>
      <c r="DC24" s="94">
        <f t="shared" si="13"/>
        <v>6.4035071912347974E-2</v>
      </c>
      <c r="DD24" s="94">
        <f t="shared" si="13"/>
        <v>0.49737123694730689</v>
      </c>
      <c r="DE24" s="94">
        <f t="shared" si="13"/>
        <v>0.19843363992939622</v>
      </c>
      <c r="DF24" s="94">
        <f t="shared" si="13"/>
        <v>0</v>
      </c>
      <c r="DG24" s="94">
        <f t="shared" si="13"/>
        <v>0</v>
      </c>
      <c r="DH24" s="95">
        <f t="shared" si="13"/>
        <v>0.69709201400056642</v>
      </c>
      <c r="DI24" s="96" t="e">
        <f>#REF!</f>
        <v>#REF!</v>
      </c>
      <c r="DJ24" s="95">
        <f t="shared" si="59"/>
        <v>-1.1042563908503427</v>
      </c>
      <c r="DK24" s="96" t="e">
        <f>#REF!</f>
        <v>#REF!</v>
      </c>
      <c r="DL24" s="95">
        <f t="shared" si="60"/>
        <v>1.1149305117571737</v>
      </c>
      <c r="DM24" s="96">
        <f t="shared" si="14"/>
        <v>0</v>
      </c>
      <c r="DN24" s="94">
        <f t="shared" si="15"/>
        <v>2.6129403832407534</v>
      </c>
      <c r="DO24" s="100">
        <v>3.4</v>
      </c>
      <c r="DP24" s="94">
        <f>IF($O24&lt;&gt;0,IF($O24&lt;&gt;0,BL24/$O24*10,0)," ")</f>
        <v>2.6236145041475845</v>
      </c>
      <c r="DQ24" s="94">
        <f t="shared" si="73"/>
        <v>3.1203831006099625</v>
      </c>
      <c r="DR24" s="101" t="str">
        <f t="shared" si="16"/>
        <v>3,315, hL/NhL</v>
      </c>
      <c r="DT24" s="103">
        <v>19</v>
      </c>
      <c r="DU24" s="330">
        <v>627553</v>
      </c>
      <c r="DV24" s="330">
        <v>27718</v>
      </c>
      <c r="DW24" s="330">
        <v>5136363</v>
      </c>
      <c r="DX24" s="330">
        <v>119002</v>
      </c>
      <c r="DY24" s="330">
        <v>85315.1</v>
      </c>
      <c r="DZ24" s="330">
        <v>396394</v>
      </c>
      <c r="EA24" s="330">
        <v>233735</v>
      </c>
      <c r="EB24" s="330">
        <v>54741.4</v>
      </c>
      <c r="EC24" s="330">
        <v>410098</v>
      </c>
      <c r="ED24" s="330">
        <v>47462.5</v>
      </c>
      <c r="EE24" s="330">
        <v>42518.1</v>
      </c>
      <c r="EF24" s="330">
        <v>39041.800000000003</v>
      </c>
      <c r="EG24" s="330">
        <v>92821.4</v>
      </c>
      <c r="EH24" s="330">
        <v>182996.2</v>
      </c>
      <c r="EI24" s="330">
        <v>32247</v>
      </c>
      <c r="EJ24" s="330">
        <v>40998</v>
      </c>
      <c r="EK24" s="330"/>
      <c r="EL24" s="330">
        <v>704415.7</v>
      </c>
      <c r="EM24" s="330">
        <v>3095</v>
      </c>
      <c r="EN24" s="330">
        <v>44808.9</v>
      </c>
      <c r="EO24" s="330">
        <v>3034025.2</v>
      </c>
      <c r="EP24" s="330">
        <v>2775942</v>
      </c>
      <c r="EQ24" s="330">
        <v>0</v>
      </c>
      <c r="ER24" s="330">
        <v>1263</v>
      </c>
      <c r="ES24" s="330">
        <v>367435</v>
      </c>
      <c r="ET24" s="330">
        <v>1607889</v>
      </c>
      <c r="EU24" s="330">
        <v>428539</v>
      </c>
      <c r="EV24" s="330">
        <v>142240</v>
      </c>
      <c r="EW24" s="330">
        <v>113969</v>
      </c>
      <c r="EX24" s="330">
        <v>210538.4</v>
      </c>
      <c r="EY24" s="330">
        <v>1657370.2</v>
      </c>
      <c r="EZ24" s="330">
        <v>786277.6</v>
      </c>
      <c r="FA24" s="387">
        <v>749190</v>
      </c>
      <c r="FB24" s="104">
        <v>31276.6</v>
      </c>
      <c r="FC24" s="104">
        <v>6951</v>
      </c>
      <c r="FD24" s="104">
        <f t="shared" si="75"/>
        <v>4892</v>
      </c>
      <c r="FE24" s="105">
        <f t="shared" si="77"/>
        <v>0</v>
      </c>
      <c r="FF24" s="105">
        <f t="shared" si="77"/>
        <v>765</v>
      </c>
      <c r="FG24" s="105">
        <f t="shared" si="77"/>
        <v>1023</v>
      </c>
      <c r="FH24" s="105">
        <f t="shared" si="77"/>
        <v>802</v>
      </c>
      <c r="FI24" s="105">
        <f t="shared" si="77"/>
        <v>360</v>
      </c>
      <c r="FJ24" s="105">
        <f t="shared" si="77"/>
        <v>0</v>
      </c>
      <c r="FK24" s="105">
        <f t="shared" si="77"/>
        <v>871</v>
      </c>
      <c r="FL24" s="105">
        <v>1070</v>
      </c>
      <c r="FM24" s="105">
        <v>1</v>
      </c>
      <c r="FN24" s="80">
        <f t="shared" si="78"/>
        <v>0</v>
      </c>
      <c r="FO24" s="105"/>
      <c r="FP24" s="162"/>
      <c r="FY24" s="119">
        <v>19</v>
      </c>
      <c r="FZ24" s="107"/>
      <c r="GA24" s="107"/>
      <c r="GB24" s="107"/>
      <c r="GC24" s="109"/>
      <c r="GD24" s="110"/>
      <c r="GE24" s="110"/>
      <c r="GF24" s="111"/>
      <c r="GG24" s="111"/>
      <c r="GH24" s="111"/>
      <c r="GI24" s="164"/>
      <c r="GJ24" s="111" t="e">
        <f t="shared" si="61"/>
        <v>#DIV/0!</v>
      </c>
    </row>
    <row r="25" spans="1:193" ht="15" customHeight="1">
      <c r="B25" s="351">
        <v>42936</v>
      </c>
      <c r="D25" s="86">
        <v>5358</v>
      </c>
      <c r="E25" s="86"/>
      <c r="F25" s="86">
        <v>2654.2080000000001</v>
      </c>
      <c r="G25" s="86">
        <v>5350.625</v>
      </c>
      <c r="H25" s="86">
        <v>5297.4669999999996</v>
      </c>
      <c r="I25" s="86">
        <v>2004.2809999999999</v>
      </c>
      <c r="J25" s="86">
        <v>2496</v>
      </c>
      <c r="K25" s="284"/>
      <c r="L25" s="284"/>
      <c r="M25" s="284">
        <f>I25+J25</f>
        <v>4500.2809999999999</v>
      </c>
      <c r="N25" s="88">
        <f>SUM(D25:H25)</f>
        <v>18660.3</v>
      </c>
      <c r="O25" s="88">
        <f t="shared" si="20"/>
        <v>20910.440500000001</v>
      </c>
      <c r="P25" s="89">
        <f t="shared" si="21"/>
        <v>347888.88099999999</v>
      </c>
      <c r="R25" s="170">
        <f t="shared" si="22"/>
        <v>348.5</v>
      </c>
      <c r="S25" s="170">
        <f t="shared" si="23"/>
        <v>29.70999999999767</v>
      </c>
      <c r="T25" s="170">
        <f t="shared" si="1"/>
        <v>241.8</v>
      </c>
      <c r="U25" s="91">
        <f t="shared" si="74"/>
        <v>6.05</v>
      </c>
      <c r="V25" s="170">
        <f t="shared" si="24"/>
        <v>1510.1999999997206</v>
      </c>
      <c r="W25" s="91">
        <f t="shared" si="2"/>
        <v>-12.2</v>
      </c>
      <c r="X25" s="170">
        <f t="shared" si="25"/>
        <v>1510.1999999997206</v>
      </c>
      <c r="Y25" s="170" t="str">
        <f t="shared" si="26"/>
        <v>0</v>
      </c>
      <c r="Z25" s="170">
        <f t="shared" si="3"/>
        <v>149.1</v>
      </c>
      <c r="AA25" s="170">
        <f t="shared" si="27"/>
        <v>2136.2599999997183</v>
      </c>
      <c r="AB25" s="170">
        <f t="shared" si="28"/>
        <v>70</v>
      </c>
      <c r="AC25" s="170">
        <f t="shared" si="28"/>
        <v>22</v>
      </c>
      <c r="AD25" s="170">
        <f t="shared" si="29"/>
        <v>351</v>
      </c>
      <c r="AE25" s="170">
        <f t="shared" si="30"/>
        <v>259</v>
      </c>
      <c r="AF25" s="170">
        <f t="shared" si="31"/>
        <v>0</v>
      </c>
      <c r="AG25" s="170">
        <f t="shared" si="31"/>
        <v>0</v>
      </c>
      <c r="AH25" s="170">
        <f t="shared" si="32"/>
        <v>12</v>
      </c>
      <c r="AI25" s="170">
        <f t="shared" si="33"/>
        <v>12</v>
      </c>
      <c r="AJ25" s="170">
        <f t="shared" si="34"/>
        <v>131</v>
      </c>
      <c r="AK25" s="170">
        <f t="shared" si="34"/>
        <v>12.299999999995634</v>
      </c>
      <c r="AL25" s="170">
        <f t="shared" si="35"/>
        <v>212</v>
      </c>
      <c r="AM25" s="170">
        <f t="shared" si="36"/>
        <v>68.700000000004366</v>
      </c>
      <c r="AN25" s="170">
        <f t="shared" si="37"/>
        <v>34.69999999999709</v>
      </c>
      <c r="AO25" s="170">
        <f t="shared" si="4"/>
        <v>68.899999999994179</v>
      </c>
      <c r="AP25" s="170">
        <f t="shared" si="38"/>
        <v>22.100000000005821</v>
      </c>
      <c r="AQ25" s="170">
        <f t="shared" si="5"/>
        <v>38.399999999994179</v>
      </c>
      <c r="AR25" s="170">
        <f t="shared" si="39"/>
        <v>65.747</v>
      </c>
      <c r="AS25" s="170">
        <f t="shared" si="40"/>
        <v>-8.2529999999999859</v>
      </c>
      <c r="AT25" s="170">
        <f t="shared" si="41"/>
        <v>294.74700000000001</v>
      </c>
      <c r="AU25" s="170">
        <f t="shared" si="63"/>
        <v>267</v>
      </c>
      <c r="AV25" s="170">
        <f t="shared" si="64"/>
        <v>33</v>
      </c>
      <c r="AW25" s="170">
        <f>IF(EU25="","",(EU25-EU24))</f>
        <v>36</v>
      </c>
      <c r="AX25" s="170">
        <f t="shared" si="66"/>
        <v>26</v>
      </c>
      <c r="AY25" s="170" t="str">
        <f t="shared" si="66"/>
        <v/>
      </c>
      <c r="AZ25" s="170">
        <f t="shared" si="42"/>
        <v>308</v>
      </c>
      <c r="BA25" s="170">
        <v>46</v>
      </c>
      <c r="BB25" s="170">
        <f t="shared" si="43"/>
        <v>76.300000000017462</v>
      </c>
      <c r="BC25" s="170">
        <f t="shared" si="43"/>
        <v>1074.4000000001397</v>
      </c>
      <c r="BD25" s="91">
        <f t="shared" si="44"/>
        <v>220</v>
      </c>
      <c r="BE25" s="90"/>
      <c r="BF25" s="90"/>
      <c r="BG25" s="90">
        <f t="shared" si="6"/>
        <v>1458.7000000001572</v>
      </c>
      <c r="BH25" s="90">
        <f t="shared" si="45"/>
        <v>-21</v>
      </c>
      <c r="BI25" s="90">
        <f t="shared" si="7"/>
        <v>1495.9930000001359</v>
      </c>
      <c r="BJ25" s="90">
        <f t="shared" si="46"/>
        <v>4631.0069999998641</v>
      </c>
      <c r="BK25" s="92"/>
      <c r="BL25" s="331">
        <f>FD25+FN25</f>
        <v>6106</v>
      </c>
      <c r="BM25" s="93">
        <f t="shared" si="47"/>
        <v>108135.8</v>
      </c>
      <c r="BN25" s="92"/>
      <c r="BO25" s="94">
        <f t="shared" si="48"/>
        <v>0.18676012711478379</v>
      </c>
      <c r="BP25" s="94">
        <f t="shared" si="48"/>
        <v>1.5921501797933404E-2</v>
      </c>
      <c r="BQ25" s="94">
        <f t="shared" si="49"/>
        <v>0.12957991029083135</v>
      </c>
      <c r="BR25" s="94">
        <f t="shared" si="68"/>
        <v>0.80931174739940981</v>
      </c>
      <c r="BS25" s="94">
        <f t="shared" si="76"/>
        <v>0</v>
      </c>
      <c r="BT25" s="94">
        <f t="shared" si="76"/>
        <v>7.9902252375363747E-2</v>
      </c>
      <c r="BU25" s="95">
        <f t="shared" si="76"/>
        <v>1.1448154638455537</v>
      </c>
      <c r="BV25" s="94">
        <f t="shared" si="9"/>
        <v>0.16666315566140275</v>
      </c>
      <c r="BW25" s="94">
        <f t="shared" si="9"/>
        <v>1.420821335638418E-2</v>
      </c>
      <c r="BX25" s="94">
        <f t="shared" si="9"/>
        <v>0.11563601445890152</v>
      </c>
      <c r="BY25" s="94">
        <f t="shared" si="50"/>
        <v>0.72222294886600813</v>
      </c>
      <c r="BZ25" s="95">
        <f t="shared" si="10"/>
        <v>1.0216236238541785</v>
      </c>
      <c r="CA25" s="96" t="e">
        <f>#REF!</f>
        <v>#REF!</v>
      </c>
      <c r="CB25" s="94">
        <f t="shared" si="51"/>
        <v>3.1442187934778321E-2</v>
      </c>
      <c r="CC25" s="95">
        <f t="shared" si="51"/>
        <v>-3.9468322056629961E-3</v>
      </c>
      <c r="CD25" s="97">
        <f t="shared" si="11"/>
        <v>0.146095321603251</v>
      </c>
      <c r="CE25" s="98">
        <f t="shared" si="11"/>
        <v>-1.8338854840397711E-2</v>
      </c>
      <c r="CF25" s="97">
        <f t="shared" si="52"/>
        <v>0.13064576334453154</v>
      </c>
      <c r="CG25" s="94">
        <f t="shared" si="52"/>
        <v>4.1060097051138486E-2</v>
      </c>
      <c r="CH25" s="95">
        <f t="shared" si="53"/>
        <v>0.65509518477043671</v>
      </c>
      <c r="CI25" s="96" t="e">
        <f>#REF!</f>
        <v>#REF!</v>
      </c>
      <c r="CJ25" s="94" t="str">
        <f t="shared" si="54"/>
        <v>0,00</v>
      </c>
      <c r="CK25" s="94" t="str">
        <f t="shared" si="54"/>
        <v>0,00</v>
      </c>
      <c r="CL25" s="95" t="str">
        <f t="shared" si="69"/>
        <v xml:space="preserve">0,00 </v>
      </c>
      <c r="CM25" s="95" t="e">
        <f>#REF!</f>
        <v>#REF!</v>
      </c>
      <c r="CN25" s="94">
        <f t="shared" si="55"/>
        <v>0.49355589313271603</v>
      </c>
      <c r="CO25" s="94">
        <f t="shared" si="55"/>
        <v>4.6341507523131702E-2</v>
      </c>
      <c r="CP25" s="95">
        <f t="shared" si="56"/>
        <v>0.79873167438271608</v>
      </c>
      <c r="CQ25" s="95" t="e">
        <f>#REF!</f>
        <v>#REF!</v>
      </c>
      <c r="CR25" s="97">
        <f t="shared" si="70"/>
        <v>6.4852236888208556E-2</v>
      </c>
      <c r="CS25" s="95">
        <f t="shared" si="70"/>
        <v>0.12877000350425266</v>
      </c>
      <c r="CT25" s="96" t="e">
        <f>#REF!</f>
        <v>#REF!</v>
      </c>
      <c r="CU25" s="97">
        <f t="shared" si="71"/>
        <v>4.1718051287541427E-2</v>
      </c>
      <c r="CV25" s="95">
        <f t="shared" si="57"/>
        <v>7.2487473730358645E-2</v>
      </c>
      <c r="CW25" s="96" t="e">
        <f>#REF!</f>
        <v>#REF!</v>
      </c>
      <c r="CX25" s="99">
        <f t="shared" si="58"/>
        <v>0.12768741050672749</v>
      </c>
      <c r="CY25" s="95">
        <f t="shared" si="58"/>
        <v>1.578159006262924E-2</v>
      </c>
      <c r="CZ25" s="99">
        <f t="shared" si="58"/>
        <v>1.7216280068322806E-2</v>
      </c>
      <c r="DA25" s="95">
        <f t="shared" si="58"/>
        <v>1.243398004934425E-2</v>
      </c>
      <c r="DB25" s="94">
        <f t="shared" si="12"/>
        <v>0.14729484058453957</v>
      </c>
      <c r="DC25" s="94">
        <f t="shared" si="13"/>
        <v>3.648894914481475E-2</v>
      </c>
      <c r="DD25" s="94">
        <f t="shared" si="13"/>
        <v>0.51381031403912303</v>
      </c>
      <c r="DE25" s="94">
        <f t="shared" si="13"/>
        <v>0.10521060041752825</v>
      </c>
      <c r="DF25" s="94">
        <f t="shared" si="13"/>
        <v>0</v>
      </c>
      <c r="DG25" s="94">
        <f t="shared" si="13"/>
        <v>0</v>
      </c>
      <c r="DH25" s="95">
        <f t="shared" si="13"/>
        <v>0.6975941037684773</v>
      </c>
      <c r="DI25" s="96" t="e">
        <f>#REF!</f>
        <v>#REF!</v>
      </c>
      <c r="DJ25" s="95">
        <f t="shared" si="59"/>
        <v>-1.0042830039854973E-2</v>
      </c>
      <c r="DK25" s="96" t="e">
        <f>#REF!</f>
        <v>#REF!</v>
      </c>
      <c r="DL25" s="95">
        <f t="shared" si="60"/>
        <v>0.71542873522924388</v>
      </c>
      <c r="DM25" s="96">
        <f t="shared" si="14"/>
        <v>0</v>
      </c>
      <c r="DN25" s="94">
        <f t="shared" si="15"/>
        <v>2.2146864863989184</v>
      </c>
      <c r="DO25" s="100">
        <v>3.4</v>
      </c>
      <c r="DP25" s="94">
        <f t="shared" si="72"/>
        <v>2.9200723915883069</v>
      </c>
      <c r="DQ25" s="94">
        <f t="shared" si="73"/>
        <v>3.1083430918851356</v>
      </c>
      <c r="DR25" s="101" t="str">
        <f t="shared" si="16"/>
        <v>3,315, hL/NhL</v>
      </c>
      <c r="DS25" s="173"/>
      <c r="DT25" s="103">
        <v>20</v>
      </c>
      <c r="DU25" s="330">
        <v>627623</v>
      </c>
      <c r="DV25" s="330">
        <v>27740</v>
      </c>
      <c r="DW25" s="330">
        <v>5136714</v>
      </c>
      <c r="DX25" s="330">
        <v>119002</v>
      </c>
      <c r="DY25" s="330">
        <f>DY24</f>
        <v>85315.1</v>
      </c>
      <c r="DZ25" s="330">
        <v>396406</v>
      </c>
      <c r="EA25" s="330">
        <v>233866</v>
      </c>
      <c r="EB25" s="330">
        <v>54753.7</v>
      </c>
      <c r="EC25" s="330">
        <v>410310</v>
      </c>
      <c r="ED25" s="330">
        <v>47497.2</v>
      </c>
      <c r="EE25" s="105">
        <v>42551.199999999997</v>
      </c>
      <c r="EF25" s="330">
        <v>39077.599999999999</v>
      </c>
      <c r="EG25" s="330">
        <v>92843.5</v>
      </c>
      <c r="EH25" s="330">
        <v>183034.6</v>
      </c>
      <c r="EI25" s="330">
        <v>32280</v>
      </c>
      <c r="EJ25" s="330">
        <v>41024</v>
      </c>
      <c r="EK25" s="330"/>
      <c r="EL25" s="330">
        <v>704764.2</v>
      </c>
      <c r="EM25" s="330">
        <v>2418</v>
      </c>
      <c r="EN25" s="330">
        <v>44869.4</v>
      </c>
      <c r="EO25" s="330">
        <v>3035535.4</v>
      </c>
      <c r="EP25" s="330">
        <v>2775820</v>
      </c>
      <c r="EQ25" s="330">
        <v>0</v>
      </c>
      <c r="ER25" s="330">
        <v>1491</v>
      </c>
      <c r="ES25" s="330">
        <v>367664</v>
      </c>
      <c r="ET25" s="330">
        <v>1673636</v>
      </c>
      <c r="EU25" s="330">
        <v>428575</v>
      </c>
      <c r="EV25" s="330">
        <v>142507</v>
      </c>
      <c r="EW25" s="330">
        <v>114277</v>
      </c>
      <c r="EX25" s="330">
        <v>210614.7</v>
      </c>
      <c r="EY25" s="330">
        <v>1658444.6</v>
      </c>
      <c r="EZ25" s="330">
        <v>786574.7</v>
      </c>
      <c r="FA25" s="387">
        <v>749410</v>
      </c>
      <c r="FB25" s="104">
        <v>31327.5</v>
      </c>
      <c r="FC25" s="104">
        <v>6127</v>
      </c>
      <c r="FD25" s="104">
        <f t="shared" si="75"/>
        <v>6106</v>
      </c>
      <c r="FE25" s="105">
        <f t="shared" si="77"/>
        <v>0</v>
      </c>
      <c r="FF25" s="105">
        <f t="shared" si="77"/>
        <v>932</v>
      </c>
      <c r="FG25" s="105">
        <f t="shared" si="77"/>
        <v>960</v>
      </c>
      <c r="FH25" s="105">
        <f t="shared" si="77"/>
        <v>1644</v>
      </c>
      <c r="FI25" s="105">
        <f t="shared" si="77"/>
        <v>496</v>
      </c>
      <c r="FJ25" s="105">
        <f t="shared" si="77"/>
        <v>0</v>
      </c>
      <c r="FK25" s="105">
        <v>1005</v>
      </c>
      <c r="FL25" s="105">
        <v>1068</v>
      </c>
      <c r="FM25" s="105">
        <v>1</v>
      </c>
      <c r="FN25" s="80">
        <f t="shared" si="78"/>
        <v>0</v>
      </c>
      <c r="FO25" s="511"/>
      <c r="FP25" s="162"/>
      <c r="FQ25" s="175"/>
      <c r="FR25" s="64"/>
      <c r="FS25" s="64"/>
      <c r="FT25" s="64"/>
      <c r="FU25" s="64"/>
      <c r="FV25" s="64"/>
      <c r="FW25" s="64"/>
      <c r="FX25" s="64"/>
      <c r="FY25" s="64">
        <v>20</v>
      </c>
      <c r="FZ25" s="107"/>
      <c r="GA25" s="107"/>
      <c r="GB25" s="107"/>
      <c r="GC25" s="109"/>
      <c r="GD25" s="110"/>
      <c r="GE25" s="110"/>
      <c r="GF25" s="111"/>
      <c r="GG25" s="111"/>
      <c r="GH25" s="111"/>
      <c r="GI25" s="164"/>
      <c r="GJ25" s="111" t="e">
        <f t="shared" si="61"/>
        <v>#DIV/0!</v>
      </c>
      <c r="GK25" s="118"/>
    </row>
    <row r="26" spans="1:193" s="119" customFormat="1" ht="15" customHeight="1">
      <c r="B26" s="351">
        <v>42937</v>
      </c>
      <c r="D26" s="86">
        <v>3697.56</v>
      </c>
      <c r="E26" s="86"/>
      <c r="F26" s="86">
        <v>3086.8559999999998</v>
      </c>
      <c r="G26" s="86">
        <v>5365.4269999999997</v>
      </c>
      <c r="H26" s="86">
        <v>7609.54</v>
      </c>
      <c r="I26" s="86">
        <v>1824.654</v>
      </c>
      <c r="J26" s="284"/>
      <c r="K26" s="284">
        <v>11.117000000000001</v>
      </c>
      <c r="L26" s="284"/>
      <c r="M26" s="284">
        <f t="shared" si="62"/>
        <v>1824.654</v>
      </c>
      <c r="N26" s="88">
        <f t="shared" si="19"/>
        <v>19759.382999999998</v>
      </c>
      <c r="O26" s="88">
        <f t="shared" si="20"/>
        <v>20671.71</v>
      </c>
      <c r="P26" s="89">
        <f t="shared" si="21"/>
        <v>368560.59100000001</v>
      </c>
      <c r="R26" s="170">
        <f t="shared" si="22"/>
        <v>336.80000000004657</v>
      </c>
      <c r="S26" s="170">
        <f t="shared" si="23"/>
        <v>10.030000000004657</v>
      </c>
      <c r="T26" s="170">
        <f t="shared" si="1"/>
        <v>432.3</v>
      </c>
      <c r="U26" s="91">
        <f t="shared" si="74"/>
        <v>5.6599999999998545</v>
      </c>
      <c r="V26" s="170">
        <f t="shared" si="24"/>
        <v>1619.7000000001863</v>
      </c>
      <c r="W26" s="91">
        <f t="shared" si="2"/>
        <v>143.5</v>
      </c>
      <c r="X26" s="170">
        <f t="shared" si="25"/>
        <v>1619.7000000001863</v>
      </c>
      <c r="Y26" s="170" t="str">
        <f t="shared" si="26"/>
        <v>0</v>
      </c>
      <c r="Z26" s="170">
        <f t="shared" si="3"/>
        <v>187</v>
      </c>
      <c r="AA26" s="170">
        <f t="shared" si="27"/>
        <v>2404.4900000002372</v>
      </c>
      <c r="AB26" s="170">
        <f t="shared" si="28"/>
        <v>127</v>
      </c>
      <c r="AC26" s="170">
        <f t="shared" si="28"/>
        <v>21</v>
      </c>
      <c r="AD26" s="170">
        <f t="shared" si="29"/>
        <v>289</v>
      </c>
      <c r="AE26" s="170">
        <f t="shared" si="30"/>
        <v>141</v>
      </c>
      <c r="AF26" s="170">
        <f t="shared" si="31"/>
        <v>116</v>
      </c>
      <c r="AG26" s="170">
        <f t="shared" si="31"/>
        <v>0</v>
      </c>
      <c r="AH26" s="170">
        <f t="shared" si="32"/>
        <v>126</v>
      </c>
      <c r="AI26" s="170">
        <f t="shared" si="33"/>
        <v>10</v>
      </c>
      <c r="AJ26" s="170">
        <f t="shared" si="34"/>
        <v>143</v>
      </c>
      <c r="AK26" s="170">
        <f t="shared" si="34"/>
        <v>17.100000000005821</v>
      </c>
      <c r="AL26" s="170">
        <f t="shared" si="35"/>
        <v>248</v>
      </c>
      <c r="AM26" s="170">
        <f t="shared" si="36"/>
        <v>87.899999999994179</v>
      </c>
      <c r="AN26" s="170">
        <f t="shared" si="37"/>
        <v>32</v>
      </c>
      <c r="AO26" s="170">
        <f t="shared" si="4"/>
        <v>77.200000000004366</v>
      </c>
      <c r="AP26" s="170">
        <f t="shared" si="38"/>
        <v>34.19999999999709</v>
      </c>
      <c r="AQ26" s="170">
        <f t="shared" si="5"/>
        <v>42.699999999982538</v>
      </c>
      <c r="AR26" s="170">
        <f t="shared" si="39"/>
        <v>46.793999999999997</v>
      </c>
      <c r="AS26" s="170">
        <f t="shared" si="40"/>
        <v>167.79399999999998</v>
      </c>
      <c r="AT26" s="170">
        <f t="shared" si="41"/>
        <v>429.79399999999998</v>
      </c>
      <c r="AU26" s="170">
        <f t="shared" si="63"/>
        <v>262</v>
      </c>
      <c r="AV26" s="170">
        <f t="shared" si="64"/>
        <v>37</v>
      </c>
      <c r="AW26" s="170">
        <f t="shared" si="65"/>
        <v>0</v>
      </c>
      <c r="AX26" s="170">
        <f t="shared" si="66"/>
        <v>0</v>
      </c>
      <c r="AY26" s="170" t="str">
        <f t="shared" si="66"/>
        <v/>
      </c>
      <c r="AZ26" s="170">
        <f t="shared" si="42"/>
        <v>365</v>
      </c>
      <c r="BA26" s="170">
        <v>32.299999999999997</v>
      </c>
      <c r="BB26" s="170">
        <f t="shared" si="43"/>
        <v>96.099999999976717</v>
      </c>
      <c r="BC26" s="170">
        <f t="shared" si="43"/>
        <v>1084.0999999998603</v>
      </c>
      <c r="BD26" s="91">
        <f t="shared" si="44"/>
        <v>331</v>
      </c>
      <c r="BE26" s="90"/>
      <c r="BF26" s="90"/>
      <c r="BG26" s="90">
        <f t="shared" si="6"/>
        <v>1545.199999999837</v>
      </c>
      <c r="BH26" s="90">
        <f t="shared" si="45"/>
        <v>-2468</v>
      </c>
      <c r="BI26" s="90">
        <f t="shared" si="7"/>
        <v>1342.615999999939</v>
      </c>
      <c r="BJ26" s="90">
        <f t="shared" si="46"/>
        <v>5199.384000000061</v>
      </c>
      <c r="BK26" s="92"/>
      <c r="BL26" s="331">
        <f t="shared" si="67"/>
        <v>4074</v>
      </c>
      <c r="BM26" s="93">
        <f t="shared" si="47"/>
        <v>112209.8</v>
      </c>
      <c r="BN26" s="92"/>
      <c r="BO26" s="94">
        <f t="shared" si="48"/>
        <v>0.1704506663998803</v>
      </c>
      <c r="BP26" s="94">
        <f t="shared" si="48"/>
        <v>5.0760694299030792E-3</v>
      </c>
      <c r="BQ26" s="94">
        <f t="shared" si="49"/>
        <v>0.21878213504945981</v>
      </c>
      <c r="BR26" s="94">
        <f t="shared" si="68"/>
        <v>0.81971183007090176</v>
      </c>
      <c r="BS26" s="94">
        <f t="shared" si="76"/>
        <v>0</v>
      </c>
      <c r="BT26" s="94">
        <f t="shared" si="76"/>
        <v>9.4638582591369383E-2</v>
      </c>
      <c r="BU26" s="95">
        <f t="shared" si="76"/>
        <v>1.2168851628617336</v>
      </c>
      <c r="BV26" s="94">
        <f t="shared" si="9"/>
        <v>0.16292798225209554</v>
      </c>
      <c r="BW26" s="94">
        <f t="shared" si="9"/>
        <v>4.8520417517489639E-3</v>
      </c>
      <c r="BX26" s="94">
        <f t="shared" si="9"/>
        <v>0.20912638577069823</v>
      </c>
      <c r="BY26" s="94">
        <f t="shared" si="50"/>
        <v>0.78353459873430231</v>
      </c>
      <c r="BZ26" s="95">
        <f t="shared" si="10"/>
        <v>1.1631790500158126</v>
      </c>
      <c r="CA26" s="96" t="e">
        <f>#REF!</f>
        <v>#REF!</v>
      </c>
      <c r="CB26" s="94">
        <f t="shared" si="51"/>
        <v>2.2636733971209928E-2</v>
      </c>
      <c r="CC26" s="95">
        <f t="shared" si="51"/>
        <v>8.1170836858682704E-2</v>
      </c>
      <c r="CD26" s="97">
        <f t="shared" si="11"/>
        <v>0.25645410033902316</v>
      </c>
      <c r="CE26" s="98">
        <f t="shared" si="11"/>
        <v>0.91959352293640317</v>
      </c>
      <c r="CF26" s="97">
        <f t="shared" si="52"/>
        <v>0.34346974761734766</v>
      </c>
      <c r="CG26" s="94">
        <f t="shared" si="52"/>
        <v>5.6794210235939377E-2</v>
      </c>
      <c r="CH26" s="95">
        <f t="shared" si="53"/>
        <v>0.78159651229459437</v>
      </c>
      <c r="CI26" s="96" t="e">
        <f>#REF!</f>
        <v>#REF!</v>
      </c>
      <c r="CJ26" s="94" t="str">
        <f t="shared" si="54"/>
        <v>0,00</v>
      </c>
      <c r="CK26" s="94" t="str">
        <f t="shared" si="54"/>
        <v>0,00</v>
      </c>
      <c r="CL26" s="95" t="str">
        <f t="shared" si="69"/>
        <v xml:space="preserve">0,00 </v>
      </c>
      <c r="CM26" s="95" t="e">
        <f>#REF!</f>
        <v>#REF!</v>
      </c>
      <c r="CN26" s="94">
        <f t="shared" si="55"/>
        <v>0.4632545217528774</v>
      </c>
      <c r="CO26" s="94">
        <f t="shared" si="55"/>
        <v>5.539617008375454E-2</v>
      </c>
      <c r="CP26" s="95">
        <f t="shared" si="56"/>
        <v>0.80340644331967548</v>
      </c>
      <c r="CQ26" s="95" t="e">
        <f>#REF!</f>
        <v>#REF!</v>
      </c>
      <c r="CR26" s="97">
        <f t="shared" si="70"/>
        <v>5.9641105917571893E-2</v>
      </c>
      <c r="CS26" s="95">
        <f t="shared" si="70"/>
        <v>0.14388416802615034</v>
      </c>
      <c r="CT26" s="96" t="e">
        <f>#REF!</f>
        <v>#REF!</v>
      </c>
      <c r="CU26" s="97">
        <f t="shared" si="71"/>
        <v>4.4943583974848794E-2</v>
      </c>
      <c r="CV26" s="95">
        <f t="shared" si="57"/>
        <v>5.6113772974427545E-2</v>
      </c>
      <c r="CW26" s="96" t="e">
        <f>#REF!</f>
        <v>#REF!</v>
      </c>
      <c r="CX26" s="99">
        <f t="shared" si="58"/>
        <v>0.12674326410345349</v>
      </c>
      <c r="CY26" s="95">
        <f t="shared" si="58"/>
        <v>1.7898857907739613E-2</v>
      </c>
      <c r="CZ26" s="99">
        <f t="shared" si="58"/>
        <v>0</v>
      </c>
      <c r="DA26" s="95">
        <f t="shared" si="58"/>
        <v>0</v>
      </c>
      <c r="DB26" s="94">
        <f t="shared" si="12"/>
        <v>0.17656981449526915</v>
      </c>
      <c r="DC26" s="94">
        <f t="shared" si="13"/>
        <v>4.6488655268469188E-2</v>
      </c>
      <c r="DD26" s="94">
        <f t="shared" si="13"/>
        <v>0.52443653669670309</v>
      </c>
      <c r="DE26" s="94">
        <f t="shared" si="13"/>
        <v>0.16012221533680571</v>
      </c>
      <c r="DF26" s="94">
        <f t="shared" si="13"/>
        <v>0</v>
      </c>
      <c r="DG26" s="94">
        <f t="shared" si="13"/>
        <v>0</v>
      </c>
      <c r="DH26" s="95">
        <f t="shared" si="13"/>
        <v>0.74749500646044142</v>
      </c>
      <c r="DI26" s="96" t="e">
        <f>#REF!</f>
        <v>#REF!</v>
      </c>
      <c r="DJ26" s="95">
        <f t="shared" si="59"/>
        <v>-1.1939021977378748</v>
      </c>
      <c r="DK26" s="96" t="e">
        <f>#REF!</f>
        <v>#REF!</v>
      </c>
      <c r="DL26" s="95">
        <f t="shared" si="60"/>
        <v>0.64949440563936855</v>
      </c>
      <c r="DM26" s="96">
        <f t="shared" si="14"/>
        <v>0</v>
      </c>
      <c r="DN26" s="94">
        <f t="shared" si="15"/>
        <v>2.5152171736155648</v>
      </c>
      <c r="DO26" s="100">
        <v>3.4</v>
      </c>
      <c r="DP26" s="94">
        <f>IF($O26&lt;&gt;0,IF($O26&lt;&gt;0,BL26/$O26*10,0)," ")</f>
        <v>1.9708093815170589</v>
      </c>
      <c r="DQ26" s="94">
        <f>IF($P26&lt;&gt;0,IF($P26&lt;&gt;0,BM26/$P26*10,0)," ")</f>
        <v>3.0445414604840377</v>
      </c>
      <c r="DR26" s="101" t="str">
        <f t="shared" si="16"/>
        <v>3,315, hL/NhL</v>
      </c>
      <c r="DS26" s="173"/>
      <c r="DT26" s="103">
        <v>21</v>
      </c>
      <c r="DU26" s="330">
        <v>627750</v>
      </c>
      <c r="DV26" s="330">
        <v>27761</v>
      </c>
      <c r="DW26" s="330">
        <v>5137003</v>
      </c>
      <c r="DX26" s="330">
        <v>119118</v>
      </c>
      <c r="DY26" s="330">
        <v>85315.1</v>
      </c>
      <c r="DZ26" s="330">
        <v>396532</v>
      </c>
      <c r="EA26" s="330">
        <v>234009</v>
      </c>
      <c r="EB26" s="330">
        <v>54770.8</v>
      </c>
      <c r="EC26" s="330">
        <v>410558</v>
      </c>
      <c r="ED26" s="330">
        <v>47529.2</v>
      </c>
      <c r="EE26" s="105">
        <v>42587</v>
      </c>
      <c r="EF26" s="330">
        <v>39119</v>
      </c>
      <c r="EG26" s="330">
        <v>92877.7</v>
      </c>
      <c r="EH26" s="330">
        <v>183077.3</v>
      </c>
      <c r="EI26" s="330">
        <v>32317</v>
      </c>
      <c r="EJ26" s="330">
        <v>41024</v>
      </c>
      <c r="EK26" s="330"/>
      <c r="EL26" s="330">
        <v>705101</v>
      </c>
      <c r="EM26" s="330">
        <v>4323</v>
      </c>
      <c r="EN26" s="330">
        <v>44926</v>
      </c>
      <c r="EO26" s="330">
        <v>3037155.1</v>
      </c>
      <c r="EP26" s="330">
        <v>2777255</v>
      </c>
      <c r="EQ26" s="330">
        <v>0</v>
      </c>
      <c r="ER26" s="330">
        <v>1870</v>
      </c>
      <c r="ES26" s="330">
        <v>368047</v>
      </c>
      <c r="ET26" s="330">
        <v>1720430</v>
      </c>
      <c r="EU26" s="330">
        <v>428575</v>
      </c>
      <c r="EV26" s="330">
        <v>142769</v>
      </c>
      <c r="EW26" s="330">
        <v>114642</v>
      </c>
      <c r="EX26" s="330">
        <v>210710.8</v>
      </c>
      <c r="EY26" s="330">
        <v>1659528.7</v>
      </c>
      <c r="EZ26" s="330">
        <v>786675</v>
      </c>
      <c r="FA26" s="383">
        <v>749741</v>
      </c>
      <c r="FB26" s="303">
        <v>31328</v>
      </c>
      <c r="FC26" s="303">
        <v>6542</v>
      </c>
      <c r="FD26" s="104">
        <f t="shared" si="75"/>
        <v>4074</v>
      </c>
      <c r="FE26" s="105">
        <f t="shared" si="77"/>
        <v>0</v>
      </c>
      <c r="FF26" s="105">
        <f t="shared" si="77"/>
        <v>340</v>
      </c>
      <c r="FG26" s="105">
        <f t="shared" si="77"/>
        <v>421</v>
      </c>
      <c r="FH26" s="105">
        <f t="shared" si="77"/>
        <v>1644</v>
      </c>
      <c r="FI26" s="105">
        <f t="shared" si="77"/>
        <v>0</v>
      </c>
      <c r="FJ26" s="105">
        <f t="shared" si="77"/>
        <v>0</v>
      </c>
      <c r="FK26" s="105">
        <v>754</v>
      </c>
      <c r="FL26" s="105">
        <v>914</v>
      </c>
      <c r="FM26" s="105">
        <v>1</v>
      </c>
      <c r="FN26" s="80">
        <f t="shared" si="78"/>
        <v>0</v>
      </c>
      <c r="FO26" s="511"/>
      <c r="FP26" s="162"/>
      <c r="FY26" s="119">
        <v>21</v>
      </c>
      <c r="FZ26" s="107"/>
      <c r="GA26" s="107"/>
      <c r="GB26" s="107"/>
      <c r="GC26" s="109"/>
      <c r="GD26" s="110"/>
      <c r="GE26" s="110"/>
      <c r="GF26" s="111"/>
      <c r="GG26" s="111"/>
      <c r="GH26" s="111"/>
      <c r="GI26" s="164"/>
      <c r="GJ26" s="111" t="e">
        <f t="shared" si="61"/>
        <v>#DIV/0!</v>
      </c>
      <c r="GK26" s="113"/>
    </row>
    <row r="27" spans="1:193" s="119" customFormat="1" ht="15" customHeight="1">
      <c r="B27" s="351">
        <v>42938</v>
      </c>
      <c r="D27" s="86">
        <v>6067.68</v>
      </c>
      <c r="E27" s="86"/>
      <c r="F27" s="86">
        <v>2871.9360000000001</v>
      </c>
      <c r="G27" s="86">
        <v>3873.6819999999998</v>
      </c>
      <c r="H27" s="86">
        <v>5009.3999999999996</v>
      </c>
      <c r="I27" s="86">
        <v>2056.0129999999999</v>
      </c>
      <c r="J27" s="86"/>
      <c r="K27" s="284"/>
      <c r="L27" s="284"/>
      <c r="M27" s="284">
        <f t="shared" si="62"/>
        <v>2056.0129999999999</v>
      </c>
      <c r="N27" s="88">
        <f t="shared" si="19"/>
        <v>17822.697999999997</v>
      </c>
      <c r="O27" s="88">
        <f t="shared" si="20"/>
        <v>18850.704499999996</v>
      </c>
      <c r="P27" s="89">
        <f t="shared" si="21"/>
        <v>387411.29550000001</v>
      </c>
      <c r="R27" s="170">
        <f t="shared" si="22"/>
        <v>333.40000000002328</v>
      </c>
      <c r="S27" s="170">
        <f t="shared" si="23"/>
        <v>0</v>
      </c>
      <c r="T27" s="170">
        <f t="shared" si="1"/>
        <v>188.1</v>
      </c>
      <c r="U27" s="91">
        <f t="shared" si="74"/>
        <v>5.819999999999709</v>
      </c>
      <c r="V27" s="170">
        <f t="shared" si="24"/>
        <v>1329.1999999997206</v>
      </c>
      <c r="W27" s="91">
        <f t="shared" si="2"/>
        <v>118.4</v>
      </c>
      <c r="X27" s="170">
        <f t="shared" si="25"/>
        <v>1329.1999999997206</v>
      </c>
      <c r="Y27" s="170" t="str">
        <f t="shared" si="26"/>
        <v>0</v>
      </c>
      <c r="Z27" s="170">
        <f t="shared" si="3"/>
        <v>153.30000000000001</v>
      </c>
      <c r="AA27" s="170">
        <f t="shared" si="27"/>
        <v>1856.5199999997435</v>
      </c>
      <c r="AB27" s="170">
        <f t="shared" si="28"/>
        <v>196</v>
      </c>
      <c r="AC27" s="170">
        <f t="shared" si="28"/>
        <v>28</v>
      </c>
      <c r="AD27" s="170">
        <f t="shared" si="29"/>
        <v>352</v>
      </c>
      <c r="AE27" s="170">
        <f t="shared" si="30"/>
        <v>128</v>
      </c>
      <c r="AF27" s="170">
        <f t="shared" si="31"/>
        <v>5</v>
      </c>
      <c r="AG27" s="170">
        <f t="shared" si="31"/>
        <v>110.89999999999418</v>
      </c>
      <c r="AH27" s="170">
        <f t="shared" si="32"/>
        <v>166</v>
      </c>
      <c r="AI27" s="170">
        <f t="shared" si="33"/>
        <v>50.100000000005821</v>
      </c>
      <c r="AJ27" s="170">
        <f t="shared" si="34"/>
        <v>138</v>
      </c>
      <c r="AK27" s="170">
        <f t="shared" si="34"/>
        <v>7.8999999999941792</v>
      </c>
      <c r="AL27" s="170">
        <f t="shared" si="35"/>
        <v>198</v>
      </c>
      <c r="AM27" s="170">
        <f t="shared" si="36"/>
        <v>52.100000000005821</v>
      </c>
      <c r="AN27" s="170">
        <f t="shared" si="37"/>
        <v>20.30000000000291</v>
      </c>
      <c r="AO27" s="170">
        <f t="shared" si="4"/>
        <v>26.30000000000291</v>
      </c>
      <c r="AP27" s="170">
        <f t="shared" si="38"/>
        <v>19.900000000008731</v>
      </c>
      <c r="AQ27" s="170">
        <f t="shared" si="5"/>
        <v>40.100000000005821</v>
      </c>
      <c r="AR27" s="170">
        <f t="shared" si="39"/>
        <v>71.085999999999999</v>
      </c>
      <c r="AS27" s="170">
        <f t="shared" si="40"/>
        <v>29.086000000000013</v>
      </c>
      <c r="AT27" s="170">
        <f t="shared" si="41"/>
        <v>310.08600000000001</v>
      </c>
      <c r="AU27" s="170">
        <f>IF(EV27="","",(EV27-EV26))</f>
        <v>281</v>
      </c>
      <c r="AV27" s="170">
        <f t="shared" si="64"/>
        <v>20</v>
      </c>
      <c r="AW27" s="170">
        <f>IF(EU27="","",(EU27-EU26))</f>
        <v>0</v>
      </c>
      <c r="AX27" s="170">
        <f t="shared" si="66"/>
        <v>1</v>
      </c>
      <c r="AY27" s="170" t="str">
        <f t="shared" si="66"/>
        <v/>
      </c>
      <c r="AZ27" s="170">
        <f t="shared" si="42"/>
        <v>315</v>
      </c>
      <c r="BA27" s="170">
        <v>103.6</v>
      </c>
      <c r="BB27" s="170">
        <f t="shared" si="43"/>
        <v>80.200000000011642</v>
      </c>
      <c r="BC27" s="170">
        <f t="shared" si="43"/>
        <v>1047.6999999999534</v>
      </c>
      <c r="BD27" s="91">
        <f t="shared" si="44"/>
        <v>116</v>
      </c>
      <c r="BE27" s="90"/>
      <c r="BF27" s="90"/>
      <c r="BG27" s="90">
        <f t="shared" si="6"/>
        <v>1442.8999999999651</v>
      </c>
      <c r="BH27" s="90">
        <f t="shared" si="45"/>
        <v>-498</v>
      </c>
      <c r="BI27" s="90">
        <f t="shared" si="7"/>
        <v>1409.0940000002829</v>
      </c>
      <c r="BJ27" s="90">
        <f t="shared" si="46"/>
        <v>4412.9059999997171</v>
      </c>
      <c r="BK27" s="92"/>
      <c r="BL27" s="331">
        <f t="shared" si="67"/>
        <v>5324</v>
      </c>
      <c r="BM27" s="93">
        <f t="shared" si="47"/>
        <v>117533.8</v>
      </c>
      <c r="BN27" s="92"/>
      <c r="BO27" s="94">
        <f t="shared" si="48"/>
        <v>0.18706483159846132</v>
      </c>
      <c r="BP27" s="94">
        <f t="shared" si="48"/>
        <v>0</v>
      </c>
      <c r="BQ27" s="94">
        <f t="shared" si="49"/>
        <v>0.10553957655569322</v>
      </c>
      <c r="BR27" s="94">
        <f t="shared" si="68"/>
        <v>0.74579056436894164</v>
      </c>
      <c r="BS27" s="94">
        <f t="shared" si="76"/>
        <v>0</v>
      </c>
      <c r="BT27" s="94">
        <f t="shared" si="76"/>
        <v>8.601391326947247E-2</v>
      </c>
      <c r="BU27" s="95">
        <f t="shared" si="76"/>
        <v>1.0416604713830329</v>
      </c>
      <c r="BV27" s="94">
        <f t="shared" si="9"/>
        <v>0.17686341643094738</v>
      </c>
      <c r="BW27" s="94">
        <f t="shared" si="9"/>
        <v>0</v>
      </c>
      <c r="BX27" s="94">
        <f t="shared" si="9"/>
        <v>9.9784069078160981E-2</v>
      </c>
      <c r="BY27" s="94">
        <f t="shared" si="50"/>
        <v>0.70511953545275774</v>
      </c>
      <c r="BZ27" s="95">
        <f t="shared" si="10"/>
        <v>0.98485443872919642</v>
      </c>
      <c r="CA27" s="96" t="e">
        <f>#REF!</f>
        <v>#REF!</v>
      </c>
      <c r="CB27" s="94">
        <f t="shared" si="51"/>
        <v>3.770999646193595E-2</v>
      </c>
      <c r="CC27" s="95">
        <f t="shared" si="51"/>
        <v>1.5429662058518831E-2</v>
      </c>
      <c r="CD27" s="97">
        <f t="shared" si="11"/>
        <v>0.34574684109487636</v>
      </c>
      <c r="CE27" s="98">
        <f t="shared" si="11"/>
        <v>0.14146797709936665</v>
      </c>
      <c r="CF27" s="97">
        <f t="shared" si="52"/>
        <v>0.32302296759222632</v>
      </c>
      <c r="CG27" s="94">
        <f t="shared" si="52"/>
        <v>4.6146138227460907E-2</v>
      </c>
      <c r="CH27" s="95">
        <f t="shared" si="53"/>
        <v>0.58012288057379424</v>
      </c>
      <c r="CI27" s="96" t="e">
        <f>#REF!</f>
        <v>#REF!</v>
      </c>
      <c r="CJ27" s="94" t="str">
        <f t="shared" si="54"/>
        <v>0,00</v>
      </c>
      <c r="CK27" s="94" t="str">
        <f t="shared" si="54"/>
        <v>0,00</v>
      </c>
      <c r="CL27" s="95" t="str">
        <f t="shared" si="69"/>
        <v xml:space="preserve">0,00 </v>
      </c>
      <c r="CM27" s="95" t="e">
        <f>#REF!</f>
        <v>#REF!</v>
      </c>
      <c r="CN27" s="94">
        <f t="shared" si="55"/>
        <v>0.48051210054820159</v>
      </c>
      <c r="CO27" s="94">
        <f t="shared" si="55"/>
        <v>2.7507576770492724E-2</v>
      </c>
      <c r="CP27" s="95">
        <f t="shared" si="56"/>
        <v>0.68943040513437626</v>
      </c>
      <c r="CQ27" s="95" t="e">
        <f>#REF!</f>
        <v>#REF!</v>
      </c>
      <c r="CR27" s="97">
        <f t="shared" si="70"/>
        <v>5.2404921209337554E-2</v>
      </c>
      <c r="CS27" s="95">
        <f t="shared" si="70"/>
        <v>6.7894060483031163E-2</v>
      </c>
      <c r="CT27" s="96" t="e">
        <f>#REF!</f>
        <v>#REF!</v>
      </c>
      <c r="CU27" s="97">
        <f t="shared" si="71"/>
        <v>3.9725316405175737E-2</v>
      </c>
      <c r="CV27" s="95">
        <f t="shared" si="57"/>
        <v>8.0049506926988923E-2</v>
      </c>
      <c r="CW27" s="96" t="e">
        <f>#REF!</f>
        <v>#REF!</v>
      </c>
      <c r="CX27" s="99">
        <f t="shared" ref="CX27:DA37" si="79">IF($O27&lt;&gt;0,IF($O27&lt;&gt;0,AU27/$O27*10,0)," ")</f>
        <v>0.14906604684190983</v>
      </c>
      <c r="CY27" s="95">
        <f t="shared" si="79"/>
        <v>1.0609683049246253E-2</v>
      </c>
      <c r="CZ27" s="99">
        <f t="shared" si="79"/>
        <v>0</v>
      </c>
      <c r="DA27" s="95">
        <f t="shared" si="79"/>
        <v>5.3048415246231254E-4</v>
      </c>
      <c r="DB27" s="94">
        <f t="shared" si="12"/>
        <v>0.16710250802562845</v>
      </c>
      <c r="DC27" s="94">
        <f t="shared" si="13"/>
        <v>4.2544829027483647E-2</v>
      </c>
      <c r="DD27" s="94">
        <f t="shared" si="13"/>
        <v>0.55578824653474013</v>
      </c>
      <c r="DE27" s="94">
        <f t="shared" si="13"/>
        <v>6.1536161685628255E-2</v>
      </c>
      <c r="DF27" s="94">
        <f t="shared" si="13"/>
        <v>0</v>
      </c>
      <c r="DG27" s="94">
        <f t="shared" si="13"/>
        <v>0</v>
      </c>
      <c r="DH27" s="95">
        <f t="shared" si="13"/>
        <v>0.76543558358785235</v>
      </c>
      <c r="DI27" s="96" t="e">
        <f>#REF!</f>
        <v>#REF!</v>
      </c>
      <c r="DJ27" s="95">
        <f t="shared" si="59"/>
        <v>-0.26418110792623167</v>
      </c>
      <c r="DK27" s="96" t="e">
        <f>#REF!</f>
        <v>#REF!</v>
      </c>
      <c r="DL27" s="95">
        <f t="shared" si="60"/>
        <v>0.74750203632987999</v>
      </c>
      <c r="DM27" s="96">
        <f t="shared" si="14"/>
        <v>0</v>
      </c>
      <c r="DN27" s="94">
        <f t="shared" si="15"/>
        <v>2.340976699305704</v>
      </c>
      <c r="DO27" s="100">
        <v>3.4</v>
      </c>
      <c r="DP27" s="94">
        <f t="shared" si="72"/>
        <v>2.8242976277093526</v>
      </c>
      <c r="DQ27" s="94">
        <f>IF($P27&lt;&gt;0,IF($P27&lt;&gt;0,BM27/$P27*10,0)," ")</f>
        <v>3.0338248100977223</v>
      </c>
      <c r="DR27" s="101" t="str">
        <f t="shared" si="16"/>
        <v>3,315, hL/NhL</v>
      </c>
      <c r="DS27" s="173"/>
      <c r="DT27" s="103">
        <v>22</v>
      </c>
      <c r="DU27" s="362">
        <v>627946</v>
      </c>
      <c r="DV27" s="362">
        <v>27789</v>
      </c>
      <c r="DW27" s="361">
        <v>5137355</v>
      </c>
      <c r="DX27" s="364">
        <v>119123</v>
      </c>
      <c r="DY27" s="364">
        <v>85426</v>
      </c>
      <c r="DZ27" s="364">
        <v>396698</v>
      </c>
      <c r="EA27" s="381">
        <v>234147</v>
      </c>
      <c r="EB27" s="390">
        <v>54778.7</v>
      </c>
      <c r="EC27" s="381">
        <v>410756</v>
      </c>
      <c r="ED27" s="361">
        <v>47549.5</v>
      </c>
      <c r="EE27" s="303">
        <f>EE26</f>
        <v>42587</v>
      </c>
      <c r="EF27" s="303">
        <v>39145.300000000003</v>
      </c>
      <c r="EG27" s="361">
        <v>92897.600000000006</v>
      </c>
      <c r="EH27" s="361">
        <v>183117.4</v>
      </c>
      <c r="EI27" s="361">
        <v>32337</v>
      </c>
      <c r="EJ27" s="303">
        <v>41025</v>
      </c>
      <c r="EK27" s="330"/>
      <c r="EL27" s="361">
        <v>705434.4</v>
      </c>
      <c r="EM27" s="361">
        <v>1881</v>
      </c>
      <c r="EN27" s="303">
        <v>44984.2</v>
      </c>
      <c r="EO27" s="361">
        <v>3038484.3</v>
      </c>
      <c r="EP27" s="303">
        <v>2778439</v>
      </c>
      <c r="EQ27" s="303">
        <v>0</v>
      </c>
      <c r="ER27" s="303">
        <v>1533</v>
      </c>
      <c r="ES27" s="303">
        <v>368286</v>
      </c>
      <c r="ET27" s="303">
        <v>1791516</v>
      </c>
      <c r="EU27" s="303">
        <v>428575</v>
      </c>
      <c r="EV27" s="303">
        <v>143050</v>
      </c>
      <c r="EW27" s="303">
        <v>114957</v>
      </c>
      <c r="EX27" s="303">
        <v>210791</v>
      </c>
      <c r="EY27" s="303">
        <v>1660576.4</v>
      </c>
      <c r="EZ27" s="303">
        <v>786675</v>
      </c>
      <c r="FA27" s="383">
        <v>749857</v>
      </c>
      <c r="FB27" s="104">
        <v>31471.1</v>
      </c>
      <c r="FC27" s="393">
        <v>5822</v>
      </c>
      <c r="FD27" s="104">
        <f t="shared" si="75"/>
        <v>4924</v>
      </c>
      <c r="FE27" s="105">
        <f t="shared" si="77"/>
        <v>0</v>
      </c>
      <c r="FF27" s="105">
        <f t="shared" si="77"/>
        <v>0</v>
      </c>
      <c r="FG27" s="105">
        <f t="shared" si="77"/>
        <v>845</v>
      </c>
      <c r="FH27" s="105">
        <f t="shared" si="77"/>
        <v>1358</v>
      </c>
      <c r="FI27" s="105">
        <f t="shared" si="77"/>
        <v>456</v>
      </c>
      <c r="FJ27" s="105">
        <f t="shared" si="77"/>
        <v>0</v>
      </c>
      <c r="FK27" s="105">
        <v>800</v>
      </c>
      <c r="FL27" s="105">
        <v>1065</v>
      </c>
      <c r="FM27" s="105">
        <v>400</v>
      </c>
      <c r="FN27" s="80">
        <v>400</v>
      </c>
      <c r="FO27" s="511"/>
      <c r="FP27" s="162"/>
      <c r="FY27" s="119">
        <v>22</v>
      </c>
      <c r="FZ27" s="107"/>
      <c r="GA27" s="107"/>
      <c r="GB27" s="107"/>
      <c r="GC27" s="109"/>
      <c r="GD27" s="110"/>
      <c r="GE27" s="110"/>
      <c r="GF27" s="111"/>
      <c r="GG27" s="111"/>
      <c r="GH27" s="111"/>
      <c r="GI27" s="112"/>
      <c r="GJ27" s="111" t="e">
        <f t="shared" si="61"/>
        <v>#DIV/0!</v>
      </c>
      <c r="GK27" s="113"/>
    </row>
    <row r="28" spans="1:193" ht="15" customHeight="1">
      <c r="B28" s="351">
        <v>42939</v>
      </c>
      <c r="D28" s="86">
        <v>4614</v>
      </c>
      <c r="E28" s="86"/>
      <c r="F28" s="86"/>
      <c r="G28" s="86"/>
      <c r="H28" s="86">
        <v>7124.5020000000004</v>
      </c>
      <c r="I28" s="86">
        <v>2013.4380000000001</v>
      </c>
      <c r="J28" s="86"/>
      <c r="K28" s="363"/>
      <c r="L28" s="284"/>
      <c r="M28" s="284">
        <f t="shared" si="62"/>
        <v>2013.4380000000001</v>
      </c>
      <c r="N28" s="88">
        <f t="shared" si="19"/>
        <v>11738.502</v>
      </c>
      <c r="O28" s="88">
        <f t="shared" si="20"/>
        <v>12745.221000000001</v>
      </c>
      <c r="P28" s="89">
        <f t="shared" si="21"/>
        <v>400156.51650000003</v>
      </c>
      <c r="R28" s="170">
        <f t="shared" si="22"/>
        <v>275.5</v>
      </c>
      <c r="S28" s="170">
        <f t="shared" si="23"/>
        <v>0</v>
      </c>
      <c r="T28" s="170">
        <f t="shared" si="1"/>
        <v>805.7</v>
      </c>
      <c r="U28" s="91">
        <f t="shared" si="74"/>
        <v>5.180000000000291</v>
      </c>
      <c r="V28" s="170">
        <f t="shared" si="24"/>
        <v>1736.3000000002794</v>
      </c>
      <c r="W28" s="91">
        <f t="shared" si="2"/>
        <v>153.9</v>
      </c>
      <c r="X28" s="170">
        <f t="shared" si="25"/>
        <v>1736.3000000002794</v>
      </c>
      <c r="Y28" s="170" t="str">
        <f t="shared" si="26"/>
        <v>0</v>
      </c>
      <c r="Z28" s="170">
        <f t="shared" si="3"/>
        <v>203.4</v>
      </c>
      <c r="AA28" s="170">
        <f t="shared" si="27"/>
        <v>2822.6800000002795</v>
      </c>
      <c r="AB28" s="170">
        <f t="shared" si="28"/>
        <v>124</v>
      </c>
      <c r="AC28" s="170">
        <f t="shared" si="28"/>
        <v>30</v>
      </c>
      <c r="AD28" s="170">
        <f t="shared" si="29"/>
        <v>310</v>
      </c>
      <c r="AE28" s="170">
        <f t="shared" si="30"/>
        <v>156</v>
      </c>
      <c r="AF28" s="170">
        <f t="shared" si="31"/>
        <v>71</v>
      </c>
      <c r="AG28" s="170">
        <f t="shared" si="31"/>
        <v>32.5</v>
      </c>
      <c r="AH28" s="170">
        <f t="shared" si="32"/>
        <v>135</v>
      </c>
      <c r="AI28" s="170">
        <f t="shared" si="33"/>
        <v>31.5</v>
      </c>
      <c r="AJ28" s="170">
        <f t="shared" si="34"/>
        <v>0</v>
      </c>
      <c r="AK28" s="170">
        <f t="shared" si="34"/>
        <v>0.30000000000291038</v>
      </c>
      <c r="AL28" s="170">
        <f t="shared" si="35"/>
        <v>84</v>
      </c>
      <c r="AM28" s="170">
        <f t="shared" si="36"/>
        <v>83.69999999999709</v>
      </c>
      <c r="AN28" s="170">
        <f t="shared" si="37"/>
        <v>3.4000000000014552</v>
      </c>
      <c r="AO28" s="170">
        <f t="shared" si="4"/>
        <v>34.69999999999709</v>
      </c>
      <c r="AP28" s="170">
        <f t="shared" si="38"/>
        <v>25.799999999988358</v>
      </c>
      <c r="AQ28" s="170">
        <f t="shared" si="5"/>
        <v>52.600000000005821</v>
      </c>
      <c r="AR28" s="170">
        <f t="shared" si="39"/>
        <v>79.869</v>
      </c>
      <c r="AS28" s="170">
        <f t="shared" si="40"/>
        <v>55.869000000000028</v>
      </c>
      <c r="AT28" s="170">
        <f t="shared" si="41"/>
        <v>362.86900000000003</v>
      </c>
      <c r="AU28" s="170">
        <f t="shared" si="63"/>
        <v>307</v>
      </c>
      <c r="AV28" s="170">
        <f t="shared" si="64"/>
        <v>38</v>
      </c>
      <c r="AW28" s="170">
        <f t="shared" si="65"/>
        <v>0</v>
      </c>
      <c r="AX28" s="170">
        <f t="shared" si="66"/>
        <v>0</v>
      </c>
      <c r="AY28" s="170" t="str">
        <f t="shared" si="66"/>
        <v/>
      </c>
      <c r="AZ28" s="170">
        <f t="shared" si="42"/>
        <v>451</v>
      </c>
      <c r="BA28" s="170">
        <v>0</v>
      </c>
      <c r="BB28" s="170">
        <f t="shared" si="43"/>
        <v>126.60000000000582</v>
      </c>
      <c r="BC28" s="170">
        <f t="shared" si="43"/>
        <v>1115.4000000001397</v>
      </c>
      <c r="BD28" s="91">
        <f t="shared" si="44"/>
        <v>227</v>
      </c>
      <c r="BE28" s="90"/>
      <c r="BF28" s="90"/>
      <c r="BG28" s="90">
        <f t="shared" si="6"/>
        <v>1693.0000000001455</v>
      </c>
      <c r="BH28" s="90">
        <f t="shared" si="45"/>
        <v>-1932</v>
      </c>
      <c r="BI28" s="90">
        <f t="shared" si="7"/>
        <v>948.15099999957238</v>
      </c>
      <c r="BJ28" s="90">
        <f t="shared" si="46"/>
        <v>5532.8490000004276</v>
      </c>
      <c r="BK28" s="92"/>
      <c r="BL28" s="331">
        <f t="shared" si="67"/>
        <v>4549</v>
      </c>
      <c r="BM28" s="93">
        <f t="shared" si="47"/>
        <v>122082.8</v>
      </c>
      <c r="BN28" s="92"/>
      <c r="BO28" s="94">
        <f t="shared" si="48"/>
        <v>0.23469774933803308</v>
      </c>
      <c r="BP28" s="94">
        <f t="shared" si="48"/>
        <v>0</v>
      </c>
      <c r="BQ28" s="94">
        <f t="shared" si="49"/>
        <v>0.68637378091344192</v>
      </c>
      <c r="BR28" s="94">
        <f t="shared" si="68"/>
        <v>1.4791495541767419</v>
      </c>
      <c r="BS28" s="94">
        <f t="shared" si="76"/>
        <v>0</v>
      </c>
      <c r="BT28" s="94">
        <f t="shared" si="76"/>
        <v>0.17327594270546617</v>
      </c>
      <c r="BU28" s="95">
        <f t="shared" si="76"/>
        <v>2.404633913254246</v>
      </c>
      <c r="BV28" s="94">
        <f t="shared" si="9"/>
        <v>0.21615945302164627</v>
      </c>
      <c r="BW28" s="94">
        <f t="shared" si="9"/>
        <v>0</v>
      </c>
      <c r="BX28" s="94">
        <f t="shared" si="9"/>
        <v>0.63215851651375832</v>
      </c>
      <c r="BY28" s="94">
        <f t="shared" si="50"/>
        <v>1.3623145491163151</v>
      </c>
      <c r="BZ28" s="95">
        <f t="shared" si="10"/>
        <v>2.2146967871332155</v>
      </c>
      <c r="CA28" s="96" t="e">
        <f>#REF!</f>
        <v>#REF!</v>
      </c>
      <c r="CB28" s="94">
        <f t="shared" si="51"/>
        <v>6.2665841573088438E-2</v>
      </c>
      <c r="CC28" s="95">
        <f t="shared" si="51"/>
        <v>4.3835254014033986E-2</v>
      </c>
      <c r="CD28" s="97">
        <f t="shared" si="11"/>
        <v>0.39667970903499389</v>
      </c>
      <c r="CE28" s="98">
        <f t="shared" si="11"/>
        <v>0.27748060779621736</v>
      </c>
      <c r="CF28" s="97">
        <f t="shared" si="52"/>
        <v>0.26874729085392285</v>
      </c>
      <c r="CG28" s="94">
        <f t="shared" si="52"/>
        <v>6.5019505851755519E-2</v>
      </c>
      <c r="CH28" s="95">
        <f t="shared" si="53"/>
        <v>0.67186822713480709</v>
      </c>
      <c r="CI28" s="96" t="e">
        <f>#REF!</f>
        <v>#REF!</v>
      </c>
      <c r="CJ28" s="94" t="str">
        <f t="shared" si="54"/>
        <v>0,00</v>
      </c>
      <c r="CK28" s="94" t="str">
        <f t="shared" si="54"/>
        <v>0,00</v>
      </c>
      <c r="CL28" s="95" t="str">
        <f t="shared" si="69"/>
        <v xml:space="preserve">0,00 </v>
      </c>
      <c r="CM28" s="95" t="e">
        <f>#REF!</f>
        <v>#REF!</v>
      </c>
      <c r="CN28" s="94" t="str">
        <f t="shared" si="55"/>
        <v>0,00</v>
      </c>
      <c r="CO28" s="94" t="str">
        <f t="shared" si="55"/>
        <v>0,00</v>
      </c>
      <c r="CP28" s="95" t="str">
        <f t="shared" si="56"/>
        <v xml:space="preserve">0,00 </v>
      </c>
      <c r="CQ28" s="95" t="e">
        <f>#REF!</f>
        <v>#REF!</v>
      </c>
      <c r="CR28" s="97" t="str">
        <f t="shared" si="70"/>
        <v xml:space="preserve">0,00 </v>
      </c>
      <c r="CS28" s="95" t="str">
        <f t="shared" si="70"/>
        <v xml:space="preserve">0,00 </v>
      </c>
      <c r="CT28" s="96" t="e">
        <f>#REF!</f>
        <v>#REF!</v>
      </c>
      <c r="CU28" s="97">
        <f t="shared" si="71"/>
        <v>3.6213057417891603E-2</v>
      </c>
      <c r="CV28" s="95">
        <f t="shared" si="57"/>
        <v>7.3829721712487154E-2</v>
      </c>
      <c r="CW28" s="96" t="e">
        <f>#REF!</f>
        <v>#REF!</v>
      </c>
      <c r="CX28" s="99">
        <f t="shared" si="79"/>
        <v>0.24087459919290533</v>
      </c>
      <c r="CY28" s="95">
        <f t="shared" si="79"/>
        <v>2.9815096968502933E-2</v>
      </c>
      <c r="CZ28" s="99">
        <f t="shared" si="79"/>
        <v>0</v>
      </c>
      <c r="DA28" s="95">
        <f t="shared" si="79"/>
        <v>0</v>
      </c>
      <c r="DB28" s="94">
        <f t="shared" si="12"/>
        <v>0.3538581245472322</v>
      </c>
      <c r="DC28" s="94">
        <f t="shared" si="13"/>
        <v>9.933134937401697E-2</v>
      </c>
      <c r="DD28" s="94">
        <f t="shared" si="13"/>
        <v>0.87515155680716683</v>
      </c>
      <c r="DE28" s="94">
        <f t="shared" si="13"/>
        <v>0.17810597399605699</v>
      </c>
      <c r="DF28" s="94">
        <f t="shared" si="13"/>
        <v>0</v>
      </c>
      <c r="DG28" s="94">
        <f t="shared" si="13"/>
        <v>0</v>
      </c>
      <c r="DH28" s="95">
        <f t="shared" si="13"/>
        <v>1.328341030728416</v>
      </c>
      <c r="DI28" s="96" t="e">
        <f>#REF!</f>
        <v>#REF!</v>
      </c>
      <c r="DJ28" s="95">
        <f t="shared" si="59"/>
        <v>-1.5158622985038861</v>
      </c>
      <c r="DK28" s="96" t="e">
        <f>#REF!</f>
        <v>#REF!</v>
      </c>
      <c r="DL28" s="95">
        <f t="shared" si="60"/>
        <v>0.74392668436237575</v>
      </c>
      <c r="DM28" s="96">
        <f t="shared" si="14"/>
        <v>0</v>
      </c>
      <c r="DN28" s="94">
        <f t="shared" si="15"/>
        <v>4.3411165643972964</v>
      </c>
      <c r="DO28" s="100">
        <v>3.4</v>
      </c>
      <c r="DP28" s="94">
        <f>IF($O28&lt;&gt;0,IF($O28&lt;&gt;0,BL28/$O28*10,0)," ")</f>
        <v>3.5691809502557859</v>
      </c>
      <c r="DQ28" s="94">
        <f t="shared" si="73"/>
        <v>3.0508762188307381</v>
      </c>
      <c r="DR28" s="101" t="str">
        <f t="shared" si="16"/>
        <v>3,315, hL/NhL</v>
      </c>
      <c r="DS28" s="173"/>
      <c r="DT28" s="103">
        <v>23</v>
      </c>
      <c r="DU28" s="330">
        <v>628070</v>
      </c>
      <c r="DV28" s="330">
        <v>27819</v>
      </c>
      <c r="DW28" s="330">
        <v>5137665</v>
      </c>
      <c r="DX28" s="330">
        <v>119194</v>
      </c>
      <c r="DY28" s="330">
        <v>85458.5</v>
      </c>
      <c r="DZ28" s="330">
        <v>396833</v>
      </c>
      <c r="EA28" s="105">
        <f>EA27</f>
        <v>234147</v>
      </c>
      <c r="EB28" s="330">
        <v>54779</v>
      </c>
      <c r="EC28" s="330">
        <v>410840</v>
      </c>
      <c r="ED28" s="330">
        <v>47552.9</v>
      </c>
      <c r="EE28" s="330">
        <v>42614</v>
      </c>
      <c r="EF28" s="330">
        <v>39153</v>
      </c>
      <c r="EG28" s="330">
        <v>92923.4</v>
      </c>
      <c r="EH28" s="330">
        <v>183170</v>
      </c>
      <c r="EI28" s="330">
        <v>32375</v>
      </c>
      <c r="EJ28" s="330">
        <v>41025</v>
      </c>
      <c r="EK28" s="330"/>
      <c r="EL28" s="330">
        <v>705709.9</v>
      </c>
      <c r="EM28" s="330">
        <v>8057</v>
      </c>
      <c r="EN28" s="330">
        <v>45036</v>
      </c>
      <c r="EO28" s="330">
        <v>3040220.6</v>
      </c>
      <c r="EP28" s="330">
        <v>2779978</v>
      </c>
      <c r="EQ28" s="330">
        <v>0</v>
      </c>
      <c r="ER28" s="330">
        <v>2034</v>
      </c>
      <c r="ES28" s="330">
        <v>368569</v>
      </c>
      <c r="ET28" s="330">
        <v>1871385</v>
      </c>
      <c r="EU28" s="303">
        <v>428575</v>
      </c>
      <c r="EV28" s="330">
        <v>143357</v>
      </c>
      <c r="EW28" s="330">
        <v>115408</v>
      </c>
      <c r="EX28" s="330">
        <v>210917.6</v>
      </c>
      <c r="EY28" s="330">
        <v>1661691.8</v>
      </c>
      <c r="EZ28" s="330">
        <v>786675</v>
      </c>
      <c r="FA28" s="387">
        <v>750084</v>
      </c>
      <c r="FB28" s="386">
        <v>31471</v>
      </c>
      <c r="FC28" s="394">
        <v>6481</v>
      </c>
      <c r="FD28" s="104">
        <f t="shared" si="75"/>
        <v>3149</v>
      </c>
      <c r="FE28" s="105">
        <f t="shared" si="77"/>
        <v>0</v>
      </c>
      <c r="FF28" s="105">
        <f t="shared" si="77"/>
        <v>0</v>
      </c>
      <c r="FG28" s="105">
        <f t="shared" si="77"/>
        <v>562</v>
      </c>
      <c r="FH28" s="105">
        <f t="shared" si="77"/>
        <v>1521</v>
      </c>
      <c r="FI28" s="105">
        <f t="shared" si="77"/>
        <v>0</v>
      </c>
      <c r="FJ28" s="105">
        <f t="shared" si="77"/>
        <v>0</v>
      </c>
      <c r="FK28" s="105">
        <v>0</v>
      </c>
      <c r="FL28" s="105">
        <v>1066</v>
      </c>
      <c r="FM28" s="105">
        <v>0</v>
      </c>
      <c r="FN28" s="80">
        <v>1400</v>
      </c>
      <c r="FO28" s="511"/>
      <c r="FP28" s="162"/>
      <c r="FR28" s="64"/>
      <c r="FS28" s="64"/>
      <c r="FT28" s="64"/>
      <c r="FU28" s="64"/>
      <c r="FV28" s="64"/>
      <c r="FW28" s="64"/>
      <c r="FX28" s="64"/>
      <c r="FY28" s="64">
        <v>23</v>
      </c>
      <c r="FZ28" s="107"/>
      <c r="GA28" s="107"/>
      <c r="GB28" s="107"/>
      <c r="GC28" s="109"/>
      <c r="GD28" s="110"/>
      <c r="GE28" s="110"/>
      <c r="GF28" s="111"/>
      <c r="GG28" s="111"/>
      <c r="GH28" s="111"/>
      <c r="GI28" s="112"/>
      <c r="GJ28" s="111" t="e">
        <f t="shared" si="61"/>
        <v>#DIV/0!</v>
      </c>
      <c r="GK28" s="118"/>
    </row>
    <row r="29" spans="1:193" ht="15" customHeight="1">
      <c r="B29" s="351">
        <v>42940</v>
      </c>
      <c r="D29" s="86">
        <v>3900</v>
      </c>
      <c r="E29" s="86">
        <v>996</v>
      </c>
      <c r="F29" s="86">
        <v>321.40800000000002</v>
      </c>
      <c r="G29" s="86">
        <v>4034.1990000000001</v>
      </c>
      <c r="H29" s="86">
        <v>4739.2629999999999</v>
      </c>
      <c r="I29" s="86">
        <v>1835.347</v>
      </c>
      <c r="J29" s="86"/>
      <c r="K29" s="284"/>
      <c r="L29" s="284">
        <v>100</v>
      </c>
      <c r="M29" s="284">
        <f t="shared" si="62"/>
        <v>1835.347</v>
      </c>
      <c r="N29" s="88">
        <f t="shared" si="19"/>
        <v>13990.869999999999</v>
      </c>
      <c r="O29" s="88">
        <f t="shared" si="20"/>
        <v>15008.5435</v>
      </c>
      <c r="P29" s="89">
        <f t="shared" si="21"/>
        <v>415165.06000000006</v>
      </c>
      <c r="R29" s="170">
        <f t="shared" si="22"/>
        <v>21.099999999976717</v>
      </c>
      <c r="S29" s="170">
        <f t="shared" si="23"/>
        <v>20.7</v>
      </c>
      <c r="T29" s="170">
        <f t="shared" si="1"/>
        <v>397.9</v>
      </c>
      <c r="U29" s="91">
        <f t="shared" si="74"/>
        <v>1.3400000000001455</v>
      </c>
      <c r="V29" s="170">
        <f t="shared" si="24"/>
        <v>1405.6999999997206</v>
      </c>
      <c r="W29" s="91">
        <f t="shared" si="2"/>
        <v>125.1</v>
      </c>
      <c r="X29" s="170">
        <f t="shared" si="25"/>
        <v>1405.6999999997206</v>
      </c>
      <c r="Y29" s="170" t="str">
        <f t="shared" si="26"/>
        <v>0</v>
      </c>
      <c r="Z29" s="170">
        <f t="shared" si="3"/>
        <v>168.2</v>
      </c>
      <c r="AA29" s="170">
        <f t="shared" si="27"/>
        <v>1846.7399999996974</v>
      </c>
      <c r="AB29" s="170">
        <f t="shared" si="28"/>
        <v>172</v>
      </c>
      <c r="AC29" s="170">
        <f t="shared" si="28"/>
        <v>31</v>
      </c>
      <c r="AD29" s="170">
        <f t="shared" si="29"/>
        <v>346</v>
      </c>
      <c r="AE29" s="170">
        <f t="shared" si="30"/>
        <v>143</v>
      </c>
      <c r="AF29" s="170">
        <f t="shared" si="31"/>
        <v>36</v>
      </c>
      <c r="AG29" s="170">
        <f t="shared" si="31"/>
        <v>33.30000000000291</v>
      </c>
      <c r="AH29" s="170">
        <f t="shared" si="32"/>
        <v>94</v>
      </c>
      <c r="AI29" s="170">
        <f t="shared" si="33"/>
        <v>24.69999999999709</v>
      </c>
      <c r="AJ29" s="170">
        <f t="shared" si="34"/>
        <v>92</v>
      </c>
      <c r="AK29" s="170">
        <f t="shared" si="34"/>
        <v>21</v>
      </c>
      <c r="AL29" s="170">
        <f t="shared" si="35"/>
        <v>174</v>
      </c>
      <c r="AM29" s="170">
        <f t="shared" si="36"/>
        <v>61</v>
      </c>
      <c r="AN29" s="170">
        <f t="shared" si="37"/>
        <v>44.5</v>
      </c>
      <c r="AO29" s="170">
        <f t="shared" si="4"/>
        <v>78.80000000000291</v>
      </c>
      <c r="AP29" s="170">
        <f t="shared" si="38"/>
        <v>22.80000000000291</v>
      </c>
      <c r="AQ29" s="170">
        <f t="shared" si="5"/>
        <v>76</v>
      </c>
      <c r="AR29" s="170">
        <f t="shared" si="39"/>
        <v>66.171000000000006</v>
      </c>
      <c r="AS29" s="170">
        <f t="shared" si="40"/>
        <v>41.170999999999992</v>
      </c>
      <c r="AT29" s="170">
        <f t="shared" si="41"/>
        <v>334.17099999999999</v>
      </c>
      <c r="AU29" s="170">
        <f t="shared" si="63"/>
        <v>212</v>
      </c>
      <c r="AV29" s="170">
        <f t="shared" si="64"/>
        <v>37</v>
      </c>
      <c r="AW29" s="170">
        <f t="shared" si="65"/>
        <v>81</v>
      </c>
      <c r="AX29" s="170">
        <f t="shared" si="66"/>
        <v>27</v>
      </c>
      <c r="AY29" s="170" t="str">
        <f t="shared" si="66"/>
        <v/>
      </c>
      <c r="AZ29" s="170">
        <f t="shared" si="42"/>
        <v>257</v>
      </c>
      <c r="BA29" s="170">
        <v>96.8</v>
      </c>
      <c r="BB29" s="170">
        <f t="shared" si="43"/>
        <v>99.799999999988358</v>
      </c>
      <c r="BC29" s="170">
        <f t="shared" si="43"/>
        <v>351.19999999995343</v>
      </c>
      <c r="BD29" s="91">
        <f t="shared" si="44"/>
        <v>310</v>
      </c>
      <c r="BE29" s="90"/>
      <c r="BF29" s="90"/>
      <c r="BG29" s="90">
        <f t="shared" si="6"/>
        <v>707.99999999994179</v>
      </c>
      <c r="BH29" s="90">
        <f t="shared" si="45"/>
        <v>117</v>
      </c>
      <c r="BI29" s="90">
        <f t="shared" si="7"/>
        <v>2145.2890000003581</v>
      </c>
      <c r="BJ29" s="90">
        <f t="shared" si="46"/>
        <v>3721.7109999996419</v>
      </c>
      <c r="BK29" s="92"/>
      <c r="BL29" s="331">
        <f>FD29+FN29</f>
        <v>5984</v>
      </c>
      <c r="BM29" s="93">
        <f t="shared" si="47"/>
        <v>128066.8</v>
      </c>
      <c r="BN29" s="92"/>
      <c r="BO29" s="94">
        <f t="shared" si="48"/>
        <v>1.5081263709816987E-2</v>
      </c>
      <c r="BP29" s="94">
        <f t="shared" si="48"/>
        <v>1.4795362975997919E-2</v>
      </c>
      <c r="BQ29" s="94">
        <f t="shared" si="49"/>
        <v>0.28439975498307113</v>
      </c>
      <c r="BR29" s="94">
        <f t="shared" si="68"/>
        <v>1.0047266538819393</v>
      </c>
      <c r="BS29" s="94">
        <f t="shared" si="76"/>
        <v>0</v>
      </c>
      <c r="BT29" s="94">
        <f t="shared" si="76"/>
        <v>0.12022125857791546</v>
      </c>
      <c r="BU29" s="95">
        <f t="shared" si="76"/>
        <v>1.319960803009175</v>
      </c>
      <c r="BV29" s="94">
        <f t="shared" si="9"/>
        <v>1.4058659322922787E-2</v>
      </c>
      <c r="BW29" s="94">
        <f t="shared" si="9"/>
        <v>1.3792144454257003E-2</v>
      </c>
      <c r="BX29" s="94">
        <f t="shared" si="9"/>
        <v>0.26511566562071798</v>
      </c>
      <c r="BY29" s="94">
        <f t="shared" si="50"/>
        <v>0.93659987726305394</v>
      </c>
      <c r="BZ29" s="95">
        <f t="shared" si="10"/>
        <v>1.230459171471034</v>
      </c>
      <c r="CA29" s="96" t="e">
        <f>#REF!</f>
        <v>#REF!</v>
      </c>
      <c r="CB29" s="94">
        <f t="shared" si="51"/>
        <v>4.4088888438774891E-2</v>
      </c>
      <c r="CC29" s="95">
        <f t="shared" si="51"/>
        <v>2.7431709146193965E-2</v>
      </c>
      <c r="CD29" s="97">
        <f t="shared" si="11"/>
        <v>0.36053672684239002</v>
      </c>
      <c r="CE29" s="98">
        <f t="shared" si="11"/>
        <v>0.22432270300929466</v>
      </c>
      <c r="CF29" s="97">
        <f t="shared" si="52"/>
        <v>0.44102564102564101</v>
      </c>
      <c r="CG29" s="94">
        <f t="shared" si="52"/>
        <v>7.9487179487179482E-2</v>
      </c>
      <c r="CH29" s="95">
        <f t="shared" si="53"/>
        <v>0.88717948717948714</v>
      </c>
      <c r="CI29" s="96" t="e">
        <f>#REF!</f>
        <v>#REF!</v>
      </c>
      <c r="CJ29" s="94">
        <f t="shared" si="54"/>
        <v>0.36144578313253012</v>
      </c>
      <c r="CK29" s="94">
        <f t="shared" si="54"/>
        <v>0.33433734939761955</v>
      </c>
      <c r="CL29" s="95">
        <f t="shared" si="69"/>
        <v>0.94377510040160639</v>
      </c>
      <c r="CM29" s="95" t="e">
        <f>#REF!</f>
        <v>#REF!</v>
      </c>
      <c r="CN29" s="94">
        <f t="shared" si="55"/>
        <v>2.8624054161688566</v>
      </c>
      <c r="CO29" s="94">
        <f t="shared" si="55"/>
        <v>0.65337514934289131</v>
      </c>
      <c r="CP29" s="95">
        <f t="shared" si="56"/>
        <v>5.4136798088410991</v>
      </c>
      <c r="CQ29" s="95" t="e">
        <f>#REF!</f>
        <v>#REF!</v>
      </c>
      <c r="CR29" s="97">
        <f t="shared" si="70"/>
        <v>0.11030690355136175</v>
      </c>
      <c r="CS29" s="95">
        <f t="shared" si="70"/>
        <v>0.19532997752466574</v>
      </c>
      <c r="CT29" s="96" t="e">
        <f>#REF!</f>
        <v>#REF!</v>
      </c>
      <c r="CU29" s="97">
        <f t="shared" si="71"/>
        <v>4.8108746022330715E-2</v>
      </c>
      <c r="CV29" s="95">
        <f t="shared" si="57"/>
        <v>0.16036248674108189</v>
      </c>
      <c r="CW29" s="96" t="e">
        <f>#REF!</f>
        <v>#REF!</v>
      </c>
      <c r="CX29" s="99">
        <f t="shared" si="79"/>
        <v>0.14125288040108622</v>
      </c>
      <c r="CY29" s="95">
        <f t="shared" si="79"/>
        <v>2.4652625353019764E-2</v>
      </c>
      <c r="CZ29" s="99">
        <f t="shared" si="79"/>
        <v>5.3969260907962197E-2</v>
      </c>
      <c r="DA29" s="95">
        <f t="shared" si="79"/>
        <v>1.7989753635987395E-2</v>
      </c>
      <c r="DB29" s="94">
        <f t="shared" si="12"/>
        <v>0.1712358031277319</v>
      </c>
      <c r="DC29" s="94">
        <f t="shared" si="13"/>
        <v>6.6495459735975287E-2</v>
      </c>
      <c r="DD29" s="94">
        <f t="shared" si="13"/>
        <v>0.23400005470214577</v>
      </c>
      <c r="DE29" s="94">
        <f t="shared" si="13"/>
        <v>0.20654902322800345</v>
      </c>
      <c r="DF29" s="94">
        <f t="shared" si="13"/>
        <v>0</v>
      </c>
      <c r="DG29" s="94">
        <f t="shared" si="13"/>
        <v>0</v>
      </c>
      <c r="DH29" s="95">
        <f t="shared" si="13"/>
        <v>0.47173131756585296</v>
      </c>
      <c r="DI29" s="96" t="e">
        <f>#REF!</f>
        <v>#REF!</v>
      </c>
      <c r="DJ29" s="95">
        <f t="shared" si="59"/>
        <v>7.7955599089278724E-2</v>
      </c>
      <c r="DK29" s="96" t="e">
        <f>#REF!</f>
        <v>#REF!</v>
      </c>
      <c r="DL29" s="95">
        <f t="shared" si="60"/>
        <v>1.4293785402963042</v>
      </c>
      <c r="DM29" s="96">
        <f t="shared" si="14"/>
        <v>0</v>
      </c>
      <c r="DN29" s="94">
        <f t="shared" si="15"/>
        <v>2.479728296086587</v>
      </c>
      <c r="DO29" s="100">
        <v>3.4</v>
      </c>
      <c r="DP29" s="94">
        <f t="shared" si="72"/>
        <v>3.9870624354721693</v>
      </c>
      <c r="DQ29" s="94">
        <f t="shared" si="73"/>
        <v>3.0847200869938329</v>
      </c>
      <c r="DR29" s="101" t="str">
        <f t="shared" si="16"/>
        <v>3,315, hL/NhL</v>
      </c>
      <c r="DS29" s="178"/>
      <c r="DT29" s="103">
        <v>24</v>
      </c>
      <c r="DU29" s="330">
        <v>628242</v>
      </c>
      <c r="DV29" s="330">
        <v>27850</v>
      </c>
      <c r="DW29" s="330">
        <v>5138011</v>
      </c>
      <c r="DX29" s="330">
        <v>119230</v>
      </c>
      <c r="DY29" s="330">
        <v>85491.8</v>
      </c>
      <c r="DZ29" s="330">
        <v>396927</v>
      </c>
      <c r="EA29" s="330">
        <v>234239</v>
      </c>
      <c r="EB29" s="330">
        <v>54800</v>
      </c>
      <c r="EC29" s="330">
        <v>411014</v>
      </c>
      <c r="ED29" s="330">
        <v>47597.4</v>
      </c>
      <c r="EE29" s="330">
        <v>42656.800000000003</v>
      </c>
      <c r="EF29" s="330">
        <v>39189</v>
      </c>
      <c r="EG29" s="330">
        <v>92946.2</v>
      </c>
      <c r="EH29" s="330">
        <v>183246</v>
      </c>
      <c r="EI29" s="330">
        <v>32412</v>
      </c>
      <c r="EJ29" s="330">
        <v>41052</v>
      </c>
      <c r="EK29" s="330"/>
      <c r="EL29" s="330">
        <v>705731</v>
      </c>
      <c r="EM29" s="330">
        <v>3979</v>
      </c>
      <c r="EN29" s="330">
        <v>45049.4</v>
      </c>
      <c r="EO29" s="330">
        <v>3041626.3</v>
      </c>
      <c r="EP29" s="330">
        <v>2781229</v>
      </c>
      <c r="EQ29" s="330">
        <v>0</v>
      </c>
      <c r="ER29" s="330">
        <v>1682</v>
      </c>
      <c r="ES29" s="330">
        <v>368837</v>
      </c>
      <c r="ET29" s="330">
        <v>1937556</v>
      </c>
      <c r="EU29" s="330">
        <v>428656</v>
      </c>
      <c r="EV29" s="330">
        <v>143569</v>
      </c>
      <c r="EW29" s="330">
        <v>115665</v>
      </c>
      <c r="EX29" s="330">
        <v>211017.4</v>
      </c>
      <c r="EY29" s="330">
        <v>1662043</v>
      </c>
      <c r="EZ29" s="330">
        <v>786882</v>
      </c>
      <c r="FA29" s="387">
        <v>750394</v>
      </c>
      <c r="FB29" s="387">
        <v>31574.7</v>
      </c>
      <c r="FC29" s="385">
        <v>5867</v>
      </c>
      <c r="FD29" s="104">
        <f t="shared" si="75"/>
        <v>4784</v>
      </c>
      <c r="FE29" s="105">
        <f t="shared" si="77"/>
        <v>0</v>
      </c>
      <c r="FF29" s="105">
        <f t="shared" si="77"/>
        <v>339</v>
      </c>
      <c r="FG29" s="105">
        <f t="shared" si="77"/>
        <v>639</v>
      </c>
      <c r="FH29" s="105">
        <f t="shared" si="77"/>
        <v>1252</v>
      </c>
      <c r="FI29" s="105">
        <f t="shared" si="77"/>
        <v>720</v>
      </c>
      <c r="FJ29" s="105">
        <f t="shared" si="77"/>
        <v>0</v>
      </c>
      <c r="FK29" s="105">
        <v>768</v>
      </c>
      <c r="FL29" s="105">
        <v>1065</v>
      </c>
      <c r="FM29" s="105">
        <v>1</v>
      </c>
      <c r="FN29" s="80">
        <v>1200</v>
      </c>
      <c r="FO29" s="105"/>
      <c r="FP29" s="162"/>
      <c r="FR29" s="64"/>
      <c r="FS29" s="64"/>
      <c r="FT29" s="64"/>
      <c r="FU29" s="64"/>
      <c r="FV29" s="64"/>
      <c r="FW29" s="64"/>
      <c r="FX29" s="64"/>
      <c r="FY29" s="64">
        <v>24</v>
      </c>
      <c r="FZ29" s="107"/>
      <c r="GA29" s="107"/>
      <c r="GB29" s="107"/>
      <c r="GC29" s="109"/>
      <c r="GD29" s="110"/>
      <c r="GE29" s="110"/>
      <c r="GF29" s="111"/>
      <c r="GG29" s="111"/>
      <c r="GH29" s="111"/>
      <c r="GI29" s="179"/>
      <c r="GJ29" s="111" t="e">
        <f t="shared" si="61"/>
        <v>#DIV/0!</v>
      </c>
      <c r="GK29" s="113"/>
    </row>
    <row r="30" spans="1:193" ht="15" customHeight="1">
      <c r="B30" s="351">
        <v>42941</v>
      </c>
      <c r="D30" s="86">
        <v>5544.1200000000008</v>
      </c>
      <c r="E30" s="86">
        <v>3468</v>
      </c>
      <c r="F30" s="86">
        <v>1865.9519999999998</v>
      </c>
      <c r="G30" s="86">
        <v>6590.0069999999996</v>
      </c>
      <c r="H30" s="86">
        <v>8219.0750000000007</v>
      </c>
      <c r="I30" s="86">
        <v>757.24300000000005</v>
      </c>
      <c r="J30" s="86">
        <v>6094.2</v>
      </c>
      <c r="K30" s="284">
        <v>5.3570000000000002</v>
      </c>
      <c r="L30" s="284"/>
      <c r="M30" s="284">
        <f t="shared" si="62"/>
        <v>6851.4430000000002</v>
      </c>
      <c r="N30" s="88">
        <f t="shared" si="19"/>
        <v>25687.153999999999</v>
      </c>
      <c r="O30" s="88">
        <f t="shared" si="20"/>
        <v>29112.875499999998</v>
      </c>
      <c r="P30" s="89">
        <f t="shared" si="21"/>
        <v>444277.93550000008</v>
      </c>
      <c r="R30" s="170">
        <f t="shared" si="22"/>
        <v>172.59999999997672</v>
      </c>
      <c r="S30" s="170">
        <f t="shared" si="23"/>
        <v>227.04000000000232</v>
      </c>
      <c r="T30" s="170">
        <f t="shared" si="1"/>
        <v>479</v>
      </c>
      <c r="U30" s="91">
        <f t="shared" si="74"/>
        <v>1.7599999999998546</v>
      </c>
      <c r="V30" s="170">
        <f t="shared" si="24"/>
        <v>1595.7000000001863</v>
      </c>
      <c r="W30" s="91">
        <f>IF(EP30=0,"",(EP30-EP29)/10)</f>
        <v>141.9</v>
      </c>
      <c r="X30" s="170">
        <f t="shared" si="25"/>
        <v>1595.7000000001863</v>
      </c>
      <c r="Y30" s="170" t="str">
        <f t="shared" si="26"/>
        <v>0</v>
      </c>
      <c r="Z30" s="170">
        <f t="shared" si="3"/>
        <v>192.2</v>
      </c>
      <c r="AA30" s="170">
        <f t="shared" si="27"/>
        <v>2476.100000000165</v>
      </c>
      <c r="AB30" s="170">
        <f t="shared" si="28"/>
        <v>179</v>
      </c>
      <c r="AC30" s="170">
        <f t="shared" si="28"/>
        <v>27</v>
      </c>
      <c r="AD30" s="170">
        <f t="shared" si="29"/>
        <v>367</v>
      </c>
      <c r="AE30" s="170">
        <f t="shared" si="30"/>
        <v>161</v>
      </c>
      <c r="AF30" s="170">
        <f>IF(DX30=0,"",(DX30-DX29))</f>
        <v>105</v>
      </c>
      <c r="AG30" s="170">
        <f t="shared" si="31"/>
        <v>2</v>
      </c>
      <c r="AH30" s="170">
        <f t="shared" si="32"/>
        <v>163</v>
      </c>
      <c r="AI30" s="170">
        <f t="shared" si="33"/>
        <v>56</v>
      </c>
      <c r="AJ30" s="170">
        <f>IF(EA30=0,"",(EA30-EA29))</f>
        <v>119</v>
      </c>
      <c r="AK30" s="170">
        <f t="shared" si="34"/>
        <v>11.400000000001455</v>
      </c>
      <c r="AL30" s="170">
        <f t="shared" si="35"/>
        <v>206</v>
      </c>
      <c r="AM30" s="170">
        <f t="shared" si="36"/>
        <v>75.599999999998545</v>
      </c>
      <c r="AN30" s="170">
        <f t="shared" si="37"/>
        <v>10.299999999995634</v>
      </c>
      <c r="AO30" s="170">
        <f t="shared" si="4"/>
        <v>59.399999999994179</v>
      </c>
      <c r="AP30" s="170">
        <f t="shared" si="38"/>
        <v>16</v>
      </c>
      <c r="AQ30" s="170">
        <f>IF(AP30=0.1,0,(IF(AP30&gt;=(EH30-EH29),(AP30),(EH30-EH29))))</f>
        <v>42.600000000005821</v>
      </c>
      <c r="AR30" s="170">
        <f t="shared" si="39"/>
        <v>55.512999999999998</v>
      </c>
      <c r="AS30" s="170">
        <f t="shared" si="40"/>
        <v>121.51300000000003</v>
      </c>
      <c r="AT30" s="170">
        <f t="shared" si="41"/>
        <v>836.51300000000003</v>
      </c>
      <c r="AU30" s="170">
        <f t="shared" si="63"/>
        <v>179</v>
      </c>
      <c r="AV30" s="170">
        <f t="shared" si="64"/>
        <v>42</v>
      </c>
      <c r="AW30" s="170">
        <f t="shared" si="65"/>
        <v>536</v>
      </c>
      <c r="AX30" s="170">
        <f t="shared" si="66"/>
        <v>31</v>
      </c>
      <c r="AY30" s="170" t="str">
        <f t="shared" si="66"/>
        <v/>
      </c>
      <c r="AZ30" s="170">
        <f t="shared" si="42"/>
        <v>370</v>
      </c>
      <c r="BA30" s="170">
        <v>53.9</v>
      </c>
      <c r="BB30" s="170">
        <f t="shared" si="43"/>
        <v>141</v>
      </c>
      <c r="BC30" s="170">
        <f t="shared" si="43"/>
        <v>228</v>
      </c>
      <c r="BD30" s="91">
        <f t="shared" si="44"/>
        <v>330</v>
      </c>
      <c r="BE30" s="90"/>
      <c r="BF30" s="90"/>
      <c r="BG30" s="90">
        <f t="shared" si="6"/>
        <v>739</v>
      </c>
      <c r="BH30" s="90">
        <f t="shared" si="45"/>
        <v>964</v>
      </c>
      <c r="BI30" s="90">
        <f t="shared" si="7"/>
        <v>1972.3869999998351</v>
      </c>
      <c r="BJ30" s="90">
        <f t="shared" si="46"/>
        <v>4962.6130000001649</v>
      </c>
      <c r="BK30" s="92"/>
      <c r="BL30" s="331">
        <f t="shared" si="67"/>
        <v>7899</v>
      </c>
      <c r="BM30" s="93">
        <f t="shared" si="47"/>
        <v>135965.79999999999</v>
      </c>
      <c r="BN30" s="92"/>
      <c r="BO30" s="94">
        <f t="shared" si="48"/>
        <v>6.7193119175435592E-2</v>
      </c>
      <c r="BP30" s="94">
        <f t="shared" si="48"/>
        <v>8.83865919906901E-2</v>
      </c>
      <c r="BQ30" s="94">
        <f t="shared" si="49"/>
        <v>0.18647453119952487</v>
      </c>
      <c r="BR30" s="94">
        <f t="shared" si="68"/>
        <v>0.62120544767247721</v>
      </c>
      <c r="BS30" s="94">
        <f t="shared" si="76"/>
        <v>0</v>
      </c>
      <c r="BT30" s="94">
        <f t="shared" si="76"/>
        <v>7.4823392268368857E-2</v>
      </c>
      <c r="BU30" s="95">
        <f t="shared" si="76"/>
        <v>0.96394485741790048</v>
      </c>
      <c r="BV30" s="94">
        <f t="shared" si="9"/>
        <v>5.9286483054542899E-2</v>
      </c>
      <c r="BW30" s="94">
        <f t="shared" si="9"/>
        <v>7.7986113051595446E-2</v>
      </c>
      <c r="BX30" s="94">
        <f t="shared" si="9"/>
        <v>0.16453201264849296</v>
      </c>
      <c r="BY30" s="94">
        <f t="shared" si="50"/>
        <v>0.54810800121760084</v>
      </c>
      <c r="BZ30" s="95">
        <f t="shared" si="10"/>
        <v>0.85051715348425994</v>
      </c>
      <c r="CA30" s="96" t="e">
        <f>#REF!</f>
        <v>#REF!</v>
      </c>
      <c r="CB30" s="94">
        <f t="shared" si="51"/>
        <v>1.9068195445001646E-2</v>
      </c>
      <c r="CC30" s="95">
        <f t="shared" si="51"/>
        <v>4.1738577146046618E-2</v>
      </c>
      <c r="CD30" s="97">
        <f t="shared" si="11"/>
        <v>8.1023807685475888E-2</v>
      </c>
      <c r="CE30" s="98">
        <f t="shared" si="11"/>
        <v>0.17735388005125349</v>
      </c>
      <c r="CF30" s="97">
        <f t="shared" si="52"/>
        <v>0.32286458446065375</v>
      </c>
      <c r="CG30" s="94">
        <f t="shared" si="52"/>
        <v>4.8700244583450569E-2</v>
      </c>
      <c r="CH30" s="95">
        <f t="shared" si="53"/>
        <v>0.66196258378245776</v>
      </c>
      <c r="CI30" s="96" t="e">
        <f>#REF!</f>
        <v>#REF!</v>
      </c>
      <c r="CJ30" s="94">
        <f t="shared" si="54"/>
        <v>0.30276816608996537</v>
      </c>
      <c r="CK30" s="94">
        <f t="shared" si="54"/>
        <v>5.7670126874279125E-3</v>
      </c>
      <c r="CL30" s="95">
        <f t="shared" si="69"/>
        <v>0.47001153402537488</v>
      </c>
      <c r="CM30" s="95" t="e">
        <f>#REF!</f>
        <v>#REF!</v>
      </c>
      <c r="CN30" s="94">
        <f t="shared" si="55"/>
        <v>0.63774416490885089</v>
      </c>
      <c r="CO30" s="94">
        <f t="shared" si="55"/>
        <v>6.1094819159343089E-2</v>
      </c>
      <c r="CP30" s="95">
        <f t="shared" si="56"/>
        <v>1.103994100598515</v>
      </c>
      <c r="CQ30" s="95" t="e">
        <f>#REF!</f>
        <v>#REF!</v>
      </c>
      <c r="CR30" s="97">
        <f t="shared" si="70"/>
        <v>1.5629725431241019E-2</v>
      </c>
      <c r="CS30" s="95">
        <f t="shared" si="70"/>
        <v>9.0136474817089238E-2</v>
      </c>
      <c r="CT30" s="96" t="e">
        <f>#REF!</f>
        <v>#REF!</v>
      </c>
      <c r="CU30" s="97">
        <f t="shared" si="71"/>
        <v>1.9466910814173125E-2</v>
      </c>
      <c r="CV30" s="95">
        <f t="shared" si="57"/>
        <v>5.183065004274303E-2</v>
      </c>
      <c r="CW30" s="96" t="e">
        <f>#REF!</f>
        <v>#REF!</v>
      </c>
      <c r="CX30" s="99">
        <f t="shared" si="79"/>
        <v>6.1484823098288593E-2</v>
      </c>
      <c r="CY30" s="95">
        <f t="shared" si="79"/>
        <v>1.4426606537028609E-2</v>
      </c>
      <c r="CZ30" s="99">
        <f t="shared" si="79"/>
        <v>0.18411097866303178</v>
      </c>
      <c r="DA30" s="95">
        <f t="shared" si="79"/>
        <v>1.0648209586854449E-2</v>
      </c>
      <c r="DB30" s="94">
        <f t="shared" si="12"/>
        <v>0.12709153377858537</v>
      </c>
      <c r="DC30" s="94">
        <f t="shared" si="13"/>
        <v>4.8432179088596039E-2</v>
      </c>
      <c r="DD30" s="94">
        <f t="shared" si="13"/>
        <v>7.8315864058155299E-2</v>
      </c>
      <c r="DE30" s="94">
        <f t="shared" si="13"/>
        <v>0.11335190850522479</v>
      </c>
      <c r="DF30" s="94">
        <f t="shared" si="13"/>
        <v>0</v>
      </c>
      <c r="DG30" s="94">
        <f t="shared" si="13"/>
        <v>0</v>
      </c>
      <c r="DH30" s="95">
        <f t="shared" si="13"/>
        <v>0.25383957692533671</v>
      </c>
      <c r="DI30" s="96" t="e">
        <f>#REF!</f>
        <v>#REF!</v>
      </c>
      <c r="DJ30" s="95">
        <f t="shared" si="59"/>
        <v>0.33112496908799</v>
      </c>
      <c r="DK30" s="96" t="e">
        <f>#REF!</f>
        <v>#REF!</v>
      </c>
      <c r="DL30" s="95">
        <f t="shared" si="60"/>
        <v>0.67749645685113979</v>
      </c>
      <c r="DM30" s="96">
        <f t="shared" si="14"/>
        <v>0</v>
      </c>
      <c r="DN30" s="94">
        <f t="shared" si="15"/>
        <v>1.704611074917751</v>
      </c>
      <c r="DO30" s="100">
        <v>3.4</v>
      </c>
      <c r="DP30" s="94">
        <f>IF($O30&lt;&gt;0,IF($O30&lt;&gt;0,BL30/$O30*10,0)," ")</f>
        <v>2.7132325008568801</v>
      </c>
      <c r="DQ30" s="94">
        <f>IF($P30&lt;&gt;0,IF($P30&lt;&gt;0,BM30/$P30*10,0)," ")</f>
        <v>3.0603770553444458</v>
      </c>
      <c r="DR30" s="101" t="str">
        <f t="shared" si="16"/>
        <v>3,315, hL/NhL</v>
      </c>
      <c r="DT30" s="103">
        <v>25</v>
      </c>
      <c r="DU30" s="330">
        <v>628421</v>
      </c>
      <c r="DV30" s="330">
        <v>27877</v>
      </c>
      <c r="DW30" s="330">
        <v>5138378</v>
      </c>
      <c r="DX30" s="330">
        <v>119335</v>
      </c>
      <c r="DY30" s="330">
        <v>85493.8</v>
      </c>
      <c r="DZ30" s="330">
        <v>397090</v>
      </c>
      <c r="EA30" s="330">
        <v>234358</v>
      </c>
      <c r="EB30" s="330">
        <v>54811.4</v>
      </c>
      <c r="EC30" s="330">
        <v>411220</v>
      </c>
      <c r="ED30" s="330">
        <v>47607.7</v>
      </c>
      <c r="EE30" s="330">
        <v>42676</v>
      </c>
      <c r="EF30" s="330">
        <v>39229.199999999997</v>
      </c>
      <c r="EG30" s="330">
        <v>92962.2</v>
      </c>
      <c r="EH30" s="330">
        <v>183288.6</v>
      </c>
      <c r="EI30" s="330">
        <v>32454</v>
      </c>
      <c r="EJ30" s="330">
        <v>41083</v>
      </c>
      <c r="EK30" s="330"/>
      <c r="EL30" s="330">
        <v>705903.6</v>
      </c>
      <c r="EM30" s="330">
        <v>4790</v>
      </c>
      <c r="EN30" s="330">
        <v>45067</v>
      </c>
      <c r="EO30" s="330">
        <v>3043222</v>
      </c>
      <c r="EP30" s="330">
        <v>2782648</v>
      </c>
      <c r="EQ30" s="330">
        <v>0</v>
      </c>
      <c r="ER30" s="330">
        <v>1922</v>
      </c>
      <c r="ES30" s="330">
        <v>369618</v>
      </c>
      <c r="ET30" s="330">
        <v>1993069</v>
      </c>
      <c r="EU30" s="330">
        <v>429192</v>
      </c>
      <c r="EV30" s="330">
        <v>143748</v>
      </c>
      <c r="EW30" s="330">
        <v>116035</v>
      </c>
      <c r="EX30" s="330">
        <v>211158.39999999999</v>
      </c>
      <c r="EY30" s="330">
        <v>1662271</v>
      </c>
      <c r="EZ30" s="330">
        <v>789152.4</v>
      </c>
      <c r="FA30" s="385">
        <v>750724</v>
      </c>
      <c r="FB30" s="387">
        <v>31634.1</v>
      </c>
      <c r="FC30" s="378">
        <v>6935</v>
      </c>
      <c r="FD30" s="104">
        <f t="shared" si="75"/>
        <v>5296</v>
      </c>
      <c r="FE30" s="105">
        <f t="shared" si="77"/>
        <v>0</v>
      </c>
      <c r="FF30" s="105">
        <f t="shared" si="77"/>
        <v>373</v>
      </c>
      <c r="FG30" s="105">
        <f t="shared" si="77"/>
        <v>651</v>
      </c>
      <c r="FH30" s="105">
        <f t="shared" si="77"/>
        <v>1500</v>
      </c>
      <c r="FI30" s="105">
        <f t="shared" si="77"/>
        <v>426</v>
      </c>
      <c r="FJ30" s="105">
        <f t="shared" si="77"/>
        <v>0</v>
      </c>
      <c r="FK30" s="105">
        <v>991</v>
      </c>
      <c r="FL30" s="105">
        <v>1063</v>
      </c>
      <c r="FM30" s="105">
        <v>292</v>
      </c>
      <c r="FN30" s="80">
        <v>2603</v>
      </c>
      <c r="FO30" s="105"/>
      <c r="FP30" s="162"/>
      <c r="FR30" s="64"/>
      <c r="FS30" s="64"/>
      <c r="FT30" s="64"/>
      <c r="FU30" s="64"/>
      <c r="FV30" s="64"/>
      <c r="FW30" s="64"/>
      <c r="FX30" s="64"/>
      <c r="FY30" s="64">
        <v>25</v>
      </c>
      <c r="FZ30" s="107"/>
      <c r="GA30" s="107"/>
      <c r="GB30" s="180"/>
      <c r="GC30" s="109"/>
      <c r="GD30" s="110"/>
      <c r="GE30" s="110"/>
      <c r="GF30" s="111"/>
      <c r="GG30" s="111"/>
      <c r="GH30" s="111"/>
      <c r="GI30" s="164"/>
      <c r="GJ30" s="111" t="e">
        <f t="shared" si="61"/>
        <v>#DIV/0!</v>
      </c>
    </row>
    <row r="31" spans="1:193" ht="15" customHeight="1">
      <c r="B31" s="351">
        <v>42942</v>
      </c>
      <c r="D31" s="86">
        <v>1191.3599999999999</v>
      </c>
      <c r="E31" s="86">
        <v>3467.64</v>
      </c>
      <c r="F31" s="86">
        <v>3143.4480000000003</v>
      </c>
      <c r="G31" s="86">
        <v>5900.2709999999997</v>
      </c>
      <c r="H31" s="86">
        <v>6076.1569999999992</v>
      </c>
      <c r="I31" s="86">
        <v>2743.8910000000001</v>
      </c>
      <c r="J31" s="86">
        <v>6178.08</v>
      </c>
      <c r="K31" s="284"/>
      <c r="L31" s="284"/>
      <c r="M31" s="284">
        <f t="shared" si="62"/>
        <v>8921.9709999999995</v>
      </c>
      <c r="N31" s="88">
        <f t="shared" si="19"/>
        <v>19778.876</v>
      </c>
      <c r="O31" s="88">
        <f t="shared" si="20"/>
        <v>24239.861499999999</v>
      </c>
      <c r="P31" s="89">
        <f t="shared" si="21"/>
        <v>468517.79700000008</v>
      </c>
      <c r="R31" s="170">
        <f t="shared" si="22"/>
        <v>281.09999999997672</v>
      </c>
      <c r="S31" s="170">
        <f t="shared" si="23"/>
        <v>19.329999999993014</v>
      </c>
      <c r="T31" s="170">
        <f t="shared" si="1"/>
        <v>53</v>
      </c>
      <c r="U31" s="91">
        <f t="shared" si="74"/>
        <v>5.6199999999997088</v>
      </c>
      <c r="V31" s="170">
        <f t="shared" si="24"/>
        <v>1429.1000000000931</v>
      </c>
      <c r="W31" s="91">
        <f t="shared" si="2"/>
        <v>126.7</v>
      </c>
      <c r="X31" s="170">
        <f t="shared" si="25"/>
        <v>1429.1000000000931</v>
      </c>
      <c r="Y31" s="170" t="str">
        <f t="shared" si="26"/>
        <v>0</v>
      </c>
      <c r="Z31" s="170">
        <f t="shared" si="3"/>
        <v>159.6</v>
      </c>
      <c r="AA31" s="170">
        <f t="shared" si="27"/>
        <v>1788.1500000000626</v>
      </c>
      <c r="AB31" s="170">
        <f t="shared" si="28"/>
        <v>138</v>
      </c>
      <c r="AC31" s="170">
        <f t="shared" si="28"/>
        <v>56</v>
      </c>
      <c r="AD31" s="170">
        <f t="shared" si="29"/>
        <v>304</v>
      </c>
      <c r="AE31" s="170">
        <f t="shared" si="30"/>
        <v>110</v>
      </c>
      <c r="AF31" s="170">
        <f>IF(DX31=0,"",(DX31-DX30))</f>
        <v>108</v>
      </c>
      <c r="AG31" s="170">
        <f t="shared" si="31"/>
        <v>0</v>
      </c>
      <c r="AH31" s="170">
        <f t="shared" si="32"/>
        <v>146</v>
      </c>
      <c r="AI31" s="170">
        <f t="shared" si="33"/>
        <v>38</v>
      </c>
      <c r="AJ31" s="170">
        <f t="shared" si="34"/>
        <v>126</v>
      </c>
      <c r="AK31" s="170">
        <f t="shared" si="34"/>
        <v>5.5999999999985448</v>
      </c>
      <c r="AL31" s="170">
        <f t="shared" si="35"/>
        <v>179</v>
      </c>
      <c r="AM31" s="170">
        <f t="shared" si="36"/>
        <v>47.400000000001455</v>
      </c>
      <c r="AN31" s="170">
        <f t="shared" si="37"/>
        <v>65.600000000005821</v>
      </c>
      <c r="AO31" s="170">
        <f t="shared" si="4"/>
        <v>50.099999999998545</v>
      </c>
      <c r="AP31" s="170">
        <f t="shared" si="38"/>
        <v>17.400000000008731</v>
      </c>
      <c r="AQ31" s="170">
        <f t="shared" si="5"/>
        <v>53.100000000005821</v>
      </c>
      <c r="AR31" s="170">
        <f t="shared" si="39"/>
        <v>125.307</v>
      </c>
      <c r="AS31" s="170">
        <f t="shared" si="40"/>
        <v>66.307000000000016</v>
      </c>
      <c r="AT31" s="170">
        <f t="shared" si="41"/>
        <v>903.30700000000002</v>
      </c>
      <c r="AU31" s="170">
        <f t="shared" si="63"/>
        <v>288</v>
      </c>
      <c r="AV31" s="170">
        <f t="shared" si="64"/>
        <v>14</v>
      </c>
      <c r="AW31" s="170">
        <f t="shared" si="65"/>
        <v>549</v>
      </c>
      <c r="AX31" s="170">
        <f t="shared" si="66"/>
        <v>41</v>
      </c>
      <c r="AY31" s="170" t="str">
        <f t="shared" si="66"/>
        <v/>
      </c>
      <c r="AZ31" s="170">
        <f t="shared" si="42"/>
        <v>252</v>
      </c>
      <c r="BA31" s="170">
        <v>116.3</v>
      </c>
      <c r="BB31" s="170">
        <f t="shared" si="43"/>
        <v>118.80000000001746</v>
      </c>
      <c r="BC31" s="170">
        <f t="shared" si="43"/>
        <v>1049.3999999999069</v>
      </c>
      <c r="BD31" s="91">
        <f t="shared" si="44"/>
        <v>41</v>
      </c>
      <c r="BE31" s="90"/>
      <c r="BF31" s="90"/>
      <c r="BG31" s="90">
        <f t="shared" si="6"/>
        <v>1420.1999999999243</v>
      </c>
      <c r="BH31" s="170">
        <f t="shared" si="45"/>
        <v>-2488</v>
      </c>
      <c r="BI31" s="90">
        <f t="shared" si="7"/>
        <v>1782.1430000000091</v>
      </c>
      <c r="BJ31" s="90">
        <f t="shared" si="46"/>
        <v>4898.8569999999909</v>
      </c>
      <c r="BK31" s="92"/>
      <c r="BL31" s="331">
        <f t="shared" si="67"/>
        <v>4193</v>
      </c>
      <c r="BM31" s="93">
        <f t="shared" si="47"/>
        <v>140158.79999999999</v>
      </c>
      <c r="BN31" s="92"/>
      <c r="BO31" s="94">
        <f t="shared" si="48"/>
        <v>0.14212132175760478</v>
      </c>
      <c r="BP31" s="94">
        <f t="shared" si="48"/>
        <v>9.7730528266586087E-3</v>
      </c>
      <c r="BQ31" s="94">
        <f t="shared" si="49"/>
        <v>2.6796264863584766E-2</v>
      </c>
      <c r="BR31" s="94">
        <f t="shared" si="68"/>
        <v>0.72253853050097139</v>
      </c>
      <c r="BS31" s="94">
        <f t="shared" si="76"/>
        <v>0</v>
      </c>
      <c r="BT31" s="94">
        <f t="shared" si="76"/>
        <v>8.06921485326062E-2</v>
      </c>
      <c r="BU31" s="95">
        <f t="shared" si="76"/>
        <v>0.9040705852041655</v>
      </c>
      <c r="BV31" s="94">
        <f t="shared" si="9"/>
        <v>0.11596600912920924</v>
      </c>
      <c r="BW31" s="94">
        <f t="shared" si="9"/>
        <v>7.9744680059302374E-3</v>
      </c>
      <c r="BX31" s="94">
        <f t="shared" si="9"/>
        <v>2.186481139754037E-2</v>
      </c>
      <c r="BY31" s="94">
        <f t="shared" si="50"/>
        <v>0.58956607487220714</v>
      </c>
      <c r="BZ31" s="95">
        <f t="shared" si="10"/>
        <v>0.73768985850024882</v>
      </c>
      <c r="CA31" s="96" t="e">
        <f>#REF!</f>
        <v>#REF!</v>
      </c>
      <c r="CB31" s="94">
        <f t="shared" si="51"/>
        <v>5.1694602297954549E-2</v>
      </c>
      <c r="CC31" s="95">
        <f t="shared" si="51"/>
        <v>2.7354529232768106E-2</v>
      </c>
      <c r="CD31" s="97">
        <f t="shared" si="11"/>
        <v>0.14044766565594083</v>
      </c>
      <c r="CE31" s="98">
        <f t="shared" si="11"/>
        <v>7.431878000948447E-2</v>
      </c>
      <c r="CF31" s="97">
        <f t="shared" si="52"/>
        <v>1.1583400483481063</v>
      </c>
      <c r="CG31" s="94">
        <f t="shared" si="52"/>
        <v>0.47005103411227511</v>
      </c>
      <c r="CH31" s="95">
        <f t="shared" si="53"/>
        <v>2.5517056137523504</v>
      </c>
      <c r="CI31" s="96" t="e">
        <f>#REF!</f>
        <v>#REF!</v>
      </c>
      <c r="CJ31" s="94">
        <f t="shared" si="54"/>
        <v>0.31145101567636779</v>
      </c>
      <c r="CK31" s="94">
        <f t="shared" si="54"/>
        <v>0</v>
      </c>
      <c r="CL31" s="95">
        <f t="shared" si="69"/>
        <v>0.42103563230323798</v>
      </c>
      <c r="CM31" s="95" t="e">
        <f>#REF!</f>
        <v>#REF!</v>
      </c>
      <c r="CN31" s="94">
        <f t="shared" si="55"/>
        <v>0.40083373416706747</v>
      </c>
      <c r="CO31" s="94">
        <f t="shared" si="55"/>
        <v>1.7814832629642813E-2</v>
      </c>
      <c r="CP31" s="95">
        <f t="shared" si="56"/>
        <v>0.56943840012623081</v>
      </c>
      <c r="CQ31" s="95" t="e">
        <f>#REF!</f>
        <v>#REF!</v>
      </c>
      <c r="CR31" s="97">
        <f t="shared" si="70"/>
        <v>0.11118133387433531</v>
      </c>
      <c r="CS31" s="95">
        <f t="shared" si="70"/>
        <v>8.4911354071700335E-2</v>
      </c>
      <c r="CT31" s="96" t="e">
        <f>#REF!</f>
        <v>#REF!</v>
      </c>
      <c r="CU31" s="97">
        <f t="shared" si="71"/>
        <v>2.8636521406554725E-2</v>
      </c>
      <c r="CV31" s="95">
        <f t="shared" si="57"/>
        <v>8.7390763602727559E-2</v>
      </c>
      <c r="CW31" s="96" t="e">
        <f>#REF!</f>
        <v>#REF!</v>
      </c>
      <c r="CX31" s="99">
        <f t="shared" si="79"/>
        <v>0.11881256004701182</v>
      </c>
      <c r="CY31" s="95">
        <f t="shared" si="79"/>
        <v>5.7756105578408521E-3</v>
      </c>
      <c r="CZ31" s="99">
        <f t="shared" si="79"/>
        <v>0.22648644258961628</v>
      </c>
      <c r="DA31" s="95">
        <f t="shared" si="79"/>
        <v>1.691428806224821E-2</v>
      </c>
      <c r="DB31" s="94">
        <f t="shared" si="12"/>
        <v>0.10396099004113535</v>
      </c>
      <c r="DC31" s="94">
        <f t="shared" si="13"/>
        <v>4.9010181019399579E-2</v>
      </c>
      <c r="DD31" s="94">
        <f t="shared" si="13"/>
        <v>0.43292326567126088</v>
      </c>
      <c r="DE31" s="94">
        <f t="shared" si="13"/>
        <v>1.691428806224821E-2</v>
      </c>
      <c r="DF31" s="94">
        <f t="shared" si="13"/>
        <v>0</v>
      </c>
      <c r="DG31" s="94">
        <f t="shared" si="13"/>
        <v>0</v>
      </c>
      <c r="DH31" s="95">
        <f t="shared" si="13"/>
        <v>0.58589443673179586</v>
      </c>
      <c r="DI31" s="96" t="e">
        <f>#REF!</f>
        <v>#REF!</v>
      </c>
      <c r="DJ31" s="95">
        <f t="shared" si="59"/>
        <v>-1.0264085048505742</v>
      </c>
      <c r="DK31" s="96" t="e">
        <f>#REF!</f>
        <v>#REF!</v>
      </c>
      <c r="DL31" s="95">
        <f t="shared" si="60"/>
        <v>0.7352117090273016</v>
      </c>
      <c r="DM31" s="96">
        <f t="shared" si="14"/>
        <v>0</v>
      </c>
      <c r="DN31" s="94">
        <f t="shared" si="15"/>
        <v>2.0209921578966079</v>
      </c>
      <c r="DO31" s="100">
        <v>3.4</v>
      </c>
      <c r="DP31" s="94">
        <f t="shared" si="72"/>
        <v>1.7297953620733353</v>
      </c>
      <c r="DQ31" s="94">
        <f t="shared" si="73"/>
        <v>2.9915363065706546</v>
      </c>
      <c r="DR31" s="101" t="str">
        <f t="shared" si="16"/>
        <v>3,315, hL/NhL</v>
      </c>
      <c r="DT31" s="182">
        <v>26</v>
      </c>
      <c r="DU31" s="330">
        <v>628559</v>
      </c>
      <c r="DV31" s="361">
        <v>27933</v>
      </c>
      <c r="DW31" s="361">
        <v>5138682</v>
      </c>
      <c r="DX31" s="361">
        <v>119443</v>
      </c>
      <c r="DY31" s="361">
        <v>85493.8</v>
      </c>
      <c r="DZ31" s="361">
        <v>397236</v>
      </c>
      <c r="EA31" s="303">
        <v>234484</v>
      </c>
      <c r="EB31" s="303">
        <v>54817</v>
      </c>
      <c r="EC31" s="303">
        <v>411399</v>
      </c>
      <c r="ED31" s="303">
        <v>47673.3</v>
      </c>
      <c r="EE31" s="303">
        <v>42690.6</v>
      </c>
      <c r="EF31" s="303">
        <v>39264.699999999997</v>
      </c>
      <c r="EG31" s="361">
        <v>92979.6</v>
      </c>
      <c r="EH31" s="361">
        <v>183341.7</v>
      </c>
      <c r="EI31" s="361">
        <v>32468</v>
      </c>
      <c r="EJ31" s="303">
        <v>41124</v>
      </c>
      <c r="EK31" s="303"/>
      <c r="EL31" s="361">
        <v>706184.7</v>
      </c>
      <c r="EM31" s="361">
        <v>530</v>
      </c>
      <c r="EN31" s="303">
        <v>45123.199999999997</v>
      </c>
      <c r="EO31" s="361">
        <v>3044651.1</v>
      </c>
      <c r="EP31" s="381">
        <v>2783915</v>
      </c>
      <c r="EQ31" s="381">
        <v>0</v>
      </c>
      <c r="ER31" s="381">
        <v>1596</v>
      </c>
      <c r="ES31" s="303">
        <v>370396</v>
      </c>
      <c r="ET31" s="303">
        <v>2118376</v>
      </c>
      <c r="EU31" s="303">
        <v>429741</v>
      </c>
      <c r="EV31" s="303">
        <v>144036</v>
      </c>
      <c r="EW31" s="303">
        <v>116287</v>
      </c>
      <c r="EX31" s="361">
        <v>211277.2</v>
      </c>
      <c r="EY31" s="361">
        <v>1663320.4</v>
      </c>
      <c r="EZ31" s="303">
        <v>789345.7</v>
      </c>
      <c r="FA31" s="383">
        <v>750765</v>
      </c>
      <c r="FB31" s="383">
        <v>31750.400000000001</v>
      </c>
      <c r="FC31" s="382">
        <v>6681</v>
      </c>
      <c r="FD31" s="104">
        <f t="shared" si="75"/>
        <v>4193</v>
      </c>
      <c r="FE31" s="105">
        <f t="shared" si="77"/>
        <v>0</v>
      </c>
      <c r="FF31" s="105">
        <f t="shared" si="77"/>
        <v>486</v>
      </c>
      <c r="FG31" s="105">
        <f t="shared" si="77"/>
        <v>711</v>
      </c>
      <c r="FH31" s="105">
        <f t="shared" si="77"/>
        <v>0</v>
      </c>
      <c r="FI31" s="105">
        <f t="shared" si="77"/>
        <v>610</v>
      </c>
      <c r="FJ31" s="105">
        <f t="shared" si="77"/>
        <v>0</v>
      </c>
      <c r="FK31" s="105">
        <v>1039</v>
      </c>
      <c r="FL31" s="105">
        <v>1057</v>
      </c>
      <c r="FM31" s="105">
        <v>290</v>
      </c>
      <c r="FN31" s="80">
        <f t="shared" si="78"/>
        <v>0</v>
      </c>
      <c r="FO31" s="381"/>
      <c r="FP31" s="184"/>
      <c r="FQ31" s="185"/>
      <c r="FR31" s="64"/>
      <c r="FS31" s="64"/>
      <c r="FT31" s="64"/>
      <c r="FU31" s="64"/>
      <c r="FV31" s="64"/>
      <c r="FW31" s="64"/>
      <c r="FX31" s="64"/>
      <c r="FY31" s="64">
        <v>26</v>
      </c>
      <c r="FZ31" s="107"/>
      <c r="GA31" s="107"/>
      <c r="GB31" s="180"/>
      <c r="GC31" s="109"/>
      <c r="GD31" s="110"/>
      <c r="GE31" s="110"/>
      <c r="GF31" s="111"/>
      <c r="GG31" s="111"/>
      <c r="GH31" s="111"/>
      <c r="GI31" s="112"/>
      <c r="GJ31" s="111" t="e">
        <f t="shared" si="61"/>
        <v>#DIV/0!</v>
      </c>
      <c r="GK31" s="118"/>
    </row>
    <row r="32" spans="1:193" s="119" customFormat="1" ht="15" customHeight="1">
      <c r="B32" s="351">
        <v>42943</v>
      </c>
      <c r="D32" s="86">
        <v>6060</v>
      </c>
      <c r="E32" s="86">
        <v>1975.44</v>
      </c>
      <c r="F32" s="86">
        <v>2592.1440000000002</v>
      </c>
      <c r="G32" s="86">
        <v>6048.71</v>
      </c>
      <c r="H32" s="86">
        <v>2419.7919999999999</v>
      </c>
      <c r="I32" s="86">
        <v>1725.9670000000001</v>
      </c>
      <c r="J32" s="86">
        <v>6413.16</v>
      </c>
      <c r="K32" s="284"/>
      <c r="L32" s="284"/>
      <c r="M32" s="284">
        <f t="shared" si="62"/>
        <v>8139.1270000000004</v>
      </c>
      <c r="N32" s="88">
        <f t="shared" si="19"/>
        <v>19096.086000000003</v>
      </c>
      <c r="O32" s="88">
        <f t="shared" si="20"/>
        <v>23165.649500000003</v>
      </c>
      <c r="P32" s="89">
        <f t="shared" si="21"/>
        <v>491683.44650000008</v>
      </c>
      <c r="R32" s="170">
        <f t="shared" si="22"/>
        <v>314.90000000002328</v>
      </c>
      <c r="S32" s="170">
        <f t="shared" si="23"/>
        <v>0</v>
      </c>
      <c r="T32" s="170">
        <f t="shared" si="1"/>
        <v>880.1</v>
      </c>
      <c r="U32" s="91">
        <f t="shared" si="74"/>
        <v>5.75</v>
      </c>
      <c r="V32" s="170">
        <f t="shared" si="24"/>
        <v>1960.1999999997206</v>
      </c>
      <c r="W32" s="91">
        <f t="shared" si="2"/>
        <v>173.1</v>
      </c>
      <c r="X32" s="170">
        <f t="shared" si="25"/>
        <v>1960.1999999997206</v>
      </c>
      <c r="Y32" s="170">
        <f t="shared" si="26"/>
        <v>218.4</v>
      </c>
      <c r="Z32" s="170">
        <f t="shared" si="3"/>
        <v>192.8</v>
      </c>
      <c r="AA32" s="170">
        <f t="shared" si="27"/>
        <v>3160.9499999997438</v>
      </c>
      <c r="AB32" s="170">
        <f t="shared" si="28"/>
        <v>165</v>
      </c>
      <c r="AC32" s="170">
        <f t="shared" si="28"/>
        <v>21</v>
      </c>
      <c r="AD32" s="170">
        <f t="shared" si="29"/>
        <v>338</v>
      </c>
      <c r="AE32" s="170">
        <f t="shared" si="30"/>
        <v>152</v>
      </c>
      <c r="AF32" s="170">
        <f>IF(DX32=0,"",(DX32-DX31))</f>
        <v>123</v>
      </c>
      <c r="AG32" s="170">
        <f t="shared" si="31"/>
        <v>27</v>
      </c>
      <c r="AH32" s="170">
        <f t="shared" si="32"/>
        <v>202</v>
      </c>
      <c r="AI32" s="170">
        <f t="shared" si="33"/>
        <v>52</v>
      </c>
      <c r="AJ32" s="170">
        <f>IF(EA32=0,"",(EA32-EA31))</f>
        <v>97</v>
      </c>
      <c r="AK32" s="170">
        <f t="shared" si="34"/>
        <v>4.8000000000029104</v>
      </c>
      <c r="AL32" s="170">
        <f t="shared" si="35"/>
        <v>204</v>
      </c>
      <c r="AM32" s="170">
        <f t="shared" si="36"/>
        <v>102.19999999999709</v>
      </c>
      <c r="AN32" s="170">
        <f t="shared" si="37"/>
        <v>3</v>
      </c>
      <c r="AO32" s="170">
        <f t="shared" si="4"/>
        <v>42.400000000001455</v>
      </c>
      <c r="AP32" s="170">
        <f t="shared" si="38"/>
        <v>60.099999999991269</v>
      </c>
      <c r="AQ32" s="170">
        <f t="shared" si="5"/>
        <v>126.69999999998254</v>
      </c>
      <c r="AR32" s="170">
        <f t="shared" si="39"/>
        <v>107.616</v>
      </c>
      <c r="AS32" s="170">
        <f t="shared" si="40"/>
        <v>196.61599999999999</v>
      </c>
      <c r="AT32" s="170">
        <f t="shared" si="41"/>
        <v>1059.616</v>
      </c>
      <c r="AU32" s="170">
        <f t="shared" si="63"/>
        <v>350</v>
      </c>
      <c r="AV32" s="170">
        <f t="shared" si="64"/>
        <v>65</v>
      </c>
      <c r="AW32" s="170">
        <f t="shared" si="65"/>
        <v>513</v>
      </c>
      <c r="AX32" s="170">
        <f t="shared" si="66"/>
        <v>48</v>
      </c>
      <c r="AY32" s="170" t="str">
        <f t="shared" si="66"/>
        <v/>
      </c>
      <c r="AZ32" s="170">
        <f t="shared" si="42"/>
        <v>299</v>
      </c>
      <c r="BA32" s="170">
        <v>116.6</v>
      </c>
      <c r="BB32" s="170">
        <f t="shared" si="43"/>
        <v>166.79999999998836</v>
      </c>
      <c r="BC32" s="170">
        <f t="shared" si="43"/>
        <v>1098</v>
      </c>
      <c r="BD32" s="91">
        <f t="shared" si="44"/>
        <v>91</v>
      </c>
      <c r="BE32" s="90"/>
      <c r="BF32" s="90"/>
      <c r="BG32" s="90">
        <f t="shared" si="6"/>
        <v>1563.7999999999884</v>
      </c>
      <c r="BH32" s="90">
        <f t="shared" si="45"/>
        <v>-785</v>
      </c>
      <c r="BI32" s="90">
        <f t="shared" si="7"/>
        <v>1294.5340000002834</v>
      </c>
      <c r="BJ32" s="90">
        <f t="shared" si="46"/>
        <v>6810.4659999997166</v>
      </c>
      <c r="BK32" s="92"/>
      <c r="BL32" s="331">
        <f>FD32+FN32</f>
        <v>7320</v>
      </c>
      <c r="BM32" s="93">
        <f t="shared" si="47"/>
        <v>147478.79999999999</v>
      </c>
      <c r="BN32" s="92"/>
      <c r="BO32" s="94">
        <f t="shared" si="48"/>
        <v>0.16490290209209532</v>
      </c>
      <c r="BP32" s="94">
        <f t="shared" si="48"/>
        <v>0</v>
      </c>
      <c r="BQ32" s="94">
        <f t="shared" si="49"/>
        <v>0.460879784475206</v>
      </c>
      <c r="BR32" s="94">
        <f t="shared" si="68"/>
        <v>1.0264930729782638</v>
      </c>
      <c r="BS32" s="94">
        <f t="shared" si="76"/>
        <v>0.11436898639857403</v>
      </c>
      <c r="BT32" s="94">
        <f t="shared" si="76"/>
        <v>0.10096309788299024</v>
      </c>
      <c r="BU32" s="95">
        <f t="shared" si="76"/>
        <v>1.65528684778637</v>
      </c>
      <c r="BV32" s="94">
        <f t="shared" si="9"/>
        <v>0.13593402593785389</v>
      </c>
      <c r="BW32" s="94">
        <f t="shared" si="9"/>
        <v>0</v>
      </c>
      <c r="BX32" s="94">
        <f t="shared" si="9"/>
        <v>0.37991596134613009</v>
      </c>
      <c r="BY32" s="94">
        <f t="shared" si="50"/>
        <v>0.84616664859740731</v>
      </c>
      <c r="BZ32" s="95">
        <f t="shared" si="10"/>
        <v>1.3644987592511675</v>
      </c>
      <c r="CA32" s="96" t="e">
        <f>#REF!</f>
        <v>#REF!</v>
      </c>
      <c r="CB32" s="94">
        <f t="shared" si="51"/>
        <v>4.6454989315106401E-2</v>
      </c>
      <c r="CC32" s="95">
        <f t="shared" si="51"/>
        <v>8.4873942342950481E-2</v>
      </c>
      <c r="CD32" s="97">
        <f t="shared" si="11"/>
        <v>0.13222056861872286</v>
      </c>
      <c r="CE32" s="98">
        <f t="shared" si="11"/>
        <v>0.24156890536294615</v>
      </c>
      <c r="CF32" s="97">
        <f t="shared" si="52"/>
        <v>0.2722772277227723</v>
      </c>
      <c r="CG32" s="94">
        <f t="shared" si="52"/>
        <v>3.4653465346534656E-2</v>
      </c>
      <c r="CH32" s="95">
        <f t="shared" si="53"/>
        <v>0.55775577557755773</v>
      </c>
      <c r="CI32" s="96" t="e">
        <f>#REF!</f>
        <v>#REF!</v>
      </c>
      <c r="CJ32" s="94">
        <f t="shared" si="54"/>
        <v>0.62264609403474669</v>
      </c>
      <c r="CK32" s="94">
        <f t="shared" si="54"/>
        <v>0.13667841088567609</v>
      </c>
      <c r="CL32" s="95">
        <f t="shared" si="69"/>
        <v>1.0225569999595028</v>
      </c>
      <c r="CM32" s="95" t="e">
        <f>#REF!</f>
        <v>#REF!</v>
      </c>
      <c r="CN32" s="94">
        <f t="shared" si="55"/>
        <v>0.37420760575029777</v>
      </c>
      <c r="CO32" s="94">
        <f t="shared" si="55"/>
        <v>1.851748976909813E-2</v>
      </c>
      <c r="CP32" s="95">
        <f t="shared" si="56"/>
        <v>0.7869933151861932</v>
      </c>
      <c r="CQ32" s="95" t="e">
        <f>#REF!</f>
        <v>#REF!</v>
      </c>
      <c r="CR32" s="97">
        <f t="shared" si="70"/>
        <v>4.9597352162692541E-3</v>
      </c>
      <c r="CS32" s="95">
        <f t="shared" si="70"/>
        <v>7.0097591056607872E-2</v>
      </c>
      <c r="CT32" s="96" t="e">
        <f>#REF!</f>
        <v>#REF!</v>
      </c>
      <c r="CU32" s="97">
        <f t="shared" si="71"/>
        <v>0.24836845480930292</v>
      </c>
      <c r="CV32" s="95">
        <f t="shared" si="57"/>
        <v>0.52359872253475725</v>
      </c>
      <c r="CW32" s="96" t="e">
        <f>#REF!</f>
        <v>#REF!</v>
      </c>
      <c r="CX32" s="99">
        <f t="shared" si="79"/>
        <v>0.15108577033421833</v>
      </c>
      <c r="CY32" s="95">
        <f t="shared" si="79"/>
        <v>2.8058785919211973E-2</v>
      </c>
      <c r="CZ32" s="99">
        <f t="shared" si="79"/>
        <v>0.2214485719470114</v>
      </c>
      <c r="DA32" s="95">
        <f t="shared" si="79"/>
        <v>2.0720334217264227E-2</v>
      </c>
      <c r="DB32" s="94">
        <f t="shared" si="12"/>
        <v>0.12907041522837509</v>
      </c>
      <c r="DC32" s="94">
        <f t="shared" si="13"/>
        <v>7.2003161404988164E-2</v>
      </c>
      <c r="DD32" s="94">
        <f t="shared" si="13"/>
        <v>0.47397764521991914</v>
      </c>
      <c r="DE32" s="94">
        <f t="shared" si="13"/>
        <v>3.9282300286896762E-2</v>
      </c>
      <c r="DF32" s="94">
        <f t="shared" si="13"/>
        <v>0</v>
      </c>
      <c r="DG32" s="94">
        <f t="shared" si="13"/>
        <v>0</v>
      </c>
      <c r="DH32" s="95">
        <f t="shared" si="13"/>
        <v>0.67505122185328237</v>
      </c>
      <c r="DI32" s="96" t="e">
        <f>#REF!</f>
        <v>#REF!</v>
      </c>
      <c r="DJ32" s="95">
        <f t="shared" si="59"/>
        <v>-0.33886379917817538</v>
      </c>
      <c r="DK32" s="96" t="e">
        <f>#REF!</f>
        <v>#REF!</v>
      </c>
      <c r="DL32" s="95">
        <f t="shared" si="60"/>
        <v>0.55881619032537089</v>
      </c>
      <c r="DM32" s="96">
        <f t="shared" si="14"/>
        <v>0</v>
      </c>
      <c r="DN32" s="94">
        <f>IF($O32&lt;&gt;0,BJ32/$O32*10,"")</f>
        <v>2.9398985769855992</v>
      </c>
      <c r="DO32" s="100">
        <v>3.4</v>
      </c>
      <c r="DP32" s="94">
        <f t="shared" si="72"/>
        <v>3.1598509681327949</v>
      </c>
      <c r="DQ32" s="94">
        <f t="shared" si="73"/>
        <v>2.999466446344965</v>
      </c>
      <c r="DR32" s="101"/>
      <c r="DS32" s="173"/>
      <c r="DT32" s="134">
        <v>27</v>
      </c>
      <c r="DU32" s="454">
        <v>628724</v>
      </c>
      <c r="DV32" s="330">
        <v>27954</v>
      </c>
      <c r="DW32" s="330">
        <v>5139020</v>
      </c>
      <c r="DX32" s="330">
        <v>119566</v>
      </c>
      <c r="DY32" s="330">
        <v>85520.8</v>
      </c>
      <c r="DZ32" s="330">
        <v>397438</v>
      </c>
      <c r="EA32" s="330">
        <v>234581</v>
      </c>
      <c r="EB32" s="330">
        <v>54821.8</v>
      </c>
      <c r="EC32" s="330">
        <v>411603</v>
      </c>
      <c r="ED32" s="330">
        <v>47676.3</v>
      </c>
      <c r="EE32" s="330">
        <v>42697.1</v>
      </c>
      <c r="EF32" s="330">
        <v>39300.6</v>
      </c>
      <c r="EG32" s="330">
        <v>93039.7</v>
      </c>
      <c r="EH32" s="330">
        <v>183468.4</v>
      </c>
      <c r="EI32" s="330">
        <v>32533</v>
      </c>
      <c r="EJ32" s="330">
        <v>41172</v>
      </c>
      <c r="EK32" s="330"/>
      <c r="EL32" s="330">
        <v>706499.6</v>
      </c>
      <c r="EM32" s="330">
        <v>8801</v>
      </c>
      <c r="EN32" s="330">
        <v>45180.7</v>
      </c>
      <c r="EO32" s="330">
        <v>3046611.3</v>
      </c>
      <c r="EP32" s="330">
        <v>2785646</v>
      </c>
      <c r="EQ32" s="330">
        <v>2184</v>
      </c>
      <c r="ER32" s="330">
        <v>1928</v>
      </c>
      <c r="ES32" s="330">
        <v>371348</v>
      </c>
      <c r="ET32" s="105">
        <v>2225992</v>
      </c>
      <c r="EU32" s="330">
        <v>430254</v>
      </c>
      <c r="EV32" s="330">
        <v>144386</v>
      </c>
      <c r="EW32" s="330">
        <v>116586</v>
      </c>
      <c r="EX32" s="330">
        <v>211444</v>
      </c>
      <c r="EY32" s="330">
        <v>1664418.4</v>
      </c>
      <c r="EZ32" s="330">
        <v>789345.7</v>
      </c>
      <c r="FA32" s="387">
        <v>750856</v>
      </c>
      <c r="FB32" s="387">
        <v>31870.2</v>
      </c>
      <c r="FC32" s="385">
        <v>8105</v>
      </c>
      <c r="FD32" s="104">
        <f t="shared" si="75"/>
        <v>6120</v>
      </c>
      <c r="FE32" s="105">
        <f t="shared" si="77"/>
        <v>0</v>
      </c>
      <c r="FF32" s="105">
        <f t="shared" si="77"/>
        <v>573</v>
      </c>
      <c r="FG32" s="105">
        <f t="shared" si="77"/>
        <v>475</v>
      </c>
      <c r="FH32" s="105">
        <f t="shared" si="77"/>
        <v>1800</v>
      </c>
      <c r="FI32" s="105">
        <f t="shared" si="77"/>
        <v>720</v>
      </c>
      <c r="FJ32" s="105">
        <f t="shared" si="77"/>
        <v>0</v>
      </c>
      <c r="FK32" s="105">
        <v>1206</v>
      </c>
      <c r="FL32" s="105">
        <v>1054</v>
      </c>
      <c r="FM32" s="105">
        <v>292</v>
      </c>
      <c r="FN32" s="80">
        <v>1200</v>
      </c>
      <c r="FO32" s="105"/>
      <c r="FP32" s="162"/>
      <c r="FQ32" s="186"/>
      <c r="FY32" s="119">
        <v>27</v>
      </c>
      <c r="FZ32" s="107"/>
      <c r="GA32" s="107"/>
      <c r="GB32" s="180"/>
      <c r="GC32" s="109"/>
      <c r="GD32" s="110"/>
      <c r="GE32" s="110"/>
      <c r="GF32" s="111"/>
      <c r="GG32" s="111"/>
      <c r="GH32" s="111"/>
      <c r="GI32" s="164"/>
      <c r="GJ32" s="111" t="e">
        <f t="shared" si="61"/>
        <v>#DIV/0!</v>
      </c>
    </row>
    <row r="33" spans="1:193" s="119" customFormat="1" ht="15" customHeight="1">
      <c r="A33" s="119">
        <v>0</v>
      </c>
      <c r="B33" s="351">
        <v>42944</v>
      </c>
      <c r="D33" s="86">
        <v>3554.88</v>
      </c>
      <c r="E33" s="86">
        <v>1922.16</v>
      </c>
      <c r="F33" s="86">
        <v>0</v>
      </c>
      <c r="G33" s="86">
        <v>3226.567</v>
      </c>
      <c r="H33" s="86">
        <v>5057.3159999999998</v>
      </c>
      <c r="I33" s="86">
        <v>1457.5219999999999</v>
      </c>
      <c r="J33" s="86">
        <v>5060.9279999999999</v>
      </c>
      <c r="K33" s="284">
        <v>0</v>
      </c>
      <c r="L33" s="284"/>
      <c r="M33" s="284">
        <f t="shared" si="62"/>
        <v>6518.45</v>
      </c>
      <c r="N33" s="88">
        <f t="shared" si="19"/>
        <v>13760.922999999999</v>
      </c>
      <c r="O33" s="88">
        <f t="shared" si="20"/>
        <v>17020.147999999997</v>
      </c>
      <c r="P33" s="89">
        <f t="shared" si="21"/>
        <v>508703.59450000006</v>
      </c>
      <c r="R33" s="170">
        <f t="shared" si="22"/>
        <v>268</v>
      </c>
      <c r="S33" s="170">
        <f t="shared" si="23"/>
        <v>2.6300000000046566</v>
      </c>
      <c r="T33" s="170">
        <f t="shared" si="1"/>
        <v>379</v>
      </c>
      <c r="U33" s="91">
        <f t="shared" si="74"/>
        <v>5.35</v>
      </c>
      <c r="V33" s="170">
        <f t="shared" si="24"/>
        <v>1549.7000000001863</v>
      </c>
      <c r="W33" s="91">
        <f t="shared" si="2"/>
        <v>137.80000000000001</v>
      </c>
      <c r="X33" s="170">
        <f t="shared" si="25"/>
        <v>1549.7000000001863</v>
      </c>
      <c r="Y33" s="170">
        <f t="shared" si="26"/>
        <v>36.799999999999997</v>
      </c>
      <c r="Z33" s="170">
        <f t="shared" si="3"/>
        <v>153.80000000000001</v>
      </c>
      <c r="AA33" s="170">
        <f t="shared" si="27"/>
        <v>2204.6800000001908</v>
      </c>
      <c r="AB33" s="170">
        <f>IF(DU33=0,"",(DU33-DU31))</f>
        <v>325</v>
      </c>
      <c r="AC33" s="170">
        <f t="shared" si="28"/>
        <v>44</v>
      </c>
      <c r="AD33" s="170">
        <f>(IF(SUM(AB33:AC33)&gt;=(DW33-DW32),(SUM(AB33:AC33)),(DW33-DW32)))</f>
        <v>369</v>
      </c>
      <c r="AE33" s="170">
        <f t="shared" si="30"/>
        <v>0</v>
      </c>
      <c r="AF33" s="170">
        <f t="shared" si="31"/>
        <v>166</v>
      </c>
      <c r="AG33" s="170">
        <f t="shared" si="31"/>
        <v>69.19999999999709</v>
      </c>
      <c r="AH33" s="170">
        <f t="shared" si="32"/>
        <v>316</v>
      </c>
      <c r="AI33" s="170">
        <f t="shared" si="33"/>
        <v>80.80000000000291</v>
      </c>
      <c r="AJ33" s="170">
        <f>IF(EA33=0,"",(EA33-EA32))</f>
        <v>60</v>
      </c>
      <c r="AK33" s="170">
        <f t="shared" si="34"/>
        <v>22.299999999995634</v>
      </c>
      <c r="AL33" s="170">
        <f t="shared" si="35"/>
        <v>145</v>
      </c>
      <c r="AM33" s="170">
        <f t="shared" si="36"/>
        <v>62.700000000004366</v>
      </c>
      <c r="AN33" s="170">
        <f t="shared" si="37"/>
        <v>86.899999999994179</v>
      </c>
      <c r="AO33" s="170">
        <f t="shared" si="4"/>
        <v>41.600000000005821</v>
      </c>
      <c r="AP33" s="170">
        <f t="shared" si="38"/>
        <v>23.19999999999709</v>
      </c>
      <c r="AQ33" s="170">
        <f t="shared" si="5"/>
        <v>34.800000000017462</v>
      </c>
      <c r="AR33" s="170">
        <f t="shared" si="39"/>
        <v>108.98</v>
      </c>
      <c r="AS33" s="170">
        <f t="shared" si="40"/>
        <v>80.980000000000018</v>
      </c>
      <c r="AT33" s="170">
        <f t="shared" si="41"/>
        <v>865.98</v>
      </c>
      <c r="AU33" s="170">
        <f t="shared" si="63"/>
        <v>320</v>
      </c>
      <c r="AV33" s="170">
        <f t="shared" si="64"/>
        <v>23</v>
      </c>
      <c r="AW33" s="170">
        <f t="shared" si="65"/>
        <v>465</v>
      </c>
      <c r="AX33" s="170">
        <f t="shared" si="66"/>
        <v>3</v>
      </c>
      <c r="AY33" s="170" t="str">
        <f t="shared" si="66"/>
        <v/>
      </c>
      <c r="AZ33" s="170">
        <f t="shared" si="42"/>
        <v>363</v>
      </c>
      <c r="BA33" s="170">
        <v>27.9</v>
      </c>
      <c r="BB33" s="170">
        <f t="shared" si="43"/>
        <v>159.70000000001164</v>
      </c>
      <c r="BC33" s="170">
        <f t="shared" si="43"/>
        <v>1031.2000000001863</v>
      </c>
      <c r="BD33" s="91">
        <f t="shared" si="44"/>
        <v>211</v>
      </c>
      <c r="BE33" s="90"/>
      <c r="BF33" s="90"/>
      <c r="BG33" s="90">
        <f t="shared" si="6"/>
        <v>1553.9000000001979</v>
      </c>
      <c r="BH33" s="90">
        <f>BL33-FC33</f>
        <v>-707</v>
      </c>
      <c r="BI33" s="90">
        <f t="shared" si="7"/>
        <v>1770.039999999588</v>
      </c>
      <c r="BJ33" s="90">
        <f t="shared" si="46"/>
        <v>5556.960000000412</v>
      </c>
      <c r="BK33" s="92"/>
      <c r="BL33" s="331">
        <f t="shared" si="67"/>
        <v>6620</v>
      </c>
      <c r="BM33" s="93">
        <f t="shared" si="47"/>
        <v>154098.79999999999</v>
      </c>
      <c r="BN33" s="92"/>
      <c r="BO33" s="94">
        <f t="shared" si="48"/>
        <v>0.19475437803118295</v>
      </c>
      <c r="BP33" s="94">
        <f t="shared" si="48"/>
        <v>1.9112090082944702E-3</v>
      </c>
      <c r="BQ33" s="94">
        <f t="shared" si="49"/>
        <v>0.2754175719172326</v>
      </c>
      <c r="BR33" s="94">
        <f t="shared" si="68"/>
        <v>1.1261599240110467</v>
      </c>
      <c r="BS33" s="94">
        <f t="shared" si="76"/>
        <v>2.6742392207266909E-2</v>
      </c>
      <c r="BT33" s="94">
        <f t="shared" si="76"/>
        <v>0.11176575873580576</v>
      </c>
      <c r="BU33" s="95">
        <f t="shared" si="76"/>
        <v>1.6021309035739761</v>
      </c>
      <c r="BV33" s="94">
        <f t="shared" si="9"/>
        <v>0.15746044041450169</v>
      </c>
      <c r="BW33" s="94">
        <f t="shared" si="9"/>
        <v>1.5452274563092267E-3</v>
      </c>
      <c r="BX33" s="94">
        <f t="shared" si="9"/>
        <v>0.22267726461603038</v>
      </c>
      <c r="BY33" s="94">
        <f t="shared" si="50"/>
        <v>0.91050912130739792</v>
      </c>
      <c r="BZ33" s="95">
        <f t="shared" si="10"/>
        <v>1.2953353872129614</v>
      </c>
      <c r="CA33" s="96" t="e">
        <f>#REF!</f>
        <v>#REF!</v>
      </c>
      <c r="CB33" s="94">
        <f t="shared" si="51"/>
        <v>6.4029995508852217E-2</v>
      </c>
      <c r="CC33" s="95">
        <f t="shared" si="51"/>
        <v>4.7578904719277434E-2</v>
      </c>
      <c r="CD33" s="97">
        <f t="shared" si="11"/>
        <v>0.16718698463591805</v>
      </c>
      <c r="CE33" s="98">
        <f t="shared" si="11"/>
        <v>0.12423198766577948</v>
      </c>
      <c r="CF33" s="97">
        <f t="shared" si="52"/>
        <v>0.91423620487892698</v>
      </c>
      <c r="CG33" s="94">
        <f t="shared" si="52"/>
        <v>0.12377351696822397</v>
      </c>
      <c r="CH33" s="95">
        <f t="shared" si="53"/>
        <v>1.0380097218471509</v>
      </c>
      <c r="CI33" s="96" t="e">
        <f>#REF!</f>
        <v>#REF!</v>
      </c>
      <c r="CJ33" s="94">
        <f t="shared" si="54"/>
        <v>0.86361177009197987</v>
      </c>
      <c r="CK33" s="94">
        <f t="shared" si="54"/>
        <v>0.36001165355640052</v>
      </c>
      <c r="CL33" s="95">
        <f t="shared" si="69"/>
        <v>1.6439838515003955</v>
      </c>
      <c r="CM33" s="95" t="e">
        <f>#REF!</f>
        <v>#REF!</v>
      </c>
      <c r="CN33" s="94" t="str">
        <f t="shared" si="55"/>
        <v>0,00</v>
      </c>
      <c r="CO33" s="94" t="str">
        <f t="shared" si="55"/>
        <v>0,00</v>
      </c>
      <c r="CP33" s="95" t="str">
        <f t="shared" si="56"/>
        <v xml:space="preserve">0,00 </v>
      </c>
      <c r="CQ33" s="95" t="e">
        <f>#REF!</f>
        <v>#REF!</v>
      </c>
      <c r="CR33" s="97">
        <f t="shared" si="70"/>
        <v>0.2693265008908669</v>
      </c>
      <c r="CS33" s="95">
        <f t="shared" si="70"/>
        <v>0.12892960226769137</v>
      </c>
      <c r="CT33" s="96" t="e">
        <f>#REF!</f>
        <v>#REF!</v>
      </c>
      <c r="CU33" s="97">
        <f t="shared" si="71"/>
        <v>4.587413560868471E-2</v>
      </c>
      <c r="CV33" s="95">
        <f t="shared" si="57"/>
        <v>6.8811203413070218E-2</v>
      </c>
      <c r="CW33" s="96" t="e">
        <f>#REF!</f>
        <v>#REF!</v>
      </c>
      <c r="CX33" s="99">
        <f t="shared" si="79"/>
        <v>0.18801246616656919</v>
      </c>
      <c r="CY33" s="95">
        <f t="shared" si="79"/>
        <v>1.3513396005722161E-2</v>
      </c>
      <c r="CZ33" s="99">
        <f t="shared" si="79"/>
        <v>0.27320561489829587</v>
      </c>
      <c r="DA33" s="95">
        <f t="shared" si="79"/>
        <v>1.7626168703115861E-3</v>
      </c>
      <c r="DB33" s="94">
        <f t="shared" si="12"/>
        <v>0.21327664130770194</v>
      </c>
      <c r="DC33" s="94">
        <f t="shared" si="13"/>
        <v>9.3829971396260287E-2</v>
      </c>
      <c r="DD33" s="94">
        <f t="shared" si="13"/>
        <v>0.60587017222187867</v>
      </c>
      <c r="DE33" s="94">
        <f t="shared" si="13"/>
        <v>0.12397071987858158</v>
      </c>
      <c r="DF33" s="94">
        <f t="shared" si="13"/>
        <v>0</v>
      </c>
      <c r="DG33" s="94">
        <f t="shared" si="13"/>
        <v>0</v>
      </c>
      <c r="DH33" s="95">
        <f t="shared" si="13"/>
        <v>0.91297678492584089</v>
      </c>
      <c r="DI33" s="96" t="e">
        <f>#REF!</f>
        <v>#REF!</v>
      </c>
      <c r="DJ33" s="95">
        <f t="shared" si="59"/>
        <v>-0.41539004243676381</v>
      </c>
      <c r="DK33" s="96" t="e">
        <f>#REF!</f>
        <v>#REF!</v>
      </c>
      <c r="DL33" s="95">
        <f t="shared" si="60"/>
        <v>1.0399674550418645</v>
      </c>
      <c r="DM33" s="96">
        <f t="shared" si="14"/>
        <v>0</v>
      </c>
      <c r="DN33" s="94">
        <f t="shared" si="15"/>
        <v>3.2649304812157998</v>
      </c>
      <c r="DO33" s="100">
        <v>3.4</v>
      </c>
      <c r="DP33" s="94">
        <f t="shared" si="72"/>
        <v>3.8895078938209005</v>
      </c>
      <c r="DQ33" s="94">
        <f t="shared" si="73"/>
        <v>3.0292453536024695</v>
      </c>
      <c r="DR33" s="101" t="str">
        <f t="shared" si="16"/>
        <v>3,315, hL/NhL</v>
      </c>
      <c r="DT33" s="134">
        <v>28</v>
      </c>
      <c r="DU33" s="361">
        <v>628884</v>
      </c>
      <c r="DV33" s="361">
        <v>27998</v>
      </c>
      <c r="DW33" s="361">
        <v>5139345</v>
      </c>
      <c r="DX33" s="361">
        <v>119732</v>
      </c>
      <c r="DY33" s="361">
        <v>85590</v>
      </c>
      <c r="DZ33" s="361">
        <v>397754</v>
      </c>
      <c r="EA33" s="303">
        <v>234641</v>
      </c>
      <c r="EB33" s="303">
        <v>54844.1</v>
      </c>
      <c r="EC33" s="303">
        <v>411748</v>
      </c>
      <c r="ED33" s="361">
        <v>47763.199999999997</v>
      </c>
      <c r="EE33" s="330">
        <v>42716</v>
      </c>
      <c r="EF33" s="303">
        <v>39323.300000000003</v>
      </c>
      <c r="EG33" s="361">
        <v>93062.9</v>
      </c>
      <c r="EH33" s="361">
        <v>183503.2</v>
      </c>
      <c r="EI33" s="361">
        <v>32556</v>
      </c>
      <c r="EJ33" s="303">
        <v>41175</v>
      </c>
      <c r="EK33" s="303"/>
      <c r="EL33" s="361">
        <v>706767.6</v>
      </c>
      <c r="EM33" s="361">
        <v>3790</v>
      </c>
      <c r="EN33" s="303">
        <v>45234.2</v>
      </c>
      <c r="EO33" s="361">
        <v>3048161</v>
      </c>
      <c r="EP33" s="303">
        <v>2787024</v>
      </c>
      <c r="EQ33" s="303">
        <v>368</v>
      </c>
      <c r="ER33" s="303">
        <v>1538</v>
      </c>
      <c r="ES33" s="303">
        <v>372105</v>
      </c>
      <c r="ET33" s="303">
        <v>2334972</v>
      </c>
      <c r="EU33" s="303">
        <v>430719</v>
      </c>
      <c r="EV33" s="303">
        <v>144706</v>
      </c>
      <c r="EW33" s="303">
        <v>116949</v>
      </c>
      <c r="EX33" s="361">
        <v>211603.7</v>
      </c>
      <c r="EY33" s="361">
        <v>1665449.6</v>
      </c>
      <c r="EZ33" s="382">
        <v>789372</v>
      </c>
      <c r="FA33" s="383">
        <v>751067</v>
      </c>
      <c r="FB33" s="383">
        <v>31901.3</v>
      </c>
      <c r="FC33" s="383">
        <v>7327</v>
      </c>
      <c r="FD33" s="104">
        <f t="shared" si="75"/>
        <v>5420</v>
      </c>
      <c r="FE33" s="105">
        <f t="shared" si="77"/>
        <v>0</v>
      </c>
      <c r="FF33" s="105">
        <f t="shared" si="77"/>
        <v>641</v>
      </c>
      <c r="FG33" s="105">
        <f t="shared" si="77"/>
        <v>0</v>
      </c>
      <c r="FH33" s="105">
        <f t="shared" si="77"/>
        <v>1617</v>
      </c>
      <c r="FI33" s="105">
        <f t="shared" si="77"/>
        <v>680</v>
      </c>
      <c r="FJ33" s="105">
        <v>0</v>
      </c>
      <c r="FK33" s="105">
        <v>1139</v>
      </c>
      <c r="FL33" s="105">
        <v>1051</v>
      </c>
      <c r="FM33" s="105">
        <v>292</v>
      </c>
      <c r="FN33" s="80">
        <v>1200</v>
      </c>
      <c r="FO33" s="105"/>
      <c r="FP33" s="188"/>
      <c r="FY33" s="119">
        <v>28</v>
      </c>
      <c r="FZ33" s="107"/>
      <c r="GA33" s="107"/>
      <c r="GB33" s="180"/>
      <c r="GC33" s="109"/>
      <c r="GD33" s="110"/>
      <c r="GE33" s="110"/>
      <c r="GF33" s="111"/>
      <c r="GG33" s="111"/>
      <c r="GH33" s="111"/>
      <c r="GI33" s="164"/>
      <c r="GJ33" s="111" t="e">
        <f t="shared" si="61"/>
        <v>#DIV/0!</v>
      </c>
      <c r="GK33" s="113"/>
    </row>
    <row r="34" spans="1:193" s="119" customFormat="1" ht="15" customHeight="1">
      <c r="B34" s="351">
        <v>42945</v>
      </c>
      <c r="D34" s="86">
        <v>5375.16</v>
      </c>
      <c r="E34" s="86">
        <v>3180</v>
      </c>
      <c r="F34" s="86">
        <v>2737.152</v>
      </c>
      <c r="G34" s="86">
        <v>8035.6170000000002</v>
      </c>
      <c r="H34" s="86">
        <v>8407.744999999999</v>
      </c>
      <c r="I34" s="86">
        <v>2442.143</v>
      </c>
      <c r="J34" s="86">
        <v>6210.4680000000008</v>
      </c>
      <c r="K34" s="284">
        <v>0</v>
      </c>
      <c r="L34" s="284"/>
      <c r="M34" s="284">
        <f t="shared" si="62"/>
        <v>8652.6110000000008</v>
      </c>
      <c r="N34" s="88">
        <f t="shared" si="19"/>
        <v>27735.673999999999</v>
      </c>
      <c r="O34" s="88">
        <f t="shared" si="20"/>
        <v>32061.979500000001</v>
      </c>
      <c r="P34" s="89">
        <f t="shared" si="21"/>
        <v>540765.57400000002</v>
      </c>
      <c r="R34" s="170">
        <f t="shared" si="22"/>
        <v>315.09999999997672</v>
      </c>
      <c r="S34" s="170">
        <f t="shared" si="23"/>
        <v>14.9</v>
      </c>
      <c r="T34" s="170">
        <f t="shared" si="1"/>
        <v>333.4</v>
      </c>
      <c r="U34" s="91">
        <f t="shared" si="74"/>
        <v>6.3100000000005823</v>
      </c>
      <c r="V34" s="170">
        <f t="shared" si="24"/>
        <v>1327</v>
      </c>
      <c r="W34" s="91">
        <f t="shared" si="2"/>
        <v>118.5</v>
      </c>
      <c r="X34" s="170">
        <f t="shared" si="25"/>
        <v>1327</v>
      </c>
      <c r="Y34" s="170" t="str">
        <f t="shared" si="26"/>
        <v>0</v>
      </c>
      <c r="Z34" s="170">
        <f t="shared" si="3"/>
        <v>126.2</v>
      </c>
      <c r="AA34" s="170">
        <f t="shared" si="27"/>
        <v>1996.7099999999773</v>
      </c>
      <c r="AB34" s="170">
        <f t="shared" si="28"/>
        <v>162</v>
      </c>
      <c r="AC34" s="170">
        <f t="shared" si="28"/>
        <v>9</v>
      </c>
      <c r="AD34" s="170">
        <f t="shared" si="29"/>
        <v>349</v>
      </c>
      <c r="AE34" s="170">
        <f t="shared" si="30"/>
        <v>178</v>
      </c>
      <c r="AF34" s="170">
        <f t="shared" si="31"/>
        <v>97</v>
      </c>
      <c r="AG34" s="170">
        <f t="shared" si="31"/>
        <v>15.899999999994179</v>
      </c>
      <c r="AH34" s="170">
        <f t="shared" si="32"/>
        <v>163</v>
      </c>
      <c r="AI34" s="170">
        <f t="shared" si="33"/>
        <v>50.100000000005821</v>
      </c>
      <c r="AJ34" s="170">
        <f>IF(EA34=0,"",(EA34-EA33))</f>
        <v>133</v>
      </c>
      <c r="AK34" s="170">
        <f t="shared" si="34"/>
        <v>7.9000000000014552</v>
      </c>
      <c r="AL34" s="170">
        <f t="shared" si="35"/>
        <v>211</v>
      </c>
      <c r="AM34" s="170">
        <f t="shared" si="36"/>
        <v>70.099999999998545</v>
      </c>
      <c r="AN34" s="170">
        <f t="shared" si="37"/>
        <v>0.20000000000436557</v>
      </c>
      <c r="AO34" s="170">
        <f t="shared" si="4"/>
        <v>41.19999999999709</v>
      </c>
      <c r="AP34" s="170">
        <f t="shared" si="38"/>
        <v>23.600000000005821</v>
      </c>
      <c r="AQ34" s="170">
        <f t="shared" si="5"/>
        <v>35.699999999982538</v>
      </c>
      <c r="AR34" s="170">
        <f t="shared" si="39"/>
        <v>121.34699999999999</v>
      </c>
      <c r="AS34" s="170">
        <f t="shared" si="40"/>
        <v>232.34699999999998</v>
      </c>
      <c r="AT34" s="170">
        <f t="shared" si="41"/>
        <v>1073.347</v>
      </c>
      <c r="AU34" s="170">
        <f t="shared" si="63"/>
        <v>321</v>
      </c>
      <c r="AV34" s="170">
        <f t="shared" si="64"/>
        <v>13</v>
      </c>
      <c r="AW34" s="170">
        <f t="shared" si="65"/>
        <v>520</v>
      </c>
      <c r="AX34" s="170">
        <f t="shared" si="66"/>
        <v>25</v>
      </c>
      <c r="AY34" s="170" t="str">
        <f t="shared" si="66"/>
        <v/>
      </c>
      <c r="AZ34" s="170">
        <f t="shared" si="42"/>
        <v>355</v>
      </c>
      <c r="BA34" s="170">
        <v>124.8</v>
      </c>
      <c r="BB34" s="170">
        <f t="shared" si="43"/>
        <v>164</v>
      </c>
      <c r="BC34" s="170">
        <f t="shared" si="43"/>
        <v>1163.1999999999534</v>
      </c>
      <c r="BD34" s="91">
        <f t="shared" si="44"/>
        <v>316</v>
      </c>
      <c r="BE34" s="90"/>
      <c r="BF34" s="90"/>
      <c r="BG34" s="90">
        <f t="shared" si="6"/>
        <v>1682.1999999999534</v>
      </c>
      <c r="BH34" s="90">
        <f t="shared" si="45"/>
        <v>-2216</v>
      </c>
      <c r="BI34" s="90">
        <f t="shared" si="7"/>
        <v>2049.8430000000899</v>
      </c>
      <c r="BJ34" s="90">
        <f t="shared" si="46"/>
        <v>5590.1569999999101</v>
      </c>
      <c r="BK34" s="92"/>
      <c r="BL34" s="331">
        <f t="shared" si="67"/>
        <v>5424</v>
      </c>
      <c r="BM34" s="93">
        <f t="shared" si="47"/>
        <v>159522.79999999999</v>
      </c>
      <c r="BN34" s="92"/>
      <c r="BO34" s="94">
        <f t="shared" si="48"/>
        <v>0.11360820003868546</v>
      </c>
      <c r="BP34" s="94">
        <f t="shared" si="48"/>
        <v>5.3721427501635622E-3</v>
      </c>
      <c r="BQ34" s="94">
        <f t="shared" si="49"/>
        <v>0.12020620086607593</v>
      </c>
      <c r="BR34" s="94">
        <f t="shared" si="68"/>
        <v>0.47844519660852669</v>
      </c>
      <c r="BS34" s="94">
        <f>IF($N34&lt;&gt;0,IF($N34&lt;&gt;0,Y34/$N34*10,0)," ")</f>
        <v>0</v>
      </c>
      <c r="BT34" s="94">
        <f t="shared" si="76"/>
        <v>4.5500967454405468E-2</v>
      </c>
      <c r="BU34" s="95">
        <f t="shared" si="76"/>
        <v>0.71990678863617208</v>
      </c>
      <c r="BV34" s="94">
        <f t="shared" si="9"/>
        <v>9.8278398562377189E-2</v>
      </c>
      <c r="BW34" s="94">
        <f t="shared" si="9"/>
        <v>4.6472489323374439E-3</v>
      </c>
      <c r="BX34" s="94">
        <f t="shared" si="9"/>
        <v>0.10398609355981903</v>
      </c>
      <c r="BY34" s="94">
        <f t="shared" si="50"/>
        <v>0.41388586128938171</v>
      </c>
      <c r="BZ34" s="95">
        <f t="shared" si="10"/>
        <v>0.62276566548237522</v>
      </c>
      <c r="CA34" s="96" t="e">
        <f>#REF!</f>
        <v>#REF!</v>
      </c>
      <c r="CB34" s="94">
        <f t="shared" si="51"/>
        <v>3.7847631959218232E-2</v>
      </c>
      <c r="CC34" s="95">
        <f t="shared" si="51"/>
        <v>7.2468077025624689E-2</v>
      </c>
      <c r="CD34" s="97">
        <f t="shared" si="11"/>
        <v>0.14024321675850213</v>
      </c>
      <c r="CE34" s="98">
        <f t="shared" si="11"/>
        <v>0.26852819339734557</v>
      </c>
      <c r="CF34" s="97">
        <f t="shared" si="52"/>
        <v>0.30138637733574442</v>
      </c>
      <c r="CG34" s="94">
        <f t="shared" si="52"/>
        <v>1.6743687629763578E-2</v>
      </c>
      <c r="CH34" s="95">
        <f t="shared" si="53"/>
        <v>0.64928299808749879</v>
      </c>
      <c r="CI34" s="96" t="e">
        <f>#REF!</f>
        <v>#REF!</v>
      </c>
      <c r="CJ34" s="94">
        <f t="shared" si="54"/>
        <v>0.30503144654088049</v>
      </c>
      <c r="CK34" s="94">
        <f t="shared" si="54"/>
        <v>4.9999999999981698E-2</v>
      </c>
      <c r="CL34" s="95">
        <f t="shared" si="69"/>
        <v>0.51257861635220126</v>
      </c>
      <c r="CM34" s="95" t="e">
        <f>#REF!</f>
        <v>#REF!</v>
      </c>
      <c r="CN34" s="94">
        <f t="shared" si="55"/>
        <v>0.48590651889263003</v>
      </c>
      <c r="CO34" s="94">
        <f t="shared" si="55"/>
        <v>2.8862116535732962E-2</v>
      </c>
      <c r="CP34" s="95">
        <f t="shared" si="56"/>
        <v>0.77087425177702951</v>
      </c>
      <c r="CQ34" s="95" t="e">
        <f>#REF!</f>
        <v>#REF!</v>
      </c>
      <c r="CR34" s="97">
        <f t="shared" si="70"/>
        <v>2.4889190214561689E-4</v>
      </c>
      <c r="CS34" s="95">
        <f t="shared" si="70"/>
        <v>5.1271731840874309E-2</v>
      </c>
      <c r="CT34" s="96" t="e">
        <f>#REF!</f>
        <v>#REF!</v>
      </c>
      <c r="CU34" s="97">
        <f t="shared" si="71"/>
        <v>2.8069357479331047E-2</v>
      </c>
      <c r="CV34" s="95">
        <f t="shared" si="57"/>
        <v>4.2460850085228014E-2</v>
      </c>
      <c r="CW34" s="96" t="e">
        <f>#REF!</f>
        <v>#REF!</v>
      </c>
      <c r="CX34" s="99">
        <f t="shared" si="79"/>
        <v>0.10011858438122948</v>
      </c>
      <c r="CY34" s="95">
        <f t="shared" si="79"/>
        <v>4.054646719489045E-3</v>
      </c>
      <c r="CZ34" s="99">
        <f t="shared" si="79"/>
        <v>0.16218586877956176</v>
      </c>
      <c r="DA34" s="95">
        <f t="shared" si="79"/>
        <v>7.7973975374789322E-3</v>
      </c>
      <c r="DB34" s="94">
        <f t="shared" si="12"/>
        <v>0.11072304503220083</v>
      </c>
      <c r="DC34" s="94">
        <f t="shared" si="13"/>
        <v>5.1150927845861789E-2</v>
      </c>
      <c r="DD34" s="94">
        <f t="shared" si="13"/>
        <v>0.36279731262380521</v>
      </c>
      <c r="DE34" s="94">
        <f t="shared" si="13"/>
        <v>9.8559104873733705E-2</v>
      </c>
      <c r="DF34" s="94">
        <f t="shared" si="13"/>
        <v>0</v>
      </c>
      <c r="DG34" s="94">
        <f t="shared" si="13"/>
        <v>0</v>
      </c>
      <c r="DH34" s="95">
        <f t="shared" si="13"/>
        <v>0.52467128550186781</v>
      </c>
      <c r="DI34" s="96" t="e">
        <f>#REF!</f>
        <v>#REF!</v>
      </c>
      <c r="DJ34" s="95">
        <f t="shared" si="59"/>
        <v>-0.69116131772213252</v>
      </c>
      <c r="DK34" s="96" t="e">
        <f>#REF!</f>
        <v>#REF!</v>
      </c>
      <c r="DL34" s="95">
        <f t="shared" si="60"/>
        <v>0.63933763041676506</v>
      </c>
      <c r="DM34" s="96">
        <f t="shared" si="14"/>
        <v>0</v>
      </c>
      <c r="DN34" s="94">
        <f t="shared" si="15"/>
        <v>1.7435470570367964</v>
      </c>
      <c r="DO34" s="100">
        <v>3.4</v>
      </c>
      <c r="DP34" s="94">
        <f>IF($O34&lt;&gt;0,IF($O34&lt;&gt;0,BL34/$O34*10,0)," ")</f>
        <v>1.6917233697314291</v>
      </c>
      <c r="DQ34" s="94">
        <f t="shared" si="73"/>
        <v>2.9499437033319724</v>
      </c>
      <c r="DR34" s="101" t="str">
        <f t="shared" si="16"/>
        <v>3,315, hL/NhL</v>
      </c>
      <c r="DT34" s="134">
        <v>29</v>
      </c>
      <c r="DU34" s="361">
        <v>629046</v>
      </c>
      <c r="DV34" s="361">
        <v>28007</v>
      </c>
      <c r="DW34" s="303">
        <v>5139694</v>
      </c>
      <c r="DX34" s="361">
        <v>119829</v>
      </c>
      <c r="DY34" s="361">
        <v>85605.9</v>
      </c>
      <c r="DZ34" s="361">
        <v>397917</v>
      </c>
      <c r="EA34" s="303">
        <v>234774</v>
      </c>
      <c r="EB34" s="303">
        <v>54852</v>
      </c>
      <c r="EC34" s="303">
        <v>411959</v>
      </c>
      <c r="ED34" s="303">
        <v>47763.4</v>
      </c>
      <c r="EE34" s="303">
        <v>42717.599999999999</v>
      </c>
      <c r="EF34" s="303">
        <v>39362.9</v>
      </c>
      <c r="EG34" s="361">
        <v>93086.5</v>
      </c>
      <c r="EH34" s="361">
        <v>183538.9</v>
      </c>
      <c r="EI34" s="361">
        <v>32569</v>
      </c>
      <c r="EJ34" s="303">
        <v>41200</v>
      </c>
      <c r="EK34" s="303"/>
      <c r="EL34" s="361">
        <v>707082.7</v>
      </c>
      <c r="EM34" s="361">
        <v>3334</v>
      </c>
      <c r="EN34" s="303">
        <v>45297.3</v>
      </c>
      <c r="EO34" s="361">
        <v>3049488</v>
      </c>
      <c r="EP34" s="303">
        <v>2788209</v>
      </c>
      <c r="EQ34" s="303">
        <v>0</v>
      </c>
      <c r="ER34" s="303">
        <v>1262</v>
      </c>
      <c r="ES34" s="303">
        <v>373057</v>
      </c>
      <c r="ET34" s="303">
        <v>2456319</v>
      </c>
      <c r="EU34" s="303">
        <v>431239</v>
      </c>
      <c r="EV34" s="303">
        <v>145027</v>
      </c>
      <c r="EW34" s="303">
        <v>117304</v>
      </c>
      <c r="EX34" s="361">
        <v>211767.7</v>
      </c>
      <c r="EY34" s="361">
        <v>1666612.8</v>
      </c>
      <c r="EZ34" s="382">
        <v>789521</v>
      </c>
      <c r="FA34" s="382">
        <v>751383</v>
      </c>
      <c r="FB34" s="383">
        <v>32031</v>
      </c>
      <c r="FC34" s="382">
        <v>7640</v>
      </c>
      <c r="FD34" s="104">
        <f t="shared" si="75"/>
        <v>4224</v>
      </c>
      <c r="FE34" s="105">
        <f t="shared" si="77"/>
        <v>0</v>
      </c>
      <c r="FF34" s="105">
        <f t="shared" si="77"/>
        <v>444</v>
      </c>
      <c r="FG34" s="105">
        <f t="shared" si="77"/>
        <v>0</v>
      </c>
      <c r="FH34" s="105">
        <f t="shared" si="77"/>
        <v>735</v>
      </c>
      <c r="FI34" s="105">
        <f t="shared" si="77"/>
        <v>640</v>
      </c>
      <c r="FJ34" s="105">
        <v>0</v>
      </c>
      <c r="FK34" s="105">
        <v>1072</v>
      </c>
      <c r="FL34" s="105">
        <v>1051</v>
      </c>
      <c r="FM34" s="105">
        <v>282</v>
      </c>
      <c r="FN34" s="80">
        <v>1200</v>
      </c>
      <c r="FO34" s="105"/>
      <c r="FP34" s="188"/>
      <c r="FY34" s="119">
        <v>29</v>
      </c>
      <c r="FZ34" s="190"/>
      <c r="GA34" s="191"/>
      <c r="GB34" s="107"/>
      <c r="GC34" s="109"/>
      <c r="GD34" s="110"/>
      <c r="GE34" s="110"/>
      <c r="GF34" s="111"/>
      <c r="GG34" s="111"/>
      <c r="GH34" s="111"/>
      <c r="GI34" s="112"/>
      <c r="GJ34" s="111" t="e">
        <f t="shared" si="61"/>
        <v>#DIV/0!</v>
      </c>
      <c r="GK34" s="113"/>
    </row>
    <row r="35" spans="1:193" s="119" customFormat="1" ht="15" customHeight="1">
      <c r="B35" s="351">
        <v>42946</v>
      </c>
      <c r="D35" s="86">
        <v>1084.08</v>
      </c>
      <c r="E35" s="86">
        <v>4301.88</v>
      </c>
      <c r="F35" s="86">
        <v>3259.7280000000001</v>
      </c>
      <c r="G35" s="86">
        <v>5490.5439999999999</v>
      </c>
      <c r="H35" s="86">
        <v>8093.8620000000001</v>
      </c>
      <c r="I35" s="86">
        <v>2595.5479999999998</v>
      </c>
      <c r="J35" s="86">
        <v>0</v>
      </c>
      <c r="K35" s="284">
        <v>0</v>
      </c>
      <c r="L35" s="284"/>
      <c r="M35" s="284">
        <f t="shared" si="62"/>
        <v>2595.5479999999998</v>
      </c>
      <c r="N35" s="88">
        <f t="shared" si="19"/>
        <v>22230.094000000001</v>
      </c>
      <c r="O35" s="88">
        <f t="shared" si="20"/>
        <v>23527.868000000002</v>
      </c>
      <c r="P35" s="89">
        <f t="shared" si="21"/>
        <v>564293.44200000004</v>
      </c>
      <c r="R35" s="170">
        <f t="shared" si="22"/>
        <v>341.90000000002328</v>
      </c>
      <c r="S35" s="170">
        <f t="shared" si="23"/>
        <v>0</v>
      </c>
      <c r="T35" s="170">
        <f t="shared" si="1"/>
        <v>406.5</v>
      </c>
      <c r="U35" s="91">
        <f t="shared" si="74"/>
        <v>7.8599999999998547</v>
      </c>
      <c r="V35" s="90">
        <f t="shared" si="24"/>
        <v>1758.2999999998137</v>
      </c>
      <c r="W35" s="91">
        <f t="shared" si="2"/>
        <v>155.69999999999999</v>
      </c>
      <c r="X35" s="170">
        <f t="shared" si="25"/>
        <v>1758.2999999998137</v>
      </c>
      <c r="Y35" s="170">
        <f t="shared" si="26"/>
        <v>20.9</v>
      </c>
      <c r="Z35" s="170">
        <f t="shared" si="3"/>
        <v>210.8</v>
      </c>
      <c r="AA35" s="170">
        <f t="shared" si="27"/>
        <v>2514.5599999998367</v>
      </c>
      <c r="AB35" s="170">
        <f t="shared" si="28"/>
        <v>0</v>
      </c>
      <c r="AC35" s="170">
        <f t="shared" si="28"/>
        <v>0</v>
      </c>
      <c r="AD35" s="170">
        <f t="shared" si="29"/>
        <v>49</v>
      </c>
      <c r="AE35" s="170">
        <f t="shared" si="30"/>
        <v>49</v>
      </c>
      <c r="AF35" s="170">
        <f t="shared" si="31"/>
        <v>94</v>
      </c>
      <c r="AG35" s="170">
        <f t="shared" si="31"/>
        <v>7.7000000000116415</v>
      </c>
      <c r="AH35" s="170">
        <f t="shared" si="32"/>
        <v>176</v>
      </c>
      <c r="AI35" s="170">
        <f t="shared" si="33"/>
        <v>74.299999999988358</v>
      </c>
      <c r="AJ35" s="170">
        <f t="shared" si="34"/>
        <v>167</v>
      </c>
      <c r="AK35" s="170">
        <f t="shared" si="34"/>
        <v>26.80000000000291</v>
      </c>
      <c r="AL35" s="170">
        <f t="shared" si="35"/>
        <v>261</v>
      </c>
      <c r="AM35" s="170">
        <f t="shared" si="36"/>
        <v>67.19999999999709</v>
      </c>
      <c r="AN35" s="170">
        <f t="shared" si="37"/>
        <v>9.9999999998544808E-2</v>
      </c>
      <c r="AO35" s="170">
        <f t="shared" si="4"/>
        <v>45.099999999998545</v>
      </c>
      <c r="AP35" s="170">
        <f t="shared" si="38"/>
        <v>26.19999999999709</v>
      </c>
      <c r="AQ35" s="170">
        <f t="shared" si="5"/>
        <v>40.899999999994179</v>
      </c>
      <c r="AR35" s="170">
        <f t="shared" si="39"/>
        <v>112.89400000000001</v>
      </c>
      <c r="AS35" s="170">
        <f t="shared" si="40"/>
        <v>4.8940000000000055</v>
      </c>
      <c r="AT35" s="170">
        <f t="shared" si="41"/>
        <v>422.89400000000001</v>
      </c>
      <c r="AU35" s="170">
        <f t="shared" si="63"/>
        <v>302</v>
      </c>
      <c r="AV35" s="170">
        <f t="shared" si="64"/>
        <v>29</v>
      </c>
      <c r="AW35" s="170">
        <f t="shared" si="65"/>
        <v>116</v>
      </c>
      <c r="AX35" s="170">
        <f t="shared" si="66"/>
        <v>114</v>
      </c>
      <c r="AY35" s="170" t="str">
        <f t="shared" si="66"/>
        <v/>
      </c>
      <c r="AZ35" s="170">
        <f t="shared" si="42"/>
        <v>417</v>
      </c>
      <c r="BA35" s="170">
        <v>0</v>
      </c>
      <c r="BB35" s="170">
        <f t="shared" si="43"/>
        <v>137.59999999997672</v>
      </c>
      <c r="BC35" s="170">
        <f t="shared" si="43"/>
        <v>1098.8999999999069</v>
      </c>
      <c r="BD35" s="91">
        <f t="shared" si="44"/>
        <v>296</v>
      </c>
      <c r="BE35" s="90"/>
      <c r="BF35" s="90"/>
      <c r="BG35" s="90">
        <f t="shared" si="6"/>
        <v>1653.4999999998836</v>
      </c>
      <c r="BH35" s="90">
        <f t="shared" si="45"/>
        <v>-1029</v>
      </c>
      <c r="BI35" s="90">
        <f t="shared" si="7"/>
        <v>1763.0460000002868</v>
      </c>
      <c r="BJ35" s="90">
        <f t="shared" si="46"/>
        <v>5305.9539999997132</v>
      </c>
      <c r="BK35" s="92"/>
      <c r="BL35" s="331">
        <f t="shared" si="67"/>
        <v>6040</v>
      </c>
      <c r="BM35" s="93">
        <f t="shared" si="47"/>
        <v>165562.79999999999</v>
      </c>
      <c r="BN35" s="92"/>
      <c r="BO35" s="94">
        <f t="shared" si="48"/>
        <v>0.15380051924207935</v>
      </c>
      <c r="BP35" s="94">
        <f t="shared" si="48"/>
        <v>0</v>
      </c>
      <c r="BQ35" s="94">
        <f t="shared" si="49"/>
        <v>0.18286022542234864</v>
      </c>
      <c r="BR35" s="94">
        <f t="shared" si="68"/>
        <v>0.79095482007400131</v>
      </c>
      <c r="BS35" s="94">
        <f t="shared" si="76"/>
        <v>9.4016696465610977E-3</v>
      </c>
      <c r="BT35" s="94">
        <f t="shared" si="76"/>
        <v>9.4826409640912906E-2</v>
      </c>
      <c r="BU35" s="95">
        <f t="shared" si="76"/>
        <v>1.131151312270581</v>
      </c>
      <c r="BV35" s="94">
        <f t="shared" si="9"/>
        <v>0.14531703425062709</v>
      </c>
      <c r="BW35" s="94">
        <f t="shared" si="9"/>
        <v>0</v>
      </c>
      <c r="BX35" s="94">
        <f t="shared" si="9"/>
        <v>0.17277383569135968</v>
      </c>
      <c r="BY35" s="94">
        <f t="shared" si="50"/>
        <v>0.74732653209369149</v>
      </c>
      <c r="BZ35" s="95">
        <f t="shared" si="10"/>
        <v>1.0687581212202637</v>
      </c>
      <c r="CA35" s="96" t="e">
        <f>#REF!</f>
        <v>#REF!</v>
      </c>
      <c r="CB35" s="94">
        <f t="shared" si="51"/>
        <v>4.7983098171071006E-2</v>
      </c>
      <c r="CC35" s="95">
        <f t="shared" si="51"/>
        <v>2.0800864744735924E-3</v>
      </c>
      <c r="CD35" s="97">
        <f t="shared" si="11"/>
        <v>0.43495246475888721</v>
      </c>
      <c r="CE35" s="98">
        <f t="shared" si="11"/>
        <v>1.8855363106365229E-2</v>
      </c>
      <c r="CF35" s="97">
        <f t="shared" si="52"/>
        <v>0</v>
      </c>
      <c r="CG35" s="94">
        <f t="shared" si="52"/>
        <v>0</v>
      </c>
      <c r="CH35" s="95">
        <f t="shared" si="53"/>
        <v>0.45199616264482328</v>
      </c>
      <c r="CI35" s="96" t="e">
        <f>#REF!</f>
        <v>#REF!</v>
      </c>
      <c r="CJ35" s="94">
        <f t="shared" si="54"/>
        <v>0.21850911694421971</v>
      </c>
      <c r="CK35" s="94">
        <f t="shared" si="54"/>
        <v>1.7899151068862081E-2</v>
      </c>
      <c r="CL35" s="95">
        <f t="shared" si="69"/>
        <v>0.4091234530019433</v>
      </c>
      <c r="CM35" s="95" t="e">
        <f>#REF!</f>
        <v>#REF!</v>
      </c>
      <c r="CN35" s="94">
        <f t="shared" si="55"/>
        <v>0.51231268375766315</v>
      </c>
      <c r="CO35" s="94">
        <f t="shared" si="55"/>
        <v>8.2215448650939313E-2</v>
      </c>
      <c r="CP35" s="95">
        <f t="shared" si="56"/>
        <v>0.80068030216018027</v>
      </c>
      <c r="CQ35" s="95" t="e">
        <f>#REF!</f>
        <v>#REF!</v>
      </c>
      <c r="CR35" s="97">
        <f t="shared" si="70"/>
        <v>1.8213131521857364E-4</v>
      </c>
      <c r="CS35" s="95">
        <f t="shared" si="70"/>
        <v>8.2141223164769378E-2</v>
      </c>
      <c r="CT35" s="96" t="e">
        <f>#REF!</f>
        <v>#REF!</v>
      </c>
      <c r="CU35" s="97">
        <f t="shared" si="71"/>
        <v>3.2370208436957648E-2</v>
      </c>
      <c r="CV35" s="95">
        <f t="shared" si="57"/>
        <v>5.0532119277539173E-2</v>
      </c>
      <c r="CW35" s="96" t="e">
        <f>#REF!</f>
        <v>#REF!</v>
      </c>
      <c r="CX35" s="99">
        <f t="shared" si="79"/>
        <v>0.12835842159604091</v>
      </c>
      <c r="CY35" s="95">
        <f t="shared" si="79"/>
        <v>1.2325808696308563E-2</v>
      </c>
      <c r="CZ35" s="99">
        <f t="shared" si="79"/>
        <v>4.9303234785234254E-2</v>
      </c>
      <c r="DA35" s="95">
        <f t="shared" si="79"/>
        <v>4.845317901307504E-2</v>
      </c>
      <c r="DB35" s="94">
        <f t="shared" si="12"/>
        <v>0.17723662849519556</v>
      </c>
      <c r="DC35" s="94">
        <f t="shared" si="13"/>
        <v>5.8483837124543844E-2</v>
      </c>
      <c r="DD35" s="94">
        <f t="shared" si="13"/>
        <v>0.4670631440128391</v>
      </c>
      <c r="DE35" s="94">
        <f t="shared" si="13"/>
        <v>0.12580825427956327</v>
      </c>
      <c r="DF35" s="94">
        <f t="shared" si="13"/>
        <v>0</v>
      </c>
      <c r="DG35" s="94">
        <f t="shared" si="13"/>
        <v>0</v>
      </c>
      <c r="DH35" s="95">
        <f t="shared" si="13"/>
        <v>0.70278360963257847</v>
      </c>
      <c r="DI35" s="96" t="e">
        <f>#REF!</f>
        <v>#REF!</v>
      </c>
      <c r="DJ35" s="95">
        <f t="shared" si="59"/>
        <v>-0.43735369477591424</v>
      </c>
      <c r="DK35" s="96" t="e">
        <f>#REF!</f>
        <v>#REF!</v>
      </c>
      <c r="DL35" s="95">
        <f t="shared" si="60"/>
        <v>0.74934371444122627</v>
      </c>
      <c r="DM35" s="96">
        <f t="shared" si="14"/>
        <v>0</v>
      </c>
      <c r="DN35" s="94">
        <f t="shared" si="15"/>
        <v>2.2551784122555061</v>
      </c>
      <c r="DO35" s="100">
        <v>3.4</v>
      </c>
      <c r="DP35" s="94">
        <f>IF($O35&lt;&gt;0,IF($O35&lt;&gt;0,BL35/$O35*10,0)," ")</f>
        <v>2.5671684319208183</v>
      </c>
      <c r="DQ35" s="94">
        <f>IF($P35&lt;&gt;0,IF($P35&lt;&gt;0,BM35/$P35*10,0)," ")</f>
        <v>2.9339841238133686</v>
      </c>
      <c r="DR35" s="101" t="str">
        <f t="shared" si="16"/>
        <v>3,315, hL/NhL</v>
      </c>
      <c r="DS35" s="173"/>
      <c r="DT35" s="134">
        <v>30</v>
      </c>
      <c r="DU35" s="355">
        <v>629046</v>
      </c>
      <c r="DV35" s="355">
        <v>28007</v>
      </c>
      <c r="DW35" s="355">
        <v>5139743</v>
      </c>
      <c r="DX35" s="355">
        <v>119923</v>
      </c>
      <c r="DY35" s="355">
        <v>85613.6</v>
      </c>
      <c r="DZ35" s="355">
        <v>398093</v>
      </c>
      <c r="EA35" s="104">
        <v>234941</v>
      </c>
      <c r="EB35" s="104">
        <v>54878.8</v>
      </c>
      <c r="EC35" s="104">
        <v>412220</v>
      </c>
      <c r="ED35" s="355">
        <v>47763.5</v>
      </c>
      <c r="EE35" s="104">
        <v>42722.9</v>
      </c>
      <c r="EF35" s="104">
        <v>39402.699999999997</v>
      </c>
      <c r="EG35" s="355">
        <v>93112.7</v>
      </c>
      <c r="EH35" s="355">
        <v>183579.8</v>
      </c>
      <c r="EI35" s="355">
        <v>32598</v>
      </c>
      <c r="EJ35" s="104">
        <v>41314</v>
      </c>
      <c r="EK35" s="104"/>
      <c r="EL35" s="355">
        <v>707424.6</v>
      </c>
      <c r="EM35" s="355">
        <v>4065</v>
      </c>
      <c r="EN35" s="104">
        <v>45375.9</v>
      </c>
      <c r="EO35" s="355">
        <v>3051246.3</v>
      </c>
      <c r="EP35" s="104">
        <v>2789766</v>
      </c>
      <c r="EQ35" s="104">
        <v>209</v>
      </c>
      <c r="ER35" s="104">
        <v>2108</v>
      </c>
      <c r="ES35" s="104">
        <v>373367</v>
      </c>
      <c r="ET35" s="104">
        <v>2569213</v>
      </c>
      <c r="EU35" s="104">
        <v>431355</v>
      </c>
      <c r="EV35" s="104">
        <v>145329</v>
      </c>
      <c r="EW35" s="104">
        <v>117721</v>
      </c>
      <c r="EX35" s="355">
        <v>211905.3</v>
      </c>
      <c r="EY35" s="355">
        <v>1667711.7</v>
      </c>
      <c r="EZ35" s="385">
        <v>789521</v>
      </c>
      <c r="FA35" s="385">
        <v>751679</v>
      </c>
      <c r="FB35" s="387">
        <v>32031</v>
      </c>
      <c r="FC35" s="385">
        <v>7069</v>
      </c>
      <c r="FD35" s="104">
        <f t="shared" si="75"/>
        <v>4840</v>
      </c>
      <c r="FE35" s="105">
        <f t="shared" si="77"/>
        <v>0</v>
      </c>
      <c r="FF35" s="105">
        <f t="shared" si="77"/>
        <v>282</v>
      </c>
      <c r="FG35" s="105">
        <f t="shared" si="77"/>
        <v>0</v>
      </c>
      <c r="FH35" s="105">
        <f t="shared" si="77"/>
        <v>1600</v>
      </c>
      <c r="FI35" s="105">
        <f t="shared" si="77"/>
        <v>560</v>
      </c>
      <c r="FJ35" s="105">
        <v>0</v>
      </c>
      <c r="FK35" s="105">
        <v>1072</v>
      </c>
      <c r="FL35" s="105">
        <v>1045</v>
      </c>
      <c r="FM35" s="105">
        <v>281</v>
      </c>
      <c r="FN35" s="80">
        <v>1200</v>
      </c>
      <c r="FO35" s="105"/>
      <c r="FP35" s="188"/>
      <c r="FY35" s="119">
        <v>30</v>
      </c>
      <c r="FZ35" s="190"/>
      <c r="GA35" s="192"/>
      <c r="GB35" s="190"/>
      <c r="GC35" s="109"/>
      <c r="GD35" s="110"/>
      <c r="GE35" s="110"/>
      <c r="GF35" s="111"/>
      <c r="GG35" s="111"/>
      <c r="GH35" s="111"/>
      <c r="GI35" s="112"/>
      <c r="GJ35" s="111" t="e">
        <f t="shared" si="61"/>
        <v>#DIV/0!</v>
      </c>
      <c r="GK35" s="113"/>
    </row>
    <row r="36" spans="1:193" s="119" customFormat="1" ht="15" customHeight="1">
      <c r="B36" s="351">
        <v>42947</v>
      </c>
      <c r="D36" s="86"/>
      <c r="E36" s="86">
        <v>3694.32</v>
      </c>
      <c r="F36" s="86">
        <v>1825.2</v>
      </c>
      <c r="G36" s="86">
        <v>6310.2530000000006</v>
      </c>
      <c r="H36" s="86">
        <v>8229.1209999999992</v>
      </c>
      <c r="I36" s="86">
        <v>1580.212</v>
      </c>
      <c r="J36" s="86">
        <v>6448.5959999999995</v>
      </c>
      <c r="K36" s="284"/>
      <c r="L36" s="284">
        <v>476.93599999999998</v>
      </c>
      <c r="M36" s="284">
        <f t="shared" si="62"/>
        <v>8028.8079999999991</v>
      </c>
      <c r="N36" s="88">
        <f t="shared" si="19"/>
        <v>20058.894</v>
      </c>
      <c r="O36" s="88">
        <f t="shared" si="20"/>
        <v>24550.234</v>
      </c>
      <c r="P36" s="89">
        <f t="shared" si="21"/>
        <v>588843.67600000009</v>
      </c>
      <c r="R36" s="170">
        <f t="shared" si="22"/>
        <v>279.70000000006985</v>
      </c>
      <c r="S36" s="170">
        <f t="shared" si="23"/>
        <v>0</v>
      </c>
      <c r="T36" s="170">
        <f t="shared" si="1"/>
        <v>320.10000000000002</v>
      </c>
      <c r="U36" s="91">
        <f>IF(FB36=0,"",((EN36-EN35)/10))</f>
        <v>3.1199999999997088</v>
      </c>
      <c r="V36" s="90">
        <f t="shared" si="24"/>
        <v>1499.9000000003725</v>
      </c>
      <c r="W36" s="91">
        <f t="shared" si="2"/>
        <v>132.9</v>
      </c>
      <c r="X36" s="170">
        <f t="shared" si="25"/>
        <v>1499.9000000003725</v>
      </c>
      <c r="Y36" s="170">
        <f t="shared" si="26"/>
        <v>58.7</v>
      </c>
      <c r="Z36" s="170">
        <f t="shared" si="3"/>
        <v>156.4</v>
      </c>
      <c r="AA36" s="170">
        <f t="shared" si="27"/>
        <v>2102.8200000004422</v>
      </c>
      <c r="AB36" s="170">
        <f t="shared" si="28"/>
        <v>99</v>
      </c>
      <c r="AC36" s="170">
        <f t="shared" si="28"/>
        <v>39</v>
      </c>
      <c r="AD36" s="170">
        <f>(IF(SUM(AB36:AC36)&gt;=(DW36-DW35),(SUM(AB36:AC36)),(DW36-DW35)))</f>
        <v>156</v>
      </c>
      <c r="AE36" s="170">
        <f t="shared" si="30"/>
        <v>18</v>
      </c>
      <c r="AF36" s="170">
        <f t="shared" si="31"/>
        <v>0</v>
      </c>
      <c r="AG36" s="170">
        <f t="shared" si="31"/>
        <v>32.69999999999709</v>
      </c>
      <c r="AH36" s="170">
        <f t="shared" si="32"/>
        <v>215</v>
      </c>
      <c r="AI36" s="170">
        <f t="shared" si="33"/>
        <v>182.30000000000291</v>
      </c>
      <c r="AJ36" s="170">
        <f>IF(EA36=0,"",(EA36-EA35))</f>
        <v>73</v>
      </c>
      <c r="AK36" s="170">
        <f>IF(EB36=0,"",(EB36-EB35))</f>
        <v>7.2999999999956344</v>
      </c>
      <c r="AL36" s="170">
        <f t="shared" si="35"/>
        <v>153</v>
      </c>
      <c r="AM36" s="170">
        <f t="shared" si="36"/>
        <v>72.700000000004366</v>
      </c>
      <c r="AN36" s="170">
        <f t="shared" si="37"/>
        <v>1.1999999999970896</v>
      </c>
      <c r="AO36" s="170">
        <f t="shared" si="4"/>
        <v>41.30000000000291</v>
      </c>
      <c r="AP36" s="170">
        <f t="shared" si="38"/>
        <v>24.19999999999709</v>
      </c>
      <c r="AQ36" s="170">
        <f t="shared" si="5"/>
        <v>40.700000000011642</v>
      </c>
      <c r="AR36" s="170">
        <f t="shared" si="39"/>
        <v>80.856999999999999</v>
      </c>
      <c r="AS36" s="170">
        <f t="shared" si="40"/>
        <v>186.85699999999997</v>
      </c>
      <c r="AT36" s="170">
        <f t="shared" si="41"/>
        <v>992.85699999999997</v>
      </c>
      <c r="AU36" s="170">
        <f t="shared" si="63"/>
        <v>221</v>
      </c>
      <c r="AV36" s="170">
        <f t="shared" si="64"/>
        <v>42</v>
      </c>
      <c r="AW36" s="170">
        <f t="shared" si="65"/>
        <v>585</v>
      </c>
      <c r="AX36" s="170">
        <f t="shared" si="66"/>
        <v>3</v>
      </c>
      <c r="AY36" s="170" t="str">
        <f t="shared" si="66"/>
        <v/>
      </c>
      <c r="AZ36" s="170">
        <f t="shared" si="42"/>
        <v>324</v>
      </c>
      <c r="BA36" s="170">
        <v>51</v>
      </c>
      <c r="BB36" s="170">
        <f t="shared" si="43"/>
        <v>125.90000000002328</v>
      </c>
      <c r="BC36" s="170">
        <f t="shared" si="43"/>
        <v>934.4000000001397</v>
      </c>
      <c r="BD36" s="91">
        <f t="shared" si="44"/>
        <v>77</v>
      </c>
      <c r="BE36" s="90"/>
      <c r="BF36" s="90"/>
      <c r="BG36" s="90">
        <f t="shared" si="6"/>
        <v>1384.300000000163</v>
      </c>
      <c r="BH36" s="90">
        <f t="shared" si="45"/>
        <v>-1154.8999999999996</v>
      </c>
      <c r="BI36" s="90">
        <f t="shared" si="7"/>
        <v>1628.0229999993808</v>
      </c>
      <c r="BJ36" s="90">
        <f t="shared" si="46"/>
        <v>5130.9770000006192</v>
      </c>
      <c r="BK36" s="92"/>
      <c r="BL36" s="331">
        <f>FD36+FN36-590-130.9</f>
        <v>5604.1</v>
      </c>
      <c r="BM36" s="93">
        <f t="shared" si="47"/>
        <v>171166.9</v>
      </c>
      <c r="BN36" s="92"/>
      <c r="BO36" s="94">
        <f>IF($N36&lt;&gt;0,IF($N36&lt;&gt;0,R36/$N36*10,0)," ")</f>
        <v>0.13943939281999787</v>
      </c>
      <c r="BP36" s="94">
        <f>IF($N36&lt;&gt;0,IF($N36&lt;&gt;0,S36/$N36*10,0)," ")</f>
        <v>0</v>
      </c>
      <c r="BQ36" s="94">
        <f t="shared" si="49"/>
        <v>0.15958008452509892</v>
      </c>
      <c r="BR36" s="94">
        <f t="shared" si="68"/>
        <v>0.74774810615200038</v>
      </c>
      <c r="BS36" s="94">
        <f t="shared" si="76"/>
        <v>2.9263826809194964E-2</v>
      </c>
      <c r="BT36" s="94">
        <f t="shared" si="76"/>
        <v>7.7970400561466646E-2</v>
      </c>
      <c r="BU36" s="95">
        <f t="shared" si="76"/>
        <v>1.0483230032525432</v>
      </c>
      <c r="BV36" s="94">
        <f>IF($O36&lt;&gt;0,IF($O36&lt;&gt;0,R36/$O36*10,0)," ")</f>
        <v>0.11392966763578295</v>
      </c>
      <c r="BW36" s="94">
        <f>IF($O36&lt;&gt;0,IF($O36&lt;&gt;0,S36/$O36*10,0)," ")</f>
        <v>0</v>
      </c>
      <c r="BX36" s="94">
        <f>IF($O36&lt;&gt;0,IF($O36&lt;&gt;0,T36/$O36*10,0)," ")</f>
        <v>0.13038572259637118</v>
      </c>
      <c r="BY36" s="94">
        <f t="shared" si="50"/>
        <v>0.61095140681769977</v>
      </c>
      <c r="BZ36" s="95">
        <f t="shared" si="10"/>
        <v>0.8565376607002777</v>
      </c>
      <c r="CA36" s="96" t="e">
        <f>#REF!</f>
        <v>#REF!</v>
      </c>
      <c r="CB36" s="94">
        <f t="shared" si="51"/>
        <v>3.2935327622539159E-2</v>
      </c>
      <c r="CC36" s="95">
        <f t="shared" si="51"/>
        <v>7.6112105489503673E-2</v>
      </c>
      <c r="CD36" s="97">
        <f>IFERROR(AR36*10/($I36+$J36),"")</f>
        <v>0.10070859833738707</v>
      </c>
      <c r="CE36" s="98">
        <f>IFERROR(AS36*10/($I36+$J36),"")</f>
        <v>0.23273317782664624</v>
      </c>
      <c r="CF36" s="97" t="str">
        <f t="shared" si="52"/>
        <v>0,00</v>
      </c>
      <c r="CG36" s="94" t="str">
        <f t="shared" si="52"/>
        <v>0,00</v>
      </c>
      <c r="CH36" s="95" t="str">
        <f t="shared" si="53"/>
        <v xml:space="preserve">0,00 </v>
      </c>
      <c r="CI36" s="96" t="e">
        <f>#REF!</f>
        <v>#REF!</v>
      </c>
      <c r="CJ36" s="94">
        <f t="shared" si="54"/>
        <v>0</v>
      </c>
      <c r="CK36" s="94">
        <f t="shared" si="54"/>
        <v>8.8514259728440112E-2</v>
      </c>
      <c r="CL36" s="95">
        <f t="shared" si="69"/>
        <v>0.58197449056930639</v>
      </c>
      <c r="CM36" s="95" t="e">
        <f>#REF!</f>
        <v>#REF!</v>
      </c>
      <c r="CN36" s="94">
        <f t="shared" si="55"/>
        <v>0.39995616918693844</v>
      </c>
      <c r="CO36" s="94">
        <f t="shared" si="55"/>
        <v>3.9995616918669923E-2</v>
      </c>
      <c r="CP36" s="95">
        <f t="shared" si="56"/>
        <v>0.83826429980276129</v>
      </c>
      <c r="CQ36" s="95" t="e">
        <f>#REF!</f>
        <v>#REF!</v>
      </c>
      <c r="CR36" s="97">
        <f t="shared" si="70"/>
        <v>1.9016670171498504E-3</v>
      </c>
      <c r="CS36" s="95">
        <f t="shared" si="70"/>
        <v>6.5449039840404039E-2</v>
      </c>
      <c r="CT36" s="96" t="e">
        <f>#REF!</f>
        <v>#REF!</v>
      </c>
      <c r="CU36" s="97">
        <f t="shared" si="71"/>
        <v>2.9407758131150451E-2</v>
      </c>
      <c r="CV36" s="95">
        <f t="shared" si="57"/>
        <v>4.9458502311500396E-2</v>
      </c>
      <c r="CW36" s="96" t="e">
        <f>#REF!</f>
        <v>#REF!</v>
      </c>
      <c r="CX36" s="99">
        <f t="shared" si="79"/>
        <v>9.0019508571690193E-2</v>
      </c>
      <c r="CY36" s="95">
        <f t="shared" si="79"/>
        <v>1.7107779909551982E-2</v>
      </c>
      <c r="CZ36" s="99">
        <f t="shared" si="79"/>
        <v>0.23828693445447402</v>
      </c>
      <c r="DA36" s="95">
        <f t="shared" si="79"/>
        <v>1.2219842792537132E-3</v>
      </c>
      <c r="DB36" s="94">
        <f t="shared" si="12"/>
        <v>0.13197430215940101</v>
      </c>
      <c r="DC36" s="94">
        <f t="shared" ref="DC36:DH36" si="80">IF($O36&lt;&gt;0,IF($O36&lt;&gt;0,BB36/$O36*10,0)," ")</f>
        <v>5.1282606919356974E-2</v>
      </c>
      <c r="DD36" s="94">
        <f t="shared" si="80"/>
        <v>0.38060737017828006</v>
      </c>
      <c r="DE36" s="94">
        <f t="shared" si="80"/>
        <v>3.1364263167511966E-2</v>
      </c>
      <c r="DF36" s="94">
        <f t="shared" si="80"/>
        <v>0</v>
      </c>
      <c r="DG36" s="94">
        <f t="shared" si="80"/>
        <v>0</v>
      </c>
      <c r="DH36" s="95">
        <f t="shared" si="80"/>
        <v>0.56386427925703797</v>
      </c>
      <c r="DI36" s="96" t="e">
        <f>#REF!</f>
        <v>#REF!</v>
      </c>
      <c r="DJ36" s="95">
        <f t="shared" si="59"/>
        <v>-0.4704232147033709</v>
      </c>
      <c r="DK36" s="96" t="e">
        <f>#REF!</f>
        <v>#REF!</v>
      </c>
      <c r="DL36" s="95">
        <f t="shared" si="60"/>
        <v>0.66313950408757028</v>
      </c>
      <c r="DM36" s="96">
        <f t="shared" si="14"/>
        <v>0</v>
      </c>
      <c r="DN36" s="94">
        <f t="shared" si="15"/>
        <v>2.089991077071045</v>
      </c>
      <c r="DO36" s="100">
        <v>3.4</v>
      </c>
      <c r="DP36" s="94">
        <f>IF($O36&lt;&gt;0,IF($O36&lt;&gt;0,BL36/$O36*10,0)," ")</f>
        <v>2.2827073664552442</v>
      </c>
      <c r="DQ36" s="94">
        <f>IF($P36&lt;&gt;0,IF($P36&lt;&gt;0,BM36/$P36*10,0)," ")</f>
        <v>2.9068309124542586</v>
      </c>
      <c r="DR36" s="101"/>
      <c r="DS36" s="173"/>
      <c r="DT36" s="134">
        <v>31</v>
      </c>
      <c r="DU36" s="355">
        <v>629145</v>
      </c>
      <c r="DV36" s="355">
        <v>28046</v>
      </c>
      <c r="DW36" s="355">
        <v>5139899</v>
      </c>
      <c r="DX36" s="355">
        <v>119923</v>
      </c>
      <c r="DY36" s="355">
        <v>85646.3</v>
      </c>
      <c r="DZ36" s="355">
        <v>398308</v>
      </c>
      <c r="EA36" s="104">
        <v>235014</v>
      </c>
      <c r="EB36" s="104">
        <v>54886.1</v>
      </c>
      <c r="EC36" s="104">
        <v>412373</v>
      </c>
      <c r="ED36" s="355">
        <v>47764.7</v>
      </c>
      <c r="EE36" s="104">
        <v>42729</v>
      </c>
      <c r="EF36" s="104">
        <v>39437.9</v>
      </c>
      <c r="EG36" s="355">
        <v>93136.9</v>
      </c>
      <c r="EH36" s="355">
        <v>183620.5</v>
      </c>
      <c r="EI36" s="355">
        <v>32640</v>
      </c>
      <c r="EJ36" s="104">
        <v>41317</v>
      </c>
      <c r="EK36" s="104"/>
      <c r="EL36" s="355">
        <v>707704.3</v>
      </c>
      <c r="EM36" s="355">
        <v>3201</v>
      </c>
      <c r="EN36" s="104">
        <v>45407.1</v>
      </c>
      <c r="EO36" s="355">
        <v>3052746.2</v>
      </c>
      <c r="EP36" s="104">
        <v>2791095</v>
      </c>
      <c r="EQ36" s="104">
        <v>587</v>
      </c>
      <c r="ER36" s="104">
        <v>1564</v>
      </c>
      <c r="ES36" s="104">
        <v>374279</v>
      </c>
      <c r="ET36" s="104">
        <v>2650070</v>
      </c>
      <c r="EU36" s="104">
        <v>431940</v>
      </c>
      <c r="EV36" s="104">
        <v>145550</v>
      </c>
      <c r="EW36" s="104">
        <v>118045</v>
      </c>
      <c r="EX36" s="355">
        <v>212031.2</v>
      </c>
      <c r="EY36" s="355">
        <v>1668646.1</v>
      </c>
      <c r="EZ36" s="355">
        <v>789521</v>
      </c>
      <c r="FA36" s="355">
        <v>751756</v>
      </c>
      <c r="FB36" s="104">
        <v>32087.599999999999</v>
      </c>
      <c r="FC36" s="355">
        <v>6759</v>
      </c>
      <c r="FD36" s="104">
        <f t="shared" si="75"/>
        <v>4860</v>
      </c>
      <c r="FE36" s="105">
        <f t="shared" si="77"/>
        <v>0</v>
      </c>
      <c r="FF36" s="105">
        <f t="shared" si="77"/>
        <v>207</v>
      </c>
      <c r="FG36" s="105">
        <f t="shared" si="77"/>
        <v>0</v>
      </c>
      <c r="FH36" s="105">
        <f t="shared" si="77"/>
        <v>1600</v>
      </c>
      <c r="FI36" s="105">
        <f t="shared" si="77"/>
        <v>640</v>
      </c>
      <c r="FJ36" s="104">
        <v>0</v>
      </c>
      <c r="FK36" s="267">
        <v>1072</v>
      </c>
      <c r="FL36" s="267">
        <v>1044</v>
      </c>
      <c r="FM36" s="267">
        <v>297</v>
      </c>
      <c r="FN36" s="80">
        <v>1465</v>
      </c>
      <c r="FO36" s="105"/>
      <c r="FP36" s="162"/>
      <c r="FY36" s="119">
        <v>31</v>
      </c>
      <c r="FZ36" s="190"/>
      <c r="GA36" s="192"/>
      <c r="GB36" s="190"/>
      <c r="GC36" s="109"/>
      <c r="GD36" s="110"/>
      <c r="GE36" s="110"/>
      <c r="GF36" s="111"/>
      <c r="GG36" s="111"/>
      <c r="GH36" s="111"/>
      <c r="GI36" s="164"/>
      <c r="GJ36" s="111" t="e">
        <f t="shared" si="61"/>
        <v>#DIV/0!</v>
      </c>
    </row>
    <row r="37" spans="1:193" s="10" customFormat="1" ht="15" customHeight="1">
      <c r="A37" s="64" t="s">
        <v>127</v>
      </c>
      <c r="B37" s="351"/>
      <c r="C37" s="194"/>
      <c r="D37" s="483">
        <f>SUM(D6:D36)</f>
        <v>90138</v>
      </c>
      <c r="E37" s="483">
        <f t="shared" ref="E37:M37" si="81">SUM(E6:E36)</f>
        <v>70308.48000000001</v>
      </c>
      <c r="F37" s="483">
        <f t="shared" si="81"/>
        <v>56533.032000000007</v>
      </c>
      <c r="G37" s="483">
        <f t="shared" si="81"/>
        <v>120665.33399999997</v>
      </c>
      <c r="H37" s="483">
        <f t="shared" si="81"/>
        <v>175198.49300000002</v>
      </c>
      <c r="I37" s="483">
        <f t="shared" si="81"/>
        <v>53535.544000000002</v>
      </c>
      <c r="J37" s="483">
        <f t="shared" si="81"/>
        <v>93113.004000000001</v>
      </c>
      <c r="K37" s="483">
        <f t="shared" si="81"/>
        <v>55.278999999999996</v>
      </c>
      <c r="L37" s="483">
        <f t="shared" si="81"/>
        <v>2660.8240000000001</v>
      </c>
      <c r="M37" s="510">
        <f t="shared" si="81"/>
        <v>146648.54799999998</v>
      </c>
      <c r="N37" s="198">
        <f>SUM(N6:N36)</f>
        <v>512843.33899999992</v>
      </c>
      <c r="O37" s="199">
        <f>SUM(O6:O36)</f>
        <v>588843.67600000009</v>
      </c>
      <c r="P37" s="200">
        <f>P36</f>
        <v>588843.67600000009</v>
      </c>
      <c r="Q37" s="201">
        <f>SUM(Q6:Q33)</f>
        <v>0</v>
      </c>
      <c r="R37" s="483">
        <f>SUM(R6:R36)</f>
        <v>7574.8000000000466</v>
      </c>
      <c r="S37" s="483">
        <f t="shared" ref="S37:Z37" si="82">SUM(S6:S36)</f>
        <v>1201.9599999999978</v>
      </c>
      <c r="T37" s="483">
        <f t="shared" si="82"/>
        <v>12427.6</v>
      </c>
      <c r="U37" s="202">
        <f t="shared" si="82"/>
        <v>138.9199999999997</v>
      </c>
      <c r="V37" s="196">
        <f t="shared" si="82"/>
        <v>43133.600000000093</v>
      </c>
      <c r="W37" s="202">
        <f t="shared" si="82"/>
        <v>1969.1000000000001</v>
      </c>
      <c r="X37" s="196">
        <f t="shared" si="82"/>
        <v>43133.600000000093</v>
      </c>
      <c r="Y37" s="196">
        <f t="shared" si="82"/>
        <v>450.5</v>
      </c>
      <c r="Z37" s="196">
        <f t="shared" si="82"/>
        <v>4774.9999999999991</v>
      </c>
      <c r="AA37" s="203">
        <f>SUM(R37:V37)</f>
        <v>64476.880000000136</v>
      </c>
      <c r="AB37" s="196">
        <f t="shared" ref="AB37:AZ37" si="83">SUM(AB6:AB36)</f>
        <v>3765</v>
      </c>
      <c r="AC37" s="196">
        <f t="shared" si="83"/>
        <v>1117</v>
      </c>
      <c r="AD37" s="203">
        <f t="shared" si="83"/>
        <v>8534</v>
      </c>
      <c r="AE37" s="203">
        <f>SUM(AE6:AE36)</f>
        <v>3652</v>
      </c>
      <c r="AF37" s="196">
        <f>SUM(AF6:AF36)</f>
        <v>2535</v>
      </c>
      <c r="AG37" s="196">
        <f>SUM(AG6:AG36)</f>
        <v>785.40000000000873</v>
      </c>
      <c r="AH37" s="203">
        <f t="shared" si="83"/>
        <v>5233.9999999999854</v>
      </c>
      <c r="AI37" s="203">
        <f t="shared" si="83"/>
        <v>1913.5999999999767</v>
      </c>
      <c r="AJ37" s="196">
        <f t="shared" si="83"/>
        <v>3150</v>
      </c>
      <c r="AK37" s="196">
        <f t="shared" si="83"/>
        <v>749.09999999999854</v>
      </c>
      <c r="AL37" s="203">
        <f t="shared" si="83"/>
        <v>6274</v>
      </c>
      <c r="AM37" s="203">
        <f t="shared" si="83"/>
        <v>2374.9000000000015</v>
      </c>
      <c r="AN37" s="196">
        <f t="shared" si="83"/>
        <v>672.89999999999418</v>
      </c>
      <c r="AO37" s="203">
        <f t="shared" si="83"/>
        <v>1655.5</v>
      </c>
      <c r="AP37" s="196">
        <f>SUM(AP6:AP36)</f>
        <v>806.59999999999127</v>
      </c>
      <c r="AQ37" s="203">
        <f t="shared" si="83"/>
        <v>1873.6999999999971</v>
      </c>
      <c r="AR37" s="196">
        <f t="shared" si="83"/>
        <v>2437.5360000000001</v>
      </c>
      <c r="AS37" s="203">
        <f t="shared" si="83"/>
        <v>2945.5359999999991</v>
      </c>
      <c r="AT37" s="203">
        <f t="shared" si="83"/>
        <v>19375.536000000004</v>
      </c>
      <c r="AU37" s="204">
        <f t="shared" si="83"/>
        <v>7797</v>
      </c>
      <c r="AV37" s="203">
        <f t="shared" si="83"/>
        <v>991</v>
      </c>
      <c r="AW37" s="365">
        <f>SUM(AW6:AW36)</f>
        <v>8633</v>
      </c>
      <c r="AX37" s="203">
        <f t="shared" si="83"/>
        <v>861</v>
      </c>
      <c r="AY37" s="203">
        <f t="shared" si="83"/>
        <v>0</v>
      </c>
      <c r="AZ37" s="196">
        <f t="shared" si="83"/>
        <v>9581</v>
      </c>
      <c r="BA37" s="196">
        <f>SUM(BA6:BA36)</f>
        <v>1760.6</v>
      </c>
      <c r="BB37" s="196">
        <f>SUM(BB6:BB35)</f>
        <v>3188.3999999999942</v>
      </c>
      <c r="BC37" s="196">
        <f t="shared" ref="BC37:BJ37" si="84">SUM(BC6:BC36)</f>
        <v>25852</v>
      </c>
      <c r="BD37" s="202">
        <f t="shared" si="84"/>
        <v>5673</v>
      </c>
      <c r="BE37" s="196">
        <f t="shared" si="84"/>
        <v>0</v>
      </c>
      <c r="BF37" s="196">
        <f t="shared" si="84"/>
        <v>0</v>
      </c>
      <c r="BG37" s="203">
        <f t="shared" si="84"/>
        <v>38747.300000000017</v>
      </c>
      <c r="BH37" s="203">
        <f t="shared" si="84"/>
        <v>-18538.099999999991</v>
      </c>
      <c r="BI37" s="196">
        <f t="shared" si="84"/>
        <v>41682.083999999864</v>
      </c>
      <c r="BJ37" s="196">
        <f t="shared" si="84"/>
        <v>148022.91600000011</v>
      </c>
      <c r="BK37" s="205"/>
      <c r="BL37" s="196">
        <f>SUM(BL6:BL36)</f>
        <v>171166.9</v>
      </c>
      <c r="BM37" s="196">
        <f>BM36</f>
        <v>171166.9</v>
      </c>
      <c r="BN37" s="205"/>
      <c r="BO37" s="94">
        <f>IF($N37&lt;&gt;0,IF($N37&lt;&gt;0,R37/$N37*10,0)," ")</f>
        <v>0.14770202562775311</v>
      </c>
      <c r="BP37" s="206">
        <f>S37/$N$37/0.1</f>
        <v>2.343717678665215E-2</v>
      </c>
      <c r="BQ37" s="94">
        <f>IF($N37&lt;&gt;0,IF($N37&lt;&gt;0,T37/$N37*10,0)," ")</f>
        <v>0.24232741375237013</v>
      </c>
      <c r="BR37" s="94">
        <f>IF($N37&lt;&gt;0,IF($N37&lt;&gt;0,(V37)/$N37*10,0)," ")</f>
        <v>0.84106776319074128</v>
      </c>
      <c r="BS37" s="206">
        <f>IF($N37&lt;&gt;0,IF($N37&lt;&gt;0,Y37/$N37*10,0)," ")</f>
        <v>8.7843589989573811E-3</v>
      </c>
      <c r="BT37" s="206">
        <f>IF($N37&lt;&gt;0,IF($N37&lt;&gt;0,Z37/$N37*10,0)," ")</f>
        <v>9.3108355649326263E-2</v>
      </c>
      <c r="BU37" s="207">
        <f>IF($N37&lt;&gt;0,IF($N37&lt;&gt;0,AA37/$N37*10,0)," ")</f>
        <v>1.2572431987851196</v>
      </c>
      <c r="BV37" s="206">
        <f>R37/$O$37/0.1</f>
        <v>0.12863855567670299</v>
      </c>
      <c r="BW37" s="206">
        <f>S37/$O$37/0.1</f>
        <v>2.0412208689492617E-2</v>
      </c>
      <c r="BX37" s="206">
        <f>(T37+U37)/$O$37/0.1</f>
        <v>0.2134101207533389</v>
      </c>
      <c r="BY37" s="206">
        <f>(V37)/$O$37/0.1</f>
        <v>0.73251359839687036</v>
      </c>
      <c r="BZ37" s="198">
        <f>AA37/$O$37/0.1</f>
        <v>1.0949744835164048</v>
      </c>
      <c r="CA37" s="208" t="e">
        <f>#REF!</f>
        <v>#REF!</v>
      </c>
      <c r="CB37" s="209">
        <f>IF($O37&lt;&gt;0,IF($O37&lt;&gt;0,AR37/$O37*10,0)," ")</f>
        <v>4.139529894518218E-2</v>
      </c>
      <c r="CC37" s="210">
        <f>IF($O37&lt;&gt;0,IF($O37&lt;&gt;0,AS37/$O37*10,0)," ")</f>
        <v>5.0022376397229049E-2</v>
      </c>
      <c r="CD37" s="211">
        <f>IFERROR(AR37*10/($I37+$J37),"")</f>
        <v>0.16621617010486867</v>
      </c>
      <c r="CE37" s="212">
        <f>IFERROR(AS37*10/(($I37+$J37)),"")</f>
        <v>0.2008568131203044</v>
      </c>
      <c r="CF37" s="206">
        <f>AB37/$D$37/0.1</f>
        <v>0.41769287093123875</v>
      </c>
      <c r="CG37" s="206">
        <f>AC37/$D$37/0.1</f>
        <v>0.12392109875967959</v>
      </c>
      <c r="CH37" s="198">
        <f>AD37/$D$37/0.1</f>
        <v>0.94677050744414126</v>
      </c>
      <c r="CI37" s="208" t="e">
        <f>#REF!</f>
        <v>#REF!</v>
      </c>
      <c r="CJ37" s="206">
        <f>AF37/$E$37/0.1</f>
        <v>0.36055394740435287</v>
      </c>
      <c r="CK37" s="206">
        <f>AG37/$E$37/0.1</f>
        <v>0.11170772003604808</v>
      </c>
      <c r="CL37" s="198">
        <f>AH37/$E$37/0.1</f>
        <v>0.74443367286563222</v>
      </c>
      <c r="CM37" s="95" t="e">
        <f>#REF!</f>
        <v>#REF!</v>
      </c>
      <c r="CN37" s="206">
        <f>AJ37/$F$37/0.1</f>
        <v>0.55719636618817814</v>
      </c>
      <c r="CO37" s="206">
        <f>AK37/$F$37/0.1</f>
        <v>0.13250660251160745</v>
      </c>
      <c r="CP37" s="198">
        <f>AL37/$F$37/0.1</f>
        <v>1.1097936512586126</v>
      </c>
      <c r="CQ37" s="213" t="e">
        <f>#REF!</f>
        <v>#REF!</v>
      </c>
      <c r="CR37" s="214">
        <f>AN37/$G$37/0.1</f>
        <v>5.5765809258854271E-2</v>
      </c>
      <c r="CS37" s="198">
        <f>AO37/$G$37/0.1</f>
        <v>0.13719764783479574</v>
      </c>
      <c r="CT37" s="208" t="e">
        <f>#REF!</f>
        <v>#REF!</v>
      </c>
      <c r="CU37" s="214">
        <f>AP37/$H$37/0.1</f>
        <v>4.6039208796161912E-2</v>
      </c>
      <c r="CV37" s="198">
        <f>AQ37/$H$37/0.1</f>
        <v>0.10694726694937935</v>
      </c>
      <c r="CW37" s="96" t="e">
        <f>#REF!</f>
        <v>#REF!</v>
      </c>
      <c r="CX37" s="99">
        <f t="shared" si="79"/>
        <v>0.13241205294017624</v>
      </c>
      <c r="CY37" s="95">
        <f t="shared" si="79"/>
        <v>1.6829594005863108E-2</v>
      </c>
      <c r="CZ37" s="99">
        <f>IF($O37&lt;&gt;0,IF($O37&lt;&gt;0,AW37/$O37*10,0)," ")</f>
        <v>0.1466093693770093</v>
      </c>
      <c r="DA37" s="198">
        <f>IF($O37&lt;&gt;0,IF($O37&lt;&gt;0,AX37/$O37*10,0)," ")</f>
        <v>1.4621877335063711E-2</v>
      </c>
      <c r="DB37" s="206">
        <f>AZ37/$O$37/0.1</f>
        <v>0.16270871863791567</v>
      </c>
      <c r="DC37" s="206">
        <f t="shared" ref="DC37:DH37" si="85">BB37/$O$37/0.1</f>
        <v>5.4146798716744535E-2</v>
      </c>
      <c r="DD37" s="215">
        <f t="shared" si="85"/>
        <v>0.43902993364235426</v>
      </c>
      <c r="DE37" s="215">
        <f t="shared" si="85"/>
        <v>9.6341359026499915E-2</v>
      </c>
      <c r="DF37" s="215">
        <f t="shared" si="85"/>
        <v>0</v>
      </c>
      <c r="DG37" s="215">
        <f t="shared" si="85"/>
        <v>0</v>
      </c>
      <c r="DH37" s="216">
        <f t="shared" si="85"/>
        <v>0.65802353968050431</v>
      </c>
      <c r="DI37" s="217" t="e">
        <f>#REF!</f>
        <v>#REF!</v>
      </c>
      <c r="DJ37" s="216">
        <f>BH37/$O$37/0.1</f>
        <v>-0.31482209549958701</v>
      </c>
      <c r="DK37" s="217" t="e">
        <f>#REF!</f>
        <v>#REF!</v>
      </c>
      <c r="DL37" s="213">
        <f>BI37/$O$37/0.1</f>
        <v>0.70786332092661974</v>
      </c>
      <c r="DM37" s="96">
        <f t="shared" si="14"/>
        <v>0</v>
      </c>
      <c r="DN37" s="206">
        <f>BJ37/$O$37/0.1</f>
        <v>2.5137896870272249</v>
      </c>
      <c r="DO37" s="100">
        <v>3.4</v>
      </c>
      <c r="DP37" s="206">
        <f>BL37/$O$37/0.1</f>
        <v>2.9068309124542582</v>
      </c>
      <c r="DQ37" s="218" t="str">
        <f>IF($Q37&lt;&gt;0,IF($Q37&lt;&gt;0,BM37/$Q37*10,0)," ")</f>
        <v xml:space="preserve"> </v>
      </c>
      <c r="DR37" s="101" t="e">
        <f>#REF!</f>
        <v>#REF!</v>
      </c>
      <c r="DS37" s="64"/>
      <c r="DT37" s="64"/>
      <c r="DU37" s="219"/>
      <c r="DV37" s="219"/>
      <c r="DW37" s="219"/>
      <c r="DX37" s="219"/>
      <c r="DY37" s="219"/>
      <c r="DZ37" s="219"/>
      <c r="EA37" s="219"/>
      <c r="EB37" s="220"/>
      <c r="EC37" s="219"/>
      <c r="ED37" s="219"/>
      <c r="EE37" s="219"/>
      <c r="EF37" s="219"/>
      <c r="EG37" s="219"/>
      <c r="EH37" s="219"/>
      <c r="EI37" s="219"/>
      <c r="EJ37" s="220"/>
      <c r="EK37" s="220"/>
      <c r="EL37" s="219"/>
      <c r="EM37" s="219"/>
      <c r="EN37" s="220"/>
      <c r="EO37" s="219"/>
      <c r="EP37" s="220"/>
      <c r="EQ37" s="220"/>
      <c r="ER37" s="220"/>
      <c r="ES37" s="220"/>
      <c r="ET37" s="220"/>
      <c r="EU37" s="220"/>
      <c r="EV37" s="220"/>
      <c r="EW37" s="220"/>
      <c r="EX37" s="219"/>
      <c r="EY37" s="219"/>
      <c r="EZ37" s="219"/>
      <c r="FA37" s="219"/>
      <c r="FB37" s="219"/>
      <c r="FC37" s="219"/>
      <c r="FD37" s="220"/>
      <c r="FE37" s="574" t="s">
        <v>129</v>
      </c>
      <c r="FF37" s="575"/>
      <c r="FG37" s="575"/>
      <c r="FH37" s="575"/>
      <c r="FI37" s="575"/>
      <c r="FJ37" s="575"/>
      <c r="FK37" s="575"/>
      <c r="FL37" s="575"/>
      <c r="FM37" s="576"/>
      <c r="FN37" s="220">
        <f>SUM(FN6:FN36)</f>
        <v>28587</v>
      </c>
      <c r="FO37" s="220"/>
      <c r="FP37" s="64"/>
      <c r="FQ37" s="64"/>
      <c r="FR37" s="64"/>
      <c r="FS37" s="64"/>
      <c r="FT37" s="64"/>
      <c r="FU37" s="64"/>
      <c r="FV37" s="64"/>
      <c r="FW37" s="64"/>
      <c r="FX37" s="64"/>
      <c r="FY37" s="64"/>
      <c r="FZ37" s="221">
        <f>SUM(FZ6:FZ36)</f>
        <v>38276</v>
      </c>
      <c r="GA37" s="221">
        <f t="shared" ref="GA37:GI37" si="86">SUM(GA6:GA36)</f>
        <v>6040</v>
      </c>
      <c r="GB37" s="221">
        <f t="shared" si="86"/>
        <v>6.4779304812053722</v>
      </c>
      <c r="GC37" s="221">
        <f t="shared" si="86"/>
        <v>0</v>
      </c>
      <c r="GD37" s="221">
        <f t="shared" si="86"/>
        <v>0</v>
      </c>
      <c r="GE37" s="221">
        <f t="shared" si="86"/>
        <v>0</v>
      </c>
      <c r="GF37" s="221">
        <f t="shared" si="86"/>
        <v>0</v>
      </c>
      <c r="GG37" s="221">
        <f t="shared" si="86"/>
        <v>0</v>
      </c>
      <c r="GH37" s="221">
        <f t="shared" si="86"/>
        <v>0</v>
      </c>
      <c r="GI37" s="221">
        <f t="shared" si="86"/>
        <v>0</v>
      </c>
      <c r="GJ37" s="111">
        <f t="shared" si="61"/>
        <v>332.05049147112112</v>
      </c>
      <c r="GK37" s="222"/>
    </row>
    <row r="38" spans="1:193" s="10" customFormat="1">
      <c r="A38" s="64"/>
      <c r="B38" s="351"/>
      <c r="C38" s="64"/>
      <c r="D38" s="478"/>
      <c r="E38" s="478"/>
      <c r="F38" s="479"/>
      <c r="G38" s="479"/>
      <c r="H38" s="478"/>
      <c r="I38" s="478"/>
      <c r="J38" s="478"/>
      <c r="K38" s="478"/>
      <c r="L38" s="478"/>
      <c r="M38" s="480"/>
      <c r="N38" s="227"/>
      <c r="O38" s="227"/>
      <c r="P38" s="102"/>
      <c r="Q38" s="64"/>
      <c r="R38" s="228"/>
      <c r="S38" s="228"/>
      <c r="T38" s="228"/>
      <c r="U38" s="228"/>
      <c r="V38" s="229"/>
      <c r="W38" s="229"/>
      <c r="X38" s="229"/>
      <c r="Y38" s="229"/>
      <c r="Z38" s="229"/>
      <c r="AA38" s="230"/>
      <c r="AB38" s="152"/>
      <c r="AC38" s="152"/>
      <c r="AD38" s="153"/>
      <c r="AE38" s="231"/>
      <c r="AF38" s="152"/>
      <c r="AG38" s="152"/>
      <c r="AH38" s="152"/>
      <c r="AI38" s="231"/>
      <c r="AJ38" s="152"/>
      <c r="AK38" s="152"/>
      <c r="AL38" s="152"/>
      <c r="AM38" s="231"/>
      <c r="AN38" s="152"/>
      <c r="AO38" s="231"/>
      <c r="AP38" s="152"/>
      <c r="AQ38" s="231"/>
      <c r="AR38" s="232"/>
      <c r="AS38" s="230"/>
      <c r="AT38" s="230"/>
      <c r="AU38" s="232"/>
      <c r="AV38" s="152"/>
      <c r="AW38" s="232"/>
      <c r="AX38" s="152"/>
      <c r="AY38" s="152"/>
      <c r="AZ38" s="152"/>
      <c r="BA38" s="152"/>
      <c r="BB38" s="152"/>
      <c r="BC38" s="395"/>
      <c r="BD38" s="228"/>
      <c r="BE38" s="228"/>
      <c r="BF38" s="228"/>
      <c r="BG38" s="152"/>
      <c r="BH38" s="152"/>
      <c r="BI38" s="233"/>
      <c r="BJ38" s="233"/>
      <c r="BK38" s="234"/>
      <c r="BL38" s="235"/>
      <c r="BM38" s="233"/>
      <c r="BN38" s="234"/>
      <c r="BO38" s="178"/>
      <c r="BP38" s="178"/>
      <c r="BQ38" s="178"/>
      <c r="BR38" s="178"/>
      <c r="BS38" s="178"/>
      <c r="BT38" s="178"/>
      <c r="BU38" s="178"/>
      <c r="BV38" s="178"/>
      <c r="BW38" s="178"/>
      <c r="BX38" s="178"/>
      <c r="BY38" s="178"/>
      <c r="BZ38" s="64"/>
      <c r="CA38" s="236"/>
      <c r="CB38" s="236"/>
      <c r="CC38" s="236"/>
      <c r="CD38" s="236"/>
      <c r="CE38" s="236"/>
      <c r="CF38" s="237"/>
      <c r="CG38" s="237"/>
      <c r="CH38" s="64"/>
      <c r="CI38" s="236"/>
      <c r="CJ38" s="236"/>
      <c r="CK38" s="236"/>
      <c r="CL38" s="236"/>
      <c r="CM38" s="236"/>
      <c r="CN38" s="236"/>
      <c r="CO38" s="236"/>
      <c r="CP38" s="236"/>
      <c r="CQ38" s="236"/>
      <c r="CR38" s="64"/>
      <c r="CS38" s="238"/>
      <c r="CT38" s="236"/>
      <c r="CU38" s="236"/>
      <c r="CV38" s="239"/>
      <c r="CW38" s="236"/>
      <c r="CX38" s="236"/>
      <c r="CY38" s="236"/>
      <c r="CZ38" s="236"/>
      <c r="DA38" s="236"/>
      <c r="DB38" s="64"/>
      <c r="DC38" s="64"/>
      <c r="DD38" s="64"/>
      <c r="DE38" s="64"/>
      <c r="DF38" s="64"/>
      <c r="DG38" s="64"/>
      <c r="DH38" s="240"/>
      <c r="DI38" s="236"/>
      <c r="DJ38" s="241"/>
      <c r="DK38" s="242"/>
      <c r="DL38" s="243"/>
      <c r="DM38" s="242"/>
      <c r="DN38" s="64"/>
      <c r="DO38" s="100"/>
      <c r="DP38" s="240"/>
      <c r="DQ38" s="244"/>
      <c r="DR38" s="245"/>
      <c r="DS38" s="64"/>
      <c r="DT38" s="64"/>
      <c r="DU38" s="246"/>
      <c r="DV38" s="246"/>
      <c r="DW38" s="246"/>
      <c r="DX38" s="219"/>
      <c r="DY38" s="219"/>
      <c r="DZ38" s="219"/>
      <c r="EA38" s="246"/>
      <c r="EB38" s="246"/>
      <c r="EC38" s="9"/>
      <c r="ED38" s="9"/>
      <c r="EE38" s="246"/>
      <c r="EF38" s="246"/>
      <c r="EG38" s="9"/>
      <c r="EH38" s="9"/>
      <c r="EI38" s="9"/>
      <c r="EJ38" s="64"/>
      <c r="EK38" s="64"/>
      <c r="EL38" s="9"/>
      <c r="EM38" s="9"/>
      <c r="EN38" s="64"/>
      <c r="EO38" s="9"/>
      <c r="EP38" s="220"/>
      <c r="EQ38" s="64"/>
      <c r="ER38" s="64"/>
      <c r="ES38" s="247"/>
      <c r="ET38" s="175"/>
      <c r="EU38" s="220"/>
      <c r="EV38" s="220"/>
      <c r="EW38" s="246"/>
      <c r="EX38" s="64"/>
      <c r="EY38" s="64"/>
      <c r="EZ38" s="64"/>
      <c r="FA38" s="64"/>
      <c r="FB38" s="64"/>
      <c r="FC38" s="152"/>
      <c r="FD38" s="249" t="s">
        <v>53</v>
      </c>
      <c r="FE38" s="267">
        <v>0</v>
      </c>
      <c r="FF38" s="267">
        <v>477307</v>
      </c>
      <c r="FG38" s="267">
        <v>923676</v>
      </c>
      <c r="FH38" s="267">
        <v>1004714</v>
      </c>
      <c r="FI38" s="267">
        <v>792799.7</v>
      </c>
      <c r="FJ38" s="267">
        <v>1268078</v>
      </c>
      <c r="FK38" s="267">
        <v>1172.5</v>
      </c>
      <c r="FL38" s="267">
        <v>290385.89999999997</v>
      </c>
      <c r="FM38" s="267">
        <v>189</v>
      </c>
      <c r="FN38" s="152"/>
      <c r="FO38" s="152"/>
      <c r="FP38" s="220"/>
      <c r="FQ38" s="9"/>
      <c r="FR38" s="64"/>
      <c r="FS38" s="64"/>
      <c r="FT38" s="64"/>
      <c r="FU38" s="64"/>
      <c r="FV38" s="64"/>
      <c r="FW38" s="64"/>
      <c r="FX38" s="64"/>
      <c r="FY38" s="64"/>
      <c r="FZ38" s="9"/>
      <c r="GA38" s="64"/>
      <c r="GB38" s="64"/>
      <c r="GC38" s="64"/>
      <c r="GD38" s="64"/>
      <c r="GE38" s="64"/>
      <c r="GF38" s="64"/>
      <c r="GG38" s="64"/>
      <c r="GH38" s="64"/>
      <c r="GI38" s="64"/>
      <c r="GJ38" s="64"/>
    </row>
    <row r="39" spans="1:193" s="10" customFormat="1">
      <c r="A39" s="64"/>
      <c r="B39" s="64"/>
      <c r="C39" s="64"/>
      <c r="D39" s="478"/>
      <c r="E39" s="454"/>
      <c r="F39" s="479"/>
      <c r="G39" s="478"/>
      <c r="H39" s="478"/>
      <c r="I39" s="478"/>
      <c r="J39" s="478"/>
      <c r="K39" s="478"/>
      <c r="L39" s="478"/>
      <c r="M39" s="254"/>
      <c r="N39" s="255"/>
      <c r="O39" s="256"/>
      <c r="P39" s="257"/>
      <c r="Q39" s="64"/>
      <c r="R39" s="258"/>
      <c r="S39" s="258"/>
      <c r="T39" s="258"/>
      <c r="U39" s="258"/>
      <c r="V39" s="258"/>
      <c r="W39" s="258"/>
      <c r="X39" s="258"/>
      <c r="Y39" s="258"/>
      <c r="Z39" s="258"/>
      <c r="AA39" s="258"/>
      <c r="AB39" s="152"/>
      <c r="AD39" s="231"/>
      <c r="AE39" s="152"/>
      <c r="AF39" s="152"/>
      <c r="AG39" s="152"/>
      <c r="AH39" s="152"/>
      <c r="AI39" s="152"/>
      <c r="AJ39" s="152"/>
      <c r="AK39" s="152"/>
      <c r="AL39" s="152"/>
      <c r="AM39" s="152"/>
      <c r="AN39" s="152"/>
      <c r="AO39" s="152"/>
      <c r="AP39" s="152"/>
      <c r="AQ39" s="152"/>
      <c r="AR39" s="258"/>
      <c r="AS39" s="258"/>
      <c r="AT39" s="258"/>
      <c r="AU39" s="258"/>
      <c r="AV39" s="152"/>
      <c r="AW39" s="258"/>
      <c r="AX39" s="152"/>
      <c r="AY39" s="152"/>
      <c r="AZ39" s="152"/>
      <c r="BA39" s="152"/>
      <c r="BB39" s="152"/>
      <c r="BC39" s="231"/>
      <c r="BD39" s="231"/>
      <c r="BE39" s="231"/>
      <c r="BF39" s="231"/>
      <c r="BG39" s="152"/>
      <c r="BH39" s="231"/>
      <c r="BI39" s="116"/>
      <c r="BJ39" s="116"/>
      <c r="BK39" s="259"/>
      <c r="BL39" s="260"/>
      <c r="BM39" s="165"/>
      <c r="BN39" s="259"/>
      <c r="BO39" s="64"/>
      <c r="BP39" s="64"/>
      <c r="BQ39" s="64"/>
      <c r="BR39" s="116"/>
      <c r="BS39" s="116"/>
      <c r="BT39" s="116"/>
      <c r="BU39" s="116"/>
      <c r="BV39" s="64"/>
      <c r="BW39" s="64"/>
      <c r="BX39" s="64"/>
      <c r="BY39" s="116"/>
      <c r="BZ39" s="243"/>
      <c r="CA39" s="243"/>
      <c r="CB39" s="243"/>
      <c r="CC39" s="243"/>
      <c r="CD39" s="243"/>
      <c r="CE39" s="243"/>
      <c r="CF39" s="141"/>
      <c r="CG39" s="237"/>
      <c r="CH39" s="243"/>
      <c r="CI39" s="243"/>
      <c r="CJ39" s="243"/>
      <c r="CK39" s="243"/>
      <c r="CL39" s="243"/>
      <c r="CM39" s="243"/>
      <c r="CN39" s="243"/>
      <c r="CO39" s="243"/>
      <c r="CP39" s="243"/>
      <c r="CQ39" s="243"/>
      <c r="CR39" s="243"/>
      <c r="CS39" s="243"/>
      <c r="CT39" s="243"/>
      <c r="CU39" s="243"/>
      <c r="CV39" s="243"/>
      <c r="CW39" s="243"/>
      <c r="CX39" s="243"/>
      <c r="CY39" s="116"/>
      <c r="CZ39" s="243"/>
      <c r="DA39" s="243"/>
      <c r="DB39" s="243"/>
      <c r="DC39" s="243"/>
      <c r="DD39" s="116"/>
      <c r="DE39" s="116"/>
      <c r="DF39" s="116"/>
      <c r="DG39" s="116"/>
      <c r="DH39" s="243"/>
      <c r="DI39" s="243"/>
      <c r="DJ39" s="64"/>
      <c r="DK39" s="64"/>
      <c r="DL39" s="74"/>
      <c r="DM39" s="64"/>
      <c r="DN39" s="74"/>
      <c r="DO39" s="261"/>
      <c r="DP39" s="262"/>
      <c r="DQ39" s="263"/>
      <c r="DR39" s="244"/>
      <c r="DS39" s="64"/>
      <c r="DT39" s="64"/>
      <c r="DU39" s="246"/>
      <c r="DV39" s="246"/>
      <c r="DW39" s="246"/>
      <c r="DX39" s="219"/>
      <c r="DY39" s="219"/>
      <c r="DZ39" s="219"/>
      <c r="EA39" s="246"/>
      <c r="EB39" s="246"/>
      <c r="EC39" s="9"/>
      <c r="ED39" s="9"/>
      <c r="EE39" s="246"/>
      <c r="EF39" s="246"/>
      <c r="EG39" s="9"/>
      <c r="EH39" s="9"/>
      <c r="EI39" s="9"/>
      <c r="EJ39" s="64"/>
      <c r="EK39" s="64"/>
      <c r="EL39" s="9"/>
      <c r="EM39" s="9"/>
      <c r="EN39" s="64"/>
      <c r="EO39" s="9"/>
      <c r="EP39" s="220"/>
      <c r="EQ39" s="64"/>
      <c r="ER39" s="64"/>
      <c r="ES39" s="257"/>
      <c r="ET39" s="366"/>
      <c r="EU39" s="64"/>
      <c r="EV39" s="64"/>
      <c r="EW39" s="246"/>
      <c r="EX39" s="64"/>
      <c r="EY39" s="64"/>
      <c r="EZ39" s="64"/>
      <c r="FA39" s="64"/>
      <c r="FB39" s="64"/>
      <c r="FC39" s="152"/>
      <c r="FD39" s="249">
        <v>1</v>
      </c>
      <c r="FE39" s="267">
        <v>0</v>
      </c>
      <c r="FF39" s="267">
        <f>FF38+1051</f>
        <v>478358</v>
      </c>
      <c r="FG39" s="267">
        <v>924014</v>
      </c>
      <c r="FH39" s="267">
        <f>FH38+1634</f>
        <v>1006348</v>
      </c>
      <c r="FI39" s="267">
        <f>FI38+577</f>
        <v>793376.7</v>
      </c>
      <c r="FJ39" s="267">
        <v>1268078</v>
      </c>
      <c r="FK39" s="267">
        <v>1072</v>
      </c>
      <c r="FL39" s="267">
        <f>FL38+884</f>
        <v>291269.89999999997</v>
      </c>
      <c r="FM39" s="250">
        <v>226</v>
      </c>
      <c r="FN39" s="334"/>
      <c r="FO39" s="152"/>
      <c r="FP39" s="465"/>
      <c r="FQ39" s="9"/>
      <c r="FR39" s="9"/>
      <c r="FS39" s="9"/>
      <c r="FT39" s="9"/>
      <c r="FU39" s="9"/>
      <c r="FV39" s="9"/>
      <c r="FW39" s="9"/>
      <c r="FX39" s="9"/>
      <c r="FY39" s="9"/>
      <c r="FZ39" s="246"/>
      <c r="GA39" s="64"/>
      <c r="GB39" s="64"/>
      <c r="GC39" s="64"/>
      <c r="GD39" s="64"/>
      <c r="GE39" s="64"/>
      <c r="GF39" s="64"/>
      <c r="GG39" s="64"/>
      <c r="GH39" s="64"/>
      <c r="GI39" s="64"/>
      <c r="GJ39" s="64"/>
    </row>
    <row r="40" spans="1:193">
      <c r="D40" s="454"/>
      <c r="E40" s="454"/>
      <c r="F40" s="152"/>
      <c r="G40" s="454"/>
      <c r="H40" s="152"/>
      <c r="I40" s="152"/>
      <c r="J40" s="152"/>
      <c r="K40" s="152"/>
      <c r="L40" s="454"/>
      <c r="M40" s="454"/>
      <c r="AB40" s="152"/>
      <c r="BA40" s="141"/>
      <c r="FC40" s="220"/>
      <c r="FD40" s="249">
        <v>2</v>
      </c>
      <c r="FE40" s="367">
        <v>0</v>
      </c>
      <c r="FF40" s="287">
        <f>FF39+276</f>
        <v>478634</v>
      </c>
      <c r="FG40" s="303">
        <v>924020</v>
      </c>
      <c r="FH40" s="303">
        <f>FH39+682</f>
        <v>1007030</v>
      </c>
      <c r="FI40" s="267">
        <f>FI39+577</f>
        <v>793953.7</v>
      </c>
      <c r="FJ40" s="267">
        <v>1268078</v>
      </c>
      <c r="FK40" s="303">
        <v>0</v>
      </c>
      <c r="FL40" s="303">
        <f>FL39+471.5</f>
        <v>291741.39999999997</v>
      </c>
      <c r="FM40" s="303">
        <v>1</v>
      </c>
      <c r="FN40" s="334"/>
      <c r="FO40" s="152"/>
      <c r="FP40" s="454"/>
    </row>
    <row r="41" spans="1:193">
      <c r="B41" s="220"/>
      <c r="D41" s="396"/>
      <c r="E41" s="396"/>
      <c r="F41" s="454"/>
      <c r="G41" s="454"/>
      <c r="H41" s="454"/>
      <c r="I41" s="454"/>
      <c r="J41" s="454"/>
      <c r="K41" s="454"/>
      <c r="L41" s="454"/>
      <c r="M41" s="454"/>
      <c r="BA41" s="141"/>
      <c r="CH41" s="178"/>
      <c r="CP41" s="178"/>
      <c r="FC41" s="220"/>
      <c r="FD41" s="249">
        <v>3</v>
      </c>
      <c r="FE41" s="267">
        <v>0</v>
      </c>
      <c r="FF41" s="267">
        <f>FF40+750</f>
        <v>479384</v>
      </c>
      <c r="FG41" s="267">
        <v>924858</v>
      </c>
      <c r="FH41" s="267">
        <f>FH40+552</f>
        <v>1007582</v>
      </c>
      <c r="FI41" s="267">
        <f>FI40+228</f>
        <v>794181.7</v>
      </c>
      <c r="FJ41" s="267">
        <v>1268078</v>
      </c>
      <c r="FK41" s="267">
        <v>402</v>
      </c>
      <c r="FL41" s="267">
        <f>FL40+864.3</f>
        <v>292605.69999999995</v>
      </c>
      <c r="FM41" s="250">
        <v>276</v>
      </c>
      <c r="FN41" s="334"/>
      <c r="FO41" s="152"/>
    </row>
    <row r="42" spans="1:193">
      <c r="D42" s="396"/>
      <c r="E42" s="396"/>
      <c r="F42" s="454"/>
      <c r="G42" s="454"/>
      <c r="H42" s="454"/>
      <c r="I42" s="454"/>
      <c r="J42" s="454"/>
      <c r="K42" s="454"/>
      <c r="L42" s="454"/>
      <c r="M42" s="454"/>
      <c r="BV42" s="141"/>
      <c r="FC42" s="220"/>
      <c r="FD42" s="249">
        <v>4</v>
      </c>
      <c r="FE42" s="287">
        <v>0</v>
      </c>
      <c r="FF42" s="267">
        <v>479384</v>
      </c>
      <c r="FG42" s="136">
        <v>925583</v>
      </c>
      <c r="FH42" s="303">
        <f>FH41+1670</f>
        <v>1009252</v>
      </c>
      <c r="FI42" s="136">
        <f>FI41+494</f>
        <v>794675.7</v>
      </c>
      <c r="FJ42" s="267">
        <v>1268078</v>
      </c>
      <c r="FK42" s="136">
        <v>0</v>
      </c>
      <c r="FL42" s="136">
        <f>FL41+953.7</f>
        <v>293559.39999999997</v>
      </c>
      <c r="FM42" s="136">
        <v>275</v>
      </c>
      <c r="FN42" s="264"/>
      <c r="FO42" s="152"/>
    </row>
    <row r="43" spans="1:193">
      <c r="D43" s="396"/>
      <c r="E43" s="396"/>
      <c r="F43" s="454"/>
      <c r="G43" s="454"/>
      <c r="H43" s="454"/>
      <c r="I43" s="454"/>
      <c r="J43" s="454"/>
      <c r="K43" s="454"/>
      <c r="L43" s="454"/>
      <c r="M43" s="454"/>
      <c r="FC43" s="220"/>
      <c r="FD43" s="249">
        <v>5</v>
      </c>
      <c r="FE43" s="267">
        <v>0</v>
      </c>
      <c r="FF43" s="267">
        <f>FF42+252</f>
        <v>479636</v>
      </c>
      <c r="FG43" s="267">
        <v>926826</v>
      </c>
      <c r="FH43" s="267">
        <f>FH42+1675</f>
        <v>1010927</v>
      </c>
      <c r="FI43" s="267">
        <f>FI42+684</f>
        <v>795359.7</v>
      </c>
      <c r="FJ43" s="267">
        <v>1268078</v>
      </c>
      <c r="FK43" s="267">
        <v>0</v>
      </c>
      <c r="FL43" s="267">
        <f>FL42+850.7</f>
        <v>294410.09999999998</v>
      </c>
      <c r="FM43" s="250">
        <v>383</v>
      </c>
      <c r="FN43" s="397"/>
    </row>
    <row r="44" spans="1:193">
      <c r="B44" s="220"/>
      <c r="D44" s="396"/>
      <c r="E44" s="398"/>
      <c r="F44" s="454"/>
      <c r="G44" s="454"/>
      <c r="H44" s="454"/>
      <c r="I44" s="454"/>
      <c r="J44" s="454"/>
      <c r="K44" s="454"/>
      <c r="L44" s="454"/>
      <c r="M44" s="454"/>
      <c r="FC44" s="220"/>
      <c r="FD44" s="249">
        <v>6</v>
      </c>
      <c r="FE44" s="287">
        <v>0</v>
      </c>
      <c r="FF44" s="267">
        <f>FF43+801</f>
        <v>480437</v>
      </c>
      <c r="FG44" s="303">
        <v>927439</v>
      </c>
      <c r="FH44" s="303">
        <f>FH43+1683</f>
        <v>1012610</v>
      </c>
      <c r="FI44" s="303">
        <f>FI43+400</f>
        <v>795759.7</v>
      </c>
      <c r="FJ44" s="267">
        <v>1268078</v>
      </c>
      <c r="FK44" s="303">
        <f>871-168</f>
        <v>703</v>
      </c>
      <c r="FL44" s="303">
        <f>FL43+865</f>
        <v>295275.09999999998</v>
      </c>
      <c r="FM44" s="136">
        <v>271</v>
      </c>
      <c r="FN44" s="152"/>
      <c r="FO44" s="152"/>
    </row>
    <row r="45" spans="1:193">
      <c r="B45" s="220"/>
      <c r="D45" s="396"/>
      <c r="E45" s="398"/>
      <c r="F45" s="454"/>
      <c r="G45" s="454"/>
      <c r="H45" s="454"/>
      <c r="I45" s="454"/>
      <c r="J45" s="454"/>
      <c r="K45" s="454"/>
      <c r="L45" s="454"/>
      <c r="M45" s="454"/>
      <c r="FC45" s="220"/>
      <c r="FD45" s="249">
        <v>7</v>
      </c>
      <c r="FE45" s="267">
        <v>0</v>
      </c>
      <c r="FF45" s="267">
        <f>FF44+94</f>
        <v>480531</v>
      </c>
      <c r="FG45" s="267">
        <v>928055</v>
      </c>
      <c r="FH45" s="267">
        <f>FH44+1649</f>
        <v>1014259</v>
      </c>
      <c r="FI45" s="152">
        <f>FI44+400</f>
        <v>796159.7</v>
      </c>
      <c r="FJ45" s="267">
        <v>1268078</v>
      </c>
      <c r="FK45" s="267">
        <v>1020</v>
      </c>
      <c r="FL45" s="267">
        <f>FL44+869</f>
        <v>296144.09999999998</v>
      </c>
      <c r="FM45" s="250">
        <v>123</v>
      </c>
      <c r="FN45" s="231"/>
    </row>
    <row r="46" spans="1:193">
      <c r="B46" s="220"/>
      <c r="D46" s="396"/>
      <c r="E46" s="398"/>
      <c r="F46" s="454"/>
      <c r="G46" s="454"/>
      <c r="H46" s="454"/>
      <c r="I46" s="454"/>
      <c r="J46" s="454"/>
      <c r="K46" s="454"/>
      <c r="L46" s="454"/>
      <c r="M46" s="454"/>
      <c r="FC46" s="220"/>
      <c r="FD46" s="249">
        <v>8</v>
      </c>
      <c r="FE46" s="267">
        <v>0</v>
      </c>
      <c r="FF46" s="267">
        <f>FF45+350</f>
        <v>480881</v>
      </c>
      <c r="FG46" s="267">
        <v>928814</v>
      </c>
      <c r="FH46" s="267">
        <f>FH45+1656</f>
        <v>1015915</v>
      </c>
      <c r="FI46" s="267">
        <f>FI45+0</f>
        <v>796159.7</v>
      </c>
      <c r="FJ46" s="267">
        <f t="shared" ref="FJ46:FJ69" si="87">FJ45</f>
        <v>1268078</v>
      </c>
      <c r="FK46" s="267">
        <v>804</v>
      </c>
      <c r="FL46" s="267">
        <f>FL45+874</f>
        <v>297018.09999999998</v>
      </c>
      <c r="FM46" s="250">
        <v>232</v>
      </c>
    </row>
    <row r="47" spans="1:193">
      <c r="B47" s="220"/>
      <c r="C47" s="220"/>
      <c r="D47" s="396"/>
      <c r="E47" s="398"/>
      <c r="F47" s="454"/>
      <c r="G47" s="454"/>
      <c r="H47" s="454"/>
      <c r="I47" s="454"/>
      <c r="J47" s="454"/>
      <c r="K47" s="454"/>
      <c r="L47" s="454"/>
      <c r="M47" s="454"/>
      <c r="FC47" s="220"/>
      <c r="FD47" s="249">
        <v>9</v>
      </c>
      <c r="FE47" s="267">
        <v>0</v>
      </c>
      <c r="FF47" s="267">
        <f>FF46+136</f>
        <v>481017</v>
      </c>
      <c r="FG47" s="267">
        <v>929555</v>
      </c>
      <c r="FH47" s="267">
        <f>FH46+867</f>
        <v>1016782</v>
      </c>
      <c r="FI47" s="267">
        <f>FI46</f>
        <v>796159.7</v>
      </c>
      <c r="FJ47" s="267">
        <f t="shared" si="87"/>
        <v>1268078</v>
      </c>
      <c r="FK47" s="267">
        <v>1072</v>
      </c>
      <c r="FL47" s="267">
        <f>FL46+879</f>
        <v>297897.09999999998</v>
      </c>
      <c r="FM47" s="250">
        <v>163</v>
      </c>
    </row>
    <row r="48" spans="1:193">
      <c r="B48" s="220"/>
      <c r="D48" s="399"/>
      <c r="E48" s="398"/>
      <c r="F48" s="454"/>
      <c r="G48" s="454"/>
      <c r="H48" s="454"/>
      <c r="I48" s="454"/>
      <c r="J48" s="454"/>
      <c r="K48" s="454"/>
      <c r="L48" s="454"/>
      <c r="M48" s="454"/>
      <c r="FC48" s="220"/>
      <c r="FD48" s="249">
        <v>10</v>
      </c>
      <c r="FE48" s="267">
        <v>0</v>
      </c>
      <c r="FF48" s="267">
        <v>481017</v>
      </c>
      <c r="FG48" s="105">
        <v>930145</v>
      </c>
      <c r="FH48" s="267">
        <f>FH47+697</f>
        <v>1017479</v>
      </c>
      <c r="FI48" s="267">
        <f>FI47</f>
        <v>796159.7</v>
      </c>
      <c r="FJ48" s="267">
        <f t="shared" si="87"/>
        <v>1268078</v>
      </c>
      <c r="FK48" s="267">
        <v>0</v>
      </c>
      <c r="FL48" s="267">
        <f>FL47+893</f>
        <v>298790.09999999998</v>
      </c>
      <c r="FM48" s="250">
        <v>166</v>
      </c>
    </row>
    <row r="49" spans="2:169">
      <c r="B49" s="220"/>
      <c r="C49" s="220"/>
      <c r="D49" s="399"/>
      <c r="E49" s="398"/>
      <c r="F49" s="454"/>
      <c r="G49" s="454"/>
      <c r="H49" s="454"/>
      <c r="I49" s="454"/>
      <c r="J49" s="454"/>
      <c r="K49" s="454"/>
      <c r="L49" s="454"/>
      <c r="M49" s="454"/>
      <c r="FC49" s="220"/>
      <c r="FD49" s="249">
        <v>11</v>
      </c>
      <c r="FE49" s="267">
        <v>0</v>
      </c>
      <c r="FF49" s="267">
        <v>481017</v>
      </c>
      <c r="FG49" s="267">
        <v>931114</v>
      </c>
      <c r="FH49" s="267">
        <f>FH48+969</f>
        <v>1018448</v>
      </c>
      <c r="FI49" s="267">
        <f>FI48+1030</f>
        <v>797189.7</v>
      </c>
      <c r="FJ49" s="267">
        <f t="shared" si="87"/>
        <v>1268078</v>
      </c>
      <c r="FK49" s="267">
        <v>268</v>
      </c>
      <c r="FL49" s="267">
        <f>FL48+833</f>
        <v>299623.09999999998</v>
      </c>
      <c r="FM49" s="250">
        <v>269</v>
      </c>
    </row>
    <row r="50" spans="2:169">
      <c r="B50" s="220"/>
      <c r="C50" s="220"/>
      <c r="D50" s="396"/>
      <c r="E50" s="398"/>
      <c r="F50" s="454"/>
      <c r="G50" s="454"/>
      <c r="H50" s="454"/>
      <c r="I50" s="454"/>
      <c r="J50" s="454"/>
      <c r="K50" s="454"/>
      <c r="L50" s="454"/>
      <c r="M50" s="454"/>
      <c r="FC50" s="220"/>
      <c r="FD50" s="249">
        <v>12</v>
      </c>
      <c r="FE50" s="267">
        <v>0</v>
      </c>
      <c r="FF50" s="267">
        <f>FF49+310</f>
        <v>481327</v>
      </c>
      <c r="FG50" s="267">
        <v>932261</v>
      </c>
      <c r="FH50" s="267">
        <f>FH49+1648</f>
        <v>1020096</v>
      </c>
      <c r="FI50" s="267">
        <f>FI49+608</f>
        <v>797797.7</v>
      </c>
      <c r="FJ50" s="267">
        <f t="shared" si="87"/>
        <v>1268078</v>
      </c>
      <c r="FK50" s="267">
        <v>469</v>
      </c>
      <c r="FL50" s="267">
        <v>0</v>
      </c>
      <c r="FM50" s="267">
        <v>290</v>
      </c>
    </row>
    <row r="51" spans="2:169">
      <c r="B51" s="220"/>
      <c r="C51" s="220"/>
      <c r="D51" s="396"/>
      <c r="E51" s="398"/>
      <c r="F51" s="454"/>
      <c r="G51" s="454"/>
      <c r="H51" s="454"/>
      <c r="I51" s="454"/>
      <c r="J51" s="454"/>
      <c r="K51" s="454"/>
      <c r="L51" s="454"/>
      <c r="M51" s="454"/>
      <c r="FC51" s="220"/>
      <c r="FD51" s="249">
        <v>13</v>
      </c>
      <c r="FE51" s="267">
        <v>0</v>
      </c>
      <c r="FF51" s="267">
        <f>FF50+934</f>
        <v>482261</v>
      </c>
      <c r="FG51" s="267">
        <v>933097</v>
      </c>
      <c r="FH51" s="267">
        <f>FH50+1180</f>
        <v>1021276</v>
      </c>
      <c r="FI51" s="267">
        <f>FI50+426</f>
        <v>798223.7</v>
      </c>
      <c r="FJ51" s="267">
        <f t="shared" si="87"/>
        <v>1268078</v>
      </c>
      <c r="FK51" s="267">
        <v>0</v>
      </c>
      <c r="FL51" s="267">
        <v>0</v>
      </c>
      <c r="FM51" s="250">
        <v>106</v>
      </c>
    </row>
    <row r="52" spans="2:169">
      <c r="B52" s="220"/>
      <c r="C52" s="220"/>
      <c r="D52" s="454"/>
      <c r="E52" s="454"/>
      <c r="F52" s="454"/>
      <c r="G52" s="454"/>
      <c r="H52" s="454"/>
      <c r="I52" s="454"/>
      <c r="J52" s="454"/>
      <c r="K52" s="454"/>
      <c r="L52" s="454"/>
      <c r="M52" s="454"/>
      <c r="FC52" s="220"/>
      <c r="FD52" s="249">
        <v>14</v>
      </c>
      <c r="FE52" s="267">
        <v>0</v>
      </c>
      <c r="FF52" s="267">
        <f>FF51+587</f>
        <v>482848</v>
      </c>
      <c r="FG52" s="267">
        <v>933630</v>
      </c>
      <c r="FH52" s="267">
        <f>FH51+1151</f>
        <v>1022427</v>
      </c>
      <c r="FI52" s="267">
        <f>FI51+456</f>
        <v>798679.7</v>
      </c>
      <c r="FJ52" s="267">
        <f t="shared" si="87"/>
        <v>1268078</v>
      </c>
      <c r="FK52" s="267">
        <v>0</v>
      </c>
      <c r="FL52" s="267">
        <v>1330</v>
      </c>
      <c r="FM52" s="250">
        <v>148</v>
      </c>
    </row>
    <row r="53" spans="2:169">
      <c r="C53" s="220"/>
      <c r="D53" s="454"/>
      <c r="E53" s="454"/>
      <c r="F53" s="454"/>
      <c r="G53" s="454"/>
      <c r="H53" s="454"/>
      <c r="I53" s="454"/>
      <c r="J53" s="454"/>
      <c r="K53" s="454"/>
      <c r="L53" s="454"/>
      <c r="M53" s="454"/>
      <c r="FC53" s="220"/>
      <c r="FD53" s="249">
        <v>15</v>
      </c>
      <c r="FE53" s="267">
        <v>0</v>
      </c>
      <c r="FF53" s="267">
        <f>FF52+960</f>
        <v>483808</v>
      </c>
      <c r="FG53" s="267">
        <v>934803</v>
      </c>
      <c r="FH53" s="267">
        <f>FH52+1657</f>
        <v>1024084</v>
      </c>
      <c r="FI53" s="267">
        <f>FI52+480</f>
        <v>799159.7</v>
      </c>
      <c r="FJ53" s="267">
        <f t="shared" si="87"/>
        <v>1268078</v>
      </c>
      <c r="FK53" s="267">
        <v>402</v>
      </c>
      <c r="FL53" s="267">
        <v>1330</v>
      </c>
      <c r="FM53" s="250">
        <v>296</v>
      </c>
    </row>
    <row r="54" spans="2:169">
      <c r="B54" s="220"/>
      <c r="C54" s="220"/>
      <c r="D54" s="454"/>
      <c r="E54" s="454"/>
      <c r="F54" s="454"/>
      <c r="G54" s="454"/>
      <c r="H54" s="454"/>
      <c r="I54" s="454"/>
      <c r="J54" s="454"/>
      <c r="K54" s="454"/>
      <c r="L54" s="454"/>
      <c r="M54" s="454"/>
      <c r="FC54" s="220"/>
      <c r="FD54" s="249">
        <v>16</v>
      </c>
      <c r="FE54" s="267">
        <v>0</v>
      </c>
      <c r="FF54" s="267">
        <f>FF53+684</f>
        <v>484492</v>
      </c>
      <c r="FG54" s="303">
        <v>935255</v>
      </c>
      <c r="FH54" s="303">
        <f>FH53+1660</f>
        <v>1025744</v>
      </c>
      <c r="FI54" s="303">
        <f>FI53</f>
        <v>799159.7</v>
      </c>
      <c r="FJ54" s="390">
        <f t="shared" si="87"/>
        <v>1268078</v>
      </c>
      <c r="FK54" s="390">
        <v>1095</v>
      </c>
      <c r="FL54" s="303">
        <v>1190</v>
      </c>
      <c r="FM54" s="161">
        <v>301</v>
      </c>
    </row>
    <row r="55" spans="2:169">
      <c r="B55" s="220"/>
      <c r="C55" s="220"/>
      <c r="D55" s="454"/>
      <c r="E55" s="454"/>
      <c r="F55" s="454"/>
      <c r="G55" s="454"/>
      <c r="H55" s="454"/>
      <c r="I55" s="454"/>
      <c r="J55" s="454"/>
      <c r="K55" s="454"/>
      <c r="L55" s="454"/>
      <c r="M55" s="454"/>
      <c r="FC55" s="220"/>
      <c r="FD55" s="249">
        <v>17</v>
      </c>
      <c r="FE55" s="267">
        <v>0</v>
      </c>
      <c r="FF55" s="267">
        <f>FF54+945</f>
        <v>485437</v>
      </c>
      <c r="FG55" s="267">
        <v>936234</v>
      </c>
      <c r="FH55" s="267">
        <f>FH54+870</f>
        <v>1026614</v>
      </c>
      <c r="FI55" s="267">
        <f>FI54+440</f>
        <v>799599.7</v>
      </c>
      <c r="FJ55" s="267">
        <f t="shared" si="87"/>
        <v>1268078</v>
      </c>
      <c r="FK55" s="267">
        <v>737</v>
      </c>
      <c r="FL55" s="267">
        <v>718</v>
      </c>
      <c r="FM55" s="250">
        <v>329</v>
      </c>
    </row>
    <row r="56" spans="2:169">
      <c r="B56" s="220"/>
      <c r="C56" s="220"/>
      <c r="D56" s="454"/>
      <c r="E56" s="454"/>
      <c r="F56" s="454"/>
      <c r="G56" s="454"/>
      <c r="H56" s="454"/>
      <c r="I56" s="454"/>
      <c r="J56" s="454"/>
      <c r="K56" s="454"/>
      <c r="L56" s="454"/>
      <c r="M56" s="454"/>
      <c r="FC56" s="220"/>
      <c r="FD56" s="249">
        <v>18</v>
      </c>
      <c r="FE56" s="267">
        <v>0</v>
      </c>
      <c r="FF56" s="267">
        <f>FF55+948</f>
        <v>486385</v>
      </c>
      <c r="FG56" s="267">
        <v>936783</v>
      </c>
      <c r="FH56" s="267">
        <f>FH55+1659</f>
        <v>1028273</v>
      </c>
      <c r="FI56" s="267">
        <f>FI55</f>
        <v>799599.7</v>
      </c>
      <c r="FJ56" s="267">
        <f t="shared" si="87"/>
        <v>1268078</v>
      </c>
      <c r="FK56" s="267">
        <v>0</v>
      </c>
      <c r="FL56" s="267">
        <v>1066.5</v>
      </c>
      <c r="FM56" s="250">
        <v>81</v>
      </c>
    </row>
    <row r="57" spans="2:169">
      <c r="B57" s="220"/>
      <c r="C57" s="220"/>
      <c r="D57" s="454"/>
      <c r="E57" s="454"/>
      <c r="F57" s="454"/>
      <c r="G57" s="454"/>
      <c r="H57" s="454"/>
      <c r="I57" s="454"/>
      <c r="J57" s="454"/>
      <c r="K57" s="454"/>
      <c r="L57" s="454"/>
      <c r="M57" s="454"/>
      <c r="FC57" s="220"/>
      <c r="FD57" s="249">
        <v>19</v>
      </c>
      <c r="FE57" s="267">
        <v>0</v>
      </c>
      <c r="FF57" s="267">
        <f>FF56+765</f>
        <v>487150</v>
      </c>
      <c r="FG57" s="267">
        <v>937806</v>
      </c>
      <c r="FH57" s="267">
        <f>FH56+802</f>
        <v>1029075</v>
      </c>
      <c r="FI57" s="267">
        <f>FI56+360</f>
        <v>799959.7</v>
      </c>
      <c r="FJ57" s="267">
        <f t="shared" si="87"/>
        <v>1268078</v>
      </c>
      <c r="FK57" s="267">
        <v>871</v>
      </c>
      <c r="FL57" s="267">
        <v>1070</v>
      </c>
      <c r="FM57" s="250">
        <v>1</v>
      </c>
    </row>
    <row r="58" spans="2:169">
      <c r="C58" s="220"/>
      <c r="D58" s="454"/>
      <c r="E58" s="454"/>
      <c r="F58" s="454"/>
      <c r="G58" s="454"/>
      <c r="H58" s="454"/>
      <c r="I58" s="454"/>
      <c r="J58" s="454"/>
      <c r="K58" s="454"/>
      <c r="L58" s="454"/>
      <c r="M58" s="454"/>
      <c r="FC58" s="220"/>
      <c r="FD58" s="249">
        <v>20</v>
      </c>
      <c r="FE58" s="400">
        <v>0</v>
      </c>
      <c r="FF58" s="267">
        <f>FF57+932</f>
        <v>488082</v>
      </c>
      <c r="FG58" s="303">
        <v>938766</v>
      </c>
      <c r="FH58" s="303">
        <f>FH57+1644</f>
        <v>1030719</v>
      </c>
      <c r="FI58" s="303">
        <f>FI57+496</f>
        <v>800455.7</v>
      </c>
      <c r="FJ58" s="303">
        <f t="shared" si="87"/>
        <v>1268078</v>
      </c>
      <c r="FK58" s="303">
        <v>1005</v>
      </c>
      <c r="FL58" s="303">
        <v>1067.5</v>
      </c>
      <c r="FM58" s="136">
        <v>1</v>
      </c>
    </row>
    <row r="59" spans="2:169">
      <c r="D59" s="454"/>
      <c r="E59" s="454"/>
      <c r="F59" s="454"/>
      <c r="G59" s="454"/>
      <c r="H59" s="454"/>
      <c r="I59" s="454"/>
      <c r="J59" s="454"/>
      <c r="K59" s="454"/>
      <c r="L59" s="454"/>
      <c r="M59" s="454"/>
      <c r="FC59" s="220"/>
      <c r="FD59" s="249">
        <v>21</v>
      </c>
      <c r="FE59" s="267">
        <v>0</v>
      </c>
      <c r="FF59" s="267">
        <f>FF58+340</f>
        <v>488422</v>
      </c>
      <c r="FG59" s="267">
        <v>939187</v>
      </c>
      <c r="FH59" s="267">
        <f>FH58+1644</f>
        <v>1032363</v>
      </c>
      <c r="FI59" s="267">
        <f>FI58</f>
        <v>800455.7</v>
      </c>
      <c r="FJ59" s="267">
        <f t="shared" si="87"/>
        <v>1268078</v>
      </c>
      <c r="FK59" s="267">
        <v>754</v>
      </c>
      <c r="FL59" s="267">
        <v>914</v>
      </c>
      <c r="FM59" s="250">
        <v>1</v>
      </c>
    </row>
    <row r="60" spans="2:169">
      <c r="D60" s="454"/>
      <c r="E60" s="454"/>
      <c r="F60" s="454"/>
      <c r="G60" s="454"/>
      <c r="H60" s="454"/>
      <c r="I60" s="454"/>
      <c r="J60" s="454"/>
      <c r="K60" s="454"/>
      <c r="L60" s="454"/>
      <c r="M60" s="454"/>
      <c r="FC60" s="220"/>
      <c r="FD60" s="249">
        <v>22</v>
      </c>
      <c r="FE60" s="267">
        <v>0</v>
      </c>
      <c r="FF60" s="267">
        <f>FF59</f>
        <v>488422</v>
      </c>
      <c r="FG60" s="267">
        <v>940032</v>
      </c>
      <c r="FH60" s="267">
        <f>FH59+1358</f>
        <v>1033721</v>
      </c>
      <c r="FI60" s="267">
        <f>FI59+456</f>
        <v>800911.7</v>
      </c>
      <c r="FJ60" s="267">
        <f t="shared" si="87"/>
        <v>1268078</v>
      </c>
      <c r="FK60" s="267">
        <v>800</v>
      </c>
      <c r="FL60" s="267">
        <v>1065</v>
      </c>
      <c r="FM60" s="250">
        <v>400</v>
      </c>
    </row>
    <row r="61" spans="2:169">
      <c r="D61" s="454"/>
      <c r="E61" s="454"/>
      <c r="F61" s="454"/>
      <c r="G61" s="454"/>
      <c r="H61" s="454"/>
      <c r="I61" s="454"/>
      <c r="J61" s="454"/>
      <c r="K61" s="454"/>
      <c r="L61" s="454"/>
      <c r="M61" s="454"/>
      <c r="FC61" s="220"/>
      <c r="FD61" s="249">
        <v>23</v>
      </c>
      <c r="FE61" s="267">
        <v>0</v>
      </c>
      <c r="FF61" s="267">
        <f>FF60</f>
        <v>488422</v>
      </c>
      <c r="FG61" s="267">
        <v>940594</v>
      </c>
      <c r="FH61" s="267">
        <f>FH60+1521</f>
        <v>1035242</v>
      </c>
      <c r="FI61" s="267">
        <f>FI60</f>
        <v>800911.7</v>
      </c>
      <c r="FJ61" s="267">
        <f t="shared" si="87"/>
        <v>1268078</v>
      </c>
      <c r="FK61" s="267">
        <v>0</v>
      </c>
      <c r="FL61" s="267">
        <v>1066</v>
      </c>
      <c r="FM61" s="250">
        <v>0</v>
      </c>
    </row>
    <row r="62" spans="2:169">
      <c r="D62" s="454"/>
      <c r="E62" s="454"/>
      <c r="F62" s="454"/>
      <c r="G62" s="454"/>
      <c r="H62" s="454"/>
      <c r="I62" s="454"/>
      <c r="J62" s="454"/>
      <c r="K62" s="454"/>
      <c r="L62" s="454"/>
      <c r="M62" s="454"/>
      <c r="FD62" s="249">
        <v>24</v>
      </c>
      <c r="FE62" s="267">
        <v>0</v>
      </c>
      <c r="FF62" s="267">
        <f>FF61+339</f>
        <v>488761</v>
      </c>
      <c r="FG62" s="267">
        <v>941233</v>
      </c>
      <c r="FH62" s="267">
        <f>FH61+1252</f>
        <v>1036494</v>
      </c>
      <c r="FI62" s="267">
        <f>FI61+720</f>
        <v>801631.7</v>
      </c>
      <c r="FJ62" s="267">
        <f t="shared" si="87"/>
        <v>1268078</v>
      </c>
      <c r="FK62" s="267">
        <v>768</v>
      </c>
      <c r="FL62" s="267">
        <v>1065</v>
      </c>
      <c r="FM62" s="250">
        <v>1</v>
      </c>
    </row>
    <row r="63" spans="2:169">
      <c r="D63" s="454"/>
      <c r="E63" s="454"/>
      <c r="F63" s="454"/>
      <c r="G63" s="454"/>
      <c r="H63" s="454"/>
      <c r="I63" s="454"/>
      <c r="J63" s="454"/>
      <c r="K63" s="454"/>
      <c r="L63" s="454"/>
      <c r="M63" s="454"/>
      <c r="FD63" s="249">
        <v>25</v>
      </c>
      <c r="FE63" s="267">
        <v>0</v>
      </c>
      <c r="FF63" s="267">
        <f>FF62+373</f>
        <v>489134</v>
      </c>
      <c r="FG63" s="267">
        <v>941884</v>
      </c>
      <c r="FH63" s="267">
        <f>FH62+1500</f>
        <v>1037994</v>
      </c>
      <c r="FI63" s="267">
        <f>FI62+426</f>
        <v>802057.7</v>
      </c>
      <c r="FJ63" s="267">
        <f t="shared" si="87"/>
        <v>1268078</v>
      </c>
      <c r="FK63" s="267">
        <v>991</v>
      </c>
      <c r="FL63" s="267">
        <v>1063</v>
      </c>
      <c r="FM63" s="267">
        <v>292</v>
      </c>
    </row>
    <row r="64" spans="2:169">
      <c r="D64" s="454"/>
      <c r="E64" s="454"/>
      <c r="F64" s="454"/>
      <c r="G64" s="454"/>
      <c r="H64" s="454"/>
      <c r="I64" s="454"/>
      <c r="J64" s="454"/>
      <c r="K64" s="454"/>
      <c r="L64" s="454"/>
      <c r="M64" s="454"/>
      <c r="FD64" s="249">
        <v>26</v>
      </c>
      <c r="FE64" s="267">
        <v>0</v>
      </c>
      <c r="FF64" s="267">
        <f>FF63+486</f>
        <v>489620</v>
      </c>
      <c r="FG64" s="267">
        <v>942595</v>
      </c>
      <c r="FH64" s="267">
        <f>FH63</f>
        <v>1037994</v>
      </c>
      <c r="FI64" s="267">
        <f>FI63+610</f>
        <v>802667.7</v>
      </c>
      <c r="FJ64" s="267">
        <f t="shared" si="87"/>
        <v>1268078</v>
      </c>
      <c r="FK64" s="267">
        <v>1039</v>
      </c>
      <c r="FL64" s="267">
        <v>1057.2</v>
      </c>
      <c r="FM64" s="250">
        <v>290</v>
      </c>
    </row>
    <row r="65" spans="4:170">
      <c r="D65" s="454"/>
      <c r="E65" s="454"/>
      <c r="F65" s="454"/>
      <c r="G65" s="454"/>
      <c r="H65" s="454"/>
      <c r="I65" s="454"/>
      <c r="J65" s="454"/>
      <c r="K65" s="454"/>
      <c r="L65" s="454"/>
      <c r="M65" s="454"/>
      <c r="FD65" s="249">
        <v>27</v>
      </c>
      <c r="FE65" s="267">
        <v>0</v>
      </c>
      <c r="FF65" s="267">
        <f>FF64+573</f>
        <v>490193</v>
      </c>
      <c r="FG65" s="267">
        <v>943070</v>
      </c>
      <c r="FH65" s="267">
        <f>FH64+1800</f>
        <v>1039794</v>
      </c>
      <c r="FI65" s="267">
        <f>FI64+720</f>
        <v>803387.7</v>
      </c>
      <c r="FJ65" s="267">
        <f t="shared" si="87"/>
        <v>1268078</v>
      </c>
      <c r="FK65" s="267">
        <v>1206</v>
      </c>
      <c r="FL65" s="267">
        <v>1054</v>
      </c>
      <c r="FM65" s="250">
        <v>292</v>
      </c>
    </row>
    <row r="66" spans="4:170">
      <c r="D66" s="454"/>
      <c r="E66" s="454"/>
      <c r="F66" s="454"/>
      <c r="G66" s="454"/>
      <c r="H66" s="454"/>
      <c r="I66" s="454"/>
      <c r="J66" s="454"/>
      <c r="K66" s="454"/>
      <c r="L66" s="454"/>
      <c r="M66" s="454"/>
      <c r="FD66" s="249">
        <v>28</v>
      </c>
      <c r="FE66" s="267">
        <v>0</v>
      </c>
      <c r="FF66" s="267">
        <f>FF65+641</f>
        <v>490834</v>
      </c>
      <c r="FG66" s="105">
        <f>FG65</f>
        <v>943070</v>
      </c>
      <c r="FH66" s="267">
        <f>FH65+1617</f>
        <v>1041411</v>
      </c>
      <c r="FI66" s="267">
        <f>FI65+680</f>
        <v>804067.7</v>
      </c>
      <c r="FJ66" s="105">
        <f t="shared" si="87"/>
        <v>1268078</v>
      </c>
      <c r="FK66" s="267">
        <v>1139</v>
      </c>
      <c r="FL66" s="267">
        <v>1051</v>
      </c>
      <c r="FM66" s="250">
        <v>292</v>
      </c>
    </row>
    <row r="67" spans="4:170">
      <c r="D67" s="454"/>
      <c r="E67" s="454"/>
      <c r="F67" s="454"/>
      <c r="G67" s="454"/>
      <c r="H67" s="454"/>
      <c r="I67" s="454"/>
      <c r="J67" s="454"/>
      <c r="K67" s="454"/>
      <c r="L67" s="454"/>
      <c r="M67" s="454"/>
      <c r="FD67" s="249">
        <v>29</v>
      </c>
      <c r="FE67" s="303">
        <v>0</v>
      </c>
      <c r="FF67" s="401">
        <f>FF66+444</f>
        <v>491278</v>
      </c>
      <c r="FG67" s="401">
        <f>FG66</f>
        <v>943070</v>
      </c>
      <c r="FH67" s="303">
        <f>FH66+735</f>
        <v>1042146</v>
      </c>
      <c r="FI67" s="401">
        <f>FI66+640</f>
        <v>804707.7</v>
      </c>
      <c r="FJ67" s="303">
        <f t="shared" si="87"/>
        <v>1268078</v>
      </c>
      <c r="FK67" s="401">
        <v>1072</v>
      </c>
      <c r="FL67" s="401">
        <v>1051</v>
      </c>
      <c r="FM67" s="371">
        <v>282</v>
      </c>
    </row>
    <row r="68" spans="4:170">
      <c r="D68" s="454"/>
      <c r="E68" s="454"/>
      <c r="F68" s="454"/>
      <c r="G68" s="454"/>
      <c r="H68" s="454"/>
      <c r="I68" s="454"/>
      <c r="J68" s="454"/>
      <c r="K68" s="454"/>
      <c r="L68" s="454"/>
      <c r="M68" s="454"/>
      <c r="FD68" s="249">
        <v>30</v>
      </c>
      <c r="FE68" s="267">
        <v>0</v>
      </c>
      <c r="FF68" s="267">
        <f>FF67+282</f>
        <v>491560</v>
      </c>
      <c r="FG68" s="267">
        <f>FG67</f>
        <v>943070</v>
      </c>
      <c r="FH68" s="267">
        <f>FH67+1600</f>
        <v>1043746</v>
      </c>
      <c r="FI68" s="267">
        <f>FI67+560</f>
        <v>805267.7</v>
      </c>
      <c r="FJ68" s="267">
        <f t="shared" si="87"/>
        <v>1268078</v>
      </c>
      <c r="FK68" s="267">
        <v>1072</v>
      </c>
      <c r="FL68" s="267">
        <v>1045</v>
      </c>
      <c r="FM68" s="250">
        <v>281</v>
      </c>
    </row>
    <row r="69" spans="4:170">
      <c r="D69" s="454"/>
      <c r="E69" s="454"/>
      <c r="F69" s="454"/>
      <c r="G69" s="454"/>
      <c r="H69" s="454"/>
      <c r="I69" s="454"/>
      <c r="J69" s="454"/>
      <c r="K69" s="454"/>
      <c r="L69" s="454"/>
      <c r="M69" s="454"/>
      <c r="FD69" s="249">
        <v>31</v>
      </c>
      <c r="FE69" s="267">
        <v>0</v>
      </c>
      <c r="FF69" s="267">
        <f>FF68+207</f>
        <v>491767</v>
      </c>
      <c r="FG69" s="267">
        <f>FG68</f>
        <v>943070</v>
      </c>
      <c r="FH69" s="267">
        <f>FH68+1600</f>
        <v>1045346</v>
      </c>
      <c r="FI69" s="267">
        <f>FI68+640</f>
        <v>805907.7</v>
      </c>
      <c r="FJ69" s="267">
        <f t="shared" si="87"/>
        <v>1268078</v>
      </c>
      <c r="FK69" s="267">
        <v>1072</v>
      </c>
      <c r="FL69" s="267">
        <v>1044</v>
      </c>
      <c r="FM69" s="267">
        <v>297</v>
      </c>
    </row>
    <row r="70" spans="4:170">
      <c r="D70" s="454"/>
      <c r="E70" s="454"/>
      <c r="F70" s="454"/>
      <c r="G70" s="454"/>
      <c r="H70" s="454"/>
      <c r="I70" s="454"/>
      <c r="J70" s="454"/>
      <c r="K70" s="454"/>
      <c r="L70" s="454"/>
      <c r="M70" s="454"/>
      <c r="FE70" s="79"/>
      <c r="FF70" s="79"/>
      <c r="FG70" s="79"/>
      <c r="FH70" s="79"/>
      <c r="FI70" s="79"/>
      <c r="FJ70" s="79"/>
      <c r="FK70" s="79"/>
      <c r="FL70" s="79"/>
      <c r="FM70" s="79"/>
    </row>
    <row r="71" spans="4:170">
      <c r="D71" s="454"/>
      <c r="E71" s="454"/>
      <c r="F71" s="454"/>
      <c r="G71" s="454"/>
      <c r="H71" s="454"/>
      <c r="I71" s="454"/>
      <c r="J71" s="454"/>
      <c r="K71" s="454"/>
      <c r="L71" s="454"/>
      <c r="M71" s="454"/>
    </row>
    <row r="72" spans="4:170">
      <c r="D72" s="454"/>
      <c r="E72" s="454"/>
      <c r="F72" s="454"/>
      <c r="G72" s="454"/>
      <c r="H72" s="454"/>
      <c r="I72" s="454"/>
      <c r="J72" s="454"/>
      <c r="K72" s="454"/>
      <c r="L72" s="454"/>
      <c r="M72" s="454"/>
      <c r="FD72" s="152"/>
      <c r="FE72" s="152"/>
      <c r="FF72" s="152"/>
      <c r="FG72" s="152"/>
      <c r="FH72" s="152"/>
      <c r="FI72" s="152"/>
      <c r="FJ72" s="152"/>
      <c r="FK72" s="152"/>
      <c r="FL72" s="152"/>
      <c r="FM72" s="152"/>
      <c r="FN72" s="152"/>
    </row>
    <row r="73" spans="4:170">
      <c r="D73" s="454"/>
      <c r="E73" s="454"/>
      <c r="F73" s="454"/>
      <c r="G73" s="454"/>
      <c r="H73" s="454"/>
      <c r="I73" s="454"/>
      <c r="J73" s="454"/>
      <c r="K73" s="454"/>
      <c r="L73" s="454"/>
      <c r="M73" s="454"/>
      <c r="FD73" s="152"/>
      <c r="FE73" s="152"/>
      <c r="FF73" s="152"/>
      <c r="FG73" s="152"/>
      <c r="FH73" s="152"/>
      <c r="FI73" s="152"/>
      <c r="FJ73" s="152"/>
      <c r="FK73" s="152"/>
      <c r="FL73" s="152"/>
      <c r="FM73" s="152"/>
      <c r="FN73" s="152"/>
    </row>
    <row r="74" spans="4:170">
      <c r="D74" s="454"/>
      <c r="E74" s="454"/>
      <c r="F74" s="454"/>
      <c r="G74" s="454"/>
      <c r="H74" s="454"/>
      <c r="I74" s="454"/>
      <c r="J74" s="454"/>
      <c r="K74" s="454"/>
      <c r="L74" s="454"/>
      <c r="M74" s="454"/>
      <c r="FD74" s="402"/>
      <c r="FE74" s="152"/>
      <c r="FF74" s="152"/>
      <c r="FG74" s="152"/>
      <c r="FH74" s="152"/>
      <c r="FI74" s="152"/>
      <c r="FJ74" s="152"/>
      <c r="FK74" s="152"/>
      <c r="FL74" s="402"/>
      <c r="FM74" s="152"/>
      <c r="FN74" s="152"/>
    </row>
    <row r="75" spans="4:170">
      <c r="D75" s="454"/>
      <c r="E75" s="454"/>
      <c r="F75" s="454"/>
      <c r="G75" s="454"/>
      <c r="H75" s="454"/>
      <c r="I75" s="454"/>
      <c r="J75" s="454"/>
      <c r="K75" s="454"/>
      <c r="L75" s="454"/>
      <c r="M75" s="454"/>
      <c r="FD75" s="152"/>
      <c r="FE75" s="152"/>
      <c r="FF75" s="152"/>
      <c r="FG75" s="152"/>
      <c r="FH75" s="152"/>
      <c r="FI75" s="152"/>
      <c r="FJ75" s="152"/>
      <c r="FK75" s="152"/>
      <c r="FL75" s="152"/>
      <c r="FM75" s="152"/>
      <c r="FN75" s="152"/>
    </row>
    <row r="76" spans="4:170">
      <c r="D76" s="454"/>
      <c r="E76" s="454"/>
      <c r="F76" s="454"/>
      <c r="G76" s="454"/>
      <c r="H76" s="454"/>
      <c r="I76" s="454"/>
      <c r="J76" s="454"/>
      <c r="K76" s="454"/>
      <c r="L76" s="454"/>
      <c r="M76" s="454"/>
      <c r="FD76" s="152"/>
      <c r="FE76" s="152"/>
      <c r="FF76" s="152"/>
      <c r="FG76" s="152"/>
      <c r="FH76" s="152"/>
      <c r="FI76" s="152"/>
      <c r="FJ76" s="152"/>
      <c r="FK76" s="152"/>
      <c r="FL76" s="152"/>
      <c r="FM76" s="152"/>
      <c r="FN76" s="152"/>
    </row>
    <row r="77" spans="4:170" ht="53.25" customHeight="1">
      <c r="D77" s="454"/>
      <c r="E77" s="454"/>
      <c r="F77" s="454"/>
      <c r="G77" s="454"/>
      <c r="H77" s="454"/>
      <c r="I77" s="454"/>
      <c r="J77" s="454"/>
      <c r="K77" s="454"/>
      <c r="L77" s="454"/>
      <c r="M77" s="454"/>
      <c r="FD77" s="152"/>
      <c r="FE77" s="152"/>
      <c r="FF77" s="152"/>
      <c r="FG77" s="152"/>
      <c r="FH77" s="152"/>
      <c r="FI77" s="152"/>
      <c r="FJ77" s="152"/>
      <c r="FK77" s="152"/>
      <c r="FL77" s="402"/>
      <c r="FM77" s="152"/>
      <c r="FN77" s="152"/>
    </row>
    <row r="78" spans="4:170">
      <c r="FD78" s="152"/>
      <c r="FE78" s="152"/>
      <c r="FF78" s="152"/>
      <c r="FG78" s="152"/>
      <c r="FH78" s="152"/>
      <c r="FI78" s="152"/>
      <c r="FJ78" s="152"/>
      <c r="FK78" s="152"/>
      <c r="FL78" s="152"/>
      <c r="FM78" s="152"/>
      <c r="FN78" s="152"/>
    </row>
    <row r="79" spans="4:170">
      <c r="FD79" s="402"/>
      <c r="FE79" s="152"/>
      <c r="FF79" s="152"/>
      <c r="FG79" s="152"/>
      <c r="FH79" s="152"/>
      <c r="FI79" s="152"/>
      <c r="FJ79" s="152"/>
      <c r="FK79" s="152"/>
      <c r="FL79" s="152"/>
      <c r="FM79" s="152"/>
      <c r="FN79" s="152"/>
    </row>
    <row r="80" spans="4:170">
      <c r="FD80" s="152"/>
      <c r="FE80" s="152"/>
      <c r="FF80" s="152"/>
      <c r="FG80" s="152"/>
      <c r="FH80" s="152"/>
      <c r="FI80" s="152"/>
      <c r="FJ80" s="152"/>
      <c r="FK80" s="152"/>
      <c r="FL80" s="152"/>
      <c r="FM80" s="152"/>
      <c r="FN80" s="152"/>
    </row>
    <row r="81" spans="160:170">
      <c r="FD81" s="152"/>
      <c r="FE81" s="152"/>
      <c r="FF81" s="152"/>
      <c r="FG81" s="152"/>
      <c r="FH81" s="152"/>
      <c r="FI81" s="152"/>
      <c r="FJ81" s="152"/>
      <c r="FK81" s="152"/>
      <c r="FL81" s="152"/>
      <c r="FM81" s="152"/>
      <c r="FN81" s="152"/>
    </row>
    <row r="82" spans="160:170">
      <c r="FD82" s="152"/>
      <c r="FE82" s="152"/>
      <c r="FF82" s="152"/>
      <c r="FG82" s="152"/>
      <c r="FH82" s="152"/>
      <c r="FI82" s="152"/>
      <c r="FJ82" s="152"/>
      <c r="FK82" s="152"/>
      <c r="FL82" s="152"/>
      <c r="FM82" s="152"/>
      <c r="FN82" s="152"/>
    </row>
    <row r="83" spans="160:170">
      <c r="FD83" s="152"/>
      <c r="FE83" s="152"/>
      <c r="FF83" s="152"/>
      <c r="FG83" s="152"/>
      <c r="FH83" s="152"/>
      <c r="FI83" s="152"/>
      <c r="FJ83" s="152"/>
      <c r="FK83" s="152"/>
      <c r="FL83" s="152"/>
      <c r="FM83" s="152"/>
      <c r="FN83" s="402"/>
    </row>
    <row r="84" spans="160:170">
      <c r="FD84" s="152"/>
      <c r="FE84" s="152"/>
      <c r="FF84" s="152"/>
      <c r="FG84" s="152"/>
      <c r="FH84" s="152"/>
      <c r="FI84" s="152"/>
      <c r="FJ84" s="152"/>
      <c r="FK84" s="152"/>
      <c r="FL84" s="152"/>
      <c r="FM84" s="152"/>
      <c r="FN84" s="152"/>
    </row>
  </sheetData>
  <sheetProtection formatCells="0" formatColumns="0" formatRows="0" insertColumns="0" insertRows="0" insertHyperlinks="0" deleteColumns="0" deleteRows="0" selectLockedCells="1" sort="0" autoFilter="0" pivotTables="0" selectUnlockedCells="1"/>
  <customSheetViews>
    <customSheetView guid="{CAAAA4EE-AC24-494B-BD01-DBAF6444BECB}" scale="80" showGridLines="0" hiddenColumns="1">
      <pane xSplit="3" ySplit="5" topLeftCell="FJ27" activePane="bottomRight" state="frozen"/>
      <selection pane="bottomRight" activeCell="FO39" sqref="FO39:FP39"/>
      <pageMargins left="0.7" right="0.7" top="0.75" bottom="0.75" header="0.3" footer="0.3"/>
      <pageSetup orientation="portrait" r:id="rId1"/>
    </customSheetView>
    <customSheetView guid="{34EDC84D-4B3C-44BF-BB1A-7A0DFA8F65E7}" scale="80" showGridLines="0" hiddenColumns="1">
      <pane xSplit="3" ySplit="5" topLeftCell="FJ27" activePane="bottomRight" state="frozen"/>
      <selection pane="bottomRight" activeCell="FO39" sqref="FO39:FP39"/>
      <pageMargins left="0.7" right="0.7" top="0.75" bottom="0.75" header="0.3" footer="0.3"/>
      <pageSetup orientation="portrait" r:id="rId2"/>
    </customSheetView>
  </customSheetViews>
  <mergeCells count="8">
    <mergeCell ref="FE37:FM37"/>
    <mergeCell ref="FC3:FC4"/>
    <mergeCell ref="B4:B5"/>
    <mergeCell ref="CF4:CH4"/>
    <mergeCell ref="CJ4:CL4"/>
    <mergeCell ref="CN4:CP4"/>
    <mergeCell ref="CR4:CT4"/>
    <mergeCell ref="CU4:CW4"/>
  </mergeCells>
  <conditionalFormatting sqref="DR39 DQ38:DQ39">
    <cfRule type="cellIs" dxfId="671" priority="111" stopIfTrue="1" operator="lessThanOrEqual">
      <formula>0.145</formula>
    </cfRule>
    <cfRule type="cellIs" dxfId="670" priority="112" stopIfTrue="1" operator="greaterThan">
      <formula>0.15</formula>
    </cfRule>
  </conditionalFormatting>
  <conditionalFormatting sqref="D6:F7 E10:F21 N15:N36 G15:M21 N6:N9 H9:L9 G9:G14 D10:D15 D23:M36 H10:N14 G6:M8">
    <cfRule type="expression" dxfId="669" priority="110" stopIfTrue="1">
      <formula>OR($B6=TODAY(),$B6=TODAY()-1)</formula>
    </cfRule>
  </conditionalFormatting>
  <conditionalFormatting sqref="G15:G21 G10:G13 G6 I7:M8 H17">
    <cfRule type="expression" dxfId="668" priority="109" stopIfTrue="1">
      <formula>OR($B6=TODAY(),$B6=TODAY()-1)</formula>
    </cfRule>
  </conditionalFormatting>
  <conditionalFormatting sqref="D6:F7">
    <cfRule type="expression" dxfId="667" priority="108" stopIfTrue="1">
      <formula>OR($B6=TODAY(),$B6=TODAY()-1)</formula>
    </cfRule>
  </conditionalFormatting>
  <conditionalFormatting sqref="I7:M8">
    <cfRule type="expression" dxfId="666" priority="107" stopIfTrue="1">
      <formula>OR($B7=TODAY(),$B7=TODAY()-1)</formula>
    </cfRule>
  </conditionalFormatting>
  <conditionalFormatting sqref="I7:M8">
    <cfRule type="expression" dxfId="665" priority="106" stopIfTrue="1">
      <formula>OR($B7=TODAY(),$B7=TODAY()-1)</formula>
    </cfRule>
  </conditionalFormatting>
  <conditionalFormatting sqref="D6:F6">
    <cfRule type="expression" dxfId="664" priority="105" stopIfTrue="1">
      <formula>OR($B6=TODAY(),$B6=TODAY()-1)</formula>
    </cfRule>
  </conditionalFormatting>
  <conditionalFormatting sqref="D6:F7 G6:L21">
    <cfRule type="expression" dxfId="663" priority="104" stopIfTrue="1">
      <formula>OR($B6=TODAY(),$B6=TODAY()-1)</formula>
    </cfRule>
  </conditionalFormatting>
  <conditionalFormatting sqref="G15:G21 G10:G13 G6 I7:M8 H17">
    <cfRule type="expression" dxfId="662" priority="103" stopIfTrue="1">
      <formula>OR($B6=TODAY(),$B6=TODAY()-1)</formula>
    </cfRule>
  </conditionalFormatting>
  <conditionalFormatting sqref="D6:F7 G6:L21">
    <cfRule type="expression" dxfId="661" priority="102" stopIfTrue="1">
      <formula>OR($B6=TODAY(),$B6=TODAY()-1)</formula>
    </cfRule>
  </conditionalFormatting>
  <conditionalFormatting sqref="G15:G21 G10:G13 G6 I7:M8 H17">
    <cfRule type="expression" dxfId="660" priority="101" stopIfTrue="1">
      <formula>OR($B6=TODAY(),$B6=TODAY()-1)</formula>
    </cfRule>
  </conditionalFormatting>
  <conditionalFormatting sqref="D6:F7 G6:L21">
    <cfRule type="expression" dxfId="659" priority="100" stopIfTrue="1">
      <formula>OR($B6=TODAY(),$B6=TODAY()-1)</formula>
    </cfRule>
  </conditionalFormatting>
  <conditionalFormatting sqref="G15:G21 G10:G13 G6 I7:M8 H17">
    <cfRule type="expression" dxfId="658" priority="99" stopIfTrue="1">
      <formula>OR($B6=TODAY(),$B6=TODAY()-1)</formula>
    </cfRule>
  </conditionalFormatting>
  <conditionalFormatting sqref="D6:F7 G6:L21">
    <cfRule type="expression" dxfId="657" priority="98" stopIfTrue="1">
      <formula>OR($B6=TODAY(),$B6=TODAY()-1)</formula>
    </cfRule>
  </conditionalFormatting>
  <conditionalFormatting sqref="G15:G21 G10:G13 G6 I7:M8 H17">
    <cfRule type="expression" dxfId="656" priority="97" stopIfTrue="1">
      <formula>OR($B6=TODAY(),$B6=TODAY()-1)</formula>
    </cfRule>
  </conditionalFormatting>
  <conditionalFormatting sqref="D6:F7 G6:L21">
    <cfRule type="expression" dxfId="655" priority="96" stopIfTrue="1">
      <formula>OR($B6=TODAY(),$B6=TODAY()-1)</formula>
    </cfRule>
  </conditionalFormatting>
  <conditionalFormatting sqref="G15:G21 G10:G13 G6 I7:M8 H17">
    <cfRule type="expression" dxfId="654" priority="95" stopIfTrue="1">
      <formula>OR($B6=TODAY(),$B6=TODAY()-1)</formula>
    </cfRule>
  </conditionalFormatting>
  <conditionalFormatting sqref="D6:F7 G6:L21">
    <cfRule type="expression" dxfId="653" priority="94" stopIfTrue="1">
      <formula>OR($B6=TODAY(),$B6=TODAY()-1)</formula>
    </cfRule>
  </conditionalFormatting>
  <conditionalFormatting sqref="G15:G21 G10:G13 G6 I7:M8 H17">
    <cfRule type="expression" dxfId="652" priority="93" stopIfTrue="1">
      <formula>OR($B6=TODAY(),$B6=TODAY()-1)</formula>
    </cfRule>
  </conditionalFormatting>
  <conditionalFormatting sqref="D6:F7 G6:L21">
    <cfRule type="expression" dxfId="651" priority="92" stopIfTrue="1">
      <formula>OR($B6=TODAY(),$B6=TODAY()-1)</formula>
    </cfRule>
  </conditionalFormatting>
  <conditionalFormatting sqref="D6:F7 G6:L21">
    <cfRule type="expression" dxfId="650" priority="91" stopIfTrue="1">
      <formula>OR($B6=TODAY(),$B6=TODAY()-1)</formula>
    </cfRule>
  </conditionalFormatting>
  <conditionalFormatting sqref="G15:G21 G10:G13 G6 I7:M8 H17">
    <cfRule type="expression" dxfId="649" priority="90" stopIfTrue="1">
      <formula>OR($B6=TODAY(),$B6=TODAY()-1)</formula>
    </cfRule>
  </conditionalFormatting>
  <conditionalFormatting sqref="D6:F7 G6:L21">
    <cfRule type="expression" dxfId="648" priority="89" stopIfTrue="1">
      <formula>OR($B6=TODAY(),$B6=TODAY()-1)</formula>
    </cfRule>
  </conditionalFormatting>
  <conditionalFormatting sqref="G15:G21 G10:G13 G6 I7:M8 H17">
    <cfRule type="expression" dxfId="647" priority="88" stopIfTrue="1">
      <formula>OR($B6=TODAY(),$B6=TODAY()-1)</formula>
    </cfRule>
  </conditionalFormatting>
  <conditionalFormatting sqref="D6:F7">
    <cfRule type="expression" dxfId="646" priority="87" stopIfTrue="1">
      <formula>OR($B6=TODAY(),$B6=TODAY()-1)</formula>
    </cfRule>
  </conditionalFormatting>
  <conditionalFormatting sqref="G15:G21 G10:G13 G6 I7:M8 H17">
    <cfRule type="expression" dxfId="645" priority="86" stopIfTrue="1">
      <formula>OR($B6=TODAY(),$B6=TODAY()-1)</formula>
    </cfRule>
  </conditionalFormatting>
  <conditionalFormatting sqref="D29 D30:F31">
    <cfRule type="expression" dxfId="644" priority="85" stopIfTrue="1">
      <formula>OR($B29=TODAY(),$B29=TODAY()-1)</formula>
    </cfRule>
  </conditionalFormatting>
  <conditionalFormatting sqref="D29 D30:F31">
    <cfRule type="expression" dxfId="643" priority="84" stopIfTrue="1">
      <formula>OR($B29=TODAY(),$B29=TODAY()-1)</formula>
    </cfRule>
  </conditionalFormatting>
  <conditionalFormatting sqref="D29 D30:F31">
    <cfRule type="expression" dxfId="642" priority="83" stopIfTrue="1">
      <formula>OR($B29=TODAY(),$B29=TODAY()-1)</formula>
    </cfRule>
  </conditionalFormatting>
  <conditionalFormatting sqref="D29 D30:F31">
    <cfRule type="expression" dxfId="641" priority="82" stopIfTrue="1">
      <formula>OR($B29=TODAY(),$B29=TODAY()-1)</formula>
    </cfRule>
  </conditionalFormatting>
  <conditionalFormatting sqref="D29 D30:F31">
    <cfRule type="expression" dxfId="640" priority="81" stopIfTrue="1">
      <formula>OR($B29=TODAY(),$B29=TODAY()-1)</formula>
    </cfRule>
  </conditionalFormatting>
  <conditionalFormatting sqref="D29 D30:F31">
    <cfRule type="expression" dxfId="639" priority="80" stopIfTrue="1">
      <formula>OR($B29=TODAY(),$B29=TODAY()-1)</formula>
    </cfRule>
  </conditionalFormatting>
  <conditionalFormatting sqref="D29 D30:F31">
    <cfRule type="expression" dxfId="638" priority="79" stopIfTrue="1">
      <formula>OR($B29=TODAY(),$B29=TODAY()-1)</formula>
    </cfRule>
  </conditionalFormatting>
  <conditionalFormatting sqref="D29 D30:F31">
    <cfRule type="expression" dxfId="637" priority="78" stopIfTrue="1">
      <formula>OR($B29=TODAY(),$B29=TODAY()-1)</formula>
    </cfRule>
  </conditionalFormatting>
  <conditionalFormatting sqref="D29 D30:F31">
    <cfRule type="expression" dxfId="636" priority="77" stopIfTrue="1">
      <formula>OR($B29=TODAY(),$B29=TODAY()-1)</formula>
    </cfRule>
  </conditionalFormatting>
  <conditionalFormatting sqref="D29 D30:F31">
    <cfRule type="expression" dxfId="635" priority="76" stopIfTrue="1">
      <formula>OR($B29=TODAY(),$B29=TODAY()-1)</formula>
    </cfRule>
  </conditionalFormatting>
  <conditionalFormatting sqref="D29 D30:F31">
    <cfRule type="expression" dxfId="634" priority="75" stopIfTrue="1">
      <formula>OR($B29=TODAY(),$B29=TODAY()-1)</formula>
    </cfRule>
  </conditionalFormatting>
  <conditionalFormatting sqref="DP6:DQ37">
    <cfRule type="cellIs" dxfId="633" priority="73" stopIfTrue="1" operator="lessThanOrEqual">
      <formula>$D$2</formula>
    </cfRule>
    <cfRule type="cellIs" dxfId="632" priority="74" stopIfTrue="1" operator="greaterThan">
      <formula>$D$2</formula>
    </cfRule>
  </conditionalFormatting>
  <conditionalFormatting sqref="BZ6:BZ37 DH6:DH37 DJ6:DJ37 CS6:CS37">
    <cfRule type="cellIs" dxfId="631" priority="71" stopIfTrue="1" operator="lessThanOrEqual">
      <formula>#REF!</formula>
    </cfRule>
    <cfRule type="cellIs" dxfId="630" priority="72" stopIfTrue="1" operator="greaterThan">
      <formula>#REF!</formula>
    </cfRule>
  </conditionalFormatting>
  <conditionalFormatting sqref="DL6:DL37">
    <cfRule type="cellIs" dxfId="629" priority="69" stopIfTrue="1" operator="greaterThan">
      <formula>$D$3</formula>
    </cfRule>
    <cfRule type="cellIs" dxfId="628" priority="70" stopIfTrue="1" operator="lessThanOrEqual">
      <formula>$D$3</formula>
    </cfRule>
  </conditionalFormatting>
  <conditionalFormatting sqref="E20:F20">
    <cfRule type="expression" dxfId="627" priority="68" stopIfTrue="1">
      <formula>OR($B20=TODAY(),$B20=TODAY()-1)</formula>
    </cfRule>
  </conditionalFormatting>
  <conditionalFormatting sqref="E20:F20">
    <cfRule type="expression" dxfId="626" priority="67" stopIfTrue="1">
      <formula>OR($B20=TODAY(),$B20=TODAY()-1)</formula>
    </cfRule>
  </conditionalFormatting>
  <conditionalFormatting sqref="E20:F20">
    <cfRule type="expression" dxfId="625" priority="66" stopIfTrue="1">
      <formula>OR($B20=TODAY(),$B20=TODAY()-1)</formula>
    </cfRule>
  </conditionalFormatting>
  <conditionalFormatting sqref="E20:F20">
    <cfRule type="expression" dxfId="624" priority="65" stopIfTrue="1">
      <formula>OR($B20=TODAY(),$B20=TODAY()-1)</formula>
    </cfRule>
  </conditionalFormatting>
  <conditionalFormatting sqref="E20:F20">
    <cfRule type="expression" dxfId="623" priority="64" stopIfTrue="1">
      <formula>OR($B20=TODAY(),$B20=TODAY()-1)</formula>
    </cfRule>
  </conditionalFormatting>
  <conditionalFormatting sqref="E20:F20">
    <cfRule type="expression" dxfId="622" priority="63" stopIfTrue="1">
      <formula>OR($B20=TODAY(),$B20=TODAY()-1)</formula>
    </cfRule>
  </conditionalFormatting>
  <conditionalFormatting sqref="E20:F20">
    <cfRule type="expression" dxfId="621" priority="62" stopIfTrue="1">
      <formula>OR($B20=TODAY(),$B20=TODAY()-1)</formula>
    </cfRule>
  </conditionalFormatting>
  <conditionalFormatting sqref="E20:F20">
    <cfRule type="expression" dxfId="620" priority="61" stopIfTrue="1">
      <formula>OR($B20=TODAY(),$B20=TODAY()-1)</formula>
    </cfRule>
  </conditionalFormatting>
  <conditionalFormatting sqref="E20:F20">
    <cfRule type="expression" dxfId="619" priority="60" stopIfTrue="1">
      <formula>OR($B20=TODAY(),$B20=TODAY()-1)</formula>
    </cfRule>
  </conditionalFormatting>
  <conditionalFormatting sqref="E20:F20">
    <cfRule type="expression" dxfId="618" priority="59" stopIfTrue="1">
      <formula>OR($B20=TODAY(),$B20=TODAY()-1)</formula>
    </cfRule>
  </conditionalFormatting>
  <conditionalFormatting sqref="D34:F34">
    <cfRule type="expression" dxfId="617" priority="58" stopIfTrue="1">
      <formula>OR($B34=TODAY(),$B34=TODAY()-1)</formula>
    </cfRule>
  </conditionalFormatting>
  <conditionalFormatting sqref="D34:F34">
    <cfRule type="expression" dxfId="616" priority="57" stopIfTrue="1">
      <formula>OR($B34=TODAY(),$B34=TODAY()-1)</formula>
    </cfRule>
  </conditionalFormatting>
  <conditionalFormatting sqref="CH37">
    <cfRule type="cellIs" dxfId="615" priority="55" stopIfTrue="1" operator="lessThanOrEqual">
      <formula>#REF!</formula>
    </cfRule>
    <cfRule type="cellIs" dxfId="614" priority="56" stopIfTrue="1" operator="greaterThan">
      <formula>#REF!</formula>
    </cfRule>
  </conditionalFormatting>
  <conditionalFormatting sqref="CP6:CP37 CV6:CV37 CL6:CL37">
    <cfRule type="cellIs" dxfId="613" priority="53" operator="greaterThan">
      <formula>#REF!</formula>
    </cfRule>
    <cfRule type="cellIs" dxfId="612" priority="54" operator="lessThanOrEqual">
      <formula>#REF!</formula>
    </cfRule>
  </conditionalFormatting>
  <conditionalFormatting sqref="G14">
    <cfRule type="expression" dxfId="611" priority="52" stopIfTrue="1">
      <formula>OR($B15=TODAY(),$B15=TODAY()-1)</formula>
    </cfRule>
  </conditionalFormatting>
  <conditionalFormatting sqref="I16:M18">
    <cfRule type="expression" dxfId="610" priority="51" stopIfTrue="1">
      <formula>OR($B16=TODAY(),$B16=TODAY()-1)</formula>
    </cfRule>
  </conditionalFormatting>
  <conditionalFormatting sqref="I16:M18">
    <cfRule type="expression" dxfId="609" priority="50" stopIfTrue="1">
      <formula>OR($B16=TODAY(),$B16=TODAY()-1)</formula>
    </cfRule>
  </conditionalFormatting>
  <conditionalFormatting sqref="I16:M18">
    <cfRule type="expression" dxfId="608" priority="49" stopIfTrue="1">
      <formula>OR($B16=TODAY(),$B16=TODAY()-1)</formula>
    </cfRule>
  </conditionalFormatting>
  <conditionalFormatting sqref="I16:M18">
    <cfRule type="expression" dxfId="607" priority="48" stopIfTrue="1">
      <formula>OR($B16=TODAY(),$B16=TODAY()-1)</formula>
    </cfRule>
  </conditionalFormatting>
  <conditionalFormatting sqref="D16">
    <cfRule type="expression" dxfId="606" priority="47" stopIfTrue="1">
      <formula>OR($B16=TODAY(),$B16=TODAY()-1)</formula>
    </cfRule>
  </conditionalFormatting>
  <conditionalFormatting sqref="G6:L21">
    <cfRule type="expression" dxfId="605" priority="46" stopIfTrue="1">
      <formula>OR($B6=TODAY(),$B6=TODAY()-1)</formula>
    </cfRule>
  </conditionalFormatting>
  <conditionalFormatting sqref="G6:L21">
    <cfRule type="expression" dxfId="604" priority="45" stopIfTrue="1">
      <formula>OR($B6=TODAY(),$B6=TODAY()-1)</formula>
    </cfRule>
  </conditionalFormatting>
  <conditionalFormatting sqref="G6:L21">
    <cfRule type="expression" dxfId="603" priority="44" stopIfTrue="1">
      <formula>OR($B6=TODAY(),$B6=TODAY()-1)</formula>
    </cfRule>
  </conditionalFormatting>
  <conditionalFormatting sqref="G15">
    <cfRule type="expression" dxfId="602" priority="43" stopIfTrue="1">
      <formula>OR($B16=TODAY(),$B16=TODAY()-1)</formula>
    </cfRule>
  </conditionalFormatting>
  <conditionalFormatting sqref="D6:J6">
    <cfRule type="expression" dxfId="601" priority="42" stopIfTrue="1">
      <formula>OR($B6=TODAY(),$B6=TODAY()-1)</formula>
    </cfRule>
  </conditionalFormatting>
  <conditionalFormatting sqref="G6">
    <cfRule type="expression" dxfId="600" priority="41" stopIfTrue="1">
      <formula>OR($B6=TODAY(),$B6=TODAY()-1)</formula>
    </cfRule>
  </conditionalFormatting>
  <conditionalFormatting sqref="D6:F6">
    <cfRule type="expression" dxfId="599" priority="40" stopIfTrue="1">
      <formula>OR($B6=TODAY(),$B6=TODAY()-1)</formula>
    </cfRule>
  </conditionalFormatting>
  <conditionalFormatting sqref="D6:F6">
    <cfRule type="expression" dxfId="598" priority="39" stopIfTrue="1">
      <formula>OR($B6=TODAY(),$B6=TODAY()-1)</formula>
    </cfRule>
  </conditionalFormatting>
  <conditionalFormatting sqref="D6:J6">
    <cfRule type="expression" dxfId="597" priority="38" stopIfTrue="1">
      <formula>OR($B6=TODAY(),$B6=TODAY()-1)</formula>
    </cfRule>
  </conditionalFormatting>
  <conditionalFormatting sqref="G6">
    <cfRule type="expression" dxfId="596" priority="37" stopIfTrue="1">
      <formula>OR($B6=TODAY(),$B6=TODAY()-1)</formula>
    </cfRule>
  </conditionalFormatting>
  <conditionalFormatting sqref="D6:J6">
    <cfRule type="expression" dxfId="595" priority="36" stopIfTrue="1">
      <formula>OR($B6=TODAY(),$B6=TODAY()-1)</formula>
    </cfRule>
  </conditionalFormatting>
  <conditionalFormatting sqref="G6">
    <cfRule type="expression" dxfId="594" priority="35" stopIfTrue="1">
      <formula>OR($B6=TODAY(),$B6=TODAY()-1)</formula>
    </cfRule>
  </conditionalFormatting>
  <conditionalFormatting sqref="D6:J6">
    <cfRule type="expression" dxfId="593" priority="34" stopIfTrue="1">
      <formula>OR($B6=TODAY(),$B6=TODAY()-1)</formula>
    </cfRule>
  </conditionalFormatting>
  <conditionalFormatting sqref="G6">
    <cfRule type="expression" dxfId="592" priority="33" stopIfTrue="1">
      <formula>OR($B6=TODAY(),$B6=TODAY()-1)</formula>
    </cfRule>
  </conditionalFormatting>
  <conditionalFormatting sqref="D6:J6">
    <cfRule type="expression" dxfId="591" priority="32" stopIfTrue="1">
      <formula>OR($B6=TODAY(),$B6=TODAY()-1)</formula>
    </cfRule>
  </conditionalFormatting>
  <conditionalFormatting sqref="G6">
    <cfRule type="expression" dxfId="590" priority="31" stopIfTrue="1">
      <formula>OR($B6=TODAY(),$B6=TODAY()-1)</formula>
    </cfRule>
  </conditionalFormatting>
  <conditionalFormatting sqref="D6:J6">
    <cfRule type="expression" dxfId="589" priority="30" stopIfTrue="1">
      <formula>OR($B6=TODAY(),$B6=TODAY()-1)</formula>
    </cfRule>
  </conditionalFormatting>
  <conditionalFormatting sqref="G6">
    <cfRule type="expression" dxfId="588" priority="29" stopIfTrue="1">
      <formula>OR($B6=TODAY(),$B6=TODAY()-1)</formula>
    </cfRule>
  </conditionalFormatting>
  <conditionalFormatting sqref="D6:J6">
    <cfRule type="expression" dxfId="587" priority="28" stopIfTrue="1">
      <formula>OR($B6=TODAY(),$B6=TODAY()-1)</formula>
    </cfRule>
  </conditionalFormatting>
  <conditionalFormatting sqref="G6">
    <cfRule type="expression" dxfId="586" priority="27" stopIfTrue="1">
      <formula>OR($B6=TODAY(),$B6=TODAY()-1)</formula>
    </cfRule>
  </conditionalFormatting>
  <conditionalFormatting sqref="D6:J6">
    <cfRule type="expression" dxfId="585" priority="26" stopIfTrue="1">
      <formula>OR($B6=TODAY(),$B6=TODAY()-1)</formula>
    </cfRule>
  </conditionalFormatting>
  <conditionalFormatting sqref="D6:J6">
    <cfRule type="expression" dxfId="584" priority="25" stopIfTrue="1">
      <formula>OR($B6=TODAY(),$B6=TODAY()-1)</formula>
    </cfRule>
  </conditionalFormatting>
  <conditionalFormatting sqref="G6">
    <cfRule type="expression" dxfId="583" priority="24" stopIfTrue="1">
      <formula>OR($B6=TODAY(),$B6=TODAY()-1)</formula>
    </cfRule>
  </conditionalFormatting>
  <conditionalFormatting sqref="D6:J6">
    <cfRule type="expression" dxfId="582" priority="23" stopIfTrue="1">
      <formula>OR($B6=TODAY(),$B6=TODAY()-1)</formula>
    </cfRule>
  </conditionalFormatting>
  <conditionalFormatting sqref="G6">
    <cfRule type="expression" dxfId="581" priority="22" stopIfTrue="1">
      <formula>OR($B6=TODAY(),$B6=TODAY()-1)</formula>
    </cfRule>
  </conditionalFormatting>
  <conditionalFormatting sqref="D6:F6">
    <cfRule type="expression" dxfId="580" priority="21" stopIfTrue="1">
      <formula>OR($B6=TODAY(),$B6=TODAY()-1)</formula>
    </cfRule>
  </conditionalFormatting>
  <conditionalFormatting sqref="G6">
    <cfRule type="expression" dxfId="579" priority="20" stopIfTrue="1">
      <formula>OR($B6=TODAY(),$B6=TODAY()-1)</formula>
    </cfRule>
  </conditionalFormatting>
  <conditionalFormatting sqref="G6:J6">
    <cfRule type="expression" dxfId="578" priority="19" stopIfTrue="1">
      <formula>OR($B6=TODAY(),$B6=TODAY()-1)</formula>
    </cfRule>
  </conditionalFormatting>
  <conditionalFormatting sqref="G6:J6">
    <cfRule type="expression" dxfId="577" priority="18" stopIfTrue="1">
      <formula>OR($B6=TODAY(),$B6=TODAY()-1)</formula>
    </cfRule>
  </conditionalFormatting>
  <conditionalFormatting sqref="G6:J6">
    <cfRule type="expression" dxfId="576" priority="17" stopIfTrue="1">
      <formula>OR($B6=TODAY(),$B6=TODAY()-1)</formula>
    </cfRule>
  </conditionalFormatting>
  <conditionalFormatting sqref="K13">
    <cfRule type="expression" dxfId="575" priority="16" stopIfTrue="1">
      <formula>OR($B13=TODAY(),$B13=TODAY()-1)</formula>
    </cfRule>
  </conditionalFormatting>
  <conditionalFormatting sqref="K13">
    <cfRule type="expression" dxfId="574" priority="15" stopIfTrue="1">
      <formula>OR($B13=TODAY(),$B13=TODAY()-1)</formula>
    </cfRule>
  </conditionalFormatting>
  <conditionalFormatting sqref="K13">
    <cfRule type="expression" dxfId="573" priority="14" stopIfTrue="1">
      <formula>OR($B13=TODAY(),$B13=TODAY()-1)</formula>
    </cfRule>
  </conditionalFormatting>
  <conditionalFormatting sqref="K13">
    <cfRule type="expression" dxfId="572" priority="13" stopIfTrue="1">
      <formula>OR($B13=TODAY(),$B13=TODAY()-1)</formula>
    </cfRule>
  </conditionalFormatting>
  <conditionalFormatting sqref="K13">
    <cfRule type="expression" dxfId="571" priority="12" stopIfTrue="1">
      <formula>OR($B13=TODAY(),$B13=TODAY()-1)</formula>
    </cfRule>
  </conditionalFormatting>
  <conditionalFormatting sqref="K13">
    <cfRule type="expression" dxfId="570" priority="11" stopIfTrue="1">
      <formula>OR($B13=TODAY(),$B13=TODAY()-1)</formula>
    </cfRule>
  </conditionalFormatting>
  <conditionalFormatting sqref="K13">
    <cfRule type="expression" dxfId="569" priority="10" stopIfTrue="1">
      <formula>OR($B13=TODAY(),$B13=TODAY()-1)</formula>
    </cfRule>
  </conditionalFormatting>
  <conditionalFormatting sqref="K13">
    <cfRule type="expression" dxfId="568" priority="9" stopIfTrue="1">
      <formula>OR($B13=TODAY(),$B13=TODAY()-1)</formula>
    </cfRule>
  </conditionalFormatting>
  <conditionalFormatting sqref="K13">
    <cfRule type="expression" dxfId="567" priority="8" stopIfTrue="1">
      <formula>OR($B13=TODAY(),$B13=TODAY()-1)</formula>
    </cfRule>
  </conditionalFormatting>
  <conditionalFormatting sqref="K13">
    <cfRule type="expression" dxfId="566" priority="7" stopIfTrue="1">
      <formula>OR($B13=TODAY(),$B13=TODAY()-1)</formula>
    </cfRule>
  </conditionalFormatting>
  <conditionalFormatting sqref="K13">
    <cfRule type="expression" dxfId="565" priority="6" stopIfTrue="1">
      <formula>OR($B13=TODAY(),$B13=TODAY()-1)</formula>
    </cfRule>
  </conditionalFormatting>
  <conditionalFormatting sqref="K13">
    <cfRule type="expression" dxfId="564" priority="5" stopIfTrue="1">
      <formula>OR($B13=TODAY(),$B13=TODAY()-1)</formula>
    </cfRule>
  </conditionalFormatting>
  <conditionalFormatting sqref="K13">
    <cfRule type="expression" dxfId="563" priority="4" stopIfTrue="1">
      <formula>OR($B13=TODAY(),$B13=TODAY()-1)</formula>
    </cfRule>
  </conditionalFormatting>
  <conditionalFormatting sqref="K13">
    <cfRule type="expression" dxfId="562" priority="3" stopIfTrue="1">
      <formula>OR($B13=TODAY(),$B13=TODAY()-1)</formula>
    </cfRule>
  </conditionalFormatting>
  <conditionalFormatting sqref="K13">
    <cfRule type="expression" dxfId="561" priority="2" stopIfTrue="1">
      <formula>OR($B13=TODAY(),$B13=TODAY()-1)</formula>
    </cfRule>
  </conditionalFormatting>
  <conditionalFormatting sqref="K13">
    <cfRule type="expression" dxfId="560" priority="1" stopIfTrue="1">
      <formula>OR($B13=TODAY(),$B13=TODAY()-1)</formula>
    </cfRule>
  </conditionalFormatting>
  <hyperlinks>
    <hyperlink ref="BA5" r:id="rId3" xr:uid="{00000000-0004-0000-1A00-000000000000}"/>
  </hyperlinks>
  <pageMargins left="0.7" right="0.7" top="0.75" bottom="0.75" header="0.3" footer="0.3"/>
  <pageSetup orientation="portrait" r:id="rId4"/>
  <legacy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GL89"/>
  <sheetViews>
    <sheetView showGridLines="0" zoomScale="80" zoomScaleNormal="80" workbookViewId="0">
      <pane xSplit="3" ySplit="5" topLeftCell="D21" activePane="bottomRight" state="frozen"/>
      <selection activeCell="FD6" sqref="FD6:FD36"/>
      <selection pane="topRight" activeCell="FD6" sqref="FD6:FD36"/>
      <selection pane="bottomLeft" activeCell="FD6" sqref="FD6:FD36"/>
      <selection pane="bottomRight" activeCell="FD6" sqref="FD6:FD36"/>
    </sheetView>
  </sheetViews>
  <sheetFormatPr defaultRowHeight="15" outlineLevelCol="2"/>
  <cols>
    <col min="1" max="1" width="0.7109375" style="64" customWidth="1"/>
    <col min="2" max="2" width="6.5703125" style="64" customWidth="1"/>
    <col min="3" max="3" width="6.85546875" style="64" bestFit="1" customWidth="1"/>
    <col min="4" max="4" width="13.85546875" style="64" customWidth="1" outlineLevel="1"/>
    <col min="5" max="5" width="12" style="64" customWidth="1" outlineLevel="1"/>
    <col min="6" max="6" width="10" style="64" customWidth="1" outlineLevel="1"/>
    <col min="7" max="7" width="9.85546875" style="64" customWidth="1" outlineLevel="1"/>
    <col min="8" max="8" width="10.42578125" style="64" customWidth="1" outlineLevel="1"/>
    <col min="9" max="9" width="10.7109375" style="64" customWidth="1" outlineLevel="1"/>
    <col min="10" max="11" width="9.28515625" style="64" customWidth="1" outlineLevel="1"/>
    <col min="12" max="12" width="10.5703125" style="64" customWidth="1" outlineLevel="1"/>
    <col min="13" max="13" width="10.85546875" style="64" customWidth="1" outlineLevel="1"/>
    <col min="14" max="14" width="14.28515625" style="64" customWidth="1" outlineLevel="1"/>
    <col min="15" max="15" width="11" style="64" customWidth="1"/>
    <col min="16" max="16" width="11.85546875" style="64" customWidth="1" outlineLevel="1"/>
    <col min="17" max="17" width="1.42578125" style="64" customWidth="1"/>
    <col min="18" max="18" width="12.28515625" style="64" customWidth="1" outlineLevel="2"/>
    <col min="19" max="19" width="12.85546875" style="64" customWidth="1" outlineLevel="2"/>
    <col min="20" max="20" width="12.5703125" style="64" customWidth="1" outlineLevel="2"/>
    <col min="21" max="21" width="14.140625" style="64" customWidth="1" outlineLevel="2"/>
    <col min="22" max="22" width="9.42578125" style="64" customWidth="1" outlineLevel="2"/>
    <col min="23" max="23" width="10.7109375" style="64" customWidth="1" outlineLevel="2"/>
    <col min="24" max="24" width="11.5703125" style="64" customWidth="1" outlineLevel="2"/>
    <col min="25" max="26" width="10.7109375" style="64" customWidth="1" outlineLevel="2"/>
    <col min="27" max="27" width="11" style="64" customWidth="1" outlineLevel="1"/>
    <col min="28" max="29" width="12" style="64" customWidth="1" outlineLevel="2"/>
    <col min="30" max="31" width="10.85546875" style="64" customWidth="1" outlineLevel="1"/>
    <col min="32" max="32" width="12" style="64" customWidth="1" outlineLevel="2"/>
    <col min="33" max="33" width="8.140625" style="64" customWidth="1" outlineLevel="2"/>
    <col min="34" max="34" width="9.5703125" style="64" customWidth="1" outlineLevel="1"/>
    <col min="35" max="35" width="10.85546875" style="64" customWidth="1" outlineLevel="1"/>
    <col min="36" max="36" width="12" style="64" customWidth="1" outlineLevel="2"/>
    <col min="37" max="37" width="8.140625" style="64" customWidth="1" outlineLevel="2"/>
    <col min="38" max="38" width="9.5703125" style="64" customWidth="1" outlineLevel="1"/>
    <col min="39" max="39" width="10.85546875" style="64" customWidth="1" outlineLevel="1"/>
    <col min="40" max="40" width="9.5703125" style="64" customWidth="1" outlineLevel="2"/>
    <col min="41" max="41" width="9.5703125" style="64" customWidth="1" outlineLevel="1"/>
    <col min="42" max="42" width="9.5703125" style="64" customWidth="1" outlineLevel="2"/>
    <col min="43" max="43" width="9.5703125" style="64" customWidth="1" outlineLevel="1"/>
    <col min="44" max="44" width="11.28515625" style="64" customWidth="1" outlineLevel="2"/>
    <col min="45" max="45" width="9.140625" style="64" customWidth="1" outlineLevel="1"/>
    <col min="46" max="46" width="13.5703125" style="64" customWidth="1" outlineLevel="1"/>
    <col min="47" max="47" width="11.28515625" style="64" customWidth="1" outlineLevel="2"/>
    <col min="48" max="48" width="9.5703125" style="64" customWidth="1" outlineLevel="1"/>
    <col min="49" max="49" width="11.28515625" style="64" customWidth="1" outlineLevel="2"/>
    <col min="50" max="51" width="9.5703125" style="64" customWidth="1" outlineLevel="1"/>
    <col min="52" max="52" width="13.85546875" style="64" customWidth="1" outlineLevel="2"/>
    <col min="53" max="53" width="10.28515625" style="64" customWidth="1" outlineLevel="2"/>
    <col min="54" max="54" width="13.85546875" style="64" customWidth="1" outlineLevel="2"/>
    <col min="55" max="55" width="14.85546875" style="64" customWidth="1" outlineLevel="2"/>
    <col min="56" max="56" width="15.28515625" style="64" customWidth="1" outlineLevel="2"/>
    <col min="57" max="58" width="13.7109375" style="64" customWidth="1" outlineLevel="2"/>
    <col min="59" max="60" width="9.5703125" style="64" customWidth="1" outlineLevel="1"/>
    <col min="61" max="61" width="17" style="64" customWidth="1" outlineLevel="1"/>
    <col min="62" max="62" width="19.140625" style="64" customWidth="1" outlineLevel="1"/>
    <col min="63" max="63" width="2.28515625" style="261" customWidth="1"/>
    <col min="64" max="64" width="19.28515625" style="64" customWidth="1"/>
    <col min="65" max="65" width="14.28515625" style="64" customWidth="1"/>
    <col min="66" max="66" width="0.85546875" style="64" customWidth="1"/>
    <col min="67" max="67" width="12.28515625" style="64" customWidth="1" outlineLevel="2"/>
    <col min="68" max="68" width="12.42578125" style="64" customWidth="1" outlineLevel="2"/>
    <col min="69" max="69" width="12.5703125" style="64" customWidth="1" outlineLevel="2"/>
    <col min="70" max="72" width="9.42578125" style="64" customWidth="1" outlineLevel="2"/>
    <col min="73" max="73" width="21.42578125" style="64" customWidth="1" outlineLevel="1"/>
    <col min="74" max="74" width="12.28515625" style="64" customWidth="1" outlineLevel="2"/>
    <col min="75" max="75" width="12.42578125" style="64" customWidth="1" outlineLevel="2"/>
    <col min="76" max="76" width="12.5703125" style="64" customWidth="1" outlineLevel="2"/>
    <col min="77" max="77" width="9.42578125" style="64" customWidth="1" outlineLevel="2"/>
    <col min="78" max="78" width="13.7109375" style="64" customWidth="1" outlineLevel="1"/>
    <col min="79" max="79" width="0.42578125" style="64" customWidth="1" outlineLevel="1"/>
    <col min="80" max="80" width="11.7109375" style="64" customWidth="1" outlineLevel="2"/>
    <col min="81" max="81" width="9.7109375" style="64" customWidth="1" outlineLevel="1"/>
    <col min="82" max="82" width="11.42578125" style="64" customWidth="1" outlineLevel="1"/>
    <col min="83" max="83" width="12.85546875" style="64" customWidth="1" outlineLevel="1"/>
    <col min="84" max="84" width="13.7109375" style="64" customWidth="1" outlineLevel="2"/>
    <col min="85" max="85" width="11" style="64" customWidth="1" outlineLevel="2"/>
    <col min="86" max="86" width="8.7109375" style="64" customWidth="1" outlineLevel="1"/>
    <col min="87" max="87" width="0.140625" style="64" customWidth="1" outlineLevel="1"/>
    <col min="88" max="89" width="11.7109375" style="64" customWidth="1" outlineLevel="2"/>
    <col min="90" max="90" width="10.28515625" style="64" customWidth="1" outlineLevel="1"/>
    <col min="91" max="91" width="0.5703125" style="64" customWidth="1" outlineLevel="1"/>
    <col min="92" max="93" width="11.7109375" style="64" customWidth="1" outlineLevel="2"/>
    <col min="94" max="94" width="8.7109375" style="64" customWidth="1" outlineLevel="1"/>
    <col min="95" max="95" width="0.28515625" style="64" customWidth="1" outlineLevel="1"/>
    <col min="96" max="96" width="14.42578125" style="64" customWidth="1" outlineLevel="2"/>
    <col min="97" max="97" width="6.7109375" style="64" customWidth="1" outlineLevel="1"/>
    <col min="98" max="98" width="0.28515625" style="64" customWidth="1" outlineLevel="1"/>
    <col min="99" max="99" width="11" style="64" customWidth="1" outlineLevel="2"/>
    <col min="100" max="100" width="7.28515625" style="64" customWidth="1" outlineLevel="1"/>
    <col min="101" max="101" width="0.42578125" style="64" customWidth="1" outlineLevel="1"/>
    <col min="102" max="104" width="8.140625" style="64" customWidth="1" outlineLevel="1"/>
    <col min="105" max="105" width="8.42578125" style="64" customWidth="1" outlineLevel="1"/>
    <col min="106" max="106" width="10.42578125" style="64" customWidth="1" outlineLevel="2"/>
    <col min="107" max="107" width="9.7109375" style="64" customWidth="1" outlineLevel="2"/>
    <col min="108" max="108" width="18.28515625" style="64" customWidth="1" outlineLevel="2"/>
    <col min="109" max="109" width="14.85546875" style="64" customWidth="1" outlineLevel="2"/>
    <col min="110" max="110" width="17" style="64" customWidth="1" outlineLevel="2"/>
    <col min="111" max="111" width="14.85546875" style="64" customWidth="1" outlineLevel="2"/>
    <col min="112" max="112" width="11" style="64" customWidth="1" outlineLevel="1"/>
    <col min="113" max="113" width="0.28515625" style="64" customWidth="1" outlineLevel="1"/>
    <col min="114" max="114" width="9.85546875" style="64" customWidth="1" outlineLevel="1"/>
    <col min="115" max="115" width="0.42578125" style="64" customWidth="1" outlineLevel="1"/>
    <col min="116" max="116" width="9.85546875" style="64" customWidth="1" outlineLevel="1"/>
    <col min="117" max="117" width="0.42578125" style="64" customWidth="1" outlineLevel="1"/>
    <col min="118" max="118" width="13.140625" style="64" customWidth="1" outlineLevel="2"/>
    <col min="119" max="119" width="1.7109375" style="261" customWidth="1"/>
    <col min="120" max="120" width="16.42578125" style="64" customWidth="1"/>
    <col min="121" max="121" width="15.140625" style="64" customWidth="1"/>
    <col min="122" max="122" width="3.42578125" style="64" customWidth="1"/>
    <col min="123" max="123" width="8.42578125" style="64" customWidth="1"/>
    <col min="124" max="124" width="9.140625" style="64" customWidth="1"/>
    <col min="125" max="131" width="15.7109375" style="219" customWidth="1" outlineLevel="1"/>
    <col min="132" max="132" width="15.7109375" style="220" customWidth="1" outlineLevel="1"/>
    <col min="133" max="139" width="15.7109375" style="219" customWidth="1" outlineLevel="1"/>
    <col min="140" max="141" width="15.7109375" style="220" customWidth="1" outlineLevel="1"/>
    <col min="142" max="143" width="15.7109375" style="219" customWidth="1" outlineLevel="1"/>
    <col min="144" max="144" width="15.7109375" style="220" customWidth="1" outlineLevel="1"/>
    <col min="145" max="145" width="15.7109375" style="219" customWidth="1" outlineLevel="1"/>
    <col min="146" max="153" width="15.7109375" style="220" customWidth="1" outlineLevel="1"/>
    <col min="154" max="159" width="15.7109375" style="219" customWidth="1" outlineLevel="1"/>
    <col min="160" max="160" width="20.5703125" style="220" customWidth="1"/>
    <col min="161" max="162" width="11.85546875" style="220" customWidth="1" outlineLevel="1"/>
    <col min="163" max="169" width="10.7109375" style="220" customWidth="1" outlineLevel="1"/>
    <col min="170" max="170" width="15.5703125" style="220" customWidth="1"/>
    <col min="171" max="171" width="21.85546875" style="220" customWidth="1"/>
    <col min="172" max="172" width="77.140625" style="64" customWidth="1"/>
    <col min="173" max="173" width="9.140625" style="9"/>
    <col min="174" max="178" width="9.140625" style="9" hidden="1" customWidth="1"/>
    <col min="179" max="179" width="5.85546875" style="9" customWidth="1"/>
    <col min="180" max="181" width="9.140625" style="9"/>
    <col min="182" max="182" width="12.28515625" style="9" customWidth="1"/>
    <col min="183" max="183" width="12" style="64" customWidth="1"/>
    <col min="184" max="184" width="9.28515625" style="64" bestFit="1" customWidth="1"/>
    <col min="185" max="185" width="9.140625" style="64"/>
    <col min="186" max="187" width="13.5703125" style="64" customWidth="1"/>
    <col min="188" max="188" width="9.7109375" style="64" bestFit="1" customWidth="1"/>
    <col min="189" max="189" width="9.140625" style="64"/>
    <col min="190" max="190" width="10.85546875" style="64" customWidth="1"/>
    <col min="191" max="191" width="15" style="64" customWidth="1"/>
    <col min="192" max="192" width="13.7109375" style="64" customWidth="1"/>
    <col min="193" max="194" width="9.140625" style="10"/>
    <col min="195" max="16384" width="9.140625" style="64"/>
  </cols>
  <sheetData>
    <row r="1" spans="1:194" s="4" customFormat="1">
      <c r="A1" s="1"/>
      <c r="B1" s="2"/>
      <c r="C1" s="1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AA1" s="5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5"/>
      <c r="AS1" s="5"/>
      <c r="AT1" s="5"/>
      <c r="AU1" s="5"/>
      <c r="AV1" s="6"/>
      <c r="AW1" s="5"/>
      <c r="AX1" s="6"/>
      <c r="AY1" s="6"/>
      <c r="AZ1" s="374"/>
      <c r="BA1" s="6"/>
      <c r="BB1" s="374"/>
      <c r="BD1" s="5"/>
      <c r="BE1" s="5"/>
      <c r="BF1" s="5"/>
      <c r="BG1" s="6"/>
      <c r="BH1" s="462"/>
      <c r="BJ1" s="4" t="s">
        <v>299</v>
      </c>
      <c r="BK1" s="7"/>
      <c r="CF1" s="22"/>
      <c r="CK1" s="22"/>
      <c r="CO1" s="22"/>
      <c r="DO1" s="7"/>
      <c r="DP1" s="4" t="s">
        <v>300</v>
      </c>
      <c r="DU1" s="8"/>
      <c r="DV1" s="8"/>
      <c r="DW1" s="8"/>
      <c r="DX1" s="8"/>
      <c r="DY1" s="8"/>
      <c r="DZ1" s="8"/>
      <c r="EA1" s="8"/>
      <c r="EB1" s="3"/>
      <c r="EC1" s="8"/>
      <c r="ED1" s="8"/>
      <c r="EE1" s="8"/>
      <c r="EF1" s="8"/>
      <c r="EG1" s="8"/>
      <c r="EH1" s="8"/>
      <c r="EI1" s="8"/>
      <c r="EJ1" s="3"/>
      <c r="EK1" s="3"/>
      <c r="EL1" s="8"/>
      <c r="EM1" s="8"/>
      <c r="EN1" s="3"/>
      <c r="EO1" s="8"/>
      <c r="EP1" s="3"/>
      <c r="EQ1" s="3"/>
      <c r="ER1" s="3"/>
      <c r="ES1" s="3"/>
      <c r="ET1" s="3"/>
      <c r="EU1" s="3"/>
      <c r="EV1" s="3"/>
      <c r="EW1" s="3"/>
      <c r="EX1" s="8"/>
      <c r="EY1" s="8"/>
      <c r="EZ1" s="8"/>
      <c r="FA1" s="8"/>
      <c r="FB1" s="8"/>
      <c r="FC1" s="8"/>
      <c r="FD1" s="3"/>
      <c r="FE1" s="3"/>
      <c r="FF1" s="3"/>
      <c r="FG1" s="3"/>
      <c r="FH1" s="3"/>
      <c r="FI1" s="3"/>
      <c r="FJ1" s="3"/>
      <c r="FK1" s="3"/>
      <c r="FL1" s="3"/>
      <c r="FM1" s="3"/>
      <c r="FN1" s="339"/>
      <c r="FO1" s="339"/>
      <c r="FP1" s="453"/>
      <c r="FQ1" s="23"/>
      <c r="FR1" s="23"/>
      <c r="FS1" s="23"/>
      <c r="FT1" s="23"/>
      <c r="FU1" s="23"/>
      <c r="FV1" s="23"/>
      <c r="FW1" s="23"/>
      <c r="FX1" s="9"/>
      <c r="FY1" s="9"/>
      <c r="FZ1" s="9"/>
      <c r="GK1" s="10"/>
      <c r="GL1" s="10"/>
    </row>
    <row r="2" spans="1:194" s="4" customFormat="1" ht="13.5" customHeight="1">
      <c r="B2" s="11"/>
      <c r="C2" s="12"/>
      <c r="D2" s="13"/>
      <c r="E2" s="14"/>
      <c r="F2" s="14"/>
      <c r="G2" s="3"/>
      <c r="H2" s="12"/>
      <c r="I2" s="12"/>
      <c r="J2" s="12"/>
      <c r="K2" s="336"/>
      <c r="L2" s="12"/>
      <c r="M2" s="12"/>
      <c r="N2" s="12"/>
      <c r="R2" s="15"/>
      <c r="S2" s="15"/>
      <c r="T2" s="15"/>
      <c r="U2" s="15"/>
      <c r="V2" s="16"/>
      <c r="W2" s="16"/>
      <c r="X2" s="16"/>
      <c r="Y2" s="16"/>
      <c r="Z2" s="16"/>
      <c r="AA2" s="17"/>
      <c r="AB2" s="17"/>
      <c r="AC2" s="17"/>
      <c r="AD2" s="17"/>
      <c r="AE2" s="17"/>
      <c r="AF2" s="5"/>
      <c r="AG2" s="5"/>
      <c r="AH2" s="5"/>
      <c r="AI2" s="17"/>
      <c r="AJ2" s="5"/>
      <c r="AK2" s="5"/>
      <c r="AL2" s="5"/>
      <c r="AM2" s="17"/>
      <c r="AN2" s="5"/>
      <c r="AO2" s="5"/>
      <c r="AP2" s="5"/>
      <c r="AQ2" s="5"/>
      <c r="AR2" s="17"/>
      <c r="AS2" s="17"/>
      <c r="AT2" s="17"/>
      <c r="AU2" s="17"/>
      <c r="AV2" s="5"/>
      <c r="AW2" s="17"/>
      <c r="AX2" s="5"/>
      <c r="AY2" s="5"/>
      <c r="AZ2" s="5"/>
      <c r="BA2" s="5"/>
      <c r="BB2" s="5"/>
      <c r="BC2" s="6"/>
      <c r="BD2" s="18"/>
      <c r="BE2" s="18"/>
      <c r="BF2" s="18"/>
      <c r="BG2" s="5"/>
      <c r="BH2" s="5"/>
      <c r="BI2" s="19"/>
      <c r="BJ2" s="19"/>
      <c r="BK2" s="20"/>
      <c r="BL2" s="19"/>
      <c r="BM2" s="19"/>
      <c r="BN2" s="19"/>
      <c r="CG2" s="21"/>
      <c r="CK2" s="22"/>
      <c r="CO2" s="22"/>
      <c r="CU2" s="22"/>
      <c r="DO2" s="7"/>
      <c r="DP2" s="4" t="s">
        <v>301</v>
      </c>
      <c r="DU2" s="8" t="s">
        <v>3</v>
      </c>
      <c r="DV2" s="8"/>
      <c r="DW2" s="8"/>
      <c r="DX2" s="8"/>
      <c r="DY2" s="8"/>
      <c r="DZ2" s="8"/>
      <c r="EA2" s="3"/>
      <c r="EB2" s="3"/>
      <c r="EC2" s="8"/>
      <c r="ED2" s="3"/>
      <c r="EE2" s="8"/>
      <c r="EF2" s="8"/>
      <c r="EG2" s="8"/>
      <c r="EH2" s="8"/>
      <c r="EI2" s="8"/>
      <c r="EJ2" s="9"/>
      <c r="EK2" s="9"/>
      <c r="EL2" s="8"/>
      <c r="EM2" s="8"/>
      <c r="EN2" s="9"/>
      <c r="EO2" s="8"/>
      <c r="EP2" s="104"/>
      <c r="EQ2" s="246"/>
      <c r="ER2" s="246"/>
      <c r="ES2" s="246"/>
      <c r="ET2" s="246"/>
      <c r="EU2" s="9"/>
      <c r="EV2" s="9"/>
      <c r="EW2" s="3"/>
      <c r="EX2" s="8"/>
      <c r="EY2" s="8"/>
      <c r="EZ2" s="8"/>
      <c r="FC2" s="9"/>
      <c r="FD2" s="246"/>
      <c r="FE2" s="9"/>
      <c r="FF2" s="9"/>
      <c r="FG2" s="246"/>
      <c r="FH2" s="9"/>
      <c r="FI2" s="9"/>
      <c r="FJ2" s="9"/>
      <c r="FK2" s="246"/>
      <c r="FL2" s="246"/>
      <c r="FM2" s="9"/>
      <c r="FN2" s="23"/>
      <c r="FO2" s="23"/>
      <c r="FP2" s="23"/>
      <c r="FQ2" s="23"/>
      <c r="FR2" s="23"/>
      <c r="FS2" s="16"/>
      <c r="FT2" s="16"/>
      <c r="FU2" s="16"/>
      <c r="FV2" s="16"/>
      <c r="FW2" s="16"/>
      <c r="GK2" s="10"/>
      <c r="GL2" s="10"/>
    </row>
    <row r="3" spans="1:194" s="16" customFormat="1" ht="30" customHeight="1">
      <c r="D3" s="337"/>
      <c r="E3" s="338"/>
      <c r="F3" s="338"/>
      <c r="G3" s="28"/>
      <c r="H3" s="339"/>
      <c r="I3" s="339"/>
      <c r="J3" s="339"/>
      <c r="K3" s="339"/>
      <c r="L3" s="339"/>
      <c r="M3" s="339"/>
      <c r="N3" s="339"/>
      <c r="P3" s="340"/>
      <c r="R3" s="27" t="s">
        <v>211</v>
      </c>
      <c r="S3" s="27" t="s">
        <v>212</v>
      </c>
      <c r="T3" s="27" t="s">
        <v>213</v>
      </c>
      <c r="U3" s="27"/>
      <c r="V3" s="27" t="s">
        <v>214</v>
      </c>
      <c r="W3" s="27"/>
      <c r="X3" s="27">
        <v>1402</v>
      </c>
      <c r="Y3" s="27" t="s">
        <v>215</v>
      </c>
      <c r="Z3" s="27" t="s">
        <v>216</v>
      </c>
      <c r="AA3" s="27" t="s">
        <v>217</v>
      </c>
      <c r="AB3" s="27" t="s">
        <v>218</v>
      </c>
      <c r="AC3" s="27" t="s">
        <v>219</v>
      </c>
      <c r="AD3" s="28" t="s">
        <v>220</v>
      </c>
      <c r="AE3" s="28" t="s">
        <v>221</v>
      </c>
      <c r="AF3" s="27" t="s">
        <v>222</v>
      </c>
      <c r="AG3" s="27" t="s">
        <v>223</v>
      </c>
      <c r="AH3" s="28" t="s">
        <v>224</v>
      </c>
      <c r="AI3" s="28" t="s">
        <v>225</v>
      </c>
      <c r="AJ3" s="27" t="s">
        <v>226</v>
      </c>
      <c r="AK3" s="27" t="s">
        <v>227</v>
      </c>
      <c r="AL3" s="27" t="s">
        <v>228</v>
      </c>
      <c r="AM3" s="28" t="s">
        <v>229</v>
      </c>
      <c r="AN3" s="27" t="s">
        <v>230</v>
      </c>
      <c r="AO3" s="27" t="s">
        <v>231</v>
      </c>
      <c r="AP3" s="27" t="s">
        <v>232</v>
      </c>
      <c r="AQ3" s="27" t="s">
        <v>233</v>
      </c>
      <c r="AR3" s="27" t="s">
        <v>234</v>
      </c>
      <c r="AS3" s="27" t="s">
        <v>235</v>
      </c>
      <c r="AT3" s="27" t="s">
        <v>236</v>
      </c>
      <c r="AU3" s="27" t="s">
        <v>237</v>
      </c>
      <c r="AV3" s="27">
        <v>32</v>
      </c>
      <c r="AW3" s="27" t="s">
        <v>238</v>
      </c>
      <c r="AX3" s="27" t="s">
        <v>239</v>
      </c>
      <c r="AY3" s="341" t="s">
        <v>199</v>
      </c>
      <c r="AZ3" s="27" t="s">
        <v>240</v>
      </c>
      <c r="BA3" s="27" t="s">
        <v>241</v>
      </c>
      <c r="BB3" s="27" t="s">
        <v>242</v>
      </c>
      <c r="BC3" s="29" t="s">
        <v>243</v>
      </c>
      <c r="BD3" s="27"/>
      <c r="BE3" s="27"/>
      <c r="BF3" s="27"/>
      <c r="BG3" s="27" t="s">
        <v>298</v>
      </c>
      <c r="BH3" s="27"/>
      <c r="BI3" s="342" t="s">
        <v>244</v>
      </c>
      <c r="BJ3" s="342" t="s">
        <v>245</v>
      </c>
      <c r="BK3" s="343"/>
      <c r="BL3" s="342">
        <v>6932</v>
      </c>
      <c r="BM3" s="342"/>
      <c r="BN3" s="342"/>
      <c r="BO3" s="459" t="s">
        <v>4</v>
      </c>
      <c r="BY3" s="375"/>
      <c r="CC3" s="16">
        <f>COLUMN(CC2)-3</f>
        <v>78</v>
      </c>
      <c r="CD3" s="16">
        <f>COLUMN(CD2)-3</f>
        <v>79</v>
      </c>
      <c r="CE3" s="16">
        <f>COLUMN(CE2)-3</f>
        <v>80</v>
      </c>
      <c r="CF3" s="16">
        <f>COLUMN(CF2)-3</f>
        <v>81</v>
      </c>
      <c r="CG3" s="16">
        <f>COLUMN(CG2)-2</f>
        <v>83</v>
      </c>
      <c r="CH3" s="16">
        <f>COLUMN(CH2)-2</f>
        <v>84</v>
      </c>
      <c r="CI3" s="16">
        <f t="shared" ref="CI3:CX3" si="0">COLUMN(CI2)-2</f>
        <v>85</v>
      </c>
      <c r="CJ3" s="16">
        <f t="shared" si="0"/>
        <v>86</v>
      </c>
      <c r="CK3" s="16">
        <f t="shared" si="0"/>
        <v>87</v>
      </c>
      <c r="CL3" s="16">
        <f t="shared" si="0"/>
        <v>88</v>
      </c>
      <c r="CM3" s="16">
        <f t="shared" si="0"/>
        <v>89</v>
      </c>
      <c r="CN3" s="16">
        <f t="shared" si="0"/>
        <v>90</v>
      </c>
      <c r="CO3" s="16">
        <f t="shared" si="0"/>
        <v>91</v>
      </c>
      <c r="CP3" s="16">
        <f t="shared" si="0"/>
        <v>92</v>
      </c>
      <c r="CQ3" s="16">
        <f t="shared" si="0"/>
        <v>93</v>
      </c>
      <c r="CR3" s="16">
        <f t="shared" si="0"/>
        <v>94</v>
      </c>
      <c r="CS3" s="16">
        <f t="shared" si="0"/>
        <v>95</v>
      </c>
      <c r="CT3" s="16">
        <f t="shared" si="0"/>
        <v>96</v>
      </c>
      <c r="CU3" s="16">
        <f t="shared" si="0"/>
        <v>97</v>
      </c>
      <c r="CV3" s="16">
        <f t="shared" si="0"/>
        <v>98</v>
      </c>
      <c r="CW3" s="16">
        <f t="shared" si="0"/>
        <v>99</v>
      </c>
      <c r="CX3" s="16">
        <f t="shared" si="0"/>
        <v>100</v>
      </c>
      <c r="CY3" s="16">
        <f>COLUMN(CY2)-3</f>
        <v>100</v>
      </c>
      <c r="CZ3" s="16">
        <f>COLUMN(CZ2)-2</f>
        <v>102</v>
      </c>
      <c r="DA3" s="16">
        <f>COLUMN(DA2)-3</f>
        <v>102</v>
      </c>
      <c r="DB3" s="16">
        <f>COLUMN(DB2)-2</f>
        <v>104</v>
      </c>
      <c r="DC3" s="16">
        <f>COLUMN(DC2)-2</f>
        <v>105</v>
      </c>
      <c r="DO3" s="345"/>
      <c r="DU3" s="346" t="s">
        <v>5</v>
      </c>
      <c r="DV3" s="347" t="s">
        <v>6</v>
      </c>
      <c r="DW3" s="347" t="s">
        <v>7</v>
      </c>
      <c r="DX3" s="347" t="s">
        <v>8</v>
      </c>
      <c r="DY3" s="347" t="s">
        <v>9</v>
      </c>
      <c r="DZ3" s="347" t="s">
        <v>10</v>
      </c>
      <c r="EA3" s="347" t="s">
        <v>11</v>
      </c>
      <c r="EB3" s="347" t="s">
        <v>12</v>
      </c>
      <c r="EC3" s="347" t="s">
        <v>13</v>
      </c>
      <c r="ED3" s="347" t="s">
        <v>14</v>
      </c>
      <c r="EE3" s="348" t="s">
        <v>200</v>
      </c>
      <c r="EF3" s="348" t="s">
        <v>201</v>
      </c>
      <c r="EG3" s="347" t="s">
        <v>17</v>
      </c>
      <c r="EH3" s="347" t="s">
        <v>18</v>
      </c>
      <c r="EI3" s="347" t="s">
        <v>19</v>
      </c>
      <c r="EJ3" s="347" t="s">
        <v>20</v>
      </c>
      <c r="EK3" s="347" t="s">
        <v>21</v>
      </c>
      <c r="EL3" s="347" t="s">
        <v>22</v>
      </c>
      <c r="EM3" s="347" t="s">
        <v>23</v>
      </c>
      <c r="EN3" s="347" t="s">
        <v>24</v>
      </c>
      <c r="EO3" s="348" t="s">
        <v>25</v>
      </c>
      <c r="EP3" s="348" t="s">
        <v>26</v>
      </c>
      <c r="EQ3" s="347" t="s">
        <v>27</v>
      </c>
      <c r="ER3" s="347" t="s">
        <v>28</v>
      </c>
      <c r="ES3" s="347" t="s">
        <v>29</v>
      </c>
      <c r="ET3" s="347" t="s">
        <v>30</v>
      </c>
      <c r="EU3" s="347" t="s">
        <v>31</v>
      </c>
      <c r="EV3" s="347" t="s">
        <v>32</v>
      </c>
      <c r="EW3" s="347" t="s">
        <v>33</v>
      </c>
      <c r="EX3" s="347" t="s">
        <v>34</v>
      </c>
      <c r="EY3" s="348" t="s">
        <v>35</v>
      </c>
      <c r="EZ3" s="347" t="s">
        <v>36</v>
      </c>
      <c r="FA3" s="348" t="s">
        <v>37</v>
      </c>
      <c r="FB3" s="36" t="s">
        <v>38</v>
      </c>
      <c r="FC3" s="577" t="s">
        <v>39</v>
      </c>
      <c r="FD3" s="37" t="s">
        <v>40</v>
      </c>
      <c r="FE3" s="38" t="s">
        <v>41</v>
      </c>
      <c r="FF3" s="38" t="s">
        <v>42</v>
      </c>
      <c r="FG3" s="38" t="s">
        <v>43</v>
      </c>
      <c r="FH3" s="38" t="s">
        <v>44</v>
      </c>
      <c r="FI3" s="38" t="s">
        <v>45</v>
      </c>
      <c r="FJ3" s="38" t="s">
        <v>46</v>
      </c>
      <c r="FK3" s="38" t="s">
        <v>47</v>
      </c>
      <c r="FL3" s="38" t="s">
        <v>48</v>
      </c>
      <c r="FM3" s="39" t="s">
        <v>49</v>
      </c>
      <c r="FN3" s="38" t="s">
        <v>50</v>
      </c>
      <c r="FO3" s="40" t="s">
        <v>51</v>
      </c>
      <c r="FP3" s="41" t="s">
        <v>52</v>
      </c>
      <c r="FQ3" s="23"/>
      <c r="GK3" s="222"/>
      <c r="GL3" s="222"/>
    </row>
    <row r="4" spans="1:194" s="4" customFormat="1" ht="26.25" customHeight="1">
      <c r="B4" s="579" t="s">
        <v>53</v>
      </c>
      <c r="C4" s="42"/>
      <c r="D4" s="43" t="s">
        <v>54</v>
      </c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2"/>
      <c r="R4" s="45" t="s">
        <v>55</v>
      </c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7"/>
      <c r="BL4" s="48" t="s">
        <v>55</v>
      </c>
      <c r="BM4" s="48"/>
      <c r="BN4" s="47"/>
      <c r="BO4" s="32" t="s">
        <v>56</v>
      </c>
      <c r="BP4" s="32"/>
      <c r="BQ4" s="32"/>
      <c r="BR4" s="32"/>
      <c r="BS4" s="32"/>
      <c r="BT4" s="32"/>
      <c r="BU4" s="32"/>
      <c r="BV4" s="32" t="s">
        <v>57</v>
      </c>
      <c r="BW4" s="32"/>
      <c r="BX4" s="32"/>
      <c r="BY4" s="32"/>
      <c r="BZ4" s="32"/>
      <c r="CA4" s="32"/>
      <c r="CB4" s="32"/>
      <c r="CC4" s="32"/>
      <c r="CD4" s="32"/>
      <c r="CE4" s="32"/>
      <c r="CF4" s="581" t="s">
        <v>56</v>
      </c>
      <c r="CG4" s="581"/>
      <c r="CH4" s="581"/>
      <c r="CI4" s="49"/>
      <c r="CJ4" s="581" t="s">
        <v>56</v>
      </c>
      <c r="CK4" s="581"/>
      <c r="CL4" s="581"/>
      <c r="CM4" s="49"/>
      <c r="CN4" s="581" t="s">
        <v>56</v>
      </c>
      <c r="CO4" s="581"/>
      <c r="CP4" s="581"/>
      <c r="CQ4" s="49"/>
      <c r="CR4" s="581" t="s">
        <v>56</v>
      </c>
      <c r="CS4" s="581"/>
      <c r="CT4" s="581"/>
      <c r="CU4" s="581" t="s">
        <v>56</v>
      </c>
      <c r="CV4" s="581"/>
      <c r="CW4" s="581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50"/>
      <c r="DP4" s="32" t="s">
        <v>58</v>
      </c>
      <c r="DQ4" s="51"/>
      <c r="DR4" s="52"/>
      <c r="DS4" s="53"/>
      <c r="DT4" s="33" t="s">
        <v>53</v>
      </c>
      <c r="DU4" s="347"/>
      <c r="DV4" s="347"/>
      <c r="DW4" s="347"/>
      <c r="DX4" s="347"/>
      <c r="DY4" s="347"/>
      <c r="DZ4" s="347"/>
      <c r="EA4" s="347"/>
      <c r="EB4" s="347"/>
      <c r="EC4" s="347"/>
      <c r="ED4" s="347"/>
      <c r="EE4" s="347"/>
      <c r="EF4" s="347"/>
      <c r="EG4" s="347"/>
      <c r="EH4" s="347"/>
      <c r="EI4" s="347"/>
      <c r="EJ4" s="347"/>
      <c r="EK4" s="347"/>
      <c r="EL4" s="347"/>
      <c r="EM4" s="347"/>
      <c r="EN4" s="347"/>
      <c r="EO4" s="347"/>
      <c r="EP4" s="347"/>
      <c r="EQ4" s="347"/>
      <c r="ER4" s="347"/>
      <c r="ES4" s="347"/>
      <c r="ET4" s="347"/>
      <c r="EU4" s="347"/>
      <c r="EV4" s="347"/>
      <c r="EW4" s="347"/>
      <c r="EX4" s="347"/>
      <c r="EY4" s="347"/>
      <c r="EZ4" s="347"/>
      <c r="FA4" s="347"/>
      <c r="FB4" s="54"/>
      <c r="FC4" s="578"/>
      <c r="FD4" s="55"/>
      <c r="FE4" s="54"/>
      <c r="FF4" s="54"/>
      <c r="FG4" s="54"/>
      <c r="FH4" s="54"/>
      <c r="FI4" s="54"/>
      <c r="FJ4" s="54"/>
      <c r="FK4" s="54"/>
      <c r="FL4" s="54"/>
      <c r="FM4" s="56"/>
      <c r="FN4" s="349"/>
      <c r="FO4" s="58"/>
      <c r="FP4" s="350"/>
      <c r="FZ4" s="60"/>
      <c r="GA4" s="60"/>
      <c r="GB4" s="60"/>
      <c r="GC4" s="60"/>
      <c r="GD4" s="61" t="s">
        <v>59</v>
      </c>
      <c r="GE4" s="61"/>
      <c r="GF4" s="61"/>
      <c r="GG4" s="62"/>
      <c r="GH4" s="34" t="s">
        <v>60</v>
      </c>
      <c r="GI4" s="63" t="s">
        <v>61</v>
      </c>
      <c r="GJ4" s="63"/>
    </row>
    <row r="5" spans="1:194" ht="36" customHeight="1">
      <c r="B5" s="580"/>
      <c r="C5" s="65"/>
      <c r="D5" s="66" t="s">
        <v>62</v>
      </c>
      <c r="E5" s="66" t="s">
        <v>63</v>
      </c>
      <c r="F5" s="66" t="s">
        <v>64</v>
      </c>
      <c r="G5" s="66" t="s">
        <v>65</v>
      </c>
      <c r="H5" s="66" t="s">
        <v>66</v>
      </c>
      <c r="I5" s="66" t="s">
        <v>19</v>
      </c>
      <c r="J5" s="66" t="s">
        <v>20</v>
      </c>
      <c r="K5" s="66" t="s">
        <v>21</v>
      </c>
      <c r="L5" s="67" t="s">
        <v>67</v>
      </c>
      <c r="M5" s="67" t="s">
        <v>68</v>
      </c>
      <c r="N5" s="66" t="s">
        <v>69</v>
      </c>
      <c r="O5" s="66" t="s">
        <v>70</v>
      </c>
      <c r="P5" s="66" t="s">
        <v>71</v>
      </c>
      <c r="Q5" s="65"/>
      <c r="R5" s="66" t="s">
        <v>22</v>
      </c>
      <c r="S5" s="66" t="s">
        <v>72</v>
      </c>
      <c r="T5" s="66" t="s">
        <v>23</v>
      </c>
      <c r="U5" s="68" t="s">
        <v>73</v>
      </c>
      <c r="V5" s="66" t="s">
        <v>74</v>
      </c>
      <c r="W5" s="68" t="s">
        <v>75</v>
      </c>
      <c r="X5" s="66" t="s">
        <v>76</v>
      </c>
      <c r="Y5" s="66" t="s">
        <v>27</v>
      </c>
      <c r="Z5" s="66" t="s">
        <v>28</v>
      </c>
      <c r="AA5" s="67" t="s">
        <v>77</v>
      </c>
      <c r="AB5" s="67" t="s">
        <v>78</v>
      </c>
      <c r="AC5" s="66" t="s">
        <v>6</v>
      </c>
      <c r="AD5" s="67" t="s">
        <v>79</v>
      </c>
      <c r="AE5" s="67" t="s">
        <v>80</v>
      </c>
      <c r="AF5" s="67" t="s">
        <v>8</v>
      </c>
      <c r="AG5" s="66" t="s">
        <v>9</v>
      </c>
      <c r="AH5" s="67" t="s">
        <v>81</v>
      </c>
      <c r="AI5" s="67" t="s">
        <v>82</v>
      </c>
      <c r="AJ5" s="67" t="s">
        <v>11</v>
      </c>
      <c r="AK5" s="66" t="s">
        <v>12</v>
      </c>
      <c r="AL5" s="67" t="s">
        <v>83</v>
      </c>
      <c r="AM5" s="67" t="s">
        <v>84</v>
      </c>
      <c r="AN5" s="66" t="s">
        <v>14</v>
      </c>
      <c r="AO5" s="66" t="s">
        <v>65</v>
      </c>
      <c r="AP5" s="66" t="s">
        <v>17</v>
      </c>
      <c r="AQ5" s="66" t="s">
        <v>66</v>
      </c>
      <c r="AR5" s="67" t="s">
        <v>85</v>
      </c>
      <c r="AS5" s="66" t="s">
        <v>86</v>
      </c>
      <c r="AT5" s="67" t="s">
        <v>87</v>
      </c>
      <c r="AU5" s="67" t="s">
        <v>88</v>
      </c>
      <c r="AV5" s="66">
        <v>561</v>
      </c>
      <c r="AW5" s="67" t="s">
        <v>89</v>
      </c>
      <c r="AX5" s="66">
        <v>562</v>
      </c>
      <c r="AY5" s="66" t="s">
        <v>21</v>
      </c>
      <c r="AZ5" s="66" t="s">
        <v>33</v>
      </c>
      <c r="BA5" s="66" t="s">
        <v>90</v>
      </c>
      <c r="BB5" s="66" t="s">
        <v>34</v>
      </c>
      <c r="BC5" s="67" t="s">
        <v>91</v>
      </c>
      <c r="BD5" s="68" t="s">
        <v>92</v>
      </c>
      <c r="BE5" s="67" t="s">
        <v>93</v>
      </c>
      <c r="BF5" s="67" t="s">
        <v>94</v>
      </c>
      <c r="BG5" s="66" t="s">
        <v>95</v>
      </c>
      <c r="BH5" s="66" t="s">
        <v>96</v>
      </c>
      <c r="BI5" s="66" t="s">
        <v>97</v>
      </c>
      <c r="BJ5" s="66" t="s">
        <v>98</v>
      </c>
      <c r="BK5" s="69"/>
      <c r="BL5" s="66" t="s">
        <v>99</v>
      </c>
      <c r="BM5" s="70" t="s">
        <v>71</v>
      </c>
      <c r="BN5" s="69"/>
      <c r="BO5" s="67" t="s">
        <v>22</v>
      </c>
      <c r="BP5" s="67" t="s">
        <v>72</v>
      </c>
      <c r="BQ5" s="67" t="s">
        <v>23</v>
      </c>
      <c r="BR5" s="67" t="s">
        <v>74</v>
      </c>
      <c r="BS5" s="67" t="s">
        <v>27</v>
      </c>
      <c r="BT5" s="67" t="s">
        <v>28</v>
      </c>
      <c r="BU5" s="67" t="s">
        <v>101</v>
      </c>
      <c r="BV5" s="67" t="s">
        <v>22</v>
      </c>
      <c r="BW5" s="67" t="s">
        <v>100</v>
      </c>
      <c r="BX5" s="67" t="s">
        <v>23</v>
      </c>
      <c r="BY5" s="67" t="s">
        <v>74</v>
      </c>
      <c r="BZ5" s="67" t="s">
        <v>102</v>
      </c>
      <c r="CA5" s="71" t="s">
        <v>1</v>
      </c>
      <c r="CB5" s="66" t="s">
        <v>103</v>
      </c>
      <c r="CC5" s="66" t="s">
        <v>86</v>
      </c>
      <c r="CD5" s="67" t="s">
        <v>104</v>
      </c>
      <c r="CE5" s="67" t="s">
        <v>204</v>
      </c>
      <c r="CF5" s="66" t="s">
        <v>78</v>
      </c>
      <c r="CG5" s="66" t="s">
        <v>6</v>
      </c>
      <c r="CH5" s="67" t="s">
        <v>106</v>
      </c>
      <c r="CI5" s="71" t="s">
        <v>1</v>
      </c>
      <c r="CJ5" s="66" t="s">
        <v>8</v>
      </c>
      <c r="CK5" s="66" t="s">
        <v>9</v>
      </c>
      <c r="CL5" s="67" t="s">
        <v>107</v>
      </c>
      <c r="CM5" s="71" t="s">
        <v>1</v>
      </c>
      <c r="CN5" s="66" t="s">
        <v>11</v>
      </c>
      <c r="CO5" s="66" t="s">
        <v>12</v>
      </c>
      <c r="CP5" s="67" t="s">
        <v>205</v>
      </c>
      <c r="CQ5" s="71" t="s">
        <v>1</v>
      </c>
      <c r="CR5" s="66" t="s">
        <v>109</v>
      </c>
      <c r="CS5" s="67" t="s">
        <v>206</v>
      </c>
      <c r="CT5" s="71" t="s">
        <v>1</v>
      </c>
      <c r="CU5" s="66" t="s">
        <v>17</v>
      </c>
      <c r="CV5" s="67" t="s">
        <v>207</v>
      </c>
      <c r="CW5" s="71" t="s">
        <v>1</v>
      </c>
      <c r="CX5" s="67" t="s">
        <v>110</v>
      </c>
      <c r="CY5" s="66" t="s">
        <v>19</v>
      </c>
      <c r="CZ5" s="67" t="s">
        <v>111</v>
      </c>
      <c r="DA5" s="66" t="s">
        <v>112</v>
      </c>
      <c r="DB5" s="66" t="s">
        <v>33</v>
      </c>
      <c r="DC5" s="66" t="s">
        <v>34</v>
      </c>
      <c r="DD5" s="66" t="s">
        <v>91</v>
      </c>
      <c r="DE5" s="66" t="s">
        <v>92</v>
      </c>
      <c r="DF5" s="66" t="s">
        <v>113</v>
      </c>
      <c r="DG5" s="66" t="s">
        <v>114</v>
      </c>
      <c r="DH5" s="67" t="s">
        <v>115</v>
      </c>
      <c r="DI5" s="71" t="s">
        <v>1</v>
      </c>
      <c r="DJ5" s="66" t="s">
        <v>96</v>
      </c>
      <c r="DK5" s="71" t="s">
        <v>1</v>
      </c>
      <c r="DL5" s="66" t="s">
        <v>97</v>
      </c>
      <c r="DM5" s="71" t="s">
        <v>1</v>
      </c>
      <c r="DN5" s="67" t="s">
        <v>98</v>
      </c>
      <c r="DO5" s="69"/>
      <c r="DP5" s="66" t="s">
        <v>116</v>
      </c>
      <c r="DQ5" s="72" t="s">
        <v>71</v>
      </c>
      <c r="DR5" s="73" t="s">
        <v>1</v>
      </c>
      <c r="DS5" s="74"/>
      <c r="DT5" s="75"/>
      <c r="DU5" s="76">
        <v>629145</v>
      </c>
      <c r="DV5" s="76">
        <v>28046</v>
      </c>
      <c r="DW5" s="76">
        <v>5139899</v>
      </c>
      <c r="DX5" s="76">
        <v>119923</v>
      </c>
      <c r="DY5" s="76">
        <v>85646.3</v>
      </c>
      <c r="DZ5" s="76">
        <v>398308</v>
      </c>
      <c r="EA5" s="77">
        <v>235014</v>
      </c>
      <c r="EB5" s="77">
        <v>54886.1</v>
      </c>
      <c r="EC5" s="77">
        <v>412373</v>
      </c>
      <c r="ED5" s="355">
        <v>47764.7</v>
      </c>
      <c r="EE5" s="104">
        <v>42729</v>
      </c>
      <c r="EF5" s="104">
        <v>39437.9</v>
      </c>
      <c r="EG5" s="355">
        <v>93136.9</v>
      </c>
      <c r="EH5" s="355">
        <v>183620.5</v>
      </c>
      <c r="EI5" s="355">
        <v>32640</v>
      </c>
      <c r="EJ5" s="104">
        <v>41317</v>
      </c>
      <c r="EK5" s="104"/>
      <c r="EL5" s="76">
        <v>707704.3</v>
      </c>
      <c r="EM5" s="355">
        <v>3201</v>
      </c>
      <c r="EN5" s="104">
        <v>45407.1</v>
      </c>
      <c r="EO5" s="355">
        <v>3052746.2</v>
      </c>
      <c r="EP5" s="104">
        <v>2791095</v>
      </c>
      <c r="EQ5" s="104">
        <v>587</v>
      </c>
      <c r="ER5" s="104">
        <v>1564</v>
      </c>
      <c r="ES5" s="104">
        <v>374279</v>
      </c>
      <c r="ET5" s="104">
        <v>2650070</v>
      </c>
      <c r="EU5" s="104">
        <v>431940</v>
      </c>
      <c r="EV5" s="104">
        <v>145550</v>
      </c>
      <c r="EW5" s="104">
        <v>118045</v>
      </c>
      <c r="EX5" s="355">
        <v>212031.2</v>
      </c>
      <c r="EY5" s="355">
        <v>1668646.1</v>
      </c>
      <c r="EZ5" s="355">
        <v>789521</v>
      </c>
      <c r="FA5" s="355">
        <v>751756</v>
      </c>
      <c r="FB5" s="104">
        <v>32087.599999999999</v>
      </c>
      <c r="FC5" s="355">
        <v>6759</v>
      </c>
      <c r="FD5" s="78">
        <v>2337</v>
      </c>
      <c r="FE5" s="77"/>
      <c r="FF5" s="79"/>
      <c r="FG5" s="79"/>
      <c r="FH5" s="77"/>
      <c r="FI5" s="79"/>
      <c r="FJ5" s="77"/>
      <c r="FK5" s="79"/>
      <c r="FL5" s="79"/>
      <c r="FM5" s="79"/>
      <c r="FN5" s="80"/>
      <c r="FO5" s="77"/>
      <c r="FP5" s="81"/>
      <c r="FQ5" s="64"/>
      <c r="FR5" s="64"/>
      <c r="FS5" s="64"/>
      <c r="FT5" s="64"/>
      <c r="FU5" s="64"/>
      <c r="FV5" s="64"/>
      <c r="FW5" s="64"/>
      <c r="FX5" s="64"/>
      <c r="FY5" s="64"/>
      <c r="FZ5" s="82" t="s">
        <v>117</v>
      </c>
      <c r="GA5" s="82" t="s">
        <v>118</v>
      </c>
      <c r="GB5" s="82" t="s">
        <v>119</v>
      </c>
      <c r="GC5" s="70" t="s">
        <v>120</v>
      </c>
      <c r="GD5" s="70" t="s">
        <v>121</v>
      </c>
      <c r="GE5" s="70" t="s">
        <v>122</v>
      </c>
      <c r="GF5" s="70" t="s">
        <v>74</v>
      </c>
      <c r="GG5" s="70" t="s">
        <v>120</v>
      </c>
      <c r="GH5" s="70" t="s">
        <v>120</v>
      </c>
      <c r="GI5" s="83" t="s">
        <v>123</v>
      </c>
      <c r="GJ5" s="70" t="s">
        <v>124</v>
      </c>
      <c r="GK5" s="64"/>
      <c r="GL5" s="64"/>
    </row>
    <row r="6" spans="1:194" ht="15" customHeight="1">
      <c r="A6" s="4"/>
      <c r="B6" s="351">
        <v>42948</v>
      </c>
      <c r="C6" s="53"/>
      <c r="D6" s="85"/>
      <c r="E6" s="85">
        <v>3336</v>
      </c>
      <c r="F6" s="86">
        <v>1340.2080000000001</v>
      </c>
      <c r="G6" s="86">
        <v>5027.1419999999998</v>
      </c>
      <c r="H6" s="86">
        <v>6038.9229999999998</v>
      </c>
      <c r="I6" s="86">
        <v>1796.242</v>
      </c>
      <c r="J6" s="86">
        <v>2310.66</v>
      </c>
      <c r="K6" s="86"/>
      <c r="L6" s="86">
        <v>204.36</v>
      </c>
      <c r="M6" s="87">
        <f>I6+J6</f>
        <v>4106.902</v>
      </c>
      <c r="N6" s="88">
        <f>SUM(D6:H6)</f>
        <v>15742.273000000001</v>
      </c>
      <c r="O6" s="88">
        <f>N6+L6+((J6+I6)*0.5)</f>
        <v>18000.084000000003</v>
      </c>
      <c r="P6" s="89">
        <f>O6</f>
        <v>18000.084000000003</v>
      </c>
      <c r="Q6" s="74"/>
      <c r="R6" s="170">
        <f>IF(EL6=0,"",(EL6-EL5))</f>
        <v>321.89999999990687</v>
      </c>
      <c r="S6" s="170">
        <f>IF(EZ6=0,"",((EZ6-EZ5)/10))</f>
        <v>0</v>
      </c>
      <c r="T6" s="170">
        <f t="shared" ref="T6:T36" si="1">IF(EM6=0,"",((EM6/10)))</f>
        <v>683.2</v>
      </c>
      <c r="U6" s="91">
        <f>IF(FB6=0,"",((EN6-EN5)/10))</f>
        <v>6.15</v>
      </c>
      <c r="V6" s="170">
        <f>IF(EO6=0,"",(EO6-EO5))</f>
        <v>1644.0999999996275</v>
      </c>
      <c r="W6" s="91">
        <f t="shared" ref="W6:W36" si="2">IF(EP6=0,"",(EP6-EP5)/10)</f>
        <v>146</v>
      </c>
      <c r="X6" s="170">
        <f>IF(V6="","",V6)</f>
        <v>1644.0999999996275</v>
      </c>
      <c r="Y6" s="170" t="str">
        <f>IF(EQ6=0,"0",(EQ6/10))</f>
        <v>0</v>
      </c>
      <c r="Z6" s="170">
        <f t="shared" ref="Z6:Z36" si="3">IF(ER6=0,"",(ER6/10))</f>
        <v>202.8</v>
      </c>
      <c r="AA6" s="170">
        <f>IF(SUM(R6:V6)=0,"",SUM(R6:V6))</f>
        <v>2655.3499999995342</v>
      </c>
      <c r="AB6" s="170">
        <f>IF(DU6=0,"",(DU6-DU5))</f>
        <v>121</v>
      </c>
      <c r="AC6" s="170">
        <f>IF(DV6=0,"",(DV6-DV5))</f>
        <v>80</v>
      </c>
      <c r="AD6" s="170">
        <f>(IF(SUM(AB6:AC6)&gt;=(DW6-DW5),(SUM(AB6:AC6)),(DW6-DW5)))</f>
        <v>333</v>
      </c>
      <c r="AE6" s="170">
        <f>IF(AB6="","",(AD6-AC6-AB6))</f>
        <v>132</v>
      </c>
      <c r="AF6" s="170">
        <f>IF(DX6=0,"",(DX6-DX5))</f>
        <v>220</v>
      </c>
      <c r="AG6" s="170">
        <f>IF(DY6=0,"",(DY6-DY5))</f>
        <v>11.69999999999709</v>
      </c>
      <c r="AH6" s="170">
        <f>(IF(SUM(AF6:AG6)&gt;=(DZ6-DZ5),(SUM(AF6:AG6)),(DZ6-DZ5)))</f>
        <v>231.69999999999709</v>
      </c>
      <c r="AI6" s="170">
        <f>IF(AF6="","",(AH6-AG6-AF6))</f>
        <v>0</v>
      </c>
      <c r="AJ6" s="170">
        <f>IF(EA6=0,"",(EA6-EA5))</f>
        <v>109</v>
      </c>
      <c r="AK6" s="170">
        <f>IF(EB6=0,"",(EB6-EB5))</f>
        <v>24.900000000001455</v>
      </c>
      <c r="AL6" s="170">
        <f>(IF(SUM(AJ6:AK6)&gt;=(EC6-EC5),(SUM(AJ6:AK6)),(EC6-EC5)))</f>
        <v>203</v>
      </c>
      <c r="AM6" s="170">
        <f>IF(AJ6="","",(AL6-AK6-AJ6))</f>
        <v>69.099999999998545</v>
      </c>
      <c r="AN6" s="170">
        <f>IF(ED6=0,"",(ED6-ED5))</f>
        <v>0</v>
      </c>
      <c r="AO6" s="170">
        <f t="shared" ref="AO6:AO36" si="4">IF(AN6="","",(EE6-EE5)+(EF6-EF5))</f>
        <v>37.099999999998545</v>
      </c>
      <c r="AP6" s="170">
        <f>IF(EG6=0,"",(EG6-EG5))</f>
        <v>35.600000000005821</v>
      </c>
      <c r="AQ6" s="170">
        <f t="shared" ref="AQ6:AQ36" si="5">IF(AP6=0.1,0,(IF(AP6&gt;=(EH6-EH5),(AP6),(EH6-EH5))))</f>
        <v>60.5</v>
      </c>
      <c r="AR6" s="170">
        <f>IF(ET6=0,"",(ET6-ET5)/1000)</f>
        <v>88.557000000000002</v>
      </c>
      <c r="AS6" s="170">
        <f>IF(AR6="","",(ES6-ES5)+((ET6-ET5)/1000)-AW6-AU6)</f>
        <v>204.55700000000002</v>
      </c>
      <c r="AT6" s="170">
        <f>IF(AR6="","",ES6-ES5+((ET6-ET5)/1000))</f>
        <v>803.55700000000002</v>
      </c>
      <c r="AU6" s="170">
        <f>IF(EV6="","",(EV6-EV5))</f>
        <v>295</v>
      </c>
      <c r="AV6" s="170">
        <f>IF(EI6=0,"",(EI6-EI5))</f>
        <v>14</v>
      </c>
      <c r="AW6" s="170">
        <f>IF(EU6="","",(EU6-EU5))</f>
        <v>304</v>
      </c>
      <c r="AX6" s="170">
        <f>IF(EJ6=0,"",(EJ6-EJ5))</f>
        <v>31</v>
      </c>
      <c r="AY6" s="170"/>
      <c r="AZ6" s="170">
        <f>IF(EW6=0,"",EW6-EW5)</f>
        <v>246</v>
      </c>
      <c r="BA6" s="170">
        <v>117</v>
      </c>
      <c r="BB6" s="170">
        <f>IF(EX6=0,"",(EX6-EX5))</f>
        <v>187.69999999998254</v>
      </c>
      <c r="BC6" s="170">
        <f>IF(EY6=0,"",(EY6-EY5))</f>
        <v>1113.5999999998603</v>
      </c>
      <c r="BD6" s="91">
        <f>IF(FA6=0,"",(FA6-FA5))</f>
        <v>22</v>
      </c>
      <c r="BE6" s="90"/>
      <c r="BF6" s="90"/>
      <c r="BG6" s="90">
        <f>IFERROR(SUM(BB6:BC6)+AZ6+BD6,"")</f>
        <v>1569.2999999998428</v>
      </c>
      <c r="BH6" s="90">
        <f>BL6-FC6</f>
        <v>-1065</v>
      </c>
      <c r="BI6" s="90">
        <f t="shared" ref="BI6:BI36" si="6">IF(FC6=0,"",(FC6-BJ6))</f>
        <v>868.49300000062703</v>
      </c>
      <c r="BJ6" s="90">
        <f>IF(BH6=0,"",(AA6+AD6+AO6+BG6+AH6+AL6+AQ6+AT6+AX6+AV6))</f>
        <v>5938.506999999373</v>
      </c>
      <c r="BK6" s="92"/>
      <c r="BL6" s="93">
        <f>FD6+FN6</f>
        <v>5742</v>
      </c>
      <c r="BM6" s="93">
        <f>BL6</f>
        <v>5742</v>
      </c>
      <c r="BN6" s="92"/>
      <c r="BO6" s="94">
        <f>IF($N6&lt;&gt;0,IF($N6&lt;&gt;0,R6/$N6*10,0)," ")</f>
        <v>0.20448127154185855</v>
      </c>
      <c r="BP6" s="94">
        <f>IF($N6&lt;&gt;0,IF($N6&lt;&gt;0,S6/$N6*10,0)," ")</f>
        <v>0</v>
      </c>
      <c r="BQ6" s="94">
        <f>IF($N6&lt;&gt;0,IF($N6&lt;&gt;0,T6/$N6*10,0)," ")</f>
        <v>0.43399069499048837</v>
      </c>
      <c r="BR6" s="94">
        <f>IF($N6&lt;&gt;0,IF($N6&lt;&gt;0,(V6)/$N6*10,0)," ")</f>
        <v>1.04438539466291</v>
      </c>
      <c r="BS6" s="94">
        <f t="shared" ref="BS6:BU21" si="7">IF($N6&lt;&gt;0,IF($N6&lt;&gt;0,Y6/$N6*10,0)," ")</f>
        <v>0</v>
      </c>
      <c r="BT6" s="94">
        <f t="shared" si="7"/>
        <v>0.12882510676825384</v>
      </c>
      <c r="BU6" s="95">
        <f>IF($N6&lt;&gt;0,IF($N6&lt;&gt;0,AA6/$N6*10,0)," ")</f>
        <v>1.6867640397289096</v>
      </c>
      <c r="BV6" s="94">
        <f t="shared" ref="BV6:BX35" si="8">IF($O6&lt;&gt;0,IF($O6&lt;&gt;0,R6/$O6*10,0)," ")</f>
        <v>0.17883249878162058</v>
      </c>
      <c r="BW6" s="94">
        <f t="shared" si="8"/>
        <v>0</v>
      </c>
      <c r="BX6" s="94">
        <f t="shared" si="8"/>
        <v>0.3795537843045621</v>
      </c>
      <c r="BY6" s="94">
        <f>IF($O6&lt;&gt;0,IF($O6&lt;&gt;0,(V6)/$O6*10,0)," ")</f>
        <v>0.91338462642709184</v>
      </c>
      <c r="BZ6" s="95">
        <f t="shared" ref="BZ6:BZ36" si="9">IF($O6&lt;&gt;0,IF($O6&lt;&gt;0,AA6/$O6*10,0)," ")</f>
        <v>1.4751875602355711</v>
      </c>
      <c r="CA6" s="96" t="e">
        <f>#REF!</f>
        <v>#REF!</v>
      </c>
      <c r="CB6" s="94">
        <f>IF($O6&lt;&gt;0,IF($O6&lt;&gt;0,AR6/$O6*10,0)," ")</f>
        <v>4.9198103742182531E-2</v>
      </c>
      <c r="CC6" s="95">
        <f>IF($O6&lt;&gt;0,IF($O6&lt;&gt;0,AS6/$O6*10,0)," ")</f>
        <v>0.11364224744728968</v>
      </c>
      <c r="CD6" s="97">
        <f t="shared" ref="CD6:CE35" si="10">IFERROR(AR6*10/($I6+$J6),"")</f>
        <v>0.21562968875322569</v>
      </c>
      <c r="CE6" s="98">
        <f>IFERROR(AS6*10/($I6+$J6),"")</f>
        <v>0.49808103529132181</v>
      </c>
      <c r="CF6" s="94" t="str">
        <f>IF($D6&lt;&gt;0,IF($D6&lt;&gt;0,AB6/$D6*10,0),"0,00")</f>
        <v>0,00</v>
      </c>
      <c r="CG6" s="94" t="str">
        <f>IF($D6&lt;&gt;0,IF($D6&lt;&gt;0,AC6/$D6*10,0),"0,00")</f>
        <v>0,00</v>
      </c>
      <c r="CH6" s="95" t="str">
        <f>IF($D6&lt;&gt;0,IF($O6&lt;&gt;0,AD6/$D6*10,0),"0,00 ")</f>
        <v xml:space="preserve">0,00 </v>
      </c>
      <c r="CI6" s="96" t="e">
        <f>#REF!</f>
        <v>#REF!</v>
      </c>
      <c r="CJ6" s="94">
        <f>IF($E6&lt;&gt;0,IF($E6&lt;&gt;0,AF6/$E6*10,0),"0,00")</f>
        <v>0.65947242206235024</v>
      </c>
      <c r="CK6" s="94">
        <f>IF($E6&lt;&gt;0,IF($E6&lt;&gt;0,AG6/$E6*10,0),"0,00")</f>
        <v>3.507194244603444E-2</v>
      </c>
      <c r="CL6" s="95">
        <f>IF($E6&lt;&gt;0,IF($E6&lt;&gt;0,AH6/$E6*10,0),"0,00 ")</f>
        <v>0.69454436450838464</v>
      </c>
      <c r="CM6" s="95" t="e">
        <f>#REF!</f>
        <v>#REF!</v>
      </c>
      <c r="CN6" s="94">
        <f>IF($F6&lt;&gt;0,IF($F6&lt;&gt;0,AJ6/$F6*10,0),"0,00")</f>
        <v>0.81330659121569182</v>
      </c>
      <c r="CO6" s="94">
        <f>IF($F6&lt;&gt;0,IF($F6&lt;&gt;0,AK6/$F6*10,0),"0,00")</f>
        <v>0.1857920561584579</v>
      </c>
      <c r="CP6" s="95">
        <f>IF($F6&lt;&gt;0,IF($F6&lt;&gt;0,AL6/$F6*10,0),"0,00 ")</f>
        <v>1.5146902570347287</v>
      </c>
      <c r="CQ6" s="95" t="e">
        <f>#REF!</f>
        <v>#REF!</v>
      </c>
      <c r="CR6" s="97">
        <f>IF($G6&lt;&gt;0,IF($G6&lt;&gt;0,AN6/$G6*10,0),"0,00 ")</f>
        <v>0</v>
      </c>
      <c r="CS6" s="95">
        <f>IF($G6&lt;&gt;0,IF($G6&lt;&gt;0,AO6/$G6*10,0),"0,00 ")</f>
        <v>7.3799387405405592E-2</v>
      </c>
      <c r="CT6" s="96" t="e">
        <f>#REF!</f>
        <v>#REF!</v>
      </c>
      <c r="CU6" s="97">
        <f>IF($H6&lt;&gt;0,IF($H6&lt;&gt;0,AP6/$H6*10,0),"0,00 ")</f>
        <v>5.8950908961756629E-2</v>
      </c>
      <c r="CV6" s="95">
        <f>IF($H6&lt;&gt;0,IF($H6&lt;&gt;0,AQ6/$H6*10,0),"0,00 ")</f>
        <v>0.10018342674678912</v>
      </c>
      <c r="CW6" s="96" t="e">
        <f>#REF!</f>
        <v>#REF!</v>
      </c>
      <c r="CX6" s="97">
        <f>IF($O6&lt;&gt;0,IF($O6&lt;&gt;0,AU6/$O6*10,0)," ")</f>
        <v>0.16388812407764319</v>
      </c>
      <c r="CY6" s="98">
        <f>IF($O6&lt;&gt;0,IF($O6&lt;&gt;0,AV6/$O6*10,0)," ")</f>
        <v>7.7777414816508628E-3</v>
      </c>
      <c r="CZ6" s="97">
        <f>IF($O6&lt;&gt;0,IF($O6&lt;&gt;0,AW6/$O6*10,0)," ")</f>
        <v>0.16888810074441873</v>
      </c>
      <c r="DA6" s="98">
        <f>IF($O6&lt;&gt;0,IF($O6&lt;&gt;0,AX6/$O6*10,0)," ")</f>
        <v>1.722214185222691E-2</v>
      </c>
      <c r="DB6" s="94">
        <f t="shared" ref="DB6:DB36" si="11">IF($O6&lt;&gt;0,IF($O6&lt;&gt;0,AZ6/$O6*10,0)," ")</f>
        <v>0.13666602889186516</v>
      </c>
      <c r="DC6" s="94">
        <f t="shared" ref="DC6:DH35" si="12">IF($O6&lt;&gt;0,IF($O6&lt;&gt;0,BB6/$O6*10,0)," ")</f>
        <v>0.10427729115040935</v>
      </c>
      <c r="DD6" s="94">
        <f t="shared" si="12"/>
        <v>0.61866377956895102</v>
      </c>
      <c r="DE6" s="94">
        <f t="shared" si="12"/>
        <v>1.2222165185451356E-2</v>
      </c>
      <c r="DF6" s="94">
        <f t="shared" si="12"/>
        <v>0</v>
      </c>
      <c r="DG6" s="94">
        <f t="shared" si="12"/>
        <v>0</v>
      </c>
      <c r="DH6" s="95">
        <f>IF($O6&lt;&gt;0,IF($O6&lt;&gt;0,BG6/$O6*10,0)," ")</f>
        <v>0.87182926479667688</v>
      </c>
      <c r="DI6" s="96" t="e">
        <f>#REF!</f>
        <v>#REF!</v>
      </c>
      <c r="DJ6" s="95">
        <f>IF($O6&lt;&gt;0,IF($O6&lt;&gt;0,BH6/$O6*10,0)," ")</f>
        <v>-0.59166390556844051</v>
      </c>
      <c r="DK6" s="96" t="e">
        <f>#REF!</f>
        <v>#REF!</v>
      </c>
      <c r="DL6" s="95">
        <f>IF($O6&lt;&gt;0,BI6/$O6*10," ")</f>
        <v>0.48249385947344853</v>
      </c>
      <c r="DM6" s="96">
        <f t="shared" ref="DM6:DM37" si="13">$D$3</f>
        <v>0</v>
      </c>
      <c r="DN6" s="94">
        <f t="shared" ref="DN6:DN36" si="14">IF($O6&lt;&gt;0,BJ6/$O6*10,"")</f>
        <v>3.2991551594977957</v>
      </c>
      <c r="DO6" s="100">
        <v>3.4</v>
      </c>
      <c r="DP6" s="94">
        <f>IF($O6&lt;&gt;0,IF($O6&lt;&gt;0,BL6/$O6*10,0)," ")</f>
        <v>3.1899851134028037</v>
      </c>
      <c r="DQ6" s="94">
        <f>IF($P6&lt;&gt;0,IF($P6&lt;&gt;0,BM6/$P6*10,0)," ")</f>
        <v>3.1899851134028037</v>
      </c>
      <c r="DR6" s="101">
        <f t="shared" ref="DR6:DR35" si="15">$D$2</f>
        <v>0</v>
      </c>
      <c r="DS6" s="102"/>
      <c r="DT6" s="103">
        <v>1</v>
      </c>
      <c r="DU6" s="355">
        <v>629266</v>
      </c>
      <c r="DV6" s="355">
        <v>28126</v>
      </c>
      <c r="DW6" s="355">
        <v>5140232</v>
      </c>
      <c r="DX6" s="355">
        <v>120143</v>
      </c>
      <c r="DY6" s="355">
        <v>85658</v>
      </c>
      <c r="DZ6" s="355">
        <v>398538</v>
      </c>
      <c r="EA6" s="104">
        <v>235123</v>
      </c>
      <c r="EB6" s="104">
        <v>54911</v>
      </c>
      <c r="EC6" s="104">
        <v>412576</v>
      </c>
      <c r="ED6" s="355">
        <v>47764.7</v>
      </c>
      <c r="EE6" s="104">
        <v>42734</v>
      </c>
      <c r="EF6" s="104">
        <v>39470</v>
      </c>
      <c r="EG6" s="355">
        <v>93172.5</v>
      </c>
      <c r="EH6" s="355">
        <v>183681</v>
      </c>
      <c r="EI6" s="355">
        <v>32654</v>
      </c>
      <c r="EJ6" s="104">
        <v>41348</v>
      </c>
      <c r="EK6" s="104"/>
      <c r="EL6" s="355">
        <v>708026.2</v>
      </c>
      <c r="EM6" s="355">
        <v>6832</v>
      </c>
      <c r="EN6" s="104">
        <v>45468.6</v>
      </c>
      <c r="EO6" s="355">
        <v>3054390.3</v>
      </c>
      <c r="EP6" s="104">
        <v>2792555</v>
      </c>
      <c r="EQ6" s="104">
        <v>0</v>
      </c>
      <c r="ER6" s="104">
        <v>2028</v>
      </c>
      <c r="ES6" s="104">
        <v>374994</v>
      </c>
      <c r="ET6" s="104">
        <v>2738627</v>
      </c>
      <c r="EU6" s="288">
        <v>432244</v>
      </c>
      <c r="EV6" s="288">
        <v>145845</v>
      </c>
      <c r="EW6" s="104">
        <v>118291</v>
      </c>
      <c r="EX6" s="355">
        <v>212218.9</v>
      </c>
      <c r="EY6" s="355">
        <v>1669759.7</v>
      </c>
      <c r="EZ6" s="355">
        <v>789521</v>
      </c>
      <c r="FA6" s="355">
        <v>751778</v>
      </c>
      <c r="FB6" s="104">
        <v>32219.5</v>
      </c>
      <c r="FC6" s="355">
        <v>6807</v>
      </c>
      <c r="FD6" s="104">
        <f t="shared" ref="FD6:FD20" si="16">SUM(FE6:FM6)</f>
        <v>5742</v>
      </c>
      <c r="FE6" s="105">
        <f t="shared" ref="FE6:FJ15" si="17">FE39-FE38</f>
        <v>0</v>
      </c>
      <c r="FF6" s="105">
        <f t="shared" si="17"/>
        <v>702</v>
      </c>
      <c r="FG6" s="105">
        <f t="shared" si="17"/>
        <v>0</v>
      </c>
      <c r="FH6" s="105">
        <f t="shared" si="17"/>
        <v>2002</v>
      </c>
      <c r="FI6" s="105">
        <f t="shared" si="17"/>
        <v>640</v>
      </c>
      <c r="FJ6" s="105">
        <v>0</v>
      </c>
      <c r="FK6" s="105">
        <v>1070</v>
      </c>
      <c r="FL6" s="105">
        <v>1040</v>
      </c>
      <c r="FM6" s="105">
        <v>288</v>
      </c>
      <c r="FN6" s="124">
        <v>0</v>
      </c>
      <c r="FO6" s="77"/>
      <c r="FP6" s="353"/>
      <c r="FR6" s="64"/>
      <c r="FS6" s="64"/>
      <c r="FT6" s="64"/>
      <c r="FU6" s="64"/>
      <c r="FV6" s="64"/>
      <c r="FW6" s="64"/>
      <c r="FX6" s="64"/>
      <c r="FY6" s="64">
        <v>1</v>
      </c>
      <c r="FZ6" s="107">
        <v>8054</v>
      </c>
      <c r="GA6" s="107">
        <v>1246</v>
      </c>
      <c r="GB6" s="108">
        <f>GA6/FZ6/0.1</f>
        <v>1.5470573628010924</v>
      </c>
      <c r="GC6" s="109"/>
      <c r="GD6" s="110"/>
      <c r="GE6" s="110"/>
      <c r="GF6" s="111"/>
      <c r="GG6" s="111"/>
      <c r="GH6" s="111"/>
      <c r="GI6" s="112"/>
      <c r="GJ6" s="111">
        <f>(SUM(ER5+ES5)/(GB6+GI6))</f>
        <v>242940.5715890851</v>
      </c>
      <c r="GK6" s="113"/>
    </row>
    <row r="7" spans="1:194" ht="15" customHeight="1">
      <c r="B7" s="351">
        <v>42949</v>
      </c>
      <c r="D7" s="86">
        <v>4992</v>
      </c>
      <c r="E7" s="86">
        <v>1641.36</v>
      </c>
      <c r="F7" s="86">
        <v>3447.36</v>
      </c>
      <c r="G7" s="86">
        <v>5025.0529999999999</v>
      </c>
      <c r="H7" s="86">
        <v>6212.7219999999998</v>
      </c>
      <c r="I7" s="86">
        <v>2234.5309999999999</v>
      </c>
      <c r="J7" s="86">
        <v>7307.3879999999999</v>
      </c>
      <c r="K7" s="86"/>
      <c r="L7" s="86">
        <v>408.72</v>
      </c>
      <c r="M7" s="87">
        <f>I7+J7</f>
        <v>9541.9189999999999</v>
      </c>
      <c r="N7" s="88">
        <f t="shared" ref="N7:N36" si="18">SUM(D7:H7)</f>
        <v>21318.494999999999</v>
      </c>
      <c r="O7" s="88">
        <f t="shared" ref="O7:O36" si="19">N7+L7+((J7+I7)*0.5)</f>
        <v>26498.174500000001</v>
      </c>
      <c r="P7" s="89">
        <f t="shared" ref="P7:P36" si="20">P6+O7</f>
        <v>44498.258500000004</v>
      </c>
      <c r="R7" s="170">
        <f t="shared" ref="R7:R36" si="21">IF(EL7=0,"",(EL7-EL6))</f>
        <v>43.600000000093132</v>
      </c>
      <c r="S7" s="170">
        <f t="shared" ref="S7:S36" si="22">IF(EZ7=0,"",((EZ7-EZ6)/10))</f>
        <v>0</v>
      </c>
      <c r="T7" s="170">
        <f t="shared" si="1"/>
        <v>347.5</v>
      </c>
      <c r="U7" s="91">
        <f>IF(FB7=0,"",((EN7-EN6)/10))</f>
        <v>1.6200000000004366</v>
      </c>
      <c r="V7" s="170">
        <f t="shared" ref="V7:V36" si="23">IF(EO7=0,"",(EO7-EO6))</f>
        <v>1420.9000000003725</v>
      </c>
      <c r="W7" s="91">
        <f t="shared" si="2"/>
        <v>126.3</v>
      </c>
      <c r="X7" s="170">
        <f t="shared" ref="X7:X36" si="24">IF(V7="","",V7)</f>
        <v>1420.9000000003725</v>
      </c>
      <c r="Y7" s="170" t="str">
        <f t="shared" ref="Y7:Y36" si="25">IF(EQ7=0,"0",(EQ7/10))</f>
        <v>0</v>
      </c>
      <c r="Z7" s="170">
        <f t="shared" si="3"/>
        <v>162.80000000000001</v>
      </c>
      <c r="AA7" s="170">
        <f t="shared" ref="AA7:AA36" si="26">IF(SUM(R7:V7)=0,"",SUM(R7:V7))</f>
        <v>1813.620000000466</v>
      </c>
      <c r="AB7" s="170">
        <f t="shared" ref="AB7:AC36" si="27">IF(DU7=0,"",(DU7-DU6))</f>
        <v>175</v>
      </c>
      <c r="AC7" s="170">
        <f t="shared" si="27"/>
        <v>39</v>
      </c>
      <c r="AD7" s="170">
        <f t="shared" ref="AD7:AD35" si="28">(IF(SUM(AB7:AC7)&gt;=(DW7-DW6),(SUM(AB7:AC7)),(DW7-DW6)))</f>
        <v>379</v>
      </c>
      <c r="AE7" s="170">
        <f t="shared" ref="AE7:AE36" si="29">IF(AB7="","",(AD7-AC7-AB7))</f>
        <v>165</v>
      </c>
      <c r="AF7" s="170">
        <f>IF(DX7=0,"",(DX7-DX6))</f>
        <v>129</v>
      </c>
      <c r="AG7" s="170">
        <f t="shared" ref="AF7:AG36" si="30">IF(DY7=0,"",(DY7-DY6))</f>
        <v>8</v>
      </c>
      <c r="AH7" s="170">
        <f t="shared" ref="AH7:AH36" si="31">(IF(SUM(AF7:AG7)&gt;=(DZ7-DZ6),(SUM(AF7:AG7)),(DZ7-DZ6)))</f>
        <v>221</v>
      </c>
      <c r="AI7" s="170">
        <f t="shared" ref="AI7:AI36" si="32">IF(AF7="","",(AH7-AG7-AF7))</f>
        <v>84</v>
      </c>
      <c r="AJ7" s="170">
        <f t="shared" ref="AJ7:AK35" si="33">IF(EA7=0,"",(EA7-EA6))</f>
        <v>154</v>
      </c>
      <c r="AK7" s="170">
        <f t="shared" si="33"/>
        <v>9</v>
      </c>
      <c r="AL7" s="170">
        <f t="shared" ref="AL7:AL36" si="34">(IF(SUM(AJ7:AK7)&gt;=(EC7-EC6),(SUM(AJ7:AK7)),(EC7-EC6)))</f>
        <v>228</v>
      </c>
      <c r="AM7" s="170">
        <f t="shared" ref="AM7:AM36" si="35">IF(AJ7="","",(AL7-AK7-AJ7))</f>
        <v>65</v>
      </c>
      <c r="AN7" s="170">
        <f t="shared" ref="AN7:AN36" si="36">IF(ED7=0,"",(ED7-ED6))</f>
        <v>5.5</v>
      </c>
      <c r="AO7" s="170">
        <f t="shared" si="4"/>
        <v>24</v>
      </c>
      <c r="AP7" s="170">
        <f t="shared" ref="AP7:AP36" si="37">IF(EG7=0,"",(EG7-EG6))</f>
        <v>23.600000000005821</v>
      </c>
      <c r="AQ7" s="170">
        <f t="shared" si="5"/>
        <v>53.700000000011642</v>
      </c>
      <c r="AR7" s="170">
        <f t="shared" ref="AR7:AR36" si="38">IF(ET7=0,"",(ET7-ET6)/1000)</f>
        <v>66.754999999999995</v>
      </c>
      <c r="AS7" s="170">
        <f t="shared" ref="AS7:AS36" si="39">IF(AR7="","",(ES7-ES6)+((ET7-ET6)/1000)-AW7-AU7)</f>
        <v>88.754999999999995</v>
      </c>
      <c r="AT7" s="170">
        <f t="shared" ref="AT7:AT36" si="40">IF(AR7="","",ES7-ES6+((ET7-ET6)/1000))</f>
        <v>957.755</v>
      </c>
      <c r="AU7" s="170">
        <f>IF(EV7="","",(EV7-EV6))</f>
        <v>245</v>
      </c>
      <c r="AV7" s="170">
        <f>IF(EI7=0,"",(EI7-EI6))</f>
        <v>42</v>
      </c>
      <c r="AW7" s="170">
        <f>IF(EU7="","",(EU7-EU6))</f>
        <v>624</v>
      </c>
      <c r="AX7" s="170">
        <f>IF(EJ7=0,"",(EJ7-EJ6))</f>
        <v>18</v>
      </c>
      <c r="AY7" s="170"/>
      <c r="AZ7" s="170">
        <f t="shared" ref="AZ7:AZ36" si="41">IF(EW7=0,"",EW7-EW6)</f>
        <v>303</v>
      </c>
      <c r="BA7" s="170">
        <v>64</v>
      </c>
      <c r="BB7" s="170">
        <f t="shared" ref="BB7:BC36" si="42">IF(EX7=0,"",(EX7-EX6))</f>
        <v>173.10000000000582</v>
      </c>
      <c r="BC7" s="170">
        <f t="shared" si="42"/>
        <v>398.10000000009313</v>
      </c>
      <c r="BD7" s="91">
        <f t="shared" ref="BD7:BD36" si="43">IF(FA7=0,"",(FA7-FA6))</f>
        <v>227</v>
      </c>
      <c r="BE7" s="90"/>
      <c r="BF7" s="90"/>
      <c r="BG7" s="90">
        <f t="shared" ref="BG7:BG36" si="44">IFERROR(SUM(BB7:BC7)+AZ7+BD7,"")</f>
        <v>1101.200000000099</v>
      </c>
      <c r="BH7" s="90">
        <f t="shared" ref="BH7:BH36" si="45">BL7-FC7</f>
        <v>-1002</v>
      </c>
      <c r="BI7" s="90">
        <f t="shared" si="6"/>
        <v>2020.7249999994237</v>
      </c>
      <c r="BJ7" s="90">
        <f t="shared" ref="BJ7:BJ36" si="46">IF(BH7=0,"",(AA7+AD7+AO7+BG7+AH7+AL7+AQ7+AT7+AX7+AV7))</f>
        <v>4838.2750000005763</v>
      </c>
      <c r="BK7" s="92"/>
      <c r="BL7" s="93">
        <f>FD7+FN7</f>
        <v>5857</v>
      </c>
      <c r="BM7" s="93">
        <f t="shared" ref="BM7:BM36" si="47">BL7+BM6</f>
        <v>11599</v>
      </c>
      <c r="BN7" s="92"/>
      <c r="BO7" s="94">
        <f t="shared" ref="BO7:BP35" si="48">IF($N7&lt;&gt;0,IF($N7&lt;&gt;0,R7/$N7*10,0)," ")</f>
        <v>2.0451725133548655E-2</v>
      </c>
      <c r="BP7" s="94">
        <f>IF($N7&lt;&gt;0,IF($N7&lt;&gt;0,S7/$N7*10,0)," ")</f>
        <v>0</v>
      </c>
      <c r="BQ7" s="94">
        <f t="shared" ref="BQ7:BQ36" si="49">IF($N7&lt;&gt;0,IF($N7&lt;&gt;0,T7/$N7*10,0)," ")</f>
        <v>0.16300400192415082</v>
      </c>
      <c r="BR7" s="94">
        <f>IF($N7&lt;&gt;0,IF($N7&lt;&gt;0,(V7)/$N7*10,0)," ")</f>
        <v>0.666510464270753</v>
      </c>
      <c r="BS7" s="94">
        <f t="shared" si="7"/>
        <v>0</v>
      </c>
      <c r="BT7" s="94">
        <f t="shared" si="7"/>
        <v>7.6365615865472691E-2</v>
      </c>
      <c r="BU7" s="95">
        <f t="shared" si="7"/>
        <v>0.85072609487699113</v>
      </c>
      <c r="BV7" s="94">
        <f t="shared" si="8"/>
        <v>1.6453963649493336E-2</v>
      </c>
      <c r="BW7" s="94">
        <f t="shared" si="8"/>
        <v>0</v>
      </c>
      <c r="BX7" s="94">
        <f t="shared" si="8"/>
        <v>0.13114110936208076</v>
      </c>
      <c r="BY7" s="94">
        <f t="shared" ref="BY7:BY36" si="50">IF($O7&lt;&gt;0,IF($O7&lt;&gt;0,(V7)/$O7*10,0)," ")</f>
        <v>0.53622561810828606</v>
      </c>
      <c r="BZ7" s="95">
        <f t="shared" si="9"/>
        <v>0.68443205398940443</v>
      </c>
      <c r="CA7" s="96" t="e">
        <f>#REF!</f>
        <v>#REF!</v>
      </c>
      <c r="CB7" s="94">
        <f t="shared" ref="CB7:CC36" si="51">IF($O7&lt;&gt;0,IF($O7&lt;&gt;0,AR7/$O7*10,0)," ")</f>
        <v>2.5192301454577556E-2</v>
      </c>
      <c r="CC7" s="95">
        <f t="shared" si="51"/>
        <v>3.3494760176781227E-2</v>
      </c>
      <c r="CD7" s="97">
        <f t="shared" si="10"/>
        <v>6.995972193853249E-2</v>
      </c>
      <c r="CE7" s="98">
        <f>IFERROR(AS7*10/($I7+$J7),"")</f>
        <v>9.301588076779943E-2</v>
      </c>
      <c r="CF7" s="97">
        <f t="shared" ref="CF7:CG36" si="52">IF($D7&lt;&gt;0,IF($D7&lt;&gt;0,AB7/$D7*10,0),"0,00")</f>
        <v>0.35056089743589747</v>
      </c>
      <c r="CG7" s="94">
        <f t="shared" si="52"/>
        <v>7.8125E-2</v>
      </c>
      <c r="CH7" s="95">
        <f t="shared" ref="CH7:CH36" si="53">IF($D7&lt;&gt;0,IF($O7&lt;&gt;0,AD7/$D7*10,0),"0,00 ")</f>
        <v>0.7592147435897435</v>
      </c>
      <c r="CI7" s="96" t="e">
        <f>#REF!</f>
        <v>#REF!</v>
      </c>
      <c r="CJ7" s="94">
        <f t="shared" ref="CJ7:CK36" si="54">IF($E7&lt;&gt;0,IF($E7&lt;&gt;0,AF7/$E7*10,0),"0,00")</f>
        <v>0.78593361602573475</v>
      </c>
      <c r="CK7" s="94">
        <f t="shared" si="54"/>
        <v>4.8740069210898282E-2</v>
      </c>
      <c r="CL7" s="95">
        <f>IF($E7&lt;&gt;0,IF($E7&lt;&gt;0,AH7/$E7*10,0),"0,00 ")</f>
        <v>1.3464444119510652</v>
      </c>
      <c r="CM7" s="95" t="e">
        <f>#REF!</f>
        <v>#REF!</v>
      </c>
      <c r="CN7" s="94">
        <f t="shared" ref="CN7:CO36" si="55">IF($F7&lt;&gt;0,IF($F7&lt;&gt;0,AJ7/$F7*10,0),"0,00")</f>
        <v>0.44671864847303444</v>
      </c>
      <c r="CO7" s="94">
        <f t="shared" si="55"/>
        <v>2.6106934001670842E-2</v>
      </c>
      <c r="CP7" s="95">
        <f t="shared" ref="CP7:CP36" si="56">IF($F7&lt;&gt;0,IF($F7&lt;&gt;0,AL7/$F7*10,0),"0,00 ")</f>
        <v>0.66137566137566139</v>
      </c>
      <c r="CQ7" s="95" t="e">
        <f>#REF!</f>
        <v>#REF!</v>
      </c>
      <c r="CR7" s="97">
        <f>IF($G7&lt;&gt;0,IF($G7&lt;&gt;0,AN7/$G7*10,0),"0,00 ")</f>
        <v>1.0945158190371325E-2</v>
      </c>
      <c r="CS7" s="95">
        <f>IF($G7&lt;&gt;0,IF($G7&lt;&gt;0,AO7/$G7*10,0),"0,00 ")</f>
        <v>4.7760690285256695E-2</v>
      </c>
      <c r="CT7" s="96" t="e">
        <f>#REF!</f>
        <v>#REF!</v>
      </c>
      <c r="CU7" s="97">
        <f>IF($H7&lt;&gt;0,IF($H7&lt;&gt;0,AP7/$H7*10,0),"0,00 ")</f>
        <v>3.798657013786521E-2</v>
      </c>
      <c r="CV7" s="95">
        <f t="shared" ref="CV7:CV36" si="57">IF($H7&lt;&gt;0,IF($H7&lt;&gt;0,AQ7/$H7*10,0),"0,00 ")</f>
        <v>8.6435543067936466E-2</v>
      </c>
      <c r="CW7" s="96" t="e">
        <f>#REF!</f>
        <v>#REF!</v>
      </c>
      <c r="CX7" s="97">
        <f t="shared" ref="CX7:DA26" si="58">IF($O7&lt;&gt;0,IF($O7&lt;&gt;0,AU7/$O7*10,0)," ")</f>
        <v>9.2459199406359091E-2</v>
      </c>
      <c r="CY7" s="98">
        <f t="shared" si="58"/>
        <v>1.5850148469661561E-2</v>
      </c>
      <c r="CZ7" s="97">
        <f t="shared" si="58"/>
        <v>0.23548792012068606</v>
      </c>
      <c r="DA7" s="98">
        <f t="shared" si="58"/>
        <v>6.7929207727120966E-3</v>
      </c>
      <c r="DB7" s="94">
        <f t="shared" si="11"/>
        <v>0.11434749967398697</v>
      </c>
      <c r="DC7" s="94">
        <f t="shared" si="12"/>
        <v>6.5325254764250204E-2</v>
      </c>
      <c r="DD7" s="94">
        <f t="shared" si="12"/>
        <v>0.15023676442318437</v>
      </c>
      <c r="DE7" s="94">
        <f t="shared" si="12"/>
        <v>8.5666278633647008E-2</v>
      </c>
      <c r="DF7" s="94">
        <f t="shared" si="12"/>
        <v>0</v>
      </c>
      <c r="DG7" s="94">
        <f t="shared" si="12"/>
        <v>0</v>
      </c>
      <c r="DH7" s="95">
        <f t="shared" si="12"/>
        <v>0.41557579749506857</v>
      </c>
      <c r="DI7" s="96" t="e">
        <f>#REF!</f>
        <v>#REF!</v>
      </c>
      <c r="DJ7" s="95">
        <f t="shared" ref="DJ7:DJ36" si="59">IF($O7&lt;&gt;0,IF($O7&lt;&gt;0,BH7/$O7*10,0)," ")</f>
        <v>-0.37813925634764012</v>
      </c>
      <c r="DK7" s="96" t="e">
        <f>#REF!</f>
        <v>#REF!</v>
      </c>
      <c r="DL7" s="95">
        <f t="shared" ref="DL7:DL36" si="60">IF($O7&lt;&gt;0,BI7/$O7*10," ")</f>
        <v>0.76259026824637433</v>
      </c>
      <c r="DM7" s="96">
        <f t="shared" si="13"/>
        <v>0</v>
      </c>
      <c r="DN7" s="94">
        <f t="shared" si="14"/>
        <v>1.8258899306443077</v>
      </c>
      <c r="DO7" s="100">
        <v>3.4</v>
      </c>
      <c r="DP7" s="94">
        <f>IF($O7&lt;&gt;0,IF($O7&lt;&gt;0,BL7/$O7*10,0)," ")</f>
        <v>2.2103409425430418</v>
      </c>
      <c r="DQ7" s="94">
        <f>IF($P7&lt;&gt;0,IF($P7&lt;&gt;0,BM7/$P7*10,0)," ")</f>
        <v>2.6066188635224901</v>
      </c>
      <c r="DR7" s="101">
        <f t="shared" si="15"/>
        <v>0</v>
      </c>
      <c r="DS7" s="116"/>
      <c r="DT7" s="103">
        <v>2</v>
      </c>
      <c r="DU7" s="355">
        <v>629441</v>
      </c>
      <c r="DV7" s="355">
        <v>28165</v>
      </c>
      <c r="DW7" s="104">
        <v>5140611</v>
      </c>
      <c r="DX7" s="355">
        <v>120272</v>
      </c>
      <c r="DY7" s="355">
        <v>85666</v>
      </c>
      <c r="DZ7" s="355">
        <v>398759</v>
      </c>
      <c r="EA7" s="355">
        <v>235277</v>
      </c>
      <c r="EB7" s="104">
        <v>54920</v>
      </c>
      <c r="EC7" s="105">
        <v>412804</v>
      </c>
      <c r="ED7" s="104">
        <v>47770.2</v>
      </c>
      <c r="EE7" s="104">
        <f>EE6</f>
        <v>42734</v>
      </c>
      <c r="EF7" s="104">
        <v>39494</v>
      </c>
      <c r="EG7" s="355">
        <v>93196.1</v>
      </c>
      <c r="EH7" s="355">
        <v>183734.7</v>
      </c>
      <c r="EI7" s="355">
        <v>32696</v>
      </c>
      <c r="EJ7" s="104">
        <v>41366</v>
      </c>
      <c r="EK7" s="104"/>
      <c r="EL7" s="355">
        <v>708069.8</v>
      </c>
      <c r="EM7" s="355">
        <v>3475</v>
      </c>
      <c r="EN7" s="104">
        <v>45484.800000000003</v>
      </c>
      <c r="EO7" s="355">
        <v>3055811.2</v>
      </c>
      <c r="EP7" s="104">
        <v>2793818</v>
      </c>
      <c r="EQ7" s="104">
        <v>0</v>
      </c>
      <c r="ER7" s="104">
        <v>1628</v>
      </c>
      <c r="ES7" s="104">
        <v>375885</v>
      </c>
      <c r="ET7" s="104">
        <v>2805382</v>
      </c>
      <c r="EU7" s="104">
        <v>432868</v>
      </c>
      <c r="EV7" s="104">
        <v>146090</v>
      </c>
      <c r="EW7" s="104">
        <v>118594</v>
      </c>
      <c r="EX7" s="355">
        <v>212392</v>
      </c>
      <c r="EY7" s="376">
        <v>1670157.8</v>
      </c>
      <c r="EZ7" s="355">
        <v>789521</v>
      </c>
      <c r="FA7" s="355">
        <v>752005</v>
      </c>
      <c r="FB7" s="104">
        <v>32272.2</v>
      </c>
      <c r="FC7" s="355">
        <v>6859</v>
      </c>
      <c r="FD7" s="104">
        <f t="shared" si="16"/>
        <v>5857</v>
      </c>
      <c r="FE7" s="105">
        <f t="shared" si="17"/>
        <v>0</v>
      </c>
      <c r="FF7" s="105">
        <f t="shared" si="17"/>
        <v>899</v>
      </c>
      <c r="FG7" s="105">
        <f t="shared" si="17"/>
        <v>208</v>
      </c>
      <c r="FH7" s="105">
        <f t="shared" si="17"/>
        <v>1424</v>
      </c>
      <c r="FI7" s="105">
        <f t="shared" si="17"/>
        <v>960</v>
      </c>
      <c r="FJ7" s="105">
        <v>0</v>
      </c>
      <c r="FK7" s="105">
        <v>1072</v>
      </c>
      <c r="FL7" s="105">
        <v>1008</v>
      </c>
      <c r="FM7" s="105">
        <v>286</v>
      </c>
      <c r="FN7" s="124">
        <v>0</v>
      </c>
      <c r="FO7" s="77"/>
      <c r="FP7" s="353"/>
      <c r="FR7" s="64"/>
      <c r="FS7" s="64"/>
      <c r="FT7" s="64"/>
      <c r="FU7" s="64"/>
      <c r="FV7" s="64"/>
      <c r="FW7" s="64"/>
      <c r="FX7" s="64"/>
      <c r="FY7" s="64">
        <v>2</v>
      </c>
      <c r="FZ7" s="107"/>
      <c r="GA7" s="107">
        <v>83</v>
      </c>
      <c r="GB7" s="108"/>
      <c r="GC7" s="109"/>
      <c r="GD7" s="110"/>
      <c r="GE7" s="110"/>
      <c r="GF7" s="111"/>
      <c r="GG7" s="111"/>
      <c r="GH7" s="111"/>
      <c r="GI7" s="112"/>
      <c r="GJ7" s="111" t="e">
        <f t="shared" ref="GJ7:GJ37" si="61">(SUM(EQ6+ER6)/(GB7+GI7))</f>
        <v>#DIV/0!</v>
      </c>
      <c r="GK7" s="118"/>
    </row>
    <row r="8" spans="1:194" s="119" customFormat="1" ht="15" customHeight="1">
      <c r="B8" s="351">
        <v>42950</v>
      </c>
      <c r="D8" s="86">
        <v>5887.68</v>
      </c>
      <c r="E8" s="86"/>
      <c r="F8" s="86">
        <v>2705.6880000000001</v>
      </c>
      <c r="G8" s="86"/>
      <c r="H8" s="86">
        <v>4253.1400000000003</v>
      </c>
      <c r="I8" s="86">
        <v>1515.539</v>
      </c>
      <c r="J8" s="86">
        <v>5265.8040000000001</v>
      </c>
      <c r="K8" s="86"/>
      <c r="L8" s="86">
        <v>0</v>
      </c>
      <c r="M8" s="115">
        <f t="shared" ref="M8:M36" si="62">I8+J8</f>
        <v>6781.3429999999998</v>
      </c>
      <c r="N8" s="88">
        <f t="shared" si="18"/>
        <v>12846.508000000002</v>
      </c>
      <c r="O8" s="88">
        <f t="shared" si="19"/>
        <v>16237.179500000002</v>
      </c>
      <c r="P8" s="89">
        <f t="shared" si="20"/>
        <v>60735.438000000009</v>
      </c>
      <c r="R8" s="170">
        <f t="shared" si="21"/>
        <v>76.899999999906868</v>
      </c>
      <c r="S8" s="170">
        <f t="shared" si="22"/>
        <v>170.24000000000234</v>
      </c>
      <c r="T8" s="170">
        <f t="shared" si="1"/>
        <v>382.8</v>
      </c>
      <c r="U8" s="91">
        <f>IF(FB8=0,"",((EN8-EN7)/10))</f>
        <v>0.5599999999998545</v>
      </c>
      <c r="V8" s="170">
        <f t="shared" si="23"/>
        <v>1560.1999999997206</v>
      </c>
      <c r="W8" s="91">
        <f t="shared" si="2"/>
        <v>138.69999999999999</v>
      </c>
      <c r="X8" s="170">
        <f t="shared" si="24"/>
        <v>1560.1999999997206</v>
      </c>
      <c r="Y8" s="170" t="str">
        <f t="shared" si="25"/>
        <v>0</v>
      </c>
      <c r="Z8" s="170">
        <f t="shared" si="3"/>
        <v>170.4</v>
      </c>
      <c r="AA8" s="170">
        <f t="shared" si="26"/>
        <v>2190.6999999996297</v>
      </c>
      <c r="AB8" s="170">
        <f t="shared" si="27"/>
        <v>190</v>
      </c>
      <c r="AC8" s="170">
        <f t="shared" si="27"/>
        <v>6</v>
      </c>
      <c r="AD8" s="170">
        <f t="shared" si="28"/>
        <v>480</v>
      </c>
      <c r="AE8" s="170">
        <f t="shared" si="29"/>
        <v>284</v>
      </c>
      <c r="AF8" s="170">
        <f t="shared" si="30"/>
        <v>25</v>
      </c>
      <c r="AG8" s="170">
        <f t="shared" si="30"/>
        <v>73.600000000005821</v>
      </c>
      <c r="AH8" s="170">
        <f t="shared" si="31"/>
        <v>125</v>
      </c>
      <c r="AI8" s="170">
        <f t="shared" si="32"/>
        <v>26.399999999994179</v>
      </c>
      <c r="AJ8" s="170">
        <f t="shared" si="33"/>
        <v>145</v>
      </c>
      <c r="AK8" s="170">
        <f t="shared" si="33"/>
        <v>7.9000000000014552</v>
      </c>
      <c r="AL8" s="170">
        <f t="shared" si="34"/>
        <v>223</v>
      </c>
      <c r="AM8" s="170">
        <f t="shared" si="35"/>
        <v>70.099999999998545</v>
      </c>
      <c r="AN8" s="170">
        <f t="shared" si="36"/>
        <v>57.600000000005821</v>
      </c>
      <c r="AO8" s="170">
        <f t="shared" si="4"/>
        <v>51</v>
      </c>
      <c r="AP8" s="170">
        <f t="shared" si="37"/>
        <v>27.19999999999709</v>
      </c>
      <c r="AQ8" s="170">
        <f t="shared" si="5"/>
        <v>100.09999999997672</v>
      </c>
      <c r="AR8" s="170">
        <f t="shared" si="38"/>
        <v>41.91</v>
      </c>
      <c r="AS8" s="170">
        <f t="shared" si="39"/>
        <v>30.909999999999968</v>
      </c>
      <c r="AT8" s="170">
        <f t="shared" si="40"/>
        <v>688.91</v>
      </c>
      <c r="AU8" s="170">
        <f t="shared" ref="AU8:AU36" si="63">IF(EV8="","",(EV8-EV7))</f>
        <v>290</v>
      </c>
      <c r="AV8" s="170">
        <f t="shared" ref="AV8:AV36" si="64">IF(EI8=0,"",(EI8-EI7))</f>
        <v>15</v>
      </c>
      <c r="AW8" s="170">
        <f t="shared" ref="AW8:AW36" si="65">IF(EU8="","",(EU8-EU7))</f>
        <v>368</v>
      </c>
      <c r="AX8" s="170">
        <f t="shared" ref="AX8:AY36" si="66">IF(EJ8=0,"",(EJ8-EJ7))</f>
        <v>19</v>
      </c>
      <c r="AY8" s="170"/>
      <c r="AZ8" s="170">
        <f t="shared" si="41"/>
        <v>340</v>
      </c>
      <c r="BA8" s="170">
        <v>59</v>
      </c>
      <c r="BB8" s="170">
        <f t="shared" si="42"/>
        <v>144.29999999998836</v>
      </c>
      <c r="BC8" s="170">
        <f t="shared" si="42"/>
        <v>-0.10000000009313226</v>
      </c>
      <c r="BD8" s="91">
        <f t="shared" si="43"/>
        <v>239</v>
      </c>
      <c r="BE8" s="90"/>
      <c r="BF8" s="90"/>
      <c r="BG8" s="90">
        <f>IFERROR(SUM(BB8:BC8)+AZ8+BD8,"")</f>
        <v>723.19999999989523</v>
      </c>
      <c r="BH8" s="90">
        <f t="shared" si="45"/>
        <v>-1726</v>
      </c>
      <c r="BI8" s="90">
        <f t="shared" si="6"/>
        <v>1810.0900000004985</v>
      </c>
      <c r="BJ8" s="90">
        <f t="shared" si="46"/>
        <v>4615.9099999995015</v>
      </c>
      <c r="BK8" s="92"/>
      <c r="BL8" s="93">
        <f t="shared" ref="BL8:BL35" si="67">FD8+FN8</f>
        <v>4700</v>
      </c>
      <c r="BM8" s="93">
        <f t="shared" si="47"/>
        <v>16299</v>
      </c>
      <c r="BN8" s="92" t="s">
        <v>125</v>
      </c>
      <c r="BO8" s="94">
        <f t="shared" si="48"/>
        <v>5.986062515969854E-2</v>
      </c>
      <c r="BP8" s="94">
        <f t="shared" si="48"/>
        <v>0.13251850230428558</v>
      </c>
      <c r="BQ8" s="94">
        <f t="shared" si="49"/>
        <v>0.29797980898778093</v>
      </c>
      <c r="BR8" s="94">
        <f t="shared" ref="BR8:BR36" si="68">IF($N8&lt;&gt;0,IF($N8&lt;&gt;0,(V8)/$N8*10,0)," ")</f>
        <v>1.2144934639045259</v>
      </c>
      <c r="BS8" s="94">
        <f t="shared" si="7"/>
        <v>0</v>
      </c>
      <c r="BT8" s="94">
        <f t="shared" si="7"/>
        <v>0.13264304976885546</v>
      </c>
      <c r="BU8" s="95">
        <f t="shared" si="7"/>
        <v>1.7052883164822918</v>
      </c>
      <c r="BV8" s="94">
        <f t="shared" si="8"/>
        <v>4.736044212599045E-2</v>
      </c>
      <c r="BW8" s="94">
        <f t="shared" si="8"/>
        <v>0.10484579541662535</v>
      </c>
      <c r="BX8" s="94">
        <f t="shared" si="8"/>
        <v>0.23575523076529392</v>
      </c>
      <c r="BY8" s="94">
        <f t="shared" si="50"/>
        <v>0.96088116781595012</v>
      </c>
      <c r="BZ8" s="95">
        <f t="shared" si="9"/>
        <v>1.3491875236087827</v>
      </c>
      <c r="CA8" s="96" t="e">
        <f>#REF!</f>
        <v>#REF!</v>
      </c>
      <c r="CB8" s="94">
        <f t="shared" si="51"/>
        <v>2.5811133023441658E-2</v>
      </c>
      <c r="CC8" s="95">
        <f t="shared" si="51"/>
        <v>1.9036557426737793E-2</v>
      </c>
      <c r="CD8" s="97">
        <f t="shared" si="10"/>
        <v>6.1801917407805503E-2</v>
      </c>
      <c r="CE8" s="98">
        <f t="shared" si="10"/>
        <v>4.558094171021871E-2</v>
      </c>
      <c r="CF8" s="97">
        <f t="shared" si="52"/>
        <v>0.32270775585629652</v>
      </c>
      <c r="CG8" s="94">
        <f t="shared" si="52"/>
        <v>1.0190771237567259E-2</v>
      </c>
      <c r="CH8" s="95">
        <f t="shared" si="53"/>
        <v>0.8152616990053807</v>
      </c>
      <c r="CI8" s="96" t="e">
        <f>#REF!</f>
        <v>#REF!</v>
      </c>
      <c r="CJ8" s="94" t="str">
        <f t="shared" si="54"/>
        <v>0,00</v>
      </c>
      <c r="CK8" s="94" t="str">
        <f t="shared" si="54"/>
        <v>0,00</v>
      </c>
      <c r="CL8" s="95" t="str">
        <f t="shared" ref="CL8:CL36" si="69">IF($E8&lt;&gt;0,IF($E8&lt;&gt;0,AH8/$E8*10,0),"0,00 ")</f>
        <v xml:space="preserve">0,00 </v>
      </c>
      <c r="CM8" s="95" t="e">
        <f>#REF!</f>
        <v>#REF!</v>
      </c>
      <c r="CN8" s="94">
        <f t="shared" si="55"/>
        <v>0.53590805739612257</v>
      </c>
      <c r="CO8" s="94">
        <f t="shared" si="55"/>
        <v>2.919774933400102E-2</v>
      </c>
      <c r="CP8" s="95">
        <f t="shared" si="56"/>
        <v>0.82418963309886428</v>
      </c>
      <c r="CQ8" s="95" t="e">
        <f>#REF!</f>
        <v>#REF!</v>
      </c>
      <c r="CR8" s="97" t="str">
        <f t="shared" ref="CR8:CS36" si="70">IF($G8&lt;&gt;0,IF($G8&lt;&gt;0,AN8/$G8*10,0),"0,00 ")</f>
        <v xml:space="preserve">0,00 </v>
      </c>
      <c r="CS8" s="95" t="str">
        <f t="shared" si="70"/>
        <v xml:space="preserve">0,00 </v>
      </c>
      <c r="CT8" s="96" t="e">
        <f>#REF!</f>
        <v>#REF!</v>
      </c>
      <c r="CU8" s="97">
        <f t="shared" ref="CU8:CU36" si="71">IF($H8&lt;&gt;0,IF($H8&lt;&gt;0,AP8/$H8*10,0),"0,00 ")</f>
        <v>6.3952750203372294E-2</v>
      </c>
      <c r="CV8" s="95">
        <f t="shared" si="57"/>
        <v>0.23535552556458689</v>
      </c>
      <c r="CW8" s="96" t="e">
        <f>#REF!</f>
        <v>#REF!</v>
      </c>
      <c r="CX8" s="97">
        <f t="shared" si="58"/>
        <v>0.17860244754946508</v>
      </c>
      <c r="CY8" s="98">
        <f t="shared" si="58"/>
        <v>9.2380576318688828E-3</v>
      </c>
      <c r="CZ8" s="97">
        <f t="shared" si="58"/>
        <v>0.22664034723518328</v>
      </c>
      <c r="DA8" s="98">
        <f t="shared" si="58"/>
        <v>1.170153966703392E-2</v>
      </c>
      <c r="DB8" s="94">
        <f t="shared" si="11"/>
        <v>0.20939597298902801</v>
      </c>
      <c r="DC8" s="94">
        <f t="shared" si="12"/>
        <v>8.8870114418571483E-2</v>
      </c>
      <c r="DD8" s="94">
        <f t="shared" si="12"/>
        <v>-6.1587050936483294E-5</v>
      </c>
      <c r="DE8" s="94">
        <f t="shared" si="12"/>
        <v>0.14719305160111087</v>
      </c>
      <c r="DF8" s="94">
        <f t="shared" si="12"/>
        <v>0</v>
      </c>
      <c r="DG8" s="94">
        <f t="shared" si="12"/>
        <v>0</v>
      </c>
      <c r="DH8" s="95">
        <f t="shared" si="12"/>
        <v>0.44539755195777386</v>
      </c>
      <c r="DI8" s="96" t="e">
        <f>#REF!</f>
        <v>#REF!</v>
      </c>
      <c r="DJ8" s="95">
        <f t="shared" si="59"/>
        <v>-1.0629924981737129</v>
      </c>
      <c r="DK8" s="96" t="e">
        <f>#REF!</f>
        <v>#REF!</v>
      </c>
      <c r="DL8" s="95">
        <f t="shared" si="60"/>
        <v>1.1147810492582768</v>
      </c>
      <c r="DM8" s="96">
        <f t="shared" si="13"/>
        <v>0</v>
      </c>
      <c r="DN8" s="94">
        <f t="shared" si="14"/>
        <v>2.842802840234353</v>
      </c>
      <c r="DO8" s="100">
        <v>3.4</v>
      </c>
      <c r="DP8" s="94">
        <f>IF($O8&lt;&gt;0,IF($O8&lt;&gt;0,BL8/$O8*10,0)," ")</f>
        <v>2.894591391318917</v>
      </c>
      <c r="DQ8" s="94">
        <f>IF($P8&lt;&gt;0,IF($P8&lt;&gt;0,BM8/$P8*10,0)," ")</f>
        <v>2.6836062333163708</v>
      </c>
      <c r="DR8" s="101">
        <f t="shared" si="15"/>
        <v>0</v>
      </c>
      <c r="DS8" s="116"/>
      <c r="DT8" s="103">
        <v>3</v>
      </c>
      <c r="DU8" s="330">
        <v>629631</v>
      </c>
      <c r="DV8" s="330">
        <v>28171</v>
      </c>
      <c r="DW8" s="330">
        <v>5141091</v>
      </c>
      <c r="DX8" s="355">
        <v>120297</v>
      </c>
      <c r="DY8" s="330">
        <v>85739.6</v>
      </c>
      <c r="DZ8" s="330">
        <v>398884</v>
      </c>
      <c r="EA8" s="330">
        <v>235422</v>
      </c>
      <c r="EB8" s="105">
        <v>54927.9</v>
      </c>
      <c r="EC8" s="330">
        <v>413027</v>
      </c>
      <c r="ED8" s="105">
        <v>47827.8</v>
      </c>
      <c r="EE8" s="403">
        <v>42771</v>
      </c>
      <c r="EF8" s="105">
        <v>39508</v>
      </c>
      <c r="EG8" s="330">
        <v>93223.3</v>
      </c>
      <c r="EH8" s="330">
        <v>183834.8</v>
      </c>
      <c r="EI8" s="330">
        <v>32711</v>
      </c>
      <c r="EJ8" s="105">
        <v>41385</v>
      </c>
      <c r="EK8" s="105"/>
      <c r="EL8" s="330">
        <v>708146.7</v>
      </c>
      <c r="EM8" s="105">
        <v>3828</v>
      </c>
      <c r="EN8" s="105">
        <v>45490.400000000001</v>
      </c>
      <c r="EO8" s="330">
        <v>3057371.4</v>
      </c>
      <c r="EP8" s="104">
        <v>2795205</v>
      </c>
      <c r="EQ8" s="105">
        <v>0</v>
      </c>
      <c r="ER8" s="105">
        <v>1704</v>
      </c>
      <c r="ES8" s="105">
        <v>376532</v>
      </c>
      <c r="ET8" s="105">
        <v>2847292</v>
      </c>
      <c r="EU8" s="105">
        <v>433236</v>
      </c>
      <c r="EV8" s="105">
        <v>146380</v>
      </c>
      <c r="EW8" s="105">
        <v>118934</v>
      </c>
      <c r="EX8" s="330">
        <v>212536.3</v>
      </c>
      <c r="EY8" s="330">
        <v>1670157.7</v>
      </c>
      <c r="EZ8" s="330">
        <v>791223.4</v>
      </c>
      <c r="FA8" s="330">
        <v>752244</v>
      </c>
      <c r="FB8" s="104">
        <v>32330.7</v>
      </c>
      <c r="FC8" s="104">
        <v>6426</v>
      </c>
      <c r="FD8" s="104">
        <f t="shared" si="16"/>
        <v>4700</v>
      </c>
      <c r="FE8" s="105">
        <f t="shared" si="17"/>
        <v>0</v>
      </c>
      <c r="FF8" s="105">
        <f t="shared" si="17"/>
        <v>185</v>
      </c>
      <c r="FG8" s="105">
        <f t="shared" si="17"/>
        <v>788</v>
      </c>
      <c r="FH8" s="105">
        <f t="shared" si="17"/>
        <v>1486</v>
      </c>
      <c r="FI8" s="105">
        <f t="shared" si="17"/>
        <v>360</v>
      </c>
      <c r="FJ8" s="105">
        <f t="shared" si="17"/>
        <v>397</v>
      </c>
      <c r="FK8" s="105">
        <v>201</v>
      </c>
      <c r="FL8" s="105">
        <v>997</v>
      </c>
      <c r="FM8" s="105">
        <v>286</v>
      </c>
      <c r="FN8" s="80">
        <v>0</v>
      </c>
      <c r="FO8" s="77"/>
      <c r="FP8" s="370"/>
      <c r="FY8" s="119">
        <v>3</v>
      </c>
      <c r="FZ8" s="107"/>
      <c r="GA8" s="107">
        <v>0</v>
      </c>
      <c r="GB8" s="108"/>
      <c r="GC8" s="109"/>
      <c r="GD8" s="110"/>
      <c r="GE8" s="110"/>
      <c r="GF8" s="111"/>
      <c r="GG8" s="111"/>
      <c r="GH8" s="111"/>
      <c r="GI8" s="112"/>
      <c r="GJ8" s="111" t="e">
        <f t="shared" si="61"/>
        <v>#DIV/0!</v>
      </c>
      <c r="GK8" s="113"/>
    </row>
    <row r="9" spans="1:194" s="119" customFormat="1" ht="15" customHeight="1">
      <c r="B9" s="351">
        <v>42951</v>
      </c>
      <c r="D9" s="86">
        <v>5395.44</v>
      </c>
      <c r="E9" s="86">
        <v>3546.96</v>
      </c>
      <c r="F9" s="152">
        <v>1142.2080000000001</v>
      </c>
      <c r="G9" s="86">
        <v>4819.7219999999998</v>
      </c>
      <c r="H9" s="86">
        <v>8972.7340000000004</v>
      </c>
      <c r="I9" s="86">
        <v>2320.9030000000002</v>
      </c>
      <c r="J9" s="86">
        <v>4358.76</v>
      </c>
      <c r="K9" s="86">
        <v>1.323</v>
      </c>
      <c r="L9" s="86">
        <v>206.36</v>
      </c>
      <c r="M9" s="115">
        <f t="shared" si="62"/>
        <v>6679.6630000000005</v>
      </c>
      <c r="N9" s="88">
        <f t="shared" si="18"/>
        <v>23877.063999999998</v>
      </c>
      <c r="O9" s="88">
        <f t="shared" si="19"/>
        <v>27423.255499999999</v>
      </c>
      <c r="P9" s="89">
        <f t="shared" si="20"/>
        <v>88158.693500000008</v>
      </c>
      <c r="R9" s="170">
        <f t="shared" si="21"/>
        <v>229.80000000004657</v>
      </c>
      <c r="S9" s="170">
        <f t="shared" si="22"/>
        <v>25.759999999997671</v>
      </c>
      <c r="T9" s="170">
        <f t="shared" si="1"/>
        <v>422.1</v>
      </c>
      <c r="U9" s="91">
        <f>IF(FB9=0,"",((EN9-EN8)/10))</f>
        <v>4.7599999999998541</v>
      </c>
      <c r="V9" s="170">
        <f>IF(EO9=0,"",(EO9-EO8))</f>
        <v>1933.3999999999069</v>
      </c>
      <c r="W9" s="91">
        <f t="shared" si="2"/>
        <v>60.2</v>
      </c>
      <c r="X9" s="170">
        <f t="shared" si="24"/>
        <v>1933.3999999999069</v>
      </c>
      <c r="Y9" s="170">
        <f t="shared" si="25"/>
        <v>52.1</v>
      </c>
      <c r="Z9" s="170">
        <f t="shared" si="3"/>
        <v>200</v>
      </c>
      <c r="AA9" s="170">
        <f t="shared" si="26"/>
        <v>2615.8199999999511</v>
      </c>
      <c r="AB9" s="170">
        <f t="shared" si="27"/>
        <v>217</v>
      </c>
      <c r="AC9" s="170">
        <f t="shared" si="27"/>
        <v>11</v>
      </c>
      <c r="AD9" s="170">
        <f t="shared" si="28"/>
        <v>596</v>
      </c>
      <c r="AE9" s="170">
        <f t="shared" si="29"/>
        <v>368</v>
      </c>
      <c r="AF9" s="170">
        <f t="shared" si="30"/>
        <v>0</v>
      </c>
      <c r="AG9" s="170">
        <f t="shared" si="30"/>
        <v>17.399999999994179</v>
      </c>
      <c r="AH9" s="170">
        <f t="shared" si="31"/>
        <v>205</v>
      </c>
      <c r="AI9" s="170">
        <f t="shared" si="32"/>
        <v>187.60000000000582</v>
      </c>
      <c r="AJ9" s="170">
        <f t="shared" si="33"/>
        <v>85</v>
      </c>
      <c r="AK9" s="170">
        <f t="shared" si="33"/>
        <v>47.099999999998545</v>
      </c>
      <c r="AL9" s="170">
        <f t="shared" si="34"/>
        <v>252</v>
      </c>
      <c r="AM9" s="170">
        <f t="shared" si="35"/>
        <v>119.90000000000146</v>
      </c>
      <c r="AN9" s="170">
        <f t="shared" si="36"/>
        <v>0</v>
      </c>
      <c r="AO9" s="170">
        <f t="shared" si="4"/>
        <v>58</v>
      </c>
      <c r="AP9" s="170">
        <f t="shared" si="37"/>
        <v>34.899999999994179</v>
      </c>
      <c r="AQ9" s="170">
        <f t="shared" si="5"/>
        <v>51</v>
      </c>
      <c r="AR9" s="170">
        <f t="shared" si="38"/>
        <v>105.771</v>
      </c>
      <c r="AS9" s="170">
        <f t="shared" si="39"/>
        <v>124.77099999999996</v>
      </c>
      <c r="AT9" s="170">
        <f t="shared" si="40"/>
        <v>887.77099999999996</v>
      </c>
      <c r="AU9" s="170">
        <f t="shared" si="63"/>
        <v>325</v>
      </c>
      <c r="AV9" s="170">
        <f t="shared" si="64"/>
        <v>42</v>
      </c>
      <c r="AW9" s="170">
        <f t="shared" si="65"/>
        <v>438</v>
      </c>
      <c r="AX9" s="170">
        <f t="shared" si="66"/>
        <v>33</v>
      </c>
      <c r="AY9" s="170"/>
      <c r="AZ9" s="170">
        <f t="shared" si="41"/>
        <v>367</v>
      </c>
      <c r="BA9" s="170">
        <v>127</v>
      </c>
      <c r="BB9" s="170">
        <f t="shared" si="42"/>
        <v>244.90000000002328</v>
      </c>
      <c r="BC9" s="170">
        <f t="shared" si="42"/>
        <v>1024.1000000000931</v>
      </c>
      <c r="BD9" s="91">
        <f t="shared" si="43"/>
        <v>387</v>
      </c>
      <c r="BE9" s="90"/>
      <c r="BF9" s="90"/>
      <c r="BG9" s="90">
        <f>IFERROR(SUM(BB9:BC9)+AZ9+BD9,"")</f>
        <v>2023.0000000001164</v>
      </c>
      <c r="BH9" s="90">
        <f t="shared" si="45"/>
        <v>-991</v>
      </c>
      <c r="BI9" s="90">
        <f t="shared" si="6"/>
        <v>799.40899999993326</v>
      </c>
      <c r="BJ9" s="90">
        <f t="shared" si="46"/>
        <v>6763.5910000000667</v>
      </c>
      <c r="BK9" s="92"/>
      <c r="BL9" s="93">
        <f t="shared" si="67"/>
        <v>6572</v>
      </c>
      <c r="BM9" s="93">
        <f t="shared" si="47"/>
        <v>22871</v>
      </c>
      <c r="BN9" s="92"/>
      <c r="BO9" s="94">
        <f t="shared" si="48"/>
        <v>9.6242988668978138E-2</v>
      </c>
      <c r="BP9" s="94">
        <f t="shared" si="48"/>
        <v>1.0788596118851829E-2</v>
      </c>
      <c r="BQ9" s="94">
        <f t="shared" si="49"/>
        <v>0.17678052879533265</v>
      </c>
      <c r="BR9" s="94">
        <f t="shared" si="68"/>
        <v>0.80973104565951104</v>
      </c>
      <c r="BS9" s="94">
        <f t="shared" si="7"/>
        <v>2.1820103175164252E-2</v>
      </c>
      <c r="BT9" s="94">
        <f t="shared" si="7"/>
        <v>8.3762392227118038E-2</v>
      </c>
      <c r="BU9" s="95">
        <f t="shared" si="7"/>
        <v>1.0955367041776791</v>
      </c>
      <c r="BV9" s="94">
        <f t="shared" si="8"/>
        <v>8.3797490782976727E-2</v>
      </c>
      <c r="BW9" s="94">
        <f t="shared" si="8"/>
        <v>9.393487217444943E-3</v>
      </c>
      <c r="BX9" s="94">
        <f t="shared" si="8"/>
        <v>0.15392045630760359</v>
      </c>
      <c r="BY9" s="94">
        <f t="shared" si="50"/>
        <v>0.7050220569180442</v>
      </c>
      <c r="BZ9" s="95">
        <f t="shared" si="9"/>
        <v>0.95386924429885833</v>
      </c>
      <c r="CA9" s="96" t="e">
        <f>#REF!</f>
        <v>#REF!</v>
      </c>
      <c r="CB9" s="94">
        <f t="shared" si="51"/>
        <v>3.8569818962595454E-2</v>
      </c>
      <c r="CC9" s="95">
        <f t="shared" si="51"/>
        <v>4.5498245093475484E-2</v>
      </c>
      <c r="CD9" s="97">
        <f t="shared" si="10"/>
        <v>0.15834780886401004</v>
      </c>
      <c r="CE9" s="98">
        <f t="shared" si="10"/>
        <v>0.18679235763840174</v>
      </c>
      <c r="CF9" s="97">
        <f t="shared" si="52"/>
        <v>0.40219148021292056</v>
      </c>
      <c r="CG9" s="94">
        <f t="shared" si="52"/>
        <v>2.0387586554572009E-2</v>
      </c>
      <c r="CH9" s="95">
        <f t="shared" si="53"/>
        <v>1.1046365078659017</v>
      </c>
      <c r="CI9" s="96" t="e">
        <f>#REF!</f>
        <v>#REF!</v>
      </c>
      <c r="CJ9" s="94">
        <f t="shared" si="54"/>
        <v>0</v>
      </c>
      <c r="CK9" s="94">
        <f t="shared" si="54"/>
        <v>4.9056093105065118E-2</v>
      </c>
      <c r="CL9" s="95">
        <f t="shared" si="69"/>
        <v>0.57795971761733989</v>
      </c>
      <c r="CM9" s="95" t="e">
        <f>#REF!</f>
        <v>#REF!</v>
      </c>
      <c r="CN9" s="94">
        <f t="shared" si="55"/>
        <v>0.74417269008796982</v>
      </c>
      <c r="CO9" s="94">
        <f t="shared" si="55"/>
        <v>0.41235922003696823</v>
      </c>
      <c r="CP9" s="95">
        <f t="shared" si="56"/>
        <v>2.2062531517902166</v>
      </c>
      <c r="CQ9" s="95" t="e">
        <f>#REF!</f>
        <v>#REF!</v>
      </c>
      <c r="CR9" s="97">
        <f t="shared" si="70"/>
        <v>0</v>
      </c>
      <c r="CS9" s="95">
        <f t="shared" si="70"/>
        <v>0.12033889091528516</v>
      </c>
      <c r="CT9" s="96" t="e">
        <f>#REF!</f>
        <v>#REF!</v>
      </c>
      <c r="CU9" s="97">
        <f t="shared" si="71"/>
        <v>3.8895614201863306E-2</v>
      </c>
      <c r="CV9" s="95">
        <f t="shared" si="57"/>
        <v>5.6838863160325492E-2</v>
      </c>
      <c r="CW9" s="96" t="e">
        <f>#REF!</f>
        <v>#REF!</v>
      </c>
      <c r="CX9" s="97">
        <f t="shared" si="58"/>
        <v>0.11851255223873766</v>
      </c>
      <c r="CY9" s="98">
        <f t="shared" si="58"/>
        <v>1.531546828931379E-2</v>
      </c>
      <c r="CZ9" s="97">
        <f t="shared" si="58"/>
        <v>0.15971845501712956</v>
      </c>
      <c r="DA9" s="98">
        <f t="shared" si="58"/>
        <v>1.203358222731798E-2</v>
      </c>
      <c r="DB9" s="94">
        <f t="shared" si="11"/>
        <v>0.13382802052805146</v>
      </c>
      <c r="DC9" s="94">
        <f t="shared" si="12"/>
        <v>8.9303766286983444E-2</v>
      </c>
      <c r="DD9" s="94">
        <f t="shared" si="12"/>
        <v>0.37344216845446859</v>
      </c>
      <c r="DE9" s="94">
        <f t="shared" si="12"/>
        <v>0.14112110066581995</v>
      </c>
      <c r="DF9" s="94">
        <f t="shared" si="12"/>
        <v>0</v>
      </c>
      <c r="DG9" s="94">
        <f t="shared" si="12"/>
        <v>0</v>
      </c>
      <c r="DH9" s="95">
        <f t="shared" si="12"/>
        <v>0.73769505593532336</v>
      </c>
      <c r="DI9" s="96" t="e">
        <f>#REF!</f>
        <v>#REF!</v>
      </c>
      <c r="DJ9" s="95">
        <f t="shared" si="59"/>
        <v>-0.36137212082642778</v>
      </c>
      <c r="DK9" s="96" t="e">
        <f>#REF!</f>
        <v>#REF!</v>
      </c>
      <c r="DL9" s="95">
        <f t="shared" si="60"/>
        <v>0.29150769499264351</v>
      </c>
      <c r="DM9" s="96">
        <f t="shared" si="13"/>
        <v>0</v>
      </c>
      <c r="DN9" s="94">
        <f t="shared" si="14"/>
        <v>2.4663705591045044</v>
      </c>
      <c r="DO9" s="100">
        <v>3.4</v>
      </c>
      <c r="DP9" s="94">
        <f t="shared" ref="DP9:DP33" si="72">IF($O9&lt;&gt;0,IF($O9&lt;&gt;0,BL9/$O9*10,0)," ")</f>
        <v>2.3965061332707198</v>
      </c>
      <c r="DQ9" s="94">
        <f t="shared" ref="DQ9:DQ34" si="73">IF($P9&lt;&gt;0,IF($P9&lt;&gt;0,BM9/$P9*10,0)," ")</f>
        <v>2.5942988821629935</v>
      </c>
      <c r="DR9" s="101">
        <f t="shared" si="15"/>
        <v>0</v>
      </c>
      <c r="DS9" s="116"/>
      <c r="DT9" s="103">
        <v>4</v>
      </c>
      <c r="DU9" s="355">
        <v>629848</v>
      </c>
      <c r="DV9" s="355">
        <v>28182</v>
      </c>
      <c r="DW9" s="104">
        <v>5141687</v>
      </c>
      <c r="DX9" s="104">
        <f>DX8</f>
        <v>120297</v>
      </c>
      <c r="DY9" s="104">
        <v>85757</v>
      </c>
      <c r="DZ9" s="104">
        <v>399089</v>
      </c>
      <c r="EA9" s="355">
        <v>235507</v>
      </c>
      <c r="EB9" s="104">
        <v>54975</v>
      </c>
      <c r="EC9" s="104">
        <v>413279</v>
      </c>
      <c r="ED9" s="104">
        <v>47827.8</v>
      </c>
      <c r="EE9" s="104">
        <v>42778</v>
      </c>
      <c r="EF9" s="104">
        <v>39559</v>
      </c>
      <c r="EG9" s="355">
        <v>93258.2</v>
      </c>
      <c r="EH9" s="355">
        <v>183885.8</v>
      </c>
      <c r="EI9" s="355">
        <v>32753</v>
      </c>
      <c r="EJ9" s="104">
        <v>41418</v>
      </c>
      <c r="EK9" s="104"/>
      <c r="EL9" s="355">
        <v>708376.5</v>
      </c>
      <c r="EM9" s="104">
        <v>4221</v>
      </c>
      <c r="EN9" s="104">
        <v>45538</v>
      </c>
      <c r="EO9" s="355">
        <v>3059304.8</v>
      </c>
      <c r="EP9" s="104">
        <v>2795807</v>
      </c>
      <c r="EQ9" s="104">
        <v>521</v>
      </c>
      <c r="ER9" s="104">
        <v>2000</v>
      </c>
      <c r="ES9" s="80">
        <v>377314</v>
      </c>
      <c r="ET9" s="104">
        <v>2953063</v>
      </c>
      <c r="EU9" s="104">
        <v>433674</v>
      </c>
      <c r="EV9" s="104">
        <v>146705</v>
      </c>
      <c r="EW9" s="104">
        <v>119301</v>
      </c>
      <c r="EX9" s="355">
        <v>212781.2</v>
      </c>
      <c r="EY9" s="355">
        <v>1671181.8</v>
      </c>
      <c r="EZ9" s="377">
        <v>791481</v>
      </c>
      <c r="FA9" s="378">
        <v>752631</v>
      </c>
      <c r="FB9" s="379">
        <v>32463.200000000001</v>
      </c>
      <c r="FC9" s="104">
        <v>7563</v>
      </c>
      <c r="FD9" s="104">
        <f t="shared" si="16"/>
        <v>6572</v>
      </c>
      <c r="FE9" s="105">
        <f t="shared" si="17"/>
        <v>0</v>
      </c>
      <c r="FF9" s="105">
        <f t="shared" si="17"/>
        <v>456</v>
      </c>
      <c r="FG9" s="105">
        <f t="shared" si="17"/>
        <v>1109</v>
      </c>
      <c r="FH9" s="105">
        <f t="shared" si="17"/>
        <v>1511</v>
      </c>
      <c r="FI9" s="105">
        <f t="shared" si="17"/>
        <v>653</v>
      </c>
      <c r="FJ9" s="105">
        <f t="shared" si="17"/>
        <v>790</v>
      </c>
      <c r="FK9" s="105">
        <v>781</v>
      </c>
      <c r="FL9" s="105">
        <v>987</v>
      </c>
      <c r="FM9" s="105">
        <v>285</v>
      </c>
      <c r="FN9" s="80">
        <v>0</v>
      </c>
      <c r="FO9" s="77"/>
      <c r="FP9" s="353"/>
      <c r="FY9" s="119">
        <v>4</v>
      </c>
      <c r="FZ9" s="107"/>
      <c r="GA9" s="107">
        <v>0</v>
      </c>
      <c r="GB9" s="108"/>
      <c r="GC9" s="109"/>
      <c r="GD9" s="110"/>
      <c r="GE9" s="110"/>
      <c r="GF9" s="111"/>
      <c r="GG9" s="111"/>
      <c r="GH9" s="111"/>
      <c r="GI9" s="112"/>
      <c r="GJ9" s="111" t="e">
        <f t="shared" si="61"/>
        <v>#DIV/0!</v>
      </c>
      <c r="GK9" s="113"/>
    </row>
    <row r="10" spans="1:194" s="119" customFormat="1" ht="15" customHeight="1">
      <c r="B10" s="351">
        <v>42952</v>
      </c>
      <c r="D10" s="128">
        <v>4263.12</v>
      </c>
      <c r="E10" s="128">
        <v>0</v>
      </c>
      <c r="F10" s="128">
        <v>2220.6959999999999</v>
      </c>
      <c r="G10" s="86">
        <v>6149.1399999999994</v>
      </c>
      <c r="H10" s="86">
        <v>10030.627</v>
      </c>
      <c r="I10" s="86">
        <v>1203.979</v>
      </c>
      <c r="J10" s="86">
        <v>4963.5599999999995</v>
      </c>
      <c r="K10" s="86">
        <v>4.5640000000000001</v>
      </c>
      <c r="L10" s="86">
        <v>0</v>
      </c>
      <c r="M10" s="115">
        <f t="shared" si="62"/>
        <v>6167.5389999999998</v>
      </c>
      <c r="N10" s="88">
        <f t="shared" si="18"/>
        <v>22663.582999999999</v>
      </c>
      <c r="O10" s="88">
        <f t="shared" si="19"/>
        <v>25747.352499999997</v>
      </c>
      <c r="P10" s="89">
        <f t="shared" si="20"/>
        <v>113906.046</v>
      </c>
      <c r="R10" s="170">
        <f t="shared" si="21"/>
        <v>235.30000000004657</v>
      </c>
      <c r="S10" s="170">
        <f t="shared" si="22"/>
        <v>70.519999999995349</v>
      </c>
      <c r="T10" s="170">
        <f t="shared" si="1"/>
        <v>335.3</v>
      </c>
      <c r="U10" s="91">
        <f>IF(FB10=0,"",((EN10-EN9)/10))</f>
        <v>4.5599999999998548</v>
      </c>
      <c r="V10" s="170">
        <f t="shared" si="23"/>
        <v>1329.1000000000931</v>
      </c>
      <c r="W10" s="91">
        <f t="shared" si="2"/>
        <v>117.9</v>
      </c>
      <c r="X10" s="170">
        <f t="shared" si="24"/>
        <v>1329.1000000000931</v>
      </c>
      <c r="Y10" s="170">
        <f t="shared" si="25"/>
        <v>11.8</v>
      </c>
      <c r="Z10" s="170">
        <f t="shared" si="3"/>
        <v>153.30000000000001</v>
      </c>
      <c r="AA10" s="170">
        <f t="shared" si="26"/>
        <v>1974.7800000001348</v>
      </c>
      <c r="AB10" s="170">
        <f t="shared" si="27"/>
        <v>0</v>
      </c>
      <c r="AC10" s="170">
        <f t="shared" si="27"/>
        <v>184</v>
      </c>
      <c r="AD10" s="170">
        <f t="shared" si="28"/>
        <v>200</v>
      </c>
      <c r="AE10" s="170">
        <f t="shared" si="29"/>
        <v>16</v>
      </c>
      <c r="AF10" s="170">
        <f t="shared" si="30"/>
        <v>0</v>
      </c>
      <c r="AG10" s="170">
        <f t="shared" si="30"/>
        <v>0.89999999999417923</v>
      </c>
      <c r="AH10" s="170">
        <f t="shared" si="31"/>
        <v>120</v>
      </c>
      <c r="AI10" s="170">
        <f t="shared" si="32"/>
        <v>119.10000000000582</v>
      </c>
      <c r="AJ10" s="170">
        <f t="shared" si="33"/>
        <v>115</v>
      </c>
      <c r="AK10" s="170">
        <f t="shared" si="33"/>
        <v>7.8000000000029104</v>
      </c>
      <c r="AL10" s="170">
        <f t="shared" si="34"/>
        <v>158</v>
      </c>
      <c r="AM10" s="170">
        <f t="shared" si="35"/>
        <v>35.19999999999709</v>
      </c>
      <c r="AN10" s="170">
        <f t="shared" si="36"/>
        <v>0</v>
      </c>
      <c r="AO10" s="170">
        <f t="shared" si="4"/>
        <v>42</v>
      </c>
      <c r="AP10" s="170">
        <f t="shared" si="37"/>
        <v>30.30000000000291</v>
      </c>
      <c r="AQ10" s="170">
        <f t="shared" si="5"/>
        <v>36.900000000023283</v>
      </c>
      <c r="AR10" s="170">
        <f t="shared" si="38"/>
        <v>83.757000000000005</v>
      </c>
      <c r="AS10" s="170">
        <f t="shared" si="39"/>
        <v>59.757000000000062</v>
      </c>
      <c r="AT10" s="170">
        <f t="shared" si="40"/>
        <v>523.75700000000006</v>
      </c>
      <c r="AU10" s="170">
        <f t="shared" si="63"/>
        <v>92</v>
      </c>
      <c r="AV10" s="170">
        <f t="shared" si="64"/>
        <v>45</v>
      </c>
      <c r="AW10" s="170">
        <f t="shared" si="65"/>
        <v>372</v>
      </c>
      <c r="AX10" s="170">
        <f t="shared" si="66"/>
        <v>47</v>
      </c>
      <c r="AY10" s="170"/>
      <c r="AZ10" s="170">
        <f t="shared" si="41"/>
        <v>313</v>
      </c>
      <c r="BA10" s="170">
        <v>76</v>
      </c>
      <c r="BB10" s="170">
        <f t="shared" si="42"/>
        <v>160.79999999998836</v>
      </c>
      <c r="BC10" s="170">
        <f t="shared" si="42"/>
        <v>684.5999999998603</v>
      </c>
      <c r="BD10" s="91">
        <f t="shared" si="43"/>
        <v>297</v>
      </c>
      <c r="BE10" s="90"/>
      <c r="BF10" s="90"/>
      <c r="BG10" s="90">
        <f t="shared" si="44"/>
        <v>1455.3999999998487</v>
      </c>
      <c r="BH10" s="90">
        <f t="shared" si="45"/>
        <v>-1030</v>
      </c>
      <c r="BI10" s="90">
        <f t="shared" si="6"/>
        <v>2707.1629999999932</v>
      </c>
      <c r="BJ10" s="90">
        <f t="shared" si="46"/>
        <v>4602.8370000000068</v>
      </c>
      <c r="BK10" s="92"/>
      <c r="BL10" s="93">
        <f t="shared" si="67"/>
        <v>6280</v>
      </c>
      <c r="BM10" s="93">
        <f t="shared" si="47"/>
        <v>29151</v>
      </c>
      <c r="BN10" s="92"/>
      <c r="BO10" s="94">
        <f t="shared" si="48"/>
        <v>0.10382294803078868</v>
      </c>
      <c r="BP10" s="94">
        <f t="shared" si="48"/>
        <v>3.1115997854353105E-2</v>
      </c>
      <c r="BQ10" s="94">
        <f t="shared" si="49"/>
        <v>0.14794659785259906</v>
      </c>
      <c r="BR10" s="94">
        <f t="shared" si="68"/>
        <v>0.58644742978199571</v>
      </c>
      <c r="BS10" s="94">
        <f t="shared" si="7"/>
        <v>5.2065906789760478E-3</v>
      </c>
      <c r="BT10" s="94">
        <f t="shared" si="7"/>
        <v>6.7641555176866791E-2</v>
      </c>
      <c r="BU10" s="95">
        <f t="shared" si="7"/>
        <v>0.87134501195161196</v>
      </c>
      <c r="BV10" s="94">
        <f t="shared" si="8"/>
        <v>9.138803688652905E-2</v>
      </c>
      <c r="BW10" s="94">
        <f t="shared" si="8"/>
        <v>2.7389223804659277E-2</v>
      </c>
      <c r="BX10" s="94">
        <f t="shared" si="8"/>
        <v>0.13022698158966056</v>
      </c>
      <c r="BY10" s="94">
        <f t="shared" si="50"/>
        <v>0.51620841404959728</v>
      </c>
      <c r="BZ10" s="95">
        <f t="shared" si="9"/>
        <v>0.7669837122089096</v>
      </c>
      <c r="CA10" s="96" t="e">
        <f>#REF!</f>
        <v>#REF!</v>
      </c>
      <c r="CB10" s="94">
        <f t="shared" si="51"/>
        <v>3.2530334915017001E-2</v>
      </c>
      <c r="CC10" s="95">
        <f t="shared" si="51"/>
        <v>2.3208988186261117E-2</v>
      </c>
      <c r="CD10" s="97">
        <f t="shared" si="10"/>
        <v>0.13580295155004291</v>
      </c>
      <c r="CE10" s="98">
        <f t="shared" si="10"/>
        <v>9.6889537301669382E-2</v>
      </c>
      <c r="CF10" s="97">
        <f t="shared" si="52"/>
        <v>0</v>
      </c>
      <c r="CG10" s="94">
        <f t="shared" si="52"/>
        <v>0.43160877479404758</v>
      </c>
      <c r="CH10" s="95">
        <f t="shared" si="53"/>
        <v>0.46913997260222562</v>
      </c>
      <c r="CI10" s="96" t="e">
        <f>#REF!</f>
        <v>#REF!</v>
      </c>
      <c r="CJ10" s="94" t="str">
        <f t="shared" si="54"/>
        <v>0,00</v>
      </c>
      <c r="CK10" s="94" t="str">
        <f t="shared" si="54"/>
        <v>0,00</v>
      </c>
      <c r="CL10" s="95" t="str">
        <f t="shared" si="69"/>
        <v xml:space="preserve">0,00 </v>
      </c>
      <c r="CM10" s="95" t="e">
        <f>#REF!</f>
        <v>#REF!</v>
      </c>
      <c r="CN10" s="94">
        <f t="shared" si="55"/>
        <v>0.51785566326953347</v>
      </c>
      <c r="CO10" s="94">
        <f t="shared" si="55"/>
        <v>3.5124123247859726E-2</v>
      </c>
      <c r="CP10" s="95">
        <f t="shared" si="56"/>
        <v>0.71148865040509823</v>
      </c>
      <c r="CQ10" s="95" t="e">
        <f>#REF!</f>
        <v>#REF!</v>
      </c>
      <c r="CR10" s="97">
        <f t="shared" si="70"/>
        <v>0</v>
      </c>
      <c r="CS10" s="95">
        <f t="shared" si="70"/>
        <v>6.8302234133553644E-2</v>
      </c>
      <c r="CT10" s="96" t="e">
        <f>#REF!</f>
        <v>#REF!</v>
      </c>
      <c r="CU10" s="97">
        <f t="shared" si="71"/>
        <v>3.0207483540164448E-2</v>
      </c>
      <c r="CV10" s="95">
        <f t="shared" si="57"/>
        <v>3.6787331440021928E-2</v>
      </c>
      <c r="CW10" s="96" t="e">
        <f>#REF!</f>
        <v>#REF!</v>
      </c>
      <c r="CX10" s="97">
        <f t="shared" si="58"/>
        <v>3.573182912689761E-2</v>
      </c>
      <c r="CY10" s="98">
        <f t="shared" si="58"/>
        <v>1.7477525116417311E-2</v>
      </c>
      <c r="CZ10" s="97">
        <f t="shared" si="58"/>
        <v>0.14448087429571643</v>
      </c>
      <c r="DA10" s="98">
        <f t="shared" si="58"/>
        <v>1.8254304010480303E-2</v>
      </c>
      <c r="DB10" s="94">
        <f t="shared" si="11"/>
        <v>0.12156589692085817</v>
      </c>
      <c r="DC10" s="94">
        <f t="shared" si="12"/>
        <v>6.2453023082660007E-2</v>
      </c>
      <c r="DD10" s="94">
        <f t="shared" si="12"/>
        <v>0.26589141543770778</v>
      </c>
      <c r="DE10" s="94">
        <f t="shared" si="12"/>
        <v>0.11535166576835426</v>
      </c>
      <c r="DF10" s="94">
        <f t="shared" si="12"/>
        <v>0</v>
      </c>
      <c r="DG10" s="94">
        <f t="shared" si="12"/>
        <v>0</v>
      </c>
      <c r="DH10" s="95">
        <f t="shared" si="12"/>
        <v>0.56526200120958014</v>
      </c>
      <c r="DI10" s="96" t="e">
        <f>#REF!</f>
        <v>#REF!</v>
      </c>
      <c r="DJ10" s="95">
        <f t="shared" si="59"/>
        <v>-0.40004113044244066</v>
      </c>
      <c r="DK10" s="96" t="e">
        <f>#REF!</f>
        <v>#REF!</v>
      </c>
      <c r="DL10" s="95">
        <f t="shared" si="60"/>
        <v>1.0514335405941226</v>
      </c>
      <c r="DM10" s="96">
        <f t="shared" si="13"/>
        <v>0</v>
      </c>
      <c r="DN10" s="94">
        <f t="shared" si="14"/>
        <v>1.7876933172061116</v>
      </c>
      <c r="DO10" s="100">
        <v>3.4</v>
      </c>
      <c r="DP10" s="94">
        <f>IF($O10&lt;&gt;0,IF($O10&lt;&gt;0,BL10/$O10*10,0)," ")</f>
        <v>2.4390857273577939</v>
      </c>
      <c r="DQ10" s="94">
        <f>IF($P10&lt;&gt;0,IF($P10&lt;&gt;0,BM10/$P10*10,0)," ")</f>
        <v>2.5592144599593949</v>
      </c>
      <c r="DR10" s="101">
        <f t="shared" si="15"/>
        <v>0</v>
      </c>
      <c r="DS10" s="116"/>
      <c r="DT10" s="103">
        <v>5</v>
      </c>
      <c r="DU10" s="355">
        <f>DU9</f>
        <v>629848</v>
      </c>
      <c r="DV10" s="355">
        <v>28366</v>
      </c>
      <c r="DW10" s="355">
        <v>5141887</v>
      </c>
      <c r="DX10" s="104">
        <f>DX9</f>
        <v>120297</v>
      </c>
      <c r="DY10" s="104">
        <v>85757.9</v>
      </c>
      <c r="DZ10" s="355">
        <v>399209</v>
      </c>
      <c r="EA10" s="355">
        <v>235622</v>
      </c>
      <c r="EB10" s="104">
        <v>54982.8</v>
      </c>
      <c r="EC10" s="355">
        <v>413437</v>
      </c>
      <c r="ED10" s="104">
        <v>47827.8</v>
      </c>
      <c r="EE10" s="104">
        <v>42781</v>
      </c>
      <c r="EF10" s="104">
        <v>39598</v>
      </c>
      <c r="EG10" s="355">
        <v>93288.5</v>
      </c>
      <c r="EH10" s="355">
        <v>183922.7</v>
      </c>
      <c r="EI10" s="355">
        <v>32798</v>
      </c>
      <c r="EJ10" s="104">
        <v>41465</v>
      </c>
      <c r="EK10" s="104"/>
      <c r="EL10" s="355">
        <v>708611.8</v>
      </c>
      <c r="EM10" s="104">
        <v>3353</v>
      </c>
      <c r="EN10" s="104">
        <v>45583.6</v>
      </c>
      <c r="EO10" s="355">
        <v>3060633.9</v>
      </c>
      <c r="EP10" s="104">
        <v>2796986</v>
      </c>
      <c r="EQ10" s="104">
        <v>118</v>
      </c>
      <c r="ER10" s="104">
        <v>1533</v>
      </c>
      <c r="ES10" s="80">
        <v>377754</v>
      </c>
      <c r="ET10" s="104">
        <v>3036820</v>
      </c>
      <c r="EU10" s="104">
        <v>434046</v>
      </c>
      <c r="EV10" s="104">
        <v>146797</v>
      </c>
      <c r="EW10" s="104">
        <v>119614</v>
      </c>
      <c r="EX10" s="355">
        <v>212942</v>
      </c>
      <c r="EY10" s="355">
        <v>1671866.4</v>
      </c>
      <c r="EZ10" s="355">
        <v>792186.2</v>
      </c>
      <c r="FA10" s="380">
        <v>752928</v>
      </c>
      <c r="FB10" s="104">
        <v>32538.2</v>
      </c>
      <c r="FC10" s="104">
        <v>7310</v>
      </c>
      <c r="FD10" s="104">
        <f>(SUM(FE10:FM10))-937</f>
        <v>5188</v>
      </c>
      <c r="FE10" s="105">
        <f t="shared" si="17"/>
        <v>0</v>
      </c>
      <c r="FF10" s="105">
        <f t="shared" si="17"/>
        <v>216</v>
      </c>
      <c r="FG10" s="105">
        <f t="shared" si="17"/>
        <v>515</v>
      </c>
      <c r="FH10" s="105">
        <f t="shared" si="17"/>
        <v>1497</v>
      </c>
      <c r="FI10" s="105">
        <f t="shared" si="17"/>
        <v>720</v>
      </c>
      <c r="FJ10" s="105">
        <f t="shared" si="17"/>
        <v>789</v>
      </c>
      <c r="FK10" s="105">
        <v>1206</v>
      </c>
      <c r="FL10" s="105">
        <v>951</v>
      </c>
      <c r="FM10" s="105">
        <v>231</v>
      </c>
      <c r="FN10" s="80">
        <v>1092</v>
      </c>
      <c r="FO10" s="77"/>
      <c r="FP10" s="353"/>
      <c r="FY10" s="119">
        <v>5</v>
      </c>
      <c r="FZ10" s="107">
        <v>3949</v>
      </c>
      <c r="GA10" s="107">
        <v>188</v>
      </c>
      <c r="GB10" s="108">
        <f>GA10/FZ10/0.1</f>
        <v>0.4760698911116738</v>
      </c>
      <c r="GC10" s="109"/>
      <c r="GD10" s="110"/>
      <c r="GE10" s="110"/>
      <c r="GF10" s="111"/>
      <c r="GG10" s="111"/>
      <c r="GH10" s="111"/>
      <c r="GI10" s="112"/>
      <c r="GJ10" s="111">
        <f t="shared" si="61"/>
        <v>5295.4409574468091</v>
      </c>
      <c r="GK10" s="113"/>
    </row>
    <row r="11" spans="1:194" s="119" customFormat="1" ht="15.75" customHeight="1">
      <c r="B11" s="351">
        <v>42953</v>
      </c>
      <c r="D11" s="128"/>
      <c r="E11" s="128"/>
      <c r="F11" s="128">
        <v>1161.2159999999999</v>
      </c>
      <c r="G11" s="86">
        <v>2105.8029999999999</v>
      </c>
      <c r="H11" s="86"/>
      <c r="I11" s="86"/>
      <c r="J11" s="86"/>
      <c r="K11" s="86"/>
      <c r="L11" s="86">
        <v>0</v>
      </c>
      <c r="M11" s="115">
        <f t="shared" si="62"/>
        <v>0</v>
      </c>
      <c r="N11" s="88">
        <f t="shared" si="18"/>
        <v>3267.0189999999998</v>
      </c>
      <c r="O11" s="88">
        <f>N11+L11+K11+((J11+I11)*0.5)</f>
        <v>3267.0189999999998</v>
      </c>
      <c r="P11" s="89">
        <f t="shared" si="20"/>
        <v>117173.065</v>
      </c>
      <c r="R11" s="170">
        <f t="shared" si="21"/>
        <v>21.199999999953434</v>
      </c>
      <c r="S11" s="170">
        <f t="shared" si="22"/>
        <v>0</v>
      </c>
      <c r="T11" s="170">
        <f t="shared" si="1"/>
        <v>59.4</v>
      </c>
      <c r="U11" s="91">
        <f t="shared" ref="U11:U35" si="74">IF(FB11=0,"",((EN11-EN10)/10))</f>
        <v>0.58000000000029106</v>
      </c>
      <c r="V11" s="170">
        <f t="shared" si="23"/>
        <v>549</v>
      </c>
      <c r="W11" s="91">
        <f t="shared" si="2"/>
        <v>0</v>
      </c>
      <c r="X11" s="170">
        <f t="shared" si="24"/>
        <v>549</v>
      </c>
      <c r="Y11" s="170">
        <f t="shared" si="25"/>
        <v>49.3</v>
      </c>
      <c r="Z11" s="170">
        <f t="shared" si="3"/>
        <v>43.3</v>
      </c>
      <c r="AA11" s="170">
        <f t="shared" si="26"/>
        <v>630.17999999995368</v>
      </c>
      <c r="AB11" s="170">
        <f t="shared" si="27"/>
        <v>0</v>
      </c>
      <c r="AC11" s="170">
        <f t="shared" si="27"/>
        <v>0</v>
      </c>
      <c r="AD11" s="170">
        <f t="shared" si="28"/>
        <v>67</v>
      </c>
      <c r="AE11" s="170">
        <f t="shared" si="29"/>
        <v>67</v>
      </c>
      <c r="AF11" s="170">
        <f t="shared" si="30"/>
        <v>0</v>
      </c>
      <c r="AG11" s="170">
        <f>IF(DY11=0,"",(DY11-DY10))</f>
        <v>0</v>
      </c>
      <c r="AH11" s="170">
        <f>(IF(SUM(AF11:AG11)&gt;=(DZ11-DZ10),(SUM(AF11:AG11)),(DZ11-DZ10)))</f>
        <v>2</v>
      </c>
      <c r="AI11" s="170">
        <f t="shared" si="32"/>
        <v>2</v>
      </c>
      <c r="AJ11" s="170">
        <f t="shared" si="33"/>
        <v>67</v>
      </c>
      <c r="AK11" s="170">
        <f t="shared" si="33"/>
        <v>3.7999999999956344</v>
      </c>
      <c r="AL11" s="170">
        <f t="shared" si="34"/>
        <v>114</v>
      </c>
      <c r="AM11" s="170">
        <f t="shared" si="35"/>
        <v>43.200000000004366</v>
      </c>
      <c r="AN11" s="170">
        <f t="shared" si="36"/>
        <v>0</v>
      </c>
      <c r="AO11" s="170">
        <f t="shared" si="4"/>
        <v>17</v>
      </c>
      <c r="AP11" s="170">
        <f t="shared" si="37"/>
        <v>0</v>
      </c>
      <c r="AQ11" s="170">
        <f t="shared" si="5"/>
        <v>67.699999999982538</v>
      </c>
      <c r="AR11" s="170">
        <f t="shared" si="38"/>
        <v>0.16900000000000001</v>
      </c>
      <c r="AS11" s="170">
        <f t="shared" si="39"/>
        <v>3.1690000000000005</v>
      </c>
      <c r="AT11" s="170">
        <f t="shared" si="40"/>
        <v>26.169</v>
      </c>
      <c r="AU11" s="170">
        <f t="shared" si="63"/>
        <v>4</v>
      </c>
      <c r="AV11" s="170">
        <f t="shared" si="64"/>
        <v>0</v>
      </c>
      <c r="AW11" s="170">
        <f t="shared" si="65"/>
        <v>19</v>
      </c>
      <c r="AX11" s="170">
        <f t="shared" si="66"/>
        <v>33</v>
      </c>
      <c r="AY11" s="170"/>
      <c r="AZ11" s="170">
        <f t="shared" si="41"/>
        <v>282</v>
      </c>
      <c r="BA11" s="170">
        <v>0</v>
      </c>
      <c r="BB11" s="170">
        <f t="shared" si="42"/>
        <v>39.100000000005821</v>
      </c>
      <c r="BC11" s="170">
        <f t="shared" si="42"/>
        <v>315.10000000009313</v>
      </c>
      <c r="BD11" s="91">
        <f t="shared" si="43"/>
        <v>93</v>
      </c>
      <c r="BE11" s="90"/>
      <c r="BF11" s="90"/>
      <c r="BG11" s="90">
        <f t="shared" si="44"/>
        <v>729.20000000009895</v>
      </c>
      <c r="BH11" s="90">
        <f t="shared" si="45"/>
        <v>783</v>
      </c>
      <c r="BI11" s="90">
        <f t="shared" si="6"/>
        <v>1757.7509999999647</v>
      </c>
      <c r="BJ11" s="90">
        <f t="shared" si="46"/>
        <v>1686.2490000000353</v>
      </c>
      <c r="BK11" s="92"/>
      <c r="BL11" s="93">
        <f t="shared" si="67"/>
        <v>4227</v>
      </c>
      <c r="BM11" s="93">
        <f t="shared" si="47"/>
        <v>33378</v>
      </c>
      <c r="BN11" s="92"/>
      <c r="BO11" s="94">
        <f t="shared" si="48"/>
        <v>6.4890960229963268E-2</v>
      </c>
      <c r="BP11" s="94">
        <f t="shared" si="48"/>
        <v>0</v>
      </c>
      <c r="BQ11" s="94">
        <f t="shared" si="49"/>
        <v>0.1818171244183153</v>
      </c>
      <c r="BR11" s="94">
        <f t="shared" si="68"/>
        <v>1.6804309984117018</v>
      </c>
      <c r="BS11" s="94">
        <f t="shared" si="7"/>
        <v>0.15090209147850075</v>
      </c>
      <c r="BT11" s="94">
        <f t="shared" si="7"/>
        <v>0.1325367253756406</v>
      </c>
      <c r="BU11" s="95">
        <f t="shared" si="7"/>
        <v>1.928914401783258</v>
      </c>
      <c r="BV11" s="94">
        <f t="shared" si="8"/>
        <v>6.4890960229963268E-2</v>
      </c>
      <c r="BW11" s="94">
        <f t="shared" si="8"/>
        <v>0</v>
      </c>
      <c r="BX11" s="94">
        <f t="shared" si="8"/>
        <v>0.1818171244183153</v>
      </c>
      <c r="BY11" s="94">
        <f t="shared" si="50"/>
        <v>1.6804309984117018</v>
      </c>
      <c r="BZ11" s="95">
        <f t="shared" si="9"/>
        <v>1.928914401783258</v>
      </c>
      <c r="CA11" s="96" t="e">
        <f>#REF!</f>
        <v>#REF!</v>
      </c>
      <c r="CB11" s="94">
        <f t="shared" si="51"/>
        <v>5.1729114523056045E-4</v>
      </c>
      <c r="CC11" s="95">
        <f t="shared" si="51"/>
        <v>9.6999741966606271E-3</v>
      </c>
      <c r="CD11" s="97" t="str">
        <f t="shared" si="10"/>
        <v/>
      </c>
      <c r="CE11" s="98" t="str">
        <f t="shared" si="10"/>
        <v/>
      </c>
      <c r="CF11" s="97" t="str">
        <f t="shared" si="52"/>
        <v>0,00</v>
      </c>
      <c r="CG11" s="94" t="str">
        <f t="shared" si="52"/>
        <v>0,00</v>
      </c>
      <c r="CH11" s="95" t="str">
        <f t="shared" si="53"/>
        <v xml:space="preserve">0,00 </v>
      </c>
      <c r="CI11" s="96" t="e">
        <f>#REF!</f>
        <v>#REF!</v>
      </c>
      <c r="CJ11" s="94" t="str">
        <f t="shared" si="54"/>
        <v>0,00</v>
      </c>
      <c r="CK11" s="94" t="str">
        <f t="shared" si="54"/>
        <v>0,00</v>
      </c>
      <c r="CL11" s="95" t="str">
        <f t="shared" si="69"/>
        <v xml:space="preserve">0,00 </v>
      </c>
      <c r="CM11" s="95" t="e">
        <f>#REF!</f>
        <v>#REF!</v>
      </c>
      <c r="CN11" s="94">
        <f t="shared" si="55"/>
        <v>0.57698137125220461</v>
      </c>
      <c r="CO11" s="94">
        <f t="shared" si="55"/>
        <v>3.2724316578445656E-2</v>
      </c>
      <c r="CP11" s="95">
        <f t="shared" si="56"/>
        <v>0.98172949735449744</v>
      </c>
      <c r="CQ11" s="95" t="e">
        <f>#REF!</f>
        <v>#REF!</v>
      </c>
      <c r="CR11" s="97">
        <f t="shared" si="70"/>
        <v>0</v>
      </c>
      <c r="CS11" s="95">
        <f t="shared" si="70"/>
        <v>8.072929898950662E-2</v>
      </c>
      <c r="CT11" s="96" t="e">
        <f>#REF!</f>
        <v>#REF!</v>
      </c>
      <c r="CU11" s="97" t="str">
        <f t="shared" si="71"/>
        <v xml:space="preserve">0,00 </v>
      </c>
      <c r="CV11" s="95" t="str">
        <f t="shared" si="57"/>
        <v xml:space="preserve">0,00 </v>
      </c>
      <c r="CW11" s="96" t="e">
        <f>#REF!</f>
        <v>#REF!</v>
      </c>
      <c r="CX11" s="97">
        <f t="shared" si="58"/>
        <v>1.2243577401906753E-2</v>
      </c>
      <c r="CY11" s="98">
        <f t="shared" si="58"/>
        <v>0</v>
      </c>
      <c r="CZ11" s="97">
        <f t="shared" si="58"/>
        <v>5.8156992659057084E-2</v>
      </c>
      <c r="DA11" s="98">
        <f t="shared" si="58"/>
        <v>0.10100951356573072</v>
      </c>
      <c r="DB11" s="94">
        <f t="shared" si="11"/>
        <v>0.86317220683442619</v>
      </c>
      <c r="DC11" s="94">
        <f t="shared" si="12"/>
        <v>0.11968096910365635</v>
      </c>
      <c r="DD11" s="94">
        <f t="shared" si="12"/>
        <v>0.96448780983548965</v>
      </c>
      <c r="DE11" s="94">
        <f t="shared" si="12"/>
        <v>0.28466317459433205</v>
      </c>
      <c r="DF11" s="94">
        <f t="shared" si="12"/>
        <v>0</v>
      </c>
      <c r="DG11" s="94">
        <f t="shared" si="12"/>
        <v>0</v>
      </c>
      <c r="DH11" s="95">
        <f t="shared" si="12"/>
        <v>2.2320041603679042</v>
      </c>
      <c r="DI11" s="96" t="e">
        <f>#REF!</f>
        <v>#REF!</v>
      </c>
      <c r="DJ11" s="95">
        <f t="shared" si="59"/>
        <v>2.3966802764232473</v>
      </c>
      <c r="DK11" s="96" t="e">
        <f>#REF!</f>
        <v>#REF!</v>
      </c>
      <c r="DL11" s="95">
        <f t="shared" si="60"/>
        <v>5.3802901054446419</v>
      </c>
      <c r="DM11" s="96">
        <f t="shared" si="13"/>
        <v>0</v>
      </c>
      <c r="DN11" s="94">
        <f t="shared" si="14"/>
        <v>5.1614300375970732</v>
      </c>
      <c r="DO11" s="100">
        <v>3.4</v>
      </c>
      <c r="DP11" s="94">
        <f>IF($O11&lt;&gt;0,IF($O11&lt;&gt;0,BL11/$O11*10,0)," ")</f>
        <v>12.938400419464964</v>
      </c>
      <c r="DQ11" s="94">
        <f t="shared" si="73"/>
        <v>2.8486068875982715</v>
      </c>
      <c r="DR11" s="101">
        <f t="shared" si="15"/>
        <v>0</v>
      </c>
      <c r="DS11" s="116" t="s">
        <v>246</v>
      </c>
      <c r="DT11" s="103">
        <v>6</v>
      </c>
      <c r="DU11" s="355">
        <f>DU10</f>
        <v>629848</v>
      </c>
      <c r="DV11" s="355">
        <v>28366</v>
      </c>
      <c r="DW11" s="104">
        <v>5141954</v>
      </c>
      <c r="DX11" s="287">
        <f>DX10</f>
        <v>120297</v>
      </c>
      <c r="DY11" s="104">
        <v>85757.9</v>
      </c>
      <c r="DZ11" s="355">
        <v>399211</v>
      </c>
      <c r="EA11" s="355">
        <v>235689</v>
      </c>
      <c r="EB11" s="104">
        <v>54986.6</v>
      </c>
      <c r="EC11" s="104">
        <v>413551</v>
      </c>
      <c r="ED11" s="104">
        <v>47827.8</v>
      </c>
      <c r="EE11" s="104">
        <f>EE10</f>
        <v>42781</v>
      </c>
      <c r="EF11" s="104">
        <v>39615</v>
      </c>
      <c r="EG11" s="104">
        <f>EG10</f>
        <v>93288.5</v>
      </c>
      <c r="EH11" s="355">
        <v>183990.39999999999</v>
      </c>
      <c r="EI11" s="355">
        <v>32798</v>
      </c>
      <c r="EJ11" s="104">
        <v>41498</v>
      </c>
      <c r="EK11" s="104"/>
      <c r="EL11" s="355">
        <v>708633</v>
      </c>
      <c r="EM11" s="104">
        <v>594</v>
      </c>
      <c r="EN11" s="104">
        <v>45589.4</v>
      </c>
      <c r="EO11" s="355">
        <v>3061182.9</v>
      </c>
      <c r="EP11" s="104">
        <f>EP10</f>
        <v>2796986</v>
      </c>
      <c r="EQ11" s="104">
        <v>493</v>
      </c>
      <c r="ER11" s="104">
        <v>433</v>
      </c>
      <c r="ES11" s="80">
        <v>377780</v>
      </c>
      <c r="ET11" s="104">
        <v>3036989</v>
      </c>
      <c r="EU11" s="104">
        <v>434065</v>
      </c>
      <c r="EV11" s="104">
        <v>146801</v>
      </c>
      <c r="EW11" s="104">
        <v>119896</v>
      </c>
      <c r="EX11" s="355">
        <v>212981.1</v>
      </c>
      <c r="EY11" s="355">
        <v>1672181.5</v>
      </c>
      <c r="EZ11" s="355">
        <v>792186.2</v>
      </c>
      <c r="FA11" s="355">
        <v>753021</v>
      </c>
      <c r="FB11" s="104">
        <v>32538.2</v>
      </c>
      <c r="FC11" s="104">
        <v>3444</v>
      </c>
      <c r="FD11" s="104">
        <f>(SUM(FE11:FM11))-937</f>
        <v>3135</v>
      </c>
      <c r="FE11" s="105">
        <f t="shared" si="17"/>
        <v>0</v>
      </c>
      <c r="FF11" s="105">
        <f t="shared" si="17"/>
        <v>199</v>
      </c>
      <c r="FG11" s="105">
        <f t="shared" si="17"/>
        <v>279</v>
      </c>
      <c r="FH11" s="105">
        <f t="shared" si="17"/>
        <v>1241</v>
      </c>
      <c r="FI11" s="105">
        <f t="shared" si="17"/>
        <v>444</v>
      </c>
      <c r="FJ11" s="105">
        <f t="shared" si="17"/>
        <v>685</v>
      </c>
      <c r="FK11" s="105">
        <v>0</v>
      </c>
      <c r="FL11" s="105">
        <v>943</v>
      </c>
      <c r="FM11" s="105">
        <v>281</v>
      </c>
      <c r="FN11" s="80">
        <v>1092</v>
      </c>
      <c r="FO11" s="104"/>
      <c r="FP11" s="353"/>
      <c r="FY11" s="119">
        <v>6</v>
      </c>
      <c r="FZ11" s="107">
        <v>9080</v>
      </c>
      <c r="GA11" s="107">
        <v>1148</v>
      </c>
      <c r="GB11" s="108">
        <f>GA11/FZ11/0.1</f>
        <v>1.2643171806167399</v>
      </c>
      <c r="GC11" s="109"/>
      <c r="GD11" s="110"/>
      <c r="GE11" s="110"/>
      <c r="GF11" s="111"/>
      <c r="GG11" s="111"/>
      <c r="GH11" s="111"/>
      <c r="GI11" s="112"/>
      <c r="GJ11" s="111">
        <f t="shared" si="61"/>
        <v>1305.8432055749131</v>
      </c>
      <c r="GK11" s="113"/>
    </row>
    <row r="12" spans="1:194" s="119" customFormat="1" ht="15" customHeight="1">
      <c r="B12" s="351">
        <v>42954</v>
      </c>
      <c r="D12" s="128">
        <v>2182.6799999999998</v>
      </c>
      <c r="E12" s="128"/>
      <c r="F12" s="128">
        <v>798.33600000000001</v>
      </c>
      <c r="G12" s="86">
        <v>2108.125</v>
      </c>
      <c r="H12" s="86">
        <v>3956.4549999999999</v>
      </c>
      <c r="I12" s="86"/>
      <c r="J12" s="86">
        <v>3436.32</v>
      </c>
      <c r="K12" s="86"/>
      <c r="L12" s="86">
        <v>0</v>
      </c>
      <c r="M12" s="115">
        <f t="shared" si="62"/>
        <v>3436.32</v>
      </c>
      <c r="N12" s="88">
        <f t="shared" si="18"/>
        <v>9045.5959999999995</v>
      </c>
      <c r="O12" s="88">
        <f>N12+L12+K12+((J12+I12)*0.5)</f>
        <v>10763.755999999999</v>
      </c>
      <c r="P12" s="89">
        <f t="shared" si="20"/>
        <v>127936.821</v>
      </c>
      <c r="R12" s="170">
        <f t="shared" si="21"/>
        <v>112.19999999995343</v>
      </c>
      <c r="S12" s="170">
        <f t="shared" si="22"/>
        <v>114.11000000000931</v>
      </c>
      <c r="T12" s="170">
        <f t="shared" si="1"/>
        <v>658.3</v>
      </c>
      <c r="U12" s="91">
        <f t="shared" si="74"/>
        <v>2.2900000000001457</v>
      </c>
      <c r="V12" s="170">
        <f t="shared" si="23"/>
        <v>1242.3000000002794</v>
      </c>
      <c r="W12" s="91">
        <f>IF(EP12=0,"",(EP12-2777520)/10)</f>
        <v>112.9</v>
      </c>
      <c r="X12" s="170">
        <f t="shared" si="24"/>
        <v>1242.3000000002794</v>
      </c>
      <c r="Y12" s="170">
        <f t="shared" si="25"/>
        <v>74</v>
      </c>
      <c r="Z12" s="170">
        <f t="shared" si="3"/>
        <v>91.3</v>
      </c>
      <c r="AA12" s="170">
        <f t="shared" si="26"/>
        <v>2129.2000000002422</v>
      </c>
      <c r="AB12" s="170">
        <f t="shared" si="27"/>
        <v>355</v>
      </c>
      <c r="AC12" s="170">
        <f t="shared" si="27"/>
        <v>37</v>
      </c>
      <c r="AD12" s="170">
        <f t="shared" si="28"/>
        <v>392</v>
      </c>
      <c r="AE12" s="170">
        <f t="shared" si="29"/>
        <v>0</v>
      </c>
      <c r="AF12" s="170">
        <f t="shared" si="30"/>
        <v>168</v>
      </c>
      <c r="AG12" s="170">
        <f t="shared" si="30"/>
        <v>0</v>
      </c>
      <c r="AH12" s="170">
        <f t="shared" si="31"/>
        <v>168</v>
      </c>
      <c r="AI12" s="170">
        <f t="shared" si="32"/>
        <v>0</v>
      </c>
      <c r="AJ12" s="170">
        <f t="shared" si="33"/>
        <v>81</v>
      </c>
      <c r="AK12" s="170">
        <f t="shared" si="33"/>
        <v>24.30000000000291</v>
      </c>
      <c r="AL12" s="170">
        <f t="shared" si="34"/>
        <v>173</v>
      </c>
      <c r="AM12" s="170">
        <f t="shared" si="35"/>
        <v>67.69999999999709</v>
      </c>
      <c r="AN12" s="170">
        <f t="shared" si="36"/>
        <v>2.6999999999970896</v>
      </c>
      <c r="AO12" s="170">
        <f t="shared" si="4"/>
        <v>55</v>
      </c>
      <c r="AP12" s="170">
        <f t="shared" si="37"/>
        <v>22</v>
      </c>
      <c r="AQ12" s="170">
        <f t="shared" si="5"/>
        <v>57.399999999994179</v>
      </c>
      <c r="AR12" s="170">
        <f t="shared" si="38"/>
        <v>74.858000000000004</v>
      </c>
      <c r="AS12" s="170">
        <f t="shared" si="39"/>
        <v>293.85799999999995</v>
      </c>
      <c r="AT12" s="170">
        <f t="shared" si="40"/>
        <v>669.85799999999995</v>
      </c>
      <c r="AU12" s="170">
        <f t="shared" si="63"/>
        <v>4</v>
      </c>
      <c r="AV12" s="170">
        <f t="shared" si="64"/>
        <v>4</v>
      </c>
      <c r="AW12" s="170">
        <f t="shared" si="65"/>
        <v>372</v>
      </c>
      <c r="AX12" s="170">
        <f t="shared" si="66"/>
        <v>56</v>
      </c>
      <c r="AY12" s="170"/>
      <c r="AZ12" s="170">
        <f t="shared" si="41"/>
        <v>229</v>
      </c>
      <c r="BA12" s="170">
        <v>91</v>
      </c>
      <c r="BB12" s="170">
        <f t="shared" si="42"/>
        <v>204.79999999998836</v>
      </c>
      <c r="BC12" s="170">
        <f t="shared" si="42"/>
        <v>319.39999999990687</v>
      </c>
      <c r="BD12" s="91">
        <f t="shared" si="43"/>
        <v>10</v>
      </c>
      <c r="BE12" s="90"/>
      <c r="BF12" s="90"/>
      <c r="BG12" s="90">
        <f t="shared" si="44"/>
        <v>763.19999999989523</v>
      </c>
      <c r="BH12" s="90">
        <f t="shared" si="45"/>
        <v>-473</v>
      </c>
      <c r="BI12" s="90">
        <f t="shared" si="6"/>
        <v>1189.3419999998687</v>
      </c>
      <c r="BJ12" s="90">
        <f t="shared" si="46"/>
        <v>4467.6580000001313</v>
      </c>
      <c r="BK12" s="92"/>
      <c r="BL12" s="93">
        <f t="shared" si="67"/>
        <v>5184</v>
      </c>
      <c r="BM12" s="93">
        <f t="shared" si="47"/>
        <v>38562</v>
      </c>
      <c r="BN12" s="92"/>
      <c r="BO12" s="94">
        <f t="shared" si="48"/>
        <v>0.1240382612709582</v>
      </c>
      <c r="BP12" s="94">
        <f t="shared" si="48"/>
        <v>0.12614978603953717</v>
      </c>
      <c r="BQ12" s="94">
        <f t="shared" si="49"/>
        <v>0.72775746341092395</v>
      </c>
      <c r="BR12" s="94">
        <f t="shared" si="68"/>
        <v>1.3733755078164882</v>
      </c>
      <c r="BS12" s="94">
        <f t="shared" si="7"/>
        <v>8.1807765900665921E-2</v>
      </c>
      <c r="BT12" s="94">
        <f t="shared" si="7"/>
        <v>0.1009330949558216</v>
      </c>
      <c r="BU12" s="95">
        <f t="shared" si="7"/>
        <v>2.3538526372394282</v>
      </c>
      <c r="BV12" s="94">
        <f t="shared" si="8"/>
        <v>0.10423870626568778</v>
      </c>
      <c r="BW12" s="94">
        <f t="shared" si="8"/>
        <v>0.10601317978594954</v>
      </c>
      <c r="BX12" s="94">
        <f t="shared" si="8"/>
        <v>0.61158948604929353</v>
      </c>
      <c r="BY12" s="94">
        <f t="shared" si="50"/>
        <v>1.1541510231189553</v>
      </c>
      <c r="BZ12" s="95">
        <f t="shared" si="9"/>
        <v>1.9781199053566825</v>
      </c>
      <c r="CA12" s="96" t="e">
        <f>#REF!</f>
        <v>#REF!</v>
      </c>
      <c r="CB12" s="94">
        <f t="shared" si="51"/>
        <v>6.9546355380036493E-2</v>
      </c>
      <c r="CC12" s="95">
        <f t="shared" si="51"/>
        <v>0.27300693178106228</v>
      </c>
      <c r="CD12" s="97">
        <f t="shared" si="10"/>
        <v>0.21784350700749638</v>
      </c>
      <c r="CE12" s="98">
        <f t="shared" si="10"/>
        <v>0.85515318713041844</v>
      </c>
      <c r="CF12" s="97">
        <f t="shared" si="52"/>
        <v>1.6264408891821063</v>
      </c>
      <c r="CG12" s="94">
        <f t="shared" si="52"/>
        <v>0.16951637436545899</v>
      </c>
      <c r="CH12" s="95">
        <f t="shared" si="53"/>
        <v>1.7959572635475654</v>
      </c>
      <c r="CI12" s="96" t="e">
        <f>#REF!</f>
        <v>#REF!</v>
      </c>
      <c r="CJ12" s="94" t="str">
        <f t="shared" si="54"/>
        <v>0,00</v>
      </c>
      <c r="CK12" s="94" t="str">
        <f t="shared" si="54"/>
        <v>0,00</v>
      </c>
      <c r="CL12" s="95" t="str">
        <f t="shared" si="69"/>
        <v xml:space="preserve">0,00 </v>
      </c>
      <c r="CM12" s="95" t="e">
        <f>#REF!</f>
        <v>#REF!</v>
      </c>
      <c r="CN12" s="94">
        <f t="shared" si="55"/>
        <v>1.0146103896103895</v>
      </c>
      <c r="CO12" s="94">
        <f t="shared" si="55"/>
        <v>0.30438311688315334</v>
      </c>
      <c r="CP12" s="95">
        <f t="shared" si="56"/>
        <v>2.1670073753407086</v>
      </c>
      <c r="CQ12" s="95" t="e">
        <f>#REF!</f>
        <v>#REF!</v>
      </c>
      <c r="CR12" s="97">
        <f t="shared" si="70"/>
        <v>1.2807589682761172E-2</v>
      </c>
      <c r="CS12" s="95">
        <f t="shared" si="70"/>
        <v>0.26089534538986064</v>
      </c>
      <c r="CT12" s="96" t="e">
        <f>#REF!</f>
        <v>#REF!</v>
      </c>
      <c r="CU12" s="97">
        <f t="shared" si="71"/>
        <v>5.560533356249471E-2</v>
      </c>
      <c r="CV12" s="95">
        <f t="shared" si="57"/>
        <v>0.14507937029485785</v>
      </c>
      <c r="CW12" s="96" t="e">
        <f>#REF!</f>
        <v>#REF!</v>
      </c>
      <c r="CX12" s="97">
        <f t="shared" si="58"/>
        <v>3.7161749114342614E-3</v>
      </c>
      <c r="CY12" s="98">
        <f t="shared" si="58"/>
        <v>3.7161749114342614E-3</v>
      </c>
      <c r="CZ12" s="97">
        <f t="shared" si="58"/>
        <v>0.34560426676338635</v>
      </c>
      <c r="DA12" s="98">
        <f t="shared" si="58"/>
        <v>5.2026448760079662E-2</v>
      </c>
      <c r="DB12" s="94">
        <f t="shared" si="11"/>
        <v>0.21275101367961149</v>
      </c>
      <c r="DC12" s="94">
        <f t="shared" si="12"/>
        <v>0.19026815546542339</v>
      </c>
      <c r="DD12" s="94">
        <f t="shared" si="12"/>
        <v>0.2967365666779393</v>
      </c>
      <c r="DE12" s="94">
        <f t="shared" si="12"/>
        <v>9.2904372785856532E-3</v>
      </c>
      <c r="DF12" s="94">
        <f t="shared" si="12"/>
        <v>0</v>
      </c>
      <c r="DG12" s="94">
        <f t="shared" si="12"/>
        <v>0</v>
      </c>
      <c r="DH12" s="95">
        <f t="shared" si="12"/>
        <v>0.70904617310155971</v>
      </c>
      <c r="DI12" s="96" t="e">
        <f>#REF!</f>
        <v>#REF!</v>
      </c>
      <c r="DJ12" s="95">
        <f t="shared" si="59"/>
        <v>-0.43943768327710142</v>
      </c>
      <c r="DK12" s="96" t="e">
        <f>#REF!</f>
        <v>#REF!</v>
      </c>
      <c r="DL12" s="95">
        <f t="shared" si="60"/>
        <v>1.1049507253786399</v>
      </c>
      <c r="DM12" s="96">
        <f t="shared" si="13"/>
        <v>0</v>
      </c>
      <c r="DN12" s="94">
        <f t="shared" si="14"/>
        <v>4.1506496431172648</v>
      </c>
      <c r="DO12" s="100">
        <v>3.4</v>
      </c>
      <c r="DP12" s="94">
        <f>IF($O12&lt;&gt;0,IF($O12&lt;&gt;0,BL12/$O12*10,0)," ")</f>
        <v>4.8161626852188029</v>
      </c>
      <c r="DQ12" s="94">
        <f t="shared" si="73"/>
        <v>3.0141439890866133</v>
      </c>
      <c r="DR12" s="101">
        <f t="shared" si="15"/>
        <v>0</v>
      </c>
      <c r="DS12" s="116"/>
      <c r="DT12" s="134">
        <v>7</v>
      </c>
      <c r="DU12" s="355">
        <v>630203</v>
      </c>
      <c r="DV12" s="355">
        <v>28403</v>
      </c>
      <c r="DW12" s="361">
        <v>5142346</v>
      </c>
      <c r="DX12" s="303">
        <v>120465</v>
      </c>
      <c r="DY12" s="303">
        <v>85757.9</v>
      </c>
      <c r="DZ12" s="303">
        <v>399279</v>
      </c>
      <c r="EA12" s="303">
        <v>235770</v>
      </c>
      <c r="EB12" s="303">
        <v>55010.9</v>
      </c>
      <c r="EC12" s="303">
        <v>413724</v>
      </c>
      <c r="ED12" s="104">
        <v>47830.5</v>
      </c>
      <c r="EE12" s="104">
        <v>42788</v>
      </c>
      <c r="EF12" s="303">
        <v>39663</v>
      </c>
      <c r="EG12" s="361">
        <v>93310.5</v>
      </c>
      <c r="EH12" s="361">
        <v>184047.8</v>
      </c>
      <c r="EI12" s="355">
        <v>32802</v>
      </c>
      <c r="EJ12" s="303">
        <v>41554</v>
      </c>
      <c r="EK12" s="303"/>
      <c r="EL12" s="361">
        <v>708745.2</v>
      </c>
      <c r="EM12" s="303">
        <v>6583</v>
      </c>
      <c r="EN12" s="303">
        <v>45612.3</v>
      </c>
      <c r="EO12" s="361">
        <v>3062425.2</v>
      </c>
      <c r="EP12" s="104">
        <v>2778649</v>
      </c>
      <c r="EQ12" s="303">
        <v>740</v>
      </c>
      <c r="ER12" s="303">
        <v>913</v>
      </c>
      <c r="ES12" s="303">
        <v>378375</v>
      </c>
      <c r="ET12" s="303">
        <v>3111847</v>
      </c>
      <c r="EU12" s="303">
        <v>434437</v>
      </c>
      <c r="EV12" s="303">
        <v>146805</v>
      </c>
      <c r="EW12" s="303">
        <v>120125</v>
      </c>
      <c r="EX12" s="361">
        <v>213185.9</v>
      </c>
      <c r="EY12" s="361">
        <v>1672500.9</v>
      </c>
      <c r="EZ12" s="361">
        <v>793327.3</v>
      </c>
      <c r="FA12" s="361">
        <v>753031</v>
      </c>
      <c r="FB12" s="303">
        <v>32638.799999999999</v>
      </c>
      <c r="FC12" s="303">
        <v>5657</v>
      </c>
      <c r="FD12" s="104">
        <f>(SUM(FE12:FM12))-937</f>
        <v>4092</v>
      </c>
      <c r="FE12" s="105">
        <f t="shared" si="17"/>
        <v>0</v>
      </c>
      <c r="FF12" s="105">
        <f t="shared" si="17"/>
        <v>328</v>
      </c>
      <c r="FG12" s="105">
        <f t="shared" si="17"/>
        <v>1306</v>
      </c>
      <c r="FH12" s="105">
        <f t="shared" si="17"/>
        <v>577</v>
      </c>
      <c r="FI12" s="105">
        <f t="shared" si="17"/>
        <v>240</v>
      </c>
      <c r="FJ12" s="105">
        <f t="shared" si="17"/>
        <v>805</v>
      </c>
      <c r="FK12" s="105">
        <v>402</v>
      </c>
      <c r="FL12" s="105">
        <v>1088</v>
      </c>
      <c r="FM12" s="105">
        <v>283</v>
      </c>
      <c r="FN12" s="80">
        <v>1092</v>
      </c>
      <c r="FO12" s="104"/>
      <c r="FP12" s="353"/>
      <c r="FY12" s="119">
        <v>7</v>
      </c>
      <c r="FZ12" s="107">
        <v>9087</v>
      </c>
      <c r="GA12" s="107">
        <v>1193</v>
      </c>
      <c r="GB12" s="108">
        <f>GA12/FZ12/0.1</f>
        <v>1.312864531748652</v>
      </c>
      <c r="GC12" s="109"/>
      <c r="GD12" s="110"/>
      <c r="GE12" s="110"/>
      <c r="GF12" s="111"/>
      <c r="GG12" s="111"/>
      <c r="GH12" s="111"/>
      <c r="GI12" s="112"/>
      <c r="GJ12" s="111">
        <f t="shared" si="61"/>
        <v>705.32791282481139</v>
      </c>
      <c r="GK12" s="113"/>
    </row>
    <row r="13" spans="1:194" s="119" customFormat="1" ht="15" customHeight="1">
      <c r="B13" s="351">
        <v>42955</v>
      </c>
      <c r="D13" s="128">
        <v>6200.4</v>
      </c>
      <c r="E13" s="128"/>
      <c r="F13" s="128">
        <v>3136.752</v>
      </c>
      <c r="G13" s="86">
        <v>5302.55</v>
      </c>
      <c r="H13" s="86">
        <v>8166.2880000000005</v>
      </c>
      <c r="I13" s="86"/>
      <c r="J13" s="86">
        <v>1892.88</v>
      </c>
      <c r="K13" s="86"/>
      <c r="L13" s="86"/>
      <c r="M13" s="115">
        <f t="shared" si="62"/>
        <v>1892.88</v>
      </c>
      <c r="N13" s="88">
        <f t="shared" si="18"/>
        <v>22805.99</v>
      </c>
      <c r="O13" s="88">
        <f>N13+L13+K13+((J13+I13)*0.5)</f>
        <v>23752.43</v>
      </c>
      <c r="P13" s="89">
        <f t="shared" si="20"/>
        <v>151689.25099999999</v>
      </c>
      <c r="R13" s="170">
        <f t="shared" si="21"/>
        <v>287.10000000009313</v>
      </c>
      <c r="S13" s="170">
        <f t="shared" si="22"/>
        <v>7.3099999999976717</v>
      </c>
      <c r="T13" s="170">
        <f t="shared" si="1"/>
        <v>670.6</v>
      </c>
      <c r="U13" s="91">
        <f t="shared" si="74"/>
        <v>4.6599999999998545</v>
      </c>
      <c r="V13" s="170">
        <f t="shared" si="23"/>
        <v>1246</v>
      </c>
      <c r="W13" s="91">
        <f t="shared" si="2"/>
        <v>111</v>
      </c>
      <c r="X13" s="170">
        <f t="shared" si="24"/>
        <v>1246</v>
      </c>
      <c r="Y13" s="170" t="str">
        <f t="shared" si="25"/>
        <v>0</v>
      </c>
      <c r="Z13" s="170">
        <f t="shared" si="3"/>
        <v>139.30000000000001</v>
      </c>
      <c r="AA13" s="170">
        <f t="shared" si="26"/>
        <v>2215.6700000000906</v>
      </c>
      <c r="AB13" s="170">
        <f t="shared" si="27"/>
        <v>229</v>
      </c>
      <c r="AC13" s="170">
        <f t="shared" si="27"/>
        <v>42</v>
      </c>
      <c r="AD13" s="170">
        <f t="shared" si="28"/>
        <v>458</v>
      </c>
      <c r="AE13" s="170">
        <f t="shared" si="29"/>
        <v>187</v>
      </c>
      <c r="AF13" s="170">
        <f t="shared" si="30"/>
        <v>76</v>
      </c>
      <c r="AG13" s="170">
        <f t="shared" si="30"/>
        <v>0</v>
      </c>
      <c r="AH13" s="170">
        <f t="shared" si="31"/>
        <v>84</v>
      </c>
      <c r="AI13" s="170">
        <f t="shared" si="32"/>
        <v>8</v>
      </c>
      <c r="AJ13" s="170">
        <f t="shared" si="33"/>
        <v>133</v>
      </c>
      <c r="AK13" s="170">
        <f t="shared" si="33"/>
        <v>7</v>
      </c>
      <c r="AL13" s="170">
        <f t="shared" si="34"/>
        <v>214</v>
      </c>
      <c r="AM13" s="170">
        <f t="shared" si="35"/>
        <v>74</v>
      </c>
      <c r="AN13" s="170">
        <f t="shared" si="36"/>
        <v>0</v>
      </c>
      <c r="AO13" s="170">
        <f t="shared" si="4"/>
        <v>55</v>
      </c>
      <c r="AP13" s="170">
        <f t="shared" si="37"/>
        <v>25.30000000000291</v>
      </c>
      <c r="AQ13" s="170">
        <f t="shared" si="5"/>
        <v>56.600000000005821</v>
      </c>
      <c r="AR13" s="170">
        <f t="shared" si="38"/>
        <v>45.954000000000001</v>
      </c>
      <c r="AS13" s="170">
        <f t="shared" si="39"/>
        <v>47.953999999999951</v>
      </c>
      <c r="AT13" s="170">
        <f t="shared" si="40"/>
        <v>570.95399999999995</v>
      </c>
      <c r="AU13" s="170">
        <f t="shared" si="63"/>
        <v>49</v>
      </c>
      <c r="AV13" s="170">
        <f t="shared" si="64"/>
        <v>2</v>
      </c>
      <c r="AW13" s="170">
        <f t="shared" si="65"/>
        <v>474</v>
      </c>
      <c r="AX13" s="170">
        <f t="shared" si="66"/>
        <v>85</v>
      </c>
      <c r="AY13" s="170"/>
      <c r="AZ13" s="170">
        <f t="shared" si="41"/>
        <v>401</v>
      </c>
      <c r="BA13" s="170">
        <v>7</v>
      </c>
      <c r="BB13" s="170">
        <f t="shared" si="42"/>
        <v>224</v>
      </c>
      <c r="BC13" s="170">
        <f t="shared" si="42"/>
        <v>1064.5</v>
      </c>
      <c r="BD13" s="91">
        <f t="shared" si="43"/>
        <v>313</v>
      </c>
      <c r="BE13" s="90"/>
      <c r="BF13" s="90"/>
      <c r="BG13" s="90">
        <f t="shared" si="44"/>
        <v>2002.5</v>
      </c>
      <c r="BH13" s="90">
        <f>BL13-FC13</f>
        <v>-428</v>
      </c>
      <c r="BI13" s="90">
        <f t="shared" si="6"/>
        <v>1810.2759999999034</v>
      </c>
      <c r="BJ13" s="90">
        <f t="shared" si="46"/>
        <v>5743.7240000000966</v>
      </c>
      <c r="BK13" s="92"/>
      <c r="BL13" s="93">
        <f t="shared" si="67"/>
        <v>7126</v>
      </c>
      <c r="BM13" s="93">
        <f t="shared" si="47"/>
        <v>45688</v>
      </c>
      <c r="BN13" s="92"/>
      <c r="BO13" s="94">
        <f t="shared" si="48"/>
        <v>0.12588797943000637</v>
      </c>
      <c r="BP13" s="94">
        <f t="shared" si="48"/>
        <v>3.2052982571673804E-3</v>
      </c>
      <c r="BQ13" s="94">
        <f t="shared" si="49"/>
        <v>0.2940455555755308</v>
      </c>
      <c r="BR13" s="94">
        <f t="shared" si="68"/>
        <v>0.5463476919879382</v>
      </c>
      <c r="BS13" s="94">
        <f t="shared" si="7"/>
        <v>0</v>
      </c>
      <c r="BT13" s="94">
        <f t="shared" si="7"/>
        <v>6.1080444216629053E-2</v>
      </c>
      <c r="BU13" s="95">
        <f t="shared" si="7"/>
        <v>0.97152984807942588</v>
      </c>
      <c r="BV13" s="94">
        <f t="shared" si="8"/>
        <v>0.1208718434282695</v>
      </c>
      <c r="BW13" s="94">
        <f t="shared" si="8"/>
        <v>3.0775798518289169E-3</v>
      </c>
      <c r="BX13" s="94">
        <f t="shared" si="8"/>
        <v>0.28232900802149508</v>
      </c>
      <c r="BY13" s="94">
        <f t="shared" si="50"/>
        <v>0.52457790634474033</v>
      </c>
      <c r="BZ13" s="95">
        <f t="shared" si="9"/>
        <v>0.93281824217568077</v>
      </c>
      <c r="CA13" s="96" t="e">
        <f>#REF!</f>
        <v>#REF!</v>
      </c>
      <c r="CB13" s="94">
        <f t="shared" si="51"/>
        <v>1.9347073120518615E-2</v>
      </c>
      <c r="CC13" s="95">
        <f t="shared" si="51"/>
        <v>2.0189092231826366E-2</v>
      </c>
      <c r="CD13" s="97">
        <f t="shared" si="10"/>
        <v>0.24277291745910992</v>
      </c>
      <c r="CE13" s="98">
        <f t="shared" si="10"/>
        <v>0.25333882760660975</v>
      </c>
      <c r="CF13" s="97">
        <f t="shared" si="52"/>
        <v>0.36933101090252246</v>
      </c>
      <c r="CG13" s="94">
        <f t="shared" si="52"/>
        <v>6.7737565318366555E-2</v>
      </c>
      <c r="CH13" s="95">
        <f t="shared" si="53"/>
        <v>0.73866202180504492</v>
      </c>
      <c r="CI13" s="96" t="e">
        <f>#REF!</f>
        <v>#REF!</v>
      </c>
      <c r="CJ13" s="94" t="str">
        <f t="shared" si="54"/>
        <v>0,00</v>
      </c>
      <c r="CK13" s="94" t="str">
        <f t="shared" si="54"/>
        <v>0,00</v>
      </c>
      <c r="CL13" s="95" t="str">
        <f t="shared" si="69"/>
        <v xml:space="preserve">0,00 </v>
      </c>
      <c r="CM13" s="95" t="e">
        <f>#REF!</f>
        <v>#REF!</v>
      </c>
      <c r="CN13" s="94">
        <f t="shared" si="55"/>
        <v>0.42400546807653267</v>
      </c>
      <c r="CO13" s="94">
        <f t="shared" si="55"/>
        <v>2.231607726718593E-2</v>
      </c>
      <c r="CP13" s="95">
        <f t="shared" si="56"/>
        <v>0.68223436216825561</v>
      </c>
      <c r="CQ13" s="95" t="e">
        <f>#REF!</f>
        <v>#REF!</v>
      </c>
      <c r="CR13" s="97">
        <f t="shared" si="70"/>
        <v>0</v>
      </c>
      <c r="CS13" s="95">
        <f t="shared" si="70"/>
        <v>0.10372368011617053</v>
      </c>
      <c r="CT13" s="96" t="e">
        <f>#REF!</f>
        <v>#REF!</v>
      </c>
      <c r="CU13" s="97">
        <f t="shared" si="71"/>
        <v>3.0981028344828042E-2</v>
      </c>
      <c r="CV13" s="95">
        <f t="shared" si="57"/>
        <v>6.9309336139021571E-2</v>
      </c>
      <c r="CW13" s="96" t="e">
        <f>#REF!</f>
        <v>#REF!</v>
      </c>
      <c r="CX13" s="97">
        <f t="shared" si="58"/>
        <v>2.062946822704035E-2</v>
      </c>
      <c r="CY13" s="98">
        <f t="shared" si="58"/>
        <v>8.4201911130776937E-4</v>
      </c>
      <c r="CZ13" s="97">
        <f t="shared" si="58"/>
        <v>0.19955852937994134</v>
      </c>
      <c r="DA13" s="98">
        <f t="shared" si="58"/>
        <v>3.5785812230580201E-2</v>
      </c>
      <c r="DB13" s="94">
        <f t="shared" si="11"/>
        <v>0.16882483181720775</v>
      </c>
      <c r="DC13" s="94">
        <f t="shared" si="12"/>
        <v>9.4306140466470165E-2</v>
      </c>
      <c r="DD13" s="94">
        <f t="shared" si="12"/>
        <v>0.44816467199356025</v>
      </c>
      <c r="DE13" s="94">
        <f t="shared" si="12"/>
        <v>0.13177599091966591</v>
      </c>
      <c r="DF13" s="94">
        <f t="shared" si="12"/>
        <v>0</v>
      </c>
      <c r="DG13" s="94">
        <f t="shared" si="12"/>
        <v>0</v>
      </c>
      <c r="DH13" s="95">
        <f t="shared" si="12"/>
        <v>0.84307163519690409</v>
      </c>
      <c r="DI13" s="96" t="e">
        <f>#REF!</f>
        <v>#REF!</v>
      </c>
      <c r="DJ13" s="95">
        <f t="shared" si="59"/>
        <v>-0.18019208981986265</v>
      </c>
      <c r="DK13" s="96" t="e">
        <f>#REF!</f>
        <v>#REF!</v>
      </c>
      <c r="DL13" s="95">
        <f t="shared" si="60"/>
        <v>0.76214349437085105</v>
      </c>
      <c r="DM13" s="96">
        <f t="shared" si="13"/>
        <v>0</v>
      </c>
      <c r="DN13" s="94">
        <f t="shared" si="14"/>
        <v>2.4181626890385939</v>
      </c>
      <c r="DO13" s="100">
        <v>3.4</v>
      </c>
      <c r="DP13" s="94">
        <f t="shared" si="72"/>
        <v>3.0001140935895823</v>
      </c>
      <c r="DQ13" s="94">
        <f t="shared" si="73"/>
        <v>3.0119471023032478</v>
      </c>
      <c r="DR13" s="101">
        <f t="shared" si="15"/>
        <v>0</v>
      </c>
      <c r="DS13" s="116"/>
      <c r="DT13" s="134">
        <v>8</v>
      </c>
      <c r="DU13" s="355">
        <v>630432</v>
      </c>
      <c r="DV13" s="361">
        <v>28445</v>
      </c>
      <c r="DW13" s="361">
        <v>5142804</v>
      </c>
      <c r="DX13" s="303">
        <v>120541</v>
      </c>
      <c r="DY13" s="303">
        <v>85757.9</v>
      </c>
      <c r="DZ13" s="303">
        <v>399363</v>
      </c>
      <c r="EA13" s="303">
        <v>235903</v>
      </c>
      <c r="EB13" s="303">
        <v>55017.9</v>
      </c>
      <c r="EC13" s="303">
        <v>413938</v>
      </c>
      <c r="ED13" s="361">
        <v>47830.5</v>
      </c>
      <c r="EE13" s="303">
        <v>42792</v>
      </c>
      <c r="EF13" s="303">
        <v>39714</v>
      </c>
      <c r="EG13" s="454">
        <v>93335.8</v>
      </c>
      <c r="EH13" s="361">
        <v>184104.4</v>
      </c>
      <c r="EI13" s="361">
        <v>32804</v>
      </c>
      <c r="EJ13" s="303">
        <v>41639</v>
      </c>
      <c r="EK13" s="303"/>
      <c r="EL13" s="361">
        <v>709032.3</v>
      </c>
      <c r="EM13" s="361">
        <v>6706</v>
      </c>
      <c r="EN13" s="303">
        <v>45658.9</v>
      </c>
      <c r="EO13" s="303">
        <v>3063671.2</v>
      </c>
      <c r="EP13" s="303">
        <v>2779759</v>
      </c>
      <c r="EQ13" s="303">
        <v>0</v>
      </c>
      <c r="ER13" s="303">
        <v>1393</v>
      </c>
      <c r="ES13" s="381">
        <v>378900</v>
      </c>
      <c r="ET13" s="303">
        <v>3157801</v>
      </c>
      <c r="EU13" s="303">
        <v>434911</v>
      </c>
      <c r="EV13" s="303">
        <v>146854</v>
      </c>
      <c r="EW13" s="303">
        <v>120526</v>
      </c>
      <c r="EX13" s="361">
        <v>213409.9</v>
      </c>
      <c r="EY13" s="361">
        <v>1673565.4</v>
      </c>
      <c r="EZ13" s="382">
        <v>793400.4</v>
      </c>
      <c r="FA13" s="382">
        <v>753344</v>
      </c>
      <c r="FB13" s="303">
        <v>30611.7</v>
      </c>
      <c r="FC13" s="361">
        <v>7554</v>
      </c>
      <c r="FD13" s="104">
        <f>(SUM(FE13:FM13))-937</f>
        <v>6034</v>
      </c>
      <c r="FE13" s="105">
        <f t="shared" si="17"/>
        <v>0</v>
      </c>
      <c r="FF13" s="105">
        <f t="shared" si="17"/>
        <v>885</v>
      </c>
      <c r="FG13" s="105">
        <f t="shared" si="17"/>
        <v>804</v>
      </c>
      <c r="FH13" s="105">
        <f t="shared" si="17"/>
        <v>1265</v>
      </c>
      <c r="FI13" s="105">
        <f t="shared" si="17"/>
        <v>640</v>
      </c>
      <c r="FJ13" s="105">
        <f t="shared" si="17"/>
        <v>584</v>
      </c>
      <c r="FK13" s="105">
        <v>1072</v>
      </c>
      <c r="FL13" s="105">
        <v>1443</v>
      </c>
      <c r="FM13" s="105">
        <v>278</v>
      </c>
      <c r="FN13" s="80">
        <v>1092</v>
      </c>
      <c r="FO13" s="104"/>
      <c r="FP13" s="353"/>
      <c r="FY13" s="119">
        <v>8</v>
      </c>
      <c r="FZ13" s="107">
        <v>8106</v>
      </c>
      <c r="GA13" s="107">
        <v>1522</v>
      </c>
      <c r="GB13" s="108">
        <f>GA13/FZ13/0.1</f>
        <v>1.8776215149272142</v>
      </c>
      <c r="GC13" s="109"/>
      <c r="GD13" s="110"/>
      <c r="GE13" s="110"/>
      <c r="GF13" s="111"/>
      <c r="GG13" s="111"/>
      <c r="GH13" s="111"/>
      <c r="GI13" s="112"/>
      <c r="GJ13" s="111">
        <f t="shared" si="61"/>
        <v>880.36911957950076</v>
      </c>
      <c r="GK13" s="113"/>
    </row>
    <row r="14" spans="1:194" s="141" customFormat="1" ht="15" customHeight="1">
      <c r="B14" s="351">
        <v>42956</v>
      </c>
      <c r="D14" s="86">
        <v>5096.6400000000003</v>
      </c>
      <c r="E14" s="128">
        <v>1416</v>
      </c>
      <c r="F14" s="128">
        <v>1769.04</v>
      </c>
      <c r="G14" s="86">
        <v>5198.1369999999997</v>
      </c>
      <c r="H14" s="86">
        <v>3681.3960000000002</v>
      </c>
      <c r="I14" s="86">
        <v>0</v>
      </c>
      <c r="J14" s="86">
        <v>8205.36</v>
      </c>
      <c r="K14" s="86">
        <v>4.7640000000000002</v>
      </c>
      <c r="L14" s="86">
        <v>0</v>
      </c>
      <c r="M14" s="115">
        <f>I14+J14</f>
        <v>8205.36</v>
      </c>
      <c r="N14" s="88">
        <f>SUM(D14:H14)</f>
        <v>17161.213</v>
      </c>
      <c r="O14" s="88">
        <f>N14+L14+K14+((J14+I14)*0.5)</f>
        <v>21268.656999999999</v>
      </c>
      <c r="P14" s="89">
        <f t="shared" si="20"/>
        <v>172957.908</v>
      </c>
      <c r="R14" s="170">
        <f t="shared" si="21"/>
        <v>279</v>
      </c>
      <c r="S14" s="170">
        <f t="shared" si="22"/>
        <v>45.929999999993015</v>
      </c>
      <c r="T14" s="170">
        <f t="shared" si="1"/>
        <v>463.7</v>
      </c>
      <c r="U14" s="91">
        <f t="shared" si="74"/>
        <v>5.65</v>
      </c>
      <c r="V14" s="170">
        <f t="shared" si="23"/>
        <v>1674</v>
      </c>
      <c r="W14" s="91">
        <f t="shared" si="2"/>
        <v>147.9</v>
      </c>
      <c r="X14" s="170">
        <f t="shared" si="24"/>
        <v>1674</v>
      </c>
      <c r="Y14" s="170" t="str">
        <f t="shared" si="25"/>
        <v>0</v>
      </c>
      <c r="Z14" s="170">
        <f t="shared" si="3"/>
        <v>201.6</v>
      </c>
      <c r="AA14" s="170">
        <f t="shared" si="26"/>
        <v>2468.2799999999929</v>
      </c>
      <c r="AB14" s="170">
        <f t="shared" si="27"/>
        <v>192</v>
      </c>
      <c r="AC14" s="170">
        <f t="shared" si="27"/>
        <v>24</v>
      </c>
      <c r="AD14" s="170">
        <f t="shared" si="28"/>
        <v>412</v>
      </c>
      <c r="AE14" s="170">
        <f t="shared" si="29"/>
        <v>196</v>
      </c>
      <c r="AF14" s="170">
        <f t="shared" si="30"/>
        <v>66</v>
      </c>
      <c r="AG14" s="170">
        <f t="shared" si="30"/>
        <v>37.80000000000291</v>
      </c>
      <c r="AH14" s="170">
        <f t="shared" si="31"/>
        <v>188</v>
      </c>
      <c r="AI14" s="170">
        <f t="shared" si="32"/>
        <v>84.19999999999709</v>
      </c>
      <c r="AJ14" s="170">
        <f t="shared" si="33"/>
        <v>108</v>
      </c>
      <c r="AK14" s="170">
        <f t="shared" si="33"/>
        <v>12</v>
      </c>
      <c r="AL14" s="170">
        <f t="shared" si="34"/>
        <v>217</v>
      </c>
      <c r="AM14" s="170">
        <f t="shared" si="35"/>
        <v>97</v>
      </c>
      <c r="AN14" s="170">
        <f t="shared" si="36"/>
        <v>0</v>
      </c>
      <c r="AO14" s="170">
        <f t="shared" si="4"/>
        <v>62</v>
      </c>
      <c r="AP14" s="170">
        <f t="shared" si="37"/>
        <v>63.30000000000291</v>
      </c>
      <c r="AQ14" s="170">
        <f t="shared" si="5"/>
        <v>133.5</v>
      </c>
      <c r="AR14" s="170">
        <f t="shared" si="38"/>
        <v>106.43899999999999</v>
      </c>
      <c r="AS14" s="170">
        <f t="shared" si="39"/>
        <v>14.438999999999965</v>
      </c>
      <c r="AT14" s="170">
        <f t="shared" si="40"/>
        <v>957.43899999999996</v>
      </c>
      <c r="AU14" s="170">
        <f t="shared" si="63"/>
        <v>198</v>
      </c>
      <c r="AV14" s="170">
        <f t="shared" si="64"/>
        <v>71</v>
      </c>
      <c r="AW14" s="170">
        <f t="shared" si="65"/>
        <v>745</v>
      </c>
      <c r="AX14" s="170">
        <f t="shared" si="66"/>
        <v>5</v>
      </c>
      <c r="AY14" s="170" t="str">
        <f t="shared" si="66"/>
        <v/>
      </c>
      <c r="AZ14" s="170">
        <f t="shared" si="41"/>
        <v>486</v>
      </c>
      <c r="BA14" s="170">
        <v>16</v>
      </c>
      <c r="BB14" s="170">
        <f t="shared" si="42"/>
        <v>248.80000000001746</v>
      </c>
      <c r="BC14" s="170">
        <f t="shared" si="42"/>
        <v>1071.9000000001397</v>
      </c>
      <c r="BD14" s="91">
        <f t="shared" si="43"/>
        <v>409</v>
      </c>
      <c r="BE14" s="90"/>
      <c r="BF14" s="90"/>
      <c r="BG14" s="90">
        <f t="shared" si="44"/>
        <v>2215.7000000001572</v>
      </c>
      <c r="BH14" s="90">
        <f t="shared" si="45"/>
        <v>-608</v>
      </c>
      <c r="BI14" s="90">
        <f t="shared" si="6"/>
        <v>1630.0809999998492</v>
      </c>
      <c r="BJ14" s="90">
        <f t="shared" si="46"/>
        <v>6729.9190000001508</v>
      </c>
      <c r="BK14" s="92"/>
      <c r="BL14" s="93">
        <f>FD14+FN14</f>
        <v>7752</v>
      </c>
      <c r="BM14" s="93">
        <f t="shared" si="47"/>
        <v>53440</v>
      </c>
      <c r="BN14" s="92"/>
      <c r="BO14" s="94">
        <f t="shared" si="48"/>
        <v>0.16257592047834848</v>
      </c>
      <c r="BP14" s="94">
        <f t="shared" si="48"/>
        <v>2.6763842392721896E-2</v>
      </c>
      <c r="BQ14" s="94">
        <f t="shared" si="49"/>
        <v>0.27020234525379994</v>
      </c>
      <c r="BR14" s="94">
        <f t="shared" si="68"/>
        <v>0.97545552287009096</v>
      </c>
      <c r="BS14" s="94">
        <f t="shared" si="7"/>
        <v>0</v>
      </c>
      <c r="BT14" s="94">
        <f t="shared" si="7"/>
        <v>0.11747421350693567</v>
      </c>
      <c r="BU14" s="95">
        <f t="shared" si="7"/>
        <v>1.4382899390619959</v>
      </c>
      <c r="BV14" s="94">
        <f t="shared" si="8"/>
        <v>0.13117894561936846</v>
      </c>
      <c r="BW14" s="94">
        <f t="shared" si="8"/>
        <v>2.1595157606798122E-2</v>
      </c>
      <c r="BX14" s="94">
        <f t="shared" si="8"/>
        <v>0.21802034797025502</v>
      </c>
      <c r="BY14" s="94">
        <f t="shared" si="50"/>
        <v>0.78707367371621073</v>
      </c>
      <c r="BZ14" s="95">
        <f t="shared" si="9"/>
        <v>1.1605246161052825</v>
      </c>
      <c r="CA14" s="96" t="e">
        <f>#REF!</f>
        <v>#REF!</v>
      </c>
      <c r="CB14" s="94">
        <f t="shared" si="51"/>
        <v>5.0045002841505218E-2</v>
      </c>
      <c r="CC14" s="95">
        <f t="shared" si="51"/>
        <v>6.7888630673765462E-3</v>
      </c>
      <c r="CD14" s="97">
        <f t="shared" si="10"/>
        <v>0.12971886669201593</v>
      </c>
      <c r="CE14" s="98">
        <f t="shared" si="10"/>
        <v>1.7597034133785674E-2</v>
      </c>
      <c r="CF14" s="97">
        <f t="shared" si="52"/>
        <v>0.37671877943115462</v>
      </c>
      <c r="CG14" s="94">
        <f t="shared" si="52"/>
        <v>4.7089847428894327E-2</v>
      </c>
      <c r="CH14" s="95">
        <f t="shared" si="53"/>
        <v>0.80837571419601928</v>
      </c>
      <c r="CI14" s="96" t="e">
        <f>#REF!</f>
        <v>#REF!</v>
      </c>
      <c r="CJ14" s="94">
        <f t="shared" si="54"/>
        <v>0.46610169491525422</v>
      </c>
      <c r="CK14" s="94">
        <f t="shared" si="54"/>
        <v>0.26694915254239343</v>
      </c>
      <c r="CL14" s="95">
        <f t="shared" si="69"/>
        <v>1.3276836158192089</v>
      </c>
      <c r="CM14" s="95" t="e">
        <f>#REF!</f>
        <v>#REF!</v>
      </c>
      <c r="CN14" s="94">
        <f t="shared" si="55"/>
        <v>0.61050061050061044</v>
      </c>
      <c r="CO14" s="94">
        <f t="shared" si="55"/>
        <v>6.7833401166734503E-2</v>
      </c>
      <c r="CP14" s="95">
        <f t="shared" si="56"/>
        <v>1.2266540044317822</v>
      </c>
      <c r="CQ14" s="95" t="e">
        <f>#REF!</f>
        <v>#REF!</v>
      </c>
      <c r="CR14" s="97">
        <f t="shared" si="70"/>
        <v>0</v>
      </c>
      <c r="CS14" s="95">
        <f t="shared" si="70"/>
        <v>0.11927350125631549</v>
      </c>
      <c r="CT14" s="96" t="e">
        <f>#REF!</f>
        <v>#REF!</v>
      </c>
      <c r="CU14" s="97">
        <f t="shared" si="71"/>
        <v>0.17194564235959106</v>
      </c>
      <c r="CV14" s="95">
        <f t="shared" si="57"/>
        <v>0.3626341746446185</v>
      </c>
      <c r="CW14" s="96" t="e">
        <f>#REF!</f>
        <v>#REF!</v>
      </c>
      <c r="CX14" s="97">
        <f t="shared" si="58"/>
        <v>9.3094735600842124E-2</v>
      </c>
      <c r="CY14" s="98">
        <f t="shared" si="58"/>
        <v>3.3382455695251466E-2</v>
      </c>
      <c r="CZ14" s="97">
        <f t="shared" si="58"/>
        <v>0.35028069708397669</v>
      </c>
      <c r="DA14" s="98">
        <f t="shared" si="58"/>
        <v>2.3508771616374273E-3</v>
      </c>
      <c r="DB14" s="94">
        <f t="shared" si="11"/>
        <v>0.22850526011115796</v>
      </c>
      <c r="DC14" s="94">
        <f t="shared" si="12"/>
        <v>0.1169796475630866</v>
      </c>
      <c r="DD14" s="94">
        <f t="shared" si="12"/>
        <v>0.50398104591189741</v>
      </c>
      <c r="DE14" s="94">
        <f t="shared" si="12"/>
        <v>0.19230175182194159</v>
      </c>
      <c r="DF14" s="94">
        <f t="shared" si="12"/>
        <v>0</v>
      </c>
      <c r="DG14" s="94">
        <f t="shared" si="12"/>
        <v>0</v>
      </c>
      <c r="DH14" s="95">
        <f t="shared" si="12"/>
        <v>1.0417677054080834</v>
      </c>
      <c r="DI14" s="96" t="e">
        <f>#REF!</f>
        <v>#REF!</v>
      </c>
      <c r="DJ14" s="95">
        <f t="shared" si="59"/>
        <v>-0.2858666628551112</v>
      </c>
      <c r="DK14" s="96" t="e">
        <f>#REF!</f>
        <v>#REF!</v>
      </c>
      <c r="DL14" s="95">
        <f t="shared" si="60"/>
        <v>0.76642403890374899</v>
      </c>
      <c r="DM14" s="96">
        <f t="shared" si="13"/>
        <v>0</v>
      </c>
      <c r="DN14" s="94">
        <f t="shared" si="14"/>
        <v>3.16424257535403</v>
      </c>
      <c r="DO14" s="100">
        <v>3.4</v>
      </c>
      <c r="DP14" s="94">
        <f t="shared" si="72"/>
        <v>3.6447999514026677</v>
      </c>
      <c r="DQ14" s="94">
        <f t="shared" si="73"/>
        <v>3.0897691015087902</v>
      </c>
      <c r="DR14" s="101">
        <f t="shared" si="15"/>
        <v>0</v>
      </c>
      <c r="DT14" s="142">
        <v>9</v>
      </c>
      <c r="DU14" s="355">
        <v>630624</v>
      </c>
      <c r="DV14" s="404">
        <v>28469</v>
      </c>
      <c r="DW14" s="361">
        <v>5143216</v>
      </c>
      <c r="DX14" s="303">
        <v>120607</v>
      </c>
      <c r="DY14" s="303">
        <v>85795.7</v>
      </c>
      <c r="DZ14" s="303">
        <v>399551</v>
      </c>
      <c r="EA14" s="303">
        <v>236011</v>
      </c>
      <c r="EB14" s="303">
        <v>55029.9</v>
      </c>
      <c r="EC14" s="303">
        <v>414155</v>
      </c>
      <c r="ED14" s="361">
        <v>47830.5</v>
      </c>
      <c r="EE14" s="303">
        <v>39769</v>
      </c>
      <c r="EF14" s="303">
        <v>42799</v>
      </c>
      <c r="EG14" s="303">
        <v>93399.1</v>
      </c>
      <c r="EH14" s="361">
        <v>184237.9</v>
      </c>
      <c r="EI14" s="361">
        <v>32875</v>
      </c>
      <c r="EJ14" s="303">
        <v>41644</v>
      </c>
      <c r="EK14" s="303"/>
      <c r="EL14" s="361">
        <v>709311.3</v>
      </c>
      <c r="EM14" s="303">
        <v>4637</v>
      </c>
      <c r="EN14" s="303">
        <v>45715.4</v>
      </c>
      <c r="EO14" s="303">
        <v>3065345.2</v>
      </c>
      <c r="EP14" s="303">
        <v>2781238</v>
      </c>
      <c r="EQ14" s="303">
        <v>0</v>
      </c>
      <c r="ER14" s="303">
        <v>2016</v>
      </c>
      <c r="ES14" s="187">
        <v>379751</v>
      </c>
      <c r="ET14" s="303">
        <v>3264240</v>
      </c>
      <c r="EU14" s="303">
        <v>435656</v>
      </c>
      <c r="EV14" s="303">
        <v>147052</v>
      </c>
      <c r="EW14" s="303">
        <v>121012</v>
      </c>
      <c r="EX14" s="361">
        <v>213658.7</v>
      </c>
      <c r="EY14" s="361">
        <v>1674637.3</v>
      </c>
      <c r="EZ14" s="382">
        <v>793859.7</v>
      </c>
      <c r="FA14" s="382">
        <v>753753</v>
      </c>
      <c r="FB14" s="383">
        <v>30637.599999999999</v>
      </c>
      <c r="FC14" s="384">
        <v>8360</v>
      </c>
      <c r="FD14" s="104">
        <f t="shared" si="16"/>
        <v>6752</v>
      </c>
      <c r="FE14" s="105">
        <f>FE47-FE46</f>
        <v>0</v>
      </c>
      <c r="FF14" s="105">
        <f>FF47-FF46</f>
        <v>198</v>
      </c>
      <c r="FG14" s="105">
        <f>FG47-FG46</f>
        <v>1249</v>
      </c>
      <c r="FH14" s="105">
        <f>FH47-FH46</f>
        <v>1113</v>
      </c>
      <c r="FI14" s="105">
        <f t="shared" si="17"/>
        <v>640</v>
      </c>
      <c r="FJ14" s="105">
        <f t="shared" si="17"/>
        <v>890</v>
      </c>
      <c r="FK14" s="105">
        <v>1072</v>
      </c>
      <c r="FL14" s="105">
        <v>1311</v>
      </c>
      <c r="FM14" s="105">
        <v>279</v>
      </c>
      <c r="FN14" s="80">
        <v>1000</v>
      </c>
      <c r="FO14" s="303"/>
      <c r="FP14" s="353"/>
      <c r="FY14" s="141">
        <v>9</v>
      </c>
      <c r="FZ14" s="107"/>
      <c r="GA14" s="107">
        <v>660</v>
      </c>
      <c r="GB14" s="108"/>
      <c r="GC14" s="109"/>
      <c r="GD14" s="110"/>
      <c r="GE14" s="110"/>
      <c r="GF14" s="111"/>
      <c r="GG14" s="111"/>
      <c r="GH14" s="111"/>
      <c r="GI14" s="112"/>
      <c r="GJ14" s="111" t="e">
        <f t="shared" si="61"/>
        <v>#DIV/0!</v>
      </c>
      <c r="GK14" s="113"/>
    </row>
    <row r="15" spans="1:194" s="119" customFormat="1" ht="15" customHeight="1">
      <c r="A15" s="119" t="s">
        <v>125</v>
      </c>
      <c r="B15" s="351">
        <v>42957</v>
      </c>
      <c r="D15" s="128">
        <v>1208.4000000000001</v>
      </c>
      <c r="E15" s="128">
        <v>5141.5200000000004</v>
      </c>
      <c r="F15" s="128">
        <v>3131.136</v>
      </c>
      <c r="G15" s="86">
        <v>4537.6669999999995</v>
      </c>
      <c r="H15" s="86">
        <v>6937.3220000000001</v>
      </c>
      <c r="I15" s="86"/>
      <c r="J15" s="86">
        <v>3967.08</v>
      </c>
      <c r="K15" s="86"/>
      <c r="L15" s="86">
        <v>0</v>
      </c>
      <c r="M15" s="115">
        <f t="shared" si="62"/>
        <v>3967.08</v>
      </c>
      <c r="N15" s="88">
        <f t="shared" si="18"/>
        <v>20956.044999999998</v>
      </c>
      <c r="O15" s="88">
        <f t="shared" si="19"/>
        <v>22939.584999999999</v>
      </c>
      <c r="P15" s="89">
        <f t="shared" si="20"/>
        <v>195897.49299999999</v>
      </c>
      <c r="R15" s="170">
        <f t="shared" si="21"/>
        <v>330</v>
      </c>
      <c r="S15" s="170">
        <f t="shared" si="22"/>
        <v>18.410000000009312</v>
      </c>
      <c r="T15" s="170">
        <f t="shared" si="1"/>
        <v>288.89999999999998</v>
      </c>
      <c r="U15" s="91">
        <f t="shared" si="74"/>
        <v>5.4599999999998543</v>
      </c>
      <c r="V15" s="170">
        <f t="shared" si="23"/>
        <v>1710.5999999996275</v>
      </c>
      <c r="W15" s="91">
        <f t="shared" si="2"/>
        <v>151.6</v>
      </c>
      <c r="X15" s="170">
        <f t="shared" si="24"/>
        <v>1710.5999999996275</v>
      </c>
      <c r="Y15" s="170">
        <f t="shared" si="25"/>
        <v>368.1</v>
      </c>
      <c r="Z15" s="170">
        <f t="shared" si="3"/>
        <v>122.4</v>
      </c>
      <c r="AA15" s="170">
        <f t="shared" si="26"/>
        <v>2353.3699999996365</v>
      </c>
      <c r="AB15" s="170">
        <f t="shared" si="27"/>
        <v>0</v>
      </c>
      <c r="AC15" s="170">
        <f t="shared" si="27"/>
        <v>3</v>
      </c>
      <c r="AD15" s="170">
        <f t="shared" si="28"/>
        <v>158</v>
      </c>
      <c r="AE15" s="170">
        <f t="shared" si="29"/>
        <v>155</v>
      </c>
      <c r="AF15" s="170">
        <f t="shared" si="30"/>
        <v>151</v>
      </c>
      <c r="AG15" s="170">
        <f t="shared" si="30"/>
        <v>20.5</v>
      </c>
      <c r="AH15" s="170">
        <f t="shared" si="31"/>
        <v>230</v>
      </c>
      <c r="AI15" s="170">
        <f t="shared" si="32"/>
        <v>58.5</v>
      </c>
      <c r="AJ15" s="170">
        <f t="shared" si="33"/>
        <v>124</v>
      </c>
      <c r="AK15" s="170">
        <f t="shared" si="33"/>
        <v>9.4000000000014552</v>
      </c>
      <c r="AL15" s="170">
        <f t="shared" si="34"/>
        <v>200</v>
      </c>
      <c r="AM15" s="170">
        <f t="shared" si="35"/>
        <v>66.599999999998545</v>
      </c>
      <c r="AN15" s="170">
        <f t="shared" si="36"/>
        <v>0</v>
      </c>
      <c r="AO15" s="170">
        <f t="shared" si="4"/>
        <v>50</v>
      </c>
      <c r="AP15" s="170">
        <f t="shared" si="37"/>
        <v>36.799999999988358</v>
      </c>
      <c r="AQ15" s="170">
        <f t="shared" si="5"/>
        <v>48.200000000011642</v>
      </c>
      <c r="AR15" s="170">
        <f t="shared" si="38"/>
        <v>60.887999999999998</v>
      </c>
      <c r="AS15" s="170">
        <f t="shared" si="39"/>
        <v>19.888000000000005</v>
      </c>
      <c r="AT15" s="170">
        <f t="shared" si="40"/>
        <v>247.88800000000001</v>
      </c>
      <c r="AU15" s="170">
        <f t="shared" si="63"/>
        <v>104</v>
      </c>
      <c r="AV15" s="170">
        <f t="shared" si="64"/>
        <v>26</v>
      </c>
      <c r="AW15" s="170">
        <f t="shared" si="65"/>
        <v>124</v>
      </c>
      <c r="AX15" s="170">
        <f t="shared" si="66"/>
        <v>16</v>
      </c>
      <c r="AY15" s="170" t="str">
        <f t="shared" si="66"/>
        <v/>
      </c>
      <c r="AZ15" s="170">
        <f t="shared" si="41"/>
        <v>382</v>
      </c>
      <c r="BA15" s="170">
        <v>56</v>
      </c>
      <c r="BB15" s="170">
        <f t="shared" si="42"/>
        <v>131.19999999998254</v>
      </c>
      <c r="BC15" s="170">
        <f t="shared" si="42"/>
        <v>930.69999999995343</v>
      </c>
      <c r="BD15" s="91">
        <f t="shared" si="43"/>
        <v>265</v>
      </c>
      <c r="BE15" s="90"/>
      <c r="BF15" s="90"/>
      <c r="BG15" s="90">
        <f t="shared" si="44"/>
        <v>1708.899999999936</v>
      </c>
      <c r="BH15" s="90">
        <f t="shared" si="45"/>
        <v>1779</v>
      </c>
      <c r="BI15" s="90">
        <f>IF(FC15=0,"",(FC15-BJ15))</f>
        <v>1919.6420000004155</v>
      </c>
      <c r="BJ15" s="90">
        <f t="shared" si="46"/>
        <v>5038.3579999995845</v>
      </c>
      <c r="BK15" s="92"/>
      <c r="BL15" s="93">
        <f t="shared" si="67"/>
        <v>8737</v>
      </c>
      <c r="BM15" s="93">
        <f t="shared" si="47"/>
        <v>62177</v>
      </c>
      <c r="BN15" s="92"/>
      <c r="BO15" s="94">
        <f t="shared" si="48"/>
        <v>0.15747246200320722</v>
      </c>
      <c r="BP15" s="94">
        <f t="shared" si="48"/>
        <v>8.7850546226682161E-3</v>
      </c>
      <c r="BQ15" s="94">
        <f t="shared" si="49"/>
        <v>0.13785998264462593</v>
      </c>
      <c r="BR15" s="94">
        <f t="shared" si="68"/>
        <v>0.81627998031099269</v>
      </c>
      <c r="BS15" s="94">
        <f t="shared" si="7"/>
        <v>0.17565337352539567</v>
      </c>
      <c r="BT15" s="94">
        <f t="shared" si="7"/>
        <v>5.8407967724825947E-2</v>
      </c>
      <c r="BU15" s="95">
        <f t="shared" si="7"/>
        <v>1.1230029330437288</v>
      </c>
      <c r="BV15" s="94">
        <f t="shared" si="8"/>
        <v>0.14385613340433143</v>
      </c>
      <c r="BW15" s="94">
        <f t="shared" si="8"/>
        <v>8.025428533257821E-3</v>
      </c>
      <c r="BX15" s="94">
        <f t="shared" si="8"/>
        <v>0.12593950588033742</v>
      </c>
      <c r="BY15" s="94">
        <f t="shared" si="50"/>
        <v>0.74569788424665384</v>
      </c>
      <c r="BZ15" s="95">
        <f t="shared" si="9"/>
        <v>1.0258991171809067</v>
      </c>
      <c r="CA15" s="96" t="e">
        <f>#REF!</f>
        <v>#REF!</v>
      </c>
      <c r="CB15" s="94">
        <f t="shared" si="51"/>
        <v>2.6542764396130097E-2</v>
      </c>
      <c r="CC15" s="95">
        <f t="shared" si="51"/>
        <v>8.6697296398343757E-3</v>
      </c>
      <c r="CD15" s="97">
        <f t="shared" si="10"/>
        <v>0.15348316645996551</v>
      </c>
      <c r="CE15" s="98">
        <f t="shared" si="10"/>
        <v>5.0132591225788253E-2</v>
      </c>
      <c r="CF15" s="97">
        <f t="shared" si="52"/>
        <v>0</v>
      </c>
      <c r="CG15" s="94">
        <f t="shared" si="52"/>
        <v>2.4826216484607741E-2</v>
      </c>
      <c r="CH15" s="95">
        <f t="shared" si="53"/>
        <v>1.3075140681893413</v>
      </c>
      <c r="CI15" s="96" t="e">
        <f>#REF!</f>
        <v>#REF!</v>
      </c>
      <c r="CJ15" s="94">
        <f t="shared" si="54"/>
        <v>0.29368746985327293</v>
      </c>
      <c r="CK15" s="94">
        <f t="shared" si="54"/>
        <v>3.9871477695311887E-2</v>
      </c>
      <c r="CL15" s="95">
        <f t="shared" si="69"/>
        <v>0.44733853024008458</v>
      </c>
      <c r="CM15" s="95" t="e">
        <f>#REF!</f>
        <v>#REF!</v>
      </c>
      <c r="CN15" s="94">
        <f t="shared" si="55"/>
        <v>0.39602240209304229</v>
      </c>
      <c r="CO15" s="94">
        <f t="shared" si="55"/>
        <v>3.0021053061896563E-2</v>
      </c>
      <c r="CP15" s="95">
        <f t="shared" si="56"/>
        <v>0.63874580982748763</v>
      </c>
      <c r="CQ15" s="95" t="e">
        <f>#REF!</f>
        <v>#REF!</v>
      </c>
      <c r="CR15" s="97">
        <f t="shared" si="70"/>
        <v>0</v>
      </c>
      <c r="CS15" s="95">
        <f t="shared" si="70"/>
        <v>0.11018878203270537</v>
      </c>
      <c r="CT15" s="96" t="e">
        <f>#REF!</f>
        <v>#REF!</v>
      </c>
      <c r="CU15" s="97">
        <f t="shared" si="71"/>
        <v>5.3046406091555726E-2</v>
      </c>
      <c r="CV15" s="95">
        <f t="shared" si="57"/>
        <v>6.9479260152565558E-2</v>
      </c>
      <c r="CW15" s="96" t="e">
        <f>#REF!</f>
        <v>#REF!</v>
      </c>
      <c r="CX15" s="97">
        <f t="shared" si="58"/>
        <v>4.5336478406213535E-2</v>
      </c>
      <c r="CY15" s="98">
        <f t="shared" si="58"/>
        <v>1.1334119601553384E-2</v>
      </c>
      <c r="CZ15" s="97">
        <f t="shared" si="58"/>
        <v>5.405503194586999E-2</v>
      </c>
      <c r="DA15" s="98">
        <f t="shared" si="58"/>
        <v>6.9748428317251594E-3</v>
      </c>
      <c r="DB15" s="94">
        <f t="shared" si="11"/>
        <v>0.16652437260743819</v>
      </c>
      <c r="DC15" s="94">
        <f t="shared" si="12"/>
        <v>5.7193711220138707E-2</v>
      </c>
      <c r="DD15" s="94">
        <f t="shared" si="12"/>
        <v>0.40571788896789257</v>
      </c>
      <c r="DE15" s="94">
        <f t="shared" si="12"/>
        <v>0.11552083440044797</v>
      </c>
      <c r="DF15" s="94">
        <f t="shared" si="12"/>
        <v>0</v>
      </c>
      <c r="DG15" s="94">
        <f t="shared" si="12"/>
        <v>0</v>
      </c>
      <c r="DH15" s="95">
        <f t="shared" si="12"/>
        <v>0.74495680719591739</v>
      </c>
      <c r="DI15" s="96" t="e">
        <f>#REF!</f>
        <v>#REF!</v>
      </c>
      <c r="DJ15" s="95">
        <f t="shared" si="59"/>
        <v>0.77551533735244127</v>
      </c>
      <c r="DK15" s="96" t="e">
        <f>#REF!</f>
        <v>#REF!</v>
      </c>
      <c r="DL15" s="95">
        <f t="shared" si="60"/>
        <v>0.83682507769884051</v>
      </c>
      <c r="DM15" s="96">
        <f t="shared" si="13"/>
        <v>0</v>
      </c>
      <c r="DN15" s="94">
        <f t="shared" si="14"/>
        <v>2.1963596987476386</v>
      </c>
      <c r="DO15" s="100">
        <v>3.4</v>
      </c>
      <c r="DP15" s="94">
        <f t="shared" si="72"/>
        <v>3.80870011379892</v>
      </c>
      <c r="DQ15" s="94">
        <f t="shared" si="73"/>
        <v>3.1739558810995101</v>
      </c>
      <c r="DR15" s="101">
        <f t="shared" si="15"/>
        <v>0</v>
      </c>
      <c r="DS15" s="147"/>
      <c r="DT15" s="134">
        <v>10</v>
      </c>
      <c r="DU15" s="355">
        <v>630624</v>
      </c>
      <c r="DV15" s="355">
        <v>28472</v>
      </c>
      <c r="DW15" s="355">
        <v>5143374</v>
      </c>
      <c r="DX15" s="104">
        <v>120758</v>
      </c>
      <c r="DY15" s="104">
        <v>85816.2</v>
      </c>
      <c r="DZ15" s="104">
        <v>399781</v>
      </c>
      <c r="EA15" s="104">
        <v>236135</v>
      </c>
      <c r="EB15" s="104">
        <v>55039.3</v>
      </c>
      <c r="EC15" s="104">
        <v>414355</v>
      </c>
      <c r="ED15" s="355">
        <v>47830.5</v>
      </c>
      <c r="EE15" s="104">
        <v>39816.1</v>
      </c>
      <c r="EF15" s="104">
        <v>42801.9</v>
      </c>
      <c r="EG15" s="355">
        <v>93435.9</v>
      </c>
      <c r="EH15" s="355">
        <v>184286.1</v>
      </c>
      <c r="EI15" s="355">
        <v>32901</v>
      </c>
      <c r="EJ15" s="104">
        <v>41660</v>
      </c>
      <c r="EK15" s="104"/>
      <c r="EL15" s="355">
        <v>709641.3</v>
      </c>
      <c r="EM15" s="104">
        <v>2889</v>
      </c>
      <c r="EN15" s="104">
        <v>45770</v>
      </c>
      <c r="EO15" s="355">
        <v>3067055.8</v>
      </c>
      <c r="EP15" s="303">
        <v>2782754</v>
      </c>
      <c r="EQ15" s="104">
        <v>3681</v>
      </c>
      <c r="ER15" s="104">
        <v>1224</v>
      </c>
      <c r="ES15" s="105">
        <v>379938</v>
      </c>
      <c r="ET15" s="104">
        <v>3325128</v>
      </c>
      <c r="EU15" s="104">
        <v>435780</v>
      </c>
      <c r="EV15" s="303">
        <v>147156</v>
      </c>
      <c r="EW15" s="104">
        <v>121394</v>
      </c>
      <c r="EX15" s="355">
        <v>213789.9</v>
      </c>
      <c r="EY15" s="355">
        <v>1675568</v>
      </c>
      <c r="EZ15" s="385">
        <v>794043.8</v>
      </c>
      <c r="FA15" s="386">
        <v>754018</v>
      </c>
      <c r="FB15" s="387">
        <v>30686.6</v>
      </c>
      <c r="FC15" s="452">
        <v>6958</v>
      </c>
      <c r="FD15" s="104">
        <f t="shared" si="16"/>
        <v>7737</v>
      </c>
      <c r="FE15" s="105">
        <f t="shared" ref="FE15:FJ20" si="75">FE48-FE47</f>
        <v>0</v>
      </c>
      <c r="FF15" s="105">
        <f t="shared" si="75"/>
        <v>1034</v>
      </c>
      <c r="FG15" s="105">
        <f>FG48-FG47</f>
        <v>1210</v>
      </c>
      <c r="FH15" s="105">
        <f>FH48-FH47</f>
        <v>1388</v>
      </c>
      <c r="FI15" s="105">
        <f t="shared" si="17"/>
        <v>640</v>
      </c>
      <c r="FJ15" s="105">
        <f>FJ48-FJ47</f>
        <v>852</v>
      </c>
      <c r="FK15" s="105">
        <v>1072</v>
      </c>
      <c r="FL15" s="105">
        <v>1262</v>
      </c>
      <c r="FM15" s="105">
        <v>279</v>
      </c>
      <c r="FN15" s="80">
        <v>1000</v>
      </c>
      <c r="FO15" s="303"/>
      <c r="FP15" s="353"/>
      <c r="FY15" s="119">
        <v>10</v>
      </c>
      <c r="FZ15" s="107"/>
      <c r="GA15" s="107"/>
      <c r="GB15" s="108"/>
      <c r="GC15" s="109"/>
      <c r="GD15" s="110"/>
      <c r="GE15" s="110"/>
      <c r="GF15" s="111"/>
      <c r="GG15" s="111"/>
      <c r="GH15" s="111"/>
      <c r="GI15" s="112"/>
      <c r="GJ15" s="111" t="e">
        <f t="shared" si="61"/>
        <v>#DIV/0!</v>
      </c>
      <c r="GK15" s="113"/>
    </row>
    <row r="16" spans="1:194" s="141" customFormat="1" ht="15" customHeight="1">
      <c r="A16" s="141">
        <v>0</v>
      </c>
      <c r="B16" s="351">
        <v>42958</v>
      </c>
      <c r="D16" s="128"/>
      <c r="E16" s="128">
        <v>5887.4400000000005</v>
      </c>
      <c r="F16" s="128">
        <v>881.28</v>
      </c>
      <c r="G16" s="86">
        <v>6843.0940000000001</v>
      </c>
      <c r="H16" s="86">
        <v>5848.3919999999998</v>
      </c>
      <c r="I16" s="86">
        <v>2196.2219999999998</v>
      </c>
      <c r="J16" s="86"/>
      <c r="K16" s="86"/>
      <c r="L16" s="86">
        <v>0</v>
      </c>
      <c r="M16" s="115">
        <f t="shared" si="62"/>
        <v>2196.2219999999998</v>
      </c>
      <c r="N16" s="88">
        <f t="shared" si="18"/>
        <v>19460.205999999998</v>
      </c>
      <c r="O16" s="88">
        <f t="shared" si="19"/>
        <v>20558.316999999999</v>
      </c>
      <c r="P16" s="89">
        <f t="shared" si="20"/>
        <v>216455.81</v>
      </c>
      <c r="Q16" s="152"/>
      <c r="R16" s="170">
        <f t="shared" si="21"/>
        <v>293.89999999990687</v>
      </c>
      <c r="S16" s="170">
        <f t="shared" si="22"/>
        <v>17.859999999997672</v>
      </c>
      <c r="T16" s="170">
        <f t="shared" si="1"/>
        <v>390.4</v>
      </c>
      <c r="U16" s="91">
        <f t="shared" si="74"/>
        <v>5.3900000000001453</v>
      </c>
      <c r="V16" s="170">
        <f t="shared" si="23"/>
        <v>1632.6000000000931</v>
      </c>
      <c r="W16" s="91">
        <f t="shared" si="2"/>
        <v>144.6</v>
      </c>
      <c r="X16" s="170">
        <f t="shared" si="24"/>
        <v>1632.6000000000931</v>
      </c>
      <c r="Y16" s="170">
        <f t="shared" si="25"/>
        <v>168.4</v>
      </c>
      <c r="Z16" s="170">
        <f t="shared" si="3"/>
        <v>152.30000000000001</v>
      </c>
      <c r="AA16" s="170">
        <f t="shared" si="26"/>
        <v>2340.1499999999978</v>
      </c>
      <c r="AB16" s="170">
        <f t="shared" si="27"/>
        <v>0</v>
      </c>
      <c r="AC16" s="170">
        <f t="shared" si="27"/>
        <v>0</v>
      </c>
      <c r="AD16" s="170">
        <f t="shared" si="28"/>
        <v>0</v>
      </c>
      <c r="AE16" s="170">
        <f t="shared" si="29"/>
        <v>0</v>
      </c>
      <c r="AF16" s="170">
        <f t="shared" si="30"/>
        <v>146</v>
      </c>
      <c r="AG16" s="170">
        <f t="shared" si="30"/>
        <v>57.5</v>
      </c>
      <c r="AH16" s="170">
        <f t="shared" si="31"/>
        <v>300</v>
      </c>
      <c r="AI16" s="170">
        <f t="shared" si="32"/>
        <v>96.5</v>
      </c>
      <c r="AJ16" s="170">
        <f t="shared" si="33"/>
        <v>80</v>
      </c>
      <c r="AK16" s="170">
        <f t="shared" si="33"/>
        <v>49.899999999994179</v>
      </c>
      <c r="AL16" s="170">
        <f t="shared" si="34"/>
        <v>214</v>
      </c>
      <c r="AM16" s="170">
        <f t="shared" si="35"/>
        <v>84.100000000005821</v>
      </c>
      <c r="AN16" s="170">
        <f t="shared" si="36"/>
        <v>9.9999999998544808E-2</v>
      </c>
      <c r="AO16" s="170">
        <f t="shared" si="4"/>
        <v>56.30000000000291</v>
      </c>
      <c r="AP16" s="170">
        <f t="shared" si="37"/>
        <v>29</v>
      </c>
      <c r="AQ16" s="170">
        <f t="shared" si="5"/>
        <v>40.100000000005821</v>
      </c>
      <c r="AR16" s="170">
        <f t="shared" si="38"/>
        <v>168.23400000000001</v>
      </c>
      <c r="AS16" s="170">
        <f t="shared" si="39"/>
        <v>364.23400000000004</v>
      </c>
      <c r="AT16" s="170">
        <f t="shared" si="40"/>
        <v>611.23400000000004</v>
      </c>
      <c r="AU16" s="170">
        <f t="shared" si="63"/>
        <v>247</v>
      </c>
      <c r="AV16" s="170">
        <f t="shared" si="64"/>
        <v>22</v>
      </c>
      <c r="AW16" s="170">
        <f t="shared" si="65"/>
        <v>0</v>
      </c>
      <c r="AX16" s="170">
        <f t="shared" si="66"/>
        <v>4</v>
      </c>
      <c r="AY16" s="170" t="str">
        <f t="shared" si="66"/>
        <v/>
      </c>
      <c r="AZ16" s="170">
        <f t="shared" si="41"/>
        <v>394</v>
      </c>
      <c r="BA16" s="170">
        <v>48</v>
      </c>
      <c r="BB16" s="170">
        <f t="shared" si="42"/>
        <v>144</v>
      </c>
      <c r="BC16" s="170">
        <f t="shared" si="42"/>
        <v>1092.5</v>
      </c>
      <c r="BD16" s="91">
        <f t="shared" si="43"/>
        <v>387</v>
      </c>
      <c r="BE16" s="90"/>
      <c r="BF16" s="90"/>
      <c r="BG16" s="90">
        <f t="shared" si="44"/>
        <v>2017.5</v>
      </c>
      <c r="BH16" s="90">
        <f t="shared" si="45"/>
        <v>-241</v>
      </c>
      <c r="BI16" s="90">
        <f t="shared" si="6"/>
        <v>1968.7159999999931</v>
      </c>
      <c r="BJ16" s="90">
        <f t="shared" si="46"/>
        <v>5605.2840000000069</v>
      </c>
      <c r="BK16" s="92"/>
      <c r="BL16" s="93">
        <f t="shared" si="67"/>
        <v>7333</v>
      </c>
      <c r="BM16" s="93">
        <f t="shared" si="47"/>
        <v>69510</v>
      </c>
      <c r="BN16" s="92"/>
      <c r="BO16" s="94">
        <f t="shared" si="48"/>
        <v>0.15102615049393972</v>
      </c>
      <c r="BP16" s="94">
        <f t="shared" si="48"/>
        <v>9.1777034631584445E-3</v>
      </c>
      <c r="BQ16" s="94">
        <f t="shared" si="49"/>
        <v>0.20061452586884229</v>
      </c>
      <c r="BR16" s="94">
        <f t="shared" si="68"/>
        <v>0.83894281489111333</v>
      </c>
      <c r="BS16" s="94">
        <f t="shared" si="7"/>
        <v>8.6535569047933011E-2</v>
      </c>
      <c r="BT16" s="94">
        <f t="shared" si="7"/>
        <v>7.8262275332542736E-2</v>
      </c>
      <c r="BU16" s="95">
        <f t="shared" si="7"/>
        <v>1.2025309495695975</v>
      </c>
      <c r="BV16" s="94">
        <f t="shared" si="8"/>
        <v>0.14295917316573475</v>
      </c>
      <c r="BW16" s="94">
        <f t="shared" si="8"/>
        <v>8.6874815676777802E-3</v>
      </c>
      <c r="BX16" s="94">
        <f t="shared" si="8"/>
        <v>0.18989881321510901</v>
      </c>
      <c r="BY16" s="94">
        <f t="shared" si="50"/>
        <v>0.79413115382941768</v>
      </c>
      <c r="BZ16" s="95">
        <f t="shared" si="9"/>
        <v>1.138298431724736</v>
      </c>
      <c r="CA16" s="96" t="e">
        <f>#REF!</f>
        <v>#REF!</v>
      </c>
      <c r="CB16" s="94">
        <f t="shared" si="51"/>
        <v>8.1832574135324423E-2</v>
      </c>
      <c r="CC16" s="95">
        <f t="shared" si="51"/>
        <v>0.17717111765520499</v>
      </c>
      <c r="CD16" s="97">
        <f t="shared" si="10"/>
        <v>0.76601545745375488</v>
      </c>
      <c r="CE16" s="98">
        <f t="shared" si="10"/>
        <v>1.6584571140804529</v>
      </c>
      <c r="CF16" s="97" t="str">
        <f t="shared" si="52"/>
        <v>0,00</v>
      </c>
      <c r="CG16" s="94" t="str">
        <f t="shared" si="52"/>
        <v>0,00</v>
      </c>
      <c r="CH16" s="95" t="str">
        <f t="shared" si="53"/>
        <v xml:space="preserve">0,00 </v>
      </c>
      <c r="CI16" s="96" t="e">
        <f>#REF!</f>
        <v>#REF!</v>
      </c>
      <c r="CJ16" s="94">
        <f t="shared" si="54"/>
        <v>0.24798554210318915</v>
      </c>
      <c r="CK16" s="94">
        <f t="shared" si="54"/>
        <v>9.7665538842009431E-2</v>
      </c>
      <c r="CL16" s="95">
        <f t="shared" si="69"/>
        <v>0.50955933308874479</v>
      </c>
      <c r="CM16" s="95" t="e">
        <f>#REF!</f>
        <v>#REF!</v>
      </c>
      <c r="CN16" s="94">
        <f t="shared" si="55"/>
        <v>0.90777051561365285</v>
      </c>
      <c r="CO16" s="94">
        <f t="shared" si="55"/>
        <v>0.56622185911394995</v>
      </c>
      <c r="CP16" s="95">
        <f t="shared" si="56"/>
        <v>2.4282861292665214</v>
      </c>
      <c r="CQ16" s="95" t="e">
        <f>#REF!</f>
        <v>#REF!</v>
      </c>
      <c r="CR16" s="97">
        <f t="shared" si="70"/>
        <v>1.4613272884830285E-4</v>
      </c>
      <c r="CS16" s="95">
        <f t="shared" si="70"/>
        <v>8.2272726342795977E-2</v>
      </c>
      <c r="CT16" s="96" t="e">
        <f>#REF!</f>
        <v>#REF!</v>
      </c>
      <c r="CU16" s="97">
        <f t="shared" si="71"/>
        <v>4.9586279442280889E-2</v>
      </c>
      <c r="CV16" s="95">
        <f t="shared" si="57"/>
        <v>6.856585536675007E-2</v>
      </c>
      <c r="CW16" s="96" t="e">
        <f>#REF!</f>
        <v>#REF!</v>
      </c>
      <c r="CX16" s="97">
        <f t="shared" si="58"/>
        <v>0.12014602168066579</v>
      </c>
      <c r="CY16" s="98">
        <f t="shared" si="58"/>
        <v>1.0701265088966185E-2</v>
      </c>
      <c r="CZ16" s="97">
        <f t="shared" si="58"/>
        <v>0</v>
      </c>
      <c r="DA16" s="98">
        <f t="shared" si="58"/>
        <v>1.9456845616302152E-3</v>
      </c>
      <c r="DB16" s="94">
        <f t="shared" si="11"/>
        <v>0.1916499293205762</v>
      </c>
      <c r="DC16" s="94">
        <f t="shared" si="12"/>
        <v>7.0044644218687752E-2</v>
      </c>
      <c r="DD16" s="94">
        <f t="shared" si="12"/>
        <v>0.53141509589525249</v>
      </c>
      <c r="DE16" s="94">
        <f t="shared" si="12"/>
        <v>0.18824498133772333</v>
      </c>
      <c r="DF16" s="94">
        <f t="shared" si="12"/>
        <v>0</v>
      </c>
      <c r="DG16" s="94">
        <f t="shared" si="12"/>
        <v>0</v>
      </c>
      <c r="DH16" s="95">
        <f t="shared" si="12"/>
        <v>0.98135465077223982</v>
      </c>
      <c r="DI16" s="96" t="e">
        <f>#REF!</f>
        <v>#REF!</v>
      </c>
      <c r="DJ16" s="95">
        <f t="shared" si="59"/>
        <v>-0.11722749483822045</v>
      </c>
      <c r="DK16" s="96" t="e">
        <f>#REF!</f>
        <v>#REF!</v>
      </c>
      <c r="DL16" s="95">
        <f t="shared" si="60"/>
        <v>0.9576250818585943</v>
      </c>
      <c r="DM16" s="96">
        <f t="shared" si="13"/>
        <v>0</v>
      </c>
      <c r="DN16" s="94">
        <f t="shared" si="14"/>
        <v>2.7265286355882186</v>
      </c>
      <c r="DO16" s="100">
        <v>3.4</v>
      </c>
      <c r="DP16" s="94">
        <f>IF($O16&lt;&gt;0,IF($O16&lt;&gt;0,BL16/$O16*10,0)," ")</f>
        <v>3.5669262226085916</v>
      </c>
      <c r="DQ16" s="94">
        <f>IF($P16&lt;&gt;0,IF($P16&lt;&gt;0,BM16/$P16*10,0)," ")</f>
        <v>3.2112790134854778</v>
      </c>
      <c r="DR16" s="101"/>
      <c r="DS16" s="153"/>
      <c r="DT16" s="142">
        <v>11</v>
      </c>
      <c r="DU16" s="330">
        <f t="shared" ref="DU16:DV18" si="76">DU15</f>
        <v>630624</v>
      </c>
      <c r="DV16" s="330">
        <f t="shared" si="76"/>
        <v>28472</v>
      </c>
      <c r="DW16" s="330">
        <v>5143374</v>
      </c>
      <c r="DX16" s="330">
        <v>120904</v>
      </c>
      <c r="DY16" s="330">
        <v>85873.7</v>
      </c>
      <c r="DZ16" s="330">
        <v>400081</v>
      </c>
      <c r="EA16" s="330">
        <v>236215</v>
      </c>
      <c r="EB16" s="330">
        <v>55089.2</v>
      </c>
      <c r="EC16" s="330">
        <v>414569</v>
      </c>
      <c r="ED16" s="330">
        <v>47830.6</v>
      </c>
      <c r="EE16" s="330">
        <v>39868.800000000003</v>
      </c>
      <c r="EF16" s="330">
        <v>42805.5</v>
      </c>
      <c r="EG16" s="330">
        <v>93464.9</v>
      </c>
      <c r="EH16" s="330">
        <v>184326.2</v>
      </c>
      <c r="EI16" s="330">
        <v>32923</v>
      </c>
      <c r="EJ16" s="330">
        <v>41664</v>
      </c>
      <c r="EK16" s="330"/>
      <c r="EL16" s="330">
        <v>709935.2</v>
      </c>
      <c r="EM16" s="330">
        <v>3904</v>
      </c>
      <c r="EN16" s="330">
        <v>45823.9</v>
      </c>
      <c r="EO16" s="330">
        <v>3068688.4</v>
      </c>
      <c r="EP16" s="303">
        <v>2784200</v>
      </c>
      <c r="EQ16" s="330">
        <v>1684</v>
      </c>
      <c r="ER16" s="330">
        <v>1523</v>
      </c>
      <c r="ES16" s="330">
        <v>380381</v>
      </c>
      <c r="ET16" s="105">
        <v>3493362</v>
      </c>
      <c r="EU16" s="104">
        <v>435780</v>
      </c>
      <c r="EV16" s="330">
        <v>147403</v>
      </c>
      <c r="EW16" s="330">
        <v>121788</v>
      </c>
      <c r="EX16" s="330">
        <v>213933.9</v>
      </c>
      <c r="EY16" s="330">
        <v>1676660.5</v>
      </c>
      <c r="EZ16" s="330">
        <v>794222.4</v>
      </c>
      <c r="FA16" s="385">
        <v>754405</v>
      </c>
      <c r="FB16" s="387">
        <v>30670.2</v>
      </c>
      <c r="FC16" s="378">
        <v>7574</v>
      </c>
      <c r="FD16" s="104">
        <f t="shared" si="16"/>
        <v>6333</v>
      </c>
      <c r="FE16" s="105">
        <f t="shared" si="75"/>
        <v>0</v>
      </c>
      <c r="FF16" s="105">
        <f t="shared" si="75"/>
        <v>488</v>
      </c>
      <c r="FG16" s="105">
        <f t="shared" si="75"/>
        <v>1214</v>
      </c>
      <c r="FH16" s="105">
        <f t="shared" si="75"/>
        <v>1213</v>
      </c>
      <c r="FI16" s="105">
        <f t="shared" si="75"/>
        <v>572</v>
      </c>
      <c r="FJ16" s="105">
        <f t="shared" si="75"/>
        <v>777</v>
      </c>
      <c r="FK16" s="105">
        <v>1072</v>
      </c>
      <c r="FL16" s="105">
        <v>717</v>
      </c>
      <c r="FM16" s="105">
        <v>280</v>
      </c>
      <c r="FN16" s="80">
        <v>1000</v>
      </c>
      <c r="FO16" s="303"/>
      <c r="FP16" s="353"/>
      <c r="FY16" s="141">
        <v>11</v>
      </c>
      <c r="FZ16" s="107"/>
      <c r="GA16" s="107"/>
      <c r="GB16" s="107"/>
      <c r="GC16" s="109"/>
      <c r="GD16" s="110"/>
      <c r="GE16" s="110"/>
      <c r="GF16" s="111"/>
      <c r="GG16" s="111"/>
      <c r="GH16" s="111"/>
      <c r="GI16" s="112"/>
      <c r="GJ16" s="111" t="e">
        <f t="shared" si="61"/>
        <v>#DIV/0!</v>
      </c>
      <c r="GK16" s="113"/>
    </row>
    <row r="17" spans="1:193" s="119" customFormat="1" ht="15" customHeight="1">
      <c r="A17" s="119" t="s">
        <v>126</v>
      </c>
      <c r="B17" s="351">
        <v>42959</v>
      </c>
      <c r="D17" s="154"/>
      <c r="E17" s="128">
        <v>5084.04</v>
      </c>
      <c r="F17" s="86">
        <v>2209.8960000000002</v>
      </c>
      <c r="G17" s="86">
        <v>4511.6810000000005</v>
      </c>
      <c r="H17" s="86">
        <v>4771.268</v>
      </c>
      <c r="I17" s="86">
        <v>1441.3109999999999</v>
      </c>
      <c r="J17" s="86"/>
      <c r="K17" s="86">
        <v>4.1159999999999997</v>
      </c>
      <c r="L17" s="86">
        <v>0</v>
      </c>
      <c r="M17" s="115">
        <f t="shared" si="62"/>
        <v>1441.3109999999999</v>
      </c>
      <c r="N17" s="88">
        <f t="shared" si="18"/>
        <v>16576.885000000002</v>
      </c>
      <c r="O17" s="88">
        <f t="shared" si="19"/>
        <v>17297.540500000003</v>
      </c>
      <c r="P17" s="89">
        <f t="shared" si="20"/>
        <v>233753.3505</v>
      </c>
      <c r="Q17" s="155"/>
      <c r="R17" s="170">
        <f t="shared" si="21"/>
        <v>298.70000000006985</v>
      </c>
      <c r="S17" s="170">
        <f t="shared" si="22"/>
        <v>14.15</v>
      </c>
      <c r="T17" s="170">
        <f t="shared" si="1"/>
        <v>364.7</v>
      </c>
      <c r="U17" s="91">
        <f t="shared" si="74"/>
        <v>5.8799999999995638</v>
      </c>
      <c r="V17" s="170">
        <f t="shared" si="23"/>
        <v>1495.3000000002794</v>
      </c>
      <c r="W17" s="91">
        <f t="shared" si="2"/>
        <v>133</v>
      </c>
      <c r="X17" s="170">
        <f t="shared" si="24"/>
        <v>1495.3000000002794</v>
      </c>
      <c r="Y17" s="170" t="str">
        <f t="shared" si="25"/>
        <v>0</v>
      </c>
      <c r="Z17" s="170">
        <f t="shared" si="3"/>
        <v>175.4</v>
      </c>
      <c r="AA17" s="170">
        <f t="shared" si="26"/>
        <v>2178.7300000003488</v>
      </c>
      <c r="AB17" s="170">
        <f t="shared" si="27"/>
        <v>0</v>
      </c>
      <c r="AC17" s="170">
        <f t="shared" si="27"/>
        <v>0</v>
      </c>
      <c r="AD17" s="170">
        <f t="shared" si="28"/>
        <v>0</v>
      </c>
      <c r="AE17" s="170">
        <f t="shared" si="29"/>
        <v>0</v>
      </c>
      <c r="AF17" s="170">
        <f t="shared" si="30"/>
        <v>143</v>
      </c>
      <c r="AG17" s="170">
        <f t="shared" si="30"/>
        <v>39.19999999999709</v>
      </c>
      <c r="AH17" s="170">
        <f t="shared" si="31"/>
        <v>288</v>
      </c>
      <c r="AI17" s="170">
        <f t="shared" si="32"/>
        <v>105.80000000000291</v>
      </c>
      <c r="AJ17" s="170">
        <f t="shared" si="33"/>
        <v>95</v>
      </c>
      <c r="AK17" s="170">
        <f t="shared" si="33"/>
        <v>8.9000000000014552</v>
      </c>
      <c r="AL17" s="170">
        <f t="shared" si="34"/>
        <v>187</v>
      </c>
      <c r="AM17" s="170">
        <f t="shared" si="35"/>
        <v>83.099999999998545</v>
      </c>
      <c r="AN17" s="170">
        <f t="shared" si="36"/>
        <v>0</v>
      </c>
      <c r="AO17" s="170">
        <f t="shared" si="4"/>
        <v>63.899999999994179</v>
      </c>
      <c r="AP17" s="170">
        <f t="shared" si="37"/>
        <v>35.600000000005821</v>
      </c>
      <c r="AQ17" s="170">
        <f t="shared" si="5"/>
        <v>38.699999999982538</v>
      </c>
      <c r="AR17" s="170">
        <f t="shared" si="38"/>
        <v>88.093999999999994</v>
      </c>
      <c r="AS17" s="170">
        <f t="shared" si="39"/>
        <v>31.093999999999994</v>
      </c>
      <c r="AT17" s="170">
        <f t="shared" si="40"/>
        <v>323.09399999999999</v>
      </c>
      <c r="AU17" s="170">
        <f t="shared" si="63"/>
        <v>173</v>
      </c>
      <c r="AV17" s="170">
        <f t="shared" si="64"/>
        <v>22</v>
      </c>
      <c r="AW17" s="170">
        <f t="shared" si="65"/>
        <v>119</v>
      </c>
      <c r="AX17" s="170">
        <f t="shared" si="66"/>
        <v>54</v>
      </c>
      <c r="AY17" s="170" t="str">
        <f t="shared" si="66"/>
        <v/>
      </c>
      <c r="AZ17" s="170">
        <f t="shared" si="41"/>
        <v>415</v>
      </c>
      <c r="BA17" s="170">
        <v>27</v>
      </c>
      <c r="BB17" s="170">
        <f t="shared" si="42"/>
        <v>119.5</v>
      </c>
      <c r="BC17" s="170">
        <f t="shared" si="42"/>
        <v>1096.8999999999069</v>
      </c>
      <c r="BD17" s="91">
        <f t="shared" si="43"/>
        <v>351</v>
      </c>
      <c r="BE17" s="90"/>
      <c r="BF17" s="90"/>
      <c r="BG17" s="90">
        <f t="shared" si="44"/>
        <v>1982.3999999999069</v>
      </c>
      <c r="BH17" s="90">
        <f t="shared" si="45"/>
        <v>450</v>
      </c>
      <c r="BI17" s="90">
        <f t="shared" si="6"/>
        <v>1664.1759999997676</v>
      </c>
      <c r="BJ17" s="90">
        <f t="shared" si="46"/>
        <v>5137.8240000002324</v>
      </c>
      <c r="BK17" s="92"/>
      <c r="BL17" s="93">
        <f t="shared" si="67"/>
        <v>7252</v>
      </c>
      <c r="BM17" s="93">
        <f t="shared" si="47"/>
        <v>76762</v>
      </c>
      <c r="BN17" s="92"/>
      <c r="BO17" s="94">
        <f t="shared" si="48"/>
        <v>0.18019066911550016</v>
      </c>
      <c r="BP17" s="94">
        <f t="shared" si="48"/>
        <v>8.5359824840432925E-3</v>
      </c>
      <c r="BQ17" s="94">
        <f t="shared" si="49"/>
        <v>0.22000514571947621</v>
      </c>
      <c r="BR17" s="94">
        <f t="shared" si="68"/>
        <v>0.90203919493938645</v>
      </c>
      <c r="BS17" s="94">
        <f t="shared" si="7"/>
        <v>0</v>
      </c>
      <c r="BT17" s="94">
        <f t="shared" si="7"/>
        <v>0.10580998782340589</v>
      </c>
      <c r="BU17" s="95">
        <f t="shared" si="7"/>
        <v>1.3143181001740367</v>
      </c>
      <c r="BV17" s="94">
        <f t="shared" si="8"/>
        <v>0.17268350954291439</v>
      </c>
      <c r="BW17" s="94">
        <f t="shared" si="8"/>
        <v>8.1803537329483336E-3</v>
      </c>
      <c r="BX17" s="94">
        <f t="shared" si="8"/>
        <v>0.21083922306757999</v>
      </c>
      <c r="BY17" s="94">
        <f t="shared" si="50"/>
        <v>0.86445815808338711</v>
      </c>
      <c r="BZ17" s="95">
        <f t="shared" si="9"/>
        <v>1.2595605716317579</v>
      </c>
      <c r="CA17" s="96" t="e">
        <f>#REF!</f>
        <v>#REF!</v>
      </c>
      <c r="CB17" s="94">
        <f t="shared" si="51"/>
        <v>5.0928627685537131E-2</v>
      </c>
      <c r="CC17" s="95">
        <f t="shared" si="51"/>
        <v>1.7975966005109215E-2</v>
      </c>
      <c r="CD17" s="97">
        <f t="shared" si="10"/>
        <v>0.61120743545286205</v>
      </c>
      <c r="CE17" s="98">
        <f t="shared" si="10"/>
        <v>0.21573414759201862</v>
      </c>
      <c r="CF17" s="97" t="str">
        <f>IF($D17&lt;&gt;0,IF($D17&lt;&gt;0,AB17/$D17*10,0),"0,00")</f>
        <v>0,00</v>
      </c>
      <c r="CG17" s="94" t="str">
        <f t="shared" si="52"/>
        <v>0,00</v>
      </c>
      <c r="CH17" s="95" t="str">
        <f t="shared" si="53"/>
        <v xml:space="preserve">0,00 </v>
      </c>
      <c r="CI17" s="96" t="e">
        <f>#REF!</f>
        <v>#REF!</v>
      </c>
      <c r="CJ17" s="94">
        <f t="shared" si="54"/>
        <v>0.28127237393883608</v>
      </c>
      <c r="CK17" s="94">
        <f t="shared" si="54"/>
        <v>7.7104035373437449E-2</v>
      </c>
      <c r="CL17" s="95">
        <f t="shared" si="69"/>
        <v>0.56647862723345999</v>
      </c>
      <c r="CM17" s="95" t="e">
        <f>#REF!</f>
        <v>#REF!</v>
      </c>
      <c r="CN17" s="94">
        <f t="shared" si="55"/>
        <v>0.42988448325170048</v>
      </c>
      <c r="CO17" s="94">
        <f t="shared" si="55"/>
        <v>4.0273388430955369E-2</v>
      </c>
      <c r="CP17" s="95">
        <f t="shared" si="56"/>
        <v>0.84619366703229459</v>
      </c>
      <c r="CQ17" s="95" t="e">
        <f>#REF!</f>
        <v>#REF!</v>
      </c>
      <c r="CR17" s="97">
        <f t="shared" si="70"/>
        <v>0</v>
      </c>
      <c r="CS17" s="95">
        <f t="shared" si="70"/>
        <v>0.14163235388316278</v>
      </c>
      <c r="CT17" s="96" t="e">
        <f>#REF!</f>
        <v>#REF!</v>
      </c>
      <c r="CU17" s="97">
        <f t="shared" si="71"/>
        <v>7.4613289381367423E-2</v>
      </c>
      <c r="CV17" s="95">
        <f t="shared" si="57"/>
        <v>8.1110514018459118E-2</v>
      </c>
      <c r="CW17" s="96" t="e">
        <f>#REF!</f>
        <v>#REF!</v>
      </c>
      <c r="CX17" s="97">
        <f t="shared" si="58"/>
        <v>0.10001421878445665</v>
      </c>
      <c r="CY17" s="98">
        <f t="shared" si="58"/>
        <v>1.2718571174902002E-2</v>
      </c>
      <c r="CZ17" s="97">
        <f t="shared" si="58"/>
        <v>6.8795907718788102E-2</v>
      </c>
      <c r="DA17" s="98">
        <f t="shared" si="58"/>
        <v>3.1218311065668549E-2</v>
      </c>
      <c r="DB17" s="94">
        <f t="shared" si="11"/>
        <v>0.23991850170837867</v>
      </c>
      <c r="DC17" s="94">
        <f t="shared" si="12"/>
        <v>6.9084966154581331E-2</v>
      </c>
      <c r="DD17" s="94">
        <f t="shared" si="12"/>
        <v>0.63413639644312814</v>
      </c>
      <c r="DE17" s="94">
        <f t="shared" si="12"/>
        <v>0.20291902192684558</v>
      </c>
      <c r="DF17" s="94">
        <f t="shared" si="12"/>
        <v>0</v>
      </c>
      <c r="DG17" s="94">
        <f t="shared" si="12"/>
        <v>0</v>
      </c>
      <c r="DH17" s="95">
        <f t="shared" si="12"/>
        <v>1.1460588862329337</v>
      </c>
      <c r="DI17" s="96" t="e">
        <f>#REF!</f>
        <v>#REF!</v>
      </c>
      <c r="DJ17" s="95">
        <f t="shared" si="59"/>
        <v>0.26015259221390463</v>
      </c>
      <c r="DK17" s="96" t="e">
        <f>#REF!</f>
        <v>#REF!</v>
      </c>
      <c r="DL17" s="95">
        <f t="shared" si="60"/>
        <v>0.96208822288912532</v>
      </c>
      <c r="DM17" s="96">
        <f t="shared" si="13"/>
        <v>0</v>
      </c>
      <c r="DN17" s="94">
        <f t="shared" si="14"/>
        <v>2.9702627376419395</v>
      </c>
      <c r="DO17" s="100">
        <v>3.4</v>
      </c>
      <c r="DP17" s="94">
        <f>IF($O17&lt;&gt;0,IF($O17&lt;&gt;0,BL17/$O17*10,0)," ")</f>
        <v>4.1925035527449692</v>
      </c>
      <c r="DQ17" s="94">
        <f>IF($P17&lt;&gt;0,IF($P17&lt;&gt;0,BM17/$P17*10,0)," ")</f>
        <v>3.2838887586340713</v>
      </c>
      <c r="DR17" s="101">
        <f t="shared" si="15"/>
        <v>0</v>
      </c>
      <c r="DS17" s="147"/>
      <c r="DT17" s="134">
        <v>12</v>
      </c>
      <c r="DU17" s="330">
        <f t="shared" si="76"/>
        <v>630624</v>
      </c>
      <c r="DV17" s="330">
        <f t="shared" si="76"/>
        <v>28472</v>
      </c>
      <c r="DW17" s="330">
        <v>5143374</v>
      </c>
      <c r="DX17" s="330">
        <v>121047</v>
      </c>
      <c r="DY17" s="330">
        <v>85912.9</v>
      </c>
      <c r="DZ17" s="330">
        <v>400369</v>
      </c>
      <c r="EA17" s="330">
        <v>236310</v>
      </c>
      <c r="EB17" s="330">
        <v>55098.1</v>
      </c>
      <c r="EC17" s="330">
        <v>414756</v>
      </c>
      <c r="ED17" s="330">
        <v>47830.6</v>
      </c>
      <c r="EE17" s="330">
        <v>39923.199999999997</v>
      </c>
      <c r="EF17" s="330">
        <v>42815</v>
      </c>
      <c r="EG17" s="330">
        <v>93500.5</v>
      </c>
      <c r="EH17" s="330">
        <v>184364.9</v>
      </c>
      <c r="EI17" s="330">
        <v>32945</v>
      </c>
      <c r="EJ17" s="330">
        <v>41718</v>
      </c>
      <c r="EK17" s="330"/>
      <c r="EL17" s="330">
        <v>710233.9</v>
      </c>
      <c r="EM17" s="330">
        <v>3647</v>
      </c>
      <c r="EN17" s="330">
        <v>45882.7</v>
      </c>
      <c r="EO17" s="330">
        <v>3070183.7</v>
      </c>
      <c r="EP17" s="330">
        <v>2785530</v>
      </c>
      <c r="EQ17" s="330">
        <v>0</v>
      </c>
      <c r="ER17" s="330">
        <v>1754</v>
      </c>
      <c r="ES17" s="330">
        <v>380616</v>
      </c>
      <c r="ET17" s="105">
        <v>3581456</v>
      </c>
      <c r="EU17" s="330">
        <v>435899</v>
      </c>
      <c r="EV17" s="330">
        <v>147576</v>
      </c>
      <c r="EW17" s="330">
        <v>122203</v>
      </c>
      <c r="EX17" s="330">
        <v>214053.4</v>
      </c>
      <c r="EY17" s="330">
        <v>1677757.4</v>
      </c>
      <c r="EZ17" s="330">
        <v>794363.9</v>
      </c>
      <c r="FA17" s="104">
        <v>754756</v>
      </c>
      <c r="FB17" s="104">
        <v>30644.2</v>
      </c>
      <c r="FC17" s="104">
        <v>6802</v>
      </c>
      <c r="FD17" s="104">
        <f t="shared" si="16"/>
        <v>6052</v>
      </c>
      <c r="FE17" s="105">
        <f t="shared" si="75"/>
        <v>0</v>
      </c>
      <c r="FF17" s="105">
        <f t="shared" si="75"/>
        <v>439</v>
      </c>
      <c r="FG17" s="105">
        <f t="shared" si="75"/>
        <v>1194</v>
      </c>
      <c r="FH17" s="105">
        <f t="shared" si="75"/>
        <v>1787</v>
      </c>
      <c r="FI17" s="105">
        <f t="shared" si="75"/>
        <v>506</v>
      </c>
      <c r="FJ17" s="105">
        <f t="shared" si="75"/>
        <v>773</v>
      </c>
      <c r="FK17" s="105">
        <v>1072</v>
      </c>
      <c r="FL17" s="105">
        <v>0</v>
      </c>
      <c r="FM17" s="105">
        <v>281</v>
      </c>
      <c r="FN17" s="80">
        <v>1200</v>
      </c>
      <c r="FO17" s="303"/>
      <c r="FP17" s="353"/>
      <c r="FY17" s="119">
        <v>12</v>
      </c>
      <c r="FZ17" s="107"/>
      <c r="GA17" s="107"/>
      <c r="GB17" s="107"/>
      <c r="GC17" s="109"/>
      <c r="GD17" s="110"/>
      <c r="GE17" s="110"/>
      <c r="GF17" s="111"/>
      <c r="GG17" s="111"/>
      <c r="GH17" s="111"/>
      <c r="GI17" s="112"/>
      <c r="GJ17" s="111" t="e">
        <f t="shared" si="61"/>
        <v>#DIV/0!</v>
      </c>
      <c r="GK17" s="113"/>
    </row>
    <row r="18" spans="1:193" s="119" customFormat="1" ht="15" customHeight="1">
      <c r="B18" s="351">
        <v>42960</v>
      </c>
      <c r="D18" s="154"/>
      <c r="E18" s="128"/>
      <c r="F18" s="128">
        <v>2965.248</v>
      </c>
      <c r="G18" s="86">
        <v>3028.817</v>
      </c>
      <c r="H18" s="86">
        <v>8533.4680000000008</v>
      </c>
      <c r="I18" s="86"/>
      <c r="J18" s="86"/>
      <c r="K18" s="86"/>
      <c r="L18" s="86"/>
      <c r="M18" s="115">
        <f t="shared" si="62"/>
        <v>0</v>
      </c>
      <c r="N18" s="88">
        <f t="shared" si="18"/>
        <v>14527.533000000001</v>
      </c>
      <c r="O18" s="88">
        <f t="shared" si="19"/>
        <v>14527.533000000001</v>
      </c>
      <c r="P18" s="89">
        <f t="shared" si="20"/>
        <v>248280.8835</v>
      </c>
      <c r="R18" s="170">
        <f t="shared" si="21"/>
        <v>214.09999999997672</v>
      </c>
      <c r="S18" s="170">
        <f t="shared" si="22"/>
        <v>50.719999999995345</v>
      </c>
      <c r="T18" s="170">
        <f t="shared" si="1"/>
        <v>316.39999999999998</v>
      </c>
      <c r="U18" s="91">
        <f t="shared" si="74"/>
        <v>-6.3599999999998547</v>
      </c>
      <c r="V18" s="170">
        <f t="shared" si="23"/>
        <v>1064.6999999997206</v>
      </c>
      <c r="W18" s="91">
        <f t="shared" si="2"/>
        <v>95.8</v>
      </c>
      <c r="X18" s="170">
        <f t="shared" si="24"/>
        <v>1064.6999999997206</v>
      </c>
      <c r="Y18" s="170" t="str">
        <f t="shared" si="25"/>
        <v>0</v>
      </c>
      <c r="Z18" s="170">
        <f t="shared" si="3"/>
        <v>117.9</v>
      </c>
      <c r="AA18" s="170">
        <f t="shared" si="26"/>
        <v>1639.5599999996928</v>
      </c>
      <c r="AB18" s="170">
        <f t="shared" si="27"/>
        <v>0</v>
      </c>
      <c r="AC18" s="170">
        <f t="shared" si="27"/>
        <v>0</v>
      </c>
      <c r="AD18" s="170">
        <f t="shared" si="28"/>
        <v>0</v>
      </c>
      <c r="AE18" s="170">
        <f t="shared" si="29"/>
        <v>0</v>
      </c>
      <c r="AF18" s="170">
        <f t="shared" si="30"/>
        <v>15</v>
      </c>
      <c r="AG18" s="170">
        <f t="shared" si="30"/>
        <v>22.5</v>
      </c>
      <c r="AH18" s="170">
        <f t="shared" si="31"/>
        <v>65</v>
      </c>
      <c r="AI18" s="170">
        <f t="shared" si="32"/>
        <v>27.5</v>
      </c>
      <c r="AJ18" s="170">
        <f t="shared" si="33"/>
        <v>129</v>
      </c>
      <c r="AK18" s="170">
        <f t="shared" si="33"/>
        <v>6.8000000000029104</v>
      </c>
      <c r="AL18" s="170">
        <f t="shared" si="34"/>
        <v>190</v>
      </c>
      <c r="AM18" s="170">
        <f t="shared" si="35"/>
        <v>54.19999999999709</v>
      </c>
      <c r="AN18" s="170">
        <f t="shared" si="36"/>
        <v>19</v>
      </c>
      <c r="AO18" s="170">
        <f t="shared" si="4"/>
        <v>41.80000000000291</v>
      </c>
      <c r="AP18" s="170">
        <f t="shared" si="37"/>
        <v>28.69999999999709</v>
      </c>
      <c r="AQ18" s="170">
        <f>IF(AP18=0.1,0,(IF(AP18&gt;=(EH18-EH17),(AP18),(EH18-EH17))))</f>
        <v>35.399999999994179</v>
      </c>
      <c r="AR18" s="170">
        <f t="shared" si="38"/>
        <v>99.269000000000005</v>
      </c>
      <c r="AS18" s="170">
        <f t="shared" si="39"/>
        <v>296.26900000000001</v>
      </c>
      <c r="AT18" s="170">
        <f t="shared" si="40"/>
        <v>315.26900000000001</v>
      </c>
      <c r="AU18" s="170">
        <f t="shared" si="63"/>
        <v>19</v>
      </c>
      <c r="AV18" s="170">
        <f t="shared" si="64"/>
        <v>34</v>
      </c>
      <c r="AW18" s="170">
        <f t="shared" si="65"/>
        <v>0</v>
      </c>
      <c r="AX18" s="170">
        <f t="shared" si="66"/>
        <v>6</v>
      </c>
      <c r="AY18" s="170" t="str">
        <f t="shared" si="66"/>
        <v/>
      </c>
      <c r="AZ18" s="170">
        <f t="shared" si="41"/>
        <v>376</v>
      </c>
      <c r="BA18" s="170">
        <v>0</v>
      </c>
      <c r="BB18" s="170">
        <f t="shared" si="42"/>
        <v>96.200000000011642</v>
      </c>
      <c r="BC18" s="170">
        <f t="shared" si="42"/>
        <v>692.5</v>
      </c>
      <c r="BD18" s="91">
        <f t="shared" si="43"/>
        <v>333</v>
      </c>
      <c r="BE18" s="90"/>
      <c r="BF18" s="90"/>
      <c r="BG18" s="90">
        <f t="shared" si="44"/>
        <v>1497.7000000000116</v>
      </c>
      <c r="BH18" s="90">
        <f t="shared" si="45"/>
        <v>-1993</v>
      </c>
      <c r="BI18" s="90">
        <f t="shared" si="6"/>
        <v>2335.271000000298</v>
      </c>
      <c r="BJ18" s="90">
        <f t="shared" si="46"/>
        <v>3824.728999999702</v>
      </c>
      <c r="BK18" s="92"/>
      <c r="BL18" s="93">
        <f t="shared" si="67"/>
        <v>4167</v>
      </c>
      <c r="BM18" s="93">
        <f t="shared" si="47"/>
        <v>80929</v>
      </c>
      <c r="BN18" s="92"/>
      <c r="BO18" s="94">
        <f t="shared" si="48"/>
        <v>0.14737533206772044</v>
      </c>
      <c r="BP18" s="94">
        <f t="shared" si="48"/>
        <v>3.4913016545889339E-2</v>
      </c>
      <c r="BQ18" s="94">
        <f t="shared" si="49"/>
        <v>0.21779334454101737</v>
      </c>
      <c r="BR18" s="94">
        <f t="shared" si="68"/>
        <v>0.73288424125398333</v>
      </c>
      <c r="BS18" s="94">
        <f t="shared" si="7"/>
        <v>0</v>
      </c>
      <c r="BT18" s="94">
        <f t="shared" si="7"/>
        <v>8.1156243114367727E-2</v>
      </c>
      <c r="BU18" s="95">
        <f t="shared" si="7"/>
        <v>1.1285880403780137</v>
      </c>
      <c r="BV18" s="94">
        <f t="shared" si="8"/>
        <v>0.14737533206772044</v>
      </c>
      <c r="BW18" s="94">
        <f t="shared" si="8"/>
        <v>3.4913016545889339E-2</v>
      </c>
      <c r="BX18" s="94">
        <f t="shared" si="8"/>
        <v>0.21779334454101737</v>
      </c>
      <c r="BY18" s="94">
        <f t="shared" si="50"/>
        <v>0.73288424125398333</v>
      </c>
      <c r="BZ18" s="95">
        <f t="shared" si="9"/>
        <v>1.1285880403780137</v>
      </c>
      <c r="CA18" s="96" t="e">
        <f>#REF!</f>
        <v>#REF!</v>
      </c>
      <c r="CB18" s="94">
        <f t="shared" si="51"/>
        <v>6.8331629327567173E-2</v>
      </c>
      <c r="CC18" s="95">
        <f t="shared" si="51"/>
        <v>0.20393620857718925</v>
      </c>
      <c r="CD18" s="97" t="str">
        <f t="shared" si="10"/>
        <v/>
      </c>
      <c r="CE18" s="98" t="str">
        <f t="shared" si="10"/>
        <v/>
      </c>
      <c r="CF18" s="97" t="str">
        <f t="shared" si="52"/>
        <v>0,00</v>
      </c>
      <c r="CG18" s="94" t="str">
        <f t="shared" si="52"/>
        <v>0,00</v>
      </c>
      <c r="CH18" s="95" t="str">
        <f t="shared" si="53"/>
        <v xml:space="preserve">0,00 </v>
      </c>
      <c r="CI18" s="96" t="e">
        <f>#REF!</f>
        <v>#REF!</v>
      </c>
      <c r="CJ18" s="94" t="str">
        <f t="shared" si="54"/>
        <v>0,00</v>
      </c>
      <c r="CK18" s="94" t="str">
        <f t="shared" si="54"/>
        <v>0,00</v>
      </c>
      <c r="CL18" s="95" t="str">
        <f t="shared" si="69"/>
        <v xml:space="preserve">0,00 </v>
      </c>
      <c r="CM18" s="95" t="e">
        <f>#REF!</f>
        <v>#REF!</v>
      </c>
      <c r="CN18" s="94">
        <f t="shared" si="55"/>
        <v>0.4350394975394975</v>
      </c>
      <c r="CO18" s="94">
        <f t="shared" si="55"/>
        <v>2.2932314598991081E-2</v>
      </c>
      <c r="CP18" s="95">
        <f t="shared" si="56"/>
        <v>0.64075584908918237</v>
      </c>
      <c r="CQ18" s="95" t="e">
        <f>#REF!</f>
        <v>#REF!</v>
      </c>
      <c r="CR18" s="97">
        <f t="shared" si="70"/>
        <v>6.2730762538641321E-2</v>
      </c>
      <c r="CS18" s="95">
        <f t="shared" si="70"/>
        <v>0.13800767758502053</v>
      </c>
      <c r="CT18" s="96" t="e">
        <f>#REF!</f>
        <v>#REF!</v>
      </c>
      <c r="CU18" s="97">
        <f t="shared" si="71"/>
        <v>3.3632281740550364E-2</v>
      </c>
      <c r="CV18" s="95">
        <f t="shared" si="57"/>
        <v>4.1483720335031636E-2</v>
      </c>
      <c r="CW18" s="96" t="e">
        <f>#REF!</f>
        <v>#REF!</v>
      </c>
      <c r="CX18" s="97">
        <f t="shared" si="58"/>
        <v>1.3078614242349337E-2</v>
      </c>
      <c r="CY18" s="98">
        <f t="shared" si="58"/>
        <v>2.3403836012625131E-2</v>
      </c>
      <c r="CZ18" s="97">
        <f t="shared" si="58"/>
        <v>0</v>
      </c>
      <c r="DA18" s="98">
        <f t="shared" si="58"/>
        <v>4.1300887081103166E-3</v>
      </c>
      <c r="DB18" s="94">
        <f t="shared" si="11"/>
        <v>0.25881889237491318</v>
      </c>
      <c r="DC18" s="94">
        <f t="shared" si="12"/>
        <v>6.6219088953376762E-2</v>
      </c>
      <c r="DD18" s="94">
        <f t="shared" si="12"/>
        <v>0.47668107172773244</v>
      </c>
      <c r="DE18" s="94">
        <f t="shared" si="12"/>
        <v>0.22921992330012259</v>
      </c>
      <c r="DF18" s="94">
        <f t="shared" si="12"/>
        <v>0</v>
      </c>
      <c r="DG18" s="94">
        <f t="shared" si="12"/>
        <v>0</v>
      </c>
      <c r="DH18" s="95">
        <f t="shared" si="12"/>
        <v>1.030938976356145</v>
      </c>
      <c r="DI18" s="96" t="e">
        <f>#REF!</f>
        <v>#REF!</v>
      </c>
      <c r="DJ18" s="95">
        <f t="shared" si="59"/>
        <v>-1.3718777992106435</v>
      </c>
      <c r="DK18" s="96" t="e">
        <f>#REF!</f>
        <v>#REF!</v>
      </c>
      <c r="DL18" s="95">
        <f t="shared" si="60"/>
        <v>1.6074793979131197</v>
      </c>
      <c r="DM18" s="96">
        <f t="shared" si="13"/>
        <v>0</v>
      </c>
      <c r="DN18" s="94">
        <f t="shared" si="14"/>
        <v>2.6327450090801392</v>
      </c>
      <c r="DO18" s="100">
        <v>3.4</v>
      </c>
      <c r="DP18" s="94">
        <f>IF($O18&lt;&gt;0,IF($O18&lt;&gt;0,BL18/$O18*10,0)," ")</f>
        <v>2.8683466077826147</v>
      </c>
      <c r="DQ18" s="94">
        <f t="shared" si="73"/>
        <v>3.2595743522074265</v>
      </c>
      <c r="DR18" s="101">
        <f t="shared" si="15"/>
        <v>0</v>
      </c>
      <c r="DS18" s="147"/>
      <c r="DT18" s="134">
        <v>13</v>
      </c>
      <c r="DU18" s="361">
        <f t="shared" si="76"/>
        <v>630624</v>
      </c>
      <c r="DV18" s="361">
        <f t="shared" si="76"/>
        <v>28472</v>
      </c>
      <c r="DW18" s="361">
        <v>5143374</v>
      </c>
      <c r="DX18" s="360">
        <v>121062</v>
      </c>
      <c r="DY18" s="361">
        <v>85935.4</v>
      </c>
      <c r="DZ18" s="361">
        <v>400434</v>
      </c>
      <c r="EA18" s="303">
        <v>236439</v>
      </c>
      <c r="EB18" s="303">
        <v>55104.9</v>
      </c>
      <c r="EC18" s="303">
        <v>414946</v>
      </c>
      <c r="ED18" s="303">
        <v>47849.599999999999</v>
      </c>
      <c r="EE18" s="303">
        <v>39946.300000000003</v>
      </c>
      <c r="EF18" s="303">
        <v>42833.7</v>
      </c>
      <c r="EG18" s="303">
        <v>93529.2</v>
      </c>
      <c r="EH18" s="361">
        <v>184400.3</v>
      </c>
      <c r="EI18" s="361">
        <v>32979</v>
      </c>
      <c r="EJ18" s="303">
        <v>41724</v>
      </c>
      <c r="EK18" s="303"/>
      <c r="EL18" s="361">
        <v>710448</v>
      </c>
      <c r="EM18" s="303">
        <v>3164</v>
      </c>
      <c r="EN18" s="303">
        <v>45819.1</v>
      </c>
      <c r="EO18" s="361">
        <v>3071248.4</v>
      </c>
      <c r="EP18" s="303">
        <v>2786488</v>
      </c>
      <c r="EQ18" s="303">
        <v>0</v>
      </c>
      <c r="ER18" s="303">
        <v>1179</v>
      </c>
      <c r="ES18" s="303">
        <v>380832</v>
      </c>
      <c r="ET18" s="303">
        <v>3680725</v>
      </c>
      <c r="EU18" s="303">
        <v>435899</v>
      </c>
      <c r="EV18" s="303">
        <v>147595</v>
      </c>
      <c r="EW18" s="303">
        <v>122579</v>
      </c>
      <c r="EX18" s="303">
        <v>214149.6</v>
      </c>
      <c r="EY18" s="303">
        <v>1678449.9</v>
      </c>
      <c r="EZ18" s="303">
        <v>794871.1</v>
      </c>
      <c r="FA18" s="383">
        <v>755089</v>
      </c>
      <c r="FB18" s="303">
        <v>30647</v>
      </c>
      <c r="FC18" s="303">
        <v>6160</v>
      </c>
      <c r="FD18" s="104">
        <f t="shared" si="16"/>
        <v>4167</v>
      </c>
      <c r="FE18" s="105">
        <f t="shared" si="75"/>
        <v>0</v>
      </c>
      <c r="FF18" s="105">
        <f t="shared" si="75"/>
        <v>310</v>
      </c>
      <c r="FG18" s="105">
        <f t="shared" si="75"/>
        <v>617</v>
      </c>
      <c r="FH18" s="105">
        <f t="shared" si="75"/>
        <v>532</v>
      </c>
      <c r="FI18" s="105">
        <f t="shared" si="75"/>
        <v>643</v>
      </c>
      <c r="FJ18" s="105">
        <f t="shared" si="75"/>
        <v>710</v>
      </c>
      <c r="FK18" s="105">
        <v>1072</v>
      </c>
      <c r="FL18" s="105">
        <v>0</v>
      </c>
      <c r="FM18" s="105">
        <v>283</v>
      </c>
      <c r="FN18" s="80">
        <v>0</v>
      </c>
      <c r="FO18" s="303"/>
      <c r="FP18" s="358"/>
      <c r="FY18" s="119">
        <v>13</v>
      </c>
      <c r="FZ18" s="107"/>
      <c r="GA18" s="107"/>
      <c r="GB18" s="107"/>
      <c r="GC18" s="109"/>
      <c r="GD18" s="110"/>
      <c r="GE18" s="110"/>
      <c r="GF18" s="111"/>
      <c r="GG18" s="111"/>
      <c r="GH18" s="111"/>
      <c r="GI18" s="112"/>
      <c r="GJ18" s="111" t="e">
        <f t="shared" si="61"/>
        <v>#DIV/0!</v>
      </c>
      <c r="GK18" s="113"/>
    </row>
    <row r="19" spans="1:193" s="119" customFormat="1" ht="15" customHeight="1">
      <c r="A19" s="119">
        <v>0</v>
      </c>
      <c r="B19" s="351">
        <v>42961</v>
      </c>
      <c r="D19" s="157"/>
      <c r="E19" s="128">
        <v>4025.76</v>
      </c>
      <c r="F19" s="128">
        <v>3529.8720000000003</v>
      </c>
      <c r="G19" s="86">
        <v>2827.3620000000001</v>
      </c>
      <c r="H19" s="86">
        <v>7092.4459999999999</v>
      </c>
      <c r="I19" s="86">
        <v>1711.377</v>
      </c>
      <c r="J19" s="86"/>
      <c r="K19" s="86"/>
      <c r="L19" s="86">
        <v>0</v>
      </c>
      <c r="M19" s="115">
        <f t="shared" si="62"/>
        <v>1711.377</v>
      </c>
      <c r="N19" s="88">
        <f t="shared" si="18"/>
        <v>17475.440000000002</v>
      </c>
      <c r="O19" s="88">
        <f t="shared" si="19"/>
        <v>18331.128500000003</v>
      </c>
      <c r="P19" s="89">
        <f t="shared" si="20"/>
        <v>266612.01199999999</v>
      </c>
      <c r="R19" s="170">
        <f t="shared" si="21"/>
        <v>276.69999999995343</v>
      </c>
      <c r="S19" s="170">
        <f t="shared" si="22"/>
        <v>91.080000000004659</v>
      </c>
      <c r="T19" s="170">
        <f t="shared" si="1"/>
        <v>60.8</v>
      </c>
      <c r="U19" s="91">
        <f t="shared" si="74"/>
        <v>15.320000000000437</v>
      </c>
      <c r="V19" s="170">
        <f t="shared" si="23"/>
        <v>1109.8000000002794</v>
      </c>
      <c r="W19" s="91">
        <f t="shared" si="2"/>
        <v>100</v>
      </c>
      <c r="X19" s="170">
        <f t="shared" si="24"/>
        <v>1109.8000000002794</v>
      </c>
      <c r="Y19" s="170" t="str">
        <f t="shared" si="25"/>
        <v>0</v>
      </c>
      <c r="Z19" s="170">
        <f t="shared" si="3"/>
        <v>117.3</v>
      </c>
      <c r="AA19" s="170">
        <f t="shared" si="26"/>
        <v>1553.7000000002379</v>
      </c>
      <c r="AB19" s="170">
        <f t="shared" si="27"/>
        <v>162</v>
      </c>
      <c r="AC19" s="170">
        <f t="shared" si="27"/>
        <v>45</v>
      </c>
      <c r="AD19" s="170">
        <f t="shared" si="28"/>
        <v>207</v>
      </c>
      <c r="AE19" s="170">
        <f t="shared" si="29"/>
        <v>0</v>
      </c>
      <c r="AF19" s="170">
        <f t="shared" si="30"/>
        <v>72</v>
      </c>
      <c r="AG19" s="170">
        <f t="shared" si="30"/>
        <v>36.30000000000291</v>
      </c>
      <c r="AH19" s="170">
        <f t="shared" si="31"/>
        <v>258</v>
      </c>
      <c r="AI19" s="170">
        <f t="shared" si="32"/>
        <v>149.69999999999709</v>
      </c>
      <c r="AJ19" s="170">
        <f t="shared" si="33"/>
        <v>135</v>
      </c>
      <c r="AK19" s="170">
        <f t="shared" si="33"/>
        <v>6.2999999999956344</v>
      </c>
      <c r="AL19" s="170">
        <f t="shared" si="34"/>
        <v>222</v>
      </c>
      <c r="AM19" s="170">
        <f t="shared" si="35"/>
        <v>80.700000000004366</v>
      </c>
      <c r="AN19" s="170">
        <f t="shared" si="36"/>
        <v>0.5</v>
      </c>
      <c r="AO19" s="170">
        <f t="shared" si="4"/>
        <v>46.5</v>
      </c>
      <c r="AP19" s="170">
        <f t="shared" si="37"/>
        <v>25.19999999999709</v>
      </c>
      <c r="AQ19" s="170">
        <f>IF(AP19=0.1,0,(IF(AP19&gt;=(EH19-EH18),(AP19),(EH19-EH18))))</f>
        <v>33.700000000011642</v>
      </c>
      <c r="AR19" s="170">
        <f t="shared" si="38"/>
        <v>70.070999999999998</v>
      </c>
      <c r="AS19" s="170">
        <f t="shared" si="39"/>
        <v>68.071000000000026</v>
      </c>
      <c r="AT19" s="170">
        <f t="shared" si="40"/>
        <v>429.07100000000003</v>
      </c>
      <c r="AU19" s="170">
        <f t="shared" si="63"/>
        <v>235</v>
      </c>
      <c r="AV19" s="170">
        <f t="shared" si="64"/>
        <v>43</v>
      </c>
      <c r="AW19" s="170">
        <f t="shared" si="65"/>
        <v>126</v>
      </c>
      <c r="AX19" s="170">
        <f t="shared" si="66"/>
        <v>51</v>
      </c>
      <c r="AY19" s="170" t="str">
        <f t="shared" si="66"/>
        <v/>
      </c>
      <c r="AZ19" s="170">
        <f t="shared" si="41"/>
        <v>336</v>
      </c>
      <c r="BA19" s="170">
        <v>48</v>
      </c>
      <c r="BB19" s="170">
        <f t="shared" si="42"/>
        <v>116.19999999998254</v>
      </c>
      <c r="BC19" s="170">
        <f t="shared" si="42"/>
        <v>1031.5</v>
      </c>
      <c r="BD19" s="91">
        <f t="shared" si="43"/>
        <v>56</v>
      </c>
      <c r="BE19" s="90"/>
      <c r="BF19" s="90"/>
      <c r="BG19" s="90">
        <f t="shared" si="44"/>
        <v>1539.6999999999825</v>
      </c>
      <c r="BH19" s="90">
        <f t="shared" si="45"/>
        <v>-614</v>
      </c>
      <c r="BI19" s="90">
        <f t="shared" si="6"/>
        <v>1577.3289999997678</v>
      </c>
      <c r="BJ19" s="90">
        <f t="shared" si="46"/>
        <v>4383.6710000002322</v>
      </c>
      <c r="BK19" s="92"/>
      <c r="BL19" s="331">
        <f t="shared" si="67"/>
        <v>5347</v>
      </c>
      <c r="BM19" s="93">
        <f t="shared" si="47"/>
        <v>86276</v>
      </c>
      <c r="BN19" s="92"/>
      <c r="BO19" s="94">
        <f t="shared" si="48"/>
        <v>0.15833649968181251</v>
      </c>
      <c r="BP19" s="94">
        <f t="shared" si="48"/>
        <v>5.2118859382084028E-2</v>
      </c>
      <c r="BQ19" s="94">
        <f t="shared" si="49"/>
        <v>3.4791684787335825E-2</v>
      </c>
      <c r="BR19" s="94">
        <f t="shared" si="68"/>
        <v>0.63506269370057589</v>
      </c>
      <c r="BS19" s="94">
        <f t="shared" si="7"/>
        <v>0</v>
      </c>
      <c r="BT19" s="94">
        <f t="shared" si="7"/>
        <v>6.7122773446619932E-2</v>
      </c>
      <c r="BU19" s="95">
        <f t="shared" si="7"/>
        <v>0.88907632654756485</v>
      </c>
      <c r="BV19" s="94">
        <f t="shared" si="8"/>
        <v>0.15094542597306729</v>
      </c>
      <c r="BW19" s="94">
        <f t="shared" si="8"/>
        <v>4.9685975416082349E-2</v>
      </c>
      <c r="BX19" s="94">
        <f t="shared" si="8"/>
        <v>3.3167625222855206E-2</v>
      </c>
      <c r="BY19" s="94">
        <f t="shared" si="50"/>
        <v>0.60541826434759827</v>
      </c>
      <c r="BZ19" s="95">
        <f t="shared" si="9"/>
        <v>0.84757465968352008</v>
      </c>
      <c r="CA19" s="96" t="e">
        <f>#REF!</f>
        <v>#REF!</v>
      </c>
      <c r="CB19" s="94">
        <f t="shared" si="51"/>
        <v>3.8225142549188934E-2</v>
      </c>
      <c r="CC19" s="95">
        <f t="shared" si="51"/>
        <v>3.7134102245805552E-2</v>
      </c>
      <c r="CD19" s="97">
        <f t="shared" si="10"/>
        <v>0.40944222108863215</v>
      </c>
      <c r="CE19" s="98">
        <f t="shared" si="10"/>
        <v>0.39775572536033865</v>
      </c>
      <c r="CF19" s="97" t="str">
        <f t="shared" si="52"/>
        <v>0,00</v>
      </c>
      <c r="CG19" s="94" t="str">
        <f t="shared" si="52"/>
        <v>0,00</v>
      </c>
      <c r="CH19" s="95" t="str">
        <f t="shared" si="53"/>
        <v xml:space="preserve">0,00 </v>
      </c>
      <c r="CI19" s="96" t="e">
        <f>#REF!</f>
        <v>#REF!</v>
      </c>
      <c r="CJ19" s="94">
        <f t="shared" si="54"/>
        <v>0.17884821747943244</v>
      </c>
      <c r="CK19" s="94">
        <f t="shared" si="54"/>
        <v>9.0169309645887749E-2</v>
      </c>
      <c r="CL19" s="95">
        <f t="shared" si="69"/>
        <v>0.6408727793012996</v>
      </c>
      <c r="CM19" s="95" t="e">
        <f>#REF!</f>
        <v>#REF!</v>
      </c>
      <c r="CN19" s="94">
        <f t="shared" si="55"/>
        <v>0.38245012850324311</v>
      </c>
      <c r="CO19" s="94">
        <f t="shared" si="55"/>
        <v>1.7847672663472314E-2</v>
      </c>
      <c r="CP19" s="95">
        <f t="shared" si="56"/>
        <v>0.62891798909422203</v>
      </c>
      <c r="CQ19" s="95" t="e">
        <f>#REF!</f>
        <v>#REF!</v>
      </c>
      <c r="CR19" s="97">
        <f t="shared" si="70"/>
        <v>1.7684329067165789E-3</v>
      </c>
      <c r="CS19" s="95">
        <f t="shared" si="70"/>
        <v>0.16446426032464184</v>
      </c>
      <c r="CT19" s="96" t="e">
        <f>#REF!</f>
        <v>#REF!</v>
      </c>
      <c r="CU19" s="97">
        <f t="shared" si="71"/>
        <v>3.5530760473886008E-2</v>
      </c>
      <c r="CV19" s="95">
        <f t="shared" si="57"/>
        <v>4.7515342379782152E-2</v>
      </c>
      <c r="CW19" s="96" t="e">
        <f>#REF!</f>
        <v>#REF!</v>
      </c>
      <c r="CX19" s="97">
        <f t="shared" si="58"/>
        <v>0.1281972356475489</v>
      </c>
      <c r="CY19" s="98">
        <f t="shared" si="58"/>
        <v>2.3457366522742988E-2</v>
      </c>
      <c r="CZ19" s="97">
        <f t="shared" si="58"/>
        <v>6.8735539113153873E-2</v>
      </c>
      <c r="DA19" s="98">
        <f t="shared" si="58"/>
        <v>2.7821527736276573E-2</v>
      </c>
      <c r="DB19" s="94">
        <f t="shared" si="11"/>
        <v>0.18329477096841035</v>
      </c>
      <c r="DC19" s="94">
        <f t="shared" si="12"/>
        <v>6.3389441626565721E-2</v>
      </c>
      <c r="DD19" s="94">
        <f t="shared" si="12"/>
        <v>0.5627040364699859</v>
      </c>
      <c r="DE19" s="94">
        <f t="shared" si="12"/>
        <v>3.0549128494735057E-2</v>
      </c>
      <c r="DF19" s="94">
        <f t="shared" si="12"/>
        <v>0</v>
      </c>
      <c r="DG19" s="94">
        <f t="shared" si="12"/>
        <v>0</v>
      </c>
      <c r="DH19" s="95">
        <f t="shared" si="12"/>
        <v>0.839937377559697</v>
      </c>
      <c r="DI19" s="96" t="e">
        <f>#REF!</f>
        <v>#REF!</v>
      </c>
      <c r="DJ19" s="95">
        <f t="shared" si="59"/>
        <v>-0.33494937313870221</v>
      </c>
      <c r="DK19" s="96" t="e">
        <f>#REF!</f>
        <v>#REF!</v>
      </c>
      <c r="DL19" s="95">
        <f t="shared" si="60"/>
        <v>0.86046475534758682</v>
      </c>
      <c r="DM19" s="96">
        <f t="shared" si="13"/>
        <v>0</v>
      </c>
      <c r="DN19" s="94">
        <f t="shared" si="14"/>
        <v>2.3913808688866216</v>
      </c>
      <c r="DO19" s="100">
        <v>3.4</v>
      </c>
      <c r="DP19" s="94">
        <f>IF($O19&lt;&gt;0,IF($O19&lt;&gt;0,BL19/$O19*10,0)," ")</f>
        <v>2.9168962510955065</v>
      </c>
      <c r="DQ19" s="94">
        <f t="shared" si="73"/>
        <v>3.2360132370930081</v>
      </c>
      <c r="DR19" s="101">
        <f t="shared" si="15"/>
        <v>0</v>
      </c>
      <c r="DS19" s="147"/>
      <c r="DT19" s="103">
        <v>14</v>
      </c>
      <c r="DU19" s="361">
        <v>630786</v>
      </c>
      <c r="DV19" s="361">
        <v>28517</v>
      </c>
      <c r="DW19" s="361">
        <v>5143551</v>
      </c>
      <c r="DX19" s="360">
        <v>121134</v>
      </c>
      <c r="DY19" s="361">
        <v>85971.7</v>
      </c>
      <c r="DZ19" s="361">
        <v>400692</v>
      </c>
      <c r="EA19" s="361">
        <v>236574</v>
      </c>
      <c r="EB19" s="303">
        <v>55111.199999999997</v>
      </c>
      <c r="EC19" s="361">
        <v>415168</v>
      </c>
      <c r="ED19" s="361">
        <v>47850.1</v>
      </c>
      <c r="EE19" s="405">
        <v>39988.300000000003</v>
      </c>
      <c r="EF19" s="405">
        <v>42838.2</v>
      </c>
      <c r="EG19" s="361">
        <v>93554.4</v>
      </c>
      <c r="EH19" s="361">
        <v>184434</v>
      </c>
      <c r="EI19" s="361">
        <v>33022</v>
      </c>
      <c r="EJ19" s="303">
        <v>41775</v>
      </c>
      <c r="EK19" s="303"/>
      <c r="EL19" s="361">
        <v>710724.7</v>
      </c>
      <c r="EM19" s="303">
        <v>608</v>
      </c>
      <c r="EN19" s="303">
        <v>45972.3</v>
      </c>
      <c r="EO19" s="361">
        <v>3072358.2</v>
      </c>
      <c r="EP19" s="303">
        <v>2787488</v>
      </c>
      <c r="EQ19" s="303">
        <v>0</v>
      </c>
      <c r="ER19" s="303">
        <v>1173</v>
      </c>
      <c r="ES19" s="303">
        <v>381191</v>
      </c>
      <c r="ET19" s="303">
        <v>3750796</v>
      </c>
      <c r="EU19" s="303">
        <v>436025</v>
      </c>
      <c r="EV19" s="303">
        <v>147830</v>
      </c>
      <c r="EW19" s="303">
        <v>122915</v>
      </c>
      <c r="EX19" s="303">
        <v>214265.8</v>
      </c>
      <c r="EY19" s="303">
        <v>1679481.4</v>
      </c>
      <c r="EZ19" s="303">
        <v>795781.9</v>
      </c>
      <c r="FA19" s="383">
        <v>755145</v>
      </c>
      <c r="FB19" s="303">
        <v>30695.1</v>
      </c>
      <c r="FC19" s="303">
        <v>5961</v>
      </c>
      <c r="FD19" s="104">
        <f t="shared" si="16"/>
        <v>4647</v>
      </c>
      <c r="FE19" s="105">
        <f t="shared" si="75"/>
        <v>0</v>
      </c>
      <c r="FF19" s="105">
        <f t="shared" si="75"/>
        <v>675</v>
      </c>
      <c r="FG19" s="105">
        <f t="shared" si="75"/>
        <v>135</v>
      </c>
      <c r="FH19" s="105">
        <f t="shared" si="75"/>
        <v>1600</v>
      </c>
      <c r="FI19" s="105">
        <f t="shared" si="75"/>
        <v>493</v>
      </c>
      <c r="FJ19" s="105">
        <f t="shared" si="75"/>
        <v>782</v>
      </c>
      <c r="FK19" s="105">
        <f t="shared" ref="FK19:FM20" si="77">FK52</f>
        <v>680</v>
      </c>
      <c r="FL19" s="105">
        <f t="shared" si="77"/>
        <v>0</v>
      </c>
      <c r="FM19" s="105">
        <f t="shared" si="77"/>
        <v>282</v>
      </c>
      <c r="FN19" s="80">
        <v>700</v>
      </c>
      <c r="FO19" s="388"/>
      <c r="FP19" s="358"/>
      <c r="FY19" s="119">
        <v>14</v>
      </c>
      <c r="FZ19" s="107"/>
      <c r="GA19" s="107"/>
      <c r="GB19" s="107"/>
      <c r="GC19" s="109"/>
      <c r="GD19" s="110"/>
      <c r="GE19" s="110"/>
      <c r="GF19" s="111"/>
      <c r="GG19" s="111"/>
      <c r="GH19" s="111"/>
      <c r="GI19" s="112"/>
      <c r="GJ19" s="111" t="e">
        <f t="shared" si="61"/>
        <v>#DIV/0!</v>
      </c>
      <c r="GK19" s="113"/>
    </row>
    <row r="20" spans="1:193" s="119" customFormat="1" ht="15" customHeight="1">
      <c r="B20" s="351">
        <v>42962</v>
      </c>
      <c r="D20" s="159">
        <v>3876</v>
      </c>
      <c r="E20" s="128">
        <v>5222.04</v>
      </c>
      <c r="F20" s="86">
        <v>875.30399999999997</v>
      </c>
      <c r="G20" s="86">
        <v>2973.7779999999998</v>
      </c>
      <c r="H20" s="86">
        <v>8789.74</v>
      </c>
      <c r="I20" s="86">
        <v>1399.106</v>
      </c>
      <c r="J20" s="86">
        <v>6052.2</v>
      </c>
      <c r="K20" s="86"/>
      <c r="L20" s="86"/>
      <c r="M20" s="115">
        <f t="shared" si="62"/>
        <v>7451.3059999999996</v>
      </c>
      <c r="N20" s="88">
        <f t="shared" si="18"/>
        <v>21736.862000000001</v>
      </c>
      <c r="O20" s="88">
        <f>N20+L20+((J20+I20)*0.5)</f>
        <v>25462.514999999999</v>
      </c>
      <c r="P20" s="89">
        <f t="shared" si="20"/>
        <v>292074.527</v>
      </c>
      <c r="R20" s="170">
        <f t="shared" si="21"/>
        <v>232</v>
      </c>
      <c r="S20" s="170">
        <f t="shared" si="22"/>
        <v>0</v>
      </c>
      <c r="T20" s="170">
        <f t="shared" si="1"/>
        <v>60.8</v>
      </c>
      <c r="U20" s="91">
        <f t="shared" si="74"/>
        <v>4.7199999999997093</v>
      </c>
      <c r="V20" s="170">
        <f t="shared" si="23"/>
        <v>1702.1999999997206</v>
      </c>
      <c r="W20" s="91">
        <f t="shared" si="2"/>
        <v>150.5</v>
      </c>
      <c r="X20" s="170">
        <f t="shared" si="24"/>
        <v>1702.1999999997206</v>
      </c>
      <c r="Y20" s="170">
        <f t="shared" si="25"/>
        <v>116.3</v>
      </c>
      <c r="Z20" s="170">
        <f t="shared" si="3"/>
        <v>181</v>
      </c>
      <c r="AA20" s="170">
        <f t="shared" si="26"/>
        <v>1999.7199999997204</v>
      </c>
      <c r="AB20" s="170">
        <f t="shared" si="27"/>
        <v>165</v>
      </c>
      <c r="AC20" s="170">
        <f t="shared" si="27"/>
        <v>25</v>
      </c>
      <c r="AD20" s="170">
        <f t="shared" si="28"/>
        <v>364</v>
      </c>
      <c r="AE20" s="170">
        <f t="shared" si="29"/>
        <v>174</v>
      </c>
      <c r="AF20" s="170">
        <f t="shared" si="30"/>
        <v>204</v>
      </c>
      <c r="AG20" s="170">
        <f t="shared" si="30"/>
        <v>31.5</v>
      </c>
      <c r="AH20" s="170">
        <f t="shared" si="31"/>
        <v>317</v>
      </c>
      <c r="AI20" s="170">
        <f t="shared" si="32"/>
        <v>81.5</v>
      </c>
      <c r="AJ20" s="170">
        <f t="shared" si="33"/>
        <v>72</v>
      </c>
      <c r="AK20" s="170">
        <f t="shared" si="33"/>
        <v>67.700000000004366</v>
      </c>
      <c r="AL20" s="170">
        <f t="shared" si="34"/>
        <v>262</v>
      </c>
      <c r="AM20" s="170">
        <f t="shared" si="35"/>
        <v>122.29999999999563</v>
      </c>
      <c r="AN20" s="170">
        <f t="shared" si="36"/>
        <v>65.099999999998545</v>
      </c>
      <c r="AO20" s="170">
        <f t="shared" si="4"/>
        <v>81</v>
      </c>
      <c r="AP20" s="170">
        <f t="shared" si="37"/>
        <v>22.5</v>
      </c>
      <c r="AQ20" s="170">
        <f t="shared" si="5"/>
        <v>34.399999999994179</v>
      </c>
      <c r="AR20" s="170">
        <f t="shared" si="38"/>
        <v>72.614000000000004</v>
      </c>
      <c r="AS20" s="170">
        <f t="shared" si="39"/>
        <v>203.61400000000003</v>
      </c>
      <c r="AT20" s="170">
        <f t="shared" si="40"/>
        <v>952.61400000000003</v>
      </c>
      <c r="AU20" s="170">
        <f t="shared" si="63"/>
        <v>256</v>
      </c>
      <c r="AV20" s="170">
        <f t="shared" si="64"/>
        <v>17</v>
      </c>
      <c r="AW20" s="170">
        <f t="shared" si="65"/>
        <v>493</v>
      </c>
      <c r="AX20" s="170">
        <f t="shared" si="66"/>
        <v>20</v>
      </c>
      <c r="AY20" s="170" t="str">
        <f t="shared" si="66"/>
        <v/>
      </c>
      <c r="AZ20" s="170">
        <f t="shared" si="41"/>
        <v>380</v>
      </c>
      <c r="BA20" s="170">
        <v>26</v>
      </c>
      <c r="BB20" s="170">
        <f t="shared" si="42"/>
        <v>113.30000000001746</v>
      </c>
      <c r="BC20" s="170">
        <f t="shared" si="42"/>
        <v>982.9000000001397</v>
      </c>
      <c r="BD20" s="91">
        <f t="shared" si="43"/>
        <v>26</v>
      </c>
      <c r="BE20" s="90"/>
      <c r="BF20" s="90"/>
      <c r="BG20" s="90">
        <f t="shared" si="44"/>
        <v>1502.2000000001572</v>
      </c>
      <c r="BH20" s="90">
        <f t="shared" si="45"/>
        <v>-434</v>
      </c>
      <c r="BI20" s="90">
        <f t="shared" si="6"/>
        <v>1343.066000000128</v>
      </c>
      <c r="BJ20" s="90">
        <f t="shared" si="46"/>
        <v>5549.933999999872</v>
      </c>
      <c r="BK20" s="92"/>
      <c r="BL20" s="93">
        <f t="shared" si="67"/>
        <v>6459</v>
      </c>
      <c r="BM20" s="93">
        <f t="shared" si="47"/>
        <v>92735</v>
      </c>
      <c r="BN20" s="92"/>
      <c r="BO20" s="94">
        <f t="shared" si="48"/>
        <v>0.10673113718070253</v>
      </c>
      <c r="BP20" s="94">
        <f t="shared" si="48"/>
        <v>0</v>
      </c>
      <c r="BQ20" s="94">
        <f t="shared" si="49"/>
        <v>2.7970918709425488E-2</v>
      </c>
      <c r="BR20" s="94">
        <f t="shared" si="68"/>
        <v>0.78309371426276742</v>
      </c>
      <c r="BS20" s="94">
        <f t="shared" si="7"/>
        <v>5.3503582991878032E-2</v>
      </c>
      <c r="BT20" s="94">
        <f t="shared" si="7"/>
        <v>8.3268688921151537E-2</v>
      </c>
      <c r="BU20" s="95">
        <f t="shared" si="7"/>
        <v>0.91996719673691651</v>
      </c>
      <c r="BV20" s="94">
        <f t="shared" si="8"/>
        <v>9.1114330222289514E-2</v>
      </c>
      <c r="BW20" s="94">
        <f t="shared" si="8"/>
        <v>0</v>
      </c>
      <c r="BX20" s="94">
        <f t="shared" si="8"/>
        <v>2.3878238265151733E-2</v>
      </c>
      <c r="BY20" s="94">
        <f t="shared" si="50"/>
        <v>0.66851212458774023</v>
      </c>
      <c r="BZ20" s="95">
        <f t="shared" si="9"/>
        <v>0.78535839841418664</v>
      </c>
      <c r="CA20" s="96" t="e">
        <f>#REF!</f>
        <v>#REF!</v>
      </c>
      <c r="CB20" s="94">
        <f t="shared" si="51"/>
        <v>2.8517999891212634E-2</v>
      </c>
      <c r="CC20" s="95">
        <f t="shared" si="51"/>
        <v>7.9966177732246818E-2</v>
      </c>
      <c r="CD20" s="97">
        <f t="shared" si="10"/>
        <v>9.7451372953949303E-2</v>
      </c>
      <c r="CE20" s="98">
        <f t="shared" si="10"/>
        <v>0.27325947961337255</v>
      </c>
      <c r="CF20" s="97">
        <f t="shared" si="52"/>
        <v>0.42569659442724456</v>
      </c>
      <c r="CG20" s="94">
        <f t="shared" si="52"/>
        <v>6.4499484004127958E-2</v>
      </c>
      <c r="CH20" s="95">
        <f t="shared" si="53"/>
        <v>0.9391124871001032</v>
      </c>
      <c r="CI20" s="96" t="e">
        <f>#REF!</f>
        <v>#REF!</v>
      </c>
      <c r="CJ20" s="94">
        <f t="shared" si="54"/>
        <v>0.39065192913114416</v>
      </c>
      <c r="CK20" s="94">
        <f t="shared" si="54"/>
        <v>6.0321253762897264E-2</v>
      </c>
      <c r="CL20" s="95">
        <f t="shared" si="69"/>
        <v>0.60704245850280736</v>
      </c>
      <c r="CM20" s="95" t="e">
        <f>#REF!</f>
        <v>#REF!</v>
      </c>
      <c r="CN20" s="94">
        <f t="shared" si="55"/>
        <v>0.82257135806531223</v>
      </c>
      <c r="CO20" s="94">
        <f t="shared" si="55"/>
        <v>0.77344556862535041</v>
      </c>
      <c r="CP20" s="95">
        <f t="shared" si="56"/>
        <v>2.9932457751821087</v>
      </c>
      <c r="CQ20" s="95" t="e">
        <f>#REF!</f>
        <v>#REF!</v>
      </c>
      <c r="CR20" s="97">
        <f t="shared" si="70"/>
        <v>0.21891344949084482</v>
      </c>
      <c r="CS20" s="95">
        <f t="shared" si="70"/>
        <v>0.2723807896890757</v>
      </c>
      <c r="CT20" s="96" t="e">
        <f>#REF!</f>
        <v>#REF!</v>
      </c>
      <c r="CU20" s="97">
        <f t="shared" si="71"/>
        <v>2.5598026790325995E-2</v>
      </c>
      <c r="CV20" s="95">
        <f t="shared" si="57"/>
        <v>3.9136538737202901E-2</v>
      </c>
      <c r="CW20" s="96" t="e">
        <f>#REF!</f>
        <v>#REF!</v>
      </c>
      <c r="CX20" s="97">
        <f t="shared" si="58"/>
        <v>0.10053995059011257</v>
      </c>
      <c r="CY20" s="98">
        <f t="shared" si="58"/>
        <v>6.676481093874663E-3</v>
      </c>
      <c r="CZ20" s="97">
        <f t="shared" si="58"/>
        <v>0.19361795172236521</v>
      </c>
      <c r="DA20" s="98">
        <f t="shared" si="58"/>
        <v>7.8546836398525437E-3</v>
      </c>
      <c r="DB20" s="94">
        <f t="shared" si="11"/>
        <v>0.14923898915719835</v>
      </c>
      <c r="DC20" s="94">
        <f t="shared" si="12"/>
        <v>4.449678281977152E-2</v>
      </c>
      <c r="DD20" s="94">
        <f t="shared" si="12"/>
        <v>0.38601842748060811</v>
      </c>
      <c r="DE20" s="94">
        <f t="shared" si="12"/>
        <v>1.0211088731808309E-2</v>
      </c>
      <c r="DF20" s="94">
        <f t="shared" si="12"/>
        <v>0</v>
      </c>
      <c r="DG20" s="94">
        <f t="shared" si="12"/>
        <v>0</v>
      </c>
      <c r="DH20" s="95">
        <f t="shared" si="12"/>
        <v>0.58996528818938632</v>
      </c>
      <c r="DI20" s="96" t="e">
        <f>#REF!</f>
        <v>#REF!</v>
      </c>
      <c r="DJ20" s="95">
        <f t="shared" si="59"/>
        <v>-0.1704466349848002</v>
      </c>
      <c r="DK20" s="96" t="e">
        <f>#REF!</f>
        <v>#REF!</v>
      </c>
      <c r="DL20" s="95">
        <f t="shared" si="60"/>
        <v>0.52746792687216015</v>
      </c>
      <c r="DM20" s="96">
        <f t="shared" si="13"/>
        <v>0</v>
      </c>
      <c r="DN20" s="94">
        <f t="shared" si="14"/>
        <v>2.1796487896030192</v>
      </c>
      <c r="DO20" s="100">
        <v>3.4</v>
      </c>
      <c r="DP20" s="94">
        <f>IF($O20&lt;&gt;0,IF($O20&lt;&gt;0,BL20/$O20*10,0)," ")</f>
        <v>2.5366700814903793</v>
      </c>
      <c r="DQ20" s="94">
        <f>IF($P20&lt;&gt;0,IF($P20&lt;&gt;0,BM20/$P20*10,0)," ")</f>
        <v>3.1750457991839869</v>
      </c>
      <c r="DR20" s="101">
        <f t="shared" si="15"/>
        <v>0</v>
      </c>
      <c r="DS20" s="147"/>
      <c r="DT20" s="103">
        <v>15</v>
      </c>
      <c r="DU20" s="330">
        <v>630951</v>
      </c>
      <c r="DV20" s="330">
        <v>28542</v>
      </c>
      <c r="DW20" s="330">
        <v>5143915</v>
      </c>
      <c r="DX20" s="330">
        <v>121338</v>
      </c>
      <c r="DY20" s="330">
        <v>86003.199999999997</v>
      </c>
      <c r="DZ20" s="330">
        <v>401009</v>
      </c>
      <c r="EA20" s="330">
        <v>236646</v>
      </c>
      <c r="EB20" s="330">
        <v>55178.9</v>
      </c>
      <c r="EC20" s="330">
        <v>415430</v>
      </c>
      <c r="ED20" s="330">
        <v>47915.199999999997</v>
      </c>
      <c r="EE20" s="330">
        <v>40007.800000000003</v>
      </c>
      <c r="EF20" s="330">
        <v>42899.7</v>
      </c>
      <c r="EG20" s="330">
        <v>93576.9</v>
      </c>
      <c r="EH20" s="330">
        <v>184468.4</v>
      </c>
      <c r="EI20" s="330">
        <v>33039</v>
      </c>
      <c r="EJ20" s="330">
        <v>41795</v>
      </c>
      <c r="EK20" s="330"/>
      <c r="EL20" s="330">
        <v>710956.7</v>
      </c>
      <c r="EM20" s="330">
        <v>608</v>
      </c>
      <c r="EN20" s="105">
        <v>46019.5</v>
      </c>
      <c r="EO20" s="330">
        <v>3074060.4</v>
      </c>
      <c r="EP20" s="330">
        <v>2788993</v>
      </c>
      <c r="EQ20" s="330">
        <v>1163</v>
      </c>
      <c r="ER20" s="330">
        <v>1810</v>
      </c>
      <c r="ES20" s="330">
        <v>382071</v>
      </c>
      <c r="ET20" s="330">
        <v>3823410</v>
      </c>
      <c r="EU20" s="330">
        <v>436518</v>
      </c>
      <c r="EV20" s="330">
        <v>148086</v>
      </c>
      <c r="EW20" s="330">
        <v>123295</v>
      </c>
      <c r="EX20" s="330">
        <v>214379.1</v>
      </c>
      <c r="EY20" s="330">
        <v>1680464.3</v>
      </c>
      <c r="EZ20" s="330">
        <v>795781.9</v>
      </c>
      <c r="FA20" s="387">
        <v>755171</v>
      </c>
      <c r="FB20" s="104">
        <v>30777.8</v>
      </c>
      <c r="FC20" s="104">
        <v>6893</v>
      </c>
      <c r="FD20" s="104">
        <f t="shared" si="16"/>
        <v>5759</v>
      </c>
      <c r="FE20" s="105">
        <f t="shared" si="75"/>
        <v>0</v>
      </c>
      <c r="FF20" s="105">
        <f t="shared" si="75"/>
        <v>714</v>
      </c>
      <c r="FG20" s="105">
        <f t="shared" si="75"/>
        <v>774</v>
      </c>
      <c r="FH20" s="105">
        <f t="shared" si="75"/>
        <v>1600</v>
      </c>
      <c r="FI20" s="105">
        <f t="shared" si="75"/>
        <v>435</v>
      </c>
      <c r="FJ20" s="105">
        <f t="shared" si="75"/>
        <v>890</v>
      </c>
      <c r="FK20" s="105">
        <f t="shared" si="77"/>
        <v>1072</v>
      </c>
      <c r="FL20" s="105">
        <f t="shared" si="77"/>
        <v>0</v>
      </c>
      <c r="FM20" s="105">
        <f t="shared" si="77"/>
        <v>274</v>
      </c>
      <c r="FN20" s="80">
        <v>700</v>
      </c>
      <c r="FO20" s="389"/>
      <c r="FP20" s="158"/>
      <c r="FY20" s="119">
        <v>15</v>
      </c>
      <c r="FZ20" s="107"/>
      <c r="GA20" s="107"/>
      <c r="GB20" s="107"/>
      <c r="GC20" s="109"/>
      <c r="GD20" s="110"/>
      <c r="GE20" s="110"/>
      <c r="GF20" s="111"/>
      <c r="GG20" s="111"/>
      <c r="GH20" s="111"/>
      <c r="GI20" s="112"/>
      <c r="GJ20" s="111" t="e">
        <f t="shared" si="61"/>
        <v>#DIV/0!</v>
      </c>
      <c r="GK20" s="113"/>
    </row>
    <row r="21" spans="1:193" s="119" customFormat="1" ht="15" customHeight="1">
      <c r="B21" s="351">
        <v>42963</v>
      </c>
      <c r="D21" s="159">
        <v>4536.6000000000004</v>
      </c>
      <c r="E21" s="128">
        <v>1580.16</v>
      </c>
      <c r="F21" s="86">
        <v>2996.3519999999999</v>
      </c>
      <c r="G21" s="86">
        <v>3116.4030000000002</v>
      </c>
      <c r="H21" s="86">
        <v>5635.8140000000003</v>
      </c>
      <c r="I21" s="86">
        <v>2020.9749999999999</v>
      </c>
      <c r="J21" s="86">
        <v>6393.1559999999999</v>
      </c>
      <c r="K21" s="86">
        <v>0</v>
      </c>
      <c r="L21" s="86">
        <v>406.72</v>
      </c>
      <c r="M21" s="115">
        <f t="shared" si="62"/>
        <v>8414.1309999999994</v>
      </c>
      <c r="N21" s="88">
        <f t="shared" si="18"/>
        <v>17865.329000000002</v>
      </c>
      <c r="O21" s="88">
        <f>N21+L21+((J21+I21)*0.5)</f>
        <v>22479.114500000003</v>
      </c>
      <c r="P21" s="89">
        <f t="shared" si="20"/>
        <v>314553.64150000003</v>
      </c>
      <c r="R21" s="170">
        <f t="shared" si="21"/>
        <v>96.700000000069849</v>
      </c>
      <c r="S21" s="170">
        <f t="shared" si="22"/>
        <v>21.579999999993014</v>
      </c>
      <c r="T21" s="170">
        <f t="shared" si="1"/>
        <v>726.4</v>
      </c>
      <c r="U21" s="91">
        <f t="shared" si="74"/>
        <v>2.819999999999709</v>
      </c>
      <c r="V21" s="170">
        <f t="shared" si="23"/>
        <v>1448.3000000002794</v>
      </c>
      <c r="W21" s="91">
        <f t="shared" si="2"/>
        <v>128.9</v>
      </c>
      <c r="X21" s="170">
        <f t="shared" si="24"/>
        <v>1448.3000000002794</v>
      </c>
      <c r="Y21" s="170" t="str">
        <f t="shared" si="25"/>
        <v>0</v>
      </c>
      <c r="Z21" s="170">
        <f t="shared" si="3"/>
        <v>142</v>
      </c>
      <c r="AA21" s="170">
        <f t="shared" si="26"/>
        <v>2295.8000000003422</v>
      </c>
      <c r="AB21" s="170">
        <f t="shared" si="27"/>
        <v>185</v>
      </c>
      <c r="AC21" s="170">
        <f t="shared" si="27"/>
        <v>27</v>
      </c>
      <c r="AD21" s="170">
        <f t="shared" si="28"/>
        <v>396</v>
      </c>
      <c r="AE21" s="170">
        <f t="shared" si="29"/>
        <v>184</v>
      </c>
      <c r="AF21" s="170">
        <f t="shared" si="30"/>
        <v>0</v>
      </c>
      <c r="AG21" s="170">
        <f t="shared" si="30"/>
        <v>11</v>
      </c>
      <c r="AH21" s="170">
        <f t="shared" si="31"/>
        <v>178</v>
      </c>
      <c r="AI21" s="170">
        <f t="shared" si="32"/>
        <v>167</v>
      </c>
      <c r="AJ21" s="170">
        <f t="shared" si="33"/>
        <v>113</v>
      </c>
      <c r="AK21" s="170">
        <f t="shared" si="33"/>
        <v>10.19999999999709</v>
      </c>
      <c r="AL21" s="170">
        <f t="shared" si="34"/>
        <v>265</v>
      </c>
      <c r="AM21" s="170">
        <f t="shared" si="35"/>
        <v>141.80000000000291</v>
      </c>
      <c r="AN21" s="170">
        <f t="shared" si="36"/>
        <v>0.10000000000582077</v>
      </c>
      <c r="AO21" s="170">
        <f t="shared" si="4"/>
        <v>59.299999999995634</v>
      </c>
      <c r="AP21" s="170">
        <f t="shared" si="37"/>
        <v>32.700000000011642</v>
      </c>
      <c r="AQ21" s="170">
        <f t="shared" si="5"/>
        <v>393.70000000001164</v>
      </c>
      <c r="AR21" s="170">
        <f t="shared" si="38"/>
        <v>71.968000000000004</v>
      </c>
      <c r="AS21" s="170">
        <f t="shared" si="39"/>
        <v>149.96800000000007</v>
      </c>
      <c r="AT21" s="170">
        <f t="shared" si="40"/>
        <v>1041.9680000000001</v>
      </c>
      <c r="AU21" s="170">
        <f t="shared" si="63"/>
        <v>263</v>
      </c>
      <c r="AV21" s="170">
        <f t="shared" si="64"/>
        <v>21</v>
      </c>
      <c r="AW21" s="170">
        <f t="shared" si="65"/>
        <v>629</v>
      </c>
      <c r="AX21" s="170">
        <f t="shared" si="66"/>
        <v>6</v>
      </c>
      <c r="AY21" s="170" t="str">
        <f t="shared" si="66"/>
        <v/>
      </c>
      <c r="AZ21" s="170">
        <f t="shared" si="41"/>
        <v>311</v>
      </c>
      <c r="BA21" s="170">
        <v>125</v>
      </c>
      <c r="BB21" s="170">
        <f t="shared" si="42"/>
        <v>114.79999999998836</v>
      </c>
      <c r="BC21" s="170">
        <f t="shared" si="42"/>
        <v>405.19999999995343</v>
      </c>
      <c r="BD21" s="91">
        <f t="shared" si="43"/>
        <v>22</v>
      </c>
      <c r="BE21" s="90"/>
      <c r="BF21" s="90"/>
      <c r="BG21" s="90">
        <f t="shared" si="44"/>
        <v>852.99999999994179</v>
      </c>
      <c r="BH21" s="90">
        <f t="shared" si="45"/>
        <v>-659.10000000000036</v>
      </c>
      <c r="BI21" s="90">
        <f t="shared" si="6"/>
        <v>1231.2319999997089</v>
      </c>
      <c r="BJ21" s="90">
        <f t="shared" si="46"/>
        <v>5509.7680000002911</v>
      </c>
      <c r="BK21" s="92"/>
      <c r="BL21" s="331">
        <f>FD21+FN21</f>
        <v>6081.9</v>
      </c>
      <c r="BM21" s="93">
        <f t="shared" si="47"/>
        <v>98816.9</v>
      </c>
      <c r="BN21" s="92"/>
      <c r="BO21" s="94">
        <f t="shared" si="48"/>
        <v>5.4127186798558172E-2</v>
      </c>
      <c r="BP21" s="94">
        <f t="shared" si="48"/>
        <v>1.2079262576128888E-2</v>
      </c>
      <c r="BQ21" s="94">
        <f t="shared" si="49"/>
        <v>0.40659760589911326</v>
      </c>
      <c r="BR21" s="94">
        <f t="shared" si="68"/>
        <v>0.81067636649752117</v>
      </c>
      <c r="BS21" s="94">
        <f t="shared" si="7"/>
        <v>0</v>
      </c>
      <c r="BT21" s="94">
        <f t="shared" si="7"/>
        <v>7.9483562827194501E-2</v>
      </c>
      <c r="BU21" s="95">
        <f t="shared" si="7"/>
        <v>1.2850588981598614</v>
      </c>
      <c r="BV21" s="94">
        <f t="shared" si="8"/>
        <v>4.301770872694733E-2</v>
      </c>
      <c r="BW21" s="94">
        <f t="shared" si="8"/>
        <v>9.6000222784545231E-3</v>
      </c>
      <c r="BX21" s="94">
        <f t="shared" si="8"/>
        <v>0.32314440143983425</v>
      </c>
      <c r="BY21" s="94">
        <f t="shared" si="50"/>
        <v>0.64428694466602721</v>
      </c>
      <c r="BZ21" s="95">
        <f t="shared" si="9"/>
        <v>1.0213035749252231</v>
      </c>
      <c r="CA21" s="96" t="e">
        <f>#REF!</f>
        <v>#REF!</v>
      </c>
      <c r="CB21" s="94">
        <f t="shared" si="51"/>
        <v>3.2015495984061115E-2</v>
      </c>
      <c r="CC21" s="95">
        <f t="shared" si="51"/>
        <v>6.6714371689329685E-2</v>
      </c>
      <c r="CD21" s="97">
        <f t="shared" si="10"/>
        <v>8.5532302741661626E-2</v>
      </c>
      <c r="CE21" s="98">
        <f t="shared" si="10"/>
        <v>0.17823349790964757</v>
      </c>
      <c r="CF21" s="97">
        <f t="shared" si="52"/>
        <v>0.40779438345897806</v>
      </c>
      <c r="CG21" s="94">
        <f t="shared" si="52"/>
        <v>5.951593704536437E-2</v>
      </c>
      <c r="CH21" s="95">
        <f t="shared" si="53"/>
        <v>0.87290040999867724</v>
      </c>
      <c r="CI21" s="96" t="e">
        <f>#REF!</f>
        <v>#REF!</v>
      </c>
      <c r="CJ21" s="94">
        <f t="shared" si="54"/>
        <v>0</v>
      </c>
      <c r="CK21" s="94">
        <f t="shared" si="54"/>
        <v>6.9613203726204942E-2</v>
      </c>
      <c r="CL21" s="95">
        <f t="shared" si="69"/>
        <v>1.1264682057513162</v>
      </c>
      <c r="CM21" s="95" t="e">
        <f>#REF!</f>
        <v>#REF!</v>
      </c>
      <c r="CN21" s="94">
        <f t="shared" si="55"/>
        <v>0.37712525097184846</v>
      </c>
      <c r="CO21" s="94">
        <f t="shared" si="55"/>
        <v>3.4041394335502267E-2</v>
      </c>
      <c r="CP21" s="95">
        <f t="shared" si="56"/>
        <v>0.88440877440300736</v>
      </c>
      <c r="CQ21" s="95" t="e">
        <f>#REF!</f>
        <v>#REF!</v>
      </c>
      <c r="CR21" s="97">
        <f t="shared" si="70"/>
        <v>3.208827613303567E-4</v>
      </c>
      <c r="CS21" s="95">
        <f t="shared" si="70"/>
        <v>0.19028347745781157</v>
      </c>
      <c r="CT21" s="96" t="e">
        <f>#REF!</f>
        <v>#REF!</v>
      </c>
      <c r="CU21" s="97">
        <f t="shared" si="71"/>
        <v>5.8021787092355497E-2</v>
      </c>
      <c r="CV21" s="95">
        <f t="shared" si="57"/>
        <v>0.69856812165911009</v>
      </c>
      <c r="CW21" s="96" t="e">
        <f>#REF!</f>
        <v>#REF!</v>
      </c>
      <c r="CX21" s="97">
        <f t="shared" si="58"/>
        <v>0.11699749116007215</v>
      </c>
      <c r="CY21" s="98">
        <f t="shared" si="58"/>
        <v>9.3420049975723018E-3</v>
      </c>
      <c r="CZ21" s="97">
        <f t="shared" si="58"/>
        <v>0.27981529254633225</v>
      </c>
      <c r="DA21" s="98">
        <f t="shared" si="58"/>
        <v>2.6691442850206573E-3</v>
      </c>
      <c r="DB21" s="94">
        <f t="shared" si="11"/>
        <v>0.1383506454402374</v>
      </c>
      <c r="DC21" s="94">
        <f t="shared" si="12"/>
        <v>5.1069627320056737E-2</v>
      </c>
      <c r="DD21" s="94">
        <f t="shared" si="12"/>
        <v>0.180256210715041</v>
      </c>
      <c r="DE21" s="94">
        <f t="shared" si="12"/>
        <v>9.786862378409077E-3</v>
      </c>
      <c r="DF21" s="94">
        <f t="shared" si="12"/>
        <v>0</v>
      </c>
      <c r="DG21" s="94">
        <f t="shared" si="12"/>
        <v>0</v>
      </c>
      <c r="DH21" s="95">
        <f t="shared" si="12"/>
        <v>0.37946334585374419</v>
      </c>
      <c r="DI21" s="96" t="e">
        <f>#REF!</f>
        <v>#REF!</v>
      </c>
      <c r="DJ21" s="95">
        <f t="shared" si="59"/>
        <v>-0.29320549970951937</v>
      </c>
      <c r="DK21" s="96" t="e">
        <f>#REF!</f>
        <v>#REF!</v>
      </c>
      <c r="DL21" s="95">
        <f t="shared" si="60"/>
        <v>0.54772264272229609</v>
      </c>
      <c r="DM21" s="96">
        <f t="shared" si="13"/>
        <v>0</v>
      </c>
      <c r="DN21" s="94">
        <f t="shared" si="14"/>
        <v>2.4510609614984125</v>
      </c>
      <c r="DO21" s="100">
        <v>3.4</v>
      </c>
      <c r="DP21" s="94">
        <f t="shared" si="72"/>
        <v>2.7055781045111891</v>
      </c>
      <c r="DQ21" s="94">
        <f t="shared" si="73"/>
        <v>3.1414959791524137</v>
      </c>
      <c r="DR21" s="101">
        <f t="shared" si="15"/>
        <v>0</v>
      </c>
      <c r="DS21" s="147"/>
      <c r="DT21" s="103">
        <v>16</v>
      </c>
      <c r="DU21" s="361">
        <v>631136</v>
      </c>
      <c r="DV21" s="361">
        <v>28569</v>
      </c>
      <c r="DW21" s="330">
        <v>5144311</v>
      </c>
      <c r="DX21" s="330">
        <v>121338</v>
      </c>
      <c r="DY21" s="361">
        <v>86014.2</v>
      </c>
      <c r="DZ21" s="362">
        <v>401187</v>
      </c>
      <c r="EA21" s="361">
        <v>236759</v>
      </c>
      <c r="EB21" s="303">
        <v>55189.1</v>
      </c>
      <c r="EC21" s="362">
        <v>415695</v>
      </c>
      <c r="ED21" s="362">
        <v>47915.3</v>
      </c>
      <c r="EE21" s="303">
        <v>40057.699999999997</v>
      </c>
      <c r="EF21" s="303">
        <v>42909.1</v>
      </c>
      <c r="EG21" s="362">
        <v>93609.600000000006</v>
      </c>
      <c r="EH21" s="362">
        <v>184862.1</v>
      </c>
      <c r="EI21" s="362">
        <v>33060</v>
      </c>
      <c r="EJ21" s="303">
        <v>41801</v>
      </c>
      <c r="EK21" s="303"/>
      <c r="EL21" s="362">
        <v>711053.4</v>
      </c>
      <c r="EM21" s="390">
        <v>7264</v>
      </c>
      <c r="EN21" s="390">
        <v>46047.7</v>
      </c>
      <c r="EO21" s="362">
        <v>3075508.7</v>
      </c>
      <c r="EP21" s="303">
        <v>2790282</v>
      </c>
      <c r="EQ21" s="303">
        <v>0</v>
      </c>
      <c r="ER21" s="303">
        <v>1420</v>
      </c>
      <c r="ES21" s="303">
        <v>383041</v>
      </c>
      <c r="ET21" s="303">
        <v>3895378</v>
      </c>
      <c r="EU21" s="303">
        <v>437147</v>
      </c>
      <c r="EV21" s="303">
        <v>148349</v>
      </c>
      <c r="EW21" s="303">
        <v>123606</v>
      </c>
      <c r="EX21" s="303">
        <v>214493.9</v>
      </c>
      <c r="EY21" s="303">
        <v>1680869.5</v>
      </c>
      <c r="EZ21" s="381">
        <v>795997.7</v>
      </c>
      <c r="FA21" s="512">
        <v>755193</v>
      </c>
      <c r="FB21" s="303">
        <v>30853.7</v>
      </c>
      <c r="FC21" s="303">
        <v>6741</v>
      </c>
      <c r="FD21" s="104">
        <f>SUM(FE21:FM21)</f>
        <v>5280.9</v>
      </c>
      <c r="FE21" s="105">
        <v>0</v>
      </c>
      <c r="FF21" s="105">
        <v>155</v>
      </c>
      <c r="FG21" s="105">
        <v>1012</v>
      </c>
      <c r="FH21" s="105">
        <v>1428</v>
      </c>
      <c r="FI21" s="105">
        <v>687</v>
      </c>
      <c r="FJ21" s="105">
        <v>978</v>
      </c>
      <c r="FK21" s="105">
        <v>684</v>
      </c>
      <c r="FL21" s="105">
        <v>54.9</v>
      </c>
      <c r="FM21" s="105">
        <v>282</v>
      </c>
      <c r="FN21" s="80">
        <v>801</v>
      </c>
      <c r="FO21" s="104">
        <v>0</v>
      </c>
      <c r="FP21" s="353"/>
      <c r="FY21" s="119">
        <v>16</v>
      </c>
      <c r="FZ21" s="107"/>
      <c r="GA21" s="163"/>
      <c r="GB21" s="107"/>
      <c r="GC21" s="109"/>
      <c r="GD21" s="110"/>
      <c r="GE21" s="110"/>
      <c r="GF21" s="111"/>
      <c r="GG21" s="111"/>
      <c r="GH21" s="111"/>
      <c r="GI21" s="164"/>
      <c r="GJ21" s="111" t="e">
        <f t="shared" si="61"/>
        <v>#DIV/0!</v>
      </c>
      <c r="GK21" s="113"/>
    </row>
    <row r="22" spans="1:193" ht="15" customHeight="1">
      <c r="B22" s="351">
        <v>42964</v>
      </c>
      <c r="D22" s="329">
        <v>6426.3600000000006</v>
      </c>
      <c r="E22" s="329">
        <v>0</v>
      </c>
      <c r="F22" s="329">
        <v>2477.9520000000002</v>
      </c>
      <c r="G22" s="329">
        <v>5573.3369999999995</v>
      </c>
      <c r="H22" s="329">
        <v>4807.8549999999996</v>
      </c>
      <c r="I22" s="329">
        <v>882.351</v>
      </c>
      <c r="J22" s="329">
        <v>5294.6399999999994</v>
      </c>
      <c r="K22" s="391">
        <v>0</v>
      </c>
      <c r="L22" s="284"/>
      <c r="M22" s="115">
        <f t="shared" si="62"/>
        <v>6176.9909999999991</v>
      </c>
      <c r="N22" s="88">
        <f t="shared" si="18"/>
        <v>19285.504000000001</v>
      </c>
      <c r="O22" s="88">
        <f t="shared" si="19"/>
        <v>22373.999500000002</v>
      </c>
      <c r="P22" s="89">
        <f t="shared" si="20"/>
        <v>336927.641</v>
      </c>
      <c r="Q22" s="168"/>
      <c r="R22" s="170">
        <f t="shared" si="21"/>
        <v>186.40000000002328</v>
      </c>
      <c r="S22" s="170">
        <f t="shared" si="22"/>
        <v>159.55000000000001</v>
      </c>
      <c r="T22" s="170">
        <f t="shared" si="1"/>
        <v>737.1</v>
      </c>
      <c r="U22" s="91">
        <f t="shared" si="74"/>
        <v>4.6200000000004362</v>
      </c>
      <c r="V22" s="170">
        <f>IF(EO22=0,"",(EO22-EO21))</f>
        <v>1834.2999999998137</v>
      </c>
      <c r="W22" s="91">
        <f t="shared" si="2"/>
        <v>136.19999999999999</v>
      </c>
      <c r="X22" s="170">
        <f t="shared" si="24"/>
        <v>1834.2999999998137</v>
      </c>
      <c r="Y22" s="170" t="str">
        <f t="shared" si="25"/>
        <v>0</v>
      </c>
      <c r="Z22" s="170">
        <f t="shared" si="3"/>
        <v>165.7</v>
      </c>
      <c r="AA22" s="170">
        <f t="shared" si="26"/>
        <v>2921.9699999998375</v>
      </c>
      <c r="AB22" s="170">
        <f t="shared" si="27"/>
        <v>264</v>
      </c>
      <c r="AC22" s="170">
        <f t="shared" si="27"/>
        <v>29</v>
      </c>
      <c r="AD22" s="170">
        <f t="shared" si="28"/>
        <v>420</v>
      </c>
      <c r="AE22" s="170">
        <f t="shared" si="29"/>
        <v>127</v>
      </c>
      <c r="AF22" s="170">
        <f t="shared" si="30"/>
        <v>0</v>
      </c>
      <c r="AG22" s="170">
        <f t="shared" si="30"/>
        <v>0.40000000000873115</v>
      </c>
      <c r="AH22" s="170">
        <f t="shared" si="31"/>
        <v>0.40000000000873115</v>
      </c>
      <c r="AI22" s="170">
        <f t="shared" si="32"/>
        <v>0</v>
      </c>
      <c r="AJ22" s="170">
        <f t="shared" si="33"/>
        <v>132</v>
      </c>
      <c r="AK22" s="170">
        <f t="shared" si="33"/>
        <v>11.900000000001455</v>
      </c>
      <c r="AL22" s="170">
        <f t="shared" si="34"/>
        <v>247</v>
      </c>
      <c r="AM22" s="170">
        <f t="shared" si="35"/>
        <v>103.09999999999854</v>
      </c>
      <c r="AN22" s="170">
        <f t="shared" si="36"/>
        <v>0</v>
      </c>
      <c r="AO22" s="170">
        <f t="shared" si="4"/>
        <v>45.500000000007276</v>
      </c>
      <c r="AP22" s="170">
        <f t="shared" si="37"/>
        <v>28.599999999991269</v>
      </c>
      <c r="AQ22" s="170">
        <f t="shared" si="5"/>
        <v>320.10000000000582</v>
      </c>
      <c r="AR22" s="170">
        <f t="shared" si="38"/>
        <v>84.203999999999994</v>
      </c>
      <c r="AS22" s="170">
        <f t="shared" si="39"/>
        <v>178.20399999999995</v>
      </c>
      <c r="AT22" s="170">
        <f t="shared" si="40"/>
        <v>745.20399999999995</v>
      </c>
      <c r="AU22" s="170">
        <f t="shared" si="63"/>
        <v>170</v>
      </c>
      <c r="AV22" s="170">
        <f t="shared" si="64"/>
        <v>43</v>
      </c>
      <c r="AW22" s="170">
        <f t="shared" si="65"/>
        <v>397</v>
      </c>
      <c r="AX22" s="170">
        <f t="shared" si="66"/>
        <v>31</v>
      </c>
      <c r="AY22" s="170" t="str">
        <f t="shared" si="66"/>
        <v/>
      </c>
      <c r="AZ22" s="170">
        <f t="shared" si="41"/>
        <v>400</v>
      </c>
      <c r="BA22" s="170">
        <v>62</v>
      </c>
      <c r="BB22" s="170">
        <f>IF(EX22=0,"",(EX22-EX21))</f>
        <v>140.10000000000582</v>
      </c>
      <c r="BC22" s="170">
        <f t="shared" si="42"/>
        <v>754.60000000009313</v>
      </c>
      <c r="BD22" s="91">
        <f t="shared" si="43"/>
        <v>435</v>
      </c>
      <c r="BE22" s="90"/>
      <c r="BF22" s="90"/>
      <c r="BG22" s="90">
        <f t="shared" si="44"/>
        <v>1729.700000000099</v>
      </c>
      <c r="BH22" s="90">
        <f t="shared" si="45"/>
        <v>-420</v>
      </c>
      <c r="BI22" s="90">
        <f t="shared" si="6"/>
        <v>-379.87399999995796</v>
      </c>
      <c r="BJ22" s="90">
        <f t="shared" si="46"/>
        <v>6503.873999999958</v>
      </c>
      <c r="BK22" s="92"/>
      <c r="BL22" s="331">
        <f>FD22+FN22</f>
        <v>5704</v>
      </c>
      <c r="BM22" s="93">
        <f t="shared" si="47"/>
        <v>104520.9</v>
      </c>
      <c r="BN22" s="92"/>
      <c r="BO22" s="94">
        <f t="shared" si="48"/>
        <v>9.6652905726510058E-2</v>
      </c>
      <c r="BP22" s="94">
        <f t="shared" si="48"/>
        <v>8.2730531698834514E-2</v>
      </c>
      <c r="BQ22" s="94">
        <f t="shared" si="49"/>
        <v>0.38220416744099606</v>
      </c>
      <c r="BR22" s="94">
        <f t="shared" si="68"/>
        <v>0.95112888934601547</v>
      </c>
      <c r="BS22" s="94">
        <f t="shared" ref="BS22:BU36" si="78">IF($N22&lt;&gt;0,IF($N22&lt;&gt;0,Y22/$N22*10,0)," ")</f>
        <v>0</v>
      </c>
      <c r="BT22" s="94">
        <f t="shared" si="78"/>
        <v>8.5919455358802119E-2</v>
      </c>
      <c r="BU22" s="95">
        <f t="shared" si="78"/>
        <v>1.5151120758886247</v>
      </c>
      <c r="BV22" s="94">
        <f t="shared" si="8"/>
        <v>8.3310987827644886E-2</v>
      </c>
      <c r="BW22" s="94">
        <f t="shared" si="8"/>
        <v>7.131045122263456E-2</v>
      </c>
      <c r="BX22" s="94">
        <f t="shared" si="8"/>
        <v>0.32944489875402022</v>
      </c>
      <c r="BY22" s="94">
        <f t="shared" si="50"/>
        <v>0.81983554169642925</v>
      </c>
      <c r="BZ22" s="95">
        <f t="shared" si="9"/>
        <v>1.3059667763020364</v>
      </c>
      <c r="CA22" s="96" t="e">
        <f>#REF!</f>
        <v>#REF!</v>
      </c>
      <c r="CB22" s="94">
        <f t="shared" si="51"/>
        <v>3.7634755466942768E-2</v>
      </c>
      <c r="CC22" s="95">
        <f t="shared" si="51"/>
        <v>7.9647807268432236E-2</v>
      </c>
      <c r="CD22" s="97">
        <f t="shared" si="10"/>
        <v>0.13631879988168999</v>
      </c>
      <c r="CE22" s="98">
        <f t="shared" si="10"/>
        <v>0.28849645401782192</v>
      </c>
      <c r="CF22" s="97">
        <f t="shared" si="52"/>
        <v>0.41080798461337364</v>
      </c>
      <c r="CG22" s="94">
        <f t="shared" si="52"/>
        <v>4.5126634673438776E-2</v>
      </c>
      <c r="CH22" s="95">
        <f t="shared" si="53"/>
        <v>0.65355815733945799</v>
      </c>
      <c r="CI22" s="96" t="e">
        <f>#REF!</f>
        <v>#REF!</v>
      </c>
      <c r="CJ22" s="94" t="str">
        <f t="shared" si="54"/>
        <v>0,00</v>
      </c>
      <c r="CK22" s="94" t="str">
        <f t="shared" si="54"/>
        <v>0,00</v>
      </c>
      <c r="CL22" s="95" t="str">
        <f t="shared" si="69"/>
        <v xml:space="preserve">0,00 </v>
      </c>
      <c r="CM22" s="95" t="e">
        <f>#REF!</f>
        <v>#REF!</v>
      </c>
      <c r="CN22" s="94">
        <f t="shared" si="55"/>
        <v>0.53269796993646357</v>
      </c>
      <c r="CO22" s="94">
        <f t="shared" si="55"/>
        <v>4.8023529107914339E-2</v>
      </c>
      <c r="CP22" s="95">
        <f t="shared" si="56"/>
        <v>0.99679089829020084</v>
      </c>
      <c r="CQ22" s="95" t="e">
        <f>#REF!</f>
        <v>#REF!</v>
      </c>
      <c r="CR22" s="97">
        <f t="shared" si="70"/>
        <v>0</v>
      </c>
      <c r="CS22" s="95">
        <f t="shared" si="70"/>
        <v>8.1638702271201749E-2</v>
      </c>
      <c r="CT22" s="96" t="e">
        <f>#REF!</f>
        <v>#REF!</v>
      </c>
      <c r="CU22" s="97">
        <f t="shared" si="71"/>
        <v>5.9485986994181964E-2</v>
      </c>
      <c r="CV22" s="95">
        <f t="shared" si="57"/>
        <v>0.66578546981971354</v>
      </c>
      <c r="CW22" s="96" t="e">
        <f>#REF!</f>
        <v>#REF!</v>
      </c>
      <c r="CX22" s="97">
        <f t="shared" si="58"/>
        <v>7.5981051130353333E-2</v>
      </c>
      <c r="CY22" s="98">
        <f t="shared" si="58"/>
        <v>1.9218736462383489E-2</v>
      </c>
      <c r="CZ22" s="97">
        <f t="shared" si="58"/>
        <v>0.17743810175735453</v>
      </c>
      <c r="DA22" s="98">
        <f t="shared" si="58"/>
        <v>1.3855368147299724E-2</v>
      </c>
      <c r="DB22" s="94">
        <f t="shared" si="11"/>
        <v>0.1787789438361255</v>
      </c>
      <c r="DC22" s="94">
        <f t="shared" si="12"/>
        <v>6.2617325078605554E-2</v>
      </c>
      <c r="DD22" s="94">
        <f t="shared" si="12"/>
        <v>0.33726647754689232</v>
      </c>
      <c r="DE22" s="94">
        <f t="shared" si="12"/>
        <v>0.19442210142178645</v>
      </c>
      <c r="DF22" s="94">
        <f t="shared" si="12"/>
        <v>0</v>
      </c>
      <c r="DG22" s="94">
        <f t="shared" si="12"/>
        <v>0</v>
      </c>
      <c r="DH22" s="95">
        <f t="shared" si="12"/>
        <v>0.77308484788340981</v>
      </c>
      <c r="DI22" s="96" t="e">
        <f>#REF!</f>
        <v>#REF!</v>
      </c>
      <c r="DJ22" s="95">
        <f t="shared" si="59"/>
        <v>-0.18771789102793177</v>
      </c>
      <c r="DK22" s="96" t="e">
        <f>#REF!</f>
        <v>#REF!</v>
      </c>
      <c r="DL22" s="95">
        <f t="shared" si="60"/>
        <v>-0.16978368127699203</v>
      </c>
      <c r="DM22" s="96">
        <f t="shared" si="13"/>
        <v>0</v>
      </c>
      <c r="DN22" s="94">
        <f t="shared" si="14"/>
        <v>2.9068893114080736</v>
      </c>
      <c r="DO22" s="100">
        <v>3.4</v>
      </c>
      <c r="DP22" s="94">
        <f t="shared" si="72"/>
        <v>2.5493877391031496</v>
      </c>
      <c r="DQ22" s="94">
        <f t="shared" si="73"/>
        <v>3.1021764699916679</v>
      </c>
      <c r="DR22" s="101">
        <f t="shared" si="15"/>
        <v>0</v>
      </c>
      <c r="DS22" s="116"/>
      <c r="DT22" s="103">
        <v>17</v>
      </c>
      <c r="DU22" s="361">
        <v>631400</v>
      </c>
      <c r="DV22" s="361">
        <v>28598</v>
      </c>
      <c r="DW22" s="473">
        <v>5144731</v>
      </c>
      <c r="DX22" s="474">
        <v>121338</v>
      </c>
      <c r="DY22" s="473">
        <v>86014.6</v>
      </c>
      <c r="DZ22" s="473">
        <v>401187</v>
      </c>
      <c r="EA22" s="475">
        <v>236891</v>
      </c>
      <c r="EB22" s="475">
        <v>55201</v>
      </c>
      <c r="EC22" s="473">
        <v>415942</v>
      </c>
      <c r="ED22" s="473">
        <v>47915.3</v>
      </c>
      <c r="EE22" s="475">
        <v>40099</v>
      </c>
      <c r="EF22" s="303">
        <v>42913.3</v>
      </c>
      <c r="EG22" s="473">
        <v>93638.2</v>
      </c>
      <c r="EH22" s="473">
        <v>185182.2</v>
      </c>
      <c r="EI22" s="473">
        <v>33103</v>
      </c>
      <c r="EJ22" s="303">
        <v>41832</v>
      </c>
      <c r="EK22" s="303"/>
      <c r="EL22" s="473">
        <v>711239.8</v>
      </c>
      <c r="EM22" s="475">
        <v>7371</v>
      </c>
      <c r="EN22" s="475">
        <v>46093.9</v>
      </c>
      <c r="EO22" s="473">
        <v>3077343</v>
      </c>
      <c r="EP22" s="303">
        <v>2791644</v>
      </c>
      <c r="EQ22" s="303">
        <v>0</v>
      </c>
      <c r="ER22" s="303">
        <v>1657</v>
      </c>
      <c r="ES22" s="303">
        <v>383702</v>
      </c>
      <c r="ET22" s="303">
        <v>3979582</v>
      </c>
      <c r="EU22" s="303">
        <v>437544</v>
      </c>
      <c r="EV22" s="303">
        <v>148519</v>
      </c>
      <c r="EW22" s="303">
        <v>124006</v>
      </c>
      <c r="EX22" s="303">
        <v>214634</v>
      </c>
      <c r="EY22" s="303">
        <v>1681624.1</v>
      </c>
      <c r="EZ22" s="381">
        <v>797593.2</v>
      </c>
      <c r="FA22" s="512">
        <v>755628</v>
      </c>
      <c r="FB22" s="303">
        <v>30918</v>
      </c>
      <c r="FC22" s="303">
        <v>6124</v>
      </c>
      <c r="FD22" s="303">
        <f>SUM(FE22:FM22)</f>
        <v>4504</v>
      </c>
      <c r="FE22" s="513">
        <v>0</v>
      </c>
      <c r="FF22" s="513">
        <v>436</v>
      </c>
      <c r="FG22" s="303">
        <v>585</v>
      </c>
      <c r="FH22" s="303">
        <v>1222</v>
      </c>
      <c r="FI22" s="303">
        <v>231</v>
      </c>
      <c r="FJ22" s="303">
        <v>788</v>
      </c>
      <c r="FK22" s="513">
        <v>863</v>
      </c>
      <c r="FL22" s="303">
        <v>0</v>
      </c>
      <c r="FM22" s="303">
        <v>379</v>
      </c>
      <c r="FN22" s="187">
        <v>1200</v>
      </c>
      <c r="FO22" s="455">
        <v>0</v>
      </c>
      <c r="FP22" s="158"/>
      <c r="FR22" s="64"/>
      <c r="FS22" s="64"/>
      <c r="FT22" s="64"/>
      <c r="FU22" s="64"/>
      <c r="FV22" s="64"/>
      <c r="FW22" s="64"/>
      <c r="FX22" s="64"/>
      <c r="FY22" s="64">
        <v>17</v>
      </c>
      <c r="FZ22" s="107"/>
      <c r="GA22" s="107"/>
      <c r="GB22" s="107"/>
      <c r="GC22" s="109"/>
      <c r="GD22" s="110"/>
      <c r="GE22" s="110"/>
      <c r="GF22" s="111"/>
      <c r="GG22" s="111"/>
      <c r="GH22" s="111"/>
      <c r="GI22" s="164"/>
      <c r="GJ22" s="111" t="e">
        <f t="shared" si="61"/>
        <v>#DIV/0!</v>
      </c>
      <c r="GK22" s="118"/>
    </row>
    <row r="23" spans="1:193" s="119" customFormat="1" ht="15" customHeight="1">
      <c r="B23" s="351">
        <v>42965</v>
      </c>
      <c r="D23" s="128">
        <v>6036</v>
      </c>
      <c r="E23" s="128">
        <v>0</v>
      </c>
      <c r="F23" s="86">
        <v>1202.5440000000001</v>
      </c>
      <c r="G23" s="86">
        <v>2140.0749999999998</v>
      </c>
      <c r="H23" s="86">
        <v>4898.6149999999998</v>
      </c>
      <c r="I23" s="86">
        <v>2032.777</v>
      </c>
      <c r="J23" s="86">
        <v>6339.12</v>
      </c>
      <c r="K23" s="284"/>
      <c r="L23" s="284"/>
      <c r="M23" s="115">
        <f>I23+J23</f>
        <v>8371.8970000000008</v>
      </c>
      <c r="N23" s="88">
        <f>SUM(D23:H23)</f>
        <v>14277.233999999999</v>
      </c>
      <c r="O23" s="88">
        <f t="shared" si="19"/>
        <v>18463.182499999999</v>
      </c>
      <c r="P23" s="89">
        <f t="shared" si="20"/>
        <v>355390.8235</v>
      </c>
      <c r="R23" s="170">
        <f t="shared" si="21"/>
        <v>172.39999999990687</v>
      </c>
      <c r="S23" s="170">
        <f t="shared" si="22"/>
        <v>52.680000000004654</v>
      </c>
      <c r="T23" s="170">
        <f t="shared" si="1"/>
        <v>347.6</v>
      </c>
      <c r="U23" s="91">
        <f t="shared" si="74"/>
        <v>4.0400000000001457</v>
      </c>
      <c r="V23" s="170">
        <f>IF(EO23=0,"",(EO23-EO22))</f>
        <v>1432.1000000000931</v>
      </c>
      <c r="W23" s="91">
        <f t="shared" si="2"/>
        <v>153.80000000000001</v>
      </c>
      <c r="X23" s="170">
        <f>IF(V23="","",V23)</f>
        <v>1432.1000000000931</v>
      </c>
      <c r="Y23" s="170">
        <f t="shared" si="25"/>
        <v>91.8</v>
      </c>
      <c r="Z23" s="170">
        <f t="shared" si="3"/>
        <v>137.4</v>
      </c>
      <c r="AA23" s="170">
        <f t="shared" si="26"/>
        <v>2008.8200000000049</v>
      </c>
      <c r="AB23" s="170">
        <f t="shared" si="27"/>
        <v>161</v>
      </c>
      <c r="AC23" s="170">
        <f t="shared" si="27"/>
        <v>19</v>
      </c>
      <c r="AD23" s="170">
        <f t="shared" si="28"/>
        <v>419</v>
      </c>
      <c r="AE23" s="170">
        <f t="shared" si="29"/>
        <v>239</v>
      </c>
      <c r="AF23" s="170">
        <f t="shared" si="30"/>
        <v>88</v>
      </c>
      <c r="AG23" s="170">
        <f t="shared" si="30"/>
        <v>0</v>
      </c>
      <c r="AH23" s="170">
        <f t="shared" si="31"/>
        <v>88</v>
      </c>
      <c r="AI23" s="170">
        <f t="shared" si="32"/>
        <v>0</v>
      </c>
      <c r="AJ23" s="170">
        <f t="shared" si="33"/>
        <v>82</v>
      </c>
      <c r="AK23" s="170">
        <f t="shared" si="33"/>
        <v>14.69999999999709</v>
      </c>
      <c r="AL23" s="170">
        <f t="shared" si="34"/>
        <v>148</v>
      </c>
      <c r="AM23" s="170">
        <f t="shared" si="35"/>
        <v>51.30000000000291</v>
      </c>
      <c r="AN23" s="170">
        <f t="shared" si="36"/>
        <v>93</v>
      </c>
      <c r="AO23" s="170">
        <f>IF(AN23="","",(EE23-EE22)+(EF23-EF22))</f>
        <v>93.099999999998545</v>
      </c>
      <c r="AP23" s="170">
        <f t="shared" si="37"/>
        <v>30</v>
      </c>
      <c r="AQ23" s="170">
        <f>IF(AP23=0.1,0,(IF(AP23&gt;=(EH23-EH22),(AP23),(EH23-EH22))))</f>
        <v>30</v>
      </c>
      <c r="AR23" s="170">
        <f t="shared" si="38"/>
        <v>58.146000000000001</v>
      </c>
      <c r="AS23" s="170">
        <f t="shared" si="39"/>
        <v>104.14599999999996</v>
      </c>
      <c r="AT23" s="170">
        <f t="shared" si="40"/>
        <v>915.14599999999996</v>
      </c>
      <c r="AU23" s="170">
        <f t="shared" si="63"/>
        <v>255</v>
      </c>
      <c r="AV23" s="170">
        <f t="shared" si="64"/>
        <v>32</v>
      </c>
      <c r="AW23" s="170">
        <f t="shared" si="65"/>
        <v>556</v>
      </c>
      <c r="AX23" s="170">
        <f>IF(EJ23=0,"",(EJ23-EJ22))</f>
        <v>29</v>
      </c>
      <c r="AY23" s="170" t="str">
        <f t="shared" si="66"/>
        <v/>
      </c>
      <c r="AZ23" s="170">
        <f t="shared" si="41"/>
        <v>419</v>
      </c>
      <c r="BA23" s="170">
        <v>46</v>
      </c>
      <c r="BB23" s="170">
        <f t="shared" si="42"/>
        <v>107.60000000000582</v>
      </c>
      <c r="BC23" s="170">
        <f t="shared" si="42"/>
        <v>787.19999999995343</v>
      </c>
      <c r="BD23" s="91">
        <f t="shared" si="43"/>
        <v>338</v>
      </c>
      <c r="BE23" s="90"/>
      <c r="BF23" s="90"/>
      <c r="BG23" s="90">
        <f t="shared" si="44"/>
        <v>1651.7999999999593</v>
      </c>
      <c r="BH23" s="90">
        <f>BL23-FC23</f>
        <v>-593</v>
      </c>
      <c r="BI23" s="90">
        <f>IF(FC23=0,"",(FC23-BJ23))</f>
        <v>1848.1340000000373</v>
      </c>
      <c r="BJ23" s="90">
        <f t="shared" si="46"/>
        <v>5414.8659999999627</v>
      </c>
      <c r="BK23" s="92"/>
      <c r="BL23" s="331">
        <f t="shared" si="67"/>
        <v>6670</v>
      </c>
      <c r="BM23" s="93">
        <f>BL23+BM22</f>
        <v>111190.9</v>
      </c>
      <c r="BN23" s="92"/>
      <c r="BO23" s="94">
        <f t="shared" si="48"/>
        <v>0.12075168061258007</v>
      </c>
      <c r="BP23" s="94">
        <f t="shared" si="48"/>
        <v>3.6897903333380021E-2</v>
      </c>
      <c r="BQ23" s="94">
        <f t="shared" si="49"/>
        <v>0.24346452541157484</v>
      </c>
      <c r="BR23" s="94">
        <f t="shared" si="68"/>
        <v>1.0030654397063836</v>
      </c>
      <c r="BS23" s="94">
        <f t="shared" si="78"/>
        <v>6.4298168678891168E-2</v>
      </c>
      <c r="BT23" s="94">
        <f>IF($N23&lt;&gt;0,IF($N23&lt;&gt;0,Z23/$N23*10,0)," ")</f>
        <v>9.6237128284092019E-2</v>
      </c>
      <c r="BU23" s="95">
        <f t="shared" si="78"/>
        <v>1.4070092288184146</v>
      </c>
      <c r="BV23" s="94">
        <f t="shared" si="8"/>
        <v>9.3375018093390383E-2</v>
      </c>
      <c r="BW23" s="94">
        <f t="shared" si="8"/>
        <v>2.8532459125074808E-2</v>
      </c>
      <c r="BX23" s="94">
        <f t="shared" si="8"/>
        <v>0.18826656780324846</v>
      </c>
      <c r="BY23" s="94">
        <f t="shared" si="50"/>
        <v>0.775651759928221</v>
      </c>
      <c r="BZ23" s="95">
        <f t="shared" si="9"/>
        <v>1.0880139434249783</v>
      </c>
      <c r="CA23" s="96" t="e">
        <f>#REF!</f>
        <v>#REF!</v>
      </c>
      <c r="CB23" s="94">
        <f t="shared" si="51"/>
        <v>3.1492945487594029E-2</v>
      </c>
      <c r="CC23" s="95">
        <f t="shared" si="51"/>
        <v>5.6407393470762679E-2</v>
      </c>
      <c r="CD23" s="97">
        <f t="shared" si="10"/>
        <v>6.9453792850055374E-2</v>
      </c>
      <c r="CE23" s="98">
        <f t="shared" si="10"/>
        <v>0.12439952378773884</v>
      </c>
      <c r="CF23" s="97">
        <f t="shared" si="52"/>
        <v>0.26673293571901924</v>
      </c>
      <c r="CG23" s="94">
        <f t="shared" si="52"/>
        <v>3.1477799867461895E-2</v>
      </c>
      <c r="CH23" s="95">
        <f t="shared" si="53"/>
        <v>0.69416832339297541</v>
      </c>
      <c r="CI23" s="96" t="e">
        <f>#REF!</f>
        <v>#REF!</v>
      </c>
      <c r="CJ23" s="94" t="str">
        <f t="shared" si="54"/>
        <v>0,00</v>
      </c>
      <c r="CK23" s="94" t="str">
        <f t="shared" si="54"/>
        <v>0,00</v>
      </c>
      <c r="CL23" s="95" t="str">
        <f t="shared" si="69"/>
        <v xml:space="preserve">0,00 </v>
      </c>
      <c r="CM23" s="95" t="e">
        <f>#REF!</f>
        <v>#REF!</v>
      </c>
      <c r="CN23" s="94">
        <f t="shared" si="55"/>
        <v>0.68188773134288627</v>
      </c>
      <c r="CO23" s="94">
        <f t="shared" si="55"/>
        <v>0.12224084939924933</v>
      </c>
      <c r="CP23" s="95">
        <f t="shared" si="56"/>
        <v>1.2307241980335022</v>
      </c>
      <c r="CQ23" s="95" t="e">
        <f>#REF!</f>
        <v>#REF!</v>
      </c>
      <c r="CR23" s="97">
        <f t="shared" si="70"/>
        <v>0.43456420919827576</v>
      </c>
      <c r="CS23" s="95">
        <f t="shared" si="70"/>
        <v>0.43503148254149299</v>
      </c>
      <c r="CT23" s="96" t="e">
        <f>#REF!</f>
        <v>#REF!</v>
      </c>
      <c r="CU23" s="97">
        <f t="shared" si="71"/>
        <v>6.1241799978157097E-2</v>
      </c>
      <c r="CV23" s="95">
        <f t="shared" si="57"/>
        <v>6.1241799978157097E-2</v>
      </c>
      <c r="CW23" s="96" t="e">
        <f>#REF!</f>
        <v>#REF!</v>
      </c>
      <c r="CX23" s="99">
        <f t="shared" si="58"/>
        <v>0.13811270077626109</v>
      </c>
      <c r="CY23" s="95">
        <f t="shared" si="58"/>
        <v>1.7331789901334726E-2</v>
      </c>
      <c r="CZ23" s="99">
        <f t="shared" si="58"/>
        <v>0.30113984953569084</v>
      </c>
      <c r="DA23" s="95">
        <f t="shared" si="58"/>
        <v>1.5706934598084595E-2</v>
      </c>
      <c r="DB23" s="94">
        <f t="shared" si="11"/>
        <v>0.22693812402060157</v>
      </c>
      <c r="DC23" s="94">
        <f t="shared" si="12"/>
        <v>5.8278143543241165E-2</v>
      </c>
      <c r="DD23" s="94">
        <f t="shared" si="12"/>
        <v>0.426362031572809</v>
      </c>
      <c r="DE23" s="94">
        <f t="shared" si="12"/>
        <v>0.18306703083284803</v>
      </c>
      <c r="DF23" s="94">
        <f t="shared" si="12"/>
        <v>0</v>
      </c>
      <c r="DG23" s="94">
        <f t="shared" si="12"/>
        <v>0</v>
      </c>
      <c r="DH23" s="95">
        <f t="shared" si="12"/>
        <v>0.89464532996949986</v>
      </c>
      <c r="DI23" s="96" t="e">
        <f>#REF!</f>
        <v>#REF!</v>
      </c>
      <c r="DJ23" s="95">
        <f t="shared" si="59"/>
        <v>-0.32117973160910912</v>
      </c>
      <c r="DK23" s="96" t="e">
        <f>#REF!</f>
        <v>#REF!</v>
      </c>
      <c r="DL23" s="95">
        <f t="shared" si="60"/>
        <v>1.0009834436723124</v>
      </c>
      <c r="DM23" s="96">
        <f t="shared" si="13"/>
        <v>0</v>
      </c>
      <c r="DN23" s="94">
        <f t="shared" si="14"/>
        <v>2.9327912454962535</v>
      </c>
      <c r="DO23" s="100">
        <v>3.4</v>
      </c>
      <c r="DP23" s="94">
        <f>IF($O23&lt;&gt;0,IF($O23&lt;&gt;0,BL23/$O23*10,0)," ")</f>
        <v>3.6125949575594567</v>
      </c>
      <c r="DQ23" s="94">
        <f>IF($P23&lt;&gt;0,IF($P23&lt;&gt;0,BM23/$P23*10,0)," ")</f>
        <v>3.1286936141163473</v>
      </c>
      <c r="DR23" s="101">
        <f t="shared" si="15"/>
        <v>0</v>
      </c>
      <c r="DS23" s="171"/>
      <c r="DT23" s="103">
        <v>18</v>
      </c>
      <c r="DU23" s="361">
        <v>631561</v>
      </c>
      <c r="DV23" s="361">
        <v>28617</v>
      </c>
      <c r="DW23" s="330">
        <v>5145150</v>
      </c>
      <c r="DX23" s="330">
        <v>121426</v>
      </c>
      <c r="DY23" s="330">
        <v>86014.6</v>
      </c>
      <c r="DZ23" s="330">
        <v>401187</v>
      </c>
      <c r="EA23" s="330">
        <v>236973</v>
      </c>
      <c r="EB23" s="330">
        <v>55215.7</v>
      </c>
      <c r="EC23" s="105">
        <v>416090</v>
      </c>
      <c r="ED23" s="330">
        <v>48008.3</v>
      </c>
      <c r="EE23" s="330">
        <v>40110.1</v>
      </c>
      <c r="EF23" s="330">
        <v>42995.3</v>
      </c>
      <c r="EG23" s="330">
        <v>93668.2</v>
      </c>
      <c r="EH23" s="330">
        <v>185143</v>
      </c>
      <c r="EI23" s="330">
        <v>33135</v>
      </c>
      <c r="EJ23" s="330">
        <v>41861</v>
      </c>
      <c r="EK23" s="330"/>
      <c r="EL23" s="330">
        <v>711412.2</v>
      </c>
      <c r="EM23" s="330">
        <v>3476</v>
      </c>
      <c r="EN23" s="105">
        <v>46134.3</v>
      </c>
      <c r="EO23" s="330">
        <v>3078775.1</v>
      </c>
      <c r="EP23" s="330">
        <v>2793182</v>
      </c>
      <c r="EQ23" s="330">
        <v>918</v>
      </c>
      <c r="ER23" s="330">
        <v>1374</v>
      </c>
      <c r="ES23" s="330">
        <v>384559</v>
      </c>
      <c r="ET23" s="330">
        <v>4037728</v>
      </c>
      <c r="EU23" s="330">
        <v>438100</v>
      </c>
      <c r="EV23" s="303">
        <v>148774</v>
      </c>
      <c r="EW23" s="330">
        <v>124425</v>
      </c>
      <c r="EX23" s="330">
        <v>214741.6</v>
      </c>
      <c r="EY23" s="330">
        <v>1682411.3</v>
      </c>
      <c r="EZ23" s="330">
        <v>798120</v>
      </c>
      <c r="FA23" s="386">
        <v>755966</v>
      </c>
      <c r="FB23" s="104">
        <v>30967.7</v>
      </c>
      <c r="FC23" s="104">
        <v>7263</v>
      </c>
      <c r="FD23" s="303">
        <f t="shared" ref="FD23:FD32" si="79">SUM(FE23:FM23)</f>
        <v>5470</v>
      </c>
      <c r="FE23" s="105">
        <v>0</v>
      </c>
      <c r="FF23" s="105">
        <v>583</v>
      </c>
      <c r="FG23" s="105">
        <f>FG56-FG55</f>
        <v>932</v>
      </c>
      <c r="FH23" s="105">
        <v>1242</v>
      </c>
      <c r="FI23" s="105">
        <v>427</v>
      </c>
      <c r="FJ23" s="105">
        <v>1044</v>
      </c>
      <c r="FK23" s="105">
        <v>866</v>
      </c>
      <c r="FL23" s="105">
        <v>0</v>
      </c>
      <c r="FM23" s="105">
        <v>376</v>
      </c>
      <c r="FN23" s="80">
        <v>1200</v>
      </c>
      <c r="FO23" s="104"/>
      <c r="FP23" s="162"/>
      <c r="FY23" s="119">
        <v>18</v>
      </c>
      <c r="FZ23" s="107"/>
      <c r="GA23" s="107"/>
      <c r="GB23" s="107"/>
      <c r="GC23" s="109"/>
      <c r="GD23" s="110"/>
      <c r="GE23" s="110"/>
      <c r="GF23" s="111"/>
      <c r="GG23" s="111"/>
      <c r="GH23" s="111"/>
      <c r="GI23" s="164"/>
      <c r="GJ23" s="111" t="e">
        <f t="shared" si="61"/>
        <v>#DIV/0!</v>
      </c>
    </row>
    <row r="24" spans="1:193" s="119" customFormat="1" ht="15" customHeight="1">
      <c r="B24" s="351">
        <v>42966</v>
      </c>
      <c r="D24" s="128">
        <v>4480.8</v>
      </c>
      <c r="E24" s="128"/>
      <c r="F24" s="86">
        <v>1768</v>
      </c>
      <c r="G24" s="86">
        <v>4036.3069999999998</v>
      </c>
      <c r="H24" s="86">
        <v>3957</v>
      </c>
      <c r="I24" s="86">
        <v>1955.079</v>
      </c>
      <c r="J24" s="86">
        <v>5162.16</v>
      </c>
      <c r="K24" s="284"/>
      <c r="L24" s="284">
        <v>0</v>
      </c>
      <c r="M24" s="115">
        <f t="shared" si="62"/>
        <v>7117.2389999999996</v>
      </c>
      <c r="N24" s="88">
        <f t="shared" si="18"/>
        <v>14242.107</v>
      </c>
      <c r="O24" s="88">
        <f t="shared" si="19"/>
        <v>17800.726500000001</v>
      </c>
      <c r="P24" s="89">
        <f t="shared" si="20"/>
        <v>373191.55</v>
      </c>
      <c r="R24" s="170">
        <f t="shared" si="21"/>
        <v>115.80000000004657</v>
      </c>
      <c r="S24" s="170">
        <f t="shared" si="22"/>
        <v>35.4</v>
      </c>
      <c r="T24" s="170">
        <f t="shared" si="1"/>
        <v>350.8</v>
      </c>
      <c r="U24" s="91">
        <f t="shared" si="74"/>
        <v>2.1799999999995636</v>
      </c>
      <c r="V24" s="170">
        <f t="shared" si="23"/>
        <v>1572.8999999999069</v>
      </c>
      <c r="W24" s="91">
        <f t="shared" si="2"/>
        <v>139.69999999999999</v>
      </c>
      <c r="X24" s="170">
        <f t="shared" si="24"/>
        <v>1572.8999999999069</v>
      </c>
      <c r="Y24" s="170" t="str">
        <f t="shared" si="25"/>
        <v>0</v>
      </c>
      <c r="Z24" s="170">
        <f t="shared" si="3"/>
        <v>148.1</v>
      </c>
      <c r="AA24" s="170">
        <f t="shared" si="26"/>
        <v>2077.0799999999531</v>
      </c>
      <c r="AB24" s="170">
        <f t="shared" si="27"/>
        <v>114</v>
      </c>
      <c r="AC24" s="170">
        <f t="shared" si="27"/>
        <v>17</v>
      </c>
      <c r="AD24" s="170">
        <f>(IF(SUM(AB24:AC24)&gt;=(DW24-DW23),(SUM(AB24:AC24)),(DW24-DW23)))</f>
        <v>242</v>
      </c>
      <c r="AE24" s="170">
        <f t="shared" si="29"/>
        <v>111</v>
      </c>
      <c r="AF24" s="170">
        <f t="shared" si="30"/>
        <v>0</v>
      </c>
      <c r="AG24" s="170">
        <f t="shared" si="30"/>
        <v>-0.40000000000873115</v>
      </c>
      <c r="AH24" s="170">
        <f t="shared" si="31"/>
        <v>6</v>
      </c>
      <c r="AI24" s="170">
        <f>IF(AF24="","",(AH24-AG24-AF24))</f>
        <v>6.4000000000087311</v>
      </c>
      <c r="AJ24" s="170">
        <f t="shared" si="33"/>
        <v>142</v>
      </c>
      <c r="AK24" s="170">
        <f t="shared" si="33"/>
        <v>38.200000000004366</v>
      </c>
      <c r="AL24" s="170">
        <f t="shared" si="34"/>
        <v>263</v>
      </c>
      <c r="AM24" s="170">
        <f t="shared" si="35"/>
        <v>82.799999999995634</v>
      </c>
      <c r="AN24" s="170">
        <f t="shared" si="36"/>
        <v>0</v>
      </c>
      <c r="AO24" s="170">
        <f t="shared" si="4"/>
        <v>34.19999999999709</v>
      </c>
      <c r="AP24" s="170">
        <f t="shared" si="37"/>
        <v>34.400000000008731</v>
      </c>
      <c r="AQ24" s="170">
        <f t="shared" si="5"/>
        <v>46.899999999994179</v>
      </c>
      <c r="AR24" s="170">
        <f t="shared" si="38"/>
        <v>95.213999999999999</v>
      </c>
      <c r="AS24" s="170">
        <f t="shared" si="39"/>
        <v>96.213999999999942</v>
      </c>
      <c r="AT24" s="170">
        <f t="shared" si="40"/>
        <v>713.21399999999994</v>
      </c>
      <c r="AU24" s="170">
        <f t="shared" si="63"/>
        <v>260</v>
      </c>
      <c r="AV24" s="170">
        <f t="shared" si="64"/>
        <v>47</v>
      </c>
      <c r="AW24" s="170">
        <f t="shared" si="65"/>
        <v>357</v>
      </c>
      <c r="AX24" s="170">
        <f t="shared" si="66"/>
        <v>31</v>
      </c>
      <c r="AY24" s="170" t="str">
        <f t="shared" si="66"/>
        <v/>
      </c>
      <c r="AZ24" s="170">
        <f t="shared" si="41"/>
        <v>389</v>
      </c>
      <c r="BA24" s="170">
        <v>30</v>
      </c>
      <c r="BB24" s="170">
        <f t="shared" si="42"/>
        <v>94.699999999982538</v>
      </c>
      <c r="BC24" s="170">
        <f t="shared" si="42"/>
        <v>427.69999999995343</v>
      </c>
      <c r="BD24" s="91">
        <f t="shared" si="43"/>
        <v>370</v>
      </c>
      <c r="BE24" s="90"/>
      <c r="BF24" s="90"/>
      <c r="BG24" s="90">
        <f t="shared" si="44"/>
        <v>1281.399999999936</v>
      </c>
      <c r="BH24" s="90">
        <f t="shared" si="45"/>
        <v>-97</v>
      </c>
      <c r="BI24" s="90">
        <f t="shared" si="6"/>
        <v>2304.2060000001202</v>
      </c>
      <c r="BJ24" s="90">
        <f t="shared" si="46"/>
        <v>4741.7939999998798</v>
      </c>
      <c r="BK24" s="92"/>
      <c r="BL24" s="331">
        <f t="shared" si="67"/>
        <v>6949</v>
      </c>
      <c r="BM24" s="93">
        <f t="shared" si="47"/>
        <v>118139.9</v>
      </c>
      <c r="BN24" s="92"/>
      <c r="BO24" s="94">
        <f t="shared" si="48"/>
        <v>8.1308194075530096E-2</v>
      </c>
      <c r="BP24" s="94">
        <f t="shared" si="48"/>
        <v>2.4855872800281585E-2</v>
      </c>
      <c r="BQ24" s="94">
        <f t="shared" si="49"/>
        <v>0.24631186944459832</v>
      </c>
      <c r="BR24" s="94">
        <f t="shared" si="68"/>
        <v>1.1044011956938022</v>
      </c>
      <c r="BS24" s="94">
        <f t="shared" si="78"/>
        <v>0</v>
      </c>
      <c r="BT24" s="94">
        <f t="shared" si="78"/>
        <v>0.10398742264750573</v>
      </c>
      <c r="BU24" s="95">
        <f t="shared" si="78"/>
        <v>1.4584078044069977</v>
      </c>
      <c r="BV24" s="94">
        <f t="shared" si="8"/>
        <v>6.5053524641281668E-2</v>
      </c>
      <c r="BW24" s="94">
        <f t="shared" si="8"/>
        <v>1.9886828776342354E-2</v>
      </c>
      <c r="BX24" s="94">
        <f t="shared" si="8"/>
        <v>0.19707060832601409</v>
      </c>
      <c r="BY24" s="94">
        <f t="shared" si="50"/>
        <v>0.88361562096912549</v>
      </c>
      <c r="BZ24" s="95">
        <f t="shared" si="9"/>
        <v>1.1668512518294987</v>
      </c>
      <c r="CA24" s="96" t="e">
        <f>#REF!</f>
        <v>#REF!</v>
      </c>
      <c r="CB24" s="94">
        <f t="shared" si="51"/>
        <v>5.3488828110470656E-2</v>
      </c>
      <c r="CC24" s="95">
        <f t="shared" si="51"/>
        <v>5.4050602934661088E-2</v>
      </c>
      <c r="CD24" s="97">
        <f t="shared" si="10"/>
        <v>0.13377940518788256</v>
      </c>
      <c r="CE24" s="98">
        <f t="shared" si="10"/>
        <v>0.13518444441728028</v>
      </c>
      <c r="CF24" s="97">
        <f t="shared" si="52"/>
        <v>0.2544188537761114</v>
      </c>
      <c r="CG24" s="94">
        <f t="shared" si="52"/>
        <v>3.7939653633279766E-2</v>
      </c>
      <c r="CH24" s="95">
        <f t="shared" si="53"/>
        <v>0.54008212819139434</v>
      </c>
      <c r="CI24" s="96" t="e">
        <f>#REF!</f>
        <v>#REF!</v>
      </c>
      <c r="CJ24" s="94" t="str">
        <f t="shared" si="54"/>
        <v>0,00</v>
      </c>
      <c r="CK24" s="94" t="str">
        <f t="shared" si="54"/>
        <v>0,00</v>
      </c>
      <c r="CL24" s="95" t="str">
        <f t="shared" si="69"/>
        <v xml:space="preserve">0,00 </v>
      </c>
      <c r="CM24" s="95" t="e">
        <f>#REF!</f>
        <v>#REF!</v>
      </c>
      <c r="CN24" s="94">
        <f t="shared" si="55"/>
        <v>0.80316742081447967</v>
      </c>
      <c r="CO24" s="94">
        <f t="shared" si="55"/>
        <v>0.2160633484163143</v>
      </c>
      <c r="CP24" s="95">
        <f t="shared" si="56"/>
        <v>1.4875565610859729</v>
      </c>
      <c r="CQ24" s="95" t="e">
        <f>#REF!</f>
        <v>#REF!</v>
      </c>
      <c r="CR24" s="97">
        <f t="shared" si="70"/>
        <v>0</v>
      </c>
      <c r="CS24" s="95">
        <f t="shared" si="70"/>
        <v>8.4730918634279034E-2</v>
      </c>
      <c r="CT24" s="96" t="e">
        <f>#REF!</f>
        <v>#REF!</v>
      </c>
      <c r="CU24" s="97">
        <f t="shared" si="71"/>
        <v>8.6934546373537355E-2</v>
      </c>
      <c r="CV24" s="95">
        <f t="shared" si="57"/>
        <v>0.11852413444527213</v>
      </c>
      <c r="CW24" s="96" t="e">
        <f>#REF!</f>
        <v>#REF!</v>
      </c>
      <c r="CX24" s="99">
        <f t="shared" si="58"/>
        <v>0.14606145428952014</v>
      </c>
      <c r="CY24" s="95">
        <f t="shared" si="58"/>
        <v>2.6403416736951717E-2</v>
      </c>
      <c r="CZ24" s="99">
        <f t="shared" si="58"/>
        <v>0.20055361223599497</v>
      </c>
      <c r="DA24" s="95">
        <f t="shared" si="58"/>
        <v>1.7415019549904327E-2</v>
      </c>
      <c r="DB24" s="94">
        <f t="shared" si="11"/>
        <v>0.21853040661008974</v>
      </c>
      <c r="DC24" s="94">
        <f t="shared" si="12"/>
        <v>5.320007585082695E-2</v>
      </c>
      <c r="DD24" s="94">
        <f t="shared" si="12"/>
        <v>0.2402710923062345</v>
      </c>
      <c r="DE24" s="94">
        <f t="shared" si="12"/>
        <v>0.20785668495047097</v>
      </c>
      <c r="DF24" s="94">
        <f t="shared" si="12"/>
        <v>0</v>
      </c>
      <c r="DG24" s="94">
        <f t="shared" si="12"/>
        <v>0</v>
      </c>
      <c r="DH24" s="95">
        <f t="shared" si="12"/>
        <v>0.71985825971762218</v>
      </c>
      <c r="DI24" s="96" t="e">
        <f>#REF!</f>
        <v>#REF!</v>
      </c>
      <c r="DJ24" s="95">
        <f t="shared" si="59"/>
        <v>-5.4492157946474828E-2</v>
      </c>
      <c r="DK24" s="96" t="e">
        <f>#REF!</f>
        <v>#REF!</v>
      </c>
      <c r="DL24" s="95">
        <f t="shared" si="60"/>
        <v>1.2944449205486754</v>
      </c>
      <c r="DM24" s="96">
        <f t="shared" si="13"/>
        <v>0</v>
      </c>
      <c r="DN24" s="94">
        <f t="shared" si="14"/>
        <v>2.6638204906973204</v>
      </c>
      <c r="DO24" s="100">
        <v>3.4</v>
      </c>
      <c r="DP24" s="94">
        <f>IF($O24&lt;&gt;0,IF($O24&lt;&gt;0,BL24/$O24*10,0)," ")</f>
        <v>3.9037732532995211</v>
      </c>
      <c r="DQ24" s="94">
        <f t="shared" si="73"/>
        <v>3.1656638527855199</v>
      </c>
      <c r="DR24" s="101">
        <f t="shared" si="15"/>
        <v>0</v>
      </c>
      <c r="DT24" s="103">
        <v>19</v>
      </c>
      <c r="DU24" s="330">
        <f>DU23+114</f>
        <v>631675</v>
      </c>
      <c r="DV24" s="330">
        <f>DV23+17</f>
        <v>28634</v>
      </c>
      <c r="DW24" s="330">
        <v>5145392</v>
      </c>
      <c r="DX24" s="330">
        <f>DX23</f>
        <v>121426</v>
      </c>
      <c r="DY24" s="330">
        <v>86014.2</v>
      </c>
      <c r="DZ24" s="330">
        <v>401193</v>
      </c>
      <c r="EA24" s="330">
        <v>237115</v>
      </c>
      <c r="EB24" s="330">
        <v>55253.9</v>
      </c>
      <c r="EC24" s="330">
        <v>416353</v>
      </c>
      <c r="ED24" s="330">
        <v>48008.3</v>
      </c>
      <c r="EE24" s="330">
        <v>40143.599999999999</v>
      </c>
      <c r="EF24" s="330">
        <v>42996</v>
      </c>
      <c r="EG24" s="330">
        <v>93702.6</v>
      </c>
      <c r="EH24" s="330">
        <v>185189.9</v>
      </c>
      <c r="EI24" s="330">
        <v>33182</v>
      </c>
      <c r="EJ24" s="330">
        <v>41892</v>
      </c>
      <c r="EK24" s="330"/>
      <c r="EL24" s="330">
        <v>711528</v>
      </c>
      <c r="EM24" s="330">
        <v>3508</v>
      </c>
      <c r="EN24" s="330">
        <v>46156.1</v>
      </c>
      <c r="EO24" s="330">
        <v>3080348</v>
      </c>
      <c r="EP24" s="330">
        <v>2794579</v>
      </c>
      <c r="EQ24" s="330">
        <v>0</v>
      </c>
      <c r="ER24" s="330">
        <v>1481</v>
      </c>
      <c r="ES24" s="330">
        <v>385177</v>
      </c>
      <c r="ET24" s="330">
        <v>4132942</v>
      </c>
      <c r="EU24" s="330">
        <v>438457</v>
      </c>
      <c r="EV24" s="330">
        <v>149034</v>
      </c>
      <c r="EW24" s="330">
        <v>124814</v>
      </c>
      <c r="EX24" s="330">
        <v>214836.3</v>
      </c>
      <c r="EY24" s="330">
        <v>1682839</v>
      </c>
      <c r="EZ24" s="330">
        <v>798474</v>
      </c>
      <c r="FA24" s="386">
        <v>756336</v>
      </c>
      <c r="FB24" s="104">
        <v>31000</v>
      </c>
      <c r="FC24" s="104">
        <v>7046</v>
      </c>
      <c r="FD24" s="303">
        <f t="shared" si="79"/>
        <v>5749</v>
      </c>
      <c r="FE24" s="105">
        <v>0</v>
      </c>
      <c r="FF24" s="105">
        <v>836</v>
      </c>
      <c r="FG24" s="105">
        <v>972</v>
      </c>
      <c r="FH24" s="105">
        <v>1547</v>
      </c>
      <c r="FI24" s="105">
        <v>800</v>
      </c>
      <c r="FJ24" s="105">
        <v>940</v>
      </c>
      <c r="FK24" s="105">
        <v>378</v>
      </c>
      <c r="FL24" s="105">
        <v>0</v>
      </c>
      <c r="FM24" s="105">
        <v>276</v>
      </c>
      <c r="FN24" s="80">
        <v>1200</v>
      </c>
      <c r="FO24" s="104"/>
      <c r="FP24" s="162"/>
      <c r="FY24" s="119">
        <v>19</v>
      </c>
      <c r="FZ24" s="107"/>
      <c r="GA24" s="107"/>
      <c r="GB24" s="107"/>
      <c r="GC24" s="109"/>
      <c r="GD24" s="110"/>
      <c r="GE24" s="110"/>
      <c r="GF24" s="111"/>
      <c r="GG24" s="111"/>
      <c r="GH24" s="111"/>
      <c r="GI24" s="164"/>
      <c r="GJ24" s="111" t="e">
        <f t="shared" si="61"/>
        <v>#DIV/0!</v>
      </c>
    </row>
    <row r="25" spans="1:193" ht="15" customHeight="1">
      <c r="B25" s="351">
        <v>42967</v>
      </c>
      <c r="D25" s="86">
        <v>0</v>
      </c>
      <c r="E25" s="86">
        <v>0</v>
      </c>
      <c r="F25" s="86">
        <v>1980.288</v>
      </c>
      <c r="G25" s="86">
        <v>3878.2829999999999</v>
      </c>
      <c r="H25" s="86">
        <v>9212.7150000000001</v>
      </c>
      <c r="I25" s="86">
        <v>1585.3310000000001</v>
      </c>
      <c r="J25" s="86"/>
      <c r="K25" s="284"/>
      <c r="L25" s="284">
        <v>819.84799999999996</v>
      </c>
      <c r="M25" s="115">
        <f>I25+J25</f>
        <v>1585.3310000000001</v>
      </c>
      <c r="N25" s="88">
        <f>SUM(D25:H25)</f>
        <v>15071.286</v>
      </c>
      <c r="O25" s="88">
        <f t="shared" si="19"/>
        <v>16683.799500000001</v>
      </c>
      <c r="P25" s="89">
        <f t="shared" si="20"/>
        <v>389875.34950000001</v>
      </c>
      <c r="R25" s="170">
        <f t="shared" si="21"/>
        <v>272.90000000002328</v>
      </c>
      <c r="S25" s="170">
        <f t="shared" si="22"/>
        <v>41.1</v>
      </c>
      <c r="T25" s="170">
        <f t="shared" si="1"/>
        <v>439.3</v>
      </c>
      <c r="U25" s="91">
        <f t="shared" si="74"/>
        <v>4.8700000000004362</v>
      </c>
      <c r="V25" s="170">
        <f t="shared" si="23"/>
        <v>1443.6000000000931</v>
      </c>
      <c r="W25" s="91">
        <f t="shared" si="2"/>
        <v>128.19999999999999</v>
      </c>
      <c r="X25" s="170">
        <f t="shared" si="24"/>
        <v>1443.6000000000931</v>
      </c>
      <c r="Y25" s="170">
        <f t="shared" si="25"/>
        <v>121.8</v>
      </c>
      <c r="Z25" s="170">
        <f t="shared" si="3"/>
        <v>152.4</v>
      </c>
      <c r="AA25" s="170">
        <f t="shared" si="26"/>
        <v>2201.7700000001169</v>
      </c>
      <c r="AB25" s="170">
        <f t="shared" si="27"/>
        <v>0</v>
      </c>
      <c r="AC25" s="170">
        <f t="shared" si="27"/>
        <v>0</v>
      </c>
      <c r="AD25" s="170">
        <f t="shared" si="28"/>
        <v>0</v>
      </c>
      <c r="AE25" s="170">
        <f t="shared" si="29"/>
        <v>0</v>
      </c>
      <c r="AF25" s="170">
        <f t="shared" si="30"/>
        <v>40</v>
      </c>
      <c r="AG25" s="170">
        <f t="shared" si="30"/>
        <v>58.69999999999709</v>
      </c>
      <c r="AH25" s="170">
        <f t="shared" si="31"/>
        <v>146</v>
      </c>
      <c r="AI25" s="170">
        <f t="shared" si="32"/>
        <v>47.30000000000291</v>
      </c>
      <c r="AJ25" s="170">
        <f t="shared" si="33"/>
        <v>107</v>
      </c>
      <c r="AK25" s="170">
        <f t="shared" si="33"/>
        <v>7.2999999999956344</v>
      </c>
      <c r="AL25" s="170">
        <f t="shared" si="34"/>
        <v>220</v>
      </c>
      <c r="AM25" s="170">
        <f t="shared" si="35"/>
        <v>105.70000000000437</v>
      </c>
      <c r="AN25" s="170">
        <f t="shared" si="36"/>
        <v>-0.10000000000582077</v>
      </c>
      <c r="AO25" s="170">
        <f t="shared" si="4"/>
        <v>38.700000000004366</v>
      </c>
      <c r="AP25" s="170">
        <f t="shared" si="37"/>
        <v>29.19999999999709</v>
      </c>
      <c r="AQ25" s="170">
        <f t="shared" si="5"/>
        <v>40.100000000005821</v>
      </c>
      <c r="AR25" s="170">
        <f t="shared" si="38"/>
        <v>85.150999999999996</v>
      </c>
      <c r="AS25" s="170">
        <f t="shared" si="39"/>
        <v>-192.84899999999999</v>
      </c>
      <c r="AT25" s="170">
        <f t="shared" si="40"/>
        <v>491.15100000000001</v>
      </c>
      <c r="AU25" s="170">
        <f t="shared" si="63"/>
        <v>406</v>
      </c>
      <c r="AV25" s="170">
        <f t="shared" si="64"/>
        <v>66</v>
      </c>
      <c r="AW25" s="170">
        <f>IF(EU25="","",(EU25-EU24))</f>
        <v>278</v>
      </c>
      <c r="AX25" s="170">
        <f t="shared" si="66"/>
        <v>119</v>
      </c>
      <c r="AY25" s="170" t="str">
        <f t="shared" si="66"/>
        <v/>
      </c>
      <c r="AZ25" s="170">
        <f t="shared" si="41"/>
        <v>453</v>
      </c>
      <c r="BA25" s="170">
        <v>0</v>
      </c>
      <c r="BB25" s="170">
        <f t="shared" si="42"/>
        <v>110.20000000001164</v>
      </c>
      <c r="BC25" s="170">
        <f t="shared" si="42"/>
        <v>892</v>
      </c>
      <c r="BD25" s="91">
        <f t="shared" si="43"/>
        <v>318</v>
      </c>
      <c r="BE25" s="90"/>
      <c r="BF25" s="90"/>
      <c r="BG25" s="90">
        <f t="shared" si="44"/>
        <v>1773.2000000000116</v>
      </c>
      <c r="BH25" s="90">
        <f t="shared" si="45"/>
        <v>-831</v>
      </c>
      <c r="BI25" s="90">
        <f t="shared" si="6"/>
        <v>2244.0789999998615</v>
      </c>
      <c r="BJ25" s="90">
        <f t="shared" si="46"/>
        <v>5095.9210000001385</v>
      </c>
      <c r="BK25" s="92"/>
      <c r="BL25" s="331">
        <f>FD25+FN25</f>
        <v>6509</v>
      </c>
      <c r="BM25" s="93">
        <f t="shared" si="47"/>
        <v>124648.9</v>
      </c>
      <c r="BN25" s="92"/>
      <c r="BO25" s="94">
        <f t="shared" si="48"/>
        <v>0.18107280294463479</v>
      </c>
      <c r="BP25" s="94">
        <f t="shared" si="48"/>
        <v>2.7270400150325592E-2</v>
      </c>
      <c r="BQ25" s="94">
        <f t="shared" si="49"/>
        <v>0.29148143031722706</v>
      </c>
      <c r="BR25" s="94">
        <f t="shared" si="68"/>
        <v>0.95784792352828618</v>
      </c>
      <c r="BS25" s="94">
        <f t="shared" si="78"/>
        <v>8.0815930372497735E-2</v>
      </c>
      <c r="BT25" s="94">
        <f t="shared" si="78"/>
        <v>0.10111943997347009</v>
      </c>
      <c r="BU25" s="95">
        <f t="shared" si="78"/>
        <v>1.4609038671286025</v>
      </c>
      <c r="BV25" s="94">
        <f t="shared" si="8"/>
        <v>0.16357185304224212</v>
      </c>
      <c r="BW25" s="94">
        <f t="shared" si="8"/>
        <v>2.4634676291812305E-2</v>
      </c>
      <c r="BX25" s="94">
        <f t="shared" si="8"/>
        <v>0.26330932591224199</v>
      </c>
      <c r="BY25" s="94">
        <f t="shared" si="50"/>
        <v>0.86527052785553615</v>
      </c>
      <c r="BZ25" s="95">
        <f t="shared" si="9"/>
        <v>1.3197053824580647</v>
      </c>
      <c r="CA25" s="96" t="e">
        <f>#REF!</f>
        <v>#REF!</v>
      </c>
      <c r="CB25" s="94">
        <f t="shared" si="51"/>
        <v>5.1038134329053762E-2</v>
      </c>
      <c r="CC25" s="95">
        <f t="shared" si="51"/>
        <v>-0.1155905763552241</v>
      </c>
      <c r="CD25" s="97">
        <f t="shared" si="10"/>
        <v>0.53711811602750459</v>
      </c>
      <c r="CE25" s="98">
        <f t="shared" si="10"/>
        <v>-1.2164588972271404</v>
      </c>
      <c r="CF25" s="97" t="str">
        <f t="shared" si="52"/>
        <v>0,00</v>
      </c>
      <c r="CG25" s="94" t="str">
        <f t="shared" si="52"/>
        <v>0,00</v>
      </c>
      <c r="CH25" s="95" t="str">
        <f t="shared" si="53"/>
        <v xml:space="preserve">0,00 </v>
      </c>
      <c r="CI25" s="96" t="e">
        <f>#REF!</f>
        <v>#REF!</v>
      </c>
      <c r="CJ25" s="94" t="str">
        <f t="shared" si="54"/>
        <v>0,00</v>
      </c>
      <c r="CK25" s="94" t="str">
        <f t="shared" si="54"/>
        <v>0,00</v>
      </c>
      <c r="CL25" s="95" t="str">
        <f t="shared" si="69"/>
        <v xml:space="preserve">0,00 </v>
      </c>
      <c r="CM25" s="95" t="e">
        <f>#REF!</f>
        <v>#REF!</v>
      </c>
      <c r="CN25" s="94">
        <f t="shared" si="55"/>
        <v>0.54032544761166057</v>
      </c>
      <c r="CO25" s="94">
        <f t="shared" si="55"/>
        <v>3.6863324930493109E-2</v>
      </c>
      <c r="CP25" s="95">
        <f t="shared" si="56"/>
        <v>1.1109495184538813</v>
      </c>
      <c r="CQ25" s="95" t="e">
        <f>#REF!</f>
        <v>#REF!</v>
      </c>
      <c r="CR25" s="97">
        <f t="shared" si="70"/>
        <v>-2.5784606230597608E-4</v>
      </c>
      <c r="CS25" s="95">
        <f t="shared" si="70"/>
        <v>9.9786426106615658E-2</v>
      </c>
      <c r="CT25" s="96" t="e">
        <f>#REF!</f>
        <v>#REF!</v>
      </c>
      <c r="CU25" s="97">
        <f t="shared" si="71"/>
        <v>3.1695325427951573E-2</v>
      </c>
      <c r="CV25" s="95">
        <f t="shared" si="57"/>
        <v>4.352679964593046E-2</v>
      </c>
      <c r="CW25" s="96" t="e">
        <f>#REF!</f>
        <v>#REF!</v>
      </c>
      <c r="CX25" s="99">
        <f t="shared" si="58"/>
        <v>0.2433498436612116</v>
      </c>
      <c r="CY25" s="95">
        <f t="shared" si="58"/>
        <v>3.9559334191231435E-2</v>
      </c>
      <c r="CZ25" s="99">
        <f t="shared" si="58"/>
        <v>0.16662871068427787</v>
      </c>
      <c r="DA25" s="95">
        <f t="shared" si="58"/>
        <v>7.1326678314493047E-2</v>
      </c>
      <c r="DB25" s="94">
        <f t="shared" si="11"/>
        <v>0.27152088467617941</v>
      </c>
      <c r="DC25" s="94">
        <f t="shared" si="12"/>
        <v>6.6052100422335835E-2</v>
      </c>
      <c r="DD25" s="94">
        <f t="shared" si="12"/>
        <v>0.53465039543300663</v>
      </c>
      <c r="DE25" s="94">
        <f t="shared" si="12"/>
        <v>0.19060406473956965</v>
      </c>
      <c r="DF25" s="94">
        <f t="shared" si="12"/>
        <v>0</v>
      </c>
      <c r="DG25" s="94">
        <f t="shared" si="12"/>
        <v>0</v>
      </c>
      <c r="DH25" s="95">
        <f t="shared" si="12"/>
        <v>1.0628274452710915</v>
      </c>
      <c r="DI25" s="96" t="e">
        <f>#REF!</f>
        <v>#REF!</v>
      </c>
      <c r="DJ25" s="95">
        <f t="shared" si="59"/>
        <v>-0.49808798049868674</v>
      </c>
      <c r="DK25" s="96" t="e">
        <f>#REF!</f>
        <v>#REF!</v>
      </c>
      <c r="DL25" s="95">
        <f t="shared" si="60"/>
        <v>1.345064713826045</v>
      </c>
      <c r="DM25" s="96">
        <f t="shared" si="13"/>
        <v>0</v>
      </c>
      <c r="DN25" s="94">
        <f t="shared" si="14"/>
        <v>3.0544127553199969</v>
      </c>
      <c r="DO25" s="100">
        <v>3.4</v>
      </c>
      <c r="DP25" s="94">
        <f t="shared" si="72"/>
        <v>3.901389488647355</v>
      </c>
      <c r="DQ25" s="94">
        <f t="shared" si="73"/>
        <v>3.1971475026532801</v>
      </c>
      <c r="DR25" s="101">
        <f t="shared" si="15"/>
        <v>0</v>
      </c>
      <c r="DS25" s="173"/>
      <c r="DT25" s="103">
        <v>20</v>
      </c>
      <c r="DU25" s="330">
        <f>DU24</f>
        <v>631675</v>
      </c>
      <c r="DV25" s="330">
        <f>DV24</f>
        <v>28634</v>
      </c>
      <c r="DW25" s="330">
        <v>5145392</v>
      </c>
      <c r="DX25" s="330">
        <v>121466</v>
      </c>
      <c r="DY25" s="330">
        <v>86072.9</v>
      </c>
      <c r="DZ25" s="330">
        <v>401339</v>
      </c>
      <c r="EA25" s="330">
        <v>237222</v>
      </c>
      <c r="EB25" s="330">
        <v>55261.2</v>
      </c>
      <c r="EC25" s="330">
        <v>416573</v>
      </c>
      <c r="ED25" s="330">
        <v>48008.2</v>
      </c>
      <c r="EE25" s="105">
        <v>40179.300000000003</v>
      </c>
      <c r="EF25" s="330">
        <v>42999</v>
      </c>
      <c r="EG25" s="330">
        <v>93731.8</v>
      </c>
      <c r="EH25" s="330">
        <v>185230</v>
      </c>
      <c r="EI25" s="330">
        <v>33248</v>
      </c>
      <c r="EJ25" s="330">
        <v>42011</v>
      </c>
      <c r="EK25" s="330"/>
      <c r="EL25" s="330">
        <v>711800.9</v>
      </c>
      <c r="EM25" s="330">
        <v>4393</v>
      </c>
      <c r="EN25" s="330">
        <v>46204.800000000003</v>
      </c>
      <c r="EO25" s="330">
        <v>3081791.6</v>
      </c>
      <c r="EP25" s="330">
        <v>2795861</v>
      </c>
      <c r="EQ25" s="330">
        <v>1218</v>
      </c>
      <c r="ER25" s="330">
        <v>1524</v>
      </c>
      <c r="ES25" s="330">
        <v>385583</v>
      </c>
      <c r="ET25" s="330">
        <v>4218093</v>
      </c>
      <c r="EU25" s="330">
        <v>438735</v>
      </c>
      <c r="EV25" s="330">
        <v>149440</v>
      </c>
      <c r="EW25" s="330">
        <v>125267</v>
      </c>
      <c r="EX25" s="330">
        <v>214946.5</v>
      </c>
      <c r="EY25" s="330">
        <v>1683731</v>
      </c>
      <c r="EZ25" s="330">
        <v>798885</v>
      </c>
      <c r="FA25" s="386">
        <v>756654</v>
      </c>
      <c r="FB25" s="104">
        <v>31024.799999999999</v>
      </c>
      <c r="FC25" s="104">
        <v>7340</v>
      </c>
      <c r="FD25" s="303">
        <f t="shared" si="79"/>
        <v>5309</v>
      </c>
      <c r="FE25" s="105">
        <v>0</v>
      </c>
      <c r="FF25" s="105">
        <v>682</v>
      </c>
      <c r="FG25" s="105">
        <v>307</v>
      </c>
      <c r="FH25" s="105">
        <v>1549</v>
      </c>
      <c r="FI25" s="105">
        <v>600</v>
      </c>
      <c r="FJ25" s="105">
        <v>993</v>
      </c>
      <c r="FK25" s="105">
        <v>901</v>
      </c>
      <c r="FL25" s="105">
        <v>0</v>
      </c>
      <c r="FM25" s="105">
        <v>277</v>
      </c>
      <c r="FN25" s="80">
        <v>1200</v>
      </c>
      <c r="FO25" s="333"/>
      <c r="FP25" s="162"/>
      <c r="FQ25" s="175"/>
      <c r="FR25" s="64"/>
      <c r="FS25" s="64"/>
      <c r="FT25" s="64"/>
      <c r="FU25" s="64"/>
      <c r="FV25" s="64"/>
      <c r="FW25" s="64"/>
      <c r="FX25" s="64"/>
      <c r="FY25" s="64">
        <v>20</v>
      </c>
      <c r="FZ25" s="107"/>
      <c r="GA25" s="107"/>
      <c r="GB25" s="107"/>
      <c r="GC25" s="109"/>
      <c r="GD25" s="110"/>
      <c r="GE25" s="110"/>
      <c r="GF25" s="111"/>
      <c r="GG25" s="111"/>
      <c r="GH25" s="111"/>
      <c r="GI25" s="164"/>
      <c r="GJ25" s="111" t="e">
        <f t="shared" si="61"/>
        <v>#DIV/0!</v>
      </c>
      <c r="GK25" s="118"/>
    </row>
    <row r="26" spans="1:193" s="119" customFormat="1" ht="15" customHeight="1">
      <c r="B26" s="351">
        <v>42968</v>
      </c>
      <c r="D26" s="86"/>
      <c r="E26" s="86">
        <v>477</v>
      </c>
      <c r="F26" s="86">
        <v>2568.7440000000001</v>
      </c>
      <c r="G26" s="86">
        <v>4471.4030000000002</v>
      </c>
      <c r="H26" s="86">
        <v>5339.8670000000002</v>
      </c>
      <c r="I26" s="86">
        <v>1958.578</v>
      </c>
      <c r="J26" s="284">
        <v>7262.04</v>
      </c>
      <c r="K26" s="284">
        <v>40.137</v>
      </c>
      <c r="L26" s="284">
        <v>0</v>
      </c>
      <c r="M26" s="115">
        <f t="shared" si="62"/>
        <v>9220.6180000000004</v>
      </c>
      <c r="N26" s="88">
        <f t="shared" si="18"/>
        <v>12857.014000000001</v>
      </c>
      <c r="O26" s="88">
        <f t="shared" si="19"/>
        <v>17467.323</v>
      </c>
      <c r="P26" s="89">
        <f t="shared" si="20"/>
        <v>407342.67249999999</v>
      </c>
      <c r="R26" s="170">
        <f t="shared" si="21"/>
        <v>233.90000000002328</v>
      </c>
      <c r="S26" s="170">
        <f t="shared" si="22"/>
        <v>26.640000000002328</v>
      </c>
      <c r="T26" s="170">
        <f t="shared" si="1"/>
        <v>409.8</v>
      </c>
      <c r="U26" s="91">
        <f t="shared" si="74"/>
        <v>5.2299999999995634</v>
      </c>
      <c r="V26" s="170">
        <f t="shared" si="23"/>
        <v>1069</v>
      </c>
      <c r="W26" s="91">
        <f t="shared" si="2"/>
        <v>96.4</v>
      </c>
      <c r="X26" s="170">
        <f t="shared" si="24"/>
        <v>1069</v>
      </c>
      <c r="Y26" s="170" t="str">
        <f t="shared" si="25"/>
        <v>0</v>
      </c>
      <c r="Z26" s="170">
        <f t="shared" si="3"/>
        <v>116.5</v>
      </c>
      <c r="AA26" s="170">
        <f t="shared" si="26"/>
        <v>1744.5700000000252</v>
      </c>
      <c r="AB26" s="170">
        <f t="shared" si="27"/>
        <v>148</v>
      </c>
      <c r="AC26" s="170">
        <f t="shared" si="27"/>
        <v>45</v>
      </c>
      <c r="AD26" s="170">
        <f t="shared" si="28"/>
        <v>287</v>
      </c>
      <c r="AE26" s="170">
        <f t="shared" si="29"/>
        <v>94</v>
      </c>
      <c r="AF26" s="170">
        <f t="shared" si="30"/>
        <v>69</v>
      </c>
      <c r="AG26" s="170">
        <f t="shared" si="30"/>
        <v>10</v>
      </c>
      <c r="AH26" s="170">
        <f t="shared" si="31"/>
        <v>105</v>
      </c>
      <c r="AI26" s="170">
        <f t="shared" si="32"/>
        <v>26</v>
      </c>
      <c r="AJ26" s="170">
        <f t="shared" si="33"/>
        <v>131</v>
      </c>
      <c r="AK26" s="170">
        <f t="shared" si="33"/>
        <v>7</v>
      </c>
      <c r="AL26" s="170">
        <f t="shared" si="34"/>
        <v>187</v>
      </c>
      <c r="AM26" s="170">
        <f t="shared" si="35"/>
        <v>49</v>
      </c>
      <c r="AN26" s="170">
        <f t="shared" si="36"/>
        <v>0.20000000000436557</v>
      </c>
      <c r="AO26" s="170">
        <f t="shared" si="4"/>
        <v>32.599999999998545</v>
      </c>
      <c r="AP26" s="170">
        <f t="shared" si="37"/>
        <v>34.099999999991269</v>
      </c>
      <c r="AQ26" s="170">
        <f t="shared" si="5"/>
        <v>45</v>
      </c>
      <c r="AR26" s="170">
        <f t="shared" si="38"/>
        <v>39.808999999999997</v>
      </c>
      <c r="AS26" s="170">
        <f t="shared" si="39"/>
        <v>109.80899999999997</v>
      </c>
      <c r="AT26" s="170">
        <f t="shared" si="40"/>
        <v>991.80899999999997</v>
      </c>
      <c r="AU26" s="170">
        <f t="shared" si="63"/>
        <v>245</v>
      </c>
      <c r="AV26" s="170">
        <f t="shared" si="64"/>
        <v>20</v>
      </c>
      <c r="AW26" s="170">
        <f t="shared" si="65"/>
        <v>637</v>
      </c>
      <c r="AX26" s="170">
        <f t="shared" si="66"/>
        <v>5</v>
      </c>
      <c r="AY26" s="170" t="str">
        <f t="shared" si="66"/>
        <v/>
      </c>
      <c r="AZ26" s="170">
        <f t="shared" si="41"/>
        <v>308</v>
      </c>
      <c r="BA26" s="170">
        <v>127</v>
      </c>
      <c r="BB26" s="170">
        <f t="shared" si="42"/>
        <v>100.79999999998836</v>
      </c>
      <c r="BC26" s="170">
        <f t="shared" si="42"/>
        <v>892</v>
      </c>
      <c r="BD26" s="91">
        <f t="shared" si="43"/>
        <v>262</v>
      </c>
      <c r="BE26" s="90"/>
      <c r="BF26" s="90"/>
      <c r="BG26" s="90">
        <f t="shared" si="44"/>
        <v>1562.7999999999884</v>
      </c>
      <c r="BH26" s="90">
        <f t="shared" si="45"/>
        <v>-1669</v>
      </c>
      <c r="BI26" s="90">
        <f t="shared" si="6"/>
        <v>2882.2209999999877</v>
      </c>
      <c r="BJ26" s="90">
        <f t="shared" si="46"/>
        <v>4980.7790000000123</v>
      </c>
      <c r="BK26" s="92"/>
      <c r="BL26" s="331">
        <f t="shared" si="67"/>
        <v>6194</v>
      </c>
      <c r="BM26" s="93">
        <f t="shared" si="47"/>
        <v>130842.9</v>
      </c>
      <c r="BN26" s="92"/>
      <c r="BO26" s="94">
        <f t="shared" si="48"/>
        <v>0.18192404550545194</v>
      </c>
      <c r="BP26" s="94">
        <f t="shared" si="48"/>
        <v>2.0720207662527492E-2</v>
      </c>
      <c r="BQ26" s="94">
        <f t="shared" si="49"/>
        <v>0.31873652778164507</v>
      </c>
      <c r="BR26" s="94">
        <f t="shared" si="68"/>
        <v>0.83145277744894719</v>
      </c>
      <c r="BS26" s="94">
        <f t="shared" si="78"/>
        <v>0</v>
      </c>
      <c r="BT26" s="94">
        <f t="shared" si="78"/>
        <v>9.0612019244903988E-2</v>
      </c>
      <c r="BU26" s="95">
        <f t="shared" si="78"/>
        <v>1.3569013769449305</v>
      </c>
      <c r="BV26" s="94">
        <f t="shared" si="8"/>
        <v>0.13390718199922408</v>
      </c>
      <c r="BW26" s="94">
        <f t="shared" si="8"/>
        <v>1.5251335307649792E-2</v>
      </c>
      <c r="BX26" s="94">
        <f t="shared" si="8"/>
        <v>0.23460950484513282</v>
      </c>
      <c r="BY26" s="94">
        <f t="shared" si="50"/>
        <v>0.61199990404940707</v>
      </c>
      <c r="BZ26" s="95">
        <f t="shared" si="9"/>
        <v>0.9987620885009254</v>
      </c>
      <c r="CA26" s="96" t="e">
        <f>#REF!</f>
        <v>#REF!</v>
      </c>
      <c r="CB26" s="94">
        <f t="shared" si="51"/>
        <v>2.2790555828159816E-2</v>
      </c>
      <c r="CC26" s="95">
        <f t="shared" si="51"/>
        <v>6.2865385840749591E-2</v>
      </c>
      <c r="CD26" s="97">
        <f t="shared" si="10"/>
        <v>4.3173895719354163E-2</v>
      </c>
      <c r="CE26" s="98">
        <f t="shared" si="10"/>
        <v>0.11909071604528022</v>
      </c>
      <c r="CF26" s="97" t="str">
        <f t="shared" si="52"/>
        <v>0,00</v>
      </c>
      <c r="CG26" s="94" t="str">
        <f t="shared" si="52"/>
        <v>0,00</v>
      </c>
      <c r="CH26" s="95" t="str">
        <f t="shared" si="53"/>
        <v xml:space="preserve">0,00 </v>
      </c>
      <c r="CI26" s="96" t="e">
        <f>#REF!</f>
        <v>#REF!</v>
      </c>
      <c r="CJ26" s="94">
        <f t="shared" si="54"/>
        <v>1.4465408805031446</v>
      </c>
      <c r="CK26" s="94">
        <f t="shared" si="54"/>
        <v>0.20964360587002098</v>
      </c>
      <c r="CL26" s="95">
        <f t="shared" si="69"/>
        <v>2.2012578616352201</v>
      </c>
      <c r="CM26" s="95" t="e">
        <f>#REF!</f>
        <v>#REF!</v>
      </c>
      <c r="CN26" s="94">
        <f t="shared" si="55"/>
        <v>0.50997686028658362</v>
      </c>
      <c r="CO26" s="94">
        <f t="shared" si="55"/>
        <v>2.7250671923710574E-2</v>
      </c>
      <c r="CP26" s="95">
        <f t="shared" si="56"/>
        <v>0.72798223567626819</v>
      </c>
      <c r="CQ26" s="95" t="e">
        <f>#REF!</f>
        <v>#REF!</v>
      </c>
      <c r="CR26" s="97">
        <f t="shared" si="70"/>
        <v>4.4728690302432044E-4</v>
      </c>
      <c r="CS26" s="95">
        <f t="shared" si="70"/>
        <v>7.2907765191369558E-2</v>
      </c>
      <c r="CT26" s="96" t="e">
        <f>#REF!</f>
        <v>#REF!</v>
      </c>
      <c r="CU26" s="97">
        <f t="shared" si="71"/>
        <v>6.3859268404983252E-2</v>
      </c>
      <c r="CV26" s="95">
        <f t="shared" si="57"/>
        <v>8.4271761824779523E-2</v>
      </c>
      <c r="CW26" s="96" t="e">
        <f>#REF!</f>
        <v>#REF!</v>
      </c>
      <c r="CX26" s="99">
        <f t="shared" si="58"/>
        <v>0.14026190504406427</v>
      </c>
      <c r="CY26" s="95">
        <f t="shared" si="58"/>
        <v>1.1449951432168511E-2</v>
      </c>
      <c r="CZ26" s="99">
        <f t="shared" si="58"/>
        <v>0.36468095311456716</v>
      </c>
      <c r="DA26" s="95">
        <f t="shared" si="58"/>
        <v>2.8624878580421277E-3</v>
      </c>
      <c r="DB26" s="94">
        <f t="shared" si="11"/>
        <v>0.1763292520553951</v>
      </c>
      <c r="DC26" s="94">
        <f t="shared" si="12"/>
        <v>5.7707755218122644E-2</v>
      </c>
      <c r="DD26" s="94">
        <f t="shared" si="12"/>
        <v>0.5106678338747157</v>
      </c>
      <c r="DE26" s="94">
        <f t="shared" si="12"/>
        <v>0.14999436376140751</v>
      </c>
      <c r="DF26" s="94">
        <f t="shared" si="12"/>
        <v>0</v>
      </c>
      <c r="DG26" s="94">
        <f t="shared" si="12"/>
        <v>0</v>
      </c>
      <c r="DH26" s="95">
        <f t="shared" si="12"/>
        <v>0.89469920490964083</v>
      </c>
      <c r="DI26" s="96" t="e">
        <f>#REF!</f>
        <v>#REF!</v>
      </c>
      <c r="DJ26" s="95">
        <f t="shared" si="59"/>
        <v>-0.95549844701446229</v>
      </c>
      <c r="DK26" s="96" t="e">
        <f>#REF!</f>
        <v>#REF!</v>
      </c>
      <c r="DL26" s="95">
        <f t="shared" si="60"/>
        <v>1.6500645233388012</v>
      </c>
      <c r="DM26" s="96">
        <f t="shared" si="13"/>
        <v>0</v>
      </c>
      <c r="DN26" s="94">
        <f t="shared" si="14"/>
        <v>2.8514838822182496</v>
      </c>
      <c r="DO26" s="100">
        <v>3.4</v>
      </c>
      <c r="DP26" s="94">
        <f>IF($O26&lt;&gt;0,IF($O26&lt;&gt;0,BL26/$O26*10,0)," ")</f>
        <v>3.546049958542588</v>
      </c>
      <c r="DQ26" s="94">
        <f>IF($P26&lt;&gt;0,IF($P26&lt;&gt;0,BM26/$P26*10,0)," ")</f>
        <v>3.2121088418498553</v>
      </c>
      <c r="DR26" s="101">
        <f t="shared" si="15"/>
        <v>0</v>
      </c>
      <c r="DS26" s="173"/>
      <c r="DT26" s="103">
        <v>21</v>
      </c>
      <c r="DU26" s="330">
        <v>631823</v>
      </c>
      <c r="DV26" s="330">
        <v>28679</v>
      </c>
      <c r="DW26" s="330">
        <v>5145679</v>
      </c>
      <c r="DX26" s="330">
        <v>121535</v>
      </c>
      <c r="DY26" s="330">
        <v>86082.9</v>
      </c>
      <c r="DZ26" s="330">
        <v>401444</v>
      </c>
      <c r="EA26" s="330">
        <v>237353</v>
      </c>
      <c r="EB26" s="330">
        <v>55268.2</v>
      </c>
      <c r="EC26" s="330">
        <v>416760</v>
      </c>
      <c r="ED26" s="330">
        <v>48008.4</v>
      </c>
      <c r="EE26" s="105">
        <v>40205.5</v>
      </c>
      <c r="EF26" s="330">
        <v>43005.4</v>
      </c>
      <c r="EG26" s="330">
        <v>93765.9</v>
      </c>
      <c r="EH26" s="330">
        <v>185275</v>
      </c>
      <c r="EI26" s="330">
        <v>33268</v>
      </c>
      <c r="EJ26" s="330">
        <v>42016</v>
      </c>
      <c r="EK26" s="330"/>
      <c r="EL26" s="330">
        <v>712034.8</v>
      </c>
      <c r="EM26" s="330">
        <v>4098</v>
      </c>
      <c r="EN26" s="330">
        <v>46257.1</v>
      </c>
      <c r="EO26" s="330">
        <v>3082860.6</v>
      </c>
      <c r="EP26" s="330">
        <v>2796825</v>
      </c>
      <c r="EQ26" s="330">
        <v>0</v>
      </c>
      <c r="ER26" s="330">
        <v>1165</v>
      </c>
      <c r="ES26" s="330">
        <v>386535</v>
      </c>
      <c r="ET26" s="330">
        <v>4257902</v>
      </c>
      <c r="EU26" s="330">
        <v>439372</v>
      </c>
      <c r="EV26" s="330">
        <v>149685</v>
      </c>
      <c r="EW26" s="330">
        <v>125575</v>
      </c>
      <c r="EX26" s="330">
        <v>215047.3</v>
      </c>
      <c r="EY26" s="330">
        <v>1684623</v>
      </c>
      <c r="EZ26" s="330">
        <v>799151.4</v>
      </c>
      <c r="FA26" s="512">
        <v>756916</v>
      </c>
      <c r="FB26" s="303">
        <v>31130.2</v>
      </c>
      <c r="FC26" s="303">
        <v>7863</v>
      </c>
      <c r="FD26" s="303">
        <f t="shared" si="79"/>
        <v>5694</v>
      </c>
      <c r="FE26" s="105">
        <v>0</v>
      </c>
      <c r="FF26" s="105">
        <v>598</v>
      </c>
      <c r="FG26" s="186">
        <f>FG59-FG58</f>
        <v>710</v>
      </c>
      <c r="FH26" s="105">
        <v>1436</v>
      </c>
      <c r="FI26" s="105">
        <v>697</v>
      </c>
      <c r="FJ26" s="186">
        <f>FJ59-FJ58</f>
        <v>923</v>
      </c>
      <c r="FK26" s="105">
        <v>1069</v>
      </c>
      <c r="FL26" s="105">
        <v>0</v>
      </c>
      <c r="FM26" s="105">
        <v>261</v>
      </c>
      <c r="FN26" s="80">
        <v>500</v>
      </c>
      <c r="FO26" s="333"/>
      <c r="FP26" s="162"/>
      <c r="FY26" s="119">
        <v>21</v>
      </c>
      <c r="FZ26" s="107"/>
      <c r="GA26" s="107"/>
      <c r="GB26" s="107"/>
      <c r="GC26" s="109"/>
      <c r="GD26" s="110"/>
      <c r="GE26" s="110"/>
      <c r="GF26" s="111"/>
      <c r="GG26" s="111"/>
      <c r="GH26" s="111"/>
      <c r="GI26" s="164"/>
      <c r="GJ26" s="111" t="e">
        <f t="shared" si="61"/>
        <v>#DIV/0!</v>
      </c>
      <c r="GK26" s="113"/>
    </row>
    <row r="27" spans="1:193" s="119" customFormat="1" ht="15" customHeight="1">
      <c r="B27" s="351">
        <v>42969</v>
      </c>
      <c r="D27" s="86">
        <v>4254.12</v>
      </c>
      <c r="E27" s="86">
        <v>5268</v>
      </c>
      <c r="F27" s="86">
        <v>3182.9760000000001</v>
      </c>
      <c r="G27" s="86">
        <v>672.07899999999995</v>
      </c>
      <c r="H27" s="86">
        <v>6024.1090000000004</v>
      </c>
      <c r="I27" s="86">
        <v>1437.6129999999998</v>
      </c>
      <c r="J27" s="86">
        <v>4872.84</v>
      </c>
      <c r="K27" s="284"/>
      <c r="L27" s="284">
        <v>0</v>
      </c>
      <c r="M27" s="115">
        <f t="shared" si="62"/>
        <v>6310.4529999999995</v>
      </c>
      <c r="N27" s="88">
        <f t="shared" si="18"/>
        <v>19401.284</v>
      </c>
      <c r="O27" s="88">
        <f t="shared" si="19"/>
        <v>22556.5105</v>
      </c>
      <c r="P27" s="89">
        <f t="shared" si="20"/>
        <v>429899.18299999996</v>
      </c>
      <c r="R27" s="170">
        <f t="shared" si="21"/>
        <v>294.79999999993015</v>
      </c>
      <c r="S27" s="170">
        <f t="shared" si="22"/>
        <v>34.269999999995342</v>
      </c>
      <c r="T27" s="170">
        <f t="shared" si="1"/>
        <v>118.2</v>
      </c>
      <c r="U27" s="91">
        <f t="shared" si="74"/>
        <v>5.0700000000004364</v>
      </c>
      <c r="V27" s="170">
        <f t="shared" si="23"/>
        <v>1285.1999999997206</v>
      </c>
      <c r="W27" s="91">
        <f t="shared" si="2"/>
        <v>114.7</v>
      </c>
      <c r="X27" s="170">
        <f t="shared" si="24"/>
        <v>1285.1999999997206</v>
      </c>
      <c r="Y27" s="170" t="str">
        <f t="shared" si="25"/>
        <v>0</v>
      </c>
      <c r="Z27" s="170">
        <f t="shared" si="3"/>
        <v>128.5</v>
      </c>
      <c r="AA27" s="170">
        <f t="shared" si="26"/>
        <v>1737.5399999996466</v>
      </c>
      <c r="AB27" s="170">
        <f t="shared" si="27"/>
        <v>175</v>
      </c>
      <c r="AC27" s="170">
        <f t="shared" si="27"/>
        <v>21</v>
      </c>
      <c r="AD27" s="170">
        <f t="shared" si="28"/>
        <v>395</v>
      </c>
      <c r="AE27" s="170">
        <f t="shared" si="29"/>
        <v>199</v>
      </c>
      <c r="AF27" s="170">
        <f t="shared" si="30"/>
        <v>106</v>
      </c>
      <c r="AG27" s="170">
        <f t="shared" si="30"/>
        <v>34.80000000000291</v>
      </c>
      <c r="AH27" s="170">
        <f t="shared" si="31"/>
        <v>215</v>
      </c>
      <c r="AI27" s="170">
        <f t="shared" si="32"/>
        <v>74.19999999999709</v>
      </c>
      <c r="AJ27" s="170">
        <f t="shared" si="33"/>
        <v>136</v>
      </c>
      <c r="AK27" s="170">
        <f t="shared" si="33"/>
        <v>6.9000000000014552</v>
      </c>
      <c r="AL27" s="170">
        <f t="shared" si="34"/>
        <v>224</v>
      </c>
      <c r="AM27" s="170">
        <f t="shared" si="35"/>
        <v>81.099999999998545</v>
      </c>
      <c r="AN27" s="170">
        <f t="shared" si="36"/>
        <v>67.099999999998545</v>
      </c>
      <c r="AO27" s="170">
        <f t="shared" si="4"/>
        <v>92.69999999999709</v>
      </c>
      <c r="AP27" s="170">
        <f t="shared" si="37"/>
        <v>18.700000000011642</v>
      </c>
      <c r="AQ27" s="170">
        <f t="shared" si="5"/>
        <v>25.200000000011642</v>
      </c>
      <c r="AR27" s="170">
        <f t="shared" si="38"/>
        <v>80.988</v>
      </c>
      <c r="AS27" s="170">
        <f t="shared" si="39"/>
        <v>-32.011999999999944</v>
      </c>
      <c r="AT27" s="170">
        <f t="shared" si="40"/>
        <v>606.98800000000006</v>
      </c>
      <c r="AU27" s="170">
        <f>IF(EV27="","",(EV27-EV26))</f>
        <v>288</v>
      </c>
      <c r="AV27" s="170">
        <f t="shared" si="64"/>
        <v>66</v>
      </c>
      <c r="AW27" s="170">
        <f>IF(EU27="","",(EU27-EU26))</f>
        <v>351</v>
      </c>
      <c r="AX27" s="170">
        <f t="shared" si="66"/>
        <v>78</v>
      </c>
      <c r="AY27" s="170" t="str">
        <f t="shared" si="66"/>
        <v/>
      </c>
      <c r="AZ27" s="170">
        <f t="shared" si="41"/>
        <v>392</v>
      </c>
      <c r="BA27" s="170">
        <v>5</v>
      </c>
      <c r="BB27" s="170">
        <f t="shared" si="42"/>
        <v>122.5</v>
      </c>
      <c r="BC27" s="170">
        <f t="shared" si="42"/>
        <v>915.80000000004657</v>
      </c>
      <c r="BD27" s="91">
        <f t="shared" si="43"/>
        <v>74</v>
      </c>
      <c r="BE27" s="90"/>
      <c r="BF27" s="90"/>
      <c r="BG27" s="90">
        <f t="shared" si="44"/>
        <v>1504.3000000000466</v>
      </c>
      <c r="BH27" s="90">
        <f t="shared" si="45"/>
        <v>-713.44999999999982</v>
      </c>
      <c r="BI27" s="90">
        <f t="shared" si="6"/>
        <v>1907.2720000002982</v>
      </c>
      <c r="BJ27" s="90">
        <f t="shared" si="46"/>
        <v>4944.7279999997018</v>
      </c>
      <c r="BK27" s="92"/>
      <c r="BL27" s="331">
        <f t="shared" si="67"/>
        <v>6138.55</v>
      </c>
      <c r="BM27" s="93">
        <f t="shared" si="47"/>
        <v>136981.44999999998</v>
      </c>
      <c r="BN27" s="92"/>
      <c r="BO27" s="94">
        <f t="shared" si="48"/>
        <v>0.15194870607529384</v>
      </c>
      <c r="BP27" s="94">
        <f t="shared" si="48"/>
        <v>1.7663779366352939E-2</v>
      </c>
      <c r="BQ27" s="94">
        <f t="shared" si="49"/>
        <v>6.0923802775115297E-2</v>
      </c>
      <c r="BR27" s="94">
        <f t="shared" si="68"/>
        <v>0.66243038347344463</v>
      </c>
      <c r="BS27" s="94">
        <f t="shared" si="78"/>
        <v>0</v>
      </c>
      <c r="BT27" s="94">
        <f t="shared" si="78"/>
        <v>6.6232729751288633E-2</v>
      </c>
      <c r="BU27" s="95">
        <f t="shared" si="78"/>
        <v>0.89557990079401262</v>
      </c>
      <c r="BV27" s="94">
        <f t="shared" si="8"/>
        <v>0.13069397414104905</v>
      </c>
      <c r="BW27" s="94">
        <f t="shared" si="8"/>
        <v>1.5192952828406388E-2</v>
      </c>
      <c r="BX27" s="94">
        <f t="shared" si="8"/>
        <v>5.2401722332006989E-2</v>
      </c>
      <c r="BY27" s="94">
        <f t="shared" si="50"/>
        <v>0.56976898088900785</v>
      </c>
      <c r="BZ27" s="95">
        <f t="shared" si="9"/>
        <v>0.77030531828034599</v>
      </c>
      <c r="CA27" s="96" t="e">
        <f>#REF!</f>
        <v>#REF!</v>
      </c>
      <c r="CB27" s="94">
        <f t="shared" si="51"/>
        <v>3.5904489748092905E-2</v>
      </c>
      <c r="CC27" s="95">
        <f t="shared" si="51"/>
        <v>-1.4191911466093101E-2</v>
      </c>
      <c r="CD27" s="97">
        <f t="shared" si="10"/>
        <v>0.12833943933977482</v>
      </c>
      <c r="CE27" s="98">
        <f t="shared" si="10"/>
        <v>-5.0728529314773355E-2</v>
      </c>
      <c r="CF27" s="97">
        <f t="shared" si="52"/>
        <v>0.41136592291707802</v>
      </c>
      <c r="CG27" s="94">
        <f t="shared" si="52"/>
        <v>4.9363910750049367E-2</v>
      </c>
      <c r="CH27" s="95">
        <f t="shared" si="53"/>
        <v>0.92851165458426188</v>
      </c>
      <c r="CI27" s="96" t="e">
        <f>#REF!</f>
        <v>#REF!</v>
      </c>
      <c r="CJ27" s="94">
        <f t="shared" si="54"/>
        <v>0.20121488230827639</v>
      </c>
      <c r="CK27" s="94">
        <f t="shared" si="54"/>
        <v>6.6059225512534001E-2</v>
      </c>
      <c r="CL27" s="95">
        <f t="shared" si="69"/>
        <v>0.40812452543659833</v>
      </c>
      <c r="CM27" s="95" t="e">
        <f>#REF!</f>
        <v>#REF!</v>
      </c>
      <c r="CN27" s="94">
        <f t="shared" si="55"/>
        <v>0.42727309285398313</v>
      </c>
      <c r="CO27" s="94">
        <f t="shared" si="55"/>
        <v>2.167782603450813E-2</v>
      </c>
      <c r="CP27" s="95">
        <f t="shared" si="56"/>
        <v>0.70374391764185462</v>
      </c>
      <c r="CQ27" s="95" t="e">
        <f>#REF!</f>
        <v>#REF!</v>
      </c>
      <c r="CR27" s="97">
        <f t="shared" si="70"/>
        <v>0.99839453397589495</v>
      </c>
      <c r="CS27" s="95">
        <f t="shared" si="70"/>
        <v>1.3793021356119906</v>
      </c>
      <c r="CT27" s="96" t="e">
        <f>#REF!</f>
        <v>#REF!</v>
      </c>
      <c r="CU27" s="97">
        <f t="shared" si="71"/>
        <v>3.1041934998207437E-2</v>
      </c>
      <c r="CV27" s="95">
        <f t="shared" si="57"/>
        <v>4.1831912403994746E-2</v>
      </c>
      <c r="CW27" s="96" t="e">
        <f>#REF!</f>
        <v>#REF!</v>
      </c>
      <c r="CX27" s="99">
        <f t="shared" ref="CX27:DA37" si="80">IF($O27&lt;&gt;0,IF($O27&lt;&gt;0,AU27/$O27*10,0)," ")</f>
        <v>0.12767932344854493</v>
      </c>
      <c r="CY27" s="95">
        <f t="shared" si="80"/>
        <v>2.9259844956958211E-2</v>
      </c>
      <c r="CZ27" s="99">
        <f t="shared" si="80"/>
        <v>0.15560917545291414</v>
      </c>
      <c r="DA27" s="95">
        <f t="shared" si="80"/>
        <v>3.4579816767314253E-2</v>
      </c>
      <c r="DB27" s="94">
        <f t="shared" si="11"/>
        <v>0.17378574580496395</v>
      </c>
      <c r="DC27" s="94">
        <f t="shared" si="12"/>
        <v>5.4308045564051236E-2</v>
      </c>
      <c r="DD27" s="94">
        <f t="shared" si="12"/>
        <v>0.40600251532702569</v>
      </c>
      <c r="DE27" s="94">
        <f t="shared" si="12"/>
        <v>3.2806492830528909E-2</v>
      </c>
      <c r="DF27" s="94">
        <f t="shared" si="12"/>
        <v>0</v>
      </c>
      <c r="DG27" s="94">
        <f t="shared" si="12"/>
        <v>0</v>
      </c>
      <c r="DH27" s="95">
        <f t="shared" si="12"/>
        <v>0.66690279952656972</v>
      </c>
      <c r="DI27" s="96" t="e">
        <f>#REF!</f>
        <v>#REF!</v>
      </c>
      <c r="DJ27" s="95">
        <f t="shared" si="59"/>
        <v>-0.31629449067487625</v>
      </c>
      <c r="DK27" s="96" t="e">
        <f>#REF!</f>
        <v>#REF!</v>
      </c>
      <c r="DL27" s="95">
        <f t="shared" si="60"/>
        <v>0.84555277289024744</v>
      </c>
      <c r="DM27" s="96">
        <f t="shared" si="13"/>
        <v>0</v>
      </c>
      <c r="DN27" s="94">
        <f t="shared" si="14"/>
        <v>2.1921511308230506</v>
      </c>
      <c r="DO27" s="100">
        <v>3.4</v>
      </c>
      <c r="DP27" s="94">
        <f t="shared" si="72"/>
        <v>2.7214094130384221</v>
      </c>
      <c r="DQ27" s="94">
        <f>IF($P27&lt;&gt;0,IF($P27&lt;&gt;0,BM27/$P27*10,0)," ")</f>
        <v>3.1863621848288086</v>
      </c>
      <c r="DR27" s="101">
        <f t="shared" si="15"/>
        <v>0</v>
      </c>
      <c r="DS27" s="173"/>
      <c r="DT27" s="103">
        <v>22</v>
      </c>
      <c r="DU27" s="362">
        <v>631998</v>
      </c>
      <c r="DV27" s="362">
        <v>28700</v>
      </c>
      <c r="DW27" s="361">
        <v>5146074</v>
      </c>
      <c r="DX27" s="364">
        <v>121641</v>
      </c>
      <c r="DY27" s="364">
        <v>86117.7</v>
      </c>
      <c r="DZ27" s="364">
        <v>401659</v>
      </c>
      <c r="EA27" s="381">
        <v>237489</v>
      </c>
      <c r="EB27" s="390">
        <v>55275.1</v>
      </c>
      <c r="EC27" s="381">
        <v>416984</v>
      </c>
      <c r="ED27" s="361">
        <v>48075.5</v>
      </c>
      <c r="EE27" s="303">
        <v>40228.1</v>
      </c>
      <c r="EF27" s="381">
        <v>43075.5</v>
      </c>
      <c r="EG27" s="364">
        <v>93784.6</v>
      </c>
      <c r="EH27" s="364">
        <v>185300.2</v>
      </c>
      <c r="EI27" s="361">
        <v>33334</v>
      </c>
      <c r="EJ27" s="303">
        <v>42094</v>
      </c>
      <c r="EK27" s="330"/>
      <c r="EL27" s="361">
        <v>712329.6</v>
      </c>
      <c r="EM27" s="361">
        <v>1182</v>
      </c>
      <c r="EN27" s="303">
        <v>46307.8</v>
      </c>
      <c r="EO27" s="361">
        <v>3084145.8</v>
      </c>
      <c r="EP27" s="303">
        <v>2797972</v>
      </c>
      <c r="EQ27" s="303">
        <v>0</v>
      </c>
      <c r="ER27" s="303">
        <v>1285</v>
      </c>
      <c r="ES27" s="303">
        <v>387061</v>
      </c>
      <c r="ET27" s="303">
        <v>4338890</v>
      </c>
      <c r="EU27" s="303">
        <v>439723</v>
      </c>
      <c r="EV27" s="303">
        <v>149973</v>
      </c>
      <c r="EW27" s="303">
        <v>125967</v>
      </c>
      <c r="EX27" s="303">
        <v>215169.8</v>
      </c>
      <c r="EY27" s="303">
        <v>1685538.8</v>
      </c>
      <c r="EZ27" s="381">
        <v>799494.1</v>
      </c>
      <c r="FA27" s="512">
        <v>756990</v>
      </c>
      <c r="FB27" s="104">
        <v>31143.599999999999</v>
      </c>
      <c r="FC27" s="393">
        <v>6852</v>
      </c>
      <c r="FD27" s="303">
        <f t="shared" si="79"/>
        <v>6138.55</v>
      </c>
      <c r="FE27" s="105">
        <v>0</v>
      </c>
      <c r="FF27" s="105">
        <v>651</v>
      </c>
      <c r="FG27" s="105">
        <f>FG60-FG59</f>
        <v>1080</v>
      </c>
      <c r="FH27" s="105">
        <v>1548</v>
      </c>
      <c r="FI27" s="105">
        <v>692</v>
      </c>
      <c r="FJ27" s="105">
        <f>FJ60-FJ59</f>
        <v>928</v>
      </c>
      <c r="FK27" s="105">
        <v>1062.55</v>
      </c>
      <c r="FL27" s="105">
        <v>0</v>
      </c>
      <c r="FM27" s="105">
        <v>177</v>
      </c>
      <c r="FN27" s="80">
        <v>0</v>
      </c>
      <c r="FO27" s="333"/>
      <c r="FP27" s="162"/>
      <c r="FY27" s="119">
        <v>22</v>
      </c>
      <c r="FZ27" s="107"/>
      <c r="GA27" s="107"/>
      <c r="GB27" s="107"/>
      <c r="GC27" s="109"/>
      <c r="GD27" s="110"/>
      <c r="GE27" s="110"/>
      <c r="GF27" s="111"/>
      <c r="GG27" s="111"/>
      <c r="GH27" s="111"/>
      <c r="GI27" s="112"/>
      <c r="GJ27" s="111" t="e">
        <f t="shared" si="61"/>
        <v>#DIV/0!</v>
      </c>
      <c r="GK27" s="113"/>
    </row>
    <row r="28" spans="1:193" ht="15" customHeight="1">
      <c r="B28" s="351">
        <v>42970</v>
      </c>
      <c r="D28" s="86">
        <v>5779.08</v>
      </c>
      <c r="E28" s="86">
        <v>1211.28</v>
      </c>
      <c r="F28" s="86">
        <v>2550.5279999999998</v>
      </c>
      <c r="G28" s="86">
        <v>4046.5309999999999</v>
      </c>
      <c r="H28" s="86">
        <v>6143.4189999999999</v>
      </c>
      <c r="I28" s="86">
        <v>1465.3140000000001</v>
      </c>
      <c r="J28" s="86">
        <v>3096</v>
      </c>
      <c r="K28" s="363">
        <v>0</v>
      </c>
      <c r="L28" s="284">
        <v>103.36</v>
      </c>
      <c r="M28" s="115">
        <f t="shared" si="62"/>
        <v>4561.3140000000003</v>
      </c>
      <c r="N28" s="88">
        <f t="shared" si="18"/>
        <v>19730.837999999996</v>
      </c>
      <c r="O28" s="88">
        <f t="shared" si="19"/>
        <v>22114.854999999996</v>
      </c>
      <c r="P28" s="89">
        <f t="shared" si="20"/>
        <v>452014.03799999994</v>
      </c>
      <c r="R28" s="170">
        <f t="shared" si="21"/>
        <v>269</v>
      </c>
      <c r="S28" s="170">
        <f t="shared" si="22"/>
        <v>2.000000000698492E-2</v>
      </c>
      <c r="T28" s="170">
        <f t="shared" si="1"/>
        <v>7.7</v>
      </c>
      <c r="U28" s="91">
        <f t="shared" si="74"/>
        <v>4.8399999999994181</v>
      </c>
      <c r="V28" s="170">
        <f t="shared" si="23"/>
        <v>1419.3000000002794</v>
      </c>
      <c r="W28" s="91">
        <f t="shared" si="2"/>
        <v>125.8</v>
      </c>
      <c r="X28" s="170">
        <f t="shared" si="24"/>
        <v>1419.3000000002794</v>
      </c>
      <c r="Y28" s="170" t="str">
        <f t="shared" si="25"/>
        <v>0</v>
      </c>
      <c r="Z28" s="170">
        <f t="shared" si="3"/>
        <v>166.6</v>
      </c>
      <c r="AA28" s="170">
        <f t="shared" si="26"/>
        <v>1700.8600000002857</v>
      </c>
      <c r="AB28" s="170">
        <f t="shared" si="27"/>
        <v>189</v>
      </c>
      <c r="AC28" s="170">
        <f t="shared" si="27"/>
        <v>27</v>
      </c>
      <c r="AD28" s="170">
        <f t="shared" si="28"/>
        <v>419</v>
      </c>
      <c r="AE28" s="170">
        <f t="shared" si="29"/>
        <v>203</v>
      </c>
      <c r="AF28" s="170">
        <f t="shared" si="30"/>
        <v>87</v>
      </c>
      <c r="AG28" s="170">
        <f t="shared" si="30"/>
        <v>26.69999999999709</v>
      </c>
      <c r="AH28" s="170">
        <f t="shared" si="31"/>
        <v>198</v>
      </c>
      <c r="AI28" s="170">
        <f t="shared" si="32"/>
        <v>84.30000000000291</v>
      </c>
      <c r="AJ28" s="170">
        <f t="shared" si="33"/>
        <v>144</v>
      </c>
      <c r="AK28" s="170">
        <f t="shared" si="33"/>
        <v>6.5</v>
      </c>
      <c r="AL28" s="170">
        <f t="shared" si="34"/>
        <v>250</v>
      </c>
      <c r="AM28" s="170">
        <f t="shared" si="35"/>
        <v>99.5</v>
      </c>
      <c r="AN28" s="170">
        <f t="shared" si="36"/>
        <v>0</v>
      </c>
      <c r="AO28" s="170">
        <f t="shared" si="4"/>
        <v>46.80000000000291</v>
      </c>
      <c r="AP28" s="170">
        <f t="shared" si="37"/>
        <v>27.69999999999709</v>
      </c>
      <c r="AQ28" s="170">
        <f t="shared" si="5"/>
        <v>72.5</v>
      </c>
      <c r="AR28" s="170">
        <f t="shared" si="38"/>
        <v>75.103999999999999</v>
      </c>
      <c r="AS28" s="170">
        <f t="shared" si="39"/>
        <v>198.10400000000004</v>
      </c>
      <c r="AT28" s="170">
        <f t="shared" si="40"/>
        <v>877.10400000000004</v>
      </c>
      <c r="AU28" s="170">
        <f t="shared" si="63"/>
        <v>187</v>
      </c>
      <c r="AV28" s="170">
        <f t="shared" si="64"/>
        <v>37</v>
      </c>
      <c r="AW28" s="170">
        <f t="shared" si="65"/>
        <v>492</v>
      </c>
      <c r="AX28" s="170">
        <f t="shared" si="66"/>
        <v>27</v>
      </c>
      <c r="AY28" s="170" t="str">
        <f t="shared" si="66"/>
        <v/>
      </c>
      <c r="AZ28" s="170">
        <f t="shared" si="41"/>
        <v>244</v>
      </c>
      <c r="BA28" s="170">
        <v>115</v>
      </c>
      <c r="BB28" s="170">
        <f t="shared" si="42"/>
        <v>129.20000000001164</v>
      </c>
      <c r="BC28" s="170">
        <f t="shared" si="42"/>
        <v>847.89999999990687</v>
      </c>
      <c r="BD28" s="91">
        <f t="shared" si="43"/>
        <v>6</v>
      </c>
      <c r="BE28" s="90"/>
      <c r="BF28" s="90"/>
      <c r="BG28" s="90">
        <f t="shared" si="44"/>
        <v>1227.0999999999185</v>
      </c>
      <c r="BH28" s="90">
        <f t="shared" si="45"/>
        <v>-461</v>
      </c>
      <c r="BI28" s="90">
        <f t="shared" si="6"/>
        <v>1640.6359999997931</v>
      </c>
      <c r="BJ28" s="90">
        <f t="shared" si="46"/>
        <v>4855.3640000002069</v>
      </c>
      <c r="BK28" s="92"/>
      <c r="BL28" s="331">
        <f t="shared" si="67"/>
        <v>6035</v>
      </c>
      <c r="BM28" s="93">
        <f t="shared" si="47"/>
        <v>143016.44999999998</v>
      </c>
      <c r="BN28" s="92"/>
      <c r="BO28" s="94">
        <f t="shared" si="48"/>
        <v>0.13633480747244495</v>
      </c>
      <c r="BP28" s="94">
        <f t="shared" si="48"/>
        <v>1.0136416915989541E-5</v>
      </c>
      <c r="BQ28" s="94">
        <f t="shared" si="49"/>
        <v>3.9025205112930336E-3</v>
      </c>
      <c r="BR28" s="94">
        <f t="shared" si="68"/>
        <v>0.71933082619211597</v>
      </c>
      <c r="BS28" s="94">
        <f t="shared" si="78"/>
        <v>0</v>
      </c>
      <c r="BT28" s="94">
        <f t="shared" si="78"/>
        <v>8.4436352880703808E-2</v>
      </c>
      <c r="BU28" s="95">
        <f t="shared" si="78"/>
        <v>0.86203130348558243</v>
      </c>
      <c r="BV28" s="94">
        <f t="shared" si="8"/>
        <v>0.12163769556707474</v>
      </c>
      <c r="BW28" s="94">
        <f t="shared" si="8"/>
        <v>9.0436948408591983E-6</v>
      </c>
      <c r="BX28" s="94">
        <f t="shared" si="8"/>
        <v>3.4818225125147783E-3</v>
      </c>
      <c r="BY28" s="94">
        <f t="shared" si="50"/>
        <v>0.64178580415755815</v>
      </c>
      <c r="BZ28" s="95">
        <f t="shared" si="9"/>
        <v>0.76910294008271185</v>
      </c>
      <c r="CA28" s="96" t="e">
        <f>#REF!</f>
        <v>#REF!</v>
      </c>
      <c r="CB28" s="94">
        <f t="shared" si="51"/>
        <v>3.3960882854533754E-2</v>
      </c>
      <c r="CC28" s="95">
        <f t="shared" si="51"/>
        <v>8.9579606106393234E-2</v>
      </c>
      <c r="CD28" s="97">
        <f t="shared" si="10"/>
        <v>0.16465430794722746</v>
      </c>
      <c r="CE28" s="98">
        <f t="shared" si="10"/>
        <v>0.43431344564307572</v>
      </c>
      <c r="CF28" s="97">
        <f t="shared" si="52"/>
        <v>0.32704167445337323</v>
      </c>
      <c r="CG28" s="94">
        <f t="shared" si="52"/>
        <v>4.6720239207624741E-2</v>
      </c>
      <c r="CH28" s="95">
        <f t="shared" si="53"/>
        <v>0.72502889733313958</v>
      </c>
      <c r="CI28" s="96" t="e">
        <f>#REF!</f>
        <v>#REF!</v>
      </c>
      <c r="CJ28" s="94">
        <f t="shared" si="54"/>
        <v>0.71824846443431745</v>
      </c>
      <c r="CK28" s="94">
        <f t="shared" si="54"/>
        <v>0.22042797701602512</v>
      </c>
      <c r="CL28" s="95">
        <f t="shared" si="69"/>
        <v>1.6346344362987915</v>
      </c>
      <c r="CM28" s="95" t="e">
        <f>#REF!</f>
        <v>#REF!</v>
      </c>
      <c r="CN28" s="94">
        <f t="shared" si="55"/>
        <v>0.56458897922312556</v>
      </c>
      <c r="CO28" s="94">
        <f t="shared" si="55"/>
        <v>2.5484919201043864E-2</v>
      </c>
      <c r="CP28" s="95">
        <f t="shared" si="56"/>
        <v>0.98018920004014864</v>
      </c>
      <c r="CQ28" s="95" t="e">
        <f>#REF!</f>
        <v>#REF!</v>
      </c>
      <c r="CR28" s="97">
        <f t="shared" si="70"/>
        <v>0</v>
      </c>
      <c r="CS28" s="95">
        <f t="shared" si="70"/>
        <v>0.11565461873393015</v>
      </c>
      <c r="CT28" s="96" t="e">
        <f>#REF!</f>
        <v>#REF!</v>
      </c>
      <c r="CU28" s="97">
        <f t="shared" si="71"/>
        <v>4.5088899194401504E-2</v>
      </c>
      <c r="CV28" s="95">
        <f t="shared" si="57"/>
        <v>0.11801246179041346</v>
      </c>
      <c r="CW28" s="96" t="e">
        <f>#REF!</f>
        <v>#REF!</v>
      </c>
      <c r="CX28" s="99">
        <f t="shared" si="80"/>
        <v>8.4558546732501766E-2</v>
      </c>
      <c r="CY28" s="95">
        <f t="shared" si="80"/>
        <v>1.673083544974634E-2</v>
      </c>
      <c r="CZ28" s="99">
        <f t="shared" si="80"/>
        <v>0.22247489300743778</v>
      </c>
      <c r="DA28" s="95">
        <f t="shared" si="80"/>
        <v>1.2208988030895977E-2</v>
      </c>
      <c r="DB28" s="94">
        <f t="shared" si="11"/>
        <v>0.11033307701994884</v>
      </c>
      <c r="DC28" s="94">
        <f t="shared" si="12"/>
        <v>5.8422268651551937E-2</v>
      </c>
      <c r="DD28" s="94">
        <f t="shared" si="12"/>
        <v>0.38340744264428006</v>
      </c>
      <c r="DE28" s="94">
        <f t="shared" si="12"/>
        <v>2.7131084513102172E-3</v>
      </c>
      <c r="DF28" s="94">
        <f t="shared" si="12"/>
        <v>0</v>
      </c>
      <c r="DG28" s="94">
        <f t="shared" si="12"/>
        <v>0</v>
      </c>
      <c r="DH28" s="95">
        <f t="shared" si="12"/>
        <v>0.55487589676709104</v>
      </c>
      <c r="DI28" s="96" t="e">
        <f>#REF!</f>
        <v>#REF!</v>
      </c>
      <c r="DJ28" s="95">
        <f t="shared" si="59"/>
        <v>-0.20845716600900166</v>
      </c>
      <c r="DK28" s="96" t="e">
        <f>#REF!</f>
        <v>#REF!</v>
      </c>
      <c r="DL28" s="95">
        <f t="shared" si="60"/>
        <v>0.74187056618720471</v>
      </c>
      <c r="DM28" s="96">
        <f t="shared" si="13"/>
        <v>0</v>
      </c>
      <c r="DN28" s="94">
        <f t="shared" si="14"/>
        <v>2.1955215170979905</v>
      </c>
      <c r="DO28" s="100">
        <v>3.4</v>
      </c>
      <c r="DP28" s="94">
        <f>IF($O28&lt;&gt;0,IF($O28&lt;&gt;0,BL28/$O28*10,0)," ")</f>
        <v>2.7289349172761934</v>
      </c>
      <c r="DQ28" s="94">
        <f t="shared" si="73"/>
        <v>3.1639824867563071</v>
      </c>
      <c r="DR28" s="101">
        <f t="shared" si="15"/>
        <v>0</v>
      </c>
      <c r="DS28" s="173"/>
      <c r="DT28" s="103">
        <v>23</v>
      </c>
      <c r="DU28" s="473">
        <v>632187</v>
      </c>
      <c r="DV28" s="361">
        <v>28727</v>
      </c>
      <c r="DW28" s="330">
        <v>5146493</v>
      </c>
      <c r="DX28" s="364">
        <v>121728</v>
      </c>
      <c r="DY28" s="330">
        <v>86144.4</v>
      </c>
      <c r="DZ28" s="330">
        <v>401857</v>
      </c>
      <c r="EA28" s="381">
        <v>237633</v>
      </c>
      <c r="EB28" s="475">
        <v>55281.599999999999</v>
      </c>
      <c r="EC28" s="104">
        <v>417234</v>
      </c>
      <c r="ED28" s="361">
        <v>48075.5</v>
      </c>
      <c r="EE28" s="303">
        <v>40274.9</v>
      </c>
      <c r="EF28" s="105">
        <f>EF27</f>
        <v>43075.5</v>
      </c>
      <c r="EG28" s="330">
        <v>93812.3</v>
      </c>
      <c r="EH28" s="330">
        <v>185372.7</v>
      </c>
      <c r="EI28" s="330">
        <v>33371</v>
      </c>
      <c r="EJ28" s="104">
        <v>42121</v>
      </c>
      <c r="EK28" s="104"/>
      <c r="EL28" s="330">
        <v>712598.6</v>
      </c>
      <c r="EM28" s="330">
        <v>77</v>
      </c>
      <c r="EN28" s="105">
        <v>46356.2</v>
      </c>
      <c r="EO28" s="330">
        <v>3085565.1</v>
      </c>
      <c r="EP28" s="105">
        <v>2799230</v>
      </c>
      <c r="EQ28" s="105">
        <v>0</v>
      </c>
      <c r="ER28" s="105">
        <v>1666</v>
      </c>
      <c r="ES28" s="104">
        <v>387863</v>
      </c>
      <c r="ET28" s="104">
        <v>4413994</v>
      </c>
      <c r="EU28" s="104">
        <v>440215</v>
      </c>
      <c r="EV28" s="104">
        <v>150160</v>
      </c>
      <c r="EW28" s="105">
        <v>126211</v>
      </c>
      <c r="EX28" s="330">
        <v>215299</v>
      </c>
      <c r="EY28" s="330">
        <v>1686386.7</v>
      </c>
      <c r="EZ28" s="381">
        <v>799494.3</v>
      </c>
      <c r="FA28" s="386">
        <v>756996</v>
      </c>
      <c r="FB28" s="386">
        <v>31253.9</v>
      </c>
      <c r="FC28" s="394">
        <v>6496</v>
      </c>
      <c r="FD28" s="303">
        <f t="shared" si="79"/>
        <v>6035</v>
      </c>
      <c r="FE28" s="121">
        <v>0</v>
      </c>
      <c r="FF28" s="136">
        <v>510</v>
      </c>
      <c r="FG28" s="136">
        <f>FG61-FG60</f>
        <v>990</v>
      </c>
      <c r="FH28" s="121">
        <v>1536</v>
      </c>
      <c r="FI28" s="136">
        <v>687</v>
      </c>
      <c r="FJ28" s="121">
        <f>FJ61-FJ60</f>
        <v>902</v>
      </c>
      <c r="FK28" s="136">
        <v>961</v>
      </c>
      <c r="FL28" s="136">
        <v>188</v>
      </c>
      <c r="FM28" s="136">
        <v>261</v>
      </c>
      <c r="FN28" s="187">
        <v>0</v>
      </c>
      <c r="FO28" s="455"/>
      <c r="FP28" s="358"/>
      <c r="FR28" s="64"/>
      <c r="FS28" s="64"/>
      <c r="FT28" s="64"/>
      <c r="FU28" s="64"/>
      <c r="FV28" s="64"/>
      <c r="FW28" s="64"/>
      <c r="FX28" s="64"/>
      <c r="FY28" s="64">
        <v>23</v>
      </c>
      <c r="FZ28" s="107"/>
      <c r="GA28" s="107"/>
      <c r="GB28" s="107"/>
      <c r="GC28" s="109"/>
      <c r="GD28" s="110"/>
      <c r="GE28" s="110"/>
      <c r="GF28" s="111"/>
      <c r="GG28" s="111"/>
      <c r="GH28" s="111"/>
      <c r="GI28" s="112"/>
      <c r="GJ28" s="111" t="e">
        <f t="shared" si="61"/>
        <v>#DIV/0!</v>
      </c>
      <c r="GK28" s="118"/>
    </row>
    <row r="29" spans="1:193" ht="15" customHeight="1">
      <c r="B29" s="351">
        <v>42971</v>
      </c>
      <c r="D29" s="86">
        <v>4360.8</v>
      </c>
      <c r="E29" s="86">
        <v>1692</v>
      </c>
      <c r="F29" s="86">
        <v>3172.6080000000002</v>
      </c>
      <c r="G29" s="86">
        <v>5530.8649999999998</v>
      </c>
      <c r="H29" s="86">
        <v>3397.54</v>
      </c>
      <c r="I29" s="86">
        <v>982.80100000000004</v>
      </c>
      <c r="J29" s="86">
        <v>3570</v>
      </c>
      <c r="K29" s="284"/>
      <c r="L29" s="284">
        <v>0</v>
      </c>
      <c r="M29" s="115">
        <f t="shared" si="62"/>
        <v>4552.8010000000004</v>
      </c>
      <c r="N29" s="88">
        <f t="shared" si="18"/>
        <v>18153.812999999998</v>
      </c>
      <c r="O29" s="88">
        <f t="shared" si="19"/>
        <v>20430.213499999998</v>
      </c>
      <c r="P29" s="89">
        <f t="shared" si="20"/>
        <v>472444.25149999995</v>
      </c>
      <c r="R29" s="170">
        <f t="shared" si="21"/>
        <v>65.700000000069849</v>
      </c>
      <c r="S29" s="170">
        <f t="shared" si="22"/>
        <v>9.8699999999953434</v>
      </c>
      <c r="T29" s="170">
        <f t="shared" si="1"/>
        <v>758.5</v>
      </c>
      <c r="U29" s="91">
        <f t="shared" si="74"/>
        <v>1.9400000000001456</v>
      </c>
      <c r="V29" s="170">
        <f t="shared" si="23"/>
        <v>1354.6999999997206</v>
      </c>
      <c r="W29" s="91">
        <f t="shared" si="2"/>
        <v>120.5</v>
      </c>
      <c r="X29" s="170">
        <f t="shared" si="24"/>
        <v>1354.6999999997206</v>
      </c>
      <c r="Y29" s="170" t="str">
        <f t="shared" si="25"/>
        <v>0</v>
      </c>
      <c r="Z29" s="170">
        <f t="shared" si="3"/>
        <v>324.3</v>
      </c>
      <c r="AA29" s="170">
        <f t="shared" si="26"/>
        <v>2190.7099999997859</v>
      </c>
      <c r="AB29" s="170">
        <f t="shared" si="27"/>
        <v>246</v>
      </c>
      <c r="AC29" s="170">
        <f t="shared" si="27"/>
        <v>49</v>
      </c>
      <c r="AD29" s="170">
        <f t="shared" si="28"/>
        <v>491</v>
      </c>
      <c r="AE29" s="170">
        <f t="shared" si="29"/>
        <v>196</v>
      </c>
      <c r="AF29" s="170">
        <f t="shared" si="30"/>
        <v>86</v>
      </c>
      <c r="AG29" s="170">
        <f t="shared" si="30"/>
        <v>20.600000000005821</v>
      </c>
      <c r="AH29" s="170">
        <f t="shared" si="31"/>
        <v>152</v>
      </c>
      <c r="AI29" s="170">
        <f t="shared" si="32"/>
        <v>45.399999999994179</v>
      </c>
      <c r="AJ29" s="170">
        <f t="shared" si="33"/>
        <v>175</v>
      </c>
      <c r="AK29" s="170">
        <f t="shared" si="33"/>
        <v>6.5</v>
      </c>
      <c r="AL29" s="170">
        <f t="shared" si="34"/>
        <v>266</v>
      </c>
      <c r="AM29" s="170">
        <f t="shared" si="35"/>
        <v>84.5</v>
      </c>
      <c r="AN29" s="170">
        <f t="shared" si="36"/>
        <v>0</v>
      </c>
      <c r="AO29" s="170">
        <f>IF(AN29="","",(EE29-EE28)+(EF29-43040.7))</f>
        <v>50</v>
      </c>
      <c r="AP29" s="170">
        <f t="shared" si="37"/>
        <v>58.399999999994179</v>
      </c>
      <c r="AQ29" s="170">
        <f t="shared" si="5"/>
        <v>110.59999999997672</v>
      </c>
      <c r="AR29" s="170">
        <f t="shared" si="38"/>
        <v>88.710999999999999</v>
      </c>
      <c r="AS29" s="170">
        <f t="shared" si="39"/>
        <v>133.71100000000001</v>
      </c>
      <c r="AT29" s="170">
        <f t="shared" si="40"/>
        <v>449.71100000000001</v>
      </c>
      <c r="AU29" s="170">
        <f t="shared" si="63"/>
        <v>208</v>
      </c>
      <c r="AV29" s="170">
        <f t="shared" si="64"/>
        <v>43</v>
      </c>
      <c r="AW29" s="170">
        <f t="shared" si="65"/>
        <v>108</v>
      </c>
      <c r="AX29" s="170">
        <f t="shared" si="66"/>
        <v>26</v>
      </c>
      <c r="AY29" s="170" t="str">
        <f t="shared" si="66"/>
        <v/>
      </c>
      <c r="AZ29" s="170">
        <f t="shared" si="41"/>
        <v>372</v>
      </c>
      <c r="BA29" s="170">
        <v>0</v>
      </c>
      <c r="BB29" s="170">
        <f t="shared" si="42"/>
        <v>161.89999999999418</v>
      </c>
      <c r="BC29" s="170">
        <f t="shared" si="42"/>
        <v>406</v>
      </c>
      <c r="BD29" s="91">
        <f t="shared" si="43"/>
        <v>2</v>
      </c>
      <c r="BE29" s="90"/>
      <c r="BF29" s="90"/>
      <c r="BG29" s="90">
        <f t="shared" si="44"/>
        <v>941.89999999999418</v>
      </c>
      <c r="BH29" s="90">
        <f t="shared" si="45"/>
        <v>-549</v>
      </c>
      <c r="BI29" s="90">
        <f t="shared" si="6"/>
        <v>1820.0790000002426</v>
      </c>
      <c r="BJ29" s="90">
        <f t="shared" si="46"/>
        <v>4720.9209999997574</v>
      </c>
      <c r="BK29" s="92"/>
      <c r="BL29" s="331">
        <f>FD29+FN29</f>
        <v>5992</v>
      </c>
      <c r="BM29" s="93">
        <f t="shared" si="47"/>
        <v>149008.44999999998</v>
      </c>
      <c r="BN29" s="92"/>
      <c r="BO29" s="94">
        <f t="shared" si="48"/>
        <v>3.6190744060253272E-2</v>
      </c>
      <c r="BP29" s="94">
        <f t="shared" si="48"/>
        <v>5.4368743359840405E-3</v>
      </c>
      <c r="BQ29" s="94">
        <f t="shared" si="49"/>
        <v>0.41781855966016623</v>
      </c>
      <c r="BR29" s="94">
        <f t="shared" si="68"/>
        <v>0.7462344136737119</v>
      </c>
      <c r="BS29" s="94">
        <f t="shared" si="78"/>
        <v>0</v>
      </c>
      <c r="BT29" s="94">
        <f t="shared" si="78"/>
        <v>0.17864015675384562</v>
      </c>
      <c r="BU29" s="95">
        <f t="shared" si="78"/>
        <v>1.2067492377495495</v>
      </c>
      <c r="BV29" s="94">
        <f t="shared" si="8"/>
        <v>3.2158254244415929E-2</v>
      </c>
      <c r="BW29" s="94">
        <f t="shared" si="8"/>
        <v>4.831080203834064E-3</v>
      </c>
      <c r="BX29" s="94">
        <f t="shared" si="8"/>
        <v>0.37126386368894287</v>
      </c>
      <c r="BY29" s="94">
        <f t="shared" si="50"/>
        <v>0.66308656050007553</v>
      </c>
      <c r="BZ29" s="95">
        <f t="shared" si="9"/>
        <v>1.0722893326590963</v>
      </c>
      <c r="CA29" s="96" t="e">
        <f>#REF!</f>
        <v>#REF!</v>
      </c>
      <c r="CB29" s="94">
        <f t="shared" si="51"/>
        <v>4.3421474768239703E-2</v>
      </c>
      <c r="CC29" s="95">
        <f t="shared" si="51"/>
        <v>6.5447676305487465E-2</v>
      </c>
      <c r="CD29" s="97">
        <f t="shared" si="10"/>
        <v>0.19484928069555421</v>
      </c>
      <c r="CE29" s="98">
        <f t="shared" si="10"/>
        <v>0.2936895331028086</v>
      </c>
      <c r="CF29" s="97">
        <f t="shared" si="52"/>
        <v>0.56411667583929548</v>
      </c>
      <c r="CG29" s="94">
        <f t="shared" si="52"/>
        <v>0.11236470372408733</v>
      </c>
      <c r="CH29" s="95">
        <f t="shared" si="53"/>
        <v>1.125940194459732</v>
      </c>
      <c r="CI29" s="96" t="e">
        <f>#REF!</f>
        <v>#REF!</v>
      </c>
      <c r="CJ29" s="94">
        <f t="shared" si="54"/>
        <v>0.50827423167848695</v>
      </c>
      <c r="CK29" s="94">
        <f t="shared" si="54"/>
        <v>0.12174940898348593</v>
      </c>
      <c r="CL29" s="95">
        <f t="shared" si="69"/>
        <v>0.89834515366430268</v>
      </c>
      <c r="CM29" s="95" t="e">
        <f>#REF!</f>
        <v>#REF!</v>
      </c>
      <c r="CN29" s="94">
        <f t="shared" si="55"/>
        <v>0.55159666747357372</v>
      </c>
      <c r="CO29" s="94">
        <f t="shared" si="55"/>
        <v>2.0487876220447024E-2</v>
      </c>
      <c r="CP29" s="95">
        <f t="shared" si="56"/>
        <v>0.83842693455983208</v>
      </c>
      <c r="CQ29" s="95" t="e">
        <f>#REF!</f>
        <v>#REF!</v>
      </c>
      <c r="CR29" s="97">
        <f t="shared" si="70"/>
        <v>0</v>
      </c>
      <c r="CS29" s="95">
        <f t="shared" si="70"/>
        <v>9.0401772597957106E-2</v>
      </c>
      <c r="CT29" s="96" t="e">
        <f>#REF!</f>
        <v>#REF!</v>
      </c>
      <c r="CU29" s="97">
        <f t="shared" si="71"/>
        <v>0.1718890726819822</v>
      </c>
      <c r="CV29" s="95">
        <f t="shared" si="57"/>
        <v>0.32552964792166306</v>
      </c>
      <c r="CW29" s="96" t="e">
        <f>#REF!</f>
        <v>#REF!</v>
      </c>
      <c r="CX29" s="99">
        <f t="shared" si="80"/>
        <v>0.10180999821661188</v>
      </c>
      <c r="CY29" s="95">
        <f t="shared" si="80"/>
        <v>2.104725924670342E-2</v>
      </c>
      <c r="CZ29" s="99">
        <f t="shared" si="80"/>
        <v>5.2862883689394631E-2</v>
      </c>
      <c r="DA29" s="95">
        <f t="shared" si="80"/>
        <v>1.2726249777076485E-2</v>
      </c>
      <c r="DB29" s="94">
        <f t="shared" si="11"/>
        <v>0.18208326604124819</v>
      </c>
      <c r="DC29" s="94">
        <f t="shared" si="12"/>
        <v>7.924537841956189E-2</v>
      </c>
      <c r="DD29" s="94">
        <f t="shared" si="12"/>
        <v>0.19872528498050207</v>
      </c>
      <c r="DE29" s="94">
        <f t="shared" si="12"/>
        <v>9.789422905443451E-4</v>
      </c>
      <c r="DF29" s="94">
        <f t="shared" si="12"/>
        <v>0</v>
      </c>
      <c r="DG29" s="94">
        <f t="shared" si="12"/>
        <v>0</v>
      </c>
      <c r="DH29" s="95">
        <f t="shared" si="12"/>
        <v>0.46103287173185648</v>
      </c>
      <c r="DI29" s="96" t="e">
        <f>#REF!</f>
        <v>#REF!</v>
      </c>
      <c r="DJ29" s="95">
        <f t="shared" si="59"/>
        <v>-0.26871965875442272</v>
      </c>
      <c r="DK29" s="96" t="e">
        <f>#REF!</f>
        <v>#REF!</v>
      </c>
      <c r="DL29" s="95">
        <f t="shared" si="60"/>
        <v>0.89087615261594932</v>
      </c>
      <c r="DM29" s="96">
        <f t="shared" si="13"/>
        <v>0</v>
      </c>
      <c r="DN29" s="94">
        <f t="shared" si="14"/>
        <v>2.3107546086093316</v>
      </c>
      <c r="DO29" s="100">
        <v>3.4</v>
      </c>
      <c r="DP29" s="94">
        <f t="shared" si="72"/>
        <v>2.9329111024708583</v>
      </c>
      <c r="DQ29" s="94">
        <f t="shared" si="73"/>
        <v>3.1539901168635556</v>
      </c>
      <c r="DR29" s="101">
        <f t="shared" si="15"/>
        <v>0</v>
      </c>
      <c r="DS29" s="178"/>
      <c r="DT29" s="103">
        <v>24</v>
      </c>
      <c r="DU29" s="330">
        <v>632433</v>
      </c>
      <c r="DV29" s="330">
        <v>28776</v>
      </c>
      <c r="DW29" s="330">
        <v>5146984</v>
      </c>
      <c r="DX29" s="330">
        <v>121814</v>
      </c>
      <c r="DY29" s="330">
        <v>86165</v>
      </c>
      <c r="DZ29" s="330">
        <v>402009</v>
      </c>
      <c r="EA29" s="330">
        <v>237808</v>
      </c>
      <c r="EB29" s="330">
        <v>55288.1</v>
      </c>
      <c r="EC29" s="330">
        <v>417500</v>
      </c>
      <c r="ED29" s="330">
        <v>48075.5</v>
      </c>
      <c r="EE29" s="330">
        <v>40318.199999999997</v>
      </c>
      <c r="EF29" s="330">
        <v>43047.4</v>
      </c>
      <c r="EG29" s="330">
        <v>93870.7</v>
      </c>
      <c r="EH29" s="330">
        <v>185483.3</v>
      </c>
      <c r="EI29" s="330">
        <v>33414</v>
      </c>
      <c r="EJ29" s="330">
        <v>42147</v>
      </c>
      <c r="EK29" s="330"/>
      <c r="EL29" s="330">
        <v>712664.3</v>
      </c>
      <c r="EM29" s="330">
        <v>7585</v>
      </c>
      <c r="EN29" s="330">
        <v>46375.6</v>
      </c>
      <c r="EO29" s="330">
        <v>3086919.8</v>
      </c>
      <c r="EP29" s="330">
        <v>2800435</v>
      </c>
      <c r="EQ29" s="330">
        <v>0</v>
      </c>
      <c r="ER29" s="330">
        <v>3243</v>
      </c>
      <c r="ES29" s="330">
        <v>388224</v>
      </c>
      <c r="ET29" s="330">
        <v>4502705</v>
      </c>
      <c r="EU29" s="330">
        <v>440323</v>
      </c>
      <c r="EV29" s="330">
        <v>150368</v>
      </c>
      <c r="EW29" s="330">
        <v>126583</v>
      </c>
      <c r="EX29" s="330">
        <v>215460.9</v>
      </c>
      <c r="EY29" s="330">
        <v>1686792.7</v>
      </c>
      <c r="EZ29" s="330">
        <v>799593</v>
      </c>
      <c r="FA29" s="386">
        <v>756998</v>
      </c>
      <c r="FB29" s="387">
        <v>31254.799999999999</v>
      </c>
      <c r="FC29" s="385">
        <v>6541</v>
      </c>
      <c r="FD29" s="303">
        <f t="shared" si="79"/>
        <v>5992</v>
      </c>
      <c r="FE29" s="121">
        <v>0</v>
      </c>
      <c r="FF29" s="121">
        <f>FF62-FF61</f>
        <v>214</v>
      </c>
      <c r="FG29" s="121">
        <f>FG62-FG61</f>
        <v>737</v>
      </c>
      <c r="FH29" s="121">
        <f>FH62-FH61</f>
        <v>1363</v>
      </c>
      <c r="FI29" s="121">
        <f>FI62-FI61</f>
        <v>682</v>
      </c>
      <c r="FJ29" s="121">
        <f>FJ62-FJ61</f>
        <v>997</v>
      </c>
      <c r="FK29" s="121">
        <f t="shared" ref="FK29:FM30" si="81">FK62</f>
        <v>1056</v>
      </c>
      <c r="FL29" s="121">
        <f t="shared" si="81"/>
        <v>676</v>
      </c>
      <c r="FM29" s="121">
        <f t="shared" si="81"/>
        <v>267</v>
      </c>
      <c r="FN29" s="80">
        <v>0</v>
      </c>
      <c r="FO29" s="389"/>
      <c r="FP29" s="81"/>
      <c r="FR29" s="64"/>
      <c r="FS29" s="64"/>
      <c r="FT29" s="64"/>
      <c r="FU29" s="64"/>
      <c r="FV29" s="64"/>
      <c r="FW29" s="64"/>
      <c r="FX29" s="64"/>
      <c r="FY29" s="64">
        <v>24</v>
      </c>
      <c r="FZ29" s="107"/>
      <c r="GA29" s="107"/>
      <c r="GB29" s="107"/>
      <c r="GC29" s="109"/>
      <c r="GD29" s="110"/>
      <c r="GE29" s="110"/>
      <c r="GF29" s="111"/>
      <c r="GG29" s="111"/>
      <c r="GH29" s="111"/>
      <c r="GI29" s="179"/>
      <c r="GJ29" s="111" t="e">
        <f t="shared" si="61"/>
        <v>#DIV/0!</v>
      </c>
      <c r="GK29" s="113"/>
    </row>
    <row r="30" spans="1:193" ht="15" customHeight="1">
      <c r="B30" s="351">
        <v>42972</v>
      </c>
      <c r="D30" s="86">
        <v>3002.3999999999996</v>
      </c>
      <c r="E30" s="86">
        <v>6144.12</v>
      </c>
      <c r="F30" s="86">
        <v>1269.864</v>
      </c>
      <c r="G30" s="86">
        <v>5804.1010000000006</v>
      </c>
      <c r="H30" s="86">
        <v>8235.3649999999998</v>
      </c>
      <c r="I30" s="86">
        <v>1360.143</v>
      </c>
      <c r="J30" s="86">
        <v>2049.48</v>
      </c>
      <c r="K30" s="284">
        <v>20.539000000000001</v>
      </c>
      <c r="L30" s="284">
        <v>136.24</v>
      </c>
      <c r="M30" s="115">
        <f t="shared" si="62"/>
        <v>3409.623</v>
      </c>
      <c r="N30" s="88">
        <f t="shared" si="18"/>
        <v>24455.85</v>
      </c>
      <c r="O30" s="88">
        <f t="shared" si="19"/>
        <v>26296.9015</v>
      </c>
      <c r="P30" s="89">
        <f t="shared" si="20"/>
        <v>498741.15299999993</v>
      </c>
      <c r="R30" s="170">
        <f t="shared" si="21"/>
        <v>163.29999999993015</v>
      </c>
      <c r="S30" s="170">
        <f t="shared" si="22"/>
        <v>127.5</v>
      </c>
      <c r="T30" s="170">
        <f t="shared" si="1"/>
        <v>595.9</v>
      </c>
      <c r="U30" s="91">
        <f t="shared" si="74"/>
        <v>2.3400000000001455</v>
      </c>
      <c r="V30" s="170">
        <f t="shared" si="23"/>
        <v>1662</v>
      </c>
      <c r="W30" s="91">
        <f>IF(EP30=0,"",(EP30-EP29)/10)</f>
        <v>146.30000000000001</v>
      </c>
      <c r="X30" s="170">
        <f t="shared" si="24"/>
        <v>1662</v>
      </c>
      <c r="Y30" s="170">
        <f t="shared" si="25"/>
        <v>127</v>
      </c>
      <c r="Z30" s="170">
        <f t="shared" si="3"/>
        <v>181.8</v>
      </c>
      <c r="AA30" s="170">
        <f t="shared" si="26"/>
        <v>2551.0399999999304</v>
      </c>
      <c r="AB30" s="170">
        <f t="shared" si="27"/>
        <v>46</v>
      </c>
      <c r="AC30" s="170">
        <f t="shared" si="27"/>
        <v>8</v>
      </c>
      <c r="AD30" s="170">
        <f t="shared" si="28"/>
        <v>179</v>
      </c>
      <c r="AE30" s="170">
        <f t="shared" si="29"/>
        <v>125</v>
      </c>
      <c r="AF30" s="170">
        <f>IF(DX30=0,"",(DX30-DX29))</f>
        <v>131</v>
      </c>
      <c r="AG30" s="170">
        <f t="shared" si="30"/>
        <v>12</v>
      </c>
      <c r="AH30" s="170">
        <f t="shared" si="31"/>
        <v>227</v>
      </c>
      <c r="AI30" s="170">
        <f t="shared" si="32"/>
        <v>84</v>
      </c>
      <c r="AJ30" s="170">
        <f>IF(EA30=0,"",(EA30-EA29))</f>
        <v>98</v>
      </c>
      <c r="AK30" s="170">
        <f t="shared" si="33"/>
        <v>44.30000000000291</v>
      </c>
      <c r="AL30" s="170">
        <f t="shared" si="34"/>
        <v>276</v>
      </c>
      <c r="AM30" s="170">
        <f t="shared" si="35"/>
        <v>133.69999999999709</v>
      </c>
      <c r="AN30" s="170">
        <f t="shared" si="36"/>
        <v>0.30000000000291038</v>
      </c>
      <c r="AO30" s="170">
        <f t="shared" si="4"/>
        <v>45</v>
      </c>
      <c r="AP30" s="170">
        <f t="shared" si="37"/>
        <v>25.600000000005821</v>
      </c>
      <c r="AQ30" s="170">
        <f>IF(AP30=0.1,0,(IF(AP30&gt;=(EH30-EH29),(AP30),(EH30-EH29))))</f>
        <v>38.800000000017462</v>
      </c>
      <c r="AR30" s="170">
        <f t="shared" si="38"/>
        <v>122.913</v>
      </c>
      <c r="AS30" s="170">
        <f t="shared" si="39"/>
        <v>190.91300000000001</v>
      </c>
      <c r="AT30" s="170">
        <f t="shared" si="40"/>
        <v>566.91300000000001</v>
      </c>
      <c r="AU30" s="170">
        <f t="shared" si="63"/>
        <v>129</v>
      </c>
      <c r="AV30" s="170">
        <f t="shared" si="64"/>
        <v>37</v>
      </c>
      <c r="AW30" s="170">
        <f t="shared" si="65"/>
        <v>247</v>
      </c>
      <c r="AX30" s="170">
        <f t="shared" si="66"/>
        <v>18</v>
      </c>
      <c r="AY30" s="170" t="str">
        <f t="shared" si="66"/>
        <v/>
      </c>
      <c r="AZ30" s="170">
        <f t="shared" si="41"/>
        <v>276</v>
      </c>
      <c r="BA30" s="170">
        <v>93</v>
      </c>
      <c r="BB30" s="170">
        <f t="shared" si="42"/>
        <v>169.89999999999418</v>
      </c>
      <c r="BC30" s="170">
        <f t="shared" si="42"/>
        <v>0</v>
      </c>
      <c r="BD30" s="91">
        <f t="shared" si="43"/>
        <v>233</v>
      </c>
      <c r="BE30" s="90"/>
      <c r="BF30" s="90"/>
      <c r="BG30" s="90">
        <f t="shared" si="44"/>
        <v>678.89999999999418</v>
      </c>
      <c r="BH30" s="90">
        <f t="shared" si="45"/>
        <v>156</v>
      </c>
      <c r="BI30" s="90">
        <f t="shared" si="6"/>
        <v>1548.347000000058</v>
      </c>
      <c r="BJ30" s="90">
        <f t="shared" si="46"/>
        <v>4617.652999999942</v>
      </c>
      <c r="BK30" s="92"/>
      <c r="BL30" s="331">
        <f t="shared" si="67"/>
        <v>6322</v>
      </c>
      <c r="BM30" s="93">
        <f t="shared" si="47"/>
        <v>155330.44999999998</v>
      </c>
      <c r="BN30" s="92"/>
      <c r="BO30" s="94">
        <f t="shared" si="48"/>
        <v>6.677338959796128E-2</v>
      </c>
      <c r="BP30" s="94">
        <f t="shared" si="48"/>
        <v>5.2134765301553622E-2</v>
      </c>
      <c r="BQ30" s="94">
        <f t="shared" si="49"/>
        <v>0.24366358151526119</v>
      </c>
      <c r="BR30" s="94">
        <f t="shared" si="68"/>
        <v>0.67959199946025184</v>
      </c>
      <c r="BS30" s="94">
        <f t="shared" si="78"/>
        <v>5.1930315241547523E-2</v>
      </c>
      <c r="BT30" s="94">
        <f t="shared" si="78"/>
        <v>7.4338041818215281E-2</v>
      </c>
      <c r="BU30" s="95">
        <f t="shared" si="78"/>
        <v>1.0431205621558566</v>
      </c>
      <c r="BV30" s="94">
        <f t="shared" si="8"/>
        <v>6.2098570814485561E-2</v>
      </c>
      <c r="BW30" s="94">
        <f t="shared" si="8"/>
        <v>4.8484799625537631E-2</v>
      </c>
      <c r="BX30" s="94">
        <f t="shared" si="8"/>
        <v>0.2266046438969245</v>
      </c>
      <c r="BY30" s="94">
        <f t="shared" si="50"/>
        <v>0.63201362335406697</v>
      </c>
      <c r="BZ30" s="95">
        <f t="shared" si="9"/>
        <v>0.97009147636649529</v>
      </c>
      <c r="CA30" s="96" t="e">
        <f>#REF!</f>
        <v>#REF!</v>
      </c>
      <c r="CB30" s="94">
        <f t="shared" si="51"/>
        <v>4.6740487657832994E-2</v>
      </c>
      <c r="CC30" s="95">
        <f t="shared" si="51"/>
        <v>7.2599047458119736E-2</v>
      </c>
      <c r="CD30" s="97">
        <f t="shared" si="10"/>
        <v>0.36048853494946503</v>
      </c>
      <c r="CE30" s="98">
        <f t="shared" si="10"/>
        <v>0.55992407371724096</v>
      </c>
      <c r="CF30" s="97">
        <f t="shared" si="52"/>
        <v>0.15321076472155612</v>
      </c>
      <c r="CG30" s="94">
        <f t="shared" si="52"/>
        <v>2.6645350386357583E-2</v>
      </c>
      <c r="CH30" s="95">
        <f t="shared" si="53"/>
        <v>0.59618971489475092</v>
      </c>
      <c r="CI30" s="96" t="e">
        <f>#REF!</f>
        <v>#REF!</v>
      </c>
      <c r="CJ30" s="94">
        <f t="shared" si="54"/>
        <v>0.21321198153681892</v>
      </c>
      <c r="CK30" s="94">
        <f t="shared" si="54"/>
        <v>1.9530868537723872E-2</v>
      </c>
      <c r="CL30" s="95">
        <f t="shared" si="69"/>
        <v>0.36945892983860995</v>
      </c>
      <c r="CM30" s="95" t="e">
        <f>#REF!</f>
        <v>#REF!</v>
      </c>
      <c r="CN30" s="94">
        <f t="shared" si="55"/>
        <v>0.771736185922272</v>
      </c>
      <c r="CO30" s="94">
        <f t="shared" si="55"/>
        <v>0.34885625547304999</v>
      </c>
      <c r="CP30" s="95">
        <f t="shared" si="56"/>
        <v>2.1734610950463988</v>
      </c>
      <c r="CQ30" s="95" t="e">
        <f>#REF!</f>
        <v>#REF!</v>
      </c>
      <c r="CR30" s="97">
        <f t="shared" si="70"/>
        <v>5.1687591239868219E-4</v>
      </c>
      <c r="CS30" s="95">
        <f t="shared" si="70"/>
        <v>7.7531386859050172E-2</v>
      </c>
      <c r="CT30" s="96" t="e">
        <f>#REF!</f>
        <v>#REF!</v>
      </c>
      <c r="CU30" s="97">
        <f t="shared" si="71"/>
        <v>3.1085446728840584E-2</v>
      </c>
      <c r="CV30" s="95">
        <f t="shared" si="57"/>
        <v>4.7113880198409494E-2</v>
      </c>
      <c r="CW30" s="96" t="e">
        <f>#REF!</f>
        <v>#REF!</v>
      </c>
      <c r="CX30" s="99">
        <f t="shared" si="80"/>
        <v>4.9055209032896896E-2</v>
      </c>
      <c r="CY30" s="95">
        <f t="shared" si="80"/>
        <v>1.4070098714861902E-2</v>
      </c>
      <c r="CZ30" s="99">
        <f t="shared" si="80"/>
        <v>9.3927415745159171E-2</v>
      </c>
      <c r="DA30" s="95">
        <f t="shared" si="80"/>
        <v>6.8449128883111944E-3</v>
      </c>
      <c r="DB30" s="94">
        <f t="shared" si="11"/>
        <v>0.10495533095410499</v>
      </c>
      <c r="DC30" s="94">
        <f t="shared" si="12"/>
        <v>6.4608372206890682E-2</v>
      </c>
      <c r="DD30" s="94">
        <f t="shared" si="12"/>
        <v>0</v>
      </c>
      <c r="DE30" s="94">
        <f t="shared" si="12"/>
        <v>8.8603594609806019E-2</v>
      </c>
      <c r="DF30" s="94">
        <f t="shared" si="12"/>
        <v>0</v>
      </c>
      <c r="DG30" s="94">
        <f t="shared" si="12"/>
        <v>0</v>
      </c>
      <c r="DH30" s="95">
        <f t="shared" si="12"/>
        <v>0.25816729777080172</v>
      </c>
      <c r="DI30" s="96" t="e">
        <f>#REF!</f>
        <v>#REF!</v>
      </c>
      <c r="DJ30" s="95">
        <f t="shared" si="59"/>
        <v>5.9322578365363698E-2</v>
      </c>
      <c r="DK30" s="96" t="e">
        <f>#REF!</f>
        <v>#REF!</v>
      </c>
      <c r="DL30" s="95">
        <f t="shared" si="60"/>
        <v>0.5887944631043539</v>
      </c>
      <c r="DM30" s="96">
        <f t="shared" si="13"/>
        <v>0</v>
      </c>
      <c r="DN30" s="94">
        <f t="shared" si="14"/>
        <v>1.7559684740804697</v>
      </c>
      <c r="DO30" s="100">
        <v>3.4</v>
      </c>
      <c r="DP30" s="94">
        <f>IF($O30&lt;&gt;0,IF($O30&lt;&gt;0,BL30/$O30*10,0)," ")</f>
        <v>2.4040855155501877</v>
      </c>
      <c r="DQ30" s="94">
        <f>IF($P30&lt;&gt;0,IF($P30&lt;&gt;0,BM30/$P30*10,0)," ")</f>
        <v>3.1144502326640771</v>
      </c>
      <c r="DR30" s="101">
        <f t="shared" si="15"/>
        <v>0</v>
      </c>
      <c r="DT30" s="103">
        <v>25</v>
      </c>
      <c r="DU30" s="330">
        <f>DU29+46</f>
        <v>632479</v>
      </c>
      <c r="DV30" s="330">
        <f>DV29+8</f>
        <v>28784</v>
      </c>
      <c r="DW30" s="330">
        <v>5147163</v>
      </c>
      <c r="DX30" s="330">
        <v>121945</v>
      </c>
      <c r="DY30" s="330">
        <v>86177</v>
      </c>
      <c r="DZ30" s="330">
        <v>402236</v>
      </c>
      <c r="EA30" s="330">
        <v>237906</v>
      </c>
      <c r="EB30" s="330">
        <v>55332.4</v>
      </c>
      <c r="EC30" s="330">
        <v>417776</v>
      </c>
      <c r="ED30" s="330">
        <v>48075.8</v>
      </c>
      <c r="EE30" s="330">
        <v>40361</v>
      </c>
      <c r="EF30" s="330">
        <v>43049.599999999999</v>
      </c>
      <c r="EG30" s="330">
        <v>93896.3</v>
      </c>
      <c r="EH30" s="330">
        <v>185522.1</v>
      </c>
      <c r="EI30" s="330">
        <v>33451</v>
      </c>
      <c r="EJ30" s="330">
        <v>42165</v>
      </c>
      <c r="EK30" s="330"/>
      <c r="EL30" s="330">
        <v>712827.6</v>
      </c>
      <c r="EM30" s="330">
        <v>5959</v>
      </c>
      <c r="EN30" s="330">
        <v>46399</v>
      </c>
      <c r="EO30" s="330">
        <v>3088581.8</v>
      </c>
      <c r="EP30" s="330">
        <v>2801898</v>
      </c>
      <c r="EQ30" s="330">
        <v>1270</v>
      </c>
      <c r="ER30" s="330">
        <v>1818</v>
      </c>
      <c r="ES30" s="330">
        <v>388668</v>
      </c>
      <c r="ET30" s="104">
        <v>4625618</v>
      </c>
      <c r="EU30" s="330">
        <v>440570</v>
      </c>
      <c r="EV30" s="330">
        <v>150497</v>
      </c>
      <c r="EW30" s="330">
        <v>126859</v>
      </c>
      <c r="EX30" s="330">
        <v>215630.8</v>
      </c>
      <c r="EY30" s="330">
        <v>1686792.7</v>
      </c>
      <c r="EZ30" s="330">
        <v>800868</v>
      </c>
      <c r="FA30" s="394">
        <v>757231</v>
      </c>
      <c r="FB30" s="387">
        <v>31354</v>
      </c>
      <c r="FC30" s="378">
        <v>6166</v>
      </c>
      <c r="FD30" s="303">
        <f t="shared" si="79"/>
        <v>6322</v>
      </c>
      <c r="FE30" s="121">
        <v>0</v>
      </c>
      <c r="FF30" s="121">
        <f>FF63-FF62</f>
        <v>528</v>
      </c>
      <c r="FG30" s="121">
        <f>FG63-FG62</f>
        <v>782</v>
      </c>
      <c r="FH30" s="121">
        <f>FH63-FH62</f>
        <v>1557</v>
      </c>
      <c r="FI30" s="121">
        <f>FI63-FI62</f>
        <v>681</v>
      </c>
      <c r="FJ30" s="121">
        <f>FJ63-FJ62</f>
        <v>922</v>
      </c>
      <c r="FK30" s="121">
        <f t="shared" si="81"/>
        <v>444</v>
      </c>
      <c r="FL30" s="121">
        <f t="shared" si="81"/>
        <v>1137</v>
      </c>
      <c r="FM30" s="121">
        <f t="shared" si="81"/>
        <v>271</v>
      </c>
      <c r="FN30" s="80">
        <v>0</v>
      </c>
      <c r="FO30" s="104"/>
      <c r="FP30" s="162"/>
      <c r="FR30" s="64"/>
      <c r="FS30" s="64"/>
      <c r="FT30" s="64"/>
      <c r="FU30" s="64"/>
      <c r="FV30" s="64"/>
      <c r="FW30" s="64"/>
      <c r="FX30" s="64"/>
      <c r="FY30" s="64">
        <v>25</v>
      </c>
      <c r="FZ30" s="107"/>
      <c r="GA30" s="107"/>
      <c r="GB30" s="180"/>
      <c r="GC30" s="109"/>
      <c r="GD30" s="110"/>
      <c r="GE30" s="110"/>
      <c r="GF30" s="111"/>
      <c r="GG30" s="111"/>
      <c r="GH30" s="111"/>
      <c r="GI30" s="164"/>
      <c r="GJ30" s="111" t="e">
        <f t="shared" si="61"/>
        <v>#DIV/0!</v>
      </c>
    </row>
    <row r="31" spans="1:193" ht="15" customHeight="1">
      <c r="B31" s="351">
        <v>42973</v>
      </c>
      <c r="D31" s="86">
        <v>0</v>
      </c>
      <c r="E31" s="86">
        <v>4857.24</v>
      </c>
      <c r="F31" s="86">
        <v>2365.2719999999999</v>
      </c>
      <c r="G31" s="86">
        <v>4731.8580000000002</v>
      </c>
      <c r="H31" s="86">
        <v>4351.9589999999998</v>
      </c>
      <c r="I31" s="86">
        <v>979.61599999999999</v>
      </c>
      <c r="J31" s="86">
        <v>5851.44</v>
      </c>
      <c r="K31" s="284">
        <v>0</v>
      </c>
      <c r="L31" s="284"/>
      <c r="M31" s="115">
        <f t="shared" si="62"/>
        <v>6831.0559999999996</v>
      </c>
      <c r="N31" s="88">
        <f t="shared" si="18"/>
        <v>16306.328999999998</v>
      </c>
      <c r="O31" s="88">
        <f t="shared" si="19"/>
        <v>19721.856999999996</v>
      </c>
      <c r="P31" s="89">
        <f t="shared" si="20"/>
        <v>518463.00999999995</v>
      </c>
      <c r="R31" s="170">
        <f t="shared" si="21"/>
        <v>222.20000000006985</v>
      </c>
      <c r="S31" s="170">
        <f t="shared" si="22"/>
        <v>93.280000000004662</v>
      </c>
      <c r="T31" s="170">
        <f t="shared" si="1"/>
        <v>399.6</v>
      </c>
      <c r="U31" s="91">
        <f t="shared" si="74"/>
        <v>4.5900000000001455</v>
      </c>
      <c r="V31" s="170">
        <f t="shared" si="23"/>
        <v>1600.1000000000931</v>
      </c>
      <c r="W31" s="91">
        <f t="shared" si="2"/>
        <v>141.80000000000001</v>
      </c>
      <c r="X31" s="170">
        <f t="shared" si="24"/>
        <v>1600.1000000000931</v>
      </c>
      <c r="Y31" s="170">
        <f t="shared" si="25"/>
        <v>38.700000000000003</v>
      </c>
      <c r="Z31" s="170">
        <f t="shared" si="3"/>
        <v>144.4</v>
      </c>
      <c r="AA31" s="170">
        <f t="shared" si="26"/>
        <v>2319.7700000001678</v>
      </c>
      <c r="AB31" s="170">
        <f t="shared" si="27"/>
        <v>16</v>
      </c>
      <c r="AC31" s="170">
        <f t="shared" si="27"/>
        <v>18</v>
      </c>
      <c r="AD31" s="170">
        <f t="shared" si="28"/>
        <v>34</v>
      </c>
      <c r="AE31" s="170">
        <f t="shared" si="29"/>
        <v>0</v>
      </c>
      <c r="AF31" s="170">
        <f>IF(DX31=0,"",(DX31-DX30))</f>
        <v>141</v>
      </c>
      <c r="AG31" s="170">
        <f t="shared" si="30"/>
        <v>10.5</v>
      </c>
      <c r="AH31" s="170">
        <f t="shared" si="31"/>
        <v>194</v>
      </c>
      <c r="AI31" s="170">
        <f t="shared" si="32"/>
        <v>42.5</v>
      </c>
      <c r="AJ31" s="170">
        <f t="shared" si="33"/>
        <v>127</v>
      </c>
      <c r="AK31" s="170">
        <f t="shared" si="33"/>
        <v>8</v>
      </c>
      <c r="AL31" s="170">
        <f t="shared" si="34"/>
        <v>199</v>
      </c>
      <c r="AM31" s="170">
        <f t="shared" si="35"/>
        <v>64</v>
      </c>
      <c r="AN31" s="170">
        <f t="shared" si="36"/>
        <v>-0.30000000000291038</v>
      </c>
      <c r="AO31" s="170">
        <f t="shared" si="4"/>
        <v>290.40000000000146</v>
      </c>
      <c r="AP31" s="170">
        <f t="shared" si="37"/>
        <v>26.80000000000291</v>
      </c>
      <c r="AQ31" s="170">
        <f t="shared" si="5"/>
        <v>34.5</v>
      </c>
      <c r="AR31" s="170">
        <f t="shared" si="38"/>
        <v>81.134</v>
      </c>
      <c r="AS31" s="170">
        <f t="shared" si="39"/>
        <v>128.13400000000001</v>
      </c>
      <c r="AT31" s="170">
        <f t="shared" si="40"/>
        <v>892.13400000000001</v>
      </c>
      <c r="AU31" s="170">
        <f t="shared" si="63"/>
        <v>206</v>
      </c>
      <c r="AV31" s="170">
        <f t="shared" si="64"/>
        <v>21</v>
      </c>
      <c r="AW31" s="170">
        <f t="shared" si="65"/>
        <v>558</v>
      </c>
      <c r="AX31" s="170">
        <f t="shared" si="66"/>
        <v>33</v>
      </c>
      <c r="AY31" s="170" t="str">
        <f t="shared" si="66"/>
        <v/>
      </c>
      <c r="AZ31" s="170">
        <f t="shared" si="41"/>
        <v>461</v>
      </c>
      <c r="BA31" s="170">
        <v>29</v>
      </c>
      <c r="BB31" s="170">
        <f t="shared" si="42"/>
        <v>139.70000000001164</v>
      </c>
      <c r="BC31" s="170">
        <f t="shared" si="42"/>
        <v>789.60000000009313</v>
      </c>
      <c r="BD31" s="91">
        <f t="shared" si="43"/>
        <v>254</v>
      </c>
      <c r="BE31" s="90"/>
      <c r="BF31" s="90"/>
      <c r="BG31" s="90">
        <f t="shared" si="44"/>
        <v>1644.3000000001048</v>
      </c>
      <c r="BH31" s="170">
        <f t="shared" si="45"/>
        <v>152</v>
      </c>
      <c r="BI31" s="90">
        <f t="shared" si="6"/>
        <v>1010.895999999726</v>
      </c>
      <c r="BJ31" s="90">
        <f t="shared" si="46"/>
        <v>5662.104000000274</v>
      </c>
      <c r="BK31" s="92"/>
      <c r="BL31" s="331">
        <f t="shared" si="67"/>
        <v>6825</v>
      </c>
      <c r="BM31" s="93">
        <f t="shared" si="47"/>
        <v>162155.44999999998</v>
      </c>
      <c r="BN31" s="92"/>
      <c r="BO31" s="94">
        <f t="shared" si="48"/>
        <v>0.13626610869930925</v>
      </c>
      <c r="BP31" s="94">
        <f t="shared" si="48"/>
        <v>5.7204782265833511E-2</v>
      </c>
      <c r="BQ31" s="94">
        <f t="shared" si="49"/>
        <v>0.24505822248526943</v>
      </c>
      <c r="BR31" s="94">
        <f t="shared" si="68"/>
        <v>0.9812754299266826</v>
      </c>
      <c r="BS31" s="94">
        <f t="shared" si="78"/>
        <v>2.3733116141591411E-2</v>
      </c>
      <c r="BT31" s="94">
        <f t="shared" si="78"/>
        <v>8.8554572890072333E-2</v>
      </c>
      <c r="BU31" s="95">
        <f t="shared" si="78"/>
        <v>1.4226194013380744</v>
      </c>
      <c r="BV31" s="94">
        <f t="shared" si="8"/>
        <v>0.11266687513253437</v>
      </c>
      <c r="BW31" s="94">
        <f t="shared" si="8"/>
        <v>4.7297777283348455E-2</v>
      </c>
      <c r="BX31" s="94">
        <f t="shared" si="8"/>
        <v>0.20261783664692432</v>
      </c>
      <c r="BY31" s="94">
        <f t="shared" si="50"/>
        <v>0.81133333438128741</v>
      </c>
      <c r="BZ31" s="95">
        <f t="shared" si="9"/>
        <v>1.1762431904866606</v>
      </c>
      <c r="CA31" s="96" t="e">
        <f>#REF!</f>
        <v>#REF!</v>
      </c>
      <c r="CB31" s="94">
        <f t="shared" si="51"/>
        <v>4.1139128024303195E-2</v>
      </c>
      <c r="CC31" s="95">
        <f t="shared" si="51"/>
        <v>6.497055525755005E-2</v>
      </c>
      <c r="CD31" s="97">
        <f t="shared" si="10"/>
        <v>0.1187722659571229</v>
      </c>
      <c r="CE31" s="98">
        <f t="shared" si="10"/>
        <v>0.18757568375958275</v>
      </c>
      <c r="CF31" s="97" t="str">
        <f t="shared" si="52"/>
        <v>0,00</v>
      </c>
      <c r="CG31" s="94" t="str">
        <f t="shared" si="52"/>
        <v>0,00</v>
      </c>
      <c r="CH31" s="95" t="str">
        <f t="shared" si="53"/>
        <v xml:space="preserve">0,00 </v>
      </c>
      <c r="CI31" s="96" t="e">
        <f>#REF!</f>
        <v>#REF!</v>
      </c>
      <c r="CJ31" s="94">
        <f t="shared" si="54"/>
        <v>0.29028831188082121</v>
      </c>
      <c r="CK31" s="94">
        <f t="shared" si="54"/>
        <v>2.1617214714529241E-2</v>
      </c>
      <c r="CL31" s="95">
        <f t="shared" si="69"/>
        <v>0.39940377663034976</v>
      </c>
      <c r="CM31" s="95" t="e">
        <f>#REF!</f>
        <v>#REF!</v>
      </c>
      <c r="CN31" s="94">
        <f t="shared" si="55"/>
        <v>0.53693613250399963</v>
      </c>
      <c r="CO31" s="94">
        <f t="shared" si="55"/>
        <v>3.3822748504188947E-2</v>
      </c>
      <c r="CP31" s="95">
        <f t="shared" si="56"/>
        <v>0.84134086904170013</v>
      </c>
      <c r="CQ31" s="95" t="e">
        <f>#REF!</f>
        <v>#REF!</v>
      </c>
      <c r="CR31" s="97">
        <f t="shared" si="70"/>
        <v>-6.3400042859044028E-4</v>
      </c>
      <c r="CS31" s="98">
        <f t="shared" si="70"/>
        <v>0.61371241486959549</v>
      </c>
      <c r="CT31" s="96" t="e">
        <f>#REF!</f>
        <v>#REF!</v>
      </c>
      <c r="CU31" s="97">
        <f t="shared" si="71"/>
        <v>6.158146250918934E-2</v>
      </c>
      <c r="CV31" s="95">
        <f t="shared" si="57"/>
        <v>7.9274643901746322E-2</v>
      </c>
      <c r="CW31" s="96" t="e">
        <f>#REF!</f>
        <v>#REF!</v>
      </c>
      <c r="CX31" s="99">
        <f t="shared" si="80"/>
        <v>0.1044526385116777</v>
      </c>
      <c r="CY31" s="95">
        <f t="shared" si="80"/>
        <v>1.0648084508471999E-2</v>
      </c>
      <c r="CZ31" s="99">
        <f t="shared" si="80"/>
        <v>0.28293481693939881</v>
      </c>
      <c r="DA31" s="95">
        <f t="shared" si="80"/>
        <v>1.6732704227598854E-2</v>
      </c>
      <c r="DB31" s="94">
        <f t="shared" si="11"/>
        <v>0.23375080754312338</v>
      </c>
      <c r="DC31" s="94">
        <f t="shared" si="12"/>
        <v>7.0835114563507717E-2</v>
      </c>
      <c r="DD31" s="94">
        <f t="shared" si="12"/>
        <v>0.40036797751859432</v>
      </c>
      <c r="DE31" s="94">
        <f t="shared" si="12"/>
        <v>0.12879111738818511</v>
      </c>
      <c r="DF31" s="94">
        <f t="shared" si="12"/>
        <v>0</v>
      </c>
      <c r="DG31" s="94">
        <f t="shared" si="12"/>
        <v>0</v>
      </c>
      <c r="DH31" s="95">
        <f t="shared" si="12"/>
        <v>0.83374501701341064</v>
      </c>
      <c r="DI31" s="96" t="e">
        <f>#REF!</f>
        <v>#REF!</v>
      </c>
      <c r="DJ31" s="95">
        <f t="shared" si="59"/>
        <v>7.7071849775606854E-2</v>
      </c>
      <c r="DK31" s="96" t="e">
        <f>#REF!</f>
        <v>#REF!</v>
      </c>
      <c r="DL31" s="95">
        <f t="shared" si="60"/>
        <v>0.51257647796539951</v>
      </c>
      <c r="DM31" s="96">
        <f t="shared" si="13"/>
        <v>0</v>
      </c>
      <c r="DN31" s="94">
        <f t="shared" si="14"/>
        <v>2.8709791375123928</v>
      </c>
      <c r="DO31" s="100">
        <v>3.4</v>
      </c>
      <c r="DP31" s="94">
        <f t="shared" si="72"/>
        <v>3.4606274652533999</v>
      </c>
      <c r="DQ31" s="94">
        <f t="shared" si="73"/>
        <v>3.1276184968335539</v>
      </c>
      <c r="DR31" s="101">
        <f t="shared" si="15"/>
        <v>0</v>
      </c>
      <c r="DT31" s="182">
        <v>26</v>
      </c>
      <c r="DU31" s="330">
        <v>632495</v>
      </c>
      <c r="DV31" s="361">
        <v>28802</v>
      </c>
      <c r="DW31" s="361">
        <v>5147176</v>
      </c>
      <c r="DX31" s="361">
        <v>122086</v>
      </c>
      <c r="DY31" s="361">
        <v>86187.5</v>
      </c>
      <c r="DZ31" s="361">
        <v>402430</v>
      </c>
      <c r="EA31" s="303">
        <v>238033</v>
      </c>
      <c r="EB31" s="303">
        <v>55340.4</v>
      </c>
      <c r="EC31" s="303">
        <v>417975</v>
      </c>
      <c r="ED31" s="303">
        <v>48075.5</v>
      </c>
      <c r="EE31" s="303">
        <v>40395.1</v>
      </c>
      <c r="EF31" s="381">
        <v>43305.9</v>
      </c>
      <c r="EG31" s="364">
        <v>93923.1</v>
      </c>
      <c r="EH31" s="364">
        <v>185556.6</v>
      </c>
      <c r="EI31" s="361">
        <v>33472</v>
      </c>
      <c r="EJ31" s="303">
        <v>42198</v>
      </c>
      <c r="EK31" s="303"/>
      <c r="EL31" s="361">
        <v>713049.8</v>
      </c>
      <c r="EM31" s="361">
        <v>3996</v>
      </c>
      <c r="EN31" s="303">
        <v>46444.9</v>
      </c>
      <c r="EO31" s="361">
        <v>3090181.9</v>
      </c>
      <c r="EP31" s="381">
        <v>2803316</v>
      </c>
      <c r="EQ31" s="381">
        <v>387</v>
      </c>
      <c r="ER31" s="381">
        <v>1444</v>
      </c>
      <c r="ES31" s="303">
        <v>389479</v>
      </c>
      <c r="ET31" s="303">
        <v>4706752</v>
      </c>
      <c r="EU31" s="303">
        <v>441128</v>
      </c>
      <c r="EV31" s="303">
        <v>150703</v>
      </c>
      <c r="EW31" s="303">
        <v>127320</v>
      </c>
      <c r="EX31" s="361">
        <v>215770.5</v>
      </c>
      <c r="EY31" s="361">
        <v>1687582.3</v>
      </c>
      <c r="EZ31" s="381">
        <v>801800.8</v>
      </c>
      <c r="FA31" s="512">
        <v>757485</v>
      </c>
      <c r="FB31" s="383">
        <v>31354</v>
      </c>
      <c r="FC31" s="382">
        <v>6673</v>
      </c>
      <c r="FD31" s="303">
        <f>SUM(FE31:FM31)</f>
        <v>6825</v>
      </c>
      <c r="FE31" s="105">
        <v>0</v>
      </c>
      <c r="FF31" s="105">
        <v>92</v>
      </c>
      <c r="FG31" s="105">
        <v>1455</v>
      </c>
      <c r="FH31" s="105">
        <v>1269</v>
      </c>
      <c r="FI31" s="105">
        <v>740</v>
      </c>
      <c r="FJ31" s="105">
        <v>913</v>
      </c>
      <c r="FK31" s="105">
        <v>1091</v>
      </c>
      <c r="FL31" s="105">
        <v>946</v>
      </c>
      <c r="FM31" s="105">
        <v>319</v>
      </c>
      <c r="FN31" s="80">
        <v>0</v>
      </c>
      <c r="FO31" s="303"/>
      <c r="FP31" s="465"/>
      <c r="FQ31" s="185"/>
      <c r="FR31" s="64"/>
      <c r="FS31" s="64"/>
      <c r="FT31" s="64"/>
      <c r="FU31" s="64"/>
      <c r="FV31" s="64"/>
      <c r="FW31" s="64"/>
      <c r="FX31" s="64"/>
      <c r="FY31" s="64">
        <v>26</v>
      </c>
      <c r="FZ31" s="107"/>
      <c r="GA31" s="107"/>
      <c r="GB31" s="180"/>
      <c r="GC31" s="109"/>
      <c r="GD31" s="110"/>
      <c r="GE31" s="110"/>
      <c r="GF31" s="111"/>
      <c r="GG31" s="111"/>
      <c r="GH31" s="111"/>
      <c r="GI31" s="112"/>
      <c r="GJ31" s="111" t="e">
        <f t="shared" si="61"/>
        <v>#DIV/0!</v>
      </c>
      <c r="GK31" s="118"/>
    </row>
    <row r="32" spans="1:193" s="119" customFormat="1" ht="15" customHeight="1">
      <c r="B32" s="351">
        <v>42974</v>
      </c>
      <c r="D32" s="86">
        <v>0</v>
      </c>
      <c r="E32" s="86">
        <v>0</v>
      </c>
      <c r="F32" s="86">
        <v>2238.84</v>
      </c>
      <c r="G32" s="86">
        <v>4759.3999999999996</v>
      </c>
      <c r="H32" s="86">
        <v>7803.5919999999996</v>
      </c>
      <c r="I32" s="86">
        <v>2309.7829999999999</v>
      </c>
      <c r="J32" s="86">
        <v>5668.32</v>
      </c>
      <c r="K32" s="284">
        <v>0</v>
      </c>
      <c r="L32" s="284"/>
      <c r="M32" s="115">
        <f t="shared" si="62"/>
        <v>7978.1029999999992</v>
      </c>
      <c r="N32" s="88">
        <f t="shared" si="18"/>
        <v>14801.831999999999</v>
      </c>
      <c r="O32" s="88">
        <f t="shared" si="19"/>
        <v>18790.883499999996</v>
      </c>
      <c r="P32" s="89">
        <f t="shared" si="20"/>
        <v>537253.89350000001</v>
      </c>
      <c r="R32" s="170">
        <f t="shared" si="21"/>
        <v>334.19999999995343</v>
      </c>
      <c r="S32" s="170">
        <f t="shared" si="22"/>
        <v>29.219999999995345</v>
      </c>
      <c r="T32" s="170">
        <f t="shared" si="1"/>
        <v>285</v>
      </c>
      <c r="U32" s="91">
        <f t="shared" si="74"/>
        <v>6.1599999999998545</v>
      </c>
      <c r="V32" s="170">
        <f t="shared" si="23"/>
        <v>1483.8999999999069</v>
      </c>
      <c r="W32" s="91">
        <f t="shared" si="2"/>
        <v>131.6</v>
      </c>
      <c r="X32" s="170">
        <f t="shared" si="24"/>
        <v>1483.8999999999069</v>
      </c>
      <c r="Y32" s="170">
        <f t="shared" si="25"/>
        <v>34.9</v>
      </c>
      <c r="Z32" s="170">
        <f t="shared" si="3"/>
        <v>165.7</v>
      </c>
      <c r="AA32" s="170">
        <f t="shared" si="26"/>
        <v>2138.4799999998554</v>
      </c>
      <c r="AB32" s="170">
        <f t="shared" si="27"/>
        <v>0</v>
      </c>
      <c r="AC32" s="170">
        <f t="shared" si="27"/>
        <v>0</v>
      </c>
      <c r="AD32" s="170">
        <f t="shared" si="28"/>
        <v>0</v>
      </c>
      <c r="AE32" s="170">
        <f t="shared" si="29"/>
        <v>0</v>
      </c>
      <c r="AF32" s="170">
        <f>IF(DX32=0,"",(DX32-DX31))</f>
        <v>0</v>
      </c>
      <c r="AG32" s="170">
        <f t="shared" si="30"/>
        <v>0</v>
      </c>
      <c r="AH32" s="170">
        <f t="shared" si="31"/>
        <v>10</v>
      </c>
      <c r="AI32" s="170">
        <f t="shared" si="32"/>
        <v>10</v>
      </c>
      <c r="AJ32" s="170">
        <f>IF(EA32=0,"",(EA32-EA31))</f>
        <v>27</v>
      </c>
      <c r="AK32" s="170">
        <f t="shared" si="33"/>
        <v>5.4000000000014552</v>
      </c>
      <c r="AL32" s="170">
        <f t="shared" si="34"/>
        <v>178</v>
      </c>
      <c r="AM32" s="170">
        <f t="shared" si="35"/>
        <v>145.59999999999854</v>
      </c>
      <c r="AN32" s="170">
        <f t="shared" si="36"/>
        <v>0</v>
      </c>
      <c r="AO32" s="170">
        <f t="shared" si="4"/>
        <v>-213.09999999999854</v>
      </c>
      <c r="AP32" s="170">
        <f t="shared" si="37"/>
        <v>17.799999999988358</v>
      </c>
      <c r="AQ32" s="170">
        <f t="shared" si="5"/>
        <v>23.799999999988358</v>
      </c>
      <c r="AR32" s="170">
        <f t="shared" si="38"/>
        <v>54.863</v>
      </c>
      <c r="AS32" s="170">
        <f t="shared" si="39"/>
        <v>104.86300000000006</v>
      </c>
      <c r="AT32" s="170">
        <f t="shared" si="40"/>
        <v>821.86300000000006</v>
      </c>
      <c r="AU32" s="170">
        <f t="shared" si="63"/>
        <v>283</v>
      </c>
      <c r="AV32" s="170">
        <f t="shared" si="64"/>
        <v>13</v>
      </c>
      <c r="AW32" s="170">
        <f t="shared" si="65"/>
        <v>434</v>
      </c>
      <c r="AX32" s="170">
        <f t="shared" si="66"/>
        <v>28</v>
      </c>
      <c r="AY32" s="170" t="str">
        <f t="shared" si="66"/>
        <v/>
      </c>
      <c r="AZ32" s="170">
        <f t="shared" si="41"/>
        <v>452</v>
      </c>
      <c r="BA32" s="170">
        <v>0</v>
      </c>
      <c r="BB32" s="170">
        <f t="shared" si="42"/>
        <v>146.5</v>
      </c>
      <c r="BC32" s="170">
        <f t="shared" si="42"/>
        <v>1139.1999999999534</v>
      </c>
      <c r="BD32" s="91">
        <f t="shared" si="43"/>
        <v>275</v>
      </c>
      <c r="BE32" s="90"/>
      <c r="BF32" s="90"/>
      <c r="BG32" s="90">
        <f t="shared" si="44"/>
        <v>2012.6999999999534</v>
      </c>
      <c r="BH32" s="90">
        <f t="shared" si="45"/>
        <v>-171</v>
      </c>
      <c r="BI32" s="90">
        <f t="shared" si="6"/>
        <v>2286.2570000002006</v>
      </c>
      <c r="BJ32" s="90">
        <f t="shared" si="46"/>
        <v>5012.7429999997994</v>
      </c>
      <c r="BK32" s="92"/>
      <c r="BL32" s="331">
        <f>FD32+FN32</f>
        <v>7128</v>
      </c>
      <c r="BM32" s="93">
        <f t="shared" si="47"/>
        <v>169283.44999999998</v>
      </c>
      <c r="BN32" s="92"/>
      <c r="BO32" s="94">
        <f t="shared" si="48"/>
        <v>0.22578286255373894</v>
      </c>
      <c r="BP32" s="94">
        <f t="shared" si="48"/>
        <v>1.9740799652364215E-2</v>
      </c>
      <c r="BQ32" s="94">
        <f t="shared" si="49"/>
        <v>0.19254373377565698</v>
      </c>
      <c r="BR32" s="94">
        <f t="shared" si="68"/>
        <v>1.0025110405251911</v>
      </c>
      <c r="BS32" s="94">
        <f t="shared" si="78"/>
        <v>2.3578162486913783E-2</v>
      </c>
      <c r="BT32" s="94">
        <f t="shared" si="78"/>
        <v>0.11194560240921531</v>
      </c>
      <c r="BU32" s="95">
        <f t="shared" si="78"/>
        <v>1.4447400835246984</v>
      </c>
      <c r="BV32" s="94">
        <f t="shared" si="8"/>
        <v>0.17785220157421205</v>
      </c>
      <c r="BW32" s="94">
        <f t="shared" si="8"/>
        <v>1.5550093746254854E-2</v>
      </c>
      <c r="BX32" s="94">
        <f t="shared" si="8"/>
        <v>0.15166929218628813</v>
      </c>
      <c r="BY32" s="94">
        <f t="shared" si="50"/>
        <v>0.78969144798322399</v>
      </c>
      <c r="BZ32" s="95">
        <f t="shared" si="9"/>
        <v>1.1380412208930228</v>
      </c>
      <c r="CA32" s="96" t="e">
        <f>#REF!</f>
        <v>#REF!</v>
      </c>
      <c r="CB32" s="94">
        <f t="shared" si="51"/>
        <v>2.9196604832337984E-2</v>
      </c>
      <c r="CC32" s="95">
        <f t="shared" si="51"/>
        <v>5.5805252584318385E-2</v>
      </c>
      <c r="CD32" s="97">
        <f t="shared" si="10"/>
        <v>6.8766973803171011E-2</v>
      </c>
      <c r="CE32" s="98">
        <f t="shared" si="10"/>
        <v>0.13143851364165149</v>
      </c>
      <c r="CF32" s="97" t="str">
        <f t="shared" si="52"/>
        <v>0,00</v>
      </c>
      <c r="CG32" s="94" t="str">
        <f t="shared" si="52"/>
        <v>0,00</v>
      </c>
      <c r="CH32" s="95" t="str">
        <f t="shared" si="53"/>
        <v xml:space="preserve">0,00 </v>
      </c>
      <c r="CI32" s="96" t="e">
        <f>#REF!</f>
        <v>#REF!</v>
      </c>
      <c r="CJ32" s="94" t="str">
        <f t="shared" si="54"/>
        <v>0,00</v>
      </c>
      <c r="CK32" s="94" t="str">
        <f t="shared" si="54"/>
        <v>0,00</v>
      </c>
      <c r="CL32" s="95" t="str">
        <f t="shared" si="69"/>
        <v xml:space="preserve">0,00 </v>
      </c>
      <c r="CM32" s="95" t="e">
        <f>#REF!</f>
        <v>#REF!</v>
      </c>
      <c r="CN32" s="94">
        <f t="shared" si="55"/>
        <v>0.12059816690786299</v>
      </c>
      <c r="CO32" s="94">
        <f t="shared" si="55"/>
        <v>2.4119633381579096E-2</v>
      </c>
      <c r="CP32" s="95">
        <f t="shared" si="56"/>
        <v>0.7950545818370226</v>
      </c>
      <c r="CQ32" s="95" t="e">
        <f>#REF!</f>
        <v>#REF!</v>
      </c>
      <c r="CR32" s="97">
        <f t="shared" si="70"/>
        <v>0</v>
      </c>
      <c r="CS32" s="95">
        <f t="shared" si="70"/>
        <v>-0.44774551414043484</v>
      </c>
      <c r="CT32" s="96" t="e">
        <f>#REF!</f>
        <v>#REF!</v>
      </c>
      <c r="CU32" s="97">
        <f t="shared" si="71"/>
        <v>2.2810008519138829E-2</v>
      </c>
      <c r="CV32" s="95">
        <f t="shared" si="57"/>
        <v>3.0498775435707504E-2</v>
      </c>
      <c r="CW32" s="96" t="e">
        <f>#REF!</f>
        <v>#REF!</v>
      </c>
      <c r="CX32" s="99">
        <f t="shared" si="80"/>
        <v>0.15060494627620891</v>
      </c>
      <c r="CY32" s="95">
        <f t="shared" si="80"/>
        <v>6.9182484155148969E-3</v>
      </c>
      <c r="CZ32" s="99">
        <f t="shared" si="80"/>
        <v>0.23096306248718967</v>
      </c>
      <c r="DA32" s="95">
        <f t="shared" si="80"/>
        <v>1.4900842741109008E-2</v>
      </c>
      <c r="DB32" s="94">
        <f t="shared" si="11"/>
        <v>0.24054217567790259</v>
      </c>
      <c r="DC32" s="94">
        <f t="shared" si="12"/>
        <v>7.7963337913302497E-2</v>
      </c>
      <c r="DD32" s="94">
        <f t="shared" si="12"/>
        <v>0.60625143038109608</v>
      </c>
      <c r="DE32" s="94">
        <f t="shared" si="12"/>
        <v>0.14634756263589205</v>
      </c>
      <c r="DF32" s="94">
        <f t="shared" si="12"/>
        <v>0</v>
      </c>
      <c r="DG32" s="94">
        <f t="shared" si="12"/>
        <v>0</v>
      </c>
      <c r="DH32" s="95">
        <f t="shared" si="12"/>
        <v>1.0711045066081932</v>
      </c>
      <c r="DI32" s="96" t="e">
        <f>#REF!</f>
        <v>#REF!</v>
      </c>
      <c r="DJ32" s="95">
        <f t="shared" si="59"/>
        <v>-9.1001575311772873E-2</v>
      </c>
      <c r="DK32" s="96" t="e">
        <f>#REF!</f>
        <v>#REF!</v>
      </c>
      <c r="DL32" s="95">
        <f t="shared" si="60"/>
        <v>1.2166841436700946</v>
      </c>
      <c r="DM32" s="96">
        <f t="shared" si="13"/>
        <v>0</v>
      </c>
      <c r="DN32" s="94">
        <f>IF($O32&lt;&gt;0,BJ32/$O32*10,"")</f>
        <v>2.6676462551640001</v>
      </c>
      <c r="DO32" s="100">
        <v>3.4</v>
      </c>
      <c r="DP32" s="94">
        <f t="shared" si="72"/>
        <v>3.7933288235223221</v>
      </c>
      <c r="DQ32" s="94">
        <f t="shared" si="73"/>
        <v>3.1509022465557983</v>
      </c>
      <c r="DR32" s="101"/>
      <c r="DS32" s="173"/>
      <c r="DT32" s="134">
        <v>27</v>
      </c>
      <c r="DU32" s="454">
        <v>632495</v>
      </c>
      <c r="DV32" s="330">
        <v>28802</v>
      </c>
      <c r="DW32" s="330">
        <v>5147176</v>
      </c>
      <c r="DX32" s="330">
        <v>122086</v>
      </c>
      <c r="DY32" s="330">
        <v>86187.5</v>
      </c>
      <c r="DZ32" s="330">
        <v>402440</v>
      </c>
      <c r="EA32" s="330">
        <v>238060</v>
      </c>
      <c r="EB32" s="330">
        <v>55345.8</v>
      </c>
      <c r="EC32" s="330">
        <v>418153</v>
      </c>
      <c r="ED32" s="330">
        <v>48075.5</v>
      </c>
      <c r="EE32" s="330">
        <v>40430.9</v>
      </c>
      <c r="EF32" s="330">
        <v>43057</v>
      </c>
      <c r="EG32" s="330">
        <v>93940.9</v>
      </c>
      <c r="EH32" s="330">
        <v>185580.4</v>
      </c>
      <c r="EI32" s="330">
        <v>33485</v>
      </c>
      <c r="EJ32" s="330">
        <v>42226</v>
      </c>
      <c r="EK32" s="330"/>
      <c r="EL32" s="330">
        <v>713384</v>
      </c>
      <c r="EM32" s="330">
        <v>2850</v>
      </c>
      <c r="EN32" s="330">
        <v>46506.5</v>
      </c>
      <c r="EO32" s="330">
        <v>3091665.8</v>
      </c>
      <c r="EP32" s="330">
        <v>2804632</v>
      </c>
      <c r="EQ32" s="330">
        <v>349</v>
      </c>
      <c r="ER32" s="330">
        <v>1657</v>
      </c>
      <c r="ES32" s="330">
        <v>390246</v>
      </c>
      <c r="ET32" s="105">
        <v>4761615</v>
      </c>
      <c r="EU32" s="330">
        <v>441562</v>
      </c>
      <c r="EV32" s="330">
        <v>150986</v>
      </c>
      <c r="EW32" s="330">
        <v>127772</v>
      </c>
      <c r="EX32" s="330">
        <v>215917</v>
      </c>
      <c r="EY32" s="330">
        <v>1688721.5</v>
      </c>
      <c r="EZ32" s="330">
        <v>802093</v>
      </c>
      <c r="FA32" s="386">
        <v>757760</v>
      </c>
      <c r="FB32" s="387">
        <v>31358</v>
      </c>
      <c r="FC32" s="385">
        <v>7299</v>
      </c>
      <c r="FD32" s="303">
        <f t="shared" si="79"/>
        <v>7128</v>
      </c>
      <c r="FE32" s="105">
        <v>0</v>
      </c>
      <c r="FF32" s="105">
        <v>637</v>
      </c>
      <c r="FG32" s="105">
        <v>1199</v>
      </c>
      <c r="FH32" s="105">
        <v>1339</v>
      </c>
      <c r="FI32" s="105">
        <v>740</v>
      </c>
      <c r="FJ32" s="105">
        <v>1042</v>
      </c>
      <c r="FK32" s="105">
        <v>1103</v>
      </c>
      <c r="FL32" s="105">
        <v>757</v>
      </c>
      <c r="FM32" s="105">
        <v>311</v>
      </c>
      <c r="FN32" s="80">
        <v>0</v>
      </c>
      <c r="FO32" s="104"/>
      <c r="FP32" s="81"/>
      <c r="FQ32" s="186"/>
      <c r="FY32" s="119">
        <v>27</v>
      </c>
      <c r="FZ32" s="107"/>
      <c r="GA32" s="107"/>
      <c r="GB32" s="180"/>
      <c r="GC32" s="109"/>
      <c r="GD32" s="110"/>
      <c r="GE32" s="110"/>
      <c r="GF32" s="111"/>
      <c r="GG32" s="111"/>
      <c r="GH32" s="111"/>
      <c r="GI32" s="164"/>
      <c r="GJ32" s="111" t="e">
        <f t="shared" si="61"/>
        <v>#DIV/0!</v>
      </c>
    </row>
    <row r="33" spans="1:193" s="119" customFormat="1" ht="15" customHeight="1">
      <c r="A33" s="119">
        <v>0</v>
      </c>
      <c r="B33" s="351">
        <v>42975</v>
      </c>
      <c r="D33" s="86"/>
      <c r="E33" s="86">
        <v>4044</v>
      </c>
      <c r="F33" s="86"/>
      <c r="G33" s="86">
        <v>4097.6509999999998</v>
      </c>
      <c r="H33" s="86">
        <v>7332.143</v>
      </c>
      <c r="I33" s="86">
        <v>919.69299999999998</v>
      </c>
      <c r="J33" s="86">
        <v>7244.16</v>
      </c>
      <c r="K33" s="284"/>
      <c r="L33" s="284"/>
      <c r="M33" s="115">
        <f t="shared" si="62"/>
        <v>8163.8530000000001</v>
      </c>
      <c r="N33" s="88">
        <f t="shared" si="18"/>
        <v>15473.794</v>
      </c>
      <c r="O33" s="88">
        <f t="shared" si="19"/>
        <v>19555.720499999999</v>
      </c>
      <c r="P33" s="89">
        <f t="shared" si="20"/>
        <v>556809.61400000006</v>
      </c>
      <c r="R33" s="170">
        <f t="shared" si="21"/>
        <v>276.69999999995343</v>
      </c>
      <c r="S33" s="170">
        <f t="shared" si="22"/>
        <v>35.5</v>
      </c>
      <c r="T33" s="170">
        <f t="shared" si="1"/>
        <v>35.299999999999997</v>
      </c>
      <c r="U33" s="91">
        <f t="shared" si="74"/>
        <v>4.8499999999999996</v>
      </c>
      <c r="V33" s="170">
        <f t="shared" si="23"/>
        <v>927.90000000037253</v>
      </c>
      <c r="W33" s="91">
        <f t="shared" si="2"/>
        <v>84.6</v>
      </c>
      <c r="X33" s="170">
        <f t="shared" si="24"/>
        <v>927.90000000037253</v>
      </c>
      <c r="Y33" s="170">
        <f t="shared" si="25"/>
        <v>34.9</v>
      </c>
      <c r="Z33" s="170">
        <f t="shared" si="3"/>
        <v>92.5</v>
      </c>
      <c r="AA33" s="170">
        <f t="shared" si="26"/>
        <v>1280.2500000003261</v>
      </c>
      <c r="AB33" s="170">
        <f>IF(DU33=0,"",(DU33-DU32))</f>
        <v>51</v>
      </c>
      <c r="AC33" s="170">
        <f t="shared" si="27"/>
        <v>13</v>
      </c>
      <c r="AD33" s="170">
        <f>(IF(SUM(AB33:AC33)&gt;=(DW33-DW32),(SUM(AB33:AC33)),(DW33-DW32)))</f>
        <v>93</v>
      </c>
      <c r="AE33" s="170">
        <f t="shared" si="29"/>
        <v>29</v>
      </c>
      <c r="AF33" s="170">
        <f t="shared" si="30"/>
        <v>173</v>
      </c>
      <c r="AG33" s="170">
        <f t="shared" si="30"/>
        <v>52.600000000005821</v>
      </c>
      <c r="AH33" s="170">
        <f t="shared" si="31"/>
        <v>321</v>
      </c>
      <c r="AI33" s="170">
        <f t="shared" si="32"/>
        <v>95.399999999994179</v>
      </c>
      <c r="AJ33" s="170">
        <f>IF(EA33=0,"",(EA33-EA32))</f>
        <v>112</v>
      </c>
      <c r="AK33" s="170">
        <f t="shared" si="33"/>
        <v>31.5</v>
      </c>
      <c r="AL33" s="170">
        <f t="shared" si="34"/>
        <v>143.5</v>
      </c>
      <c r="AM33" s="170">
        <f t="shared" si="35"/>
        <v>0</v>
      </c>
      <c r="AN33" s="170">
        <f t="shared" si="36"/>
        <v>0</v>
      </c>
      <c r="AO33" s="170">
        <f t="shared" si="4"/>
        <v>39</v>
      </c>
      <c r="AP33" s="170">
        <f t="shared" si="37"/>
        <v>22.700000000011642</v>
      </c>
      <c r="AQ33" s="170">
        <f t="shared" si="5"/>
        <v>33.100000000005821</v>
      </c>
      <c r="AR33" s="170">
        <f t="shared" si="38"/>
        <v>69.902000000000001</v>
      </c>
      <c r="AS33" s="170">
        <f t="shared" si="39"/>
        <v>44.902000000000044</v>
      </c>
      <c r="AT33" s="170">
        <f t="shared" si="40"/>
        <v>890.90200000000004</v>
      </c>
      <c r="AU33" s="170">
        <f t="shared" si="63"/>
        <v>217</v>
      </c>
      <c r="AV33" s="170">
        <f t="shared" si="64"/>
        <v>25</v>
      </c>
      <c r="AW33" s="170">
        <f t="shared" si="65"/>
        <v>629</v>
      </c>
      <c r="AX33" s="170">
        <f t="shared" si="66"/>
        <v>7</v>
      </c>
      <c r="AY33" s="170" t="str">
        <f t="shared" si="66"/>
        <v/>
      </c>
      <c r="AZ33" s="170">
        <f t="shared" si="41"/>
        <v>278</v>
      </c>
      <c r="BA33" s="170">
        <v>63</v>
      </c>
      <c r="BB33" s="170">
        <f t="shared" si="42"/>
        <v>128</v>
      </c>
      <c r="BC33" s="170">
        <f t="shared" si="42"/>
        <v>888.10000000009313</v>
      </c>
      <c r="BD33" s="91">
        <f t="shared" si="43"/>
        <v>38</v>
      </c>
      <c r="BE33" s="90"/>
      <c r="BF33" s="90"/>
      <c r="BG33" s="90">
        <f t="shared" si="44"/>
        <v>1332.1000000000931</v>
      </c>
      <c r="BH33" s="90">
        <f>BL33-FC33</f>
        <v>151</v>
      </c>
      <c r="BI33" s="90">
        <f t="shared" si="6"/>
        <v>2085.1479999995754</v>
      </c>
      <c r="BJ33" s="90">
        <f t="shared" si="46"/>
        <v>4164.8520000004246</v>
      </c>
      <c r="BK33" s="92"/>
      <c r="BL33" s="331">
        <f t="shared" si="67"/>
        <v>6401</v>
      </c>
      <c r="BM33" s="93">
        <f t="shared" si="47"/>
        <v>175684.44999999998</v>
      </c>
      <c r="BN33" s="92"/>
      <c r="BO33" s="94">
        <f t="shared" si="48"/>
        <v>0.17881845913158301</v>
      </c>
      <c r="BP33" s="94">
        <f t="shared" si="48"/>
        <v>2.2942014091695936E-2</v>
      </c>
      <c r="BQ33" s="94">
        <f t="shared" si="49"/>
        <v>2.2812763308080745E-2</v>
      </c>
      <c r="BR33" s="94">
        <f t="shared" si="68"/>
        <v>0.59965901058290716</v>
      </c>
      <c r="BS33" s="94">
        <f t="shared" si="78"/>
        <v>2.2554261740850366E-2</v>
      </c>
      <c r="BT33" s="94">
        <f t="shared" si="78"/>
        <v>5.9778487422024615E-2</v>
      </c>
      <c r="BU33" s="95">
        <f t="shared" si="78"/>
        <v>0.8273665786169353</v>
      </c>
      <c r="BV33" s="94">
        <f t="shared" si="8"/>
        <v>0.14149312473552353</v>
      </c>
      <c r="BW33" s="94">
        <f t="shared" si="8"/>
        <v>1.8153255974383557E-2</v>
      </c>
      <c r="BX33" s="94">
        <f t="shared" si="8"/>
        <v>1.805098410973914E-2</v>
      </c>
      <c r="BY33" s="94">
        <f t="shared" si="50"/>
        <v>0.47449031601795116</v>
      </c>
      <c r="BZ33" s="95">
        <f t="shared" si="9"/>
        <v>0.65466777355522443</v>
      </c>
      <c r="CA33" s="96" t="e">
        <f>#REF!</f>
        <v>#REF!</v>
      </c>
      <c r="CB33" s="94">
        <f t="shared" si="51"/>
        <v>3.5745039411869281E-2</v>
      </c>
      <c r="CC33" s="95">
        <f t="shared" si="51"/>
        <v>2.2961056331317502E-2</v>
      </c>
      <c r="CD33" s="97">
        <f t="shared" si="10"/>
        <v>8.5623785729605856E-2</v>
      </c>
      <c r="CE33" s="98">
        <f t="shared" si="10"/>
        <v>5.5000990341202913E-2</v>
      </c>
      <c r="CF33" s="97" t="str">
        <f t="shared" si="52"/>
        <v>0,00</v>
      </c>
      <c r="CG33" s="94" t="str">
        <f t="shared" si="52"/>
        <v>0,00</v>
      </c>
      <c r="CH33" s="95" t="str">
        <f t="shared" si="53"/>
        <v xml:space="preserve">0,00 </v>
      </c>
      <c r="CI33" s="96" t="e">
        <f>#REF!</f>
        <v>#REF!</v>
      </c>
      <c r="CJ33" s="94">
        <f t="shared" si="54"/>
        <v>0.42779426310583579</v>
      </c>
      <c r="CK33" s="94">
        <f t="shared" si="54"/>
        <v>0.13006923837785811</v>
      </c>
      <c r="CL33" s="95">
        <f t="shared" si="69"/>
        <v>0.79376854599406532</v>
      </c>
      <c r="CM33" s="95" t="e">
        <f>#REF!</f>
        <v>#REF!</v>
      </c>
      <c r="CN33" s="94" t="str">
        <f t="shared" si="55"/>
        <v>0,00</v>
      </c>
      <c r="CO33" s="94" t="str">
        <f t="shared" si="55"/>
        <v>0,00</v>
      </c>
      <c r="CP33" s="95" t="str">
        <f t="shared" si="56"/>
        <v xml:space="preserve">0,00 </v>
      </c>
      <c r="CQ33" s="95" t="e">
        <f>#REF!</f>
        <v>#REF!</v>
      </c>
      <c r="CR33" s="97">
        <f t="shared" si="70"/>
        <v>0</v>
      </c>
      <c r="CS33" s="95">
        <f t="shared" si="70"/>
        <v>9.5176480378636449E-2</v>
      </c>
      <c r="CT33" s="96" t="e">
        <f>#REF!</f>
        <v>#REF!</v>
      </c>
      <c r="CU33" s="97">
        <f t="shared" si="71"/>
        <v>3.0959570755796278E-2</v>
      </c>
      <c r="CV33" s="95">
        <f t="shared" si="57"/>
        <v>4.5143691278260421E-2</v>
      </c>
      <c r="CW33" s="96" t="e">
        <f>#REF!</f>
        <v>#REF!</v>
      </c>
      <c r="CX33" s="99">
        <f t="shared" si="80"/>
        <v>0.11096497313918964</v>
      </c>
      <c r="CY33" s="95">
        <f t="shared" si="80"/>
        <v>1.2783983080551802E-2</v>
      </c>
      <c r="CZ33" s="99">
        <f t="shared" si="80"/>
        <v>0.32164501430668335</v>
      </c>
      <c r="DA33" s="95">
        <f t="shared" si="80"/>
        <v>3.5795152625545043E-3</v>
      </c>
      <c r="DB33" s="94">
        <f t="shared" si="11"/>
        <v>0.14215789185573602</v>
      </c>
      <c r="DC33" s="94">
        <f t="shared" si="12"/>
        <v>6.5453993372425218E-2</v>
      </c>
      <c r="DD33" s="94">
        <f t="shared" si="12"/>
        <v>0.45413821495356976</v>
      </c>
      <c r="DE33" s="94">
        <f t="shared" si="12"/>
        <v>1.9431654282438739E-2</v>
      </c>
      <c r="DF33" s="94">
        <f t="shared" si="12"/>
        <v>0</v>
      </c>
      <c r="DG33" s="94">
        <f t="shared" si="12"/>
        <v>0</v>
      </c>
      <c r="DH33" s="95">
        <f t="shared" si="12"/>
        <v>0.68118175446416973</v>
      </c>
      <c r="DI33" s="96" t="e">
        <f>#REF!</f>
        <v>#REF!</v>
      </c>
      <c r="DJ33" s="95">
        <f t="shared" si="59"/>
        <v>7.7215257806532878E-2</v>
      </c>
      <c r="DK33" s="96" t="e">
        <f>#REF!</f>
        <v>#REF!</v>
      </c>
      <c r="DL33" s="95">
        <f t="shared" si="60"/>
        <v>1.06625987009764</v>
      </c>
      <c r="DM33" s="96">
        <f t="shared" si="13"/>
        <v>0</v>
      </c>
      <c r="DN33" s="94">
        <f t="shared" si="14"/>
        <v>2.1297359000403104</v>
      </c>
      <c r="DO33" s="100">
        <v>3.4</v>
      </c>
      <c r="DP33" s="94">
        <f t="shared" si="72"/>
        <v>3.273211027944483</v>
      </c>
      <c r="DQ33" s="94">
        <f t="shared" si="73"/>
        <v>3.1551978554738098</v>
      </c>
      <c r="DR33" s="101">
        <f t="shared" si="15"/>
        <v>0</v>
      </c>
      <c r="DT33" s="134">
        <v>28</v>
      </c>
      <c r="DU33" s="361">
        <v>632546</v>
      </c>
      <c r="DV33" s="361">
        <v>28815</v>
      </c>
      <c r="DW33" s="361">
        <v>5147269</v>
      </c>
      <c r="DX33" s="361">
        <v>122259</v>
      </c>
      <c r="DY33" s="361">
        <v>86240.1</v>
      </c>
      <c r="DZ33" s="361">
        <v>402761</v>
      </c>
      <c r="EA33" s="303">
        <v>238172</v>
      </c>
      <c r="EB33" s="303">
        <v>55377.3</v>
      </c>
      <c r="EC33" s="303">
        <v>418278</v>
      </c>
      <c r="ED33" s="361">
        <v>48075.5</v>
      </c>
      <c r="EE33" s="330">
        <v>40463.5</v>
      </c>
      <c r="EF33" s="303">
        <v>43063.4</v>
      </c>
      <c r="EG33" s="361">
        <v>93963.6</v>
      </c>
      <c r="EH33" s="361">
        <v>185613.5</v>
      </c>
      <c r="EI33" s="361">
        <v>33510</v>
      </c>
      <c r="EJ33" s="303">
        <v>42233</v>
      </c>
      <c r="EK33" s="303"/>
      <c r="EL33" s="361">
        <v>713660.7</v>
      </c>
      <c r="EM33" s="361">
        <v>353</v>
      </c>
      <c r="EN33" s="303">
        <v>46555</v>
      </c>
      <c r="EO33" s="361">
        <v>3092593.7</v>
      </c>
      <c r="EP33" s="303">
        <v>2805478</v>
      </c>
      <c r="EQ33" s="303">
        <v>349</v>
      </c>
      <c r="ER33" s="303">
        <v>925</v>
      </c>
      <c r="ES33" s="303">
        <v>391067</v>
      </c>
      <c r="ET33" s="303">
        <v>4831517</v>
      </c>
      <c r="EU33" s="303">
        <v>442191</v>
      </c>
      <c r="EV33" s="303">
        <v>151203</v>
      </c>
      <c r="EW33" s="303">
        <v>128050</v>
      </c>
      <c r="EX33" s="361">
        <v>216045</v>
      </c>
      <c r="EY33" s="361">
        <v>1689609.6</v>
      </c>
      <c r="EZ33" s="382">
        <v>802448</v>
      </c>
      <c r="FA33" s="383">
        <v>757798</v>
      </c>
      <c r="FB33" s="383">
        <v>31420.9</v>
      </c>
      <c r="FC33" s="383">
        <v>6250</v>
      </c>
      <c r="FD33" s="303">
        <f>SUM(FE33:FM33)-364</f>
        <v>6401</v>
      </c>
      <c r="FE33" s="105">
        <v>0</v>
      </c>
      <c r="FF33" s="105">
        <v>444</v>
      </c>
      <c r="FG33" s="105">
        <f>FG66-FG65</f>
        <v>1342</v>
      </c>
      <c r="FH33" s="105">
        <v>1252</v>
      </c>
      <c r="FI33" s="105">
        <v>660</v>
      </c>
      <c r="FJ33" s="105">
        <f>FJ66-FJ65</f>
        <v>895</v>
      </c>
      <c r="FK33" s="105">
        <v>1020</v>
      </c>
      <c r="FL33" s="105">
        <v>846</v>
      </c>
      <c r="FM33" s="105">
        <v>306</v>
      </c>
      <c r="FN33" s="80">
        <v>0</v>
      </c>
      <c r="FO33" s="104">
        <v>0</v>
      </c>
      <c r="FP33" s="489"/>
      <c r="FY33" s="119">
        <v>28</v>
      </c>
      <c r="FZ33" s="107"/>
      <c r="GA33" s="107"/>
      <c r="GB33" s="180"/>
      <c r="GC33" s="109"/>
      <c r="GD33" s="110"/>
      <c r="GE33" s="110"/>
      <c r="GF33" s="111"/>
      <c r="GG33" s="111"/>
      <c r="GH33" s="111"/>
      <c r="GI33" s="164"/>
      <c r="GJ33" s="111" t="e">
        <f t="shared" si="61"/>
        <v>#DIV/0!</v>
      </c>
      <c r="GK33" s="113"/>
    </row>
    <row r="34" spans="1:193" s="119" customFormat="1" ht="15" customHeight="1">
      <c r="B34" s="351">
        <v>42976</v>
      </c>
      <c r="D34" s="86"/>
      <c r="E34" s="86">
        <v>5882.88</v>
      </c>
      <c r="F34" s="86">
        <v>2643.84</v>
      </c>
      <c r="G34" s="86">
        <v>2468.9259999999999</v>
      </c>
      <c r="H34" s="86">
        <v>6985.9639999999999</v>
      </c>
      <c r="I34" s="86">
        <v>984.36500000000001</v>
      </c>
      <c r="J34" s="86">
        <v>6399.2280000000001</v>
      </c>
      <c r="K34" s="284"/>
      <c r="L34" s="284">
        <v>0</v>
      </c>
      <c r="M34" s="115">
        <f t="shared" si="62"/>
        <v>7383.5929999999998</v>
      </c>
      <c r="N34" s="88">
        <f t="shared" si="18"/>
        <v>17981.61</v>
      </c>
      <c r="O34" s="88">
        <f t="shared" si="19"/>
        <v>21673.406500000001</v>
      </c>
      <c r="P34" s="89">
        <f t="shared" si="20"/>
        <v>578483.0205000001</v>
      </c>
      <c r="R34" s="170">
        <f t="shared" si="21"/>
        <v>269.10000000009313</v>
      </c>
      <c r="S34" s="170">
        <f t="shared" si="22"/>
        <v>43.7</v>
      </c>
      <c r="T34" s="170">
        <f t="shared" si="1"/>
        <v>739.5</v>
      </c>
      <c r="U34" s="91">
        <f t="shared" si="74"/>
        <v>5.2699999999997091</v>
      </c>
      <c r="V34" s="170">
        <f t="shared" si="23"/>
        <v>1423.2999999998137</v>
      </c>
      <c r="W34" s="91">
        <f t="shared" si="2"/>
        <v>126.9</v>
      </c>
      <c r="X34" s="170">
        <f t="shared" si="24"/>
        <v>1423.2999999998137</v>
      </c>
      <c r="Y34" s="170" t="str">
        <f t="shared" si="25"/>
        <v>0</v>
      </c>
      <c r="Z34" s="170">
        <f t="shared" si="3"/>
        <v>163.1</v>
      </c>
      <c r="AA34" s="170">
        <f t="shared" si="26"/>
        <v>2480.8699999999067</v>
      </c>
      <c r="AB34" s="170">
        <f t="shared" si="27"/>
        <v>48</v>
      </c>
      <c r="AC34" s="170">
        <f t="shared" si="27"/>
        <v>145</v>
      </c>
      <c r="AD34" s="170">
        <f t="shared" si="28"/>
        <v>401</v>
      </c>
      <c r="AE34" s="170">
        <f t="shared" si="29"/>
        <v>208</v>
      </c>
      <c r="AF34" s="170">
        <f t="shared" si="30"/>
        <v>142</v>
      </c>
      <c r="AG34" s="170">
        <f t="shared" si="30"/>
        <v>26.899999999994179</v>
      </c>
      <c r="AH34" s="170">
        <f t="shared" si="31"/>
        <v>250</v>
      </c>
      <c r="AI34" s="170">
        <f t="shared" si="32"/>
        <v>81.100000000005821</v>
      </c>
      <c r="AJ34" s="170">
        <f>IF(EA34=0,"",(EA34-EA33))</f>
        <v>129</v>
      </c>
      <c r="AK34" s="170">
        <f t="shared" si="33"/>
        <v>6.6999999999970896</v>
      </c>
      <c r="AL34" s="170">
        <f t="shared" si="34"/>
        <v>249</v>
      </c>
      <c r="AM34" s="170">
        <f t="shared" si="35"/>
        <v>113.30000000000291</v>
      </c>
      <c r="AN34" s="170">
        <f t="shared" si="36"/>
        <v>32.5</v>
      </c>
      <c r="AO34" s="170">
        <f t="shared" si="4"/>
        <v>10.099999999998545</v>
      </c>
      <c r="AP34" s="170">
        <f t="shared" si="37"/>
        <v>51.69999999999709</v>
      </c>
      <c r="AQ34" s="170">
        <f t="shared" si="5"/>
        <v>66.5</v>
      </c>
      <c r="AR34" s="170">
        <f t="shared" si="38"/>
        <v>81.257999999999996</v>
      </c>
      <c r="AS34" s="170">
        <f t="shared" si="39"/>
        <v>211.25800000000004</v>
      </c>
      <c r="AT34" s="170">
        <f t="shared" si="40"/>
        <v>1003.258</v>
      </c>
      <c r="AU34" s="170">
        <f t="shared" si="63"/>
        <v>46</v>
      </c>
      <c r="AV34" s="170">
        <f t="shared" si="64"/>
        <v>37</v>
      </c>
      <c r="AW34" s="170">
        <f t="shared" si="65"/>
        <v>746</v>
      </c>
      <c r="AX34" s="170">
        <f t="shared" si="66"/>
        <v>6</v>
      </c>
      <c r="AY34" s="170" t="str">
        <f t="shared" si="66"/>
        <v/>
      </c>
      <c r="AZ34" s="170">
        <f t="shared" si="41"/>
        <v>376</v>
      </c>
      <c r="BA34" s="170">
        <v>58</v>
      </c>
      <c r="BB34" s="170">
        <f t="shared" si="42"/>
        <v>127.79999999998836</v>
      </c>
      <c r="BC34" s="170">
        <f t="shared" si="42"/>
        <v>1042.3999999999069</v>
      </c>
      <c r="BD34" s="91">
        <f t="shared" si="43"/>
        <v>84</v>
      </c>
      <c r="BE34" s="90"/>
      <c r="BF34" s="90"/>
      <c r="BG34" s="90">
        <f t="shared" si="44"/>
        <v>1630.1999999998952</v>
      </c>
      <c r="BH34" s="90">
        <f t="shared" si="45"/>
        <v>-1459</v>
      </c>
      <c r="BI34" s="90">
        <f t="shared" si="6"/>
        <v>1375.0720000002002</v>
      </c>
      <c r="BJ34" s="90">
        <f t="shared" si="46"/>
        <v>6133.9279999997998</v>
      </c>
      <c r="BK34" s="92"/>
      <c r="BL34" s="331">
        <f t="shared" si="67"/>
        <v>6050</v>
      </c>
      <c r="BM34" s="93">
        <f t="shared" si="47"/>
        <v>181734.44999999998</v>
      </c>
      <c r="BN34" s="92"/>
      <c r="BO34" s="94">
        <f t="shared" si="48"/>
        <v>0.14965289537482634</v>
      </c>
      <c r="BP34" s="94">
        <f t="shared" si="48"/>
        <v>2.430260694120271E-2</v>
      </c>
      <c r="BQ34" s="94">
        <f t="shared" si="49"/>
        <v>0.41125349732309846</v>
      </c>
      <c r="BR34" s="94">
        <f t="shared" si="68"/>
        <v>0.7915309029613109</v>
      </c>
      <c r="BS34" s="94">
        <f>IF($N34&lt;&gt;0,IF($N34&lt;&gt;0,Y34/$N34*10,0)," ")</f>
        <v>0</v>
      </c>
      <c r="BT34" s="94">
        <f t="shared" si="78"/>
        <v>9.0703780139820625E-2</v>
      </c>
      <c r="BU34" s="95">
        <f t="shared" si="78"/>
        <v>1.3796706746503271</v>
      </c>
      <c r="BV34" s="94">
        <f t="shared" si="8"/>
        <v>0.12416137721594117</v>
      </c>
      <c r="BW34" s="94">
        <f t="shared" si="8"/>
        <v>2.016295869318005E-2</v>
      </c>
      <c r="BX34" s="94">
        <f t="shared" si="8"/>
        <v>0.34120155500244043</v>
      </c>
      <c r="BY34" s="94">
        <f t="shared" si="50"/>
        <v>0.65670341208236627</v>
      </c>
      <c r="BZ34" s="95">
        <f t="shared" si="9"/>
        <v>1.1446608543054395</v>
      </c>
      <c r="CA34" s="96" t="e">
        <f>#REF!</f>
        <v>#REF!</v>
      </c>
      <c r="CB34" s="94">
        <f t="shared" si="51"/>
        <v>3.7492029690856389E-2</v>
      </c>
      <c r="CC34" s="95">
        <f t="shared" si="51"/>
        <v>9.7473371341048776E-2</v>
      </c>
      <c r="CD34" s="97">
        <f t="shared" si="10"/>
        <v>0.11005211148555993</v>
      </c>
      <c r="CE34" s="98">
        <f t="shared" si="10"/>
        <v>0.28611815412902641</v>
      </c>
      <c r="CF34" s="97" t="str">
        <f t="shared" si="52"/>
        <v>0,00</v>
      </c>
      <c r="CG34" s="94" t="str">
        <f t="shared" si="52"/>
        <v>0,00</v>
      </c>
      <c r="CH34" s="95" t="str">
        <f t="shared" si="53"/>
        <v xml:space="preserve">0,00 </v>
      </c>
      <c r="CI34" s="96" t="e">
        <f>#REF!</f>
        <v>#REF!</v>
      </c>
      <c r="CJ34" s="94">
        <f t="shared" si="54"/>
        <v>0.24137837249782418</v>
      </c>
      <c r="CK34" s="94">
        <f t="shared" si="54"/>
        <v>4.572590295908497E-2</v>
      </c>
      <c r="CL34" s="95">
        <f t="shared" si="69"/>
        <v>0.42496192341166228</v>
      </c>
      <c r="CM34" s="95" t="e">
        <f>#REF!</f>
        <v>#REF!</v>
      </c>
      <c r="CN34" s="94">
        <f t="shared" si="55"/>
        <v>0.48792665214233838</v>
      </c>
      <c r="CO34" s="94">
        <f t="shared" si="55"/>
        <v>2.5341926894203465E-2</v>
      </c>
      <c r="CP34" s="95">
        <f t="shared" si="56"/>
        <v>0.94181190994916486</v>
      </c>
      <c r="CQ34" s="95" t="e">
        <f>#REF!</f>
        <v>#REF!</v>
      </c>
      <c r="CR34" s="97">
        <f t="shared" si="70"/>
        <v>0.13163618512665021</v>
      </c>
      <c r="CS34" s="95">
        <f t="shared" si="70"/>
        <v>4.0908475993199252E-2</v>
      </c>
      <c r="CT34" s="96" t="e">
        <f>#REF!</f>
        <v>#REF!</v>
      </c>
      <c r="CU34" s="97">
        <f t="shared" si="71"/>
        <v>7.4005534526082717E-2</v>
      </c>
      <c r="CV34" s="95">
        <f t="shared" si="57"/>
        <v>9.5190871295643673E-2</v>
      </c>
      <c r="CW34" s="96" t="e">
        <f>#REF!</f>
        <v>#REF!</v>
      </c>
      <c r="CX34" s="99">
        <f t="shared" si="80"/>
        <v>2.1224167045452682E-2</v>
      </c>
      <c r="CY34" s="95">
        <f t="shared" si="80"/>
        <v>1.7071612623516291E-2</v>
      </c>
      <c r="CZ34" s="99">
        <f t="shared" si="80"/>
        <v>0.34420062208495</v>
      </c>
      <c r="DA34" s="95">
        <f t="shared" si="80"/>
        <v>2.7683696146242631E-3</v>
      </c>
      <c r="DB34" s="94">
        <f t="shared" si="11"/>
        <v>0.17348449584978717</v>
      </c>
      <c r="DC34" s="94">
        <f t="shared" si="12"/>
        <v>5.8966272791491428E-2</v>
      </c>
      <c r="DD34" s="94">
        <f t="shared" si="12"/>
        <v>0.48095808104734566</v>
      </c>
      <c r="DE34" s="94">
        <f t="shared" si="12"/>
        <v>3.875717460473968E-2</v>
      </c>
      <c r="DF34" s="94">
        <f t="shared" si="12"/>
        <v>0</v>
      </c>
      <c r="DG34" s="94">
        <f t="shared" si="12"/>
        <v>0</v>
      </c>
      <c r="DH34" s="95">
        <f t="shared" si="12"/>
        <v>0.75216602429336388</v>
      </c>
      <c r="DI34" s="96" t="e">
        <f>#REF!</f>
        <v>#REF!</v>
      </c>
      <c r="DJ34" s="95">
        <f t="shared" si="59"/>
        <v>-0.67317521128946667</v>
      </c>
      <c r="DK34" s="96" t="e">
        <f>#REF!</f>
        <v>#REF!</v>
      </c>
      <c r="DL34" s="95">
        <f t="shared" si="60"/>
        <v>0.63445125712019479</v>
      </c>
      <c r="DM34" s="96">
        <f t="shared" si="13"/>
        <v>0</v>
      </c>
      <c r="DN34" s="94">
        <f t="shared" si="14"/>
        <v>2.8301633155820705</v>
      </c>
      <c r="DO34" s="100">
        <v>3.4</v>
      </c>
      <c r="DP34" s="94">
        <f>IF($O34&lt;&gt;0,IF($O34&lt;&gt;0,BL34/$O34*10,0)," ")</f>
        <v>2.7914393614127988</v>
      </c>
      <c r="DQ34" s="94">
        <f t="shared" si="73"/>
        <v>3.1415693038478727</v>
      </c>
      <c r="DR34" s="101">
        <f t="shared" si="15"/>
        <v>0</v>
      </c>
      <c r="DT34" s="134">
        <v>29</v>
      </c>
      <c r="DU34" s="361">
        <v>632594</v>
      </c>
      <c r="DV34" s="361">
        <v>28960</v>
      </c>
      <c r="DW34" s="303">
        <v>5147670</v>
      </c>
      <c r="DX34" s="361">
        <v>122401</v>
      </c>
      <c r="DY34" s="361">
        <v>86267</v>
      </c>
      <c r="DZ34" s="361">
        <v>403011</v>
      </c>
      <c r="EA34" s="303">
        <v>238301</v>
      </c>
      <c r="EB34" s="303">
        <v>55384</v>
      </c>
      <c r="EC34" s="303">
        <v>418527</v>
      </c>
      <c r="ED34" s="303">
        <v>48108</v>
      </c>
      <c r="EE34" s="303">
        <v>40472</v>
      </c>
      <c r="EF34" s="303">
        <v>43065</v>
      </c>
      <c r="EG34" s="361">
        <v>94015.3</v>
      </c>
      <c r="EH34" s="361">
        <v>185680</v>
      </c>
      <c r="EI34" s="361">
        <v>33547</v>
      </c>
      <c r="EJ34" s="303">
        <v>42239</v>
      </c>
      <c r="EK34" s="303"/>
      <c r="EL34" s="361">
        <v>713929.8</v>
      </c>
      <c r="EM34" s="361">
        <v>7395</v>
      </c>
      <c r="EN34" s="303">
        <v>46607.7</v>
      </c>
      <c r="EO34" s="361">
        <v>3094017</v>
      </c>
      <c r="EP34" s="303">
        <v>2806747</v>
      </c>
      <c r="EQ34" s="303">
        <v>0</v>
      </c>
      <c r="ER34" s="303">
        <v>1631</v>
      </c>
      <c r="ES34" s="303">
        <v>391989</v>
      </c>
      <c r="ET34" s="303">
        <v>4912775</v>
      </c>
      <c r="EU34" s="330">
        <v>442937</v>
      </c>
      <c r="EV34" s="303">
        <v>151249</v>
      </c>
      <c r="EW34" s="303">
        <v>128426</v>
      </c>
      <c r="EX34" s="361">
        <v>216172.79999999999</v>
      </c>
      <c r="EY34" s="361">
        <v>1690652</v>
      </c>
      <c r="EZ34" s="382">
        <v>802885</v>
      </c>
      <c r="FA34" s="383">
        <v>757882</v>
      </c>
      <c r="FB34" s="383">
        <v>31487</v>
      </c>
      <c r="FC34" s="382">
        <v>7509</v>
      </c>
      <c r="FD34" s="104">
        <f>SUM(FE34:FM34)</f>
        <v>6050</v>
      </c>
      <c r="FE34" s="105">
        <v>0</v>
      </c>
      <c r="FF34" s="105">
        <v>347</v>
      </c>
      <c r="FG34" s="105">
        <v>888</v>
      </c>
      <c r="FH34" s="105">
        <v>1190</v>
      </c>
      <c r="FI34" s="105">
        <v>700</v>
      </c>
      <c r="FJ34" s="105">
        <v>876</v>
      </c>
      <c r="FK34" s="105">
        <v>983</v>
      </c>
      <c r="FL34" s="105">
        <v>732</v>
      </c>
      <c r="FM34" s="105">
        <v>334</v>
      </c>
      <c r="FN34" s="80">
        <v>0</v>
      </c>
      <c r="FO34" s="104"/>
      <c r="FP34" s="189"/>
      <c r="FY34" s="119">
        <v>29</v>
      </c>
      <c r="FZ34" s="190"/>
      <c r="GA34" s="191"/>
      <c r="GB34" s="107"/>
      <c r="GC34" s="109"/>
      <c r="GD34" s="110"/>
      <c r="GE34" s="110"/>
      <c r="GF34" s="111"/>
      <c r="GG34" s="111"/>
      <c r="GH34" s="111"/>
      <c r="GI34" s="112"/>
      <c r="GJ34" s="111" t="e">
        <f t="shared" si="61"/>
        <v>#DIV/0!</v>
      </c>
      <c r="GK34" s="113"/>
    </row>
    <row r="35" spans="1:193" s="119" customFormat="1" ht="15" customHeight="1">
      <c r="B35" s="351">
        <v>42977</v>
      </c>
      <c r="D35" s="86">
        <v>4316.6400000000003</v>
      </c>
      <c r="E35" s="86">
        <v>1505.04</v>
      </c>
      <c r="F35" s="86">
        <v>2597.328</v>
      </c>
      <c r="G35" s="86">
        <v>4484.8220000000001</v>
      </c>
      <c r="H35" s="86">
        <v>8735.648000000001</v>
      </c>
      <c r="I35" s="86">
        <v>1818.1120000000001</v>
      </c>
      <c r="J35" s="86">
        <v>5972.8680000000004</v>
      </c>
      <c r="K35" s="284">
        <v>3.4140000000000001</v>
      </c>
      <c r="L35" s="284"/>
      <c r="M35" s="115">
        <f t="shared" si="62"/>
        <v>7790.9800000000005</v>
      </c>
      <c r="N35" s="88">
        <f t="shared" si="18"/>
        <v>21639.478000000003</v>
      </c>
      <c r="O35" s="88">
        <f t="shared" si="19"/>
        <v>25534.968000000004</v>
      </c>
      <c r="P35" s="89">
        <f t="shared" si="20"/>
        <v>604017.98850000009</v>
      </c>
      <c r="R35" s="170">
        <f t="shared" si="21"/>
        <v>115.39999999990687</v>
      </c>
      <c r="S35" s="170">
        <f t="shared" si="22"/>
        <v>36.269999999995342</v>
      </c>
      <c r="T35" s="170">
        <f t="shared" si="1"/>
        <v>4.8</v>
      </c>
      <c r="U35" s="91">
        <f t="shared" si="74"/>
        <v>1.7700000000004366</v>
      </c>
      <c r="V35" s="170">
        <f t="shared" si="23"/>
        <v>968.29999999981374</v>
      </c>
      <c r="W35" s="91">
        <f t="shared" si="2"/>
        <v>87.4</v>
      </c>
      <c r="X35" s="170">
        <f t="shared" si="24"/>
        <v>968.29999999981374</v>
      </c>
      <c r="Y35" s="170" t="str">
        <f t="shared" si="25"/>
        <v>0</v>
      </c>
      <c r="Z35" s="170">
        <f t="shared" si="3"/>
        <v>94.9</v>
      </c>
      <c r="AA35" s="170">
        <f t="shared" si="26"/>
        <v>1126.5399999997164</v>
      </c>
      <c r="AB35" s="170">
        <f t="shared" si="27"/>
        <v>193</v>
      </c>
      <c r="AC35" s="170">
        <f t="shared" si="27"/>
        <v>28</v>
      </c>
      <c r="AD35" s="170">
        <f t="shared" si="28"/>
        <v>377</v>
      </c>
      <c r="AE35" s="170">
        <f t="shared" si="29"/>
        <v>156</v>
      </c>
      <c r="AF35" s="170">
        <f t="shared" si="30"/>
        <v>3</v>
      </c>
      <c r="AG35" s="170">
        <f t="shared" si="30"/>
        <v>24.69999999999709</v>
      </c>
      <c r="AH35" s="170">
        <f t="shared" si="31"/>
        <v>80</v>
      </c>
      <c r="AI35" s="170">
        <f t="shared" si="32"/>
        <v>52.30000000000291</v>
      </c>
      <c r="AJ35" s="170">
        <f t="shared" si="33"/>
        <v>142</v>
      </c>
      <c r="AK35" s="170">
        <f t="shared" si="33"/>
        <v>14.80000000000291</v>
      </c>
      <c r="AL35" s="170">
        <f t="shared" si="34"/>
        <v>217</v>
      </c>
      <c r="AM35" s="170">
        <f t="shared" si="35"/>
        <v>60.19999999999709</v>
      </c>
      <c r="AN35" s="170">
        <f t="shared" si="36"/>
        <v>0.19999999999708962</v>
      </c>
      <c r="AO35" s="170">
        <f t="shared" si="4"/>
        <v>29.30000000000291</v>
      </c>
      <c r="AP35" s="170">
        <f t="shared" si="37"/>
        <v>22.099999999991269</v>
      </c>
      <c r="AQ35" s="170">
        <f t="shared" si="5"/>
        <v>30</v>
      </c>
      <c r="AR35" s="170">
        <f t="shared" si="38"/>
        <v>60.561</v>
      </c>
      <c r="AS35" s="170">
        <f t="shared" si="39"/>
        <v>89.561000000000035</v>
      </c>
      <c r="AT35" s="170">
        <f t="shared" si="40"/>
        <v>822.56100000000004</v>
      </c>
      <c r="AU35" s="170">
        <f t="shared" si="63"/>
        <v>249</v>
      </c>
      <c r="AV35" s="170">
        <f t="shared" si="64"/>
        <v>38</v>
      </c>
      <c r="AW35" s="170">
        <f t="shared" si="65"/>
        <v>484</v>
      </c>
      <c r="AX35" s="170">
        <f t="shared" si="66"/>
        <v>28</v>
      </c>
      <c r="AY35" s="170" t="str">
        <f t="shared" si="66"/>
        <v/>
      </c>
      <c r="AZ35" s="170">
        <f t="shared" si="41"/>
        <v>139</v>
      </c>
      <c r="BA35" s="170">
        <v>117</v>
      </c>
      <c r="BB35" s="170">
        <f t="shared" si="42"/>
        <v>117.10000000000582</v>
      </c>
      <c r="BC35" s="170">
        <f t="shared" si="42"/>
        <v>220.5</v>
      </c>
      <c r="BD35" s="91">
        <f t="shared" si="43"/>
        <v>45</v>
      </c>
      <c r="BE35" s="90"/>
      <c r="BF35" s="90"/>
      <c r="BG35" s="90">
        <f t="shared" si="44"/>
        <v>521.60000000000582</v>
      </c>
      <c r="BH35" s="90">
        <f t="shared" si="45"/>
        <v>5.5</v>
      </c>
      <c r="BI35" s="90">
        <f t="shared" si="6"/>
        <v>2269.9990000002749</v>
      </c>
      <c r="BJ35" s="90">
        <f t="shared" si="46"/>
        <v>3270.0009999997251</v>
      </c>
      <c r="BK35" s="92"/>
      <c r="BL35" s="331">
        <f t="shared" si="67"/>
        <v>5545.5</v>
      </c>
      <c r="BM35" s="93">
        <f t="shared" si="47"/>
        <v>187279.94999999998</v>
      </c>
      <c r="BN35" s="92"/>
      <c r="BO35" s="94">
        <f t="shared" si="48"/>
        <v>5.3328458292712447E-2</v>
      </c>
      <c r="BP35" s="94">
        <f t="shared" si="48"/>
        <v>1.6761032775372556E-2</v>
      </c>
      <c r="BQ35" s="94">
        <f t="shared" si="49"/>
        <v>2.2181681092307308E-3</v>
      </c>
      <c r="BR35" s="94">
        <f t="shared" si="68"/>
        <v>0.44746920420160485</v>
      </c>
      <c r="BS35" s="94">
        <f t="shared" si="78"/>
        <v>0</v>
      </c>
      <c r="BT35" s="94">
        <f t="shared" si="78"/>
        <v>4.3855031992915905E-2</v>
      </c>
      <c r="BU35" s="95">
        <f t="shared" si="78"/>
        <v>0.52059481286919962</v>
      </c>
      <c r="BV35" s="94">
        <f t="shared" si="8"/>
        <v>4.5192929162827557E-2</v>
      </c>
      <c r="BW35" s="94">
        <f t="shared" si="8"/>
        <v>1.4204051479522251E-2</v>
      </c>
      <c r="BX35" s="94">
        <f t="shared" si="8"/>
        <v>1.8797752164796131E-3</v>
      </c>
      <c r="BY35" s="94">
        <f t="shared" si="50"/>
        <v>0.37920548794101233</v>
      </c>
      <c r="BZ35" s="95">
        <f t="shared" si="9"/>
        <v>0.44117541091091883</v>
      </c>
      <c r="CA35" s="96" t="e">
        <f>#REF!</f>
        <v>#REF!</v>
      </c>
      <c r="CB35" s="94">
        <f t="shared" si="51"/>
        <v>2.3716888934421219E-2</v>
      </c>
      <c r="CC35" s="95">
        <f t="shared" si="51"/>
        <v>3.5073864200652227E-2</v>
      </c>
      <c r="CD35" s="97">
        <f t="shared" si="10"/>
        <v>7.7732198003332059E-2</v>
      </c>
      <c r="CE35" s="98">
        <f t="shared" si="10"/>
        <v>0.11495472970024315</v>
      </c>
      <c r="CF35" s="97">
        <f t="shared" si="52"/>
        <v>0.44710700915526891</v>
      </c>
      <c r="CG35" s="94">
        <f t="shared" si="52"/>
        <v>6.4865265576930203E-2</v>
      </c>
      <c r="CH35" s="95">
        <f t="shared" si="53"/>
        <v>0.87336446866081019</v>
      </c>
      <c r="CI35" s="96" t="e">
        <f>#REF!</f>
        <v>#REF!</v>
      </c>
      <c r="CJ35" s="94">
        <f t="shared" si="54"/>
        <v>1.9933025035879445E-2</v>
      </c>
      <c r="CK35" s="94">
        <f t="shared" si="54"/>
        <v>0.16411523946205475</v>
      </c>
      <c r="CL35" s="95">
        <f t="shared" si="69"/>
        <v>0.53154733429011858</v>
      </c>
      <c r="CM35" s="95" t="e">
        <f>#REF!</f>
        <v>#REF!</v>
      </c>
      <c r="CN35" s="94">
        <f t="shared" si="55"/>
        <v>0.54671570167495209</v>
      </c>
      <c r="CO35" s="94">
        <f t="shared" si="55"/>
        <v>5.6981636512611844E-2</v>
      </c>
      <c r="CP35" s="95">
        <f t="shared" si="56"/>
        <v>0.83547399481313112</v>
      </c>
      <c r="CQ35" s="95" t="e">
        <f>#REF!</f>
        <v>#REF!</v>
      </c>
      <c r="CR35" s="97">
        <f t="shared" si="70"/>
        <v>4.4594857944660815E-4</v>
      </c>
      <c r="CS35" s="95">
        <f t="shared" si="70"/>
        <v>6.5331466889885281E-2</v>
      </c>
      <c r="CT35" s="96" t="e">
        <f>#REF!</f>
        <v>#REF!</v>
      </c>
      <c r="CU35" s="97">
        <f t="shared" si="71"/>
        <v>2.5298638406665731E-2</v>
      </c>
      <c r="CV35" s="95">
        <f t="shared" si="57"/>
        <v>3.4342043085985145E-2</v>
      </c>
      <c r="CW35" s="96" t="e">
        <f>#REF!</f>
        <v>#REF!</v>
      </c>
      <c r="CX35" s="99">
        <f t="shared" si="80"/>
        <v>9.7513339354879922E-2</v>
      </c>
      <c r="CY35" s="95">
        <f t="shared" si="80"/>
        <v>1.488155379713027E-2</v>
      </c>
      <c r="CZ35" s="99">
        <f t="shared" si="80"/>
        <v>0.18954400099502763</v>
      </c>
      <c r="DA35" s="95">
        <f t="shared" si="80"/>
        <v>1.0965355429464408E-2</v>
      </c>
      <c r="DB35" s="94">
        <f t="shared" si="11"/>
        <v>5.4435157310555461E-2</v>
      </c>
      <c r="DC35" s="94">
        <f t="shared" si="12"/>
        <v>4.5858682885369505E-2</v>
      </c>
      <c r="DD35" s="94">
        <f t="shared" si="12"/>
        <v>8.6352174007032226E-2</v>
      </c>
      <c r="DE35" s="94">
        <f t="shared" si="12"/>
        <v>1.7622892654496375E-2</v>
      </c>
      <c r="DF35" s="94">
        <f t="shared" si="12"/>
        <v>0</v>
      </c>
      <c r="DG35" s="94">
        <f t="shared" si="12"/>
        <v>0</v>
      </c>
      <c r="DH35" s="95">
        <f t="shared" si="12"/>
        <v>0.20426890685745355</v>
      </c>
      <c r="DI35" s="96" t="e">
        <f>#REF!</f>
        <v>#REF!</v>
      </c>
      <c r="DJ35" s="95">
        <f t="shared" si="59"/>
        <v>2.1539091022162232E-3</v>
      </c>
      <c r="DK35" s="96" t="e">
        <f>#REF!</f>
        <v>#REF!</v>
      </c>
      <c r="DL35" s="95">
        <f t="shared" si="60"/>
        <v>0.88897663784042125</v>
      </c>
      <c r="DM35" s="96">
        <f t="shared" si="13"/>
        <v>0</v>
      </c>
      <c r="DN35" s="94">
        <f t="shared" si="14"/>
        <v>1.2805972578464655</v>
      </c>
      <c r="DO35" s="100">
        <v>3.4</v>
      </c>
      <c r="DP35" s="94">
        <f>IF($O35&lt;&gt;0,IF($O35&lt;&gt;0,BL35/$O35*10,0)," ")</f>
        <v>2.1717278047891027</v>
      </c>
      <c r="DQ35" s="94">
        <f>IF($P35&lt;&gt;0,IF($P35&lt;&gt;0,BM35/$P35*10,0)," ")</f>
        <v>3.1005690818097209</v>
      </c>
      <c r="DR35" s="101">
        <f t="shared" si="15"/>
        <v>0</v>
      </c>
      <c r="DS35" s="173"/>
      <c r="DT35" s="134">
        <v>30</v>
      </c>
      <c r="DU35" s="361">
        <v>632787</v>
      </c>
      <c r="DV35" s="361">
        <v>28988</v>
      </c>
      <c r="DW35" s="361">
        <v>5148047</v>
      </c>
      <c r="DX35" s="361">
        <v>122404</v>
      </c>
      <c r="DY35" s="361">
        <v>86291.7</v>
      </c>
      <c r="DZ35" s="361">
        <v>403091</v>
      </c>
      <c r="EA35" s="303">
        <v>238443</v>
      </c>
      <c r="EB35" s="303">
        <v>55398.8</v>
      </c>
      <c r="EC35" s="303">
        <v>418744</v>
      </c>
      <c r="ED35" s="361">
        <v>48108.2</v>
      </c>
      <c r="EE35" s="303">
        <v>40498.300000000003</v>
      </c>
      <c r="EF35" s="303">
        <v>43068</v>
      </c>
      <c r="EG35" s="361">
        <v>94037.4</v>
      </c>
      <c r="EH35" s="361">
        <v>185710</v>
      </c>
      <c r="EI35" s="361">
        <v>33585</v>
      </c>
      <c r="EJ35" s="303">
        <v>42267</v>
      </c>
      <c r="EK35" s="303"/>
      <c r="EL35" s="361">
        <v>714045.2</v>
      </c>
      <c r="EM35" s="361">
        <v>48</v>
      </c>
      <c r="EN35" s="303">
        <v>46625.4</v>
      </c>
      <c r="EO35" s="361">
        <v>3094985.3</v>
      </c>
      <c r="EP35" s="303">
        <v>2807621</v>
      </c>
      <c r="EQ35" s="303">
        <v>0</v>
      </c>
      <c r="ER35" s="303">
        <v>949</v>
      </c>
      <c r="ES35" s="303">
        <v>392751</v>
      </c>
      <c r="ET35" s="303">
        <v>4973336</v>
      </c>
      <c r="EU35" s="303">
        <v>443421</v>
      </c>
      <c r="EV35" s="303">
        <v>151498</v>
      </c>
      <c r="EW35" s="303">
        <v>128565</v>
      </c>
      <c r="EX35" s="361">
        <v>216289.9</v>
      </c>
      <c r="EY35" s="476">
        <v>1690872.5</v>
      </c>
      <c r="EZ35" s="477">
        <v>803247.7</v>
      </c>
      <c r="FA35" s="383">
        <v>757927</v>
      </c>
      <c r="FB35" s="383">
        <v>31603.200000000001</v>
      </c>
      <c r="FC35" s="382">
        <v>5540</v>
      </c>
      <c r="FD35" s="104">
        <f>SUM(FE35:FM35)</f>
        <v>5545.5</v>
      </c>
      <c r="FE35" s="136">
        <v>0</v>
      </c>
      <c r="FF35" s="371">
        <v>527</v>
      </c>
      <c r="FG35" s="371">
        <f>FG68-FG67</f>
        <v>952</v>
      </c>
      <c r="FH35" s="136">
        <v>615</v>
      </c>
      <c r="FI35" s="371">
        <v>725</v>
      </c>
      <c r="FJ35" s="136">
        <f>FJ68-FJ67</f>
        <v>891</v>
      </c>
      <c r="FK35" s="371">
        <v>1034.7</v>
      </c>
      <c r="FL35" s="371">
        <v>441.8</v>
      </c>
      <c r="FM35" s="371">
        <v>359</v>
      </c>
      <c r="FN35" s="187">
        <v>0</v>
      </c>
      <c r="FO35" s="136">
        <v>0</v>
      </c>
      <c r="FP35" s="189"/>
      <c r="FY35" s="119">
        <v>30</v>
      </c>
      <c r="FZ35" s="190"/>
      <c r="GA35" s="192"/>
      <c r="GB35" s="190"/>
      <c r="GC35" s="109"/>
      <c r="GD35" s="110"/>
      <c r="GE35" s="110"/>
      <c r="GF35" s="111"/>
      <c r="GG35" s="111"/>
      <c r="GH35" s="111"/>
      <c r="GI35" s="112"/>
      <c r="GJ35" s="111" t="e">
        <f t="shared" si="61"/>
        <v>#DIV/0!</v>
      </c>
      <c r="GK35" s="113"/>
    </row>
    <row r="36" spans="1:193" s="119" customFormat="1" ht="15" customHeight="1">
      <c r="B36" s="351">
        <v>42978</v>
      </c>
      <c r="D36" s="86">
        <v>5219.2800000000007</v>
      </c>
      <c r="E36" s="86">
        <v>0</v>
      </c>
      <c r="F36" s="86">
        <v>3383.712</v>
      </c>
      <c r="G36" s="86">
        <v>6368.36</v>
      </c>
      <c r="H36" s="86">
        <v>8154.1419999999998</v>
      </c>
      <c r="I36" s="86">
        <v>313.608</v>
      </c>
      <c r="J36" s="86">
        <v>8077.4759999999997</v>
      </c>
      <c r="K36" s="284"/>
      <c r="L36" s="284"/>
      <c r="M36" s="115">
        <f t="shared" si="62"/>
        <v>8391.0839999999989</v>
      </c>
      <c r="N36" s="88">
        <f t="shared" si="18"/>
        <v>23125.493999999999</v>
      </c>
      <c r="O36" s="88">
        <f t="shared" si="19"/>
        <v>27321.036</v>
      </c>
      <c r="P36" s="89">
        <f t="shared" si="20"/>
        <v>631339.02450000006</v>
      </c>
      <c r="R36" s="170">
        <f t="shared" si="21"/>
        <v>270.10000000009313</v>
      </c>
      <c r="S36" s="170">
        <f t="shared" si="22"/>
        <v>61.270000000006988</v>
      </c>
      <c r="T36" s="170">
        <f t="shared" si="1"/>
        <v>7.24</v>
      </c>
      <c r="U36" s="91">
        <f>IF(FB36=0,"",((EN36-EN35)/10))</f>
        <v>5.4199999999997086</v>
      </c>
      <c r="V36" s="170">
        <f t="shared" si="23"/>
        <v>1358.6000000000931</v>
      </c>
      <c r="W36" s="91">
        <f t="shared" si="2"/>
        <v>120.8</v>
      </c>
      <c r="X36" s="170">
        <f t="shared" si="24"/>
        <v>1358.6000000000931</v>
      </c>
      <c r="Y36" s="170" t="str">
        <f t="shared" si="25"/>
        <v>0</v>
      </c>
      <c r="Z36" s="170">
        <f t="shared" si="3"/>
        <v>69.7</v>
      </c>
      <c r="AA36" s="170">
        <f t="shared" si="26"/>
        <v>1702.6300000001929</v>
      </c>
      <c r="AB36" s="170">
        <f t="shared" si="27"/>
        <v>180</v>
      </c>
      <c r="AC36" s="170">
        <f t="shared" si="27"/>
        <v>28</v>
      </c>
      <c r="AD36" s="170">
        <f>(IF(SUM(AB36:AC36)&gt;=(DW36-DW35),(SUM(AB36:AC36)),(DW36-DW35)))</f>
        <v>389</v>
      </c>
      <c r="AE36" s="170">
        <f t="shared" si="29"/>
        <v>181</v>
      </c>
      <c r="AF36" s="170">
        <f t="shared" si="30"/>
        <v>0</v>
      </c>
      <c r="AG36" s="170">
        <f t="shared" si="30"/>
        <v>0</v>
      </c>
      <c r="AH36" s="170">
        <f t="shared" si="31"/>
        <v>7</v>
      </c>
      <c r="AI36" s="170">
        <f t="shared" si="32"/>
        <v>7</v>
      </c>
      <c r="AJ36" s="170">
        <f>IF(EA36=0,"",(EA36-EA35))</f>
        <v>134</v>
      </c>
      <c r="AK36" s="170">
        <f>IF(EB36=0,"",(EB36-EB35))</f>
        <v>10.099999999998545</v>
      </c>
      <c r="AL36" s="170">
        <f t="shared" si="34"/>
        <v>234</v>
      </c>
      <c r="AM36" s="170">
        <f t="shared" si="35"/>
        <v>89.900000000001455</v>
      </c>
      <c r="AN36" s="170">
        <f t="shared" si="36"/>
        <v>0.10000000000582077</v>
      </c>
      <c r="AO36" s="170">
        <f t="shared" si="4"/>
        <v>31.19999999999709</v>
      </c>
      <c r="AP36" s="170">
        <f t="shared" si="37"/>
        <v>24.30000000000291</v>
      </c>
      <c r="AQ36" s="170">
        <f t="shared" si="5"/>
        <v>34.799999999988358</v>
      </c>
      <c r="AR36" s="170">
        <f t="shared" si="38"/>
        <v>95.308999999999997</v>
      </c>
      <c r="AS36" s="170">
        <f t="shared" si="39"/>
        <v>186.30899999999997</v>
      </c>
      <c r="AT36" s="170">
        <f t="shared" si="40"/>
        <v>769.30899999999997</v>
      </c>
      <c r="AU36" s="170">
        <f t="shared" si="63"/>
        <v>50</v>
      </c>
      <c r="AV36" s="170">
        <f t="shared" si="64"/>
        <v>32</v>
      </c>
      <c r="AW36" s="170">
        <f t="shared" si="65"/>
        <v>533</v>
      </c>
      <c r="AX36" s="170">
        <f t="shared" si="66"/>
        <v>18</v>
      </c>
      <c r="AY36" s="170" t="str">
        <f t="shared" si="66"/>
        <v/>
      </c>
      <c r="AZ36" s="170">
        <f t="shared" si="41"/>
        <v>256</v>
      </c>
      <c r="BA36" s="170">
        <v>62.6</v>
      </c>
      <c r="BB36" s="170">
        <f t="shared" si="42"/>
        <v>125.60000000000582</v>
      </c>
      <c r="BC36" s="170">
        <f t="shared" si="42"/>
        <v>970.19999999995343</v>
      </c>
      <c r="BD36" s="91">
        <f t="shared" si="43"/>
        <v>35</v>
      </c>
      <c r="BE36" s="90"/>
      <c r="BF36" s="90"/>
      <c r="BG36" s="90">
        <f t="shared" si="44"/>
        <v>1386.7999999999593</v>
      </c>
      <c r="BH36" s="90">
        <f t="shared" si="45"/>
        <v>-518.97000000000025</v>
      </c>
      <c r="BI36" s="90">
        <f t="shared" si="6"/>
        <v>1831.2609999998622</v>
      </c>
      <c r="BJ36" s="90">
        <f t="shared" si="46"/>
        <v>4604.7390000001378</v>
      </c>
      <c r="BK36" s="92"/>
      <c r="BL36" s="331">
        <f>(FD36+FN36)-399.8</f>
        <v>5917.03</v>
      </c>
      <c r="BM36" s="93">
        <f t="shared" si="47"/>
        <v>193196.97999999998</v>
      </c>
      <c r="BN36" s="92"/>
      <c r="BO36" s="94">
        <f>IF($N36&lt;&gt;0,IF($N36&lt;&gt;0,R36/$N36*10,0)," ")</f>
        <v>0.11679750495279934</v>
      </c>
      <c r="BP36" s="94">
        <f>IF($N36&lt;&gt;0,IF($N36&lt;&gt;0,S36/$N36*10,0)," ")</f>
        <v>2.649456915385548E-2</v>
      </c>
      <c r="BQ36" s="94">
        <f t="shared" si="49"/>
        <v>3.1307439313512609E-3</v>
      </c>
      <c r="BR36" s="94">
        <f t="shared" si="68"/>
        <v>0.58749015264283355</v>
      </c>
      <c r="BS36" s="94">
        <f t="shared" si="78"/>
        <v>0</v>
      </c>
      <c r="BT36" s="94">
        <f t="shared" si="78"/>
        <v>3.0139896687179962E-2</v>
      </c>
      <c r="BU36" s="95">
        <f t="shared" si="78"/>
        <v>0.73625670439740354</v>
      </c>
      <c r="BV36" s="94">
        <f>IF($O36&lt;&gt;0,IF($O36&lt;&gt;0,R36/$O36*10,0)," ")</f>
        <v>9.8861551223787106E-2</v>
      </c>
      <c r="BW36" s="94">
        <f>IF($O36&lt;&gt;0,IF($O36&lt;&gt;0,S36/$O36*10,0)," ")</f>
        <v>2.2425943145057525E-2</v>
      </c>
      <c r="BX36" s="94">
        <f>IF($O36&lt;&gt;0,IF($O36&lt;&gt;0,T36/$O36*10,0)," ")</f>
        <v>2.6499727169936016E-3</v>
      </c>
      <c r="BY36" s="94">
        <f t="shared" si="50"/>
        <v>0.49727250460051853</v>
      </c>
      <c r="BZ36" s="95">
        <f t="shared" si="9"/>
        <v>0.62319379104079098</v>
      </c>
      <c r="CA36" s="96" t="e">
        <f>#REF!</f>
        <v>#REF!</v>
      </c>
      <c r="CB36" s="94">
        <f t="shared" si="51"/>
        <v>3.4884841116566735E-2</v>
      </c>
      <c r="CC36" s="95">
        <f t="shared" si="51"/>
        <v>6.8192509244524982E-2</v>
      </c>
      <c r="CD36" s="97">
        <f>IFERROR(AR36*10/($I36+$J36),"")</f>
        <v>0.11358365617600778</v>
      </c>
      <c r="CE36" s="98">
        <f>IFERROR(AS36*10/($I36+$J36),"")</f>
        <v>0.22203209978591562</v>
      </c>
      <c r="CF36" s="97">
        <f t="shared" si="52"/>
        <v>0.34487515519381978</v>
      </c>
      <c r="CG36" s="94">
        <f t="shared" si="52"/>
        <v>5.364724636348308E-2</v>
      </c>
      <c r="CH36" s="95">
        <f t="shared" si="53"/>
        <v>0.74531352983553278</v>
      </c>
      <c r="CI36" s="96" t="e">
        <f>#REF!</f>
        <v>#REF!</v>
      </c>
      <c r="CJ36" s="94" t="str">
        <f t="shared" si="54"/>
        <v>0,00</v>
      </c>
      <c r="CK36" s="94" t="str">
        <f t="shared" si="54"/>
        <v>0,00</v>
      </c>
      <c r="CL36" s="95" t="str">
        <f t="shared" si="69"/>
        <v xml:space="preserve">0,00 </v>
      </c>
      <c r="CM36" s="95" t="e">
        <f>#REF!</f>
        <v>#REF!</v>
      </c>
      <c r="CN36" s="94">
        <f t="shared" si="55"/>
        <v>0.39601479085690505</v>
      </c>
      <c r="CO36" s="94">
        <f t="shared" si="55"/>
        <v>2.9848876027269888E-2</v>
      </c>
      <c r="CP36" s="95">
        <f t="shared" si="56"/>
        <v>0.69154821686952084</v>
      </c>
      <c r="CQ36" s="95" t="e">
        <f>#REF!</f>
        <v>#REF!</v>
      </c>
      <c r="CR36" s="97">
        <f t="shared" si="70"/>
        <v>1.5702629877365723E-4</v>
      </c>
      <c r="CS36" s="95">
        <f t="shared" si="70"/>
        <v>4.8992205214524756E-2</v>
      </c>
      <c r="CT36" s="96" t="e">
        <f>#REF!</f>
        <v>#REF!</v>
      </c>
      <c r="CU36" s="97">
        <f t="shared" si="71"/>
        <v>2.9800805529267102E-2</v>
      </c>
      <c r="CV36" s="95">
        <f t="shared" si="57"/>
        <v>4.2677696807326096E-2</v>
      </c>
      <c r="CW36" s="96" t="e">
        <f>#REF!</f>
        <v>#REF!</v>
      </c>
      <c r="CX36" s="99">
        <f t="shared" si="80"/>
        <v>1.8300916553823217E-2</v>
      </c>
      <c r="CY36" s="95">
        <f t="shared" si="80"/>
        <v>1.1712586594446859E-2</v>
      </c>
      <c r="CZ36" s="99">
        <f t="shared" si="80"/>
        <v>0.19508777046375547</v>
      </c>
      <c r="DA36" s="95">
        <f t="shared" si="80"/>
        <v>6.5883299593763583E-3</v>
      </c>
      <c r="DB36" s="94">
        <f t="shared" si="11"/>
        <v>9.3700692755574869E-2</v>
      </c>
      <c r="DC36" s="94">
        <f t="shared" ref="DC36:DH36" si="82">IF($O36&lt;&gt;0,IF($O36&lt;&gt;0,BB36/$O36*10,0)," ")</f>
        <v>4.5971902383206045E-2</v>
      </c>
      <c r="DD36" s="94">
        <f t="shared" si="82"/>
        <v>0.35511098481036862</v>
      </c>
      <c r="DE36" s="94">
        <f t="shared" si="82"/>
        <v>1.2810641587676251E-2</v>
      </c>
      <c r="DF36" s="94">
        <f t="shared" si="82"/>
        <v>0</v>
      </c>
      <c r="DG36" s="94">
        <f t="shared" si="82"/>
        <v>0</v>
      </c>
      <c r="DH36" s="95">
        <f t="shared" si="82"/>
        <v>0.50759422153682576</v>
      </c>
      <c r="DI36" s="96" t="e">
        <f>#REF!</f>
        <v>#REF!</v>
      </c>
      <c r="DJ36" s="95">
        <f t="shared" si="59"/>
        <v>-0.18995253327875275</v>
      </c>
      <c r="DK36" s="96" t="e">
        <f>#REF!</f>
        <v>#REF!</v>
      </c>
      <c r="DL36" s="95">
        <f t="shared" si="60"/>
        <v>0.67027509498536664</v>
      </c>
      <c r="DM36" s="96">
        <f t="shared" si="13"/>
        <v>0</v>
      </c>
      <c r="DN36" s="94">
        <f t="shared" si="14"/>
        <v>1.6854188838227577</v>
      </c>
      <c r="DO36" s="100">
        <v>3.4</v>
      </c>
      <c r="DP36" s="94">
        <f>IF($O36&lt;&gt;0,IF($O36&lt;&gt;0,BL36/$O36*10,0)," ")</f>
        <v>2.1657414455293713</v>
      </c>
      <c r="DQ36" s="94">
        <f>IF($P36&lt;&gt;0,IF($P36&lt;&gt;0,BM36/$P36*10,0)," ")</f>
        <v>3.0601146531850407</v>
      </c>
      <c r="DR36" s="101"/>
      <c r="DS36" s="173"/>
      <c r="DT36" s="134">
        <v>31</v>
      </c>
      <c r="DU36" s="361">
        <v>632967</v>
      </c>
      <c r="DV36" s="361">
        <v>29016</v>
      </c>
      <c r="DW36" s="361">
        <v>5148436</v>
      </c>
      <c r="DX36" s="361">
        <v>122404</v>
      </c>
      <c r="DY36" s="361">
        <v>86291.7</v>
      </c>
      <c r="DZ36" s="361">
        <v>403098</v>
      </c>
      <c r="EA36" s="303">
        <v>238577</v>
      </c>
      <c r="EB36" s="303">
        <v>55408.9</v>
      </c>
      <c r="EC36" s="303">
        <v>418978</v>
      </c>
      <c r="ED36" s="361">
        <v>48108.3</v>
      </c>
      <c r="EE36" s="303">
        <v>40527.4</v>
      </c>
      <c r="EF36" s="303">
        <v>43070.1</v>
      </c>
      <c r="EG36" s="361">
        <v>94061.7</v>
      </c>
      <c r="EH36" s="361">
        <v>185744.8</v>
      </c>
      <c r="EI36" s="361">
        <v>33617</v>
      </c>
      <c r="EJ36" s="303">
        <v>42285</v>
      </c>
      <c r="EK36" s="303"/>
      <c r="EL36" s="361">
        <v>714315.3</v>
      </c>
      <c r="EM36" s="361">
        <v>72.400000000000006</v>
      </c>
      <c r="EN36" s="303">
        <v>46679.6</v>
      </c>
      <c r="EO36" s="361">
        <v>3096343.9</v>
      </c>
      <c r="EP36" s="303">
        <v>2808829</v>
      </c>
      <c r="EQ36" s="303">
        <v>0</v>
      </c>
      <c r="ER36" s="303">
        <v>697</v>
      </c>
      <c r="ES36" s="303">
        <v>393425</v>
      </c>
      <c r="ET36" s="303">
        <v>5068645</v>
      </c>
      <c r="EU36" s="303">
        <v>443954</v>
      </c>
      <c r="EV36" s="303">
        <v>151548</v>
      </c>
      <c r="EW36" s="303">
        <v>128821</v>
      </c>
      <c r="EX36" s="361">
        <v>216415.5</v>
      </c>
      <c r="EY36" s="361">
        <v>1691842.7</v>
      </c>
      <c r="EZ36" s="361">
        <v>803860.4</v>
      </c>
      <c r="FA36" s="361">
        <v>757962</v>
      </c>
      <c r="FB36" s="303">
        <v>31681.7</v>
      </c>
      <c r="FC36" s="361">
        <v>6436</v>
      </c>
      <c r="FD36" s="104">
        <f>SUM(FE36:FM36)</f>
        <v>6316.83</v>
      </c>
      <c r="FE36" s="105">
        <v>0</v>
      </c>
      <c r="FF36" s="105">
        <v>387</v>
      </c>
      <c r="FG36" s="105">
        <v>1331</v>
      </c>
      <c r="FH36" s="105">
        <v>1226</v>
      </c>
      <c r="FI36" s="105">
        <v>730</v>
      </c>
      <c r="FJ36" s="104">
        <v>846</v>
      </c>
      <c r="FK36" s="267">
        <v>1061.93</v>
      </c>
      <c r="FL36" s="267">
        <v>436.9</v>
      </c>
      <c r="FM36" s="267">
        <v>298</v>
      </c>
      <c r="FN36" s="80"/>
      <c r="FO36" s="389"/>
      <c r="FP36" s="158"/>
      <c r="FY36" s="119">
        <v>31</v>
      </c>
      <c r="FZ36" s="190"/>
      <c r="GA36" s="192"/>
      <c r="GB36" s="190"/>
      <c r="GC36" s="109"/>
      <c r="GD36" s="110"/>
      <c r="GE36" s="110"/>
      <c r="GF36" s="111"/>
      <c r="GG36" s="111"/>
      <c r="GH36" s="111"/>
      <c r="GI36" s="164"/>
      <c r="GJ36" s="111" t="e">
        <f t="shared" si="61"/>
        <v>#DIV/0!</v>
      </c>
    </row>
    <row r="37" spans="1:193" s="10" customFormat="1" ht="15" customHeight="1">
      <c r="A37" s="64" t="s">
        <v>127</v>
      </c>
      <c r="B37" s="351"/>
      <c r="C37" s="194"/>
      <c r="D37" s="195">
        <f>SUM(D6:D36)</f>
        <v>87514.44</v>
      </c>
      <c r="E37" s="196">
        <f t="shared" ref="E37:M37" si="83">SUM(E6:E36)</f>
        <v>67962.84</v>
      </c>
      <c r="F37" s="196">
        <f t="shared" si="83"/>
        <v>67713.088000000003</v>
      </c>
      <c r="G37" s="196">
        <f t="shared" si="83"/>
        <v>126638.47199999999</v>
      </c>
      <c r="H37" s="196">
        <f t="shared" si="83"/>
        <v>194300.66800000001</v>
      </c>
      <c r="I37" s="195">
        <f t="shared" si="83"/>
        <v>38825.349000000002</v>
      </c>
      <c r="J37" s="195">
        <f t="shared" si="83"/>
        <v>131012.93999999999</v>
      </c>
      <c r="K37" s="195">
        <f t="shared" si="83"/>
        <v>78.856999999999999</v>
      </c>
      <c r="L37" s="195">
        <f t="shared" si="83"/>
        <v>2285.6080000000002</v>
      </c>
      <c r="M37" s="458">
        <f t="shared" si="83"/>
        <v>169838.28900000002</v>
      </c>
      <c r="N37" s="199">
        <f>SUM(N6:N36)</f>
        <v>544129.50800000003</v>
      </c>
      <c r="O37" s="199">
        <f>SUM(O6:O36)</f>
        <v>631339.02450000006</v>
      </c>
      <c r="P37" s="200">
        <f>P36</f>
        <v>631339.02450000006</v>
      </c>
      <c r="Q37" s="201">
        <f>SUM(Q6:Q33)</f>
        <v>0</v>
      </c>
      <c r="R37" s="483">
        <f>SUM(R6:R36)</f>
        <v>6611</v>
      </c>
      <c r="S37" s="483">
        <f t="shared" ref="S37:Z37" si="84">SUM(S6:S36)</f>
        <v>1433.9400000000023</v>
      </c>
      <c r="T37" s="483">
        <f t="shared" si="84"/>
        <v>11467.64</v>
      </c>
      <c r="U37" s="202">
        <f t="shared" si="84"/>
        <v>127.24999999999996</v>
      </c>
      <c r="V37" s="196">
        <f t="shared" si="84"/>
        <v>43597.699999999721</v>
      </c>
      <c r="W37" s="202">
        <f t="shared" si="84"/>
        <v>3720.0000000000005</v>
      </c>
      <c r="X37" s="196">
        <f t="shared" si="84"/>
        <v>43597.699999999721</v>
      </c>
      <c r="Y37" s="196">
        <f t="shared" si="84"/>
        <v>1289.1000000000001</v>
      </c>
      <c r="Z37" s="196">
        <f t="shared" si="84"/>
        <v>4624.7</v>
      </c>
      <c r="AA37" s="203">
        <f>SUM(R37:V37)</f>
        <v>63237.529999999722</v>
      </c>
      <c r="AB37" s="196">
        <f t="shared" ref="AB37:AZ37" si="85">SUM(AB6:AB36)</f>
        <v>3822</v>
      </c>
      <c r="AC37" s="196">
        <f t="shared" si="85"/>
        <v>970</v>
      </c>
      <c r="AD37" s="203">
        <f t="shared" si="85"/>
        <v>8588</v>
      </c>
      <c r="AE37" s="203">
        <f>SUM(AE6:AE36)</f>
        <v>3796</v>
      </c>
      <c r="AF37" s="196">
        <f>SUM(AF6:AF36)</f>
        <v>2481</v>
      </c>
      <c r="AG37" s="196">
        <f>SUM(AG6:AG36)</f>
        <v>645.39999999999418</v>
      </c>
      <c r="AH37" s="203">
        <f t="shared" si="85"/>
        <v>4980.1000000000058</v>
      </c>
      <c r="AI37" s="203">
        <f t="shared" si="85"/>
        <v>1853.7000000000116</v>
      </c>
      <c r="AJ37" s="196">
        <f t="shared" si="85"/>
        <v>3563</v>
      </c>
      <c r="AK37" s="196">
        <f t="shared" si="85"/>
        <v>522.80000000000291</v>
      </c>
      <c r="AL37" s="203">
        <f t="shared" si="85"/>
        <v>6623.5</v>
      </c>
      <c r="AM37" s="203">
        <f t="shared" si="85"/>
        <v>2537.6999999999971</v>
      </c>
      <c r="AN37" s="196">
        <f t="shared" si="85"/>
        <v>343.60000000000582</v>
      </c>
      <c r="AO37" s="203">
        <f t="shared" si="85"/>
        <v>1465.4000000000015</v>
      </c>
      <c r="AP37" s="196">
        <f>SUM(AP6:AP36)</f>
        <v>924.80000000000291</v>
      </c>
      <c r="AQ37" s="203">
        <f t="shared" si="85"/>
        <v>2193.5</v>
      </c>
      <c r="AR37" s="196">
        <f t="shared" si="85"/>
        <v>2418.5749999999998</v>
      </c>
      <c r="AS37" s="203">
        <f t="shared" si="85"/>
        <v>3552.5750000000007</v>
      </c>
      <c r="AT37" s="203">
        <f t="shared" si="85"/>
        <v>21564.575000000004</v>
      </c>
      <c r="AU37" s="204">
        <f t="shared" si="85"/>
        <v>5998</v>
      </c>
      <c r="AV37" s="203">
        <f t="shared" si="85"/>
        <v>977</v>
      </c>
      <c r="AW37" s="365">
        <f>SUM(AW6:AW36)</f>
        <v>12014</v>
      </c>
      <c r="AX37" s="203">
        <f t="shared" si="85"/>
        <v>968</v>
      </c>
      <c r="AY37" s="203">
        <f t="shared" si="85"/>
        <v>0</v>
      </c>
      <c r="AZ37" s="196">
        <f t="shared" si="85"/>
        <v>10776</v>
      </c>
      <c r="BA37" s="196">
        <f>SUM(BA6:BA36)</f>
        <v>1694.6</v>
      </c>
      <c r="BB37" s="196">
        <f>SUM(BB6:BB35)</f>
        <v>4258.6999999999825</v>
      </c>
      <c r="BC37" s="196">
        <f t="shared" ref="BC37:BJ37" si="86">SUM(BC6:BC36)</f>
        <v>23196.59999999986</v>
      </c>
      <c r="BD37" s="202">
        <f t="shared" si="86"/>
        <v>6206</v>
      </c>
      <c r="BE37" s="196">
        <f t="shared" si="86"/>
        <v>0</v>
      </c>
      <c r="BF37" s="196">
        <f t="shared" si="86"/>
        <v>0</v>
      </c>
      <c r="BG37" s="203">
        <f t="shared" si="86"/>
        <v>44562.899999999849</v>
      </c>
      <c r="BH37" s="203">
        <f t="shared" si="86"/>
        <v>-15270.02</v>
      </c>
      <c r="BI37" s="196">
        <f t="shared" si="86"/>
        <v>53306.495000000425</v>
      </c>
      <c r="BJ37" s="196">
        <f t="shared" si="86"/>
        <v>155160.5049999996</v>
      </c>
      <c r="BK37" s="205"/>
      <c r="BL37" s="196">
        <f>SUM(BL6:BL36)</f>
        <v>193196.97999999998</v>
      </c>
      <c r="BM37" s="196">
        <f>BM36</f>
        <v>193196.97999999998</v>
      </c>
      <c r="BN37" s="205"/>
      <c r="BO37" s="94">
        <f>IF($N37&lt;&gt;0,IF($N37&lt;&gt;0,R37/$N37*10,0)," ")</f>
        <v>0.12149681101286643</v>
      </c>
      <c r="BP37" s="206">
        <f>S37/$N$37/0.1</f>
        <v>2.6352917438177276E-2</v>
      </c>
      <c r="BQ37" s="94">
        <f>IF($N37&lt;&gt;0,IF($N37&lt;&gt;0,T37/$N37*10,0)," ")</f>
        <v>0.21075203295168471</v>
      </c>
      <c r="BR37" s="94">
        <f>IF($N37&lt;&gt;0,IF($N37&lt;&gt;0,(V37)/$N37*10,0)," ")</f>
        <v>0.8012375612608702</v>
      </c>
      <c r="BS37" s="206">
        <f>IF($N37&lt;&gt;0,IF($N37&lt;&gt;0,Y37/$N37*10,0)," ")</f>
        <v>2.3691051138509476E-2</v>
      </c>
      <c r="BT37" s="206">
        <f>IF($N37&lt;&gt;0,IF($N37&lt;&gt;0,Z37/$N37*10,0)," ")</f>
        <v>8.4992633775707663E-2</v>
      </c>
      <c r="BU37" s="207">
        <f>IF($N37&lt;&gt;0,IF($N37&lt;&gt;0,AA37/$N37*10,0)," ")</f>
        <v>1.1621779203343576</v>
      </c>
      <c r="BV37" s="206">
        <f>R37/$O$37/0.1</f>
        <v>0.10471394517764361</v>
      </c>
      <c r="BW37" s="206">
        <f>S37/$O$37/0.1</f>
        <v>2.2712678043870897E-2</v>
      </c>
      <c r="BX37" s="206">
        <f>(T37+U37)/$O$37/0.1</f>
        <v>0.18365552500390378</v>
      </c>
      <c r="BY37" s="206">
        <f>(V37)/$O$37/0.1</f>
        <v>0.69055924484515552</v>
      </c>
      <c r="BZ37" s="198">
        <f>AA37/$O$37/0.1</f>
        <v>1.0016413930705739</v>
      </c>
      <c r="CA37" s="208" t="e">
        <f>#REF!</f>
        <v>#REF!</v>
      </c>
      <c r="CB37" s="209">
        <f>IF($O37&lt;&gt;0,IF($O37&lt;&gt;0,AR37/$O37*10,0)," ")</f>
        <v>3.830865677779751E-2</v>
      </c>
      <c r="CC37" s="210">
        <f>IF($O37&lt;&gt;0,IF($O37&lt;&gt;0,AS37/$O37*10,0)," ")</f>
        <v>5.6270480077063582E-2</v>
      </c>
      <c r="CD37" s="211">
        <f>IFERROR(AR37*10/($I37+$J37),"")</f>
        <v>0.14240457874608006</v>
      </c>
      <c r="CE37" s="212">
        <f>IFERROR(AS37*10/(($I37+$J37)),"")</f>
        <v>0.20917397489796902</v>
      </c>
      <c r="CF37" s="206">
        <f>AB37/$D$37/0.1</f>
        <v>0.43672792741403582</v>
      </c>
      <c r="CG37" s="206">
        <f>AC37/$D$37/0.1</f>
        <v>0.11083885127985735</v>
      </c>
      <c r="CH37" s="198">
        <f>AD37/$D$37/0.1</f>
        <v>0.98132376782620101</v>
      </c>
      <c r="CI37" s="208" t="e">
        <f>#REF!</f>
        <v>#REF!</v>
      </c>
      <c r="CJ37" s="206">
        <f>AF37/$E$37/0.1</f>
        <v>0.36505243159350026</v>
      </c>
      <c r="CK37" s="206">
        <f>AG37/$E$37/0.1</f>
        <v>9.4963659552778287E-2</v>
      </c>
      <c r="CL37" s="198">
        <f>AH37/$E$37/0.1</f>
        <v>0.73276808326432585</v>
      </c>
      <c r="CM37" s="95" t="e">
        <f>#REF!</f>
        <v>#REF!</v>
      </c>
      <c r="CN37" s="206">
        <f>AJ37/$F$37/0.1</f>
        <v>0.52619074173666391</v>
      </c>
      <c r="CO37" s="206">
        <f>AK37/$F$37/0.1</f>
        <v>7.7208116693777556E-2</v>
      </c>
      <c r="CP37" s="198">
        <f>AL37/$F$37/0.1</f>
        <v>0.97817131010182246</v>
      </c>
      <c r="CQ37" s="213" t="e">
        <f>#REF!</f>
        <v>#REF!</v>
      </c>
      <c r="CR37" s="214">
        <f>AN37/$G$37/0.1</f>
        <v>2.7132355166130388E-2</v>
      </c>
      <c r="CS37" s="198">
        <f>AO37/$G$37/0.1</f>
        <v>0.11571523067650417</v>
      </c>
      <c r="CT37" s="208" t="e">
        <f>#REF!</f>
        <v>#REF!</v>
      </c>
      <c r="CU37" s="214">
        <f>AP37/$H$37/0.1</f>
        <v>4.7596336621961735E-2</v>
      </c>
      <c r="CV37" s="198">
        <f>AQ37/$H$37/0.1</f>
        <v>0.11289204625894543</v>
      </c>
      <c r="CW37" s="96" t="e">
        <f>#REF!</f>
        <v>#REF!</v>
      </c>
      <c r="CX37" s="99">
        <f t="shared" si="80"/>
        <v>9.5004423411814615E-2</v>
      </c>
      <c r="CY37" s="95">
        <f t="shared" si="80"/>
        <v>1.5475045293988474E-2</v>
      </c>
      <c r="CZ37" s="99">
        <f>IF($O37&lt;&gt;0,IF($O37&lt;&gt;0,AW37/$O37*10,0)," ")</f>
        <v>0.19029395512996677</v>
      </c>
      <c r="DA37" s="198">
        <f>IF($O37&lt;&gt;0,IF($O37&lt;&gt;0,AX37/$O37*10,0)," ")</f>
        <v>1.5332491140819696E-2</v>
      </c>
      <c r="DB37" s="206">
        <f>AZ37/$O$37/0.1</f>
        <v>0.17068483939408371</v>
      </c>
      <c r="DC37" s="206">
        <f t="shared" ref="DC37:DH37" si="87">BB37/$O$37/0.1</f>
        <v>6.7455041344430339E-2</v>
      </c>
      <c r="DD37" s="215">
        <f t="shared" si="87"/>
        <v>0.36741907437720661</v>
      </c>
      <c r="DE37" s="215">
        <f t="shared" si="87"/>
        <v>9.8299008285048589E-2</v>
      </c>
      <c r="DF37" s="215">
        <f t="shared" si="87"/>
        <v>0</v>
      </c>
      <c r="DG37" s="215">
        <f t="shared" si="87"/>
        <v>0</v>
      </c>
      <c r="DH37" s="216">
        <f t="shared" si="87"/>
        <v>0.7058473858049914</v>
      </c>
      <c r="DI37" s="217" t="e">
        <f>#REF!</f>
        <v>#REF!</v>
      </c>
      <c r="DJ37" s="216">
        <f>BH37/$O$37/0.1</f>
        <v>-0.24186719666336734</v>
      </c>
      <c r="DK37" s="217" t="e">
        <f>#REF!</f>
        <v>#REF!</v>
      </c>
      <c r="DL37" s="213">
        <f>BI37/$O$37/0.1</f>
        <v>0.84434025034675197</v>
      </c>
      <c r="DM37" s="96">
        <f t="shared" si="13"/>
        <v>0</v>
      </c>
      <c r="DN37" s="206">
        <f>BJ37/$O$37/0.1</f>
        <v>2.4576415995016569</v>
      </c>
      <c r="DO37" s="100">
        <v>3.4</v>
      </c>
      <c r="DP37" s="206">
        <f>BL37/$O$37/0.1</f>
        <v>3.0601146531850407</v>
      </c>
      <c r="DQ37" s="218" t="str">
        <f>IF($Q37&lt;&gt;0,IF($Q37&lt;&gt;0,BM37/$Q37*10,0)," ")</f>
        <v xml:space="preserve"> </v>
      </c>
      <c r="DR37" s="101" t="e">
        <f>#REF!</f>
        <v>#REF!</v>
      </c>
      <c r="DS37" s="64"/>
      <c r="DT37" s="64"/>
      <c r="DU37" s="219"/>
      <c r="DV37" s="219"/>
      <c r="DW37" s="219"/>
      <c r="DX37" s="219"/>
      <c r="DY37" s="219"/>
      <c r="DZ37" s="219"/>
      <c r="EA37" s="219"/>
      <c r="EB37" s="220"/>
      <c r="EC37" s="219"/>
      <c r="ED37" s="219"/>
      <c r="EE37" s="219"/>
      <c r="EF37" s="219"/>
      <c r="EG37" s="219"/>
      <c r="EH37" s="219"/>
      <c r="EI37" s="219"/>
      <c r="EJ37" s="220"/>
      <c r="EK37" s="220"/>
      <c r="EL37" s="219"/>
      <c r="EM37" s="219"/>
      <c r="EN37" s="220"/>
      <c r="EO37" s="219"/>
      <c r="EP37" s="220"/>
      <c r="EQ37" s="220"/>
      <c r="ER37" s="220"/>
      <c r="ES37" s="220"/>
      <c r="ET37" s="220"/>
      <c r="EU37" s="472"/>
      <c r="EV37" s="472"/>
      <c r="EW37" s="220"/>
      <c r="EX37" s="219"/>
      <c r="EY37" s="219"/>
      <c r="EZ37" s="219"/>
      <c r="FA37" s="219"/>
      <c r="FB37" s="219"/>
      <c r="FC37" s="219"/>
      <c r="FD37" s="220"/>
      <c r="FE37" s="574" t="s">
        <v>129</v>
      </c>
      <c r="FF37" s="575"/>
      <c r="FG37" s="575"/>
      <c r="FH37" s="575"/>
      <c r="FI37" s="575"/>
      <c r="FJ37" s="575"/>
      <c r="FK37" s="575"/>
      <c r="FL37" s="575"/>
      <c r="FM37" s="576"/>
      <c r="FN37" s="220"/>
      <c r="FO37" s="220"/>
      <c r="FP37" s="64"/>
      <c r="FQ37" s="64"/>
      <c r="FR37" s="64"/>
      <c r="FS37" s="64"/>
      <c r="FT37" s="64"/>
      <c r="FU37" s="64"/>
      <c r="FV37" s="64"/>
      <c r="FW37" s="64"/>
      <c r="FX37" s="64"/>
      <c r="FY37" s="64"/>
      <c r="FZ37" s="221">
        <f>SUM(FZ6:FZ36)</f>
        <v>38276</v>
      </c>
      <c r="GA37" s="221">
        <f t="shared" ref="GA37:GI37" si="88">SUM(GA6:GA36)</f>
        <v>6040</v>
      </c>
      <c r="GB37" s="221">
        <f t="shared" si="88"/>
        <v>6.4779304812053722</v>
      </c>
      <c r="GC37" s="221">
        <f t="shared" si="88"/>
        <v>0</v>
      </c>
      <c r="GD37" s="221">
        <f t="shared" si="88"/>
        <v>0</v>
      </c>
      <c r="GE37" s="221">
        <f t="shared" si="88"/>
        <v>0</v>
      </c>
      <c r="GF37" s="221">
        <f t="shared" si="88"/>
        <v>0</v>
      </c>
      <c r="GG37" s="221">
        <f t="shared" si="88"/>
        <v>0</v>
      </c>
      <c r="GH37" s="221">
        <f t="shared" si="88"/>
        <v>0</v>
      </c>
      <c r="GI37" s="221">
        <f t="shared" si="88"/>
        <v>0</v>
      </c>
      <c r="GJ37" s="111">
        <f t="shared" si="61"/>
        <v>107.59609137860132</v>
      </c>
      <c r="GK37" s="222"/>
    </row>
    <row r="38" spans="1:193" s="10" customFormat="1">
      <c r="A38" s="64"/>
      <c r="B38" s="351"/>
      <c r="C38" s="64"/>
      <c r="D38" s="478"/>
      <c r="E38" s="478"/>
      <c r="F38" s="479"/>
      <c r="G38" s="479"/>
      <c r="H38" s="478"/>
      <c r="I38" s="478"/>
      <c r="J38" s="478"/>
      <c r="K38" s="478"/>
      <c r="L38" s="478"/>
      <c r="M38" s="480"/>
      <c r="N38" s="481"/>
      <c r="O38" s="227"/>
      <c r="P38" s="102"/>
      <c r="Q38" s="64"/>
      <c r="R38" s="228"/>
      <c r="S38" s="228"/>
      <c r="T38" s="228"/>
      <c r="U38" s="228"/>
      <c r="V38" s="229"/>
      <c r="W38" s="229"/>
      <c r="X38" s="229"/>
      <c r="Y38" s="229"/>
      <c r="Z38" s="229"/>
      <c r="AA38" s="230"/>
      <c r="AB38" s="152"/>
      <c r="AC38" s="152"/>
      <c r="AD38" s="153"/>
      <c r="AE38" s="231"/>
      <c r="AF38" s="152"/>
      <c r="AG38" s="152"/>
      <c r="AH38" s="152"/>
      <c r="AI38" s="231"/>
      <c r="AJ38" s="152"/>
      <c r="AK38" s="152"/>
      <c r="AL38" s="152"/>
      <c r="AM38" s="231"/>
      <c r="AN38" s="152"/>
      <c r="AO38" s="231"/>
      <c r="AP38" s="152"/>
      <c r="AQ38" s="231"/>
      <c r="AR38" s="232"/>
      <c r="AS38" s="230"/>
      <c r="AT38" s="230"/>
      <c r="AU38" s="232"/>
      <c r="AV38" s="152"/>
      <c r="AW38" s="232"/>
      <c r="AX38" s="152"/>
      <c r="AY38" s="152"/>
      <c r="AZ38" s="152"/>
      <c r="BA38" s="152"/>
      <c r="BB38" s="152"/>
      <c r="BC38" s="395"/>
      <c r="BD38" s="228"/>
      <c r="BE38" s="228"/>
      <c r="BF38" s="228"/>
      <c r="BG38" s="152"/>
      <c r="BH38" s="152"/>
      <c r="BI38" s="233"/>
      <c r="BJ38" s="233"/>
      <c r="BK38" s="234"/>
      <c r="BL38" s="235"/>
      <c r="BM38" s="233"/>
      <c r="BN38" s="234"/>
      <c r="BO38" s="178"/>
      <c r="BP38" s="178"/>
      <c r="BQ38" s="178"/>
      <c r="BR38" s="178"/>
      <c r="BS38" s="178"/>
      <c r="BT38" s="178"/>
      <c r="BU38" s="178"/>
      <c r="BV38" s="178"/>
      <c r="BW38" s="178"/>
      <c r="BX38" s="178"/>
      <c r="BY38" s="178"/>
      <c r="BZ38" s="64"/>
      <c r="CA38" s="236"/>
      <c r="CB38" s="236"/>
      <c r="CC38" s="236"/>
      <c r="CD38" s="236"/>
      <c r="CE38" s="236"/>
      <c r="CF38" s="237"/>
      <c r="CG38" s="237"/>
      <c r="CH38" s="64"/>
      <c r="CI38" s="236"/>
      <c r="CJ38" s="236"/>
      <c r="CK38" s="236"/>
      <c r="CL38" s="236"/>
      <c r="CM38" s="236"/>
      <c r="CN38" s="236"/>
      <c r="CO38" s="236"/>
      <c r="CP38" s="236"/>
      <c r="CQ38" s="236"/>
      <c r="CR38" s="64"/>
      <c r="CS38" s="238"/>
      <c r="CT38" s="236"/>
      <c r="CU38" s="236"/>
      <c r="CV38" s="239"/>
      <c r="CW38" s="236"/>
      <c r="CX38" s="236"/>
      <c r="CY38" s="236"/>
      <c r="CZ38" s="236"/>
      <c r="DA38" s="236"/>
      <c r="DB38" s="64"/>
      <c r="DC38" s="64"/>
      <c r="DD38" s="64"/>
      <c r="DE38" s="64"/>
      <c r="DF38" s="64"/>
      <c r="DG38" s="64"/>
      <c r="DH38" s="240"/>
      <c r="DI38" s="236"/>
      <c r="DJ38" s="241"/>
      <c r="DK38" s="242"/>
      <c r="DL38" s="243"/>
      <c r="DM38" s="242"/>
      <c r="DN38" s="64"/>
      <c r="DO38" s="100"/>
      <c r="DP38" s="240"/>
      <c r="DQ38" s="244"/>
      <c r="DR38" s="245"/>
      <c r="DS38" s="64"/>
      <c r="DT38" s="64"/>
      <c r="DU38" s="246"/>
      <c r="DV38" s="246"/>
      <c r="DW38" s="246"/>
      <c r="DX38" s="219"/>
      <c r="DY38" s="219"/>
      <c r="DZ38" s="219"/>
      <c r="EA38" s="246"/>
      <c r="EB38" s="246"/>
      <c r="EC38" s="9"/>
      <c r="ED38" s="9"/>
      <c r="EE38" s="246"/>
      <c r="EF38" s="246"/>
      <c r="EG38" s="9"/>
      <c r="EH38" s="9"/>
      <c r="EI38" s="9"/>
      <c r="EJ38" s="64"/>
      <c r="EK38" s="64"/>
      <c r="EL38" s="460"/>
      <c r="EM38" s="9"/>
      <c r="EN38" s="64"/>
      <c r="EO38" s="9"/>
      <c r="EP38" s="220"/>
      <c r="EQ38" s="64"/>
      <c r="ER38" s="64"/>
      <c r="ES38" s="247"/>
      <c r="ET38" s="175"/>
      <c r="EU38" s="220"/>
      <c r="EV38" s="220"/>
      <c r="EW38" s="246"/>
      <c r="EX38" s="64"/>
      <c r="EY38" s="64"/>
      <c r="EZ38" s="64"/>
      <c r="FA38" s="64"/>
      <c r="FB38" s="64"/>
      <c r="FC38" s="141"/>
      <c r="FD38" s="249" t="s">
        <v>53</v>
      </c>
      <c r="FE38" s="267">
        <v>0</v>
      </c>
      <c r="FF38" s="267">
        <v>491767</v>
      </c>
      <c r="FG38" s="267">
        <v>943070</v>
      </c>
      <c r="FH38" s="267">
        <v>1045346</v>
      </c>
      <c r="FI38" s="267">
        <v>805907.7</v>
      </c>
      <c r="FJ38" s="267">
        <v>1268078</v>
      </c>
      <c r="FK38" s="267"/>
      <c r="FL38" s="267"/>
      <c r="FM38" s="267"/>
      <c r="FN38" s="152"/>
      <c r="FO38" s="152"/>
      <c r="FP38" s="220"/>
      <c r="FQ38" s="9"/>
      <c r="FR38" s="64"/>
      <c r="FS38" s="64"/>
      <c r="FT38" s="64"/>
      <c r="FU38" s="64"/>
      <c r="FV38" s="64"/>
      <c r="FW38" s="64"/>
      <c r="FX38" s="64"/>
      <c r="FY38" s="64"/>
      <c r="FZ38" s="9"/>
      <c r="GA38" s="64"/>
      <c r="GB38" s="64"/>
      <c r="GC38" s="64"/>
      <c r="GD38" s="64"/>
      <c r="GE38" s="64"/>
      <c r="GF38" s="64"/>
      <c r="GG38" s="64"/>
      <c r="GH38" s="64"/>
      <c r="GI38" s="64"/>
      <c r="GJ38" s="64"/>
    </row>
    <row r="39" spans="1:193" s="10" customFormat="1">
      <c r="A39" s="64"/>
      <c r="B39" s="64"/>
      <c r="C39" s="64"/>
      <c r="D39" s="482"/>
      <c r="E39" s="482"/>
      <c r="F39" s="482"/>
      <c r="G39" s="482"/>
      <c r="H39" s="482"/>
      <c r="I39" s="482"/>
      <c r="J39" s="482"/>
      <c r="K39" s="482"/>
      <c r="L39" s="478"/>
      <c r="M39" s="254"/>
      <c r="N39" s="481"/>
      <c r="O39" s="256"/>
      <c r="P39" s="257"/>
      <c r="Q39" s="64"/>
      <c r="R39" s="258"/>
      <c r="S39" s="258"/>
      <c r="T39" s="258"/>
      <c r="U39" s="258"/>
      <c r="V39" s="258"/>
      <c r="W39" s="258"/>
      <c r="X39" s="258"/>
      <c r="Y39" s="258"/>
      <c r="Z39" s="258"/>
      <c r="AA39" s="258"/>
      <c r="AB39" s="152"/>
      <c r="AD39" s="231"/>
      <c r="AE39" s="152"/>
      <c r="AF39" s="152"/>
      <c r="AG39" s="152"/>
      <c r="AH39" s="152"/>
      <c r="AI39" s="152"/>
      <c r="AJ39" s="152"/>
      <c r="AK39" s="152"/>
      <c r="AL39" s="152"/>
      <c r="AM39" s="152"/>
      <c r="AN39" s="152"/>
      <c r="AO39" s="152"/>
      <c r="AP39" s="152"/>
      <c r="AQ39" s="152"/>
      <c r="AR39" s="258"/>
      <c r="AS39" s="258"/>
      <c r="AT39" s="258"/>
      <c r="AU39" s="258"/>
      <c r="AV39" s="152"/>
      <c r="AW39" s="258"/>
      <c r="AX39" s="152"/>
      <c r="AY39" s="152"/>
      <c r="AZ39" s="152"/>
      <c r="BA39" s="152"/>
      <c r="BB39" s="152"/>
      <c r="BC39" s="231"/>
      <c r="BD39" s="231"/>
      <c r="BE39" s="231"/>
      <c r="BF39" s="231"/>
      <c r="BG39" s="152"/>
      <c r="BH39" s="231"/>
      <c r="BI39" s="116"/>
      <c r="BJ39" s="116"/>
      <c r="BK39" s="259"/>
      <c r="BL39" s="260"/>
      <c r="BM39" s="165"/>
      <c r="BN39" s="259"/>
      <c r="BO39" s="64"/>
      <c r="BP39" s="64"/>
      <c r="BQ39" s="64"/>
      <c r="BR39" s="116"/>
      <c r="BS39" s="116"/>
      <c r="BT39" s="116"/>
      <c r="BU39" s="116"/>
      <c r="BV39" s="64"/>
      <c r="BW39" s="64"/>
      <c r="BX39" s="64"/>
      <c r="BY39" s="116"/>
      <c r="BZ39" s="243"/>
      <c r="CA39" s="243"/>
      <c r="CB39" s="243"/>
      <c r="CC39" s="243"/>
      <c r="CD39" s="243"/>
      <c r="CE39" s="243"/>
      <c r="CF39" s="141"/>
      <c r="CG39" s="237"/>
      <c r="CH39" s="243"/>
      <c r="CI39" s="243"/>
      <c r="CJ39" s="243"/>
      <c r="CK39" s="243"/>
      <c r="CL39" s="243"/>
      <c r="CM39" s="243"/>
      <c r="CN39" s="243"/>
      <c r="CO39" s="243"/>
      <c r="CP39" s="243"/>
      <c r="CQ39" s="243"/>
      <c r="CR39" s="243"/>
      <c r="CS39" s="243"/>
      <c r="CT39" s="243"/>
      <c r="CU39" s="243"/>
      <c r="CV39" s="243"/>
      <c r="CW39" s="243"/>
      <c r="CX39" s="243"/>
      <c r="CY39" s="116"/>
      <c r="CZ39" s="243"/>
      <c r="DA39" s="243"/>
      <c r="DB39" s="243"/>
      <c r="DC39" s="243"/>
      <c r="DD39" s="116"/>
      <c r="DE39" s="116"/>
      <c r="DF39" s="116"/>
      <c r="DG39" s="116"/>
      <c r="DH39" s="243"/>
      <c r="DI39" s="243"/>
      <c r="DJ39" s="64"/>
      <c r="DK39" s="64"/>
      <c r="DL39" s="74"/>
      <c r="DM39" s="64"/>
      <c r="DN39" s="74"/>
      <c r="DO39" s="261"/>
      <c r="DP39" s="262"/>
      <c r="DQ39" s="263"/>
      <c r="DR39" s="244"/>
      <c r="DS39" s="64"/>
      <c r="DT39" s="64"/>
      <c r="DU39" s="246"/>
      <c r="DV39" s="246"/>
      <c r="DW39" s="246"/>
      <c r="DX39" s="219"/>
      <c r="DY39" s="219"/>
      <c r="DZ39" s="219"/>
      <c r="EA39" s="246"/>
      <c r="EB39" s="246"/>
      <c r="EC39" s="9"/>
      <c r="ED39" s="9"/>
      <c r="EE39" s="246"/>
      <c r="EF39" s="246"/>
      <c r="EG39" s="9"/>
      <c r="EH39" s="9"/>
      <c r="EI39" s="9"/>
      <c r="EJ39" s="64"/>
      <c r="EK39" s="64"/>
      <c r="EL39" s="9"/>
      <c r="EM39" s="9"/>
      <c r="EN39" s="64"/>
      <c r="EO39" s="9"/>
      <c r="EP39" s="220"/>
      <c r="EQ39" s="64"/>
      <c r="ER39" s="64"/>
      <c r="ES39" s="257"/>
      <c r="ET39" s="366"/>
      <c r="EU39" s="64"/>
      <c r="EV39" s="64"/>
      <c r="EW39" s="246"/>
      <c r="EX39" s="64"/>
      <c r="EY39" s="64"/>
      <c r="EZ39" s="64"/>
      <c r="FA39" s="64"/>
      <c r="FB39" s="64"/>
      <c r="FC39" s="152"/>
      <c r="FD39" s="249">
        <v>1</v>
      </c>
      <c r="FE39" s="267">
        <v>0</v>
      </c>
      <c r="FF39" s="267">
        <f>FF38+702</f>
        <v>492469</v>
      </c>
      <c r="FG39" s="267">
        <f>FG38</f>
        <v>943070</v>
      </c>
      <c r="FH39" s="267">
        <f>FH38+2002</f>
        <v>1047348</v>
      </c>
      <c r="FI39" s="267">
        <f>FI38+640</f>
        <v>806547.7</v>
      </c>
      <c r="FJ39" s="267">
        <f>FJ38</f>
        <v>1268078</v>
      </c>
      <c r="FK39" s="267">
        <v>1070</v>
      </c>
      <c r="FL39" s="267">
        <v>1040</v>
      </c>
      <c r="FM39" s="267">
        <v>288</v>
      </c>
      <c r="FN39" s="334"/>
      <c r="FO39" s="152"/>
      <c r="FP39" s="465"/>
      <c r="FQ39" s="9"/>
      <c r="FR39" s="9"/>
      <c r="FS39" s="9"/>
      <c r="FT39" s="9"/>
      <c r="FU39" s="9"/>
      <c r="FV39" s="9"/>
      <c r="FW39" s="9"/>
      <c r="FX39" s="9"/>
      <c r="FY39" s="9"/>
      <c r="FZ39" s="246"/>
      <c r="GA39" s="64"/>
      <c r="GB39" s="64"/>
      <c r="GC39" s="64"/>
      <c r="GD39" s="64"/>
      <c r="GE39" s="64"/>
      <c r="GF39" s="64"/>
      <c r="GG39" s="64"/>
      <c r="GH39" s="64"/>
      <c r="GI39" s="64"/>
      <c r="GJ39" s="64"/>
    </row>
    <row r="40" spans="1:193">
      <c r="D40" s="396"/>
      <c r="E40" s="396"/>
      <c r="F40" s="152"/>
      <c r="G40" s="152"/>
      <c r="H40" s="152"/>
      <c r="I40" s="152"/>
      <c r="J40" s="152"/>
      <c r="K40" s="152"/>
      <c r="L40" s="152"/>
      <c r="M40" s="454"/>
      <c r="N40" s="454"/>
      <c r="O40" s="454"/>
      <c r="AB40" s="152"/>
      <c r="BA40" s="141"/>
      <c r="FC40" s="220"/>
      <c r="FD40" s="249">
        <v>2</v>
      </c>
      <c r="FE40" s="367">
        <v>0</v>
      </c>
      <c r="FF40" s="287">
        <f>FF39+899</f>
        <v>493368</v>
      </c>
      <c r="FG40" s="303">
        <v>943278</v>
      </c>
      <c r="FH40" s="303">
        <f>FH39+1424</f>
        <v>1048772</v>
      </c>
      <c r="FI40" s="267">
        <f>FI39+960</f>
        <v>807507.7</v>
      </c>
      <c r="FJ40" s="267">
        <f>FJ39</f>
        <v>1268078</v>
      </c>
      <c r="FK40" s="303">
        <v>1072</v>
      </c>
      <c r="FL40" s="303">
        <v>1008</v>
      </c>
      <c r="FM40" s="303">
        <v>286</v>
      </c>
      <c r="FN40" s="334"/>
      <c r="FO40" s="152"/>
    </row>
    <row r="41" spans="1:193">
      <c r="B41" s="220"/>
      <c r="D41" s="396"/>
      <c r="E41" s="396"/>
      <c r="F41" s="454"/>
      <c r="G41" s="454"/>
      <c r="H41" s="454"/>
      <c r="I41" s="454"/>
      <c r="J41" s="454"/>
      <c r="K41" s="454"/>
      <c r="L41" s="454"/>
      <c r="M41" s="454"/>
      <c r="N41" s="454"/>
      <c r="O41" s="454"/>
      <c r="BA41" s="141"/>
      <c r="CH41" s="178"/>
      <c r="CP41" s="178"/>
      <c r="FC41" s="220"/>
      <c r="FD41" s="249">
        <v>3</v>
      </c>
      <c r="FE41" s="267">
        <v>0</v>
      </c>
      <c r="FF41" s="267">
        <f>FF40+185</f>
        <v>493553</v>
      </c>
      <c r="FG41" s="267">
        <f>FG40+788</f>
        <v>944066</v>
      </c>
      <c r="FH41" s="267">
        <f>FH40+1486</f>
        <v>1050258</v>
      </c>
      <c r="FI41" s="267">
        <f>FI40+360</f>
        <v>807867.7</v>
      </c>
      <c r="FJ41" s="267">
        <f>FJ40+397</f>
        <v>1268475</v>
      </c>
      <c r="FK41" s="267">
        <v>201</v>
      </c>
      <c r="FL41" s="267">
        <v>997</v>
      </c>
      <c r="FM41" s="267">
        <v>286</v>
      </c>
      <c r="FN41" s="334"/>
      <c r="FO41" s="152"/>
    </row>
    <row r="42" spans="1:193">
      <c r="D42" s="396"/>
      <c r="E42" s="396"/>
      <c r="F42" s="454"/>
      <c r="G42" s="396"/>
      <c r="H42" s="396"/>
      <c r="I42" s="454"/>
      <c r="J42" s="464"/>
      <c r="K42" s="454"/>
      <c r="L42" s="454"/>
      <c r="M42" s="396"/>
      <c r="N42" s="464"/>
      <c r="O42" s="454"/>
      <c r="BV42" s="141"/>
      <c r="FC42" s="220"/>
      <c r="FD42" s="249">
        <v>4</v>
      </c>
      <c r="FE42" s="287">
        <v>0</v>
      </c>
      <c r="FF42" s="267">
        <f>FF41+456</f>
        <v>494009</v>
      </c>
      <c r="FG42" s="303">
        <f>FG41+1109</f>
        <v>945175</v>
      </c>
      <c r="FH42" s="303">
        <f>FH41+1511</f>
        <v>1051769</v>
      </c>
      <c r="FI42" s="303">
        <f>FI41+653</f>
        <v>808520.7</v>
      </c>
      <c r="FJ42" s="267">
        <f>FJ41+790</f>
        <v>1269265</v>
      </c>
      <c r="FK42" s="303">
        <v>781</v>
      </c>
      <c r="FL42" s="303">
        <v>987</v>
      </c>
      <c r="FM42" s="303">
        <v>285</v>
      </c>
      <c r="FN42" s="264"/>
      <c r="FO42" s="152"/>
    </row>
    <row r="43" spans="1:193">
      <c r="D43" s="396"/>
      <c r="E43" s="396"/>
      <c r="F43" s="454"/>
      <c r="G43" s="396"/>
      <c r="H43" s="396"/>
      <c r="I43" s="454"/>
      <c r="J43" s="464"/>
      <c r="K43" s="454"/>
      <c r="L43" s="454"/>
      <c r="M43" s="396"/>
      <c r="N43" s="464"/>
      <c r="O43" s="454"/>
      <c r="FC43" s="220"/>
      <c r="FD43" s="249">
        <v>5</v>
      </c>
      <c r="FE43" s="267">
        <v>0</v>
      </c>
      <c r="FF43" s="267">
        <f>FF42+216</f>
        <v>494225</v>
      </c>
      <c r="FG43" s="267">
        <v>945690</v>
      </c>
      <c r="FH43" s="267">
        <f>FH42+1497</f>
        <v>1053266</v>
      </c>
      <c r="FI43" s="267">
        <f>FI42+720</f>
        <v>809240.7</v>
      </c>
      <c r="FJ43" s="267">
        <f>FJ42+789</f>
        <v>1270054</v>
      </c>
      <c r="FK43" s="267">
        <v>1206</v>
      </c>
      <c r="FL43" s="267">
        <v>951</v>
      </c>
      <c r="FM43" s="267">
        <v>231</v>
      </c>
      <c r="FN43" s="397"/>
    </row>
    <row r="44" spans="1:193">
      <c r="B44" s="220"/>
      <c r="D44" s="396"/>
      <c r="E44" s="396"/>
      <c r="F44" s="454"/>
      <c r="G44" s="396"/>
      <c r="H44" s="396"/>
      <c r="I44" s="454"/>
      <c r="J44" s="464"/>
      <c r="K44" s="454"/>
      <c r="L44" s="454"/>
      <c r="M44" s="396"/>
      <c r="N44" s="464"/>
      <c r="O44" s="454"/>
      <c r="FC44" s="220"/>
      <c r="FD44" s="249">
        <v>6</v>
      </c>
      <c r="FE44" s="287">
        <v>0</v>
      </c>
      <c r="FF44" s="267">
        <f>FF43+199</f>
        <v>494424</v>
      </c>
      <c r="FG44" s="303">
        <v>945969</v>
      </c>
      <c r="FH44" s="303">
        <f>FH43+1241</f>
        <v>1054507</v>
      </c>
      <c r="FI44" s="303">
        <f>FI43+444</f>
        <v>809684.7</v>
      </c>
      <c r="FJ44" s="267">
        <f>FJ43+685</f>
        <v>1270739</v>
      </c>
      <c r="FK44" s="303">
        <v>0</v>
      </c>
      <c r="FL44" s="303">
        <v>943</v>
      </c>
      <c r="FM44" s="303">
        <v>281</v>
      </c>
      <c r="FN44" s="152"/>
      <c r="FO44" s="152"/>
    </row>
    <row r="45" spans="1:193">
      <c r="B45" s="220"/>
      <c r="D45" s="396"/>
      <c r="E45" s="396"/>
      <c r="F45" s="152"/>
      <c r="G45" s="396"/>
      <c r="H45" s="396"/>
      <c r="I45" s="152"/>
      <c r="J45" s="464"/>
      <c r="K45" s="454"/>
      <c r="L45" s="454"/>
      <c r="M45" s="396"/>
      <c r="N45" s="464"/>
      <c r="O45" s="454"/>
      <c r="FC45" s="220"/>
      <c r="FD45" s="249">
        <v>7</v>
      </c>
      <c r="FE45" s="267">
        <v>0</v>
      </c>
      <c r="FF45" s="267">
        <f>FF44+328</f>
        <v>494752</v>
      </c>
      <c r="FG45" s="267">
        <v>947275</v>
      </c>
      <c r="FH45" s="267">
        <f>FH44+577</f>
        <v>1055084</v>
      </c>
      <c r="FI45" s="152">
        <f>FI44+240</f>
        <v>809924.7</v>
      </c>
      <c r="FJ45" s="267">
        <v>1271544</v>
      </c>
      <c r="FK45" s="267">
        <v>402</v>
      </c>
      <c r="FL45" s="267">
        <v>1088</v>
      </c>
      <c r="FM45" s="267">
        <v>283</v>
      </c>
      <c r="FN45" s="231"/>
    </row>
    <row r="46" spans="1:193">
      <c r="B46" s="220"/>
      <c r="D46" s="396"/>
      <c r="E46" s="396"/>
      <c r="F46" s="152"/>
      <c r="G46" s="396"/>
      <c r="H46" s="396"/>
      <c r="I46" s="152"/>
      <c r="J46" s="464"/>
      <c r="K46" s="454"/>
      <c r="L46" s="152"/>
      <c r="M46" s="396"/>
      <c r="N46" s="464"/>
      <c r="O46" s="454"/>
      <c r="FC46" s="220"/>
      <c r="FD46" s="249">
        <v>8</v>
      </c>
      <c r="FE46" s="267">
        <v>0</v>
      </c>
      <c r="FF46" s="267">
        <f>FF45+885</f>
        <v>495637</v>
      </c>
      <c r="FG46" s="267">
        <v>948079</v>
      </c>
      <c r="FH46" s="267">
        <f>FH45+1265</f>
        <v>1056349</v>
      </c>
      <c r="FI46" s="267">
        <f>FI45+640</f>
        <v>810564.7</v>
      </c>
      <c r="FJ46" s="267">
        <v>1272128</v>
      </c>
      <c r="FK46" s="267">
        <v>1072</v>
      </c>
      <c r="FL46" s="267">
        <v>1443</v>
      </c>
      <c r="FM46" s="267">
        <v>278</v>
      </c>
    </row>
    <row r="47" spans="1:193">
      <c r="B47" s="220"/>
      <c r="C47" s="220"/>
      <c r="D47" s="396"/>
      <c r="E47" s="396"/>
      <c r="F47" s="454"/>
      <c r="G47" s="396"/>
      <c r="H47" s="396"/>
      <c r="I47" s="454"/>
      <c r="J47" s="464"/>
      <c r="K47" s="152"/>
      <c r="L47" s="454"/>
      <c r="M47" s="396"/>
      <c r="N47" s="464"/>
      <c r="O47" s="454"/>
      <c r="FC47" s="220"/>
      <c r="FD47" s="249">
        <v>9</v>
      </c>
      <c r="FE47" s="105">
        <v>0</v>
      </c>
      <c r="FF47" s="105">
        <f>FF46+198</f>
        <v>495835</v>
      </c>
      <c r="FG47" s="105">
        <v>949328</v>
      </c>
      <c r="FH47" s="267">
        <f>1113+FH46</f>
        <v>1057462</v>
      </c>
      <c r="FI47" s="267">
        <f>FI46+640</f>
        <v>811204.7</v>
      </c>
      <c r="FJ47" s="267">
        <f>FJ46+890</f>
        <v>1273018</v>
      </c>
      <c r="FK47" s="267">
        <v>1072</v>
      </c>
      <c r="FL47" s="267">
        <v>1311</v>
      </c>
      <c r="FM47" s="267">
        <v>279</v>
      </c>
    </row>
    <row r="48" spans="1:193">
      <c r="B48" s="220"/>
      <c r="D48" s="396"/>
      <c r="E48" s="396"/>
      <c r="F48" s="454"/>
      <c r="G48" s="454"/>
      <c r="H48" s="454"/>
      <c r="I48" s="454"/>
      <c r="J48" s="464"/>
      <c r="K48" s="152"/>
      <c r="L48" s="454"/>
      <c r="M48" s="396"/>
      <c r="N48" s="464"/>
      <c r="O48" s="454"/>
      <c r="FC48" s="220"/>
      <c r="FD48" s="249">
        <v>10</v>
      </c>
      <c r="FE48" s="267">
        <v>0</v>
      </c>
      <c r="FF48" s="267">
        <f>FF47+1034</f>
        <v>496869</v>
      </c>
      <c r="FG48" s="105">
        <v>950538</v>
      </c>
      <c r="FH48" s="267">
        <f>1388+FH47</f>
        <v>1058850</v>
      </c>
      <c r="FI48" s="267">
        <f>FI47+640</f>
        <v>811844.7</v>
      </c>
      <c r="FJ48" s="267">
        <v>1273870</v>
      </c>
      <c r="FK48" s="267">
        <v>1072</v>
      </c>
      <c r="FL48" s="267">
        <v>1262</v>
      </c>
      <c r="FM48" s="267">
        <v>279</v>
      </c>
    </row>
    <row r="49" spans="2:169">
      <c r="B49" s="220"/>
      <c r="C49" s="220"/>
      <c r="D49" s="396"/>
      <c r="E49" s="396"/>
      <c r="F49" s="454"/>
      <c r="G49" s="454"/>
      <c r="H49" s="454"/>
      <c r="I49" s="454"/>
      <c r="J49" s="464"/>
      <c r="K49" s="454"/>
      <c r="L49" s="454"/>
      <c r="M49" s="396"/>
      <c r="N49" s="464"/>
      <c r="O49" s="454"/>
      <c r="FC49" s="220"/>
      <c r="FD49" s="249">
        <v>11</v>
      </c>
      <c r="FE49" s="267">
        <v>0</v>
      </c>
      <c r="FF49" s="267">
        <f>FF48+488</f>
        <v>497357</v>
      </c>
      <c r="FG49" s="267">
        <v>951752</v>
      </c>
      <c r="FH49" s="267">
        <f>FH48+1213</f>
        <v>1060063</v>
      </c>
      <c r="FI49" s="267">
        <f>FI48+572</f>
        <v>812416.7</v>
      </c>
      <c r="FJ49" s="267">
        <f>FJ48+777</f>
        <v>1274647</v>
      </c>
      <c r="FK49" s="267">
        <v>1072</v>
      </c>
      <c r="FL49" s="267">
        <v>717</v>
      </c>
      <c r="FM49" s="267">
        <v>280</v>
      </c>
    </row>
    <row r="50" spans="2:169">
      <c r="B50" s="220"/>
      <c r="C50" s="220"/>
      <c r="D50" s="396"/>
      <c r="E50" s="396"/>
      <c r="F50" s="454"/>
      <c r="G50" s="454"/>
      <c r="H50" s="454"/>
      <c r="I50" s="454"/>
      <c r="J50" s="464"/>
      <c r="K50" s="454"/>
      <c r="L50" s="454"/>
      <c r="M50" s="396"/>
      <c r="N50" s="464"/>
      <c r="O50" s="454"/>
      <c r="FC50" s="220"/>
      <c r="FD50" s="249">
        <v>12</v>
      </c>
      <c r="FE50" s="267">
        <v>0</v>
      </c>
      <c r="FF50" s="267">
        <f>FF49+439</f>
        <v>497796</v>
      </c>
      <c r="FG50" s="267">
        <v>952946</v>
      </c>
      <c r="FH50" s="267">
        <f>FH49+1787</f>
        <v>1061850</v>
      </c>
      <c r="FI50" s="267">
        <f>FI49+506</f>
        <v>812922.7</v>
      </c>
      <c r="FJ50" s="267">
        <f>FJ49+773</f>
        <v>1275420</v>
      </c>
      <c r="FK50" s="267">
        <v>1072</v>
      </c>
      <c r="FL50" s="267">
        <v>0</v>
      </c>
      <c r="FM50" s="267">
        <v>281</v>
      </c>
    </row>
    <row r="51" spans="2:169">
      <c r="B51" s="220"/>
      <c r="C51" s="220"/>
      <c r="D51" s="396"/>
      <c r="E51" s="396"/>
      <c r="F51" s="454"/>
      <c r="G51" s="454"/>
      <c r="H51" s="454"/>
      <c r="I51" s="454"/>
      <c r="J51" s="464"/>
      <c r="K51" s="454"/>
      <c r="L51" s="454"/>
      <c r="M51" s="396"/>
      <c r="N51" s="464"/>
      <c r="O51" s="454"/>
      <c r="FC51" s="220"/>
      <c r="FD51" s="249">
        <v>13</v>
      </c>
      <c r="FE51" s="267">
        <v>0</v>
      </c>
      <c r="FF51" s="267">
        <f>FF50+310</f>
        <v>498106</v>
      </c>
      <c r="FG51" s="267">
        <v>953563</v>
      </c>
      <c r="FH51" s="267">
        <f>FH50+532</f>
        <v>1062382</v>
      </c>
      <c r="FI51" s="267">
        <f>FI50+643</f>
        <v>813565.7</v>
      </c>
      <c r="FJ51" s="267">
        <v>1276130</v>
      </c>
      <c r="FK51" s="267">
        <v>1072</v>
      </c>
      <c r="FL51" s="267">
        <v>0</v>
      </c>
      <c r="FM51" s="267">
        <v>283</v>
      </c>
    </row>
    <row r="52" spans="2:169">
      <c r="B52" s="220"/>
      <c r="C52" s="220"/>
      <c r="D52" s="396"/>
      <c r="E52" s="396"/>
      <c r="F52" s="454"/>
      <c r="G52" s="454"/>
      <c r="H52" s="454"/>
      <c r="I52" s="454"/>
      <c r="J52" s="464"/>
      <c r="K52" s="463"/>
      <c r="L52" s="454"/>
      <c r="M52" s="454"/>
      <c r="N52" s="454"/>
      <c r="O52" s="454"/>
      <c r="FC52" s="220"/>
      <c r="FD52" s="249">
        <v>14</v>
      </c>
      <c r="FE52" s="267">
        <v>0</v>
      </c>
      <c r="FF52" s="267">
        <f>FF51+675</f>
        <v>498781</v>
      </c>
      <c r="FG52" s="267">
        <v>953698</v>
      </c>
      <c r="FH52" s="267">
        <f>FH51+1600</f>
        <v>1063982</v>
      </c>
      <c r="FI52" s="267">
        <f>FI51+493</f>
        <v>814058.7</v>
      </c>
      <c r="FJ52" s="267">
        <v>1276912</v>
      </c>
      <c r="FK52" s="267">
        <v>680</v>
      </c>
      <c r="FL52" s="267">
        <v>0</v>
      </c>
      <c r="FM52" s="267">
        <v>282</v>
      </c>
    </row>
    <row r="53" spans="2:169">
      <c r="C53" s="220"/>
      <c r="D53" s="454"/>
      <c r="E53" s="454"/>
      <c r="F53" s="454"/>
      <c r="G53" s="454"/>
      <c r="H53" s="454"/>
      <c r="I53" s="454"/>
      <c r="J53" s="464"/>
      <c r="K53" s="454"/>
      <c r="L53" s="454"/>
      <c r="M53" s="454"/>
      <c r="N53" s="454"/>
      <c r="O53" s="141"/>
      <c r="FC53" s="220"/>
      <c r="FD53" s="249">
        <v>15</v>
      </c>
      <c r="FE53" s="267">
        <v>0</v>
      </c>
      <c r="FF53" s="267">
        <f>FF52+714</f>
        <v>499495</v>
      </c>
      <c r="FG53" s="267">
        <v>954472</v>
      </c>
      <c r="FH53" s="267">
        <f>FH52+1600</f>
        <v>1065582</v>
      </c>
      <c r="FI53" s="267">
        <f>FI52+435</f>
        <v>814493.7</v>
      </c>
      <c r="FJ53" s="267">
        <v>1277802</v>
      </c>
      <c r="FK53" s="267">
        <v>1072</v>
      </c>
      <c r="FL53" s="267">
        <v>0</v>
      </c>
      <c r="FM53" s="267">
        <v>274</v>
      </c>
    </row>
    <row r="54" spans="2:169">
      <c r="B54" s="220"/>
      <c r="C54" s="220"/>
      <c r="D54" s="454"/>
      <c r="E54" s="454"/>
      <c r="F54" s="454"/>
      <c r="G54" s="454"/>
      <c r="H54" s="454"/>
      <c r="I54" s="454"/>
      <c r="J54" s="464"/>
      <c r="K54" s="454"/>
      <c r="L54" s="454"/>
      <c r="M54" s="454"/>
      <c r="N54" s="454"/>
      <c r="O54" s="141"/>
      <c r="FC54" s="220"/>
      <c r="FD54" s="249">
        <v>16</v>
      </c>
      <c r="FE54" s="267"/>
      <c r="FF54" s="267">
        <f t="shared" ref="FF54:FF61" si="89">FF53+FF21</f>
        <v>499650</v>
      </c>
      <c r="FG54" s="105">
        <v>955484</v>
      </c>
      <c r="FH54" s="303">
        <f t="shared" ref="FH54:FI61" si="90">FH53+FH21</f>
        <v>1067010</v>
      </c>
      <c r="FI54" s="303">
        <f t="shared" si="90"/>
        <v>815180.7</v>
      </c>
      <c r="FJ54" s="105">
        <v>1278956</v>
      </c>
      <c r="FK54" s="390">
        <v>684</v>
      </c>
      <c r="FL54" s="303">
        <v>54.9</v>
      </c>
      <c r="FM54" s="390">
        <v>282</v>
      </c>
    </row>
    <row r="55" spans="2:169">
      <c r="B55" s="220"/>
      <c r="C55" s="220"/>
      <c r="D55" s="454"/>
      <c r="E55" s="454"/>
      <c r="F55" s="454"/>
      <c r="G55" s="454"/>
      <c r="H55" s="454"/>
      <c r="I55" s="454"/>
      <c r="J55" s="454"/>
      <c r="K55" s="454"/>
      <c r="L55" s="454"/>
      <c r="M55" s="454"/>
      <c r="N55" s="454"/>
      <c r="O55" s="141"/>
      <c r="FC55" s="220"/>
      <c r="FD55" s="249">
        <v>17</v>
      </c>
      <c r="FE55" s="267"/>
      <c r="FF55" s="267">
        <f t="shared" si="89"/>
        <v>500086</v>
      </c>
      <c r="FG55" s="303">
        <v>956071</v>
      </c>
      <c r="FH55" s="267">
        <f t="shared" si="90"/>
        <v>1068232</v>
      </c>
      <c r="FI55" s="267">
        <f t="shared" si="90"/>
        <v>815411.7</v>
      </c>
      <c r="FJ55" s="303">
        <v>1279572</v>
      </c>
      <c r="FK55" s="267">
        <v>863</v>
      </c>
      <c r="FL55" s="267">
        <v>0</v>
      </c>
      <c r="FM55" s="267">
        <v>379</v>
      </c>
    </row>
    <row r="56" spans="2:169">
      <c r="B56" s="220"/>
      <c r="C56" s="220"/>
      <c r="D56" s="454"/>
      <c r="E56" s="454"/>
      <c r="F56" s="454"/>
      <c r="G56" s="454"/>
      <c r="H56" s="454"/>
      <c r="I56" s="454"/>
      <c r="J56" s="454"/>
      <c r="K56" s="454"/>
      <c r="L56" s="454"/>
      <c r="M56" s="454"/>
      <c r="N56" s="454"/>
      <c r="O56" s="141"/>
      <c r="FC56" s="220"/>
      <c r="FD56" s="249">
        <v>18</v>
      </c>
      <c r="FE56" s="267"/>
      <c r="FF56" s="267">
        <f t="shared" si="89"/>
        <v>500669</v>
      </c>
      <c r="FG56" s="105">
        <v>957003</v>
      </c>
      <c r="FH56" s="267">
        <f t="shared" si="90"/>
        <v>1069474</v>
      </c>
      <c r="FI56" s="267">
        <f t="shared" si="90"/>
        <v>815838.7</v>
      </c>
      <c r="FJ56" s="303">
        <v>1280602</v>
      </c>
      <c r="FK56" s="267">
        <v>866</v>
      </c>
      <c r="FL56" s="267">
        <v>0</v>
      </c>
      <c r="FM56" s="267">
        <v>376</v>
      </c>
    </row>
    <row r="57" spans="2:169">
      <c r="B57" s="220"/>
      <c r="C57" s="220"/>
      <c r="D57" s="454"/>
      <c r="E57" s="454"/>
      <c r="F57" s="454"/>
      <c r="G57" s="454"/>
      <c r="H57" s="454"/>
      <c r="I57" s="454"/>
      <c r="J57" s="454"/>
      <c r="K57" s="454"/>
      <c r="L57" s="454"/>
      <c r="M57" s="454"/>
      <c r="N57" s="454"/>
      <c r="O57" s="141"/>
      <c r="FC57" s="220"/>
      <c r="FD57" s="249">
        <v>19</v>
      </c>
      <c r="FE57" s="267"/>
      <c r="FF57" s="267">
        <f t="shared" si="89"/>
        <v>501505</v>
      </c>
      <c r="FG57" s="105">
        <v>957977</v>
      </c>
      <c r="FH57" s="267">
        <f t="shared" si="90"/>
        <v>1071021</v>
      </c>
      <c r="FI57" s="267">
        <f t="shared" si="90"/>
        <v>816638.7</v>
      </c>
      <c r="FJ57" s="303">
        <v>1281548</v>
      </c>
      <c r="FK57" s="267">
        <v>378</v>
      </c>
      <c r="FL57" s="267">
        <v>0</v>
      </c>
      <c r="FM57" s="267">
        <v>276</v>
      </c>
    </row>
    <row r="58" spans="2:169">
      <c r="C58" s="220"/>
      <c r="D58" s="454"/>
      <c r="E58" s="454"/>
      <c r="F58" s="454"/>
      <c r="G58" s="454"/>
      <c r="H58" s="454"/>
      <c r="I58" s="454"/>
      <c r="J58" s="454"/>
      <c r="K58" s="454"/>
      <c r="L58" s="454"/>
      <c r="M58" s="454"/>
      <c r="N58" s="454"/>
      <c r="FC58" s="220"/>
      <c r="FD58" s="249">
        <v>20</v>
      </c>
      <c r="FE58" s="400"/>
      <c r="FF58" s="267">
        <f t="shared" si="89"/>
        <v>502187</v>
      </c>
      <c r="FG58" s="303">
        <v>958286</v>
      </c>
      <c r="FH58" s="303">
        <f t="shared" si="90"/>
        <v>1072570</v>
      </c>
      <c r="FI58" s="303">
        <f t="shared" si="90"/>
        <v>817238.7</v>
      </c>
      <c r="FJ58" s="303">
        <v>1282542</v>
      </c>
      <c r="FK58" s="303">
        <v>901</v>
      </c>
      <c r="FL58" s="303">
        <v>0</v>
      </c>
      <c r="FM58" s="303">
        <v>277</v>
      </c>
    </row>
    <row r="59" spans="2:169">
      <c r="D59" s="454"/>
      <c r="E59" s="454"/>
      <c r="F59" s="454"/>
      <c r="G59" s="454"/>
      <c r="H59" s="454"/>
      <c r="I59" s="454"/>
      <c r="J59" s="454"/>
      <c r="K59" s="454"/>
      <c r="L59" s="454"/>
      <c r="M59" s="454"/>
      <c r="N59" s="454"/>
      <c r="FC59" s="220"/>
      <c r="FD59" s="249">
        <v>21</v>
      </c>
      <c r="FE59" s="267"/>
      <c r="FF59" s="267">
        <f t="shared" si="89"/>
        <v>502785</v>
      </c>
      <c r="FG59" s="105">
        <v>958996</v>
      </c>
      <c r="FH59" s="267">
        <f t="shared" si="90"/>
        <v>1074006</v>
      </c>
      <c r="FI59" s="267">
        <f t="shared" si="90"/>
        <v>817935.7</v>
      </c>
      <c r="FJ59" s="105">
        <v>1283465</v>
      </c>
      <c r="FK59" s="267">
        <v>1069</v>
      </c>
      <c r="FL59" s="267">
        <v>0</v>
      </c>
      <c r="FM59" s="267">
        <v>261</v>
      </c>
    </row>
    <row r="60" spans="2:169">
      <c r="D60" s="454"/>
      <c r="E60" s="454"/>
      <c r="F60" s="454"/>
      <c r="G60" s="454"/>
      <c r="H60" s="454"/>
      <c r="I60" s="454"/>
      <c r="J60" s="454"/>
      <c r="K60" s="454"/>
      <c r="L60" s="454"/>
      <c r="M60" s="454"/>
      <c r="N60" s="454"/>
      <c r="FC60" s="220"/>
      <c r="FD60" s="249">
        <v>22</v>
      </c>
      <c r="FE60" s="267"/>
      <c r="FF60" s="267">
        <f t="shared" si="89"/>
        <v>503436</v>
      </c>
      <c r="FG60" s="267">
        <v>960076</v>
      </c>
      <c r="FH60" s="267">
        <f t="shared" si="90"/>
        <v>1075554</v>
      </c>
      <c r="FI60" s="267">
        <f t="shared" si="90"/>
        <v>818627.7</v>
      </c>
      <c r="FJ60" s="267">
        <v>1284393</v>
      </c>
      <c r="FK60" s="267">
        <v>1062.55</v>
      </c>
      <c r="FL60" s="267">
        <v>0</v>
      </c>
      <c r="FM60" s="267">
        <v>177</v>
      </c>
    </row>
    <row r="61" spans="2:169">
      <c r="D61" s="454"/>
      <c r="E61" s="454"/>
      <c r="F61" s="454"/>
      <c r="G61" s="454"/>
      <c r="H61" s="454"/>
      <c r="I61" s="454"/>
      <c r="J61" s="454"/>
      <c r="K61" s="454"/>
      <c r="L61" s="454"/>
      <c r="M61" s="454"/>
      <c r="N61" s="454"/>
      <c r="FC61" s="220"/>
      <c r="FD61" s="249">
        <v>23</v>
      </c>
      <c r="FE61" s="267"/>
      <c r="FF61" s="267">
        <f t="shared" si="89"/>
        <v>503946</v>
      </c>
      <c r="FG61" s="303">
        <v>961066</v>
      </c>
      <c r="FH61" s="105">
        <f t="shared" si="90"/>
        <v>1077090</v>
      </c>
      <c r="FI61" s="267">
        <f t="shared" si="90"/>
        <v>819314.7</v>
      </c>
      <c r="FJ61" s="267">
        <v>1285295</v>
      </c>
      <c r="FK61" s="267">
        <v>961</v>
      </c>
      <c r="FL61" s="267">
        <v>188</v>
      </c>
      <c r="FM61" s="267">
        <v>261</v>
      </c>
    </row>
    <row r="62" spans="2:169">
      <c r="D62" s="454"/>
      <c r="E62" s="454"/>
      <c r="F62" s="454"/>
      <c r="G62" s="454"/>
      <c r="H62" s="454"/>
      <c r="I62" s="454"/>
      <c r="J62" s="454"/>
      <c r="K62" s="454"/>
      <c r="L62" s="454"/>
      <c r="M62" s="454"/>
      <c r="N62" s="454"/>
      <c r="FD62" s="249">
        <v>24</v>
      </c>
      <c r="FE62" s="267">
        <v>0</v>
      </c>
      <c r="FF62" s="267">
        <f>FF61+214</f>
        <v>504160</v>
      </c>
      <c r="FG62" s="267">
        <v>961803</v>
      </c>
      <c r="FH62" s="267">
        <f>FH61+1363</f>
        <v>1078453</v>
      </c>
      <c r="FI62" s="267">
        <f>FI61+682</f>
        <v>819996.7</v>
      </c>
      <c r="FJ62" s="267">
        <v>1286292</v>
      </c>
      <c r="FK62" s="267">
        <v>1056</v>
      </c>
      <c r="FL62" s="267">
        <v>676</v>
      </c>
      <c r="FM62" s="267">
        <v>267</v>
      </c>
    </row>
    <row r="63" spans="2:169">
      <c r="D63" s="454"/>
      <c r="E63" s="454"/>
      <c r="F63" s="454"/>
      <c r="G63" s="454"/>
      <c r="H63" s="454"/>
      <c r="I63" s="454"/>
      <c r="J63" s="454"/>
      <c r="K63" s="454"/>
      <c r="L63" s="454"/>
      <c r="M63" s="454"/>
      <c r="N63" s="454"/>
      <c r="FD63" s="249">
        <v>25</v>
      </c>
      <c r="FE63" s="267">
        <v>0</v>
      </c>
      <c r="FF63" s="267">
        <f>FF62+528</f>
        <v>504688</v>
      </c>
      <c r="FG63" s="267">
        <v>962585</v>
      </c>
      <c r="FH63" s="267">
        <f>FH62+1557</f>
        <v>1080010</v>
      </c>
      <c r="FI63" s="267">
        <f>FI62+681</f>
        <v>820677.7</v>
      </c>
      <c r="FJ63" s="267">
        <f>FJ62+922</f>
        <v>1287214</v>
      </c>
      <c r="FK63" s="267">
        <v>444</v>
      </c>
      <c r="FL63" s="267">
        <v>1137</v>
      </c>
      <c r="FM63" s="267">
        <v>271</v>
      </c>
    </row>
    <row r="64" spans="2:169">
      <c r="D64" s="454"/>
      <c r="E64" s="454"/>
      <c r="F64" s="454"/>
      <c r="G64" s="454"/>
      <c r="H64" s="454"/>
      <c r="I64" s="454"/>
      <c r="J64" s="454"/>
      <c r="K64" s="454"/>
      <c r="L64" s="454"/>
      <c r="M64" s="454"/>
      <c r="N64" s="454"/>
      <c r="FD64" s="249">
        <v>26</v>
      </c>
      <c r="FE64" s="267"/>
      <c r="FF64" s="267">
        <f t="shared" ref="FF64:FF69" si="91">FF63+FF31</f>
        <v>504780</v>
      </c>
      <c r="FG64" s="105">
        <v>964018</v>
      </c>
      <c r="FH64" s="267">
        <f t="shared" ref="FH64:FI69" si="92">FH63+FH31</f>
        <v>1081279</v>
      </c>
      <c r="FI64" s="267">
        <f t="shared" si="92"/>
        <v>821417.7</v>
      </c>
      <c r="FJ64" s="105">
        <v>1288127</v>
      </c>
      <c r="FK64" s="267"/>
      <c r="FL64" s="267"/>
      <c r="FM64" s="267"/>
    </row>
    <row r="65" spans="4:170">
      <c r="D65" s="454"/>
      <c r="E65" s="454"/>
      <c r="F65" s="454"/>
      <c r="G65" s="454"/>
      <c r="H65" s="454"/>
      <c r="I65" s="454"/>
      <c r="J65" s="454"/>
      <c r="K65" s="454"/>
      <c r="L65" s="454"/>
      <c r="M65" s="454"/>
      <c r="N65" s="454"/>
      <c r="FD65" s="249">
        <v>27</v>
      </c>
      <c r="FE65" s="267"/>
      <c r="FF65" s="267">
        <f t="shared" si="91"/>
        <v>505417</v>
      </c>
      <c r="FG65" s="105">
        <v>965208</v>
      </c>
      <c r="FH65" s="267">
        <f t="shared" si="92"/>
        <v>1082618</v>
      </c>
      <c r="FI65" s="267">
        <f t="shared" si="92"/>
        <v>822157.7</v>
      </c>
      <c r="FJ65" s="105">
        <v>1289170</v>
      </c>
      <c r="FK65" s="267"/>
      <c r="FL65" s="267"/>
      <c r="FM65" s="267"/>
    </row>
    <row r="66" spans="4:170">
      <c r="D66" s="454"/>
      <c r="E66" s="454"/>
      <c r="F66" s="454"/>
      <c r="G66" s="454"/>
      <c r="H66" s="454"/>
      <c r="I66" s="454"/>
      <c r="J66" s="454"/>
      <c r="K66" s="454"/>
      <c r="L66" s="454"/>
      <c r="M66" s="454"/>
      <c r="N66" s="454"/>
      <c r="FD66" s="249">
        <v>28</v>
      </c>
      <c r="FE66" s="267"/>
      <c r="FF66" s="267">
        <f t="shared" si="91"/>
        <v>505861</v>
      </c>
      <c r="FG66" s="105">
        <v>966550</v>
      </c>
      <c r="FH66" s="105">
        <f t="shared" si="92"/>
        <v>1083870</v>
      </c>
      <c r="FI66" s="267">
        <f t="shared" si="92"/>
        <v>822817.7</v>
      </c>
      <c r="FJ66" s="105">
        <v>1290065</v>
      </c>
      <c r="FK66" s="267"/>
      <c r="FL66" s="267"/>
      <c r="FM66" s="267"/>
    </row>
    <row r="67" spans="4:170">
      <c r="D67" s="454"/>
      <c r="E67" s="454"/>
      <c r="F67" s="454"/>
      <c r="G67" s="454"/>
      <c r="H67" s="454"/>
      <c r="I67" s="454"/>
      <c r="J67" s="454"/>
      <c r="K67" s="454"/>
      <c r="L67" s="454"/>
      <c r="M67" s="454"/>
      <c r="N67" s="454"/>
      <c r="FD67" s="249">
        <v>29</v>
      </c>
      <c r="FE67" s="303"/>
      <c r="FF67" s="401">
        <f t="shared" si="91"/>
        <v>506208</v>
      </c>
      <c r="FG67" s="401">
        <v>967462</v>
      </c>
      <c r="FH67" s="303">
        <f t="shared" si="92"/>
        <v>1085060</v>
      </c>
      <c r="FI67" s="401">
        <f t="shared" si="92"/>
        <v>823517.7</v>
      </c>
      <c r="FJ67" s="303">
        <v>1290971</v>
      </c>
      <c r="FK67" s="401"/>
      <c r="FL67" s="401"/>
      <c r="FM67" s="401"/>
    </row>
    <row r="68" spans="4:170">
      <c r="D68" s="454"/>
      <c r="E68" s="454"/>
      <c r="F68" s="454"/>
      <c r="G68" s="454"/>
      <c r="H68" s="454"/>
      <c r="I68" s="454"/>
      <c r="J68" s="454"/>
      <c r="K68" s="454"/>
      <c r="L68" s="454"/>
      <c r="M68" s="454"/>
      <c r="N68" s="454"/>
      <c r="FD68" s="249">
        <v>30</v>
      </c>
      <c r="FE68" s="303">
        <v>0</v>
      </c>
      <c r="FF68" s="401">
        <f t="shared" si="91"/>
        <v>506735</v>
      </c>
      <c r="FG68" s="401">
        <v>968414</v>
      </c>
      <c r="FH68" s="303">
        <f t="shared" si="92"/>
        <v>1085675</v>
      </c>
      <c r="FI68" s="401">
        <f t="shared" si="92"/>
        <v>824242.7</v>
      </c>
      <c r="FJ68" s="303">
        <v>1291862</v>
      </c>
      <c r="FK68" s="401"/>
      <c r="FL68" s="401"/>
      <c r="FM68" s="401"/>
    </row>
    <row r="69" spans="4:170">
      <c r="FD69" s="249">
        <v>31</v>
      </c>
      <c r="FE69" s="267"/>
      <c r="FF69" s="267">
        <f t="shared" si="91"/>
        <v>507122</v>
      </c>
      <c r="FG69" s="267">
        <f>FG68+FG36</f>
        <v>969745</v>
      </c>
      <c r="FH69" s="267">
        <f t="shared" si="92"/>
        <v>1086901</v>
      </c>
      <c r="FI69" s="267">
        <f t="shared" si="92"/>
        <v>824972.7</v>
      </c>
      <c r="FJ69" s="267">
        <f>FJ68+FJ36</f>
        <v>1292708</v>
      </c>
      <c r="FK69" s="267"/>
      <c r="FL69" s="267"/>
      <c r="FM69" s="267"/>
    </row>
    <row r="70" spans="4:170">
      <c r="FE70" s="267"/>
      <c r="FF70" s="267"/>
      <c r="FG70" s="267"/>
      <c r="FH70" s="267"/>
      <c r="FI70" s="267"/>
      <c r="FJ70" s="267"/>
      <c r="FK70" s="267"/>
      <c r="FL70" s="267"/>
      <c r="FM70" s="267"/>
    </row>
    <row r="71" spans="4:170">
      <c r="FE71" s="152"/>
      <c r="FF71" s="508">
        <f t="shared" ref="FF71:FM71" si="93">SUM(FF6:FF36)</f>
        <v>15355</v>
      </c>
      <c r="FG71" s="508">
        <f t="shared" si="93"/>
        <v>26676</v>
      </c>
      <c r="FH71" s="508">
        <f t="shared" si="93"/>
        <v>41555</v>
      </c>
      <c r="FI71" s="508">
        <f t="shared" si="93"/>
        <v>19065</v>
      </c>
      <c r="FJ71" s="508">
        <f t="shared" si="93"/>
        <v>24602</v>
      </c>
      <c r="FK71" s="508">
        <f t="shared" si="93"/>
        <v>27494.18</v>
      </c>
      <c r="FL71" s="508">
        <f t="shared" si="93"/>
        <v>17962.600000000002</v>
      </c>
      <c r="FM71" s="508">
        <f t="shared" si="93"/>
        <v>8930</v>
      </c>
      <c r="FN71" s="508"/>
    </row>
    <row r="72" spans="4:170">
      <c r="FD72" s="152"/>
      <c r="FE72" s="152"/>
      <c r="FF72" s="508">
        <v>15315</v>
      </c>
      <c r="FG72" s="508">
        <v>26150</v>
      </c>
      <c r="FH72" s="508">
        <v>44114</v>
      </c>
      <c r="FI72" s="508">
        <v>18233</v>
      </c>
      <c r="FJ72" s="508">
        <v>20720</v>
      </c>
      <c r="FK72" s="508">
        <v>26566</v>
      </c>
      <c r="FL72" s="508">
        <v>17817</v>
      </c>
      <c r="FM72" s="514">
        <v>8978</v>
      </c>
      <c r="FN72" s="508"/>
    </row>
    <row r="73" spans="4:170">
      <c r="FD73" s="152"/>
      <c r="FE73" s="152"/>
      <c r="FF73" s="508"/>
      <c r="FG73" s="508"/>
      <c r="FH73" s="508"/>
      <c r="FI73" s="508"/>
      <c r="FJ73" s="508"/>
      <c r="FK73" s="508"/>
      <c r="FL73" s="508"/>
      <c r="FM73" s="508"/>
      <c r="FN73" s="508"/>
    </row>
    <row r="74" spans="4:170">
      <c r="FD74" s="402"/>
      <c r="FE74" s="152"/>
      <c r="FF74" s="508">
        <f>FF72-FF71</f>
        <v>-40</v>
      </c>
      <c r="FG74" s="508">
        <f>FG72-FG71</f>
        <v>-526</v>
      </c>
      <c r="FH74" s="508">
        <f t="shared" ref="FH74:FM74" si="94">FH72-FH71</f>
        <v>2559</v>
      </c>
      <c r="FI74" s="508">
        <f t="shared" si="94"/>
        <v>-832</v>
      </c>
      <c r="FJ74" s="508">
        <f t="shared" si="94"/>
        <v>-3882</v>
      </c>
      <c r="FK74" s="508">
        <f t="shared" si="94"/>
        <v>-928.18000000000029</v>
      </c>
      <c r="FL74" s="508">
        <f t="shared" si="94"/>
        <v>-145.60000000000218</v>
      </c>
      <c r="FM74" s="508">
        <f t="shared" si="94"/>
        <v>48</v>
      </c>
      <c r="FN74" s="508"/>
    </row>
    <row r="75" spans="4:170">
      <c r="FD75" s="152"/>
      <c r="FE75" s="152"/>
      <c r="FF75" s="508"/>
      <c r="FG75" s="508"/>
      <c r="FH75" s="508"/>
      <c r="FI75" s="508"/>
      <c r="FJ75" s="508"/>
      <c r="FK75" s="508"/>
      <c r="FL75" s="508"/>
      <c r="FM75" s="508"/>
      <c r="FN75" s="508"/>
    </row>
    <row r="76" spans="4:170">
      <c r="FD76" s="152"/>
      <c r="FE76"/>
      <c r="FF76" s="508"/>
      <c r="FG76" s="508"/>
      <c r="FH76" s="508"/>
      <c r="FI76" s="508"/>
      <c r="FJ76" s="508"/>
      <c r="FK76" s="508"/>
      <c r="FL76" s="508"/>
      <c r="FM76" s="508"/>
      <c r="FN76" s="508"/>
    </row>
    <row r="77" spans="4:170" ht="53.25" customHeight="1">
      <c r="FD77" s="152"/>
      <c r="FE77" s="10"/>
      <c r="FF77" s="508"/>
      <c r="FG77" s="508"/>
      <c r="FH77" s="508"/>
      <c r="FI77" s="508">
        <f>SUM(FF74:FM74)</f>
        <v>-3746.7800000000025</v>
      </c>
      <c r="FJ77" s="508"/>
      <c r="FK77" s="508"/>
      <c r="FL77" s="515"/>
      <c r="FM77" s="508"/>
      <c r="FN77" s="508"/>
    </row>
    <row r="78" spans="4:170">
      <c r="FD78" s="152"/>
      <c r="FE78"/>
      <c r="FF78" s="508"/>
      <c r="FG78" s="508"/>
      <c r="FH78" s="508"/>
      <c r="FI78" s="508"/>
      <c r="FJ78" s="508"/>
      <c r="FK78" s="508"/>
      <c r="FL78" s="508"/>
      <c r="FM78" s="508"/>
      <c r="FN78" s="508"/>
    </row>
    <row r="79" spans="4:170">
      <c r="FD79" s="402"/>
      <c r="FE79" s="461"/>
      <c r="FF79" s="508"/>
      <c r="FG79" s="508"/>
      <c r="FH79" s="508"/>
      <c r="FI79" s="508">
        <f>FI77/4</f>
        <v>-936.69500000000062</v>
      </c>
      <c r="FJ79" s="508"/>
      <c r="FK79" s="508"/>
      <c r="FL79" s="508"/>
      <c r="FM79" s="508"/>
      <c r="FN79" s="508"/>
    </row>
    <row r="80" spans="4:170">
      <c r="FD80" s="152"/>
      <c r="FE80"/>
      <c r="FF80" s="508"/>
      <c r="FG80" s="508"/>
      <c r="FH80" s="508"/>
      <c r="FI80" s="508"/>
      <c r="FJ80" s="508"/>
      <c r="FK80" s="508"/>
      <c r="FL80" s="508"/>
      <c r="FM80" s="508"/>
      <c r="FN80" s="508"/>
    </row>
    <row r="81" spans="160:170">
      <c r="FD81" s="152"/>
      <c r="FE81"/>
      <c r="FF81" s="508"/>
      <c r="FG81" s="508"/>
      <c r="FH81" s="508"/>
      <c r="FI81" s="508"/>
      <c r="FJ81" s="508"/>
      <c r="FK81" s="508"/>
      <c r="FL81" s="508"/>
      <c r="FM81" s="508"/>
      <c r="FN81" s="508"/>
    </row>
    <row r="82" spans="160:170">
      <c r="FD82" s="152"/>
      <c r="FE82"/>
      <c r="FF82" s="152"/>
      <c r="FG82" s="152"/>
      <c r="FH82" s="152"/>
      <c r="FI82" s="152"/>
      <c r="FJ82" s="152"/>
      <c r="FK82" s="152"/>
      <c r="FL82" s="152"/>
      <c r="FM82" s="152"/>
      <c r="FN82" s="152"/>
    </row>
    <row r="83" spans="160:170">
      <c r="FD83" s="152"/>
      <c r="FE83"/>
      <c r="FF83" s="152"/>
      <c r="FG83" s="152"/>
      <c r="FH83" s="152"/>
      <c r="FI83" s="152"/>
      <c r="FJ83" s="152"/>
      <c r="FK83" s="152"/>
      <c r="FL83" s="152"/>
      <c r="FM83" s="152"/>
      <c r="FN83" s="402"/>
    </row>
    <row r="84" spans="160:170">
      <c r="FD84" s="152"/>
      <c r="FF84" s="152"/>
      <c r="FG84" s="152"/>
      <c r="FH84" s="152"/>
      <c r="FI84" s="152"/>
      <c r="FJ84" s="152"/>
      <c r="FK84" s="152"/>
      <c r="FL84" s="152"/>
      <c r="FM84" s="152"/>
      <c r="FN84" s="152"/>
    </row>
    <row r="85" spans="160:170">
      <c r="FE85"/>
      <c r="FF85" s="451"/>
      <c r="FG85" s="451"/>
    </row>
    <row r="86" spans="160:170">
      <c r="FF86" s="451"/>
      <c r="FG86" s="451"/>
    </row>
    <row r="87" spans="160:170">
      <c r="FE87"/>
      <c r="FF87" s="451"/>
      <c r="FG87" s="451"/>
    </row>
    <row r="88" spans="160:170">
      <c r="FF88" s="451"/>
      <c r="FG88" s="451"/>
    </row>
    <row r="89" spans="160:170">
      <c r="FE89"/>
      <c r="FF89" s="451"/>
      <c r="FG89" s="451"/>
    </row>
  </sheetData>
  <sheetProtection formatCells="0" formatColumns="0" formatRows="0" insertColumns="0" insertRows="0" insertHyperlinks="0" deleteColumns="0" deleteRows="0" selectLockedCells="1" sort="0" autoFilter="0" pivotTables="0" selectUnlockedCells="1"/>
  <customSheetViews>
    <customSheetView guid="{CAAAA4EE-AC24-494B-BD01-DBAF6444BECB}" scale="80" showGridLines="0" hiddenColumns="1">
      <pane xSplit="3" ySplit="5" topLeftCell="D24" activePane="bottomRight" state="frozen"/>
      <selection pane="bottomRight" activeCell="E36" sqref="E36"/>
      <pageMargins left="0.7" right="0.7" top="0.75" bottom="0.75" header="0.3" footer="0.3"/>
      <pageSetup orientation="portrait" r:id="rId1"/>
    </customSheetView>
    <customSheetView guid="{34EDC84D-4B3C-44BF-BB1A-7A0DFA8F65E7}" scale="80" showGridLines="0" hiddenColumns="1">
      <pane xSplit="3" ySplit="5" topLeftCell="BD21" activePane="bottomRight" state="frozen"/>
      <selection pane="bottomRight" activeCell="BJ27" sqref="BJ27"/>
      <pageMargins left="0.7" right="0.7" top="0.75" bottom="0.75" header="0.3" footer="0.3"/>
      <pageSetup orientation="portrait" r:id="rId2"/>
    </customSheetView>
  </customSheetViews>
  <mergeCells count="8">
    <mergeCell ref="FE37:FM37"/>
    <mergeCell ref="FC3:FC4"/>
    <mergeCell ref="B4:B5"/>
    <mergeCell ref="CF4:CH4"/>
    <mergeCell ref="CJ4:CL4"/>
    <mergeCell ref="CN4:CP4"/>
    <mergeCell ref="CR4:CT4"/>
    <mergeCell ref="CU4:CW4"/>
  </mergeCells>
  <conditionalFormatting sqref="DR39 DQ38:DQ39">
    <cfRule type="cellIs" dxfId="559" priority="111" stopIfTrue="1" operator="lessThanOrEqual">
      <formula>0.145</formula>
    </cfRule>
    <cfRule type="cellIs" dxfId="558" priority="112" stopIfTrue="1" operator="greaterThan">
      <formula>0.15</formula>
    </cfRule>
  </conditionalFormatting>
  <conditionalFormatting sqref="D6:F7 E10:F21 N15:N36 G15:M21 N6:N9 H9:L9 G9:G14 D10:D15 D23:M36 H10:N14 G6:M8">
    <cfRule type="expression" dxfId="557" priority="110" stopIfTrue="1">
      <formula>OR($B6=TODAY(),$B6=TODAY()-1)</formula>
    </cfRule>
  </conditionalFormatting>
  <conditionalFormatting sqref="G15:G21 G10:G13 G6 I7:M8 H17">
    <cfRule type="expression" dxfId="556" priority="109" stopIfTrue="1">
      <formula>OR($B6=TODAY(),$B6=TODAY()-1)</formula>
    </cfRule>
  </conditionalFormatting>
  <conditionalFormatting sqref="D6:F7">
    <cfRule type="expression" dxfId="555" priority="108" stopIfTrue="1">
      <formula>OR($B6=TODAY(),$B6=TODAY()-1)</formula>
    </cfRule>
  </conditionalFormatting>
  <conditionalFormatting sqref="I7:M8">
    <cfRule type="expression" dxfId="554" priority="107" stopIfTrue="1">
      <formula>OR($B7=TODAY(),$B7=TODAY()-1)</formula>
    </cfRule>
  </conditionalFormatting>
  <conditionalFormatting sqref="I7:M8">
    <cfRule type="expression" dxfId="553" priority="106" stopIfTrue="1">
      <formula>OR($B7=TODAY(),$B7=TODAY()-1)</formula>
    </cfRule>
  </conditionalFormatting>
  <conditionalFormatting sqref="D6:F6">
    <cfRule type="expression" dxfId="552" priority="105" stopIfTrue="1">
      <formula>OR($B6=TODAY(),$B6=TODAY()-1)</formula>
    </cfRule>
  </conditionalFormatting>
  <conditionalFormatting sqref="D6:F7 G6:L21">
    <cfRule type="expression" dxfId="551" priority="104" stopIfTrue="1">
      <formula>OR($B6=TODAY(),$B6=TODAY()-1)</formula>
    </cfRule>
  </conditionalFormatting>
  <conditionalFormatting sqref="G15:G21 G10:G13 G6 I7:M8 H17">
    <cfRule type="expression" dxfId="550" priority="103" stopIfTrue="1">
      <formula>OR($B6=TODAY(),$B6=TODAY()-1)</formula>
    </cfRule>
  </conditionalFormatting>
  <conditionalFormatting sqref="D6:F7 G6:L21">
    <cfRule type="expression" dxfId="549" priority="102" stopIfTrue="1">
      <formula>OR($B6=TODAY(),$B6=TODAY()-1)</formula>
    </cfRule>
  </conditionalFormatting>
  <conditionalFormatting sqref="G15:G21 G10:G13 G6 I7:M8 H17">
    <cfRule type="expression" dxfId="548" priority="101" stopIfTrue="1">
      <formula>OR($B6=TODAY(),$B6=TODAY()-1)</formula>
    </cfRule>
  </conditionalFormatting>
  <conditionalFormatting sqref="D6:F7 G6:L21">
    <cfRule type="expression" dxfId="547" priority="100" stopIfTrue="1">
      <formula>OR($B6=TODAY(),$B6=TODAY()-1)</formula>
    </cfRule>
  </conditionalFormatting>
  <conditionalFormatting sqref="G15:G21 G10:G13 G6 I7:M8 H17">
    <cfRule type="expression" dxfId="546" priority="99" stopIfTrue="1">
      <formula>OR($B6=TODAY(),$B6=TODAY()-1)</formula>
    </cfRule>
  </conditionalFormatting>
  <conditionalFormatting sqref="D6:F7 G6:L21">
    <cfRule type="expression" dxfId="545" priority="98" stopIfTrue="1">
      <formula>OR($B6=TODAY(),$B6=TODAY()-1)</formula>
    </cfRule>
  </conditionalFormatting>
  <conditionalFormatting sqref="G15:G21 G10:G13 G6 I7:M8 H17">
    <cfRule type="expression" dxfId="544" priority="97" stopIfTrue="1">
      <formula>OR($B6=TODAY(),$B6=TODAY()-1)</formula>
    </cfRule>
  </conditionalFormatting>
  <conditionalFormatting sqref="D6:F7 G6:L21">
    <cfRule type="expression" dxfId="543" priority="96" stopIfTrue="1">
      <formula>OR($B6=TODAY(),$B6=TODAY()-1)</formula>
    </cfRule>
  </conditionalFormatting>
  <conditionalFormatting sqref="G15:G21 G10:G13 G6 I7:M8 H17">
    <cfRule type="expression" dxfId="542" priority="95" stopIfTrue="1">
      <formula>OR($B6=TODAY(),$B6=TODAY()-1)</formula>
    </cfRule>
  </conditionalFormatting>
  <conditionalFormatting sqref="D6:F7 G6:L21">
    <cfRule type="expression" dxfId="541" priority="94" stopIfTrue="1">
      <formula>OR($B6=TODAY(),$B6=TODAY()-1)</formula>
    </cfRule>
  </conditionalFormatting>
  <conditionalFormatting sqref="G15:G21 G10:G13 G6 I7:M8 H17">
    <cfRule type="expression" dxfId="540" priority="93" stopIfTrue="1">
      <formula>OR($B6=TODAY(),$B6=TODAY()-1)</formula>
    </cfRule>
  </conditionalFormatting>
  <conditionalFormatting sqref="D6:F7 G6:L21">
    <cfRule type="expression" dxfId="539" priority="92" stopIfTrue="1">
      <formula>OR($B6=TODAY(),$B6=TODAY()-1)</formula>
    </cfRule>
  </conditionalFormatting>
  <conditionalFormatting sqref="D6:F7 G6:L21">
    <cfRule type="expression" dxfId="538" priority="91" stopIfTrue="1">
      <formula>OR($B6=TODAY(),$B6=TODAY()-1)</formula>
    </cfRule>
  </conditionalFormatting>
  <conditionalFormatting sqref="G15:G21 G10:G13 G6 I7:M8 H17">
    <cfRule type="expression" dxfId="537" priority="90" stopIfTrue="1">
      <formula>OR($B6=TODAY(),$B6=TODAY()-1)</formula>
    </cfRule>
  </conditionalFormatting>
  <conditionalFormatting sqref="D6:F7 G6:L21">
    <cfRule type="expression" dxfId="536" priority="89" stopIfTrue="1">
      <formula>OR($B6=TODAY(),$B6=TODAY()-1)</formula>
    </cfRule>
  </conditionalFormatting>
  <conditionalFormatting sqref="G15:G21 G10:G13 G6 I7:M8 H17">
    <cfRule type="expression" dxfId="535" priority="88" stopIfTrue="1">
      <formula>OR($B6=TODAY(),$B6=TODAY()-1)</formula>
    </cfRule>
  </conditionalFormatting>
  <conditionalFormatting sqref="D6:F7">
    <cfRule type="expression" dxfId="534" priority="87" stopIfTrue="1">
      <formula>OR($B6=TODAY(),$B6=TODAY()-1)</formula>
    </cfRule>
  </conditionalFormatting>
  <conditionalFormatting sqref="G15:G21 G10:G13 G6 I7:M8 H17">
    <cfRule type="expression" dxfId="533" priority="86" stopIfTrue="1">
      <formula>OR($B6=TODAY(),$B6=TODAY()-1)</formula>
    </cfRule>
  </conditionalFormatting>
  <conditionalFormatting sqref="D29 D30:F31">
    <cfRule type="expression" dxfId="532" priority="85" stopIfTrue="1">
      <formula>OR($B29=TODAY(),$B29=TODAY()-1)</formula>
    </cfRule>
  </conditionalFormatting>
  <conditionalFormatting sqref="D29 D30:F31">
    <cfRule type="expression" dxfId="531" priority="84" stopIfTrue="1">
      <formula>OR($B29=TODAY(),$B29=TODAY()-1)</formula>
    </cfRule>
  </conditionalFormatting>
  <conditionalFormatting sqref="D29 D30:F31">
    <cfRule type="expression" dxfId="530" priority="83" stopIfTrue="1">
      <formula>OR($B29=TODAY(),$B29=TODAY()-1)</formula>
    </cfRule>
  </conditionalFormatting>
  <conditionalFormatting sqref="D29 D30:F31">
    <cfRule type="expression" dxfId="529" priority="82" stopIfTrue="1">
      <formula>OR($B29=TODAY(),$B29=TODAY()-1)</formula>
    </cfRule>
  </conditionalFormatting>
  <conditionalFormatting sqref="D29 D30:F31">
    <cfRule type="expression" dxfId="528" priority="81" stopIfTrue="1">
      <formula>OR($B29=TODAY(),$B29=TODAY()-1)</formula>
    </cfRule>
  </conditionalFormatting>
  <conditionalFormatting sqref="D29 D30:F31">
    <cfRule type="expression" dxfId="527" priority="80" stopIfTrue="1">
      <formula>OR($B29=TODAY(),$B29=TODAY()-1)</formula>
    </cfRule>
  </conditionalFormatting>
  <conditionalFormatting sqref="D29 D30:F31">
    <cfRule type="expression" dxfId="526" priority="79" stopIfTrue="1">
      <formula>OR($B29=TODAY(),$B29=TODAY()-1)</formula>
    </cfRule>
  </conditionalFormatting>
  <conditionalFormatting sqref="D29 D30:F31">
    <cfRule type="expression" dxfId="525" priority="78" stopIfTrue="1">
      <formula>OR($B29=TODAY(),$B29=TODAY()-1)</formula>
    </cfRule>
  </conditionalFormatting>
  <conditionalFormatting sqref="D29 D30:F31">
    <cfRule type="expression" dxfId="524" priority="77" stopIfTrue="1">
      <formula>OR($B29=TODAY(),$B29=TODAY()-1)</formula>
    </cfRule>
  </conditionalFormatting>
  <conditionalFormatting sqref="D29 D30:F31">
    <cfRule type="expression" dxfId="523" priority="76" stopIfTrue="1">
      <formula>OR($B29=TODAY(),$B29=TODAY()-1)</formula>
    </cfRule>
  </conditionalFormatting>
  <conditionalFormatting sqref="D29 D30:F31">
    <cfRule type="expression" dxfId="522" priority="75" stopIfTrue="1">
      <formula>OR($B29=TODAY(),$B29=TODAY()-1)</formula>
    </cfRule>
  </conditionalFormatting>
  <conditionalFormatting sqref="DP6:DQ37">
    <cfRule type="cellIs" dxfId="521" priority="73" stopIfTrue="1" operator="lessThanOrEqual">
      <formula>$D$2</formula>
    </cfRule>
    <cfRule type="cellIs" dxfId="520" priority="74" stopIfTrue="1" operator="greaterThan">
      <formula>$D$2</formula>
    </cfRule>
  </conditionalFormatting>
  <conditionalFormatting sqref="BZ6:BZ37 DH6:DH37 DJ6:DJ37 CS6:CS37">
    <cfRule type="cellIs" dxfId="519" priority="71" stopIfTrue="1" operator="lessThanOrEqual">
      <formula>#REF!</formula>
    </cfRule>
    <cfRule type="cellIs" dxfId="518" priority="72" stopIfTrue="1" operator="greaterThan">
      <formula>#REF!</formula>
    </cfRule>
  </conditionalFormatting>
  <conditionalFormatting sqref="DL6:DL37">
    <cfRule type="cellIs" dxfId="517" priority="69" stopIfTrue="1" operator="greaterThan">
      <formula>$D$3</formula>
    </cfRule>
    <cfRule type="cellIs" dxfId="516" priority="70" stopIfTrue="1" operator="lessThanOrEqual">
      <formula>$D$3</formula>
    </cfRule>
  </conditionalFormatting>
  <conditionalFormatting sqref="E20:F20">
    <cfRule type="expression" dxfId="515" priority="68" stopIfTrue="1">
      <formula>OR($B20=TODAY(),$B20=TODAY()-1)</formula>
    </cfRule>
  </conditionalFormatting>
  <conditionalFormatting sqref="E20:F20">
    <cfRule type="expression" dxfId="514" priority="67" stopIfTrue="1">
      <formula>OR($B20=TODAY(),$B20=TODAY()-1)</formula>
    </cfRule>
  </conditionalFormatting>
  <conditionalFormatting sqref="E20:F20">
    <cfRule type="expression" dxfId="513" priority="66" stopIfTrue="1">
      <formula>OR($B20=TODAY(),$B20=TODAY()-1)</formula>
    </cfRule>
  </conditionalFormatting>
  <conditionalFormatting sqref="E20:F20">
    <cfRule type="expression" dxfId="512" priority="65" stopIfTrue="1">
      <formula>OR($B20=TODAY(),$B20=TODAY()-1)</formula>
    </cfRule>
  </conditionalFormatting>
  <conditionalFormatting sqref="E20:F20">
    <cfRule type="expression" dxfId="511" priority="64" stopIfTrue="1">
      <formula>OR($B20=TODAY(),$B20=TODAY()-1)</formula>
    </cfRule>
  </conditionalFormatting>
  <conditionalFormatting sqref="E20:F20">
    <cfRule type="expression" dxfId="510" priority="63" stopIfTrue="1">
      <formula>OR($B20=TODAY(),$B20=TODAY()-1)</formula>
    </cfRule>
  </conditionalFormatting>
  <conditionalFormatting sqref="E20:F20">
    <cfRule type="expression" dxfId="509" priority="62" stopIfTrue="1">
      <formula>OR($B20=TODAY(),$B20=TODAY()-1)</formula>
    </cfRule>
  </conditionalFormatting>
  <conditionalFormatting sqref="E20:F20">
    <cfRule type="expression" dxfId="508" priority="61" stopIfTrue="1">
      <formula>OR($B20=TODAY(),$B20=TODAY()-1)</formula>
    </cfRule>
  </conditionalFormatting>
  <conditionalFormatting sqref="E20:F20">
    <cfRule type="expression" dxfId="507" priority="60" stopIfTrue="1">
      <formula>OR($B20=TODAY(),$B20=TODAY()-1)</formula>
    </cfRule>
  </conditionalFormatting>
  <conditionalFormatting sqref="E20:F20">
    <cfRule type="expression" dxfId="506" priority="59" stopIfTrue="1">
      <formula>OR($B20=TODAY(),$B20=TODAY()-1)</formula>
    </cfRule>
  </conditionalFormatting>
  <conditionalFormatting sqref="D34:F34">
    <cfRule type="expression" dxfId="505" priority="58" stopIfTrue="1">
      <formula>OR($B34=TODAY(),$B34=TODAY()-1)</formula>
    </cfRule>
  </conditionalFormatting>
  <conditionalFormatting sqref="D34:F34">
    <cfRule type="expression" dxfId="504" priority="57" stopIfTrue="1">
      <formula>OR($B34=TODAY(),$B34=TODAY()-1)</formula>
    </cfRule>
  </conditionalFormatting>
  <conditionalFormatting sqref="CH37">
    <cfRule type="cellIs" dxfId="503" priority="55" stopIfTrue="1" operator="lessThanOrEqual">
      <formula>#REF!</formula>
    </cfRule>
    <cfRule type="cellIs" dxfId="502" priority="56" stopIfTrue="1" operator="greaterThan">
      <formula>#REF!</formula>
    </cfRule>
  </conditionalFormatting>
  <conditionalFormatting sqref="CP6:CP37 CV6:CV37 CL6:CL37">
    <cfRule type="cellIs" dxfId="501" priority="53" operator="greaterThan">
      <formula>#REF!</formula>
    </cfRule>
    <cfRule type="cellIs" dxfId="500" priority="54" operator="lessThanOrEqual">
      <formula>#REF!</formula>
    </cfRule>
  </conditionalFormatting>
  <conditionalFormatting sqref="G14">
    <cfRule type="expression" dxfId="499" priority="52" stopIfTrue="1">
      <formula>OR($B15=TODAY(),$B15=TODAY()-1)</formula>
    </cfRule>
  </conditionalFormatting>
  <conditionalFormatting sqref="I16:M18">
    <cfRule type="expression" dxfId="498" priority="51" stopIfTrue="1">
      <formula>OR($B16=TODAY(),$B16=TODAY()-1)</formula>
    </cfRule>
  </conditionalFormatting>
  <conditionalFormatting sqref="I16:M18">
    <cfRule type="expression" dxfId="497" priority="50" stopIfTrue="1">
      <formula>OR($B16=TODAY(),$B16=TODAY()-1)</formula>
    </cfRule>
  </conditionalFormatting>
  <conditionalFormatting sqref="I16:M18">
    <cfRule type="expression" dxfId="496" priority="49" stopIfTrue="1">
      <formula>OR($B16=TODAY(),$B16=TODAY()-1)</formula>
    </cfRule>
  </conditionalFormatting>
  <conditionalFormatting sqref="I16:M18">
    <cfRule type="expression" dxfId="495" priority="48" stopIfTrue="1">
      <formula>OR($B16=TODAY(),$B16=TODAY()-1)</formula>
    </cfRule>
  </conditionalFormatting>
  <conditionalFormatting sqref="D16">
    <cfRule type="expression" dxfId="494" priority="47" stopIfTrue="1">
      <formula>OR($B16=TODAY(),$B16=TODAY()-1)</formula>
    </cfRule>
  </conditionalFormatting>
  <conditionalFormatting sqref="G6:L21">
    <cfRule type="expression" dxfId="493" priority="46" stopIfTrue="1">
      <formula>OR($B6=TODAY(),$B6=TODAY()-1)</formula>
    </cfRule>
  </conditionalFormatting>
  <conditionalFormatting sqref="G6:L21">
    <cfRule type="expression" dxfId="492" priority="45" stopIfTrue="1">
      <formula>OR($B6=TODAY(),$B6=TODAY()-1)</formula>
    </cfRule>
  </conditionalFormatting>
  <conditionalFormatting sqref="G6:L21">
    <cfRule type="expression" dxfId="491" priority="44" stopIfTrue="1">
      <formula>OR($B6=TODAY(),$B6=TODAY()-1)</formula>
    </cfRule>
  </conditionalFormatting>
  <conditionalFormatting sqref="G15">
    <cfRule type="expression" dxfId="490" priority="43" stopIfTrue="1">
      <formula>OR($B16=TODAY(),$B16=TODAY()-1)</formula>
    </cfRule>
  </conditionalFormatting>
  <conditionalFormatting sqref="D6:J6">
    <cfRule type="expression" dxfId="489" priority="42" stopIfTrue="1">
      <formula>OR($B6=TODAY(),$B6=TODAY()-1)</formula>
    </cfRule>
  </conditionalFormatting>
  <conditionalFormatting sqref="G6">
    <cfRule type="expression" dxfId="488" priority="41" stopIfTrue="1">
      <formula>OR($B6=TODAY(),$B6=TODAY()-1)</formula>
    </cfRule>
  </conditionalFormatting>
  <conditionalFormatting sqref="D6:F6">
    <cfRule type="expression" dxfId="487" priority="40" stopIfTrue="1">
      <formula>OR($B6=TODAY(),$B6=TODAY()-1)</formula>
    </cfRule>
  </conditionalFormatting>
  <conditionalFormatting sqref="D6:F6">
    <cfRule type="expression" dxfId="486" priority="39" stopIfTrue="1">
      <formula>OR($B6=TODAY(),$B6=TODAY()-1)</formula>
    </cfRule>
  </conditionalFormatting>
  <conditionalFormatting sqref="D6:J6">
    <cfRule type="expression" dxfId="485" priority="38" stopIfTrue="1">
      <formula>OR($B6=TODAY(),$B6=TODAY()-1)</formula>
    </cfRule>
  </conditionalFormatting>
  <conditionalFormatting sqref="G6">
    <cfRule type="expression" dxfId="484" priority="37" stopIfTrue="1">
      <formula>OR($B6=TODAY(),$B6=TODAY()-1)</formula>
    </cfRule>
  </conditionalFormatting>
  <conditionalFormatting sqref="D6:J6">
    <cfRule type="expression" dxfId="483" priority="36" stopIfTrue="1">
      <formula>OR($B6=TODAY(),$B6=TODAY()-1)</formula>
    </cfRule>
  </conditionalFormatting>
  <conditionalFormatting sqref="G6">
    <cfRule type="expression" dxfId="482" priority="35" stopIfTrue="1">
      <formula>OR($B6=TODAY(),$B6=TODAY()-1)</formula>
    </cfRule>
  </conditionalFormatting>
  <conditionalFormatting sqref="D6:J6">
    <cfRule type="expression" dxfId="481" priority="34" stopIfTrue="1">
      <formula>OR($B6=TODAY(),$B6=TODAY()-1)</formula>
    </cfRule>
  </conditionalFormatting>
  <conditionalFormatting sqref="G6">
    <cfRule type="expression" dxfId="480" priority="33" stopIfTrue="1">
      <formula>OR($B6=TODAY(),$B6=TODAY()-1)</formula>
    </cfRule>
  </conditionalFormatting>
  <conditionalFormatting sqref="D6:J6">
    <cfRule type="expression" dxfId="479" priority="32" stopIfTrue="1">
      <formula>OR($B6=TODAY(),$B6=TODAY()-1)</formula>
    </cfRule>
  </conditionalFormatting>
  <conditionalFormatting sqref="G6">
    <cfRule type="expression" dxfId="478" priority="31" stopIfTrue="1">
      <formula>OR($B6=TODAY(),$B6=TODAY()-1)</formula>
    </cfRule>
  </conditionalFormatting>
  <conditionalFormatting sqref="D6:J6">
    <cfRule type="expression" dxfId="477" priority="30" stopIfTrue="1">
      <formula>OR($B6=TODAY(),$B6=TODAY()-1)</formula>
    </cfRule>
  </conditionalFormatting>
  <conditionalFormatting sqref="G6">
    <cfRule type="expression" dxfId="476" priority="29" stopIfTrue="1">
      <formula>OR($B6=TODAY(),$B6=TODAY()-1)</formula>
    </cfRule>
  </conditionalFormatting>
  <conditionalFormatting sqref="D6:J6">
    <cfRule type="expression" dxfId="475" priority="28" stopIfTrue="1">
      <formula>OR($B6=TODAY(),$B6=TODAY()-1)</formula>
    </cfRule>
  </conditionalFormatting>
  <conditionalFormatting sqref="G6">
    <cfRule type="expression" dxfId="474" priority="27" stopIfTrue="1">
      <formula>OR($B6=TODAY(),$B6=TODAY()-1)</formula>
    </cfRule>
  </conditionalFormatting>
  <conditionalFormatting sqref="D6:J6">
    <cfRule type="expression" dxfId="473" priority="26" stopIfTrue="1">
      <formula>OR($B6=TODAY(),$B6=TODAY()-1)</formula>
    </cfRule>
  </conditionalFormatting>
  <conditionalFormatting sqref="D6:J6">
    <cfRule type="expression" dxfId="472" priority="25" stopIfTrue="1">
      <formula>OR($B6=TODAY(),$B6=TODAY()-1)</formula>
    </cfRule>
  </conditionalFormatting>
  <conditionalFormatting sqref="G6">
    <cfRule type="expression" dxfId="471" priority="24" stopIfTrue="1">
      <formula>OR($B6=TODAY(),$B6=TODAY()-1)</formula>
    </cfRule>
  </conditionalFormatting>
  <conditionalFormatting sqref="D6:J6">
    <cfRule type="expression" dxfId="470" priority="23" stopIfTrue="1">
      <formula>OR($B6=TODAY(),$B6=TODAY()-1)</formula>
    </cfRule>
  </conditionalFormatting>
  <conditionalFormatting sqref="G6">
    <cfRule type="expression" dxfId="469" priority="22" stopIfTrue="1">
      <formula>OR($B6=TODAY(),$B6=TODAY()-1)</formula>
    </cfRule>
  </conditionalFormatting>
  <conditionalFormatting sqref="D6:F6">
    <cfRule type="expression" dxfId="468" priority="21" stopIfTrue="1">
      <formula>OR($B6=TODAY(),$B6=TODAY()-1)</formula>
    </cfRule>
  </conditionalFormatting>
  <conditionalFormatting sqref="G6">
    <cfRule type="expression" dxfId="467" priority="20" stopIfTrue="1">
      <formula>OR($B6=TODAY(),$B6=TODAY()-1)</formula>
    </cfRule>
  </conditionalFormatting>
  <conditionalFormatting sqref="G6:J6">
    <cfRule type="expression" dxfId="466" priority="19" stopIfTrue="1">
      <formula>OR($B6=TODAY(),$B6=TODAY()-1)</formula>
    </cfRule>
  </conditionalFormatting>
  <conditionalFormatting sqref="G6:J6">
    <cfRule type="expression" dxfId="465" priority="18" stopIfTrue="1">
      <formula>OR($B6=TODAY(),$B6=TODAY()-1)</formula>
    </cfRule>
  </conditionalFormatting>
  <conditionalFormatting sqref="G6:J6">
    <cfRule type="expression" dxfId="464" priority="17" stopIfTrue="1">
      <formula>OR($B6=TODAY(),$B6=TODAY()-1)</formula>
    </cfRule>
  </conditionalFormatting>
  <conditionalFormatting sqref="K13">
    <cfRule type="expression" dxfId="463" priority="16" stopIfTrue="1">
      <formula>OR($B13=TODAY(),$B13=TODAY()-1)</formula>
    </cfRule>
  </conditionalFormatting>
  <conditionalFormatting sqref="K13">
    <cfRule type="expression" dxfId="462" priority="15" stopIfTrue="1">
      <formula>OR($B13=TODAY(),$B13=TODAY()-1)</formula>
    </cfRule>
  </conditionalFormatting>
  <conditionalFormatting sqref="K13">
    <cfRule type="expression" dxfId="461" priority="14" stopIfTrue="1">
      <formula>OR($B13=TODAY(),$B13=TODAY()-1)</formula>
    </cfRule>
  </conditionalFormatting>
  <conditionalFormatting sqref="K13">
    <cfRule type="expression" dxfId="460" priority="13" stopIfTrue="1">
      <formula>OR($B13=TODAY(),$B13=TODAY()-1)</formula>
    </cfRule>
  </conditionalFormatting>
  <conditionalFormatting sqref="K13">
    <cfRule type="expression" dxfId="459" priority="12" stopIfTrue="1">
      <formula>OR($B13=TODAY(),$B13=TODAY()-1)</formula>
    </cfRule>
  </conditionalFormatting>
  <conditionalFormatting sqref="K13">
    <cfRule type="expression" dxfId="458" priority="11" stopIfTrue="1">
      <formula>OR($B13=TODAY(),$B13=TODAY()-1)</formula>
    </cfRule>
  </conditionalFormatting>
  <conditionalFormatting sqref="K13">
    <cfRule type="expression" dxfId="457" priority="10" stopIfTrue="1">
      <formula>OR($B13=TODAY(),$B13=TODAY()-1)</formula>
    </cfRule>
  </conditionalFormatting>
  <conditionalFormatting sqref="K13">
    <cfRule type="expression" dxfId="456" priority="9" stopIfTrue="1">
      <formula>OR($B13=TODAY(),$B13=TODAY()-1)</formula>
    </cfRule>
  </conditionalFormatting>
  <conditionalFormatting sqref="K13">
    <cfRule type="expression" dxfId="455" priority="8" stopIfTrue="1">
      <formula>OR($B13=TODAY(),$B13=TODAY()-1)</formula>
    </cfRule>
  </conditionalFormatting>
  <conditionalFormatting sqref="K13">
    <cfRule type="expression" dxfId="454" priority="7" stopIfTrue="1">
      <formula>OR($B13=TODAY(),$B13=TODAY()-1)</formula>
    </cfRule>
  </conditionalFormatting>
  <conditionalFormatting sqref="K13">
    <cfRule type="expression" dxfId="453" priority="6" stopIfTrue="1">
      <formula>OR($B13=TODAY(),$B13=TODAY()-1)</formula>
    </cfRule>
  </conditionalFormatting>
  <conditionalFormatting sqref="K13">
    <cfRule type="expression" dxfId="452" priority="5" stopIfTrue="1">
      <formula>OR($B13=TODAY(),$B13=TODAY()-1)</formula>
    </cfRule>
  </conditionalFormatting>
  <conditionalFormatting sqref="K13">
    <cfRule type="expression" dxfId="451" priority="4" stopIfTrue="1">
      <formula>OR($B13=TODAY(),$B13=TODAY()-1)</formula>
    </cfRule>
  </conditionalFormatting>
  <conditionalFormatting sqref="K13">
    <cfRule type="expression" dxfId="450" priority="3" stopIfTrue="1">
      <formula>OR($B13=TODAY(),$B13=TODAY()-1)</formula>
    </cfRule>
  </conditionalFormatting>
  <conditionalFormatting sqref="K13">
    <cfRule type="expression" dxfId="449" priority="2" stopIfTrue="1">
      <formula>OR($B13=TODAY(),$B13=TODAY()-1)</formula>
    </cfRule>
  </conditionalFormatting>
  <conditionalFormatting sqref="K13">
    <cfRule type="expression" dxfId="448" priority="1" stopIfTrue="1">
      <formula>OR($B13=TODAY(),$B13=TODAY()-1)</formula>
    </cfRule>
  </conditionalFormatting>
  <hyperlinks>
    <hyperlink ref="BA5" r:id="rId3" xr:uid="{00000000-0004-0000-1B00-000000000000}"/>
  </hyperlinks>
  <pageMargins left="0.7" right="0.7" top="0.75" bottom="0.75" header="0.3" footer="0.3"/>
  <pageSetup orientation="portrait" r:id="rId4"/>
  <legacy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GL89"/>
  <sheetViews>
    <sheetView showGridLines="0" zoomScale="80" zoomScaleNormal="80" workbookViewId="0">
      <pane xSplit="3" ySplit="5" topLeftCell="D27" activePane="bottomRight" state="frozen"/>
      <selection activeCell="FD6" sqref="FD6:FD36"/>
      <selection pane="topRight" activeCell="FD6" sqref="FD6:FD36"/>
      <selection pane="bottomLeft" activeCell="FD6" sqref="FD6:FD36"/>
      <selection pane="bottomRight" activeCell="FD6" sqref="FD6:FD36"/>
    </sheetView>
  </sheetViews>
  <sheetFormatPr defaultRowHeight="15" outlineLevelCol="2"/>
  <cols>
    <col min="1" max="1" width="0.7109375" style="64" customWidth="1"/>
    <col min="2" max="2" width="6.5703125" style="64" customWidth="1"/>
    <col min="3" max="3" width="6.85546875" style="64" bestFit="1" customWidth="1"/>
    <col min="4" max="4" width="13.85546875" style="64" customWidth="1" outlineLevel="1"/>
    <col min="5" max="5" width="12" style="64" customWidth="1" outlineLevel="1"/>
    <col min="6" max="6" width="10" style="64" customWidth="1" outlineLevel="1"/>
    <col min="7" max="7" width="9.85546875" style="64" customWidth="1" outlineLevel="1"/>
    <col min="8" max="8" width="10.42578125" style="64" customWidth="1" outlineLevel="1"/>
    <col min="9" max="9" width="10.7109375" style="64" customWidth="1" outlineLevel="1"/>
    <col min="10" max="11" width="9.28515625" style="64" customWidth="1" outlineLevel="1"/>
    <col min="12" max="12" width="10.5703125" style="64" customWidth="1" outlineLevel="1"/>
    <col min="13" max="13" width="10.85546875" style="64" customWidth="1" outlineLevel="1"/>
    <col min="14" max="14" width="14.28515625" style="64" customWidth="1" outlineLevel="1"/>
    <col min="15" max="15" width="11" style="64" customWidth="1"/>
    <col min="16" max="16" width="11.85546875" style="64" customWidth="1" outlineLevel="1"/>
    <col min="17" max="17" width="1.42578125" style="64" customWidth="1"/>
    <col min="18" max="18" width="12.28515625" style="64" customWidth="1" outlineLevel="2"/>
    <col min="19" max="19" width="12.85546875" style="64" customWidth="1" outlineLevel="2"/>
    <col min="20" max="20" width="12.5703125" style="64" customWidth="1" outlineLevel="2"/>
    <col min="21" max="21" width="14.140625" style="64" customWidth="1" outlineLevel="2"/>
    <col min="22" max="22" width="9.42578125" style="64" customWidth="1" outlineLevel="2"/>
    <col min="23" max="23" width="10.7109375" style="64" customWidth="1" outlineLevel="2"/>
    <col min="24" max="24" width="11.5703125" style="64" customWidth="1" outlineLevel="2"/>
    <col min="25" max="26" width="10.7109375" style="64" customWidth="1" outlineLevel="2"/>
    <col min="27" max="27" width="11" style="64" customWidth="1" outlineLevel="1"/>
    <col min="28" max="29" width="12" style="64" customWidth="1" outlineLevel="2"/>
    <col min="30" max="31" width="10.85546875" style="64" customWidth="1" outlineLevel="1"/>
    <col min="32" max="32" width="12" style="64" customWidth="1" outlineLevel="2"/>
    <col min="33" max="33" width="8.140625" style="64" customWidth="1" outlineLevel="2"/>
    <col min="34" max="34" width="9.5703125" style="64" customWidth="1" outlineLevel="1"/>
    <col min="35" max="35" width="10.85546875" style="64" customWidth="1" outlineLevel="1"/>
    <col min="36" max="36" width="12" style="64" customWidth="1" outlineLevel="2"/>
    <col min="37" max="37" width="8.140625" style="64" customWidth="1" outlineLevel="2"/>
    <col min="38" max="38" width="9.5703125" style="64" customWidth="1" outlineLevel="1"/>
    <col min="39" max="39" width="10.85546875" style="64" customWidth="1" outlineLevel="1"/>
    <col min="40" max="40" width="9.5703125" style="64" customWidth="1" outlineLevel="2"/>
    <col min="41" max="41" width="9.5703125" style="64" customWidth="1" outlineLevel="1"/>
    <col min="42" max="42" width="9.5703125" style="64" customWidth="1" outlineLevel="2"/>
    <col min="43" max="43" width="9.5703125" style="64" customWidth="1" outlineLevel="1"/>
    <col min="44" max="44" width="11.28515625" style="64" customWidth="1" outlineLevel="2"/>
    <col min="45" max="45" width="9.140625" style="64" customWidth="1" outlineLevel="1"/>
    <col min="46" max="46" width="13.5703125" style="64" customWidth="1" outlineLevel="1"/>
    <col min="47" max="47" width="11.28515625" style="64" customWidth="1" outlineLevel="2"/>
    <col min="48" max="48" width="9.5703125" style="64" customWidth="1" outlineLevel="1"/>
    <col min="49" max="49" width="11.28515625" style="64" customWidth="1" outlineLevel="2"/>
    <col min="50" max="51" width="9.5703125" style="64" customWidth="1" outlineLevel="1"/>
    <col min="52" max="52" width="13.85546875" style="64" customWidth="1" outlineLevel="2"/>
    <col min="53" max="53" width="10.28515625" style="64" customWidth="1" outlineLevel="2"/>
    <col min="54" max="54" width="13.85546875" style="64" customWidth="1" outlineLevel="2"/>
    <col min="55" max="55" width="14.85546875" style="64" customWidth="1" outlineLevel="2"/>
    <col min="56" max="56" width="15.28515625" style="64" customWidth="1" outlineLevel="2"/>
    <col min="57" max="58" width="13.7109375" style="64" customWidth="1" outlineLevel="2"/>
    <col min="59" max="60" width="9.5703125" style="64" customWidth="1" outlineLevel="1"/>
    <col min="61" max="61" width="17" style="64" customWidth="1" outlineLevel="1"/>
    <col min="62" max="62" width="19.140625" style="64" customWidth="1" outlineLevel="1"/>
    <col min="63" max="63" width="2.28515625" style="261" customWidth="1"/>
    <col min="64" max="64" width="19.28515625" style="64" customWidth="1"/>
    <col min="65" max="65" width="14.28515625" style="64" customWidth="1"/>
    <col min="66" max="66" width="0.85546875" style="64" customWidth="1"/>
    <col min="67" max="67" width="12.28515625" style="64" customWidth="1" outlineLevel="2"/>
    <col min="68" max="68" width="12.42578125" style="64" customWidth="1" outlineLevel="2"/>
    <col min="69" max="69" width="12.5703125" style="64" customWidth="1" outlineLevel="2"/>
    <col min="70" max="72" width="9.42578125" style="64" customWidth="1" outlineLevel="2"/>
    <col min="73" max="73" width="21.42578125" style="64" customWidth="1" outlineLevel="1"/>
    <col min="74" max="74" width="12.28515625" style="64" customWidth="1" outlineLevel="2"/>
    <col min="75" max="75" width="12.42578125" style="64" customWidth="1" outlineLevel="2"/>
    <col min="76" max="76" width="12.5703125" style="64" customWidth="1" outlineLevel="2"/>
    <col min="77" max="77" width="9.42578125" style="64" customWidth="1" outlineLevel="2"/>
    <col min="78" max="78" width="13.7109375" style="64" customWidth="1" outlineLevel="1"/>
    <col min="79" max="79" width="0.42578125" style="64" customWidth="1" outlineLevel="1"/>
    <col min="80" max="80" width="11.7109375" style="64" customWidth="1" outlineLevel="2"/>
    <col min="81" max="81" width="9.7109375" style="64" customWidth="1" outlineLevel="1"/>
    <col min="82" max="82" width="11.42578125" style="64" customWidth="1" outlineLevel="1"/>
    <col min="83" max="83" width="12.85546875" style="64" customWidth="1" outlineLevel="1"/>
    <col min="84" max="84" width="13.7109375" style="64" customWidth="1" outlineLevel="2"/>
    <col min="85" max="85" width="11" style="64" customWidth="1" outlineLevel="2"/>
    <col min="86" max="86" width="8.7109375" style="64" customWidth="1" outlineLevel="1"/>
    <col min="87" max="87" width="0.140625" style="64" customWidth="1" outlineLevel="1"/>
    <col min="88" max="89" width="11.7109375" style="64" customWidth="1" outlineLevel="2"/>
    <col min="90" max="90" width="10.28515625" style="64" customWidth="1" outlineLevel="1"/>
    <col min="91" max="91" width="0.5703125" style="64" customWidth="1" outlineLevel="1"/>
    <col min="92" max="93" width="11.7109375" style="64" customWidth="1" outlineLevel="2"/>
    <col min="94" max="94" width="8.7109375" style="64" customWidth="1" outlineLevel="1"/>
    <col min="95" max="95" width="0.28515625" style="64" customWidth="1" outlineLevel="1"/>
    <col min="96" max="96" width="14.42578125" style="64" customWidth="1" outlineLevel="2"/>
    <col min="97" max="97" width="6.7109375" style="64" customWidth="1" outlineLevel="1"/>
    <col min="98" max="98" width="0.28515625" style="64" customWidth="1" outlineLevel="1"/>
    <col min="99" max="99" width="11" style="64" customWidth="1" outlineLevel="2"/>
    <col min="100" max="100" width="7.28515625" style="64" customWidth="1" outlineLevel="1"/>
    <col min="101" max="101" width="0.42578125" style="64" customWidth="1" outlineLevel="1"/>
    <col min="102" max="104" width="8.140625" style="64" customWidth="1" outlineLevel="1"/>
    <col min="105" max="105" width="8.42578125" style="64" customWidth="1" outlineLevel="1"/>
    <col min="106" max="106" width="10.42578125" style="64" customWidth="1" outlineLevel="2"/>
    <col min="107" max="107" width="9.7109375" style="64" customWidth="1" outlineLevel="2"/>
    <col min="108" max="108" width="18.28515625" style="64" customWidth="1" outlineLevel="2"/>
    <col min="109" max="109" width="14.85546875" style="64" customWidth="1" outlineLevel="2"/>
    <col min="110" max="110" width="17" style="64" customWidth="1" outlineLevel="2"/>
    <col min="111" max="111" width="14.85546875" style="64" customWidth="1" outlineLevel="2"/>
    <col min="112" max="112" width="11" style="64" customWidth="1" outlineLevel="1"/>
    <col min="113" max="113" width="0.28515625" style="64" customWidth="1" outlineLevel="1"/>
    <col min="114" max="114" width="9.85546875" style="64" customWidth="1" outlineLevel="1"/>
    <col min="115" max="115" width="0.42578125" style="64" customWidth="1" outlineLevel="1"/>
    <col min="116" max="116" width="9.85546875" style="64" customWidth="1" outlineLevel="1"/>
    <col min="117" max="117" width="0.42578125" style="64" customWidth="1" outlineLevel="1"/>
    <col min="118" max="118" width="13.140625" style="64" customWidth="1" outlineLevel="2"/>
    <col min="119" max="119" width="1.7109375" style="261" customWidth="1"/>
    <col min="120" max="120" width="16.42578125" style="64" customWidth="1"/>
    <col min="121" max="121" width="15.140625" style="64" customWidth="1"/>
    <col min="122" max="122" width="3.42578125" style="64" customWidth="1"/>
    <col min="123" max="123" width="8.42578125" style="64" customWidth="1"/>
    <col min="124" max="124" width="9.140625" style="64" customWidth="1"/>
    <col min="125" max="131" width="15.7109375" style="219" customWidth="1" outlineLevel="1"/>
    <col min="132" max="132" width="15.7109375" style="471" customWidth="1" outlineLevel="1"/>
    <col min="133" max="139" width="15.7109375" style="219" customWidth="1" outlineLevel="1"/>
    <col min="140" max="141" width="15.7109375" style="471" customWidth="1" outlineLevel="1"/>
    <col min="142" max="143" width="15.7109375" style="219" customWidth="1" outlineLevel="1"/>
    <col min="144" max="144" width="15.7109375" style="471" customWidth="1" outlineLevel="1"/>
    <col min="145" max="145" width="15.7109375" style="219" customWidth="1" outlineLevel="1"/>
    <col min="146" max="153" width="15.7109375" style="471" customWidth="1" outlineLevel="1"/>
    <col min="154" max="159" width="15.7109375" style="219" customWidth="1" outlineLevel="1"/>
    <col min="160" max="160" width="20.5703125" style="471" customWidth="1"/>
    <col min="161" max="162" width="11.85546875" style="471" customWidth="1" outlineLevel="1"/>
    <col min="163" max="169" width="10.7109375" style="471" customWidth="1" outlineLevel="1"/>
    <col min="170" max="170" width="15.5703125" style="471" customWidth="1"/>
    <col min="171" max="171" width="21.85546875" style="471" customWidth="1"/>
    <col min="172" max="172" width="77.140625" style="64" customWidth="1"/>
    <col min="173" max="173" width="9.140625" style="9"/>
    <col min="174" max="178" width="9.140625" style="9" hidden="1" customWidth="1"/>
    <col min="179" max="179" width="5.85546875" style="9" customWidth="1"/>
    <col min="180" max="181" width="9.140625" style="9"/>
    <col min="182" max="182" width="12.28515625" style="9" customWidth="1"/>
    <col min="183" max="183" width="12" style="64" customWidth="1"/>
    <col min="184" max="184" width="9.28515625" style="64" bestFit="1" customWidth="1"/>
    <col min="185" max="185" width="9.140625" style="64"/>
    <col min="186" max="187" width="13.5703125" style="64" customWidth="1"/>
    <col min="188" max="188" width="9.7109375" style="64" bestFit="1" customWidth="1"/>
    <col min="189" max="189" width="9.140625" style="64"/>
    <col min="190" max="190" width="10.85546875" style="64" customWidth="1"/>
    <col min="191" max="191" width="15" style="64" customWidth="1"/>
    <col min="192" max="192" width="13.7109375" style="64" customWidth="1"/>
    <col min="193" max="194" width="9.140625" style="10"/>
    <col min="195" max="16384" width="9.140625" style="64"/>
  </cols>
  <sheetData>
    <row r="1" spans="1:194" s="4" customFormat="1">
      <c r="A1" s="1"/>
      <c r="B1" s="2"/>
      <c r="C1" s="1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AA1" s="5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5"/>
      <c r="AS1" s="5"/>
      <c r="AT1" s="5"/>
      <c r="AU1" s="5"/>
      <c r="AV1" s="6"/>
      <c r="AW1" s="5"/>
      <c r="AX1" s="6"/>
      <c r="AY1" s="6"/>
      <c r="AZ1" s="374"/>
      <c r="BA1" s="6"/>
      <c r="BB1" s="374"/>
      <c r="BD1" s="5"/>
      <c r="BE1" s="5"/>
      <c r="BF1" s="5"/>
      <c r="BG1" s="6"/>
      <c r="BH1" s="462"/>
      <c r="BJ1" s="4" t="s">
        <v>299</v>
      </c>
      <c r="BK1" s="7"/>
      <c r="CF1" s="22"/>
      <c r="CK1" s="22"/>
      <c r="CO1" s="22"/>
      <c r="DO1" s="7"/>
      <c r="DU1" s="8"/>
      <c r="DV1" s="8"/>
      <c r="DW1" s="8"/>
      <c r="DX1" s="8"/>
      <c r="DY1" s="8"/>
      <c r="DZ1" s="8"/>
      <c r="EA1" s="8"/>
      <c r="EB1" s="3"/>
      <c r="EC1" s="8"/>
      <c r="ED1" s="8"/>
      <c r="EE1" s="8"/>
      <c r="EF1" s="8"/>
      <c r="EG1" s="8"/>
      <c r="EH1" s="8"/>
      <c r="EI1" s="8"/>
      <c r="EJ1" s="3"/>
      <c r="EK1" s="3"/>
      <c r="EL1" s="8"/>
      <c r="EM1" s="8"/>
      <c r="EN1" s="3"/>
      <c r="EO1" s="8"/>
      <c r="EP1" s="3"/>
      <c r="EQ1" s="3"/>
      <c r="ER1" s="3"/>
      <c r="ES1" s="3"/>
      <c r="ET1" s="3"/>
      <c r="EU1" s="3"/>
      <c r="EV1" s="3"/>
      <c r="EW1" s="3"/>
      <c r="EX1" s="8"/>
      <c r="EY1" s="8"/>
      <c r="EZ1" s="8"/>
      <c r="FA1" s="8"/>
      <c r="FB1" s="8"/>
      <c r="FC1" s="8"/>
      <c r="FD1" s="3"/>
      <c r="FE1" s="3"/>
      <c r="FF1" s="3"/>
      <c r="FG1" s="3"/>
      <c r="FH1" s="3"/>
      <c r="FI1" s="3"/>
      <c r="FJ1" s="3"/>
      <c r="FK1" s="3"/>
      <c r="FL1" s="3"/>
      <c r="FM1" s="3"/>
      <c r="FN1" s="339"/>
      <c r="FO1" s="339"/>
      <c r="FP1" s="453"/>
      <c r="FQ1" s="23"/>
      <c r="FR1" s="23"/>
      <c r="FS1" s="23"/>
      <c r="FT1" s="23"/>
      <c r="FU1" s="23"/>
      <c r="FV1" s="23"/>
      <c r="FW1" s="23"/>
      <c r="FX1" s="9"/>
      <c r="FY1" s="9"/>
      <c r="FZ1" s="9"/>
      <c r="GK1" s="10"/>
      <c r="GL1" s="10"/>
    </row>
    <row r="2" spans="1:194" s="4" customFormat="1" ht="13.5" customHeight="1">
      <c r="B2" s="11"/>
      <c r="C2" s="12"/>
      <c r="D2" s="490">
        <v>3.17</v>
      </c>
      <c r="E2" s="14"/>
      <c r="F2" s="14"/>
      <c r="G2" s="3"/>
      <c r="H2" s="12"/>
      <c r="I2" s="12"/>
      <c r="J2" s="12"/>
      <c r="K2" s="336"/>
      <c r="L2" s="12"/>
      <c r="M2" s="12"/>
      <c r="N2" s="12"/>
      <c r="R2" s="15"/>
      <c r="S2" s="15"/>
      <c r="T2" s="15"/>
      <c r="U2" s="15"/>
      <c r="V2" s="16"/>
      <c r="W2" s="16"/>
      <c r="X2" s="16"/>
      <c r="Y2" s="16"/>
      <c r="Z2" s="16"/>
      <c r="AA2" s="17"/>
      <c r="AB2" s="17"/>
      <c r="AC2" s="17"/>
      <c r="AD2" s="17"/>
      <c r="AE2" s="17"/>
      <c r="AF2" s="5"/>
      <c r="AG2" s="5"/>
      <c r="AH2" s="5"/>
      <c r="AI2" s="17"/>
      <c r="AJ2" s="5"/>
      <c r="AK2" s="5"/>
      <c r="AL2" s="5"/>
      <c r="AM2" s="17"/>
      <c r="AN2" s="5"/>
      <c r="AO2" s="5"/>
      <c r="AP2" s="5"/>
      <c r="AQ2" s="5"/>
      <c r="AR2" s="17"/>
      <c r="AS2" s="17"/>
      <c r="AT2" s="17"/>
      <c r="AU2" s="17"/>
      <c r="AV2" s="5"/>
      <c r="AW2" s="17"/>
      <c r="AX2" s="5"/>
      <c r="AY2" s="5"/>
      <c r="AZ2" s="5"/>
      <c r="BA2" s="5"/>
      <c r="BB2" s="5"/>
      <c r="BC2" s="6"/>
      <c r="BD2" s="18"/>
      <c r="BE2" s="18"/>
      <c r="BF2" s="18"/>
      <c r="BG2" s="5"/>
      <c r="BH2" s="5"/>
      <c r="BI2" s="19"/>
      <c r="BJ2" s="19"/>
      <c r="BK2" s="20"/>
      <c r="BL2" s="19"/>
      <c r="BM2" s="19"/>
      <c r="BN2" s="19"/>
      <c r="CG2" s="21"/>
      <c r="CK2" s="22"/>
      <c r="CO2" s="22"/>
      <c r="CU2" s="22"/>
      <c r="DO2" s="7"/>
      <c r="DU2" s="8" t="s">
        <v>3</v>
      </c>
      <c r="DV2" s="8"/>
      <c r="DW2" s="8"/>
      <c r="DX2" s="8"/>
      <c r="DY2" s="8"/>
      <c r="DZ2" s="8"/>
      <c r="EA2" s="3"/>
      <c r="EB2" s="3"/>
      <c r="EC2" s="8"/>
      <c r="ED2" s="3"/>
      <c r="EE2" s="8"/>
      <c r="EF2" s="8"/>
      <c r="EG2" s="8"/>
      <c r="EH2" s="8"/>
      <c r="EI2" s="8"/>
      <c r="EJ2" s="9"/>
      <c r="EK2" s="9"/>
      <c r="EL2" s="8"/>
      <c r="EM2" s="8"/>
      <c r="EN2" s="9"/>
      <c r="EO2" s="8"/>
      <c r="EP2" s="104"/>
      <c r="EQ2" s="246"/>
      <c r="ER2" s="246"/>
      <c r="ES2" s="246"/>
      <c r="ET2" s="246"/>
      <c r="EU2" s="9"/>
      <c r="EV2" s="9"/>
      <c r="EW2" s="3"/>
      <c r="EX2" s="8"/>
      <c r="EY2" s="8"/>
      <c r="EZ2" s="8"/>
      <c r="FC2" s="9"/>
      <c r="FD2" s="246"/>
      <c r="FE2" s="9"/>
      <c r="FF2" s="9"/>
      <c r="FG2" s="246"/>
      <c r="FH2" s="9"/>
      <c r="FI2" s="9"/>
      <c r="FJ2" s="9"/>
      <c r="FK2" s="246"/>
      <c r="FL2" s="246"/>
      <c r="FM2" s="9"/>
      <c r="FN2" s="23"/>
      <c r="FO2" s="23"/>
      <c r="FP2" s="23"/>
      <c r="FQ2" s="23"/>
      <c r="FR2" s="23"/>
      <c r="FS2" s="16"/>
      <c r="FT2" s="16"/>
      <c r="FU2" s="16"/>
      <c r="FV2" s="16"/>
      <c r="FW2" s="16"/>
      <c r="GK2" s="10"/>
      <c r="GL2" s="10"/>
    </row>
    <row r="3" spans="1:194" s="16" customFormat="1" ht="30" customHeight="1">
      <c r="D3" s="337"/>
      <c r="E3" s="338"/>
      <c r="F3" s="338"/>
      <c r="G3" s="28"/>
      <c r="H3" s="339"/>
      <c r="I3" s="339"/>
      <c r="J3" s="339"/>
      <c r="K3" s="339"/>
      <c r="L3" s="339"/>
      <c r="M3" s="339"/>
      <c r="N3" s="339"/>
      <c r="P3" s="340"/>
      <c r="R3" s="27" t="s">
        <v>211</v>
      </c>
      <c r="S3" s="27" t="s">
        <v>212</v>
      </c>
      <c r="T3" s="27" t="s">
        <v>213</v>
      </c>
      <c r="U3" s="27"/>
      <c r="V3" s="27" t="s">
        <v>214</v>
      </c>
      <c r="W3" s="27"/>
      <c r="X3" s="27">
        <v>1402</v>
      </c>
      <c r="Y3" s="27" t="s">
        <v>215</v>
      </c>
      <c r="Z3" s="27" t="s">
        <v>216</v>
      </c>
      <c r="AA3" s="27" t="s">
        <v>217</v>
      </c>
      <c r="AB3" s="27" t="s">
        <v>218</v>
      </c>
      <c r="AC3" s="27" t="s">
        <v>219</v>
      </c>
      <c r="AD3" s="28" t="s">
        <v>220</v>
      </c>
      <c r="AE3" s="28" t="s">
        <v>221</v>
      </c>
      <c r="AF3" s="27" t="s">
        <v>222</v>
      </c>
      <c r="AG3" s="27" t="s">
        <v>223</v>
      </c>
      <c r="AH3" s="28" t="s">
        <v>224</v>
      </c>
      <c r="AI3" s="28" t="s">
        <v>225</v>
      </c>
      <c r="AJ3" s="27" t="s">
        <v>226</v>
      </c>
      <c r="AK3" s="27" t="s">
        <v>227</v>
      </c>
      <c r="AL3" s="27" t="s">
        <v>228</v>
      </c>
      <c r="AM3" s="28" t="s">
        <v>229</v>
      </c>
      <c r="AN3" s="27" t="s">
        <v>230</v>
      </c>
      <c r="AO3" s="27" t="s">
        <v>231</v>
      </c>
      <c r="AP3" s="27" t="s">
        <v>232</v>
      </c>
      <c r="AQ3" s="27" t="s">
        <v>233</v>
      </c>
      <c r="AR3" s="27" t="s">
        <v>234</v>
      </c>
      <c r="AS3" s="27" t="s">
        <v>235</v>
      </c>
      <c r="AT3" s="27" t="s">
        <v>236</v>
      </c>
      <c r="AU3" s="27" t="s">
        <v>237</v>
      </c>
      <c r="AV3" s="27">
        <v>32</v>
      </c>
      <c r="AW3" s="27" t="s">
        <v>238</v>
      </c>
      <c r="AX3" s="27" t="s">
        <v>239</v>
      </c>
      <c r="AY3" s="341" t="s">
        <v>199</v>
      </c>
      <c r="AZ3" s="27" t="s">
        <v>240</v>
      </c>
      <c r="BA3" s="27" t="s">
        <v>241</v>
      </c>
      <c r="BB3" s="27" t="s">
        <v>242</v>
      </c>
      <c r="BC3" s="29" t="s">
        <v>243</v>
      </c>
      <c r="BD3" s="27"/>
      <c r="BE3" s="27"/>
      <c r="BF3" s="27"/>
      <c r="BG3" s="27" t="s">
        <v>298</v>
      </c>
      <c r="BH3" s="27"/>
      <c r="BI3" s="342" t="s">
        <v>244</v>
      </c>
      <c r="BJ3" s="342" t="s">
        <v>245</v>
      </c>
      <c r="BK3" s="343"/>
      <c r="BL3" s="342">
        <v>6932</v>
      </c>
      <c r="BM3" s="342"/>
      <c r="BN3" s="342"/>
      <c r="BO3" s="459" t="s">
        <v>4</v>
      </c>
      <c r="BY3" s="375"/>
      <c r="CC3" s="16">
        <f>COLUMN(CC2)-3</f>
        <v>78</v>
      </c>
      <c r="CD3" s="16">
        <f>COLUMN(CD2)-3</f>
        <v>79</v>
      </c>
      <c r="CE3" s="16">
        <f>COLUMN(CE2)-3</f>
        <v>80</v>
      </c>
      <c r="CF3" s="16">
        <f>COLUMN(CF2)-3</f>
        <v>81</v>
      </c>
      <c r="CG3" s="16">
        <f>COLUMN(CG2)-2</f>
        <v>83</v>
      </c>
      <c r="CH3" s="16">
        <f>COLUMN(CH2)-2</f>
        <v>84</v>
      </c>
      <c r="CI3" s="16">
        <f t="shared" ref="CI3:CX3" si="0">COLUMN(CI2)-2</f>
        <v>85</v>
      </c>
      <c r="CJ3" s="16">
        <f t="shared" si="0"/>
        <v>86</v>
      </c>
      <c r="CK3" s="16">
        <f t="shared" si="0"/>
        <v>87</v>
      </c>
      <c r="CL3" s="16">
        <f t="shared" si="0"/>
        <v>88</v>
      </c>
      <c r="CM3" s="16">
        <f t="shared" si="0"/>
        <v>89</v>
      </c>
      <c r="CN3" s="16">
        <f t="shared" si="0"/>
        <v>90</v>
      </c>
      <c r="CO3" s="16">
        <f t="shared" si="0"/>
        <v>91</v>
      </c>
      <c r="CP3" s="16">
        <f t="shared" si="0"/>
        <v>92</v>
      </c>
      <c r="CQ3" s="16">
        <f t="shared" si="0"/>
        <v>93</v>
      </c>
      <c r="CR3" s="16">
        <f t="shared" si="0"/>
        <v>94</v>
      </c>
      <c r="CS3" s="16">
        <f t="shared" si="0"/>
        <v>95</v>
      </c>
      <c r="CT3" s="16">
        <f t="shared" si="0"/>
        <v>96</v>
      </c>
      <c r="CU3" s="16">
        <f t="shared" si="0"/>
        <v>97</v>
      </c>
      <c r="CV3" s="16">
        <f t="shared" si="0"/>
        <v>98</v>
      </c>
      <c r="CW3" s="16">
        <f t="shared" si="0"/>
        <v>99</v>
      </c>
      <c r="CX3" s="16">
        <f t="shared" si="0"/>
        <v>100</v>
      </c>
      <c r="CY3" s="16">
        <f>COLUMN(CY2)-3</f>
        <v>100</v>
      </c>
      <c r="CZ3" s="16">
        <f>COLUMN(CZ2)-2</f>
        <v>102</v>
      </c>
      <c r="DA3" s="16">
        <f>COLUMN(DA2)-3</f>
        <v>102</v>
      </c>
      <c r="DB3" s="16">
        <f>COLUMN(DB2)-2</f>
        <v>104</v>
      </c>
      <c r="DC3" s="16">
        <f>COLUMN(DC2)-2</f>
        <v>105</v>
      </c>
      <c r="DO3" s="345"/>
      <c r="DU3" s="346" t="s">
        <v>5</v>
      </c>
      <c r="DV3" s="347" t="s">
        <v>6</v>
      </c>
      <c r="DW3" s="347" t="s">
        <v>7</v>
      </c>
      <c r="DX3" s="347" t="s">
        <v>8</v>
      </c>
      <c r="DY3" s="347" t="s">
        <v>9</v>
      </c>
      <c r="DZ3" s="347" t="s">
        <v>10</v>
      </c>
      <c r="EA3" s="347" t="s">
        <v>11</v>
      </c>
      <c r="EB3" s="347" t="s">
        <v>12</v>
      </c>
      <c r="EC3" s="347" t="s">
        <v>13</v>
      </c>
      <c r="ED3" s="347" t="s">
        <v>14</v>
      </c>
      <c r="EE3" s="348" t="s">
        <v>200</v>
      </c>
      <c r="EF3" s="348" t="s">
        <v>201</v>
      </c>
      <c r="EG3" s="347" t="s">
        <v>17</v>
      </c>
      <c r="EH3" s="347" t="s">
        <v>18</v>
      </c>
      <c r="EI3" s="347" t="s">
        <v>19</v>
      </c>
      <c r="EJ3" s="347" t="s">
        <v>20</v>
      </c>
      <c r="EK3" s="347" t="s">
        <v>21</v>
      </c>
      <c r="EL3" s="347" t="s">
        <v>22</v>
      </c>
      <c r="EM3" s="347" t="s">
        <v>23</v>
      </c>
      <c r="EN3" s="347" t="s">
        <v>24</v>
      </c>
      <c r="EO3" s="348" t="s">
        <v>25</v>
      </c>
      <c r="EP3" s="348" t="s">
        <v>26</v>
      </c>
      <c r="EQ3" s="347" t="s">
        <v>27</v>
      </c>
      <c r="ER3" s="347" t="s">
        <v>28</v>
      </c>
      <c r="ES3" s="347" t="s">
        <v>29</v>
      </c>
      <c r="ET3" s="347" t="s">
        <v>30</v>
      </c>
      <c r="EU3" s="347" t="s">
        <v>31</v>
      </c>
      <c r="EV3" s="347" t="s">
        <v>32</v>
      </c>
      <c r="EW3" s="347" t="s">
        <v>33</v>
      </c>
      <c r="EX3" s="347" t="s">
        <v>34</v>
      </c>
      <c r="EY3" s="348" t="s">
        <v>35</v>
      </c>
      <c r="EZ3" s="347" t="s">
        <v>36</v>
      </c>
      <c r="FA3" s="348" t="s">
        <v>37</v>
      </c>
      <c r="FB3" s="466" t="s">
        <v>38</v>
      </c>
      <c r="FC3" s="577" t="s">
        <v>39</v>
      </c>
      <c r="FD3" s="37" t="s">
        <v>40</v>
      </c>
      <c r="FE3" s="38" t="s">
        <v>41</v>
      </c>
      <c r="FF3" s="38" t="s">
        <v>42</v>
      </c>
      <c r="FG3" s="38" t="s">
        <v>43</v>
      </c>
      <c r="FH3" s="38" t="s">
        <v>44</v>
      </c>
      <c r="FI3" s="38" t="s">
        <v>45</v>
      </c>
      <c r="FJ3" s="38" t="s">
        <v>46</v>
      </c>
      <c r="FK3" s="38" t="s">
        <v>47</v>
      </c>
      <c r="FL3" s="38" t="s">
        <v>48</v>
      </c>
      <c r="FM3" s="39" t="s">
        <v>49</v>
      </c>
      <c r="FN3" s="38" t="s">
        <v>50</v>
      </c>
      <c r="FO3" s="40" t="s">
        <v>51</v>
      </c>
      <c r="FP3" s="41" t="s">
        <v>52</v>
      </c>
      <c r="FQ3" s="23"/>
      <c r="GK3" s="222"/>
      <c r="GL3" s="222"/>
    </row>
    <row r="4" spans="1:194" s="4" customFormat="1" ht="26.25" customHeight="1">
      <c r="B4" s="579" t="s">
        <v>53</v>
      </c>
      <c r="C4" s="42"/>
      <c r="D4" s="43" t="s">
        <v>54</v>
      </c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2"/>
      <c r="R4" s="45" t="s">
        <v>55</v>
      </c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7"/>
      <c r="BL4" s="48" t="s">
        <v>55</v>
      </c>
      <c r="BM4" s="48"/>
      <c r="BN4" s="47"/>
      <c r="BO4" s="32" t="s">
        <v>56</v>
      </c>
      <c r="BP4" s="32"/>
      <c r="BQ4" s="32"/>
      <c r="BR4" s="32"/>
      <c r="BS4" s="32"/>
      <c r="BT4" s="32"/>
      <c r="BU4" s="32"/>
      <c r="BV4" s="32" t="s">
        <v>57</v>
      </c>
      <c r="BW4" s="32"/>
      <c r="BX4" s="32"/>
      <c r="BY4" s="32"/>
      <c r="BZ4" s="32"/>
      <c r="CA4" s="32"/>
      <c r="CB4" s="32"/>
      <c r="CC4" s="32"/>
      <c r="CD4" s="32"/>
      <c r="CE4" s="32"/>
      <c r="CF4" s="581" t="s">
        <v>56</v>
      </c>
      <c r="CG4" s="581"/>
      <c r="CH4" s="581"/>
      <c r="CI4" s="49"/>
      <c r="CJ4" s="581" t="s">
        <v>56</v>
      </c>
      <c r="CK4" s="581"/>
      <c r="CL4" s="581"/>
      <c r="CM4" s="49"/>
      <c r="CN4" s="581" t="s">
        <v>56</v>
      </c>
      <c r="CO4" s="581"/>
      <c r="CP4" s="581"/>
      <c r="CQ4" s="49"/>
      <c r="CR4" s="581" t="s">
        <v>56</v>
      </c>
      <c r="CS4" s="581"/>
      <c r="CT4" s="581"/>
      <c r="CU4" s="581" t="s">
        <v>56</v>
      </c>
      <c r="CV4" s="581"/>
      <c r="CW4" s="581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50"/>
      <c r="DP4" s="32" t="s">
        <v>58</v>
      </c>
      <c r="DQ4" s="51"/>
      <c r="DR4" s="52"/>
      <c r="DS4" s="53"/>
      <c r="DT4" s="33" t="s">
        <v>53</v>
      </c>
      <c r="DU4" s="347"/>
      <c r="DV4" s="347"/>
      <c r="DW4" s="347"/>
      <c r="DX4" s="347"/>
      <c r="DY4" s="347"/>
      <c r="DZ4" s="347"/>
      <c r="EA4" s="347"/>
      <c r="EB4" s="347"/>
      <c r="EC4" s="347"/>
      <c r="ED4" s="347"/>
      <c r="EE4" s="347"/>
      <c r="EF4" s="347"/>
      <c r="EG4" s="347"/>
      <c r="EH4" s="347"/>
      <c r="EI4" s="347"/>
      <c r="EJ4" s="347"/>
      <c r="EK4" s="347"/>
      <c r="EL4" s="347"/>
      <c r="EM4" s="347"/>
      <c r="EN4" s="347"/>
      <c r="EO4" s="347"/>
      <c r="EP4" s="347"/>
      <c r="EQ4" s="347"/>
      <c r="ER4" s="347"/>
      <c r="ES4" s="347"/>
      <c r="ET4" s="347"/>
      <c r="EU4" s="347"/>
      <c r="EV4" s="347"/>
      <c r="EW4" s="347"/>
      <c r="EX4" s="347"/>
      <c r="EY4" s="347"/>
      <c r="EZ4" s="347"/>
      <c r="FA4" s="347"/>
      <c r="FB4" s="467"/>
      <c r="FC4" s="578"/>
      <c r="FD4" s="55"/>
      <c r="FE4" s="467"/>
      <c r="FF4" s="467"/>
      <c r="FG4" s="467"/>
      <c r="FH4" s="467"/>
      <c r="FI4" s="467"/>
      <c r="FJ4" s="467"/>
      <c r="FK4" s="467"/>
      <c r="FL4" s="467"/>
      <c r="FM4" s="56"/>
      <c r="FN4" s="349"/>
      <c r="FO4" s="58"/>
      <c r="FP4" s="350"/>
      <c r="FZ4" s="60"/>
      <c r="GA4" s="60"/>
      <c r="GB4" s="60"/>
      <c r="GC4" s="60"/>
      <c r="GD4" s="61" t="s">
        <v>59</v>
      </c>
      <c r="GE4" s="61"/>
      <c r="GF4" s="61"/>
      <c r="GG4" s="62"/>
      <c r="GH4" s="34" t="s">
        <v>60</v>
      </c>
      <c r="GI4" s="63" t="s">
        <v>61</v>
      </c>
      <c r="GJ4" s="63"/>
    </row>
    <row r="5" spans="1:194" ht="36" customHeight="1">
      <c r="B5" s="580"/>
      <c r="C5" s="65"/>
      <c r="D5" s="66" t="s">
        <v>62</v>
      </c>
      <c r="E5" s="66" t="s">
        <v>63</v>
      </c>
      <c r="F5" s="66" t="s">
        <v>64</v>
      </c>
      <c r="G5" s="66" t="s">
        <v>65</v>
      </c>
      <c r="H5" s="66" t="s">
        <v>66</v>
      </c>
      <c r="I5" s="66" t="s">
        <v>19</v>
      </c>
      <c r="J5" s="66" t="s">
        <v>20</v>
      </c>
      <c r="K5" s="66" t="s">
        <v>21</v>
      </c>
      <c r="L5" s="67" t="s">
        <v>67</v>
      </c>
      <c r="M5" s="67" t="s">
        <v>68</v>
      </c>
      <c r="N5" s="66" t="s">
        <v>69</v>
      </c>
      <c r="O5" s="66" t="s">
        <v>70</v>
      </c>
      <c r="P5" s="66" t="s">
        <v>71</v>
      </c>
      <c r="Q5" s="65"/>
      <c r="R5" s="66" t="s">
        <v>22</v>
      </c>
      <c r="S5" s="66" t="s">
        <v>72</v>
      </c>
      <c r="T5" s="66" t="s">
        <v>23</v>
      </c>
      <c r="U5" s="66" t="s">
        <v>73</v>
      </c>
      <c r="V5" s="66" t="s">
        <v>74</v>
      </c>
      <c r="W5" s="66" t="s">
        <v>75</v>
      </c>
      <c r="X5" s="66" t="s">
        <v>76</v>
      </c>
      <c r="Y5" s="66" t="s">
        <v>27</v>
      </c>
      <c r="Z5" s="66" t="s">
        <v>28</v>
      </c>
      <c r="AA5" s="67" t="s">
        <v>77</v>
      </c>
      <c r="AB5" s="67" t="s">
        <v>78</v>
      </c>
      <c r="AC5" s="66" t="s">
        <v>6</v>
      </c>
      <c r="AD5" s="67" t="s">
        <v>79</v>
      </c>
      <c r="AE5" s="67" t="s">
        <v>80</v>
      </c>
      <c r="AF5" s="67" t="s">
        <v>8</v>
      </c>
      <c r="AG5" s="66" t="s">
        <v>9</v>
      </c>
      <c r="AH5" s="67" t="s">
        <v>81</v>
      </c>
      <c r="AI5" s="67" t="s">
        <v>82</v>
      </c>
      <c r="AJ5" s="67" t="s">
        <v>11</v>
      </c>
      <c r="AK5" s="66" t="s">
        <v>12</v>
      </c>
      <c r="AL5" s="67" t="s">
        <v>83</v>
      </c>
      <c r="AM5" s="67" t="s">
        <v>84</v>
      </c>
      <c r="AN5" s="66" t="s">
        <v>14</v>
      </c>
      <c r="AO5" s="66" t="s">
        <v>65</v>
      </c>
      <c r="AP5" s="66" t="s">
        <v>17</v>
      </c>
      <c r="AQ5" s="66" t="s">
        <v>66</v>
      </c>
      <c r="AR5" s="67" t="s">
        <v>85</v>
      </c>
      <c r="AS5" s="66" t="s">
        <v>86</v>
      </c>
      <c r="AT5" s="67" t="s">
        <v>87</v>
      </c>
      <c r="AU5" s="67" t="s">
        <v>88</v>
      </c>
      <c r="AV5" s="66">
        <v>561</v>
      </c>
      <c r="AW5" s="67" t="s">
        <v>89</v>
      </c>
      <c r="AX5" s="66">
        <v>562</v>
      </c>
      <c r="AY5" s="66" t="s">
        <v>21</v>
      </c>
      <c r="AZ5" s="66" t="s">
        <v>33</v>
      </c>
      <c r="BA5" s="66" t="s">
        <v>90</v>
      </c>
      <c r="BB5" s="66" t="s">
        <v>34</v>
      </c>
      <c r="BC5" s="67" t="s">
        <v>91</v>
      </c>
      <c r="BD5" s="67" t="s">
        <v>92</v>
      </c>
      <c r="BE5" s="67" t="s">
        <v>93</v>
      </c>
      <c r="BF5" s="67" t="s">
        <v>94</v>
      </c>
      <c r="BG5" s="66" t="s">
        <v>95</v>
      </c>
      <c r="BH5" s="66" t="s">
        <v>96</v>
      </c>
      <c r="BI5" s="66" t="s">
        <v>97</v>
      </c>
      <c r="BJ5" s="66" t="s">
        <v>98</v>
      </c>
      <c r="BK5" s="69"/>
      <c r="BL5" s="66" t="s">
        <v>99</v>
      </c>
      <c r="BM5" s="70" t="s">
        <v>71</v>
      </c>
      <c r="BN5" s="69"/>
      <c r="BO5" s="67" t="s">
        <v>22</v>
      </c>
      <c r="BP5" s="67" t="s">
        <v>72</v>
      </c>
      <c r="BQ5" s="67" t="s">
        <v>23</v>
      </c>
      <c r="BR5" s="67" t="s">
        <v>74</v>
      </c>
      <c r="BS5" s="67" t="s">
        <v>27</v>
      </c>
      <c r="BT5" s="67" t="s">
        <v>28</v>
      </c>
      <c r="BU5" s="67" t="s">
        <v>101</v>
      </c>
      <c r="BV5" s="67" t="s">
        <v>22</v>
      </c>
      <c r="BW5" s="67" t="s">
        <v>100</v>
      </c>
      <c r="BX5" s="67" t="s">
        <v>23</v>
      </c>
      <c r="BY5" s="67" t="s">
        <v>74</v>
      </c>
      <c r="BZ5" s="67" t="s">
        <v>102</v>
      </c>
      <c r="CA5" s="71" t="s">
        <v>1</v>
      </c>
      <c r="CB5" s="66" t="s">
        <v>103</v>
      </c>
      <c r="CC5" s="66" t="s">
        <v>86</v>
      </c>
      <c r="CD5" s="67" t="s">
        <v>104</v>
      </c>
      <c r="CE5" s="67" t="s">
        <v>204</v>
      </c>
      <c r="CF5" s="66" t="s">
        <v>78</v>
      </c>
      <c r="CG5" s="66" t="s">
        <v>6</v>
      </c>
      <c r="CH5" s="67" t="s">
        <v>106</v>
      </c>
      <c r="CI5" s="71" t="s">
        <v>1</v>
      </c>
      <c r="CJ5" s="66" t="s">
        <v>8</v>
      </c>
      <c r="CK5" s="66" t="s">
        <v>9</v>
      </c>
      <c r="CL5" s="67" t="s">
        <v>107</v>
      </c>
      <c r="CM5" s="71" t="s">
        <v>1</v>
      </c>
      <c r="CN5" s="66" t="s">
        <v>11</v>
      </c>
      <c r="CO5" s="66" t="s">
        <v>12</v>
      </c>
      <c r="CP5" s="67" t="s">
        <v>205</v>
      </c>
      <c r="CQ5" s="71" t="s">
        <v>1</v>
      </c>
      <c r="CR5" s="66" t="s">
        <v>109</v>
      </c>
      <c r="CS5" s="67" t="s">
        <v>206</v>
      </c>
      <c r="CT5" s="71" t="s">
        <v>1</v>
      </c>
      <c r="CU5" s="66" t="s">
        <v>17</v>
      </c>
      <c r="CV5" s="67" t="s">
        <v>207</v>
      </c>
      <c r="CW5" s="71" t="s">
        <v>1</v>
      </c>
      <c r="CX5" s="67" t="s">
        <v>110</v>
      </c>
      <c r="CY5" s="66" t="s">
        <v>19</v>
      </c>
      <c r="CZ5" s="67" t="s">
        <v>111</v>
      </c>
      <c r="DA5" s="66" t="s">
        <v>112</v>
      </c>
      <c r="DB5" s="66" t="s">
        <v>33</v>
      </c>
      <c r="DC5" s="66" t="s">
        <v>34</v>
      </c>
      <c r="DD5" s="66" t="s">
        <v>91</v>
      </c>
      <c r="DE5" s="66" t="s">
        <v>92</v>
      </c>
      <c r="DF5" s="66" t="s">
        <v>113</v>
      </c>
      <c r="DG5" s="66" t="s">
        <v>114</v>
      </c>
      <c r="DH5" s="67" t="s">
        <v>115</v>
      </c>
      <c r="DI5" s="71" t="s">
        <v>1</v>
      </c>
      <c r="DJ5" s="66" t="s">
        <v>96</v>
      </c>
      <c r="DK5" s="71" t="s">
        <v>1</v>
      </c>
      <c r="DL5" s="66" t="s">
        <v>97</v>
      </c>
      <c r="DM5" s="71" t="s">
        <v>1</v>
      </c>
      <c r="DN5" s="67" t="s">
        <v>98</v>
      </c>
      <c r="DO5" s="69"/>
      <c r="DP5" s="66" t="s">
        <v>116</v>
      </c>
      <c r="DQ5" s="72" t="s">
        <v>71</v>
      </c>
      <c r="DR5" s="73" t="s">
        <v>1</v>
      </c>
      <c r="DS5" s="74"/>
      <c r="DT5" s="469"/>
      <c r="DU5" s="135">
        <v>632967</v>
      </c>
      <c r="DV5" s="135">
        <v>29016</v>
      </c>
      <c r="DW5" s="135">
        <v>5148436</v>
      </c>
      <c r="DX5" s="135">
        <v>122404</v>
      </c>
      <c r="DY5" s="135">
        <v>86291.7</v>
      </c>
      <c r="DZ5" s="135">
        <v>403098</v>
      </c>
      <c r="EA5" s="136">
        <v>238577</v>
      </c>
      <c r="EB5" s="136">
        <v>55408.9</v>
      </c>
      <c r="EC5" s="136">
        <v>418978</v>
      </c>
      <c r="ED5" s="135">
        <v>48108.3</v>
      </c>
      <c r="EE5" s="136">
        <v>40527.4</v>
      </c>
      <c r="EF5" s="136">
        <v>43070.1</v>
      </c>
      <c r="EG5" s="135">
        <v>94061.7</v>
      </c>
      <c r="EH5" s="135">
        <v>185744.8</v>
      </c>
      <c r="EI5" s="135">
        <v>33617</v>
      </c>
      <c r="EJ5" s="136">
        <v>42285</v>
      </c>
      <c r="EK5" s="136"/>
      <c r="EL5" s="135">
        <v>714315.3</v>
      </c>
      <c r="EM5" s="135">
        <v>72.400000000000006</v>
      </c>
      <c r="EN5" s="136">
        <v>46679.6</v>
      </c>
      <c r="EO5" s="135">
        <v>3096343.9</v>
      </c>
      <c r="EP5" s="136">
        <v>2808829</v>
      </c>
      <c r="EQ5" s="136">
        <v>0</v>
      </c>
      <c r="ER5" s="136">
        <v>697</v>
      </c>
      <c r="ES5" s="136">
        <v>393425</v>
      </c>
      <c r="ET5" s="136">
        <v>5068645</v>
      </c>
      <c r="EU5" s="136">
        <v>443954</v>
      </c>
      <c r="EV5" s="136">
        <v>151548</v>
      </c>
      <c r="EW5" s="136">
        <v>128821</v>
      </c>
      <c r="EX5" s="135">
        <v>216415.5</v>
      </c>
      <c r="EY5" s="135">
        <v>1691842.7</v>
      </c>
      <c r="EZ5" s="135">
        <v>803860.4</v>
      </c>
      <c r="FA5" s="135">
        <v>757962</v>
      </c>
      <c r="FB5" s="136">
        <v>31681.7</v>
      </c>
      <c r="FC5" s="135">
        <v>6436</v>
      </c>
      <c r="FD5" s="78">
        <v>2337</v>
      </c>
      <c r="FE5" s="77"/>
      <c r="FF5" s="470"/>
      <c r="FG5" s="470"/>
      <c r="FH5" s="77"/>
      <c r="FI5" s="470"/>
      <c r="FJ5" s="77"/>
      <c r="FK5" s="470"/>
      <c r="FL5" s="470"/>
      <c r="FM5" s="470"/>
      <c r="FN5" s="80"/>
      <c r="FO5" s="77">
        <v>1092399</v>
      </c>
      <c r="FP5" s="81"/>
      <c r="FQ5" s="64"/>
      <c r="FR5" s="64"/>
      <c r="FS5" s="64"/>
      <c r="FT5" s="64"/>
      <c r="FU5" s="64"/>
      <c r="FV5" s="64"/>
      <c r="FW5" s="64"/>
      <c r="FX5" s="64"/>
      <c r="FY5" s="64"/>
      <c r="FZ5" s="82" t="s">
        <v>117</v>
      </c>
      <c r="GA5" s="82" t="s">
        <v>118</v>
      </c>
      <c r="GB5" s="82" t="s">
        <v>119</v>
      </c>
      <c r="GC5" s="70" t="s">
        <v>120</v>
      </c>
      <c r="GD5" s="70" t="s">
        <v>121</v>
      </c>
      <c r="GE5" s="70" t="s">
        <v>122</v>
      </c>
      <c r="GF5" s="70" t="s">
        <v>74</v>
      </c>
      <c r="GG5" s="70" t="s">
        <v>120</v>
      </c>
      <c r="GH5" s="70" t="s">
        <v>120</v>
      </c>
      <c r="GI5" s="83" t="s">
        <v>123</v>
      </c>
      <c r="GJ5" s="70" t="s">
        <v>124</v>
      </c>
      <c r="GK5" s="64"/>
      <c r="GL5" s="64"/>
    </row>
    <row r="6" spans="1:194" ht="15" customHeight="1">
      <c r="A6" s="4"/>
      <c r="B6" s="351">
        <v>42979</v>
      </c>
      <c r="C6" s="53"/>
      <c r="D6" s="86">
        <v>4493.04</v>
      </c>
      <c r="E6" s="86">
        <v>0</v>
      </c>
      <c r="F6" s="86">
        <v>414.072</v>
      </c>
      <c r="G6" s="86">
        <v>4057.7780000000002</v>
      </c>
      <c r="H6" s="86">
        <v>3477.4009999999998</v>
      </c>
      <c r="I6" s="86">
        <v>1225.5360000000001</v>
      </c>
      <c r="J6" s="86">
        <v>2166.7199999999998</v>
      </c>
      <c r="K6" s="86">
        <v>0</v>
      </c>
      <c r="L6" s="86"/>
      <c r="M6" s="87">
        <f>I6+J6</f>
        <v>3392.2559999999999</v>
      </c>
      <c r="N6" s="88">
        <f>SUM(D6:H6)</f>
        <v>12442.290999999999</v>
      </c>
      <c r="O6" s="88">
        <f>N6+L6+((J6+I6)*0.5)</f>
        <v>14138.419</v>
      </c>
      <c r="P6" s="89">
        <f>O6</f>
        <v>14138.419</v>
      </c>
      <c r="Q6" s="74"/>
      <c r="R6" s="170">
        <f>IF(EL6=0,"",(EL6-EL5))</f>
        <v>193.89999999990687</v>
      </c>
      <c r="S6" s="170">
        <f>IF(EZ6=0,"",((EZ6-EZ5)/10))</f>
        <v>20.54000000000233</v>
      </c>
      <c r="T6" s="170">
        <f t="shared" ref="T6:T36" si="1">IF(EM6=0,"",((EM6/10)))</f>
        <v>7.24</v>
      </c>
      <c r="U6" s="170">
        <f>IF(FB6=0,"",((EN6-EN5)/10))</f>
        <v>3.5300000000002911</v>
      </c>
      <c r="V6" s="170">
        <f>IF(EO6=0,"",(EO6-EO5))</f>
        <v>1174.7000000001863</v>
      </c>
      <c r="W6" s="170">
        <f t="shared" ref="W6:W36" si="2">IF(EP6=0,"",(EP6-EP5)/10)</f>
        <v>104.5</v>
      </c>
      <c r="X6" s="170">
        <f>IF(V6="","",V6)</f>
        <v>1174.7000000001863</v>
      </c>
      <c r="Y6" s="170" t="str">
        <f>IF(EQ6=0,"0",(EQ6/10))</f>
        <v>0</v>
      </c>
      <c r="Z6" s="170">
        <f t="shared" ref="Z6:Z36" si="3">IF(ER6=0,"",(ER6/10))</f>
        <v>132.4</v>
      </c>
      <c r="AA6" s="501">
        <f>IF(SUM(R6:V6)=0,"",SUM(R6:V6))</f>
        <v>1399.9100000000958</v>
      </c>
      <c r="AB6" s="170">
        <f>IF(DU6=0,"",(DU6-DU5))</f>
        <v>0</v>
      </c>
      <c r="AC6" s="170">
        <f>IF(DV6=0,"",(DV6-DV5))</f>
        <v>23</v>
      </c>
      <c r="AD6" s="501">
        <f>DW6-DW5+AB6</f>
        <v>375</v>
      </c>
      <c r="AE6" s="501">
        <f>IF(AB6="","",(AD6-AC6-AB6))</f>
        <v>352</v>
      </c>
      <c r="AF6" s="170">
        <f>IF(DX6=0,"",(DX6-DX5))</f>
        <v>0</v>
      </c>
      <c r="AG6" s="170">
        <f>IF(DY6=0,"",(DY6-DY5))</f>
        <v>0</v>
      </c>
      <c r="AH6" s="501">
        <f>DZ6-DZ5+AF6</f>
        <v>4</v>
      </c>
      <c r="AI6" s="501">
        <f>IF(AF6="","",(AH6-AG6-AF6))</f>
        <v>4</v>
      </c>
      <c r="AJ6" s="170">
        <f>IF(EA6=0,"",(EA6-EA5))</f>
        <v>18</v>
      </c>
      <c r="AK6" s="170">
        <f>IF(EB6=0,"",(EB6-EB5))</f>
        <v>3</v>
      </c>
      <c r="AL6" s="501">
        <f>EC6-EC5+AJ6</f>
        <v>157</v>
      </c>
      <c r="AM6" s="501">
        <f>IF(AJ6="","",(AL6-AK6-AJ6))</f>
        <v>136</v>
      </c>
      <c r="AN6" s="170">
        <f>IF(ED6=0,"",(ED6-ED5))</f>
        <v>7.2999999999956344</v>
      </c>
      <c r="AO6" s="501">
        <f t="shared" ref="AO6:AO36" si="4">IF(AN6="","",(EE6-EE5)+(EF6-EF5))</f>
        <v>22.599999999998545</v>
      </c>
      <c r="AP6" s="170">
        <f>IF(EG6=0,"",(EG6-EG5))</f>
        <v>19.80000000000291</v>
      </c>
      <c r="AQ6" s="501">
        <f t="shared" ref="AQ6:AQ36" si="5">IF(AP6=0.1,0,(IF(AP6&gt;=(EH6-EH5),(AP6),(EH6-EH5))))</f>
        <v>139.40000000002328</v>
      </c>
      <c r="AR6" s="170">
        <f>IF(ET6=0,"",(ET6-ET5)/1000)</f>
        <v>104.003</v>
      </c>
      <c r="AS6" s="501">
        <f>IF(AR6="","",(ES6-ES5)+((ET6-ET5)/1000)-AW6-AU6)</f>
        <v>15.002999999999986</v>
      </c>
      <c r="AT6" s="501">
        <f>IF(AR6="","",ES6-ES5+((ET6-ET5)/1000))</f>
        <v>510.00299999999999</v>
      </c>
      <c r="AU6" s="170">
        <f>IF(EV6="","",(EV6-EV5))</f>
        <v>192</v>
      </c>
      <c r="AV6" s="501">
        <f>IF(EI6=0,"",(EI6-EI5))</f>
        <v>42</v>
      </c>
      <c r="AW6" s="170">
        <f>IF(EU6="","",(EU6-EU5))</f>
        <v>303</v>
      </c>
      <c r="AX6" s="501">
        <f>IF(EJ6=0,"",(EJ6-EJ5))</f>
        <v>84</v>
      </c>
      <c r="AY6" s="501"/>
      <c r="AZ6" s="170">
        <f>IF(EW6=0,"",EW6-EW5)</f>
        <v>98</v>
      </c>
      <c r="BA6" s="170">
        <v>134</v>
      </c>
      <c r="BB6" s="170">
        <f>IF(EX6=0,"",(EX6-EX5))</f>
        <v>106.29999999998836</v>
      </c>
      <c r="BC6" s="170">
        <f>IF(EY6=0,"",(EY6-EY5))</f>
        <v>727.30000000004657</v>
      </c>
      <c r="BD6" s="170">
        <f>IF(FA6=0,"",(FA6-FA5))</f>
        <v>0</v>
      </c>
      <c r="BE6" s="90"/>
      <c r="BF6" s="90"/>
      <c r="BG6" s="501">
        <f>IFERROR(SUM(BB6:BC6)+AZ6+BD6,"")</f>
        <v>931.60000000003492</v>
      </c>
      <c r="BH6" s="501">
        <f>BL6-FC6</f>
        <v>1070</v>
      </c>
      <c r="BI6" s="90">
        <f t="shared" ref="BI6:BI36" si="6">IF(FC6=0,"",(FC6-BJ6))</f>
        <v>2274.4869999998473</v>
      </c>
      <c r="BJ6" s="90">
        <f>IF(BH6=0,"",(AA6+AD6+AO6+BG6+AH6+AL6+AQ6+AT6+AX6+AV6))</f>
        <v>3665.5130000001527</v>
      </c>
      <c r="BK6" s="92"/>
      <c r="BL6" s="93">
        <f>FD6+FN6</f>
        <v>7010</v>
      </c>
      <c r="BM6" s="93">
        <f>BL6</f>
        <v>7010</v>
      </c>
      <c r="BN6" s="92"/>
      <c r="BO6" s="94">
        <f>IF($N6&lt;&gt;0,IF($N6&lt;&gt;0,R6/$N6*10,0)," ")</f>
        <v>0.15583946718486724</v>
      </c>
      <c r="BP6" s="94">
        <f>IF($N6&lt;&gt;0,IF($N6&lt;&gt;0,S6/$N6*10,0)," ")</f>
        <v>1.6508213800820386E-2</v>
      </c>
      <c r="BQ6" s="94">
        <f>IF($N6&lt;&gt;0,IF($N6&lt;&gt;0,T6/$N6*10,0)," ")</f>
        <v>5.818864066111297E-3</v>
      </c>
      <c r="BR6" s="94">
        <f>IF($N6&lt;&gt;0,IF($N6&lt;&gt;0,(V6)/$N6*10,0)," ")</f>
        <v>0.94411873183177142</v>
      </c>
      <c r="BS6" s="94">
        <f t="shared" ref="BS6:BU21" si="7">IF($N6&lt;&gt;0,IF($N6&lt;&gt;0,Y6/$N6*10,0)," ")</f>
        <v>0</v>
      </c>
      <c r="BT6" s="94">
        <f t="shared" si="7"/>
        <v>0.10641127104325079</v>
      </c>
      <c r="BU6" s="95">
        <f>IF($N6&lt;&gt;0,IF($N6&lt;&gt;0,AA6/$N6*10,0)," ")</f>
        <v>1.1251223749710531</v>
      </c>
      <c r="BV6" s="94">
        <f t="shared" ref="BV6:BX35" si="8">IF($O6&lt;&gt;0,IF($O6&lt;&gt;0,R6/$O6*10,0)," ")</f>
        <v>0.13714404701113106</v>
      </c>
      <c r="BW6" s="94">
        <f t="shared" si="8"/>
        <v>1.4527791261528132E-2</v>
      </c>
      <c r="BX6" s="94">
        <f t="shared" si="8"/>
        <v>5.1207988672566564E-3</v>
      </c>
      <c r="BY6" s="94">
        <f>IF($O6&lt;&gt;0,IF($O6&lt;&gt;0,(V6)/$O6*10,0)," ")</f>
        <v>0.83085668913913668</v>
      </c>
      <c r="BZ6" s="95">
        <f t="shared" ref="BZ6:BZ36" si="9">IF($O6&lt;&gt;0,IF($O6&lt;&gt;0,AA6/$O6*10,0)," ")</f>
        <v>0.99014606937317096</v>
      </c>
      <c r="CA6" s="96" t="e">
        <f>#REF!</f>
        <v>#REF!</v>
      </c>
      <c r="CB6" s="94">
        <f>IF($O6&lt;&gt;0,IF($O6&lt;&gt;0,AR6/$O6*10,0)," ")</f>
        <v>7.3560558645206373E-2</v>
      </c>
      <c r="CC6" s="95">
        <f>IF($O6&lt;&gt;0,IF($O6&lt;&gt;0,AS6/$O6*10,0)," ")</f>
        <v>1.0611511796333089E-2</v>
      </c>
      <c r="CD6" s="97">
        <f t="shared" ref="CD6:CE35" si="10">IFERROR(AR6*10/($I6+$J6),"")</f>
        <v>0.30658947909591727</v>
      </c>
      <c r="CE6" s="98">
        <f>IFERROR(AS6*10/($I6+$J6),"")</f>
        <v>4.4227204550599912E-2</v>
      </c>
      <c r="CF6" s="94">
        <f>IF($D6&lt;&gt;0,IF($D6&lt;&gt;0,AB6/$D6*10,0),"0,00")</f>
        <v>0</v>
      </c>
      <c r="CG6" s="94">
        <f>IF($D6&lt;&gt;0,IF($D6&lt;&gt;0,AC6/$D6*10,0),"0,00")</f>
        <v>5.1190285419226184E-2</v>
      </c>
      <c r="CH6" s="95">
        <f>IF($D6&lt;&gt;0,IF($O6&lt;&gt;0,AD6/$D6*10,0),"0,00 ")</f>
        <v>0.83462421879173121</v>
      </c>
      <c r="CI6" s="96" t="e">
        <f>#REF!</f>
        <v>#REF!</v>
      </c>
      <c r="CJ6" s="94" t="str">
        <f>IF($E6&lt;&gt;0,IF($E6&lt;&gt;0,AF6/$E6*10,0),"0,00")</f>
        <v>0,00</v>
      </c>
      <c r="CK6" s="94" t="str">
        <f>IF($E6&lt;&gt;0,IF($E6&lt;&gt;0,AG6/$E6*10,0),"0,00")</f>
        <v>0,00</v>
      </c>
      <c r="CL6" s="95" t="str">
        <f>IF($E6&lt;&gt;0,IF($E6&lt;&gt;0,AH6/$E6*10,0),"0,00 ")</f>
        <v xml:space="preserve">0,00 </v>
      </c>
      <c r="CM6" s="95" t="e">
        <f>#REF!</f>
        <v>#REF!</v>
      </c>
      <c r="CN6" s="94">
        <f>IF($F6&lt;&gt;0,IF($F6&lt;&gt;0,AJ6/$F6*10,0),"0,00")</f>
        <v>0.43470700747696051</v>
      </c>
      <c r="CO6" s="94">
        <f>IF($F6&lt;&gt;0,IF($F6&lt;&gt;0,AK6/$F6*10,0),"0,00")</f>
        <v>7.2451167912826756E-2</v>
      </c>
      <c r="CP6" s="95">
        <f>IF($F6&lt;&gt;0,IF($F6&lt;&gt;0,AL6/$F6*10,0),"0,00 ")</f>
        <v>3.7916111207712664</v>
      </c>
      <c r="CQ6" s="95" t="e">
        <f>#REF!</f>
        <v>#REF!</v>
      </c>
      <c r="CR6" s="97">
        <f>IF($G6&lt;&gt;0,IF($G6&lt;&gt;0,AN6/$G6*10,0),"0,00 ")</f>
        <v>1.7990141402500662E-2</v>
      </c>
      <c r="CS6" s="95">
        <f>IF($G6&lt;&gt;0,IF($G6&lt;&gt;0,AO6/$G6*10,0),"0,00 ")</f>
        <v>5.5695506259826298E-2</v>
      </c>
      <c r="CT6" s="96" t="e">
        <f>#REF!</f>
        <v>#REF!</v>
      </c>
      <c r="CU6" s="97">
        <f>IF($H6&lt;&gt;0,IF($H6&lt;&gt;0,AP6/$H6*10,0),"0,00 ")</f>
        <v>5.693907605134671E-2</v>
      </c>
      <c r="CV6" s="95">
        <f>IF($H6&lt;&gt;0,IF($H6&lt;&gt;0,AQ6/$H6*10,0),"0,00 ")</f>
        <v>0.40087410108878235</v>
      </c>
      <c r="CW6" s="96" t="e">
        <f>#REF!</f>
        <v>#REF!</v>
      </c>
      <c r="CX6" s="97">
        <f>IF($O6&lt;&gt;0,IF($O6&lt;&gt;0,AU6/$O6*10,0)," ")</f>
        <v>0.13580019095487267</v>
      </c>
      <c r="CY6" s="98">
        <f>IF($O6&lt;&gt;0,IF($O6&lt;&gt;0,AV6/$O6*10,0)," ")</f>
        <v>2.9706291771378398E-2</v>
      </c>
      <c r="CZ6" s="97">
        <f>IF($O6&lt;&gt;0,IF($O6&lt;&gt;0,AW6/$O6*10,0)," ")</f>
        <v>0.21430967635065845</v>
      </c>
      <c r="DA6" s="98">
        <f>IF($O6&lt;&gt;0,IF($O6&lt;&gt;0,AX6/$O6*10,0)," ")</f>
        <v>5.9412583542756796E-2</v>
      </c>
      <c r="DB6" s="94">
        <f t="shared" ref="DB6:DB36" si="11">IF($O6&lt;&gt;0,IF($O6&lt;&gt;0,AZ6/$O6*10,0)," ")</f>
        <v>6.9314680799882927E-2</v>
      </c>
      <c r="DC6" s="94">
        <f t="shared" ref="DC6:DH35" si="12">IF($O6&lt;&gt;0,IF($O6&lt;&gt;0,BB6/$O6*10,0)," ")</f>
        <v>7.5185209888028043E-2</v>
      </c>
      <c r="DD6" s="94">
        <f t="shared" si="12"/>
        <v>0.51441395250773558</v>
      </c>
      <c r="DE6" s="94">
        <f t="shared" si="12"/>
        <v>0</v>
      </c>
      <c r="DF6" s="94">
        <f t="shared" si="12"/>
        <v>0</v>
      </c>
      <c r="DG6" s="94">
        <f t="shared" si="12"/>
        <v>0</v>
      </c>
      <c r="DH6" s="95">
        <f>IF($O6&lt;&gt;0,IF($O6&lt;&gt;0,BG6/$O6*10,0)," ")</f>
        <v>0.6589138431956465</v>
      </c>
      <c r="DI6" s="96" t="e">
        <f>#REF!</f>
        <v>#REF!</v>
      </c>
      <c r="DJ6" s="95">
        <f>IF($O6&lt;&gt;0,IF($O6&lt;&gt;0,BH6/$O6*10,0)," ")</f>
        <v>0.75680314750892586</v>
      </c>
      <c r="DK6" s="96" t="e">
        <f>#REF!</f>
        <v>#REF!</v>
      </c>
      <c r="DL6" s="95">
        <f>IF($O6&lt;&gt;0,BI6/$O6*10," ")</f>
        <v>1.6087279631476812</v>
      </c>
      <c r="DM6" s="96">
        <f t="shared" ref="DM6:DM37" si="13">$D$3</f>
        <v>0</v>
      </c>
      <c r="DN6" s="94">
        <f t="shared" ref="DN6:DN36" si="14">IF($O6&lt;&gt;0,BJ6/$O6*10,"")</f>
        <v>2.5925904445186925</v>
      </c>
      <c r="DO6" s="100">
        <v>3.4</v>
      </c>
      <c r="DP6" s="94">
        <f>IF($O6&lt;&gt;0,IF($O6&lt;&gt;0,BL6/$O6*10,0)," ")</f>
        <v>4.9581215551752997</v>
      </c>
      <c r="DQ6" s="94">
        <f>IF($P6&lt;&gt;0,IF($P6&lt;&gt;0,BM6/$P6*10,0)," ")</f>
        <v>4.9581215551752997</v>
      </c>
      <c r="DR6" s="101">
        <f t="shared" ref="DR6:DR35" si="15">$D$2</f>
        <v>3.17</v>
      </c>
      <c r="DS6" s="102"/>
      <c r="DT6" s="103">
        <v>1</v>
      </c>
      <c r="DU6" s="135">
        <v>632967</v>
      </c>
      <c r="DV6" s="135">
        <v>29039</v>
      </c>
      <c r="DW6" s="135">
        <v>5148811</v>
      </c>
      <c r="DX6" s="135">
        <v>122404</v>
      </c>
      <c r="DY6" s="135">
        <v>86291.7</v>
      </c>
      <c r="DZ6" s="135">
        <v>403102</v>
      </c>
      <c r="EA6" s="136">
        <v>238595</v>
      </c>
      <c r="EB6" s="136">
        <v>55411.9</v>
      </c>
      <c r="EC6" s="136">
        <v>419117</v>
      </c>
      <c r="ED6" s="135">
        <v>48115.6</v>
      </c>
      <c r="EE6" s="136">
        <v>40550</v>
      </c>
      <c r="EF6" s="136">
        <v>43070.1</v>
      </c>
      <c r="EG6" s="135">
        <v>94081.5</v>
      </c>
      <c r="EH6" s="135">
        <v>185884.2</v>
      </c>
      <c r="EI6" s="135">
        <v>33659</v>
      </c>
      <c r="EJ6" s="136">
        <v>42369</v>
      </c>
      <c r="EK6" s="136"/>
      <c r="EL6" s="135">
        <v>714509.2</v>
      </c>
      <c r="EM6" s="135">
        <v>72.400000000000006</v>
      </c>
      <c r="EN6" s="136">
        <v>46714.9</v>
      </c>
      <c r="EO6" s="135">
        <v>3097518.6</v>
      </c>
      <c r="EP6" s="136">
        <v>2809874</v>
      </c>
      <c r="EQ6" s="136">
        <v>0</v>
      </c>
      <c r="ER6" s="136">
        <v>1324</v>
      </c>
      <c r="ES6" s="136">
        <v>393831</v>
      </c>
      <c r="ET6" s="136">
        <v>5172648</v>
      </c>
      <c r="EU6" s="136">
        <v>444257</v>
      </c>
      <c r="EV6" s="136">
        <v>151740</v>
      </c>
      <c r="EW6" s="136">
        <v>128919</v>
      </c>
      <c r="EX6" s="135">
        <v>216521.8</v>
      </c>
      <c r="EY6" s="135">
        <v>1692570</v>
      </c>
      <c r="EZ6" s="135">
        <v>804065.8</v>
      </c>
      <c r="FA6" s="135">
        <v>757962</v>
      </c>
      <c r="FB6" s="136">
        <v>31806.400000000001</v>
      </c>
      <c r="FC6" s="135">
        <v>5940</v>
      </c>
      <c r="FD6" s="303">
        <f>SUM(FE6:FM6)</f>
        <v>7010</v>
      </c>
      <c r="FE6" s="136">
        <v>0</v>
      </c>
      <c r="FF6" s="496">
        <v>477</v>
      </c>
      <c r="FG6" s="105">
        <f t="shared" ref="FG6:FG11" si="16">FG39-FG38</f>
        <v>1913</v>
      </c>
      <c r="FH6" s="496">
        <v>1143</v>
      </c>
      <c r="FI6" s="496">
        <v>626</v>
      </c>
      <c r="FJ6" s="105">
        <f t="shared" ref="FJ6:FJ17" si="17">FJ39-FJ38</f>
        <v>1295</v>
      </c>
      <c r="FK6" s="497">
        <v>1043</v>
      </c>
      <c r="FL6" s="496">
        <v>217</v>
      </c>
      <c r="FM6" s="497">
        <v>296</v>
      </c>
      <c r="FN6" s="187">
        <f>FO6-FO5</f>
        <v>0</v>
      </c>
      <c r="FO6" s="77">
        <v>1092399</v>
      </c>
      <c r="FP6" s="499" t="s">
        <v>302</v>
      </c>
      <c r="FR6" s="64"/>
      <c r="FS6" s="64"/>
      <c r="FT6" s="64"/>
      <c r="FU6" s="64"/>
      <c r="FV6" s="64"/>
      <c r="FW6" s="64"/>
      <c r="FX6" s="64"/>
      <c r="FY6" s="64">
        <v>1</v>
      </c>
      <c r="FZ6" s="107">
        <v>8054</v>
      </c>
      <c r="GA6" s="107">
        <v>1246</v>
      </c>
      <c r="GB6" s="108">
        <f>GA6/FZ6/0.1</f>
        <v>1.5470573628010924</v>
      </c>
      <c r="GC6" s="109"/>
      <c r="GD6" s="110"/>
      <c r="GE6" s="110"/>
      <c r="GF6" s="111"/>
      <c r="GG6" s="111"/>
      <c r="GH6" s="111"/>
      <c r="GI6" s="112"/>
      <c r="GJ6" s="111">
        <f>(SUM(ER5+ES5)/(GB6+GI6))</f>
        <v>254755.90593900485</v>
      </c>
      <c r="GK6" s="113"/>
    </row>
    <row r="7" spans="1:194" ht="15" customHeight="1">
      <c r="B7" s="351">
        <v>42980</v>
      </c>
      <c r="D7" s="86">
        <v>0</v>
      </c>
      <c r="E7" s="86">
        <v>0</v>
      </c>
      <c r="F7" s="86">
        <v>0</v>
      </c>
      <c r="G7" s="86">
        <v>0</v>
      </c>
      <c r="H7" s="86">
        <v>0</v>
      </c>
      <c r="I7" s="86">
        <v>0</v>
      </c>
      <c r="J7" s="86">
        <v>0</v>
      </c>
      <c r="K7" s="86">
        <v>2.577</v>
      </c>
      <c r="L7" s="86">
        <v>136.24</v>
      </c>
      <c r="M7" s="87">
        <f>I7+J7</f>
        <v>0</v>
      </c>
      <c r="N7" s="88">
        <f t="shared" ref="N7:N36" si="18">SUM(D7:H7)</f>
        <v>0</v>
      </c>
      <c r="O7" s="88">
        <f t="shared" ref="O7:O36" si="19">N7+L7+((J7+I7)*0.5)</f>
        <v>136.24</v>
      </c>
      <c r="P7" s="89">
        <f t="shared" ref="P7:P36" si="20">P6+O7</f>
        <v>14274.659</v>
      </c>
      <c r="R7" s="170">
        <f t="shared" ref="R7:R36" si="21">IF(EL7=0,"",(EL7-EL6))</f>
        <v>0</v>
      </c>
      <c r="S7" s="170">
        <f t="shared" ref="S7:S36" si="22">IF(EZ7=0,"",((EZ7-EZ6)/10))</f>
        <v>0</v>
      </c>
      <c r="T7" s="170">
        <f t="shared" si="1"/>
        <v>7.24</v>
      </c>
      <c r="U7" s="170">
        <f>IF(FB7=0,"",((EN7-EN6)/10))</f>
        <v>0</v>
      </c>
      <c r="V7" s="170">
        <f t="shared" ref="V7:V36" si="23">IF(EO7=0,"",(EO7-EO6))</f>
        <v>0</v>
      </c>
      <c r="W7" s="170">
        <f t="shared" si="2"/>
        <v>0</v>
      </c>
      <c r="X7" s="170">
        <f t="shared" ref="X7:X36" si="24">IF(V7="","",V7)</f>
        <v>0</v>
      </c>
      <c r="Y7" s="170" t="str">
        <f t="shared" ref="Y7:Y36" si="25">IF(EQ7=0,"0",(EQ7/10))</f>
        <v>0</v>
      </c>
      <c r="Z7" s="170">
        <f t="shared" si="3"/>
        <v>132.4</v>
      </c>
      <c r="AA7" s="501">
        <f t="shared" ref="AA7:AA36" si="26">IF(SUM(R7:V7)=0,"",SUM(R7:V7))</f>
        <v>7.24</v>
      </c>
      <c r="AB7" s="170">
        <f t="shared" ref="AB7:AC36" si="27">IF(DU7=0,"",(DU7-DU6))</f>
        <v>0</v>
      </c>
      <c r="AC7" s="170">
        <f t="shared" si="27"/>
        <v>0</v>
      </c>
      <c r="AD7" s="501">
        <f t="shared" ref="AD7:AD37" si="28">DW7-DW6+AB7</f>
        <v>0</v>
      </c>
      <c r="AE7" s="501">
        <f t="shared" ref="AE7:AE36" si="29">IF(AB7="","",(AD7-AC7-AB7))</f>
        <v>0</v>
      </c>
      <c r="AF7" s="170">
        <f>IF(DX7=0,"",(DX7-DX6))</f>
        <v>0</v>
      </c>
      <c r="AG7" s="170">
        <f t="shared" ref="AF7:AG36" si="30">IF(DY7=0,"",(DY7-DY6))</f>
        <v>0</v>
      </c>
      <c r="AH7" s="501">
        <f t="shared" ref="AH7:AH35" si="31">DZ7-DZ6+AF7</f>
        <v>0</v>
      </c>
      <c r="AI7" s="501">
        <f t="shared" ref="AI7:AI36" si="32">IF(AF7="","",(AH7-AG7-AF7))</f>
        <v>0</v>
      </c>
      <c r="AJ7" s="170">
        <f t="shared" ref="AJ7:AK35" si="33">IF(EA7=0,"",(EA7-EA6))</f>
        <v>0</v>
      </c>
      <c r="AK7" s="170">
        <f t="shared" si="33"/>
        <v>0</v>
      </c>
      <c r="AL7" s="501">
        <f t="shared" ref="AL7:AL35" si="34">EC7-EC6+AJ7</f>
        <v>0</v>
      </c>
      <c r="AM7" s="501">
        <f t="shared" ref="AM7:AM36" si="35">IF(AJ7="","",(AL7-AK7-AJ7))</f>
        <v>0</v>
      </c>
      <c r="AN7" s="170">
        <f t="shared" ref="AN7:AN36" si="36">IF(ED7=0,"",(ED7-ED6))</f>
        <v>0</v>
      </c>
      <c r="AO7" s="501">
        <f t="shared" si="4"/>
        <v>0</v>
      </c>
      <c r="AP7" s="170">
        <f t="shared" ref="AP7:AP36" si="37">IF(EG7=0,"",(EG7-EG6))</f>
        <v>0</v>
      </c>
      <c r="AQ7" s="501">
        <f t="shared" si="5"/>
        <v>0</v>
      </c>
      <c r="AR7" s="170">
        <f t="shared" ref="AR7:AR36" si="38">IF(ET7=0,"",(ET7-ET6)/1000)</f>
        <v>0</v>
      </c>
      <c r="AS7" s="501">
        <f t="shared" ref="AS7:AS36" si="39">IF(AR7="","",(ES7-ES6)+((ET7-ET6)/1000)-AW7-AU7)</f>
        <v>0</v>
      </c>
      <c r="AT7" s="501">
        <f t="shared" ref="AT7:AT36" si="40">IF(AR7="","",ES7-ES6+((ET7-ET6)/1000))</f>
        <v>0</v>
      </c>
      <c r="AU7" s="170">
        <f>IF(EV7="","",(EV7-EV6))</f>
        <v>0</v>
      </c>
      <c r="AV7" s="501">
        <f>IF(EI7=0,"",(EI7-EI6))</f>
        <v>0</v>
      </c>
      <c r="AW7" s="170">
        <f>IF(EU7="","",(EU7-EU6))</f>
        <v>0</v>
      </c>
      <c r="AX7" s="501">
        <f>IF(EJ7=0,"",(EJ7-EJ6))</f>
        <v>0</v>
      </c>
      <c r="AY7" s="501"/>
      <c r="AZ7" s="170">
        <f t="shared" ref="AZ7:AZ36" si="41">IF(EW7=0,"",EW7-EW6)</f>
        <v>0</v>
      </c>
      <c r="BA7" s="170">
        <v>0</v>
      </c>
      <c r="BB7" s="170">
        <f t="shared" ref="BB7:BC36" si="42">IF(EX7=0,"",(EX7-EX6))</f>
        <v>0</v>
      </c>
      <c r="BC7" s="170">
        <f t="shared" si="42"/>
        <v>0</v>
      </c>
      <c r="BD7" s="170">
        <f t="shared" ref="BD7:BD36" si="43">IF(FA7=0,"",(FA7-FA6))</f>
        <v>0</v>
      </c>
      <c r="BE7" s="90"/>
      <c r="BF7" s="90"/>
      <c r="BG7" s="501">
        <f t="shared" ref="BG7:BG36" si="44">IFERROR(SUM(BB7:BC7)+AZ7+BD7,"")</f>
        <v>0</v>
      </c>
      <c r="BH7" s="501">
        <f t="shared" ref="BH7:BH36" si="45">BL7-FC7</f>
        <v>1189</v>
      </c>
      <c r="BI7" s="90" t="str">
        <f t="shared" si="6"/>
        <v/>
      </c>
      <c r="BJ7" s="90">
        <f t="shared" ref="BJ7:BJ36" si="46">IF(BH7=0,"",(AA7+AD7+AO7+BG7+AH7+AL7+AQ7+AT7+AX7+AV7))</f>
        <v>7.24</v>
      </c>
      <c r="BK7" s="92"/>
      <c r="BL7" s="93">
        <f>FD7+FN7</f>
        <v>1189</v>
      </c>
      <c r="BM7" s="93">
        <f t="shared" ref="BM7:BM36" si="47">BL7+BM6</f>
        <v>8199</v>
      </c>
      <c r="BN7" s="92"/>
      <c r="BO7" s="94" t="str">
        <f t="shared" ref="BO7:BP35" si="48">IF($N7&lt;&gt;0,IF($N7&lt;&gt;0,R7/$N7*10,0)," ")</f>
        <v xml:space="preserve"> </v>
      </c>
      <c r="BP7" s="94" t="str">
        <f>IF($N7&lt;&gt;0,IF($N7&lt;&gt;0,S7/$N7*10,0)," ")</f>
        <v xml:space="preserve"> </v>
      </c>
      <c r="BQ7" s="94" t="str">
        <f t="shared" ref="BQ7:BQ36" si="49">IF($N7&lt;&gt;0,IF($N7&lt;&gt;0,T7/$N7*10,0)," ")</f>
        <v xml:space="preserve"> </v>
      </c>
      <c r="BR7" s="94" t="str">
        <f>IF($N7&lt;&gt;0,IF($N7&lt;&gt;0,(V7)/$N7*10,0)," ")</f>
        <v xml:space="preserve"> </v>
      </c>
      <c r="BS7" s="94" t="str">
        <f t="shared" si="7"/>
        <v xml:space="preserve"> </v>
      </c>
      <c r="BT7" s="94" t="str">
        <f t="shared" si="7"/>
        <v xml:space="preserve"> </v>
      </c>
      <c r="BU7" s="95" t="str">
        <f t="shared" si="7"/>
        <v xml:space="preserve"> </v>
      </c>
      <c r="BV7" s="94">
        <f t="shared" si="8"/>
        <v>0</v>
      </c>
      <c r="BW7" s="94">
        <f t="shared" si="8"/>
        <v>0</v>
      </c>
      <c r="BX7" s="94">
        <f t="shared" si="8"/>
        <v>0.53141514973576043</v>
      </c>
      <c r="BY7" s="94">
        <f t="shared" ref="BY7:BY36" si="50">IF($O7&lt;&gt;0,IF($O7&lt;&gt;0,(V7)/$O7*10,0)," ")</f>
        <v>0</v>
      </c>
      <c r="BZ7" s="95">
        <f t="shared" si="9"/>
        <v>0.53141514973576043</v>
      </c>
      <c r="CA7" s="96" t="e">
        <f>#REF!</f>
        <v>#REF!</v>
      </c>
      <c r="CB7" s="94">
        <f t="shared" ref="CB7:CC36" si="51">IF($O7&lt;&gt;0,IF($O7&lt;&gt;0,AR7/$O7*10,0)," ")</f>
        <v>0</v>
      </c>
      <c r="CC7" s="95">
        <f t="shared" si="51"/>
        <v>0</v>
      </c>
      <c r="CD7" s="97" t="str">
        <f t="shared" si="10"/>
        <v/>
      </c>
      <c r="CE7" s="98" t="str">
        <f>IFERROR(AS7*10/($I7+$J7),"")</f>
        <v/>
      </c>
      <c r="CF7" s="97" t="str">
        <f t="shared" ref="CF7:CG36" si="52">IF($D7&lt;&gt;0,IF($D7&lt;&gt;0,AB7/$D7*10,0),"0,00")</f>
        <v>0,00</v>
      </c>
      <c r="CG7" s="94" t="str">
        <f t="shared" si="52"/>
        <v>0,00</v>
      </c>
      <c r="CH7" s="95" t="str">
        <f t="shared" ref="CH7:CH36" si="53">IF($D7&lt;&gt;0,IF($O7&lt;&gt;0,AD7/$D7*10,0),"0,00 ")</f>
        <v xml:space="preserve">0,00 </v>
      </c>
      <c r="CI7" s="96" t="e">
        <f>#REF!</f>
        <v>#REF!</v>
      </c>
      <c r="CJ7" s="94" t="str">
        <f t="shared" ref="CJ7:CK36" si="54">IF($E7&lt;&gt;0,IF($E7&lt;&gt;0,AF7/$E7*10,0),"0,00")</f>
        <v>0,00</v>
      </c>
      <c r="CK7" s="94" t="str">
        <f t="shared" si="54"/>
        <v>0,00</v>
      </c>
      <c r="CL7" s="95" t="str">
        <f>IF($E7&lt;&gt;0,IF($E7&lt;&gt;0,AH7/$E7*10,0),"0,00 ")</f>
        <v xml:space="preserve">0,00 </v>
      </c>
      <c r="CM7" s="95" t="e">
        <f>#REF!</f>
        <v>#REF!</v>
      </c>
      <c r="CN7" s="94" t="str">
        <f t="shared" ref="CN7:CO36" si="55">IF($F7&lt;&gt;0,IF($F7&lt;&gt;0,AJ7/$F7*10,0),"0,00")</f>
        <v>0,00</v>
      </c>
      <c r="CO7" s="94" t="str">
        <f t="shared" si="55"/>
        <v>0,00</v>
      </c>
      <c r="CP7" s="95" t="str">
        <f t="shared" ref="CP7:CP36" si="56">IF($F7&lt;&gt;0,IF($F7&lt;&gt;0,AL7/$F7*10,0),"0,00 ")</f>
        <v xml:space="preserve">0,00 </v>
      </c>
      <c r="CQ7" s="95" t="e">
        <f>#REF!</f>
        <v>#REF!</v>
      </c>
      <c r="CR7" s="97" t="str">
        <f>IF($G7&lt;&gt;0,IF($G7&lt;&gt;0,AN7/$G7*10,0),"0,00 ")</f>
        <v xml:space="preserve">0,00 </v>
      </c>
      <c r="CS7" s="95" t="str">
        <f>IF($G7&lt;&gt;0,IF($G7&lt;&gt;0,AO7/$G7*10,0),"0,00 ")</f>
        <v xml:space="preserve">0,00 </v>
      </c>
      <c r="CT7" s="96" t="e">
        <f>#REF!</f>
        <v>#REF!</v>
      </c>
      <c r="CU7" s="97" t="str">
        <f>IF($H7&lt;&gt;0,IF($H7&lt;&gt;0,AP7/$H7*10,0),"0,00 ")</f>
        <v xml:space="preserve">0,00 </v>
      </c>
      <c r="CV7" s="95" t="str">
        <f t="shared" ref="CV7:CV36" si="57">IF($H7&lt;&gt;0,IF($H7&lt;&gt;0,AQ7/$H7*10,0),"0,00 ")</f>
        <v xml:space="preserve">0,00 </v>
      </c>
      <c r="CW7" s="96" t="e">
        <f>#REF!</f>
        <v>#REF!</v>
      </c>
      <c r="CX7" s="97">
        <f t="shared" ref="CX7:DA26" si="58">IF($O7&lt;&gt;0,IF($O7&lt;&gt;0,AU7/$O7*10,0)," ")</f>
        <v>0</v>
      </c>
      <c r="CY7" s="98">
        <f t="shared" si="58"/>
        <v>0</v>
      </c>
      <c r="CZ7" s="97">
        <f t="shared" si="58"/>
        <v>0</v>
      </c>
      <c r="DA7" s="98">
        <f t="shared" si="58"/>
        <v>0</v>
      </c>
      <c r="DB7" s="94">
        <f t="shared" si="11"/>
        <v>0</v>
      </c>
      <c r="DC7" s="94">
        <f t="shared" si="12"/>
        <v>0</v>
      </c>
      <c r="DD7" s="94">
        <f t="shared" si="12"/>
        <v>0</v>
      </c>
      <c r="DE7" s="94">
        <f t="shared" si="12"/>
        <v>0</v>
      </c>
      <c r="DF7" s="94">
        <f t="shared" si="12"/>
        <v>0</v>
      </c>
      <c r="DG7" s="94">
        <f t="shared" si="12"/>
        <v>0</v>
      </c>
      <c r="DH7" s="95">
        <f t="shared" si="12"/>
        <v>0</v>
      </c>
      <c r="DI7" s="96" t="e">
        <f>#REF!</f>
        <v>#REF!</v>
      </c>
      <c r="DJ7" s="95">
        <f t="shared" ref="DJ7:DJ36" si="59">IF($O7&lt;&gt;0,IF($O7&lt;&gt;0,BH7/$O7*10,0)," ")</f>
        <v>87.27246036406342</v>
      </c>
      <c r="DK7" s="96" t="e">
        <f>#REF!</f>
        <v>#REF!</v>
      </c>
      <c r="DL7" s="95" t="e">
        <f t="shared" ref="DL7:DL36" si="60">IF($O7&lt;&gt;0,BI7/$O7*10," ")</f>
        <v>#VALUE!</v>
      </c>
      <c r="DM7" s="96">
        <f t="shared" si="13"/>
        <v>0</v>
      </c>
      <c r="DN7" s="94">
        <f t="shared" si="14"/>
        <v>0.53141514973576043</v>
      </c>
      <c r="DO7" s="100">
        <v>3.4</v>
      </c>
      <c r="DP7" s="94">
        <f>IF($O7&lt;&gt;0,IF($O7&lt;&gt;0,BL7/$O7*10,0)," ")</f>
        <v>87.27246036406342</v>
      </c>
      <c r="DQ7" s="94">
        <f>IF($P7&lt;&gt;0,IF($P7&lt;&gt;0,BM7/$P7*10,0)," ")</f>
        <v>5.7437449118749528</v>
      </c>
      <c r="DR7" s="101">
        <f t="shared" si="15"/>
        <v>3.17</v>
      </c>
      <c r="DS7" s="116"/>
      <c r="DT7" s="103">
        <v>2</v>
      </c>
      <c r="DU7" s="135">
        <v>632967</v>
      </c>
      <c r="DV7" s="135">
        <v>29039</v>
      </c>
      <c r="DW7" s="135">
        <v>5148811</v>
      </c>
      <c r="DX7" s="135">
        <v>122404</v>
      </c>
      <c r="DY7" s="135">
        <v>86291.7</v>
      </c>
      <c r="DZ7" s="135">
        <v>403102</v>
      </c>
      <c r="EA7" s="136">
        <v>238595</v>
      </c>
      <c r="EB7" s="136">
        <v>55411.9</v>
      </c>
      <c r="EC7" s="136">
        <v>419117</v>
      </c>
      <c r="ED7" s="135">
        <v>48115.6</v>
      </c>
      <c r="EE7" s="136">
        <v>40550</v>
      </c>
      <c r="EF7" s="136">
        <v>43070.1</v>
      </c>
      <c r="EG7" s="135">
        <v>94081.5</v>
      </c>
      <c r="EH7" s="135">
        <v>185884.2</v>
      </c>
      <c r="EI7" s="135">
        <v>33659</v>
      </c>
      <c r="EJ7" s="136">
        <v>42369</v>
      </c>
      <c r="EK7" s="136"/>
      <c r="EL7" s="135">
        <v>714509.2</v>
      </c>
      <c r="EM7" s="135">
        <v>72.400000000000006</v>
      </c>
      <c r="EN7" s="136">
        <v>46714.9</v>
      </c>
      <c r="EO7" s="135">
        <v>3097518.6</v>
      </c>
      <c r="EP7" s="136">
        <v>2809874</v>
      </c>
      <c r="EQ7" s="136">
        <v>0</v>
      </c>
      <c r="ER7" s="136">
        <v>1324</v>
      </c>
      <c r="ES7" s="136">
        <v>393831</v>
      </c>
      <c r="ET7" s="136">
        <v>5172648</v>
      </c>
      <c r="EU7" s="136">
        <v>444257</v>
      </c>
      <c r="EV7" s="136">
        <v>151740</v>
      </c>
      <c r="EW7" s="136">
        <v>128919</v>
      </c>
      <c r="EX7" s="135">
        <v>216521.8</v>
      </c>
      <c r="EY7" s="135">
        <v>1692570</v>
      </c>
      <c r="EZ7" s="135">
        <v>804065.8</v>
      </c>
      <c r="FA7" s="135">
        <v>757962</v>
      </c>
      <c r="FB7" s="136">
        <v>31806</v>
      </c>
      <c r="FC7" s="135">
        <v>0</v>
      </c>
      <c r="FD7" s="303">
        <f>SUM(FE7:FM7)</f>
        <v>1189</v>
      </c>
      <c r="FE7" s="105">
        <f>FE40-FE39</f>
        <v>0</v>
      </c>
      <c r="FF7" s="123">
        <v>0</v>
      </c>
      <c r="FG7" s="105">
        <f t="shared" si="16"/>
        <v>42</v>
      </c>
      <c r="FH7" s="123">
        <v>749</v>
      </c>
      <c r="FI7" s="123">
        <v>0</v>
      </c>
      <c r="FJ7" s="105">
        <f t="shared" si="17"/>
        <v>281</v>
      </c>
      <c r="FK7" s="123">
        <v>0</v>
      </c>
      <c r="FL7" s="123">
        <v>0</v>
      </c>
      <c r="FM7" s="123">
        <v>117</v>
      </c>
      <c r="FN7" s="80">
        <v>0</v>
      </c>
      <c r="FO7" s="77"/>
      <c r="FP7" s="353"/>
      <c r="FR7" s="64"/>
      <c r="FS7" s="64"/>
      <c r="FT7" s="64"/>
      <c r="FU7" s="64"/>
      <c r="FV7" s="64"/>
      <c r="FW7" s="64"/>
      <c r="FX7" s="64"/>
      <c r="FY7" s="64">
        <v>2</v>
      </c>
      <c r="FZ7" s="107"/>
      <c r="GA7" s="107">
        <v>83</v>
      </c>
      <c r="GB7" s="108"/>
      <c r="GC7" s="109"/>
      <c r="GD7" s="110"/>
      <c r="GE7" s="110"/>
      <c r="GF7" s="111"/>
      <c r="GG7" s="111"/>
      <c r="GH7" s="111"/>
      <c r="GI7" s="112"/>
      <c r="GJ7" s="111" t="e">
        <f t="shared" ref="GJ7:GJ37" si="61">(SUM(EQ6+ER6)/(GB7+GI7))</f>
        <v>#DIV/0!</v>
      </c>
      <c r="GK7" s="118"/>
    </row>
    <row r="8" spans="1:194" s="119" customFormat="1" ht="15" customHeight="1">
      <c r="B8" s="351">
        <v>42981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115">
        <f t="shared" ref="M8:M36" si="62">I8+J8</f>
        <v>0</v>
      </c>
      <c r="N8" s="88">
        <f t="shared" si="18"/>
        <v>0</v>
      </c>
      <c r="O8" s="88">
        <f t="shared" si="19"/>
        <v>0</v>
      </c>
      <c r="P8" s="89">
        <f>(P7+O8)-355.99</f>
        <v>13918.669</v>
      </c>
      <c r="R8" s="170">
        <f t="shared" si="21"/>
        <v>24.5</v>
      </c>
      <c r="S8" s="170">
        <f t="shared" si="22"/>
        <v>18.259999999997671</v>
      </c>
      <c r="T8" s="170">
        <f t="shared" si="1"/>
        <v>5.4</v>
      </c>
      <c r="U8" s="170">
        <f>IF(FB8=0,"",((EN8-EN7)/10))</f>
        <v>0</v>
      </c>
      <c r="V8" s="170">
        <f t="shared" si="23"/>
        <v>112.5</v>
      </c>
      <c r="W8" s="170">
        <f t="shared" si="2"/>
        <v>9.8000000000000007</v>
      </c>
      <c r="X8" s="170">
        <f t="shared" si="24"/>
        <v>112.5</v>
      </c>
      <c r="Y8" s="170">
        <f t="shared" si="25"/>
        <v>0.4</v>
      </c>
      <c r="Z8" s="170">
        <f t="shared" si="3"/>
        <v>9.8000000000000007</v>
      </c>
      <c r="AA8" s="501">
        <f t="shared" si="26"/>
        <v>160.65999999999767</v>
      </c>
      <c r="AB8" s="170">
        <f t="shared" si="27"/>
        <v>157</v>
      </c>
      <c r="AC8" s="170">
        <f t="shared" si="27"/>
        <v>0</v>
      </c>
      <c r="AD8" s="501">
        <f t="shared" si="28"/>
        <v>162</v>
      </c>
      <c r="AE8" s="501">
        <f t="shared" si="29"/>
        <v>5</v>
      </c>
      <c r="AF8" s="170">
        <f t="shared" si="30"/>
        <v>0</v>
      </c>
      <c r="AG8" s="170">
        <f t="shared" si="30"/>
        <v>2.3000000000029104</v>
      </c>
      <c r="AH8" s="501">
        <f t="shared" si="31"/>
        <v>0</v>
      </c>
      <c r="AI8" s="501">
        <f t="shared" si="32"/>
        <v>-2.3000000000029104</v>
      </c>
      <c r="AJ8" s="170">
        <f t="shared" si="33"/>
        <v>38</v>
      </c>
      <c r="AK8" s="170">
        <f t="shared" si="33"/>
        <v>19.5</v>
      </c>
      <c r="AL8" s="501">
        <f t="shared" si="34"/>
        <v>91</v>
      </c>
      <c r="AM8" s="501">
        <f t="shared" si="35"/>
        <v>33.5</v>
      </c>
      <c r="AN8" s="170">
        <f t="shared" si="36"/>
        <v>24.200000000004366</v>
      </c>
      <c r="AO8" s="501">
        <f t="shared" si="4"/>
        <v>45.400000000001455</v>
      </c>
      <c r="AP8" s="170">
        <f t="shared" si="37"/>
        <v>57.5</v>
      </c>
      <c r="AQ8" s="501">
        <f t="shared" si="5"/>
        <v>57.5</v>
      </c>
      <c r="AR8" s="170">
        <f t="shared" si="38"/>
        <v>48.835999999999999</v>
      </c>
      <c r="AS8" s="501">
        <f t="shared" si="39"/>
        <v>-41.163999999999987</v>
      </c>
      <c r="AT8" s="501">
        <f t="shared" si="40"/>
        <v>165.83600000000001</v>
      </c>
      <c r="AU8" s="170">
        <f t="shared" ref="AU8:AU35" si="63">IF(EV8="","",(EV8-EV7))</f>
        <v>201</v>
      </c>
      <c r="AV8" s="501">
        <f t="shared" ref="AV8:AV36" si="64">IF(EI8=0,"",(EI8-EI7))</f>
        <v>48</v>
      </c>
      <c r="AW8" s="170">
        <f t="shared" ref="AW8:AW36" si="65">IF(EU8="","",(EU8-EU7))</f>
        <v>6</v>
      </c>
      <c r="AX8" s="501">
        <f t="shared" ref="AX8:AY36" si="66">IF(EJ8=0,"",(EJ8-EJ7))</f>
        <v>38</v>
      </c>
      <c r="AY8" s="501"/>
      <c r="AZ8" s="170">
        <f t="shared" si="41"/>
        <v>323</v>
      </c>
      <c r="BA8" s="170">
        <v>0</v>
      </c>
      <c r="BB8" s="170">
        <f t="shared" si="42"/>
        <v>42.200000000011642</v>
      </c>
      <c r="BC8" s="170">
        <f t="shared" si="42"/>
        <v>0</v>
      </c>
      <c r="BD8" s="170">
        <f t="shared" si="43"/>
        <v>35</v>
      </c>
      <c r="BE8" s="90"/>
      <c r="BF8" s="90"/>
      <c r="BG8" s="501">
        <f>IFERROR(SUM(BB8:BC8)+AZ8+BD8,"")</f>
        <v>400.20000000001164</v>
      </c>
      <c r="BH8" s="501">
        <f t="shared" si="45"/>
        <v>297</v>
      </c>
      <c r="BI8" s="90">
        <f t="shared" si="6"/>
        <v>-1047.5960000000109</v>
      </c>
      <c r="BJ8" s="90">
        <f t="shared" si="46"/>
        <v>1168.5960000000109</v>
      </c>
      <c r="BK8" s="92"/>
      <c r="BL8" s="93">
        <f t="shared" ref="BL8:BL34" si="67">FD8+FN8</f>
        <v>418</v>
      </c>
      <c r="BM8" s="93">
        <f t="shared" si="47"/>
        <v>8617</v>
      </c>
      <c r="BN8" s="92" t="s">
        <v>125</v>
      </c>
      <c r="BO8" s="94" t="str">
        <f t="shared" si="48"/>
        <v xml:space="preserve"> </v>
      </c>
      <c r="BP8" s="94" t="str">
        <f t="shared" si="48"/>
        <v xml:space="preserve"> </v>
      </c>
      <c r="BQ8" s="94" t="str">
        <f t="shared" si="49"/>
        <v xml:space="preserve"> </v>
      </c>
      <c r="BR8" s="94" t="str">
        <f t="shared" ref="BR8:BR36" si="68">IF($N8&lt;&gt;0,IF($N8&lt;&gt;0,(V8)/$N8*10,0)," ")</f>
        <v xml:space="preserve"> </v>
      </c>
      <c r="BS8" s="94" t="str">
        <f t="shared" si="7"/>
        <v xml:space="preserve"> </v>
      </c>
      <c r="BT8" s="94" t="str">
        <f t="shared" si="7"/>
        <v xml:space="preserve"> </v>
      </c>
      <c r="BU8" s="95" t="str">
        <f t="shared" si="7"/>
        <v xml:space="preserve"> </v>
      </c>
      <c r="BV8" s="94" t="str">
        <f t="shared" si="8"/>
        <v xml:space="preserve"> </v>
      </c>
      <c r="BW8" s="94" t="str">
        <f t="shared" si="8"/>
        <v xml:space="preserve"> </v>
      </c>
      <c r="BX8" s="94" t="str">
        <f t="shared" si="8"/>
        <v xml:space="preserve"> </v>
      </c>
      <c r="BY8" s="94" t="str">
        <f t="shared" si="50"/>
        <v xml:space="preserve"> </v>
      </c>
      <c r="BZ8" s="95" t="str">
        <f t="shared" si="9"/>
        <v xml:space="preserve"> </v>
      </c>
      <c r="CA8" s="96" t="e">
        <f>#REF!</f>
        <v>#REF!</v>
      </c>
      <c r="CB8" s="94" t="str">
        <f t="shared" si="51"/>
        <v xml:space="preserve"> </v>
      </c>
      <c r="CC8" s="95" t="str">
        <f t="shared" si="51"/>
        <v xml:space="preserve"> </v>
      </c>
      <c r="CD8" s="97" t="str">
        <f t="shared" si="10"/>
        <v/>
      </c>
      <c r="CE8" s="98" t="str">
        <f t="shared" si="10"/>
        <v/>
      </c>
      <c r="CF8" s="97" t="str">
        <f t="shared" si="52"/>
        <v>0,00</v>
      </c>
      <c r="CG8" s="94" t="str">
        <f t="shared" si="52"/>
        <v>0,00</v>
      </c>
      <c r="CH8" s="95" t="str">
        <f t="shared" si="53"/>
        <v xml:space="preserve">0,00 </v>
      </c>
      <c r="CI8" s="96" t="e">
        <f>#REF!</f>
        <v>#REF!</v>
      </c>
      <c r="CJ8" s="94" t="str">
        <f t="shared" si="54"/>
        <v>0,00</v>
      </c>
      <c r="CK8" s="94" t="str">
        <f t="shared" si="54"/>
        <v>0,00</v>
      </c>
      <c r="CL8" s="95" t="str">
        <f t="shared" ref="CL8:CL36" si="69">IF($E8&lt;&gt;0,IF($E8&lt;&gt;0,AH8/$E8*10,0),"0,00 ")</f>
        <v xml:space="preserve">0,00 </v>
      </c>
      <c r="CM8" s="95" t="e">
        <f>#REF!</f>
        <v>#REF!</v>
      </c>
      <c r="CN8" s="94" t="str">
        <f t="shared" si="55"/>
        <v>0,00</v>
      </c>
      <c r="CO8" s="94" t="str">
        <f t="shared" si="55"/>
        <v>0,00</v>
      </c>
      <c r="CP8" s="95" t="str">
        <f t="shared" si="56"/>
        <v xml:space="preserve">0,00 </v>
      </c>
      <c r="CQ8" s="95" t="e">
        <f>#REF!</f>
        <v>#REF!</v>
      </c>
      <c r="CR8" s="97" t="str">
        <f t="shared" ref="CR8:CS36" si="70">IF($G8&lt;&gt;0,IF($G8&lt;&gt;0,AN8/$G8*10,0),"0,00 ")</f>
        <v xml:space="preserve">0,00 </v>
      </c>
      <c r="CS8" s="95" t="str">
        <f t="shared" si="70"/>
        <v xml:space="preserve">0,00 </v>
      </c>
      <c r="CT8" s="96" t="e">
        <f>#REF!</f>
        <v>#REF!</v>
      </c>
      <c r="CU8" s="97" t="str">
        <f t="shared" ref="CU8:CU36" si="71">IF($H8&lt;&gt;0,IF($H8&lt;&gt;0,AP8/$H8*10,0),"0,00 ")</f>
        <v xml:space="preserve">0,00 </v>
      </c>
      <c r="CV8" s="95" t="str">
        <f t="shared" si="57"/>
        <v xml:space="preserve">0,00 </v>
      </c>
      <c r="CW8" s="96" t="e">
        <f>#REF!</f>
        <v>#REF!</v>
      </c>
      <c r="CX8" s="97" t="str">
        <f t="shared" si="58"/>
        <v xml:space="preserve"> </v>
      </c>
      <c r="CY8" s="98" t="str">
        <f t="shared" si="58"/>
        <v xml:space="preserve"> </v>
      </c>
      <c r="CZ8" s="97" t="str">
        <f t="shared" si="58"/>
        <v xml:space="preserve"> </v>
      </c>
      <c r="DA8" s="98" t="str">
        <f t="shared" si="58"/>
        <v xml:space="preserve"> </v>
      </c>
      <c r="DB8" s="94" t="str">
        <f t="shared" si="11"/>
        <v xml:space="preserve"> </v>
      </c>
      <c r="DC8" s="94" t="str">
        <f t="shared" si="12"/>
        <v xml:space="preserve"> </v>
      </c>
      <c r="DD8" s="94" t="str">
        <f t="shared" si="12"/>
        <v xml:space="preserve"> </v>
      </c>
      <c r="DE8" s="94" t="str">
        <f t="shared" si="12"/>
        <v xml:space="preserve"> </v>
      </c>
      <c r="DF8" s="94" t="str">
        <f t="shared" si="12"/>
        <v xml:space="preserve"> </v>
      </c>
      <c r="DG8" s="94" t="str">
        <f t="shared" si="12"/>
        <v xml:space="preserve"> </v>
      </c>
      <c r="DH8" s="95" t="str">
        <f t="shared" si="12"/>
        <v xml:space="preserve"> </v>
      </c>
      <c r="DI8" s="96" t="e">
        <f>#REF!</f>
        <v>#REF!</v>
      </c>
      <c r="DJ8" s="95" t="str">
        <f t="shared" si="59"/>
        <v xml:space="preserve"> </v>
      </c>
      <c r="DK8" s="96" t="e">
        <f>#REF!</f>
        <v>#REF!</v>
      </c>
      <c r="DL8" s="95" t="str">
        <f t="shared" si="60"/>
        <v xml:space="preserve"> </v>
      </c>
      <c r="DM8" s="96">
        <f t="shared" si="13"/>
        <v>0</v>
      </c>
      <c r="DN8" s="94" t="str">
        <f t="shared" si="14"/>
        <v/>
      </c>
      <c r="DO8" s="100">
        <v>3.4</v>
      </c>
      <c r="DP8" s="94" t="str">
        <f>IF($O8&lt;&gt;0,IF($O8&lt;&gt;0,BL8/$O8*10,0)," ")</f>
        <v xml:space="preserve"> </v>
      </c>
      <c r="DQ8" s="94">
        <f>IF($P8&lt;&gt;0,IF($P8&lt;&gt;0,BM8/$P8*10,0)," ")</f>
        <v>6.1909655298218524</v>
      </c>
      <c r="DR8" s="101">
        <f t="shared" si="15"/>
        <v>3.17</v>
      </c>
      <c r="DS8" s="116"/>
      <c r="DT8" s="103">
        <v>3</v>
      </c>
      <c r="DU8" s="135">
        <v>633124</v>
      </c>
      <c r="DV8" s="135">
        <v>29039</v>
      </c>
      <c r="DW8" s="136">
        <v>5148816</v>
      </c>
      <c r="DX8" s="135">
        <v>122404</v>
      </c>
      <c r="DY8" s="136">
        <v>86294</v>
      </c>
      <c r="DZ8" s="136">
        <v>403102</v>
      </c>
      <c r="EA8" s="135">
        <v>238633</v>
      </c>
      <c r="EB8" s="136">
        <v>55431.4</v>
      </c>
      <c r="EC8" s="136">
        <v>419170</v>
      </c>
      <c r="ED8" s="135">
        <v>48139.8</v>
      </c>
      <c r="EE8" s="125">
        <v>40579.5</v>
      </c>
      <c r="EF8" s="125">
        <v>43086</v>
      </c>
      <c r="EG8" s="135">
        <v>94139</v>
      </c>
      <c r="EH8" s="135">
        <v>185892.5</v>
      </c>
      <c r="EI8" s="135">
        <v>33707</v>
      </c>
      <c r="EJ8" s="136">
        <v>42407</v>
      </c>
      <c r="EK8" s="136"/>
      <c r="EL8" s="135">
        <v>714533.7</v>
      </c>
      <c r="EM8" s="136">
        <v>54</v>
      </c>
      <c r="EN8" s="136">
        <v>46714.9</v>
      </c>
      <c r="EO8" s="135">
        <v>3097631.1</v>
      </c>
      <c r="EP8" s="136">
        <v>2809972</v>
      </c>
      <c r="EQ8" s="136">
        <v>4</v>
      </c>
      <c r="ER8" s="136">
        <v>98</v>
      </c>
      <c r="ES8" s="144">
        <v>393948</v>
      </c>
      <c r="ET8" s="136">
        <v>5221484</v>
      </c>
      <c r="EU8" s="136">
        <v>444263</v>
      </c>
      <c r="EV8" s="136">
        <v>151941</v>
      </c>
      <c r="EW8" s="136">
        <v>129242</v>
      </c>
      <c r="EX8" s="135">
        <v>216564</v>
      </c>
      <c r="EY8" s="135">
        <v>1692570</v>
      </c>
      <c r="EZ8" s="146">
        <v>804248.4</v>
      </c>
      <c r="FA8" s="146">
        <v>757997</v>
      </c>
      <c r="FB8" s="125">
        <v>31806.400000000001</v>
      </c>
      <c r="FC8" s="136">
        <v>121</v>
      </c>
      <c r="FD8" s="303">
        <f>SUM(FE8:FM8)</f>
        <v>418</v>
      </c>
      <c r="FE8" s="105">
        <f>FE41-FE40</f>
        <v>0</v>
      </c>
      <c r="FF8" s="123">
        <v>0</v>
      </c>
      <c r="FG8" s="105">
        <f t="shared" si="16"/>
        <v>254</v>
      </c>
      <c r="FH8" s="123">
        <v>1</v>
      </c>
      <c r="FI8" s="123">
        <v>0</v>
      </c>
      <c r="FJ8" s="105">
        <f t="shared" si="17"/>
        <v>105</v>
      </c>
      <c r="FK8" s="123">
        <v>0</v>
      </c>
      <c r="FL8" s="123">
        <v>0</v>
      </c>
      <c r="FM8" s="123">
        <v>58</v>
      </c>
      <c r="FN8" s="80">
        <v>0</v>
      </c>
      <c r="FO8" s="77"/>
      <c r="FP8" s="398"/>
      <c r="FY8" s="119">
        <v>3</v>
      </c>
      <c r="FZ8" s="107"/>
      <c r="GA8" s="107">
        <v>0</v>
      </c>
      <c r="GB8" s="108"/>
      <c r="GC8" s="109"/>
      <c r="GD8" s="110"/>
      <c r="GE8" s="110"/>
      <c r="GF8" s="111"/>
      <c r="GG8" s="111"/>
      <c r="GH8" s="111"/>
      <c r="GI8" s="112"/>
      <c r="GJ8" s="111" t="e">
        <f t="shared" si="61"/>
        <v>#DIV/0!</v>
      </c>
      <c r="GK8" s="113"/>
    </row>
    <row r="9" spans="1:194" s="119" customFormat="1" ht="15" customHeight="1">
      <c r="B9" s="351">
        <v>42982</v>
      </c>
      <c r="D9" s="86">
        <v>0</v>
      </c>
      <c r="E9" s="86">
        <v>0</v>
      </c>
      <c r="F9" s="152">
        <v>2100.4560000000001</v>
      </c>
      <c r="G9" s="86">
        <v>3572.6489999999999</v>
      </c>
      <c r="H9" s="86">
        <v>1930.067</v>
      </c>
      <c r="I9" s="86">
        <v>683.27099999999996</v>
      </c>
      <c r="J9" s="86">
        <v>3647.5200000000004</v>
      </c>
      <c r="K9" s="86">
        <v>0</v>
      </c>
      <c r="L9" s="86">
        <v>0</v>
      </c>
      <c r="M9" s="115">
        <f t="shared" si="62"/>
        <v>4330.7910000000002</v>
      </c>
      <c r="N9" s="88">
        <f t="shared" si="18"/>
        <v>7603.1719999999996</v>
      </c>
      <c r="O9" s="88">
        <f t="shared" si="19"/>
        <v>9768.5674999999992</v>
      </c>
      <c r="P9" s="89">
        <f t="shared" si="20"/>
        <v>23687.236499999999</v>
      </c>
      <c r="R9" s="170">
        <f t="shared" si="21"/>
        <v>158.90000000002328</v>
      </c>
      <c r="S9" s="170">
        <f t="shared" si="22"/>
        <v>275.47999999999303</v>
      </c>
      <c r="T9" s="170">
        <f t="shared" si="1"/>
        <v>843.8</v>
      </c>
      <c r="U9" s="170">
        <f>IF(FB9=0,"",((EN9-EN8)/10))</f>
        <v>2.3799999999995634</v>
      </c>
      <c r="V9" s="170">
        <f>IF(EO9=0,"",(EO9-EO8))</f>
        <v>964.39999999990687</v>
      </c>
      <c r="W9" s="170">
        <f t="shared" si="2"/>
        <v>85.1</v>
      </c>
      <c r="X9" s="170">
        <f t="shared" si="24"/>
        <v>964.39999999990687</v>
      </c>
      <c r="Y9" s="170">
        <f t="shared" si="25"/>
        <v>0.4</v>
      </c>
      <c r="Z9" s="170">
        <f t="shared" si="3"/>
        <v>182.4</v>
      </c>
      <c r="AA9" s="501">
        <f t="shared" si="26"/>
        <v>2244.9599999999227</v>
      </c>
      <c r="AB9" s="170">
        <f t="shared" si="27"/>
        <v>86</v>
      </c>
      <c r="AC9" s="170">
        <f t="shared" si="27"/>
        <v>0</v>
      </c>
      <c r="AD9" s="501">
        <f t="shared" si="28"/>
        <v>382</v>
      </c>
      <c r="AE9" s="501">
        <f t="shared" si="29"/>
        <v>296</v>
      </c>
      <c r="AF9" s="170">
        <f t="shared" si="30"/>
        <v>38</v>
      </c>
      <c r="AG9" s="170">
        <f t="shared" si="30"/>
        <v>2.5</v>
      </c>
      <c r="AH9" s="501">
        <f t="shared" si="31"/>
        <v>207</v>
      </c>
      <c r="AI9" s="501">
        <f t="shared" si="32"/>
        <v>166.5</v>
      </c>
      <c r="AJ9" s="170">
        <f t="shared" si="33"/>
        <v>118</v>
      </c>
      <c r="AK9" s="170">
        <f t="shared" si="33"/>
        <v>11.599999999998545</v>
      </c>
      <c r="AL9" s="501">
        <f t="shared" si="34"/>
        <v>210</v>
      </c>
      <c r="AM9" s="501">
        <f t="shared" si="35"/>
        <v>80.400000000001455</v>
      </c>
      <c r="AN9" s="170">
        <f t="shared" si="36"/>
        <v>0</v>
      </c>
      <c r="AO9" s="501">
        <f t="shared" si="4"/>
        <v>19.099999999998545</v>
      </c>
      <c r="AP9" s="170">
        <f t="shared" si="37"/>
        <v>15.80000000000291</v>
      </c>
      <c r="AQ9" s="501">
        <f t="shared" si="5"/>
        <v>119</v>
      </c>
      <c r="AR9" s="170">
        <f t="shared" si="38"/>
        <v>113.44799999999999</v>
      </c>
      <c r="AS9" s="501">
        <f t="shared" si="39"/>
        <v>222.44799999999998</v>
      </c>
      <c r="AT9" s="501">
        <f t="shared" si="40"/>
        <v>870.44799999999998</v>
      </c>
      <c r="AU9" s="170">
        <f t="shared" si="63"/>
        <v>166</v>
      </c>
      <c r="AV9" s="501">
        <f t="shared" si="64"/>
        <v>32</v>
      </c>
      <c r="AW9" s="170">
        <f t="shared" si="65"/>
        <v>482</v>
      </c>
      <c r="AX9" s="501">
        <f t="shared" si="66"/>
        <v>29</v>
      </c>
      <c r="AY9" s="501"/>
      <c r="AZ9" s="170">
        <f t="shared" si="41"/>
        <v>353</v>
      </c>
      <c r="BA9" s="170">
        <v>27</v>
      </c>
      <c r="BB9" s="170">
        <f t="shared" si="42"/>
        <v>144.60000000000582</v>
      </c>
      <c r="BC9" s="170">
        <f t="shared" si="42"/>
        <v>353.60000000009313</v>
      </c>
      <c r="BD9" s="170">
        <f t="shared" si="43"/>
        <v>25</v>
      </c>
      <c r="BE9" s="90"/>
      <c r="BF9" s="90"/>
      <c r="BG9" s="501">
        <f>IFERROR(SUM(BB9:BC9)+AZ9+BD9,"")</f>
        <v>876.20000000009895</v>
      </c>
      <c r="BH9" s="501">
        <f t="shared" si="45"/>
        <v>15.460000000000036</v>
      </c>
      <c r="BI9" s="90">
        <f t="shared" si="6"/>
        <v>-287.70800000002055</v>
      </c>
      <c r="BJ9" s="90">
        <f t="shared" si="46"/>
        <v>4989.7080000000205</v>
      </c>
      <c r="BK9" s="92"/>
      <c r="BL9" s="93">
        <f t="shared" si="67"/>
        <v>4717.46</v>
      </c>
      <c r="BM9" s="93">
        <f t="shared" si="47"/>
        <v>13334.46</v>
      </c>
      <c r="BN9" s="92"/>
      <c r="BO9" s="94">
        <f t="shared" si="48"/>
        <v>0.20899172082391834</v>
      </c>
      <c r="BP9" s="94">
        <f t="shared" si="48"/>
        <v>0.36232246225653325</v>
      </c>
      <c r="BQ9" s="94">
        <f t="shared" si="49"/>
        <v>1.1097999624367303</v>
      </c>
      <c r="BR9" s="94">
        <f t="shared" si="68"/>
        <v>1.2684179708152163</v>
      </c>
      <c r="BS9" s="94">
        <f t="shared" si="7"/>
        <v>5.260962135277224E-4</v>
      </c>
      <c r="BT9" s="94">
        <f t="shared" si="7"/>
        <v>0.23989987336864141</v>
      </c>
      <c r="BU9" s="95">
        <f t="shared" si="7"/>
        <v>2.9526623888028873</v>
      </c>
      <c r="BV9" s="94">
        <f t="shared" si="8"/>
        <v>0.16266458720792304</v>
      </c>
      <c r="BW9" s="94">
        <f t="shared" si="8"/>
        <v>0.28200654804298897</v>
      </c>
      <c r="BX9" s="94">
        <f t="shared" si="8"/>
        <v>0.86379092942747238</v>
      </c>
      <c r="BY9" s="94">
        <f t="shared" si="50"/>
        <v>0.98724813029127045</v>
      </c>
      <c r="BZ9" s="95">
        <f t="shared" si="9"/>
        <v>2.2981465808573498</v>
      </c>
      <c r="CA9" s="96" t="e">
        <f>#REF!</f>
        <v>#REF!</v>
      </c>
      <c r="CB9" s="94">
        <f t="shared" si="51"/>
        <v>0.11613575890221367</v>
      </c>
      <c r="CC9" s="95">
        <f t="shared" si="51"/>
        <v>0.22771813779246547</v>
      </c>
      <c r="CD9" s="97">
        <f t="shared" si="10"/>
        <v>0.26195676494201636</v>
      </c>
      <c r="CE9" s="98">
        <f t="shared" si="10"/>
        <v>0.51364288879329423</v>
      </c>
      <c r="CF9" s="97" t="str">
        <f t="shared" si="52"/>
        <v>0,00</v>
      </c>
      <c r="CG9" s="94" t="str">
        <f t="shared" si="52"/>
        <v>0,00</v>
      </c>
      <c r="CH9" s="95" t="str">
        <f t="shared" si="53"/>
        <v xml:space="preserve">0,00 </v>
      </c>
      <c r="CI9" s="96" t="e">
        <f>#REF!</f>
        <v>#REF!</v>
      </c>
      <c r="CJ9" s="94" t="str">
        <f t="shared" si="54"/>
        <v>0,00</v>
      </c>
      <c r="CK9" s="94" t="str">
        <f t="shared" si="54"/>
        <v>0,00</v>
      </c>
      <c r="CL9" s="95" t="str">
        <f t="shared" si="69"/>
        <v xml:space="preserve">0,00 </v>
      </c>
      <c r="CM9" s="95" t="e">
        <f>#REF!</f>
        <v>#REF!</v>
      </c>
      <c r="CN9" s="94">
        <f t="shared" si="55"/>
        <v>0.5617827747879508</v>
      </c>
      <c r="CO9" s="94">
        <f t="shared" si="55"/>
        <v>5.5226103284232303E-2</v>
      </c>
      <c r="CP9" s="95">
        <f t="shared" si="56"/>
        <v>0.99978290428364125</v>
      </c>
      <c r="CQ9" s="95" t="e">
        <f>#REF!</f>
        <v>#REF!</v>
      </c>
      <c r="CR9" s="97">
        <f t="shared" si="70"/>
        <v>0</v>
      </c>
      <c r="CS9" s="95">
        <f t="shared" si="70"/>
        <v>5.3461731057259036E-2</v>
      </c>
      <c r="CT9" s="96" t="e">
        <f>#REF!</f>
        <v>#REF!</v>
      </c>
      <c r="CU9" s="97">
        <f t="shared" si="71"/>
        <v>8.1862443117274739E-2</v>
      </c>
      <c r="CV9" s="95">
        <f t="shared" si="57"/>
        <v>0.61655890702239868</v>
      </c>
      <c r="CW9" s="96" t="e">
        <f>#REF!</f>
        <v>#REF!</v>
      </c>
      <c r="CX9" s="97">
        <f t="shared" si="58"/>
        <v>0.16993279720900739</v>
      </c>
      <c r="CY9" s="98">
        <f t="shared" si="58"/>
        <v>3.2758129582459251E-2</v>
      </c>
      <c r="CZ9" s="97">
        <f t="shared" si="58"/>
        <v>0.49341932683579248</v>
      </c>
      <c r="DA9" s="98">
        <f t="shared" si="58"/>
        <v>2.9687054934103698E-2</v>
      </c>
      <c r="DB9" s="94">
        <f t="shared" si="11"/>
        <v>0.36136311695650358</v>
      </c>
      <c r="DC9" s="94">
        <f t="shared" si="12"/>
        <v>0.14802579805074373</v>
      </c>
      <c r="DD9" s="94">
        <f t="shared" si="12"/>
        <v>0.36197733188627007</v>
      </c>
      <c r="DE9" s="94">
        <f t="shared" si="12"/>
        <v>2.5592288736296289E-2</v>
      </c>
      <c r="DF9" s="94">
        <f t="shared" si="12"/>
        <v>0</v>
      </c>
      <c r="DG9" s="94">
        <f t="shared" si="12"/>
        <v>0</v>
      </c>
      <c r="DH9" s="95">
        <f t="shared" si="12"/>
        <v>0.89695853562981376</v>
      </c>
      <c r="DI9" s="96" t="e">
        <f>#REF!</f>
        <v>#REF!</v>
      </c>
      <c r="DJ9" s="95">
        <f t="shared" si="59"/>
        <v>1.5826271354525662E-2</v>
      </c>
      <c r="DK9" s="96" t="e">
        <f>#REF!</f>
        <v>#REF!</v>
      </c>
      <c r="DL9" s="95">
        <f t="shared" si="60"/>
        <v>-0.29452424830971435</v>
      </c>
      <c r="DM9" s="96">
        <f t="shared" si="13"/>
        <v>0</v>
      </c>
      <c r="DN9" s="94">
        <f t="shared" si="14"/>
        <v>5.1079219138323211</v>
      </c>
      <c r="DO9" s="100">
        <v>3.4</v>
      </c>
      <c r="DP9" s="94">
        <f t="shared" ref="DP9:DP33" si="72">IF($O9&lt;&gt;0,IF($O9&lt;&gt;0,BL9/$O9*10,0)," ")</f>
        <v>4.8292239368771321</v>
      </c>
      <c r="DQ9" s="94">
        <f t="shared" ref="DQ9:DQ34" si="73">IF($P9&lt;&gt;0,IF($P9&lt;&gt;0,BM9/$P9*10,0)," ")</f>
        <v>5.6293861042000408</v>
      </c>
      <c r="DR9" s="101">
        <f t="shared" si="15"/>
        <v>3.17</v>
      </c>
      <c r="DS9" s="116"/>
      <c r="DT9" s="103">
        <v>4</v>
      </c>
      <c r="DU9" s="355">
        <v>633210</v>
      </c>
      <c r="DV9" s="355">
        <v>29039</v>
      </c>
      <c r="DW9" s="104">
        <v>5149112</v>
      </c>
      <c r="DX9" s="104">
        <v>122442</v>
      </c>
      <c r="DY9" s="104">
        <v>86296.5</v>
      </c>
      <c r="DZ9" s="104">
        <v>403271</v>
      </c>
      <c r="EA9" s="355">
        <v>238751</v>
      </c>
      <c r="EB9" s="104">
        <v>55443</v>
      </c>
      <c r="EC9" s="104">
        <v>419262</v>
      </c>
      <c r="ED9" s="104">
        <v>48139.8</v>
      </c>
      <c r="EE9" s="104">
        <v>40597.599999999999</v>
      </c>
      <c r="EF9" s="104">
        <v>43087</v>
      </c>
      <c r="EG9" s="355">
        <v>94154.8</v>
      </c>
      <c r="EH9" s="355">
        <v>186011.5</v>
      </c>
      <c r="EI9" s="355">
        <v>33739</v>
      </c>
      <c r="EJ9" s="104">
        <v>42436</v>
      </c>
      <c r="EK9" s="104"/>
      <c r="EL9" s="355">
        <v>714692.6</v>
      </c>
      <c r="EM9" s="104">
        <v>8438</v>
      </c>
      <c r="EN9" s="104">
        <v>46738.7</v>
      </c>
      <c r="EO9" s="355">
        <v>3098595.5</v>
      </c>
      <c r="EP9" s="104">
        <v>2810823</v>
      </c>
      <c r="EQ9" s="104">
        <v>4</v>
      </c>
      <c r="ER9" s="104">
        <v>1824</v>
      </c>
      <c r="ES9" s="80">
        <v>394705</v>
      </c>
      <c r="ET9" s="104">
        <v>5334932</v>
      </c>
      <c r="EU9" s="104">
        <v>444745</v>
      </c>
      <c r="EV9" s="136">
        <v>152107</v>
      </c>
      <c r="EW9" s="104">
        <v>129595</v>
      </c>
      <c r="EX9" s="355">
        <v>216708.6</v>
      </c>
      <c r="EY9" s="355">
        <v>1692923.6</v>
      </c>
      <c r="EZ9" s="377">
        <v>807003.2</v>
      </c>
      <c r="FA9" s="378">
        <v>758022</v>
      </c>
      <c r="FB9" s="379">
        <v>31842.6</v>
      </c>
      <c r="FC9" s="104">
        <v>4702</v>
      </c>
      <c r="FD9" s="104">
        <f>SUM(FE9:FM9)</f>
        <v>4717.46</v>
      </c>
      <c r="FE9" s="105">
        <f>FE42-FE41</f>
        <v>0</v>
      </c>
      <c r="FF9" s="123">
        <v>413</v>
      </c>
      <c r="FG9" s="105">
        <f t="shared" si="16"/>
        <v>1385</v>
      </c>
      <c r="FH9" s="123">
        <v>630</v>
      </c>
      <c r="FI9" s="123">
        <v>424</v>
      </c>
      <c r="FJ9" s="105">
        <f t="shared" si="17"/>
        <v>565</v>
      </c>
      <c r="FK9" s="123">
        <v>899.46</v>
      </c>
      <c r="FL9" s="123">
        <v>0</v>
      </c>
      <c r="FM9" s="123">
        <v>401</v>
      </c>
      <c r="FN9" s="80">
        <v>0</v>
      </c>
      <c r="FO9" s="77"/>
      <c r="FP9" s="484"/>
      <c r="FY9" s="119">
        <v>4</v>
      </c>
      <c r="FZ9" s="107"/>
      <c r="GA9" s="107">
        <v>0</v>
      </c>
      <c r="GB9" s="108"/>
      <c r="GC9" s="109"/>
      <c r="GD9" s="110"/>
      <c r="GE9" s="110"/>
      <c r="GF9" s="111"/>
      <c r="GG9" s="111"/>
      <c r="GH9" s="111"/>
      <c r="GI9" s="112"/>
      <c r="GJ9" s="111" t="e">
        <f t="shared" si="61"/>
        <v>#DIV/0!</v>
      </c>
      <c r="GK9" s="113"/>
    </row>
    <row r="10" spans="1:194" s="119" customFormat="1" ht="15" customHeight="1">
      <c r="B10" s="351">
        <v>42983</v>
      </c>
      <c r="D10" s="128">
        <v>4785.6000000000004</v>
      </c>
      <c r="E10" s="128">
        <v>2748</v>
      </c>
      <c r="F10" s="128">
        <v>3126.672</v>
      </c>
      <c r="G10" s="86">
        <v>4085.681</v>
      </c>
      <c r="H10" s="86">
        <v>8595.3369999999995</v>
      </c>
      <c r="I10" s="525">
        <v>1707.8779999999999</v>
      </c>
      <c r="J10" s="86">
        <v>3770.04</v>
      </c>
      <c r="K10" s="86">
        <v>0</v>
      </c>
      <c r="L10" s="86">
        <v>0</v>
      </c>
      <c r="M10" s="115">
        <f t="shared" si="62"/>
        <v>5477.9179999999997</v>
      </c>
      <c r="N10" s="88">
        <f t="shared" si="18"/>
        <v>23341.29</v>
      </c>
      <c r="O10" s="88">
        <f>(N10+L10+((J10+I10)*0.5))-175</f>
        <v>25905.249</v>
      </c>
      <c r="P10" s="89">
        <f t="shared" si="20"/>
        <v>49592.485499999995</v>
      </c>
      <c r="R10" s="170">
        <f t="shared" si="21"/>
        <v>299.90000000002328</v>
      </c>
      <c r="S10" s="170">
        <f t="shared" si="22"/>
        <v>40.780000000004655</v>
      </c>
      <c r="T10" s="170">
        <f t="shared" si="1"/>
        <v>5.9610000000000003</v>
      </c>
      <c r="U10" s="170">
        <f>IF(FB10=0,"",((EN10-EN9)/10))</f>
        <v>5.4600000000005817</v>
      </c>
      <c r="V10" s="170">
        <f t="shared" si="23"/>
        <v>864.60000000009313</v>
      </c>
      <c r="W10" s="170">
        <f t="shared" si="2"/>
        <v>76.900000000000006</v>
      </c>
      <c r="X10" s="170">
        <f t="shared" si="24"/>
        <v>864.60000000009313</v>
      </c>
      <c r="Y10" s="170">
        <f t="shared" si="25"/>
        <v>59.8</v>
      </c>
      <c r="Z10" s="170">
        <f t="shared" si="3"/>
        <v>129.4</v>
      </c>
      <c r="AA10" s="501">
        <f t="shared" si="26"/>
        <v>1216.7010000001217</v>
      </c>
      <c r="AB10" s="170">
        <f t="shared" si="27"/>
        <v>186</v>
      </c>
      <c r="AC10" s="170">
        <f t="shared" si="27"/>
        <v>77</v>
      </c>
      <c r="AD10" s="501">
        <f t="shared" si="28"/>
        <v>377</v>
      </c>
      <c r="AE10" s="501">
        <f t="shared" si="29"/>
        <v>114</v>
      </c>
      <c r="AF10" s="170">
        <f t="shared" si="30"/>
        <v>96</v>
      </c>
      <c r="AG10" s="170">
        <f t="shared" si="30"/>
        <v>96.30000000000291</v>
      </c>
      <c r="AH10" s="501">
        <f t="shared" si="31"/>
        <v>230</v>
      </c>
      <c r="AI10" s="501">
        <f t="shared" si="32"/>
        <v>37.69999999999709</v>
      </c>
      <c r="AJ10" s="170">
        <f t="shared" si="33"/>
        <v>171</v>
      </c>
      <c r="AK10" s="170">
        <f t="shared" si="33"/>
        <v>7.3000000000029104</v>
      </c>
      <c r="AL10" s="501">
        <f t="shared" si="34"/>
        <v>257</v>
      </c>
      <c r="AM10" s="501">
        <f t="shared" si="35"/>
        <v>78.69999999999709</v>
      </c>
      <c r="AN10" s="170">
        <f t="shared" si="36"/>
        <v>0</v>
      </c>
      <c r="AO10" s="501">
        <f t="shared" si="4"/>
        <v>21.599999999998545</v>
      </c>
      <c r="AP10" s="170">
        <f t="shared" si="37"/>
        <v>29.399999999994179</v>
      </c>
      <c r="AQ10" s="501">
        <f t="shared" si="5"/>
        <v>189.89999999999418</v>
      </c>
      <c r="AR10" s="170">
        <f t="shared" si="38"/>
        <v>110.765</v>
      </c>
      <c r="AS10" s="501">
        <f t="shared" si="39"/>
        <v>166.76499999999999</v>
      </c>
      <c r="AT10" s="501">
        <f t="shared" si="40"/>
        <v>627.76499999999999</v>
      </c>
      <c r="AU10" s="170">
        <f t="shared" si="63"/>
        <v>164</v>
      </c>
      <c r="AV10" s="501">
        <f t="shared" si="64"/>
        <v>35</v>
      </c>
      <c r="AW10" s="170">
        <f t="shared" si="65"/>
        <v>297</v>
      </c>
      <c r="AX10" s="501">
        <f t="shared" si="66"/>
        <v>40</v>
      </c>
      <c r="AY10" s="501"/>
      <c r="AZ10" s="170">
        <f t="shared" si="41"/>
        <v>426</v>
      </c>
      <c r="BA10" s="170">
        <v>21</v>
      </c>
      <c r="BB10" s="170">
        <f t="shared" si="42"/>
        <v>157.39999999999418</v>
      </c>
      <c r="BC10" s="170">
        <f t="shared" si="42"/>
        <v>962.89999999990687</v>
      </c>
      <c r="BD10" s="170">
        <f t="shared" si="43"/>
        <v>347</v>
      </c>
      <c r="BE10" s="90"/>
      <c r="BF10" s="90"/>
      <c r="BG10" s="501">
        <f t="shared" si="44"/>
        <v>1893.299999999901</v>
      </c>
      <c r="BH10" s="501">
        <f t="shared" si="45"/>
        <v>802</v>
      </c>
      <c r="BI10" s="90">
        <f t="shared" si="6"/>
        <v>831.73399999998401</v>
      </c>
      <c r="BJ10" s="90">
        <f t="shared" si="46"/>
        <v>4888.266000000016</v>
      </c>
      <c r="BK10" s="92"/>
      <c r="BL10" s="93">
        <f t="shared" si="67"/>
        <v>6522</v>
      </c>
      <c r="BM10" s="93">
        <f t="shared" si="47"/>
        <v>19856.46</v>
      </c>
      <c r="BN10" s="92"/>
      <c r="BO10" s="94">
        <f t="shared" si="48"/>
        <v>0.12848475812606042</v>
      </c>
      <c r="BP10" s="94">
        <f t="shared" si="48"/>
        <v>1.7471185182997451E-2</v>
      </c>
      <c r="BQ10" s="94">
        <f t="shared" si="49"/>
        <v>2.5538434251063244E-3</v>
      </c>
      <c r="BR10" s="94">
        <f t="shared" si="68"/>
        <v>0.37041654510101762</v>
      </c>
      <c r="BS10" s="94">
        <f t="shared" si="7"/>
        <v>2.5619835064814328E-2</v>
      </c>
      <c r="BT10" s="94">
        <f t="shared" si="7"/>
        <v>5.5438238417842373E-2</v>
      </c>
      <c r="BU10" s="95">
        <f t="shared" si="7"/>
        <v>0.52126553416718679</v>
      </c>
      <c r="BV10" s="94">
        <f t="shared" si="8"/>
        <v>0.11576804376596544</v>
      </c>
      <c r="BW10" s="94">
        <f t="shared" si="8"/>
        <v>1.5741983410390945E-2</v>
      </c>
      <c r="BX10" s="94">
        <f t="shared" si="8"/>
        <v>2.3010780556481044E-3</v>
      </c>
      <c r="BY10" s="94">
        <f t="shared" si="50"/>
        <v>0.33375475371809515</v>
      </c>
      <c r="BZ10" s="95">
        <f t="shared" si="9"/>
        <v>0.46967353990695926</v>
      </c>
      <c r="CA10" s="96" t="e">
        <f>#REF!</f>
        <v>#REF!</v>
      </c>
      <c r="CB10" s="94">
        <f t="shared" si="51"/>
        <v>4.2757743807056242E-2</v>
      </c>
      <c r="CC10" s="95">
        <f t="shared" si="51"/>
        <v>6.4374984390229165E-2</v>
      </c>
      <c r="CD10" s="97">
        <f t="shared" si="10"/>
        <v>0.20220273468861713</v>
      </c>
      <c r="CE10" s="98">
        <f t="shared" si="10"/>
        <v>0.30443135512433739</v>
      </c>
      <c r="CF10" s="97">
        <f t="shared" si="52"/>
        <v>0.38866599799398188</v>
      </c>
      <c r="CG10" s="94">
        <f t="shared" si="52"/>
        <v>0.16089936476094951</v>
      </c>
      <c r="CH10" s="95">
        <f t="shared" si="53"/>
        <v>0.78778000668672676</v>
      </c>
      <c r="CI10" s="96" t="e">
        <f>#REF!</f>
        <v>#REF!</v>
      </c>
      <c r="CJ10" s="94">
        <f t="shared" si="54"/>
        <v>0.34934497816593885</v>
      </c>
      <c r="CK10" s="94">
        <f t="shared" si="54"/>
        <v>0.35043668122271804</v>
      </c>
      <c r="CL10" s="95">
        <f t="shared" si="69"/>
        <v>0.83697234352256189</v>
      </c>
      <c r="CM10" s="95" t="e">
        <f>#REF!</f>
        <v>#REF!</v>
      </c>
      <c r="CN10" s="94">
        <f t="shared" si="55"/>
        <v>0.5469073826739741</v>
      </c>
      <c r="CO10" s="94">
        <f t="shared" si="55"/>
        <v>2.334750814924914E-2</v>
      </c>
      <c r="CP10" s="95">
        <f t="shared" si="56"/>
        <v>0.82196021840474476</v>
      </c>
      <c r="CQ10" s="95" t="e">
        <f>#REF!</f>
        <v>#REF!</v>
      </c>
      <c r="CR10" s="97">
        <f t="shared" si="70"/>
        <v>0</v>
      </c>
      <c r="CS10" s="95">
        <f t="shared" si="70"/>
        <v>5.286756357140595E-2</v>
      </c>
      <c r="CT10" s="96" t="e">
        <f>#REF!</f>
        <v>#REF!</v>
      </c>
      <c r="CU10" s="97">
        <f t="shared" si="71"/>
        <v>3.420459255988937E-2</v>
      </c>
      <c r="CV10" s="95">
        <f t="shared" si="57"/>
        <v>0.22093374582054687</v>
      </c>
      <c r="CW10" s="96" t="e">
        <f>#REF!</f>
        <v>#REF!</v>
      </c>
      <c r="CX10" s="97">
        <f t="shared" si="58"/>
        <v>6.3307633136435018E-2</v>
      </c>
      <c r="CY10" s="98">
        <f t="shared" si="58"/>
        <v>1.3510775364483084E-2</v>
      </c>
      <c r="CZ10" s="97">
        <f t="shared" si="58"/>
        <v>0.11464857952147073</v>
      </c>
      <c r="DA10" s="98">
        <f t="shared" si="58"/>
        <v>1.5440886130837808E-2</v>
      </c>
      <c r="DB10" s="94">
        <f t="shared" si="11"/>
        <v>0.16444543729342265</v>
      </c>
      <c r="DC10" s="94">
        <f t="shared" si="12"/>
        <v>6.0759886924844526E-2</v>
      </c>
      <c r="DD10" s="94">
        <f t="shared" si="12"/>
        <v>0.37170073138455717</v>
      </c>
      <c r="DE10" s="94">
        <f t="shared" si="12"/>
        <v>0.13394968718501798</v>
      </c>
      <c r="DF10" s="94">
        <f t="shared" si="12"/>
        <v>0</v>
      </c>
      <c r="DG10" s="94">
        <f t="shared" si="12"/>
        <v>0</v>
      </c>
      <c r="DH10" s="95">
        <f t="shared" si="12"/>
        <v>0.73085574278784238</v>
      </c>
      <c r="DI10" s="96" t="e">
        <f>#REF!</f>
        <v>#REF!</v>
      </c>
      <c r="DJ10" s="95">
        <f t="shared" si="59"/>
        <v>0.30958976692329809</v>
      </c>
      <c r="DK10" s="96" t="e">
        <f>#REF!</f>
        <v>#REF!</v>
      </c>
      <c r="DL10" s="95">
        <f t="shared" si="60"/>
        <v>0.32106774962865015</v>
      </c>
      <c r="DM10" s="96">
        <f t="shared" si="13"/>
        <v>0</v>
      </c>
      <c r="DN10" s="94">
        <f t="shared" si="14"/>
        <v>1.8869789670811565</v>
      </c>
      <c r="DO10" s="100">
        <v>3.4</v>
      </c>
      <c r="DP10" s="94">
        <f>IF($O10&lt;&gt;0,IF($O10&lt;&gt;0,BL10/$O10*10,0)," ")</f>
        <v>2.5176364836331047</v>
      </c>
      <c r="DQ10" s="94">
        <f>IF($P10&lt;&gt;0,IF($P10&lt;&gt;0,BM10/$P10*10,0)," ")</f>
        <v>4.0039251511199216</v>
      </c>
      <c r="DR10" s="101">
        <f t="shared" si="15"/>
        <v>3.17</v>
      </c>
      <c r="DS10" s="116"/>
      <c r="DT10" s="103">
        <v>5</v>
      </c>
      <c r="DU10" s="183">
        <v>633396</v>
      </c>
      <c r="DV10" s="135">
        <v>29116</v>
      </c>
      <c r="DW10" s="135">
        <v>5149303</v>
      </c>
      <c r="DX10" s="129">
        <v>122538</v>
      </c>
      <c r="DY10" s="135">
        <v>86392.8</v>
      </c>
      <c r="DZ10" s="135">
        <v>403405</v>
      </c>
      <c r="EA10" s="135">
        <v>238922</v>
      </c>
      <c r="EB10" s="136">
        <v>55450.3</v>
      </c>
      <c r="EC10" s="135">
        <v>419348</v>
      </c>
      <c r="ED10" s="135">
        <v>48139.8</v>
      </c>
      <c r="EE10" s="136">
        <v>40611</v>
      </c>
      <c r="EF10" s="136">
        <v>43095.199999999997</v>
      </c>
      <c r="EG10" s="135">
        <v>94184.2</v>
      </c>
      <c r="EH10" s="135">
        <v>186201.4</v>
      </c>
      <c r="EI10" s="135">
        <v>33774</v>
      </c>
      <c r="EJ10" s="136">
        <v>42476</v>
      </c>
      <c r="EK10" s="136"/>
      <c r="EL10" s="135">
        <v>714992.5</v>
      </c>
      <c r="EM10" s="136">
        <v>59.61</v>
      </c>
      <c r="EN10" s="136">
        <v>46793.3</v>
      </c>
      <c r="EO10" s="135">
        <v>3099460.1</v>
      </c>
      <c r="EP10" s="136">
        <v>2811592</v>
      </c>
      <c r="EQ10" s="136">
        <v>598</v>
      </c>
      <c r="ER10" s="136">
        <v>1294</v>
      </c>
      <c r="ES10" s="144">
        <v>395222</v>
      </c>
      <c r="ET10" s="136">
        <v>5445697</v>
      </c>
      <c r="EU10" s="136">
        <v>445042</v>
      </c>
      <c r="EV10" s="136">
        <v>152271</v>
      </c>
      <c r="EW10" s="136">
        <v>130021</v>
      </c>
      <c r="EX10" s="135">
        <v>216866</v>
      </c>
      <c r="EY10" s="135">
        <v>1693886.5</v>
      </c>
      <c r="EZ10" s="135">
        <v>807411</v>
      </c>
      <c r="FA10" s="130">
        <v>758369</v>
      </c>
      <c r="FB10" s="136">
        <v>31857.1</v>
      </c>
      <c r="FC10" s="136">
        <v>5720</v>
      </c>
      <c r="FD10" s="104">
        <f>(SUM(FE10:FM10))</f>
        <v>6522</v>
      </c>
      <c r="FE10" s="105">
        <f>FE43-FE42</f>
        <v>0</v>
      </c>
      <c r="FF10" s="498">
        <v>858</v>
      </c>
      <c r="FG10" s="105">
        <f t="shared" si="16"/>
        <v>1198</v>
      </c>
      <c r="FH10" s="496">
        <v>1353</v>
      </c>
      <c r="FI10" s="496">
        <v>730</v>
      </c>
      <c r="FJ10" s="105">
        <f t="shared" si="17"/>
        <v>866</v>
      </c>
      <c r="FK10" s="496">
        <v>1149</v>
      </c>
      <c r="FL10" s="496">
        <v>0</v>
      </c>
      <c r="FM10" s="496">
        <v>368</v>
      </c>
      <c r="FN10" s="80">
        <v>0</v>
      </c>
      <c r="FO10" s="77"/>
      <c r="FP10" s="484"/>
      <c r="FY10" s="119">
        <v>5</v>
      </c>
      <c r="FZ10" s="107">
        <v>3949</v>
      </c>
      <c r="GA10" s="107">
        <v>188</v>
      </c>
      <c r="GB10" s="108">
        <f>GA10/FZ10/0.1</f>
        <v>0.4760698911116738</v>
      </c>
      <c r="GC10" s="109"/>
      <c r="GD10" s="110"/>
      <c r="GE10" s="110"/>
      <c r="GF10" s="111"/>
      <c r="GG10" s="111"/>
      <c r="GH10" s="111"/>
      <c r="GI10" s="112"/>
      <c r="GJ10" s="111">
        <f t="shared" si="61"/>
        <v>3839.7723404255321</v>
      </c>
      <c r="GK10" s="113"/>
    </row>
    <row r="11" spans="1:194" s="119" customFormat="1" ht="15.75" customHeight="1">
      <c r="B11" s="351">
        <v>42984</v>
      </c>
      <c r="D11" s="128">
        <v>3856.8</v>
      </c>
      <c r="E11" s="128">
        <v>5167.2</v>
      </c>
      <c r="F11" s="128">
        <v>2664.576</v>
      </c>
      <c r="G11" s="86">
        <v>5178.7120000000004</v>
      </c>
      <c r="H11" s="86">
        <v>2785.6669999999999</v>
      </c>
      <c r="I11" s="86">
        <v>815.17600000000004</v>
      </c>
      <c r="J11" s="86">
        <v>4890.96</v>
      </c>
      <c r="K11" s="86">
        <v>0</v>
      </c>
      <c r="L11" s="86">
        <v>818.71</v>
      </c>
      <c r="M11" s="115">
        <f t="shared" si="62"/>
        <v>5706.1360000000004</v>
      </c>
      <c r="N11" s="88">
        <f t="shared" si="18"/>
        <v>19652.955000000002</v>
      </c>
      <c r="O11" s="88">
        <f>N11+L11+K11+((J11+I11)*0.5)</f>
        <v>23324.733</v>
      </c>
      <c r="P11" s="89">
        <f t="shared" si="20"/>
        <v>72917.218499999988</v>
      </c>
      <c r="R11" s="170">
        <f t="shared" si="21"/>
        <v>216.40000000002328</v>
      </c>
      <c r="S11" s="170">
        <f t="shared" si="22"/>
        <v>100.03000000000466</v>
      </c>
      <c r="T11" s="170">
        <f t="shared" si="1"/>
        <v>5.63</v>
      </c>
      <c r="U11" s="170">
        <f t="shared" ref="U11:U35" si="74">IF(FB11=0,"",((EN11-EN10)/10))</f>
        <v>4.0999999999999996</v>
      </c>
      <c r="V11" s="170">
        <f t="shared" si="23"/>
        <v>1063.1999999997206</v>
      </c>
      <c r="W11" s="170">
        <f t="shared" si="2"/>
        <v>93.9</v>
      </c>
      <c r="X11" s="170">
        <f t="shared" si="24"/>
        <v>1063.1999999997206</v>
      </c>
      <c r="Y11" s="170">
        <f t="shared" si="25"/>
        <v>91.6</v>
      </c>
      <c r="Z11" s="170">
        <f t="shared" si="3"/>
        <v>141.5</v>
      </c>
      <c r="AA11" s="501">
        <f t="shared" si="26"/>
        <v>1389.3599999997487</v>
      </c>
      <c r="AB11" s="170">
        <f t="shared" si="27"/>
        <v>149</v>
      </c>
      <c r="AC11" s="170">
        <f t="shared" si="27"/>
        <v>45</v>
      </c>
      <c r="AD11" s="501">
        <f t="shared" si="28"/>
        <v>365</v>
      </c>
      <c r="AE11" s="501">
        <f t="shared" si="29"/>
        <v>171</v>
      </c>
      <c r="AF11" s="170">
        <f t="shared" si="30"/>
        <v>93</v>
      </c>
      <c r="AG11" s="170">
        <f>IF(DY11=0,"",(DY11-DY10))</f>
        <v>33.399999999994179</v>
      </c>
      <c r="AH11" s="501">
        <f t="shared" si="31"/>
        <v>171</v>
      </c>
      <c r="AI11" s="501">
        <f t="shared" si="32"/>
        <v>44.600000000005821</v>
      </c>
      <c r="AJ11" s="170">
        <f t="shared" si="33"/>
        <v>132</v>
      </c>
      <c r="AK11" s="170">
        <f t="shared" si="33"/>
        <v>8.8999999999941792</v>
      </c>
      <c r="AL11" s="501">
        <f t="shared" si="34"/>
        <v>232</v>
      </c>
      <c r="AM11" s="501">
        <f t="shared" si="35"/>
        <v>91.100000000005821</v>
      </c>
      <c r="AN11" s="170">
        <f t="shared" si="36"/>
        <v>25.5</v>
      </c>
      <c r="AO11" s="501">
        <f t="shared" si="4"/>
        <v>59.100000000005821</v>
      </c>
      <c r="AP11" s="170">
        <f t="shared" si="37"/>
        <v>53.80000000000291</v>
      </c>
      <c r="AQ11" s="501">
        <f t="shared" si="5"/>
        <v>196.20000000001164</v>
      </c>
      <c r="AR11" s="170">
        <f t="shared" si="38"/>
        <v>102.617</v>
      </c>
      <c r="AS11" s="501">
        <f t="shared" si="39"/>
        <v>263.61699999999996</v>
      </c>
      <c r="AT11" s="501">
        <f t="shared" si="40"/>
        <v>771.61699999999996</v>
      </c>
      <c r="AU11" s="170">
        <f t="shared" si="63"/>
        <v>141</v>
      </c>
      <c r="AV11" s="501">
        <f t="shared" si="64"/>
        <v>33</v>
      </c>
      <c r="AW11" s="170">
        <f t="shared" si="65"/>
        <v>367</v>
      </c>
      <c r="AX11" s="501">
        <f t="shared" si="66"/>
        <v>53</v>
      </c>
      <c r="AY11" s="501"/>
      <c r="AZ11" s="170">
        <f t="shared" si="41"/>
        <v>324</v>
      </c>
      <c r="BA11" s="170">
        <v>104</v>
      </c>
      <c r="BB11" s="170">
        <f t="shared" si="42"/>
        <v>182.29999999998836</v>
      </c>
      <c r="BC11" s="170">
        <f t="shared" si="42"/>
        <v>769</v>
      </c>
      <c r="BD11" s="170">
        <f t="shared" si="43"/>
        <v>564</v>
      </c>
      <c r="BE11" s="90"/>
      <c r="BF11" s="90"/>
      <c r="BG11" s="501">
        <f t="shared" si="44"/>
        <v>1839.2999999999884</v>
      </c>
      <c r="BH11" s="501">
        <f t="shared" si="45"/>
        <v>3502</v>
      </c>
      <c r="BI11" s="90">
        <f t="shared" si="6"/>
        <v>-2321.5769999997547</v>
      </c>
      <c r="BJ11" s="90">
        <f t="shared" si="46"/>
        <v>5109.5769999997547</v>
      </c>
      <c r="BK11" s="92"/>
      <c r="BL11" s="93">
        <f t="shared" si="67"/>
        <v>6290</v>
      </c>
      <c r="BM11" s="93">
        <f t="shared" si="47"/>
        <v>26146.46</v>
      </c>
      <c r="BN11" s="92"/>
      <c r="BO11" s="94">
        <f t="shared" si="48"/>
        <v>0.11011066783596832</v>
      </c>
      <c r="BP11" s="94">
        <f t="shared" si="48"/>
        <v>5.0898198260772819E-2</v>
      </c>
      <c r="BQ11" s="94">
        <f t="shared" si="49"/>
        <v>2.8647091493365752E-3</v>
      </c>
      <c r="BR11" s="94">
        <f t="shared" si="68"/>
        <v>0.54098734770405799</v>
      </c>
      <c r="BS11" s="94">
        <f t="shared" si="7"/>
        <v>4.66087669767727E-2</v>
      </c>
      <c r="BT11" s="94">
        <f t="shared" si="7"/>
        <v>7.1999350733770048E-2</v>
      </c>
      <c r="BU11" s="95">
        <f t="shared" si="7"/>
        <v>0.70694712321874675</v>
      </c>
      <c r="BV11" s="94">
        <f t="shared" si="8"/>
        <v>9.2777053439378393E-2</v>
      </c>
      <c r="BW11" s="94">
        <f t="shared" si="8"/>
        <v>4.2885807095843144E-2</v>
      </c>
      <c r="BX11" s="94">
        <f t="shared" si="8"/>
        <v>2.4137468154512209E-3</v>
      </c>
      <c r="BY11" s="94">
        <f t="shared" si="50"/>
        <v>0.45582515349681413</v>
      </c>
      <c r="BZ11" s="95">
        <f t="shared" si="9"/>
        <v>0.59565955160119033</v>
      </c>
      <c r="CA11" s="96" t="e">
        <f>#REF!</f>
        <v>#REF!</v>
      </c>
      <c r="CB11" s="94">
        <f t="shared" si="51"/>
        <v>4.3994930188482759E-2</v>
      </c>
      <c r="CC11" s="95">
        <f t="shared" si="51"/>
        <v>0.11302037198024945</v>
      </c>
      <c r="CD11" s="97">
        <f t="shared" si="10"/>
        <v>0.17983623243469837</v>
      </c>
      <c r="CE11" s="98">
        <f t="shared" si="10"/>
        <v>0.46198863819579472</v>
      </c>
      <c r="CF11" s="97">
        <f t="shared" si="52"/>
        <v>0.38633063679734492</v>
      </c>
      <c r="CG11" s="94">
        <f t="shared" si="52"/>
        <v>0.11667703795892967</v>
      </c>
      <c r="CH11" s="95">
        <f t="shared" si="53"/>
        <v>0.94638041900020742</v>
      </c>
      <c r="CI11" s="96" t="e">
        <f>#REF!</f>
        <v>#REF!</v>
      </c>
      <c r="CJ11" s="94">
        <f t="shared" si="54"/>
        <v>0.17998142127264283</v>
      </c>
      <c r="CK11" s="94">
        <f t="shared" si="54"/>
        <v>6.463848893016369E-2</v>
      </c>
      <c r="CL11" s="95">
        <f t="shared" si="69"/>
        <v>0.33093358104969817</v>
      </c>
      <c r="CM11" s="95" t="e">
        <f>#REF!</f>
        <v>#REF!</v>
      </c>
      <c r="CN11" s="94">
        <f t="shared" si="55"/>
        <v>0.49538838449344286</v>
      </c>
      <c r="CO11" s="94">
        <f t="shared" si="55"/>
        <v>3.3401186530217862E-2</v>
      </c>
      <c r="CP11" s="95">
        <f t="shared" si="56"/>
        <v>0.87068261517029344</v>
      </c>
      <c r="CQ11" s="95" t="e">
        <f>#REF!</f>
        <v>#REF!</v>
      </c>
      <c r="CR11" s="97">
        <f t="shared" si="70"/>
        <v>4.924004269787545E-2</v>
      </c>
      <c r="CS11" s="95">
        <f t="shared" si="70"/>
        <v>0.11412104013508728</v>
      </c>
      <c r="CT11" s="96" t="e">
        <f>#REF!</f>
        <v>#REF!</v>
      </c>
      <c r="CU11" s="97">
        <f t="shared" si="71"/>
        <v>0.19313148341134426</v>
      </c>
      <c r="CV11" s="95">
        <f t="shared" si="57"/>
        <v>0.70431964768226663</v>
      </c>
      <c r="CW11" s="96" t="e">
        <f>#REF!</f>
        <v>#REF!</v>
      </c>
      <c r="CX11" s="97">
        <f t="shared" si="58"/>
        <v>6.0450852749311217E-2</v>
      </c>
      <c r="CY11" s="98">
        <f t="shared" si="58"/>
        <v>1.4148071920051561E-2</v>
      </c>
      <c r="CZ11" s="97">
        <f t="shared" si="58"/>
        <v>0.15734370892905827</v>
      </c>
      <c r="DA11" s="98">
        <f t="shared" si="58"/>
        <v>2.2722660962507052E-2</v>
      </c>
      <c r="DB11" s="94">
        <f t="shared" si="11"/>
        <v>0.13890834248777895</v>
      </c>
      <c r="DC11" s="94">
        <f t="shared" si="12"/>
        <v>7.8157379121976817E-2</v>
      </c>
      <c r="DD11" s="94">
        <f t="shared" si="12"/>
        <v>0.32969294868241361</v>
      </c>
      <c r="DE11" s="94">
        <f t="shared" si="12"/>
        <v>0.24180341099724487</v>
      </c>
      <c r="DF11" s="94">
        <f t="shared" si="12"/>
        <v>0</v>
      </c>
      <c r="DG11" s="94">
        <f t="shared" si="12"/>
        <v>0</v>
      </c>
      <c r="DH11" s="95">
        <f t="shared" si="12"/>
        <v>0.7885620812894143</v>
      </c>
      <c r="DI11" s="96" t="e">
        <f>#REF!</f>
        <v>#REF!</v>
      </c>
      <c r="DJ11" s="95">
        <f t="shared" si="59"/>
        <v>1.5014105413339565</v>
      </c>
      <c r="DK11" s="96" t="e">
        <f>#REF!</f>
        <v>#REF!</v>
      </c>
      <c r="DL11" s="95">
        <f t="shared" si="60"/>
        <v>-0.99532843527072934</v>
      </c>
      <c r="DM11" s="96">
        <f t="shared" si="13"/>
        <v>0</v>
      </c>
      <c r="DN11" s="94">
        <f t="shared" si="14"/>
        <v>2.190626147789025</v>
      </c>
      <c r="DO11" s="100">
        <v>3.4</v>
      </c>
      <c r="DP11" s="94">
        <f>IF($O11&lt;&gt;0,IF($O11&lt;&gt;0,BL11/$O11*10,0)," ")</f>
        <v>2.6967082538522518</v>
      </c>
      <c r="DQ11" s="94">
        <f t="shared" si="73"/>
        <v>3.5857730914406734</v>
      </c>
      <c r="DR11" s="101">
        <f t="shared" si="15"/>
        <v>3.17</v>
      </c>
      <c r="DS11" s="116"/>
      <c r="DT11" s="103">
        <v>6</v>
      </c>
      <c r="DU11" s="183">
        <v>633545</v>
      </c>
      <c r="DV11" s="135">
        <v>29161</v>
      </c>
      <c r="DW11" s="135">
        <v>5149519</v>
      </c>
      <c r="DX11" s="129">
        <v>122631</v>
      </c>
      <c r="DY11" s="135">
        <v>86426.2</v>
      </c>
      <c r="DZ11" s="135">
        <v>403483</v>
      </c>
      <c r="EA11" s="135">
        <v>239054</v>
      </c>
      <c r="EB11" s="136">
        <v>55459.199999999997</v>
      </c>
      <c r="EC11" s="135">
        <v>419448</v>
      </c>
      <c r="ED11" s="135">
        <v>48165.3</v>
      </c>
      <c r="EE11" s="136">
        <v>40637.800000000003</v>
      </c>
      <c r="EF11" s="136">
        <v>43127.5</v>
      </c>
      <c r="EG11" s="135">
        <v>94238</v>
      </c>
      <c r="EH11" s="135">
        <v>186397.6</v>
      </c>
      <c r="EI11" s="135">
        <v>33807</v>
      </c>
      <c r="EJ11" s="136">
        <v>42529</v>
      </c>
      <c r="EK11" s="136"/>
      <c r="EL11" s="135">
        <v>715208.9</v>
      </c>
      <c r="EM11" s="136">
        <v>56.3</v>
      </c>
      <c r="EN11" s="136">
        <v>46834.3</v>
      </c>
      <c r="EO11" s="135">
        <v>3100523.3</v>
      </c>
      <c r="EP11" s="136">
        <v>2812531</v>
      </c>
      <c r="EQ11" s="136">
        <v>916</v>
      </c>
      <c r="ER11" s="136">
        <v>1415</v>
      </c>
      <c r="ES11" s="144">
        <v>395891</v>
      </c>
      <c r="ET11" s="136">
        <v>5548314</v>
      </c>
      <c r="EU11" s="136">
        <v>445409</v>
      </c>
      <c r="EV11" s="136">
        <v>152412</v>
      </c>
      <c r="EW11" s="136">
        <v>130345</v>
      </c>
      <c r="EX11" s="135">
        <v>217048.3</v>
      </c>
      <c r="EY11" s="135">
        <v>1694655.5</v>
      </c>
      <c r="EZ11" s="135">
        <v>808411.3</v>
      </c>
      <c r="FA11" s="130">
        <v>758933</v>
      </c>
      <c r="FB11" s="136">
        <v>31910.3</v>
      </c>
      <c r="FC11" s="136">
        <v>2788</v>
      </c>
      <c r="FD11" s="104">
        <f>(SUM(FE11:FM11))</f>
        <v>6290</v>
      </c>
      <c r="FE11" s="105">
        <f>10*50</f>
        <v>500</v>
      </c>
      <c r="FF11" s="123">
        <v>640</v>
      </c>
      <c r="FG11" s="105">
        <f t="shared" si="16"/>
        <v>1214</v>
      </c>
      <c r="FH11" s="123">
        <v>1019</v>
      </c>
      <c r="FI11" s="123">
        <v>715</v>
      </c>
      <c r="FJ11" s="105">
        <f t="shared" si="17"/>
        <v>879</v>
      </c>
      <c r="FK11" s="123">
        <v>1007</v>
      </c>
      <c r="FL11" s="123">
        <v>0</v>
      </c>
      <c r="FM11" s="123">
        <v>316</v>
      </c>
      <c r="FN11" s="80">
        <v>0</v>
      </c>
      <c r="FO11" s="104"/>
      <c r="FP11" s="484"/>
      <c r="FY11" s="119">
        <v>6</v>
      </c>
      <c r="FZ11" s="107">
        <v>9080</v>
      </c>
      <c r="GA11" s="107">
        <v>1148</v>
      </c>
      <c r="GB11" s="108">
        <f>GA11/FZ11/0.1</f>
        <v>1.2643171806167399</v>
      </c>
      <c r="GC11" s="109"/>
      <c r="GD11" s="110"/>
      <c r="GE11" s="110"/>
      <c r="GF11" s="111"/>
      <c r="GG11" s="111"/>
      <c r="GH11" s="111"/>
      <c r="GI11" s="112"/>
      <c r="GJ11" s="111">
        <f t="shared" si="61"/>
        <v>1496.459930313589</v>
      </c>
      <c r="GK11" s="113"/>
    </row>
    <row r="12" spans="1:194" s="119" customFormat="1" ht="15" customHeight="1">
      <c r="B12" s="351">
        <v>42985</v>
      </c>
      <c r="D12" s="128">
        <v>6109.32</v>
      </c>
      <c r="E12" s="128">
        <v>0</v>
      </c>
      <c r="F12" s="128">
        <v>2701.3679999999999</v>
      </c>
      <c r="G12" s="86">
        <v>2859.6529999999998</v>
      </c>
      <c r="H12" s="86">
        <v>7083.6479999999992</v>
      </c>
      <c r="I12" s="86">
        <v>1222.2379999999998</v>
      </c>
      <c r="J12" s="86">
        <v>5016.84</v>
      </c>
      <c r="K12" s="86">
        <v>0</v>
      </c>
      <c r="L12" s="86">
        <v>817.44</v>
      </c>
      <c r="M12" s="115">
        <f t="shared" si="62"/>
        <v>6239.0779999999995</v>
      </c>
      <c r="N12" s="88">
        <f t="shared" si="18"/>
        <v>18753.989000000001</v>
      </c>
      <c r="O12" s="88">
        <f>N12+L12+K12+((J12+I12)*0.5)</f>
        <v>22690.968000000001</v>
      </c>
      <c r="P12" s="89">
        <f t="shared" si="20"/>
        <v>95608.186499999982</v>
      </c>
      <c r="R12" s="170">
        <f t="shared" si="21"/>
        <v>249.09999999997672</v>
      </c>
      <c r="S12" s="170">
        <f t="shared" si="22"/>
        <v>36.93999999999069</v>
      </c>
      <c r="T12" s="170">
        <f t="shared" si="1"/>
        <v>3.3</v>
      </c>
      <c r="U12" s="170">
        <f t="shared" si="74"/>
        <v>5.319999999999709</v>
      </c>
      <c r="V12" s="170">
        <f t="shared" si="23"/>
        <v>970.90000000037253</v>
      </c>
      <c r="W12" s="170">
        <f t="shared" si="2"/>
        <v>140.9</v>
      </c>
      <c r="X12" s="170">
        <f t="shared" si="24"/>
        <v>970.90000000037253</v>
      </c>
      <c r="Y12" s="170">
        <f t="shared" si="25"/>
        <v>47.9</v>
      </c>
      <c r="Z12" s="170">
        <f t="shared" si="3"/>
        <v>127.3</v>
      </c>
      <c r="AA12" s="501">
        <f t="shared" si="26"/>
        <v>1265.5600000003396</v>
      </c>
      <c r="AB12" s="170">
        <f t="shared" si="27"/>
        <v>214</v>
      </c>
      <c r="AC12" s="170">
        <f t="shared" si="27"/>
        <v>18</v>
      </c>
      <c r="AD12" s="501">
        <f t="shared" si="28"/>
        <v>408</v>
      </c>
      <c r="AE12" s="501">
        <f t="shared" si="29"/>
        <v>176</v>
      </c>
      <c r="AF12" s="170">
        <f t="shared" si="30"/>
        <v>0</v>
      </c>
      <c r="AG12" s="170">
        <f t="shared" si="30"/>
        <v>0</v>
      </c>
      <c r="AH12" s="501">
        <f t="shared" si="31"/>
        <v>73</v>
      </c>
      <c r="AI12" s="501">
        <f t="shared" si="32"/>
        <v>73</v>
      </c>
      <c r="AJ12" s="170">
        <f t="shared" si="33"/>
        <v>150</v>
      </c>
      <c r="AK12" s="170">
        <f t="shared" si="33"/>
        <v>11.600000000005821</v>
      </c>
      <c r="AL12" s="501">
        <f t="shared" si="34"/>
        <v>267</v>
      </c>
      <c r="AM12" s="501">
        <f t="shared" si="35"/>
        <v>105.39999999999418</v>
      </c>
      <c r="AN12" s="170">
        <f t="shared" si="36"/>
        <v>0</v>
      </c>
      <c r="AO12" s="501">
        <f t="shared" si="4"/>
        <v>18.69999999999709</v>
      </c>
      <c r="AP12" s="170">
        <f t="shared" si="37"/>
        <v>22.899999999994179</v>
      </c>
      <c r="AQ12" s="501">
        <f t="shared" si="5"/>
        <v>27.299999999988358</v>
      </c>
      <c r="AR12" s="170">
        <f t="shared" si="38"/>
        <v>86.031999999999996</v>
      </c>
      <c r="AS12" s="501">
        <f t="shared" si="39"/>
        <v>160.03200000000004</v>
      </c>
      <c r="AT12" s="501">
        <f t="shared" si="40"/>
        <v>970.03200000000004</v>
      </c>
      <c r="AU12" s="170">
        <f t="shared" si="63"/>
        <v>246</v>
      </c>
      <c r="AV12" s="501">
        <f t="shared" si="64"/>
        <v>42</v>
      </c>
      <c r="AW12" s="170">
        <f t="shared" si="65"/>
        <v>564</v>
      </c>
      <c r="AX12" s="501">
        <f t="shared" si="66"/>
        <v>7</v>
      </c>
      <c r="AY12" s="501"/>
      <c r="AZ12" s="170">
        <f t="shared" si="41"/>
        <v>392</v>
      </c>
      <c r="BA12" s="170">
        <v>18</v>
      </c>
      <c r="BB12" s="170">
        <f t="shared" si="42"/>
        <v>184.80000000001746</v>
      </c>
      <c r="BC12" s="170">
        <f t="shared" si="42"/>
        <v>921</v>
      </c>
      <c r="BD12" s="170">
        <f t="shared" si="43"/>
        <v>566</v>
      </c>
      <c r="BE12" s="90"/>
      <c r="BF12" s="90"/>
      <c r="BG12" s="501">
        <f t="shared" si="44"/>
        <v>2063.8000000000175</v>
      </c>
      <c r="BH12" s="501">
        <f t="shared" si="45"/>
        <v>4998.07</v>
      </c>
      <c r="BI12" s="90">
        <f t="shared" si="6"/>
        <v>-3091.3920000003427</v>
      </c>
      <c r="BJ12" s="90">
        <f t="shared" si="46"/>
        <v>5142.3920000003427</v>
      </c>
      <c r="BK12" s="92"/>
      <c r="BL12" s="93">
        <f>FD12+FN12+190</f>
        <v>7049.07</v>
      </c>
      <c r="BM12" s="93">
        <f t="shared" si="47"/>
        <v>33195.53</v>
      </c>
      <c r="BN12" s="92"/>
      <c r="BO12" s="94">
        <f t="shared" si="48"/>
        <v>0.13282507524131357</v>
      </c>
      <c r="BP12" s="94">
        <f t="shared" si="48"/>
        <v>1.9697142831848032E-2</v>
      </c>
      <c r="BQ12" s="94">
        <f t="shared" si="49"/>
        <v>1.7596256455093364E-3</v>
      </c>
      <c r="BR12" s="94">
        <f t="shared" si="68"/>
        <v>0.5177031937047486</v>
      </c>
      <c r="BS12" s="94">
        <f t="shared" si="7"/>
        <v>2.5541232854514311E-2</v>
      </c>
      <c r="BT12" s="94">
        <f t="shared" si="7"/>
        <v>6.7878892325254098E-2</v>
      </c>
      <c r="BU12" s="95">
        <f t="shared" si="7"/>
        <v>0.67482176725193743</v>
      </c>
      <c r="BV12" s="94">
        <f t="shared" si="8"/>
        <v>0.10977936243177316</v>
      </c>
      <c r="BW12" s="94">
        <f t="shared" si="8"/>
        <v>1.6279605171533752E-2</v>
      </c>
      <c r="BX12" s="94">
        <f t="shared" si="8"/>
        <v>1.4543231474302902E-3</v>
      </c>
      <c r="BY12" s="94">
        <f t="shared" si="50"/>
        <v>0.42787949813351833</v>
      </c>
      <c r="BZ12" s="95">
        <f t="shared" si="9"/>
        <v>0.55773733407950676</v>
      </c>
      <c r="CA12" s="96" t="e">
        <f>#REF!</f>
        <v>#REF!</v>
      </c>
      <c r="CB12" s="94">
        <f t="shared" si="51"/>
        <v>3.7914645157491732E-2</v>
      </c>
      <c r="CC12" s="95">
        <f t="shared" si="51"/>
        <v>7.0526739978655842E-2</v>
      </c>
      <c r="CD12" s="97">
        <f t="shared" si="10"/>
        <v>0.13789216932373663</v>
      </c>
      <c r="CE12" s="98">
        <f t="shared" si="10"/>
        <v>0.25649943789771512</v>
      </c>
      <c r="CF12" s="97">
        <f t="shared" si="52"/>
        <v>0.35028448337949236</v>
      </c>
      <c r="CG12" s="94">
        <f t="shared" si="52"/>
        <v>2.9463180845004027E-2</v>
      </c>
      <c r="CH12" s="95">
        <f t="shared" si="53"/>
        <v>0.66783209915342467</v>
      </c>
      <c r="CI12" s="96" t="e">
        <f>#REF!</f>
        <v>#REF!</v>
      </c>
      <c r="CJ12" s="94" t="str">
        <f t="shared" si="54"/>
        <v>0,00</v>
      </c>
      <c r="CK12" s="94" t="str">
        <f t="shared" si="54"/>
        <v>0,00</v>
      </c>
      <c r="CL12" s="95" t="str">
        <f t="shared" si="69"/>
        <v xml:space="preserve">0,00 </v>
      </c>
      <c r="CM12" s="95" t="e">
        <f>#REF!</f>
        <v>#REF!</v>
      </c>
      <c r="CN12" s="94">
        <f t="shared" si="55"/>
        <v>0.55527421661913512</v>
      </c>
      <c r="CO12" s="94">
        <f t="shared" si="55"/>
        <v>4.2941206085234669E-2</v>
      </c>
      <c r="CP12" s="95">
        <f t="shared" si="56"/>
        <v>0.98838810558206069</v>
      </c>
      <c r="CQ12" s="95" t="e">
        <f>#REF!</f>
        <v>#REF!</v>
      </c>
      <c r="CR12" s="97">
        <f t="shared" si="70"/>
        <v>0</v>
      </c>
      <c r="CS12" s="95">
        <f t="shared" si="70"/>
        <v>6.539254937573577E-2</v>
      </c>
      <c r="CT12" s="96" t="e">
        <f>#REF!</f>
        <v>#REF!</v>
      </c>
      <c r="CU12" s="97">
        <f t="shared" si="71"/>
        <v>3.2327975641920921E-2</v>
      </c>
      <c r="CV12" s="95">
        <f t="shared" si="57"/>
        <v>3.8539464411541005E-2</v>
      </c>
      <c r="CW12" s="96" t="e">
        <f>#REF!</f>
        <v>#REF!</v>
      </c>
      <c r="CX12" s="97">
        <f t="shared" si="58"/>
        <v>0.1084131800811671</v>
      </c>
      <c r="CY12" s="98">
        <f t="shared" si="58"/>
        <v>1.8509567330930968E-2</v>
      </c>
      <c r="CZ12" s="97">
        <f t="shared" si="58"/>
        <v>0.24855704701535869</v>
      </c>
      <c r="DA12" s="98">
        <f t="shared" si="58"/>
        <v>3.0849278884884949E-3</v>
      </c>
      <c r="DB12" s="94">
        <f t="shared" si="11"/>
        <v>0.17275596175535568</v>
      </c>
      <c r="DC12" s="94">
        <f t="shared" si="12"/>
        <v>8.1442096256103949E-2</v>
      </c>
      <c r="DD12" s="94">
        <f t="shared" si="12"/>
        <v>0.40588836932827194</v>
      </c>
      <c r="DE12" s="94">
        <f t="shared" si="12"/>
        <v>0.24943845498349826</v>
      </c>
      <c r="DF12" s="94">
        <f t="shared" si="12"/>
        <v>0</v>
      </c>
      <c r="DG12" s="94">
        <f t="shared" si="12"/>
        <v>0</v>
      </c>
      <c r="DH12" s="95">
        <f t="shared" si="12"/>
        <v>0.90952488232322981</v>
      </c>
      <c r="DI12" s="96" t="e">
        <f>#REF!</f>
        <v>#REF!</v>
      </c>
      <c r="DJ12" s="95">
        <f t="shared" si="59"/>
        <v>2.20266936165967</v>
      </c>
      <c r="DK12" s="96" t="e">
        <f>#REF!</f>
        <v>#REF!</v>
      </c>
      <c r="DL12" s="95">
        <f t="shared" si="60"/>
        <v>-1.3623887707216118</v>
      </c>
      <c r="DM12" s="96">
        <f t="shared" si="13"/>
        <v>0</v>
      </c>
      <c r="DN12" s="94">
        <f t="shared" si="14"/>
        <v>2.2662726420487407</v>
      </c>
      <c r="DO12" s="100">
        <v>3.4</v>
      </c>
      <c r="DP12" s="94">
        <f>IF($O12&lt;&gt;0,IF($O12&lt;&gt;0,BL12/$O12*10,0)," ")</f>
        <v>3.1065532329867991</v>
      </c>
      <c r="DQ12" s="94">
        <f t="shared" si="73"/>
        <v>3.4720384535271993</v>
      </c>
      <c r="DR12" s="101">
        <f t="shared" si="15"/>
        <v>3.17</v>
      </c>
      <c r="DS12" s="116"/>
      <c r="DT12" s="134">
        <v>7</v>
      </c>
      <c r="DU12" s="135">
        <v>633759</v>
      </c>
      <c r="DV12" s="135">
        <v>29179</v>
      </c>
      <c r="DW12" s="135">
        <v>5149713</v>
      </c>
      <c r="DX12" s="136">
        <v>122631</v>
      </c>
      <c r="DY12" s="136">
        <v>86426.2</v>
      </c>
      <c r="DZ12" s="136">
        <v>403556</v>
      </c>
      <c r="EA12" s="136">
        <v>239204</v>
      </c>
      <c r="EB12" s="136">
        <v>55470.8</v>
      </c>
      <c r="EC12" s="136">
        <v>419565</v>
      </c>
      <c r="ED12" s="183">
        <v>48165.3</v>
      </c>
      <c r="EE12" s="136">
        <v>40656.5</v>
      </c>
      <c r="EF12" s="136">
        <v>43127.5</v>
      </c>
      <c r="EG12" s="135">
        <v>94260.9</v>
      </c>
      <c r="EH12" s="135">
        <v>186424.9</v>
      </c>
      <c r="EI12" s="135">
        <v>33849</v>
      </c>
      <c r="EJ12" s="136">
        <v>42536</v>
      </c>
      <c r="EK12" s="136"/>
      <c r="EL12" s="135">
        <v>715458</v>
      </c>
      <c r="EM12" s="136">
        <v>33</v>
      </c>
      <c r="EN12" s="136">
        <v>46887.5</v>
      </c>
      <c r="EO12" s="135">
        <v>3101494.2</v>
      </c>
      <c r="EP12" s="136">
        <v>2813940</v>
      </c>
      <c r="EQ12" s="136">
        <v>479</v>
      </c>
      <c r="ER12" s="136">
        <v>1273</v>
      </c>
      <c r="ES12" s="136">
        <v>396775</v>
      </c>
      <c r="ET12" s="136">
        <v>5634346</v>
      </c>
      <c r="EU12" s="136">
        <v>445973</v>
      </c>
      <c r="EV12" s="136">
        <v>152658</v>
      </c>
      <c r="EW12" s="136">
        <v>130737</v>
      </c>
      <c r="EX12" s="135">
        <v>217233.1</v>
      </c>
      <c r="EY12" s="135">
        <v>1695576.5</v>
      </c>
      <c r="EZ12" s="135">
        <v>808780.7</v>
      </c>
      <c r="FA12" s="135">
        <v>759499</v>
      </c>
      <c r="FB12" s="136">
        <v>31941</v>
      </c>
      <c r="FC12" s="136">
        <v>2051</v>
      </c>
      <c r="FD12" s="104">
        <f>(SUM(FE12:FM12))</f>
        <v>6859.07</v>
      </c>
      <c r="FE12" s="105">
        <v>550</v>
      </c>
      <c r="FF12" s="123">
        <v>558</v>
      </c>
      <c r="FG12" s="105">
        <f t="shared" ref="FG12:FG17" si="75">FG45-FG44</f>
        <v>1316</v>
      </c>
      <c r="FH12" s="123">
        <v>1541</v>
      </c>
      <c r="FI12" s="123">
        <v>688</v>
      </c>
      <c r="FJ12" s="105">
        <f t="shared" si="17"/>
        <v>885</v>
      </c>
      <c r="FK12" s="123">
        <v>1013.07</v>
      </c>
      <c r="FL12" s="123">
        <v>0</v>
      </c>
      <c r="FM12" s="123">
        <v>308</v>
      </c>
      <c r="FN12" s="80">
        <v>0</v>
      </c>
      <c r="FO12" s="104"/>
      <c r="FP12" s="484"/>
      <c r="FY12" s="119">
        <v>7</v>
      </c>
      <c r="FZ12" s="107">
        <v>9087</v>
      </c>
      <c r="GA12" s="107">
        <v>1193</v>
      </c>
      <c r="GB12" s="108">
        <f>GA12/FZ12/0.1</f>
        <v>1.312864531748652</v>
      </c>
      <c r="GC12" s="109"/>
      <c r="GD12" s="110"/>
      <c r="GE12" s="110"/>
      <c r="GF12" s="111"/>
      <c r="GG12" s="111"/>
      <c r="GH12" s="111"/>
      <c r="GI12" s="112"/>
      <c r="GJ12" s="111">
        <f t="shared" si="61"/>
        <v>1775.5068734283318</v>
      </c>
      <c r="GK12" s="113"/>
    </row>
    <row r="13" spans="1:194" s="119" customFormat="1" ht="15" customHeight="1">
      <c r="B13" s="351">
        <v>42986</v>
      </c>
      <c r="D13" s="128">
        <v>5184</v>
      </c>
      <c r="E13" s="128">
        <v>3120</v>
      </c>
      <c r="F13" s="128">
        <v>1320.192</v>
      </c>
      <c r="G13" s="86">
        <v>0</v>
      </c>
      <c r="H13" s="86">
        <v>6468.3130000000001</v>
      </c>
      <c r="I13" s="86">
        <v>1456.1</v>
      </c>
      <c r="J13" s="86">
        <v>6635.88</v>
      </c>
      <c r="K13" s="86">
        <v>0</v>
      </c>
      <c r="L13" s="86">
        <v>408.72</v>
      </c>
      <c r="M13" s="115">
        <f t="shared" si="62"/>
        <v>8091.98</v>
      </c>
      <c r="N13" s="88">
        <f t="shared" si="18"/>
        <v>16092.504999999999</v>
      </c>
      <c r="O13" s="88">
        <f>N13+L13+K13+((J13+I13)*0.5)</f>
        <v>20547.214999999997</v>
      </c>
      <c r="P13" s="89">
        <f t="shared" si="20"/>
        <v>116155.40149999998</v>
      </c>
      <c r="R13" s="170">
        <f t="shared" si="21"/>
        <v>170.69999999995343</v>
      </c>
      <c r="S13" s="170">
        <f t="shared" si="22"/>
        <v>25.740000000002329</v>
      </c>
      <c r="T13" s="170">
        <f t="shared" si="1"/>
        <v>4.9530000000000003</v>
      </c>
      <c r="U13" s="170">
        <f t="shared" si="74"/>
        <v>4.3499999999999996</v>
      </c>
      <c r="V13" s="170">
        <f t="shared" si="23"/>
        <v>1008.7999999998137</v>
      </c>
      <c r="W13" s="170">
        <f t="shared" si="2"/>
        <v>35.5</v>
      </c>
      <c r="X13" s="170">
        <f t="shared" si="24"/>
        <v>1008.7999999998137</v>
      </c>
      <c r="Y13" s="170">
        <f t="shared" si="25"/>
        <v>14</v>
      </c>
      <c r="Z13" s="170">
        <f t="shared" si="3"/>
        <v>138</v>
      </c>
      <c r="AA13" s="501">
        <f t="shared" si="26"/>
        <v>1214.5429999997696</v>
      </c>
      <c r="AB13" s="170">
        <f t="shared" si="27"/>
        <v>248</v>
      </c>
      <c r="AC13" s="170">
        <f t="shared" si="27"/>
        <v>31</v>
      </c>
      <c r="AD13" s="501">
        <f t="shared" si="28"/>
        <v>479</v>
      </c>
      <c r="AE13" s="501">
        <f t="shared" si="29"/>
        <v>200</v>
      </c>
      <c r="AF13" s="170">
        <f t="shared" si="30"/>
        <v>118</v>
      </c>
      <c r="AG13" s="170">
        <f t="shared" si="30"/>
        <v>58.600000000005821</v>
      </c>
      <c r="AH13" s="501">
        <f t="shared" si="31"/>
        <v>232</v>
      </c>
      <c r="AI13" s="501">
        <f t="shared" si="32"/>
        <v>55.399999999994179</v>
      </c>
      <c r="AJ13" s="170">
        <f t="shared" si="33"/>
        <v>38</v>
      </c>
      <c r="AK13" s="170">
        <f t="shared" si="33"/>
        <v>37.799999999995634</v>
      </c>
      <c r="AL13" s="501">
        <f t="shared" si="34"/>
        <v>301</v>
      </c>
      <c r="AM13" s="501">
        <f t="shared" si="35"/>
        <v>225.20000000000437</v>
      </c>
      <c r="AN13" s="170">
        <f t="shared" si="36"/>
        <v>0</v>
      </c>
      <c r="AO13" s="501">
        <f t="shared" si="4"/>
        <v>0</v>
      </c>
      <c r="AP13" s="170">
        <f t="shared" si="37"/>
        <v>29.80000000000291</v>
      </c>
      <c r="AQ13" s="501">
        <f t="shared" si="5"/>
        <v>35.899999999994179</v>
      </c>
      <c r="AR13" s="170">
        <f t="shared" si="38"/>
        <v>78.161000000000001</v>
      </c>
      <c r="AS13" s="501">
        <f t="shared" si="39"/>
        <v>308.16100000000006</v>
      </c>
      <c r="AT13" s="501">
        <f t="shared" si="40"/>
        <v>1112.1610000000001</v>
      </c>
      <c r="AU13" s="170">
        <f t="shared" si="63"/>
        <v>190</v>
      </c>
      <c r="AV13" s="501">
        <f t="shared" si="64"/>
        <v>37</v>
      </c>
      <c r="AW13" s="170">
        <f t="shared" si="65"/>
        <v>614</v>
      </c>
      <c r="AX13" s="501">
        <f t="shared" si="66"/>
        <v>20</v>
      </c>
      <c r="AY13" s="501"/>
      <c r="AZ13" s="170">
        <f t="shared" si="41"/>
        <v>230</v>
      </c>
      <c r="BA13" s="170">
        <v>189</v>
      </c>
      <c r="BB13" s="170">
        <f t="shared" si="42"/>
        <v>173.19999999998254</v>
      </c>
      <c r="BC13" s="170">
        <f t="shared" si="42"/>
        <v>784.5</v>
      </c>
      <c r="BD13" s="170">
        <f t="shared" si="43"/>
        <v>591</v>
      </c>
      <c r="BE13" s="90"/>
      <c r="BF13" s="90"/>
      <c r="BG13" s="501">
        <f t="shared" si="44"/>
        <v>1778.6999999999825</v>
      </c>
      <c r="BH13" s="501">
        <f>BL13-FC13</f>
        <v>3483.9799999999996</v>
      </c>
      <c r="BI13" s="90">
        <f t="shared" si="6"/>
        <v>-1401.3039999997463</v>
      </c>
      <c r="BJ13" s="90">
        <f t="shared" si="46"/>
        <v>5210.3039999997463</v>
      </c>
      <c r="BK13" s="92"/>
      <c r="BL13" s="93">
        <f t="shared" si="67"/>
        <v>7292.98</v>
      </c>
      <c r="BM13" s="93">
        <f t="shared" si="47"/>
        <v>40488.509999999995</v>
      </c>
      <c r="BN13" s="92"/>
      <c r="BO13" s="94">
        <f t="shared" si="48"/>
        <v>0.1060742252371234</v>
      </c>
      <c r="BP13" s="94">
        <f t="shared" si="48"/>
        <v>1.5995023770383997E-2</v>
      </c>
      <c r="BQ13" s="94">
        <f t="shared" si="49"/>
        <v>3.077830331573612E-3</v>
      </c>
      <c r="BR13" s="94">
        <f t="shared" si="68"/>
        <v>0.62687567908154374</v>
      </c>
      <c r="BS13" s="94">
        <f t="shared" si="7"/>
        <v>8.6997021284131969E-3</v>
      </c>
      <c r="BT13" s="94">
        <f t="shared" si="7"/>
        <v>8.5754206694358653E-2</v>
      </c>
      <c r="BU13" s="95">
        <f t="shared" si="7"/>
        <v>0.75472588015338171</v>
      </c>
      <c r="BV13" s="94">
        <f t="shared" si="8"/>
        <v>8.307695227793814E-2</v>
      </c>
      <c r="BW13" s="94">
        <f t="shared" si="8"/>
        <v>1.2527245176537225E-2</v>
      </c>
      <c r="BX13" s="94">
        <f t="shared" si="8"/>
        <v>2.4105456627577025E-3</v>
      </c>
      <c r="BY13" s="94">
        <f t="shared" si="50"/>
        <v>0.49096678065607136</v>
      </c>
      <c r="BZ13" s="95">
        <f t="shared" si="9"/>
        <v>0.59109859900710138</v>
      </c>
      <c r="CA13" s="96" t="e">
        <f>#REF!</f>
        <v>#REF!</v>
      </c>
      <c r="CB13" s="94">
        <f t="shared" si="51"/>
        <v>3.8039705137654915E-2</v>
      </c>
      <c r="CC13" s="95">
        <f t="shared" si="51"/>
        <v>0.1499770163499044</v>
      </c>
      <c r="CD13" s="97">
        <f t="shared" si="10"/>
        <v>9.6590698444632847E-2</v>
      </c>
      <c r="CE13" s="98">
        <f t="shared" si="10"/>
        <v>0.38082274054063414</v>
      </c>
      <c r="CF13" s="97">
        <f t="shared" si="52"/>
        <v>0.47839506172839502</v>
      </c>
      <c r="CG13" s="94">
        <f t="shared" si="52"/>
        <v>5.9799382716049378E-2</v>
      </c>
      <c r="CH13" s="95">
        <f t="shared" si="53"/>
        <v>0.92399691358024683</v>
      </c>
      <c r="CI13" s="96" t="e">
        <f>#REF!</f>
        <v>#REF!</v>
      </c>
      <c r="CJ13" s="94">
        <f t="shared" si="54"/>
        <v>0.37820512820512819</v>
      </c>
      <c r="CK13" s="94">
        <f t="shared" si="54"/>
        <v>0.1878205128205315</v>
      </c>
      <c r="CL13" s="95">
        <f t="shared" si="69"/>
        <v>0.74358974358974361</v>
      </c>
      <c r="CM13" s="95" t="e">
        <f>#REF!</f>
        <v>#REF!</v>
      </c>
      <c r="CN13" s="94">
        <f t="shared" si="55"/>
        <v>0.28783692069032385</v>
      </c>
      <c r="CO13" s="94">
        <f t="shared" si="55"/>
        <v>0.28632198952876275</v>
      </c>
      <c r="CP13" s="95">
        <f t="shared" si="56"/>
        <v>2.2799713980996703</v>
      </c>
      <c r="CQ13" s="95" t="e">
        <f>#REF!</f>
        <v>#REF!</v>
      </c>
      <c r="CR13" s="97" t="str">
        <f t="shared" si="70"/>
        <v xml:space="preserve">0,00 </v>
      </c>
      <c r="CS13" s="95" t="str">
        <f t="shared" si="70"/>
        <v xml:space="preserve">0,00 </v>
      </c>
      <c r="CT13" s="96" t="e">
        <f>#REF!</f>
        <v>#REF!</v>
      </c>
      <c r="CU13" s="97">
        <f t="shared" si="71"/>
        <v>4.6070745185031875E-2</v>
      </c>
      <c r="CV13" s="95">
        <f t="shared" si="57"/>
        <v>5.5501333964503852E-2</v>
      </c>
      <c r="CW13" s="96" t="e">
        <f>#REF!</f>
        <v>#REF!</v>
      </c>
      <c r="CX13" s="97">
        <f t="shared" si="58"/>
        <v>9.2469952740553904E-2</v>
      </c>
      <c r="CY13" s="98">
        <f t="shared" si="58"/>
        <v>1.800730658631839E-2</v>
      </c>
      <c r="CZ13" s="97">
        <f t="shared" si="58"/>
        <v>0.29882395254052685</v>
      </c>
      <c r="DA13" s="98">
        <f t="shared" si="58"/>
        <v>9.7336792358477791E-3</v>
      </c>
      <c r="DB13" s="94">
        <f t="shared" si="11"/>
        <v>0.11193731121224947</v>
      </c>
      <c r="DC13" s="94">
        <f t="shared" si="12"/>
        <v>8.4293662182433268E-2</v>
      </c>
      <c r="DD13" s="94">
        <f t="shared" si="12"/>
        <v>0.38180356802612914</v>
      </c>
      <c r="DE13" s="94">
        <f t="shared" si="12"/>
        <v>0.28763022141930189</v>
      </c>
      <c r="DF13" s="94">
        <f t="shared" si="12"/>
        <v>0</v>
      </c>
      <c r="DG13" s="94">
        <f t="shared" si="12"/>
        <v>0</v>
      </c>
      <c r="DH13" s="95">
        <f t="shared" si="12"/>
        <v>0.86566476284011373</v>
      </c>
      <c r="DI13" s="96" t="e">
        <f>#REF!</f>
        <v>#REF!</v>
      </c>
      <c r="DJ13" s="95">
        <f t="shared" si="59"/>
        <v>1.6955971892054471</v>
      </c>
      <c r="DK13" s="96" t="e">
        <f>#REF!</f>
        <v>#REF!</v>
      </c>
      <c r="DL13" s="95">
        <f t="shared" si="60"/>
        <v>-0.68199218239539838</v>
      </c>
      <c r="DM13" s="96">
        <f t="shared" si="13"/>
        <v>0</v>
      </c>
      <c r="DN13" s="94">
        <f t="shared" si="14"/>
        <v>2.5357713928626078</v>
      </c>
      <c r="DO13" s="100">
        <v>3.4</v>
      </c>
      <c r="DP13" s="94">
        <f t="shared" si="72"/>
        <v>3.5493763996726568</v>
      </c>
      <c r="DQ13" s="94">
        <f t="shared" si="73"/>
        <v>3.485719086425783</v>
      </c>
      <c r="DR13" s="101">
        <f t="shared" si="15"/>
        <v>3.17</v>
      </c>
      <c r="DS13" s="116"/>
      <c r="DT13" s="134">
        <v>8</v>
      </c>
      <c r="DU13" s="135">
        <v>634007</v>
      </c>
      <c r="DV13" s="135">
        <v>29210</v>
      </c>
      <c r="DW13" s="135">
        <v>5149944</v>
      </c>
      <c r="DX13" s="136">
        <v>122749</v>
      </c>
      <c r="DY13" s="136">
        <v>86484.800000000003</v>
      </c>
      <c r="DZ13" s="136">
        <v>403670</v>
      </c>
      <c r="EA13" s="136">
        <v>239242</v>
      </c>
      <c r="EB13" s="136">
        <v>55508.6</v>
      </c>
      <c r="EC13" s="136">
        <v>419828</v>
      </c>
      <c r="ED13" s="183">
        <v>48165.3</v>
      </c>
      <c r="EE13" s="136">
        <v>40656.5</v>
      </c>
      <c r="EF13" s="136">
        <v>43127.5</v>
      </c>
      <c r="EG13" s="135">
        <v>94290.7</v>
      </c>
      <c r="EH13" s="135">
        <v>186460.79999999999</v>
      </c>
      <c r="EI13" s="135">
        <v>33886</v>
      </c>
      <c r="EJ13" s="136">
        <v>42556</v>
      </c>
      <c r="EK13" s="136"/>
      <c r="EL13" s="135">
        <v>715628.7</v>
      </c>
      <c r="EM13" s="135">
        <v>49.53</v>
      </c>
      <c r="EN13" s="136">
        <v>46931</v>
      </c>
      <c r="EO13" s="135">
        <v>3102503</v>
      </c>
      <c r="EP13" s="136">
        <v>2814295</v>
      </c>
      <c r="EQ13" s="136">
        <v>140</v>
      </c>
      <c r="ER13" s="136">
        <v>1380</v>
      </c>
      <c r="ES13" s="139">
        <v>397809</v>
      </c>
      <c r="ET13" s="136">
        <v>5712507</v>
      </c>
      <c r="EU13" s="136">
        <v>446587</v>
      </c>
      <c r="EV13" s="136">
        <v>152848</v>
      </c>
      <c r="EW13" s="136">
        <v>130967</v>
      </c>
      <c r="EX13" s="135">
        <v>217406.3</v>
      </c>
      <c r="EY13" s="135">
        <v>1696361</v>
      </c>
      <c r="EZ13" s="140">
        <v>809038.1</v>
      </c>
      <c r="FA13" s="140">
        <v>760090</v>
      </c>
      <c r="FB13" s="136">
        <v>32119.5</v>
      </c>
      <c r="FC13" s="135">
        <v>3809</v>
      </c>
      <c r="FD13" s="104">
        <f>(SUM(FE13:FM13))</f>
        <v>6092.98</v>
      </c>
      <c r="FE13" s="105">
        <f>FE46-FE45</f>
        <v>363</v>
      </c>
      <c r="FF13" s="123">
        <v>517</v>
      </c>
      <c r="FG13" s="105">
        <f t="shared" si="75"/>
        <v>914</v>
      </c>
      <c r="FH13" s="123">
        <v>1376</v>
      </c>
      <c r="FI13" s="123">
        <v>762</v>
      </c>
      <c r="FJ13" s="105">
        <f t="shared" si="17"/>
        <v>847</v>
      </c>
      <c r="FK13" s="123">
        <v>1000.98</v>
      </c>
      <c r="FL13" s="123">
        <v>0</v>
      </c>
      <c r="FM13" s="123">
        <v>313</v>
      </c>
      <c r="FN13" s="80">
        <v>1200</v>
      </c>
      <c r="FO13" s="104"/>
      <c r="FP13" s="516" t="s">
        <v>303</v>
      </c>
      <c r="FY13" s="119">
        <v>8</v>
      </c>
      <c r="FZ13" s="107">
        <v>8106</v>
      </c>
      <c r="GA13" s="107">
        <v>1522</v>
      </c>
      <c r="GB13" s="108">
        <f>GA13/FZ13/0.1</f>
        <v>1.8776215149272142</v>
      </c>
      <c r="GC13" s="109"/>
      <c r="GD13" s="110"/>
      <c r="GE13" s="110"/>
      <c r="GF13" s="111"/>
      <c r="GG13" s="111"/>
      <c r="GH13" s="111"/>
      <c r="GI13" s="112"/>
      <c r="GJ13" s="111">
        <f t="shared" si="61"/>
        <v>933.09540078843634</v>
      </c>
      <c r="GK13" s="113"/>
    </row>
    <row r="14" spans="1:194" s="454" customFormat="1" ht="15" customHeight="1">
      <c r="B14" s="351">
        <v>42987</v>
      </c>
      <c r="D14" s="86">
        <v>5727.6</v>
      </c>
      <c r="E14" s="128">
        <v>5530.92</v>
      </c>
      <c r="F14" s="128">
        <v>1524.096</v>
      </c>
      <c r="G14" s="86">
        <v>0</v>
      </c>
      <c r="H14" s="86">
        <v>6562.5910000000003</v>
      </c>
      <c r="I14" s="86">
        <v>2060.4490000000001</v>
      </c>
      <c r="J14" s="86">
        <v>6990.84</v>
      </c>
      <c r="K14" s="86">
        <v>0</v>
      </c>
      <c r="L14" s="86">
        <v>411.12799999999999</v>
      </c>
      <c r="M14" s="115">
        <f>I14+J14</f>
        <v>9051.2890000000007</v>
      </c>
      <c r="N14" s="88">
        <f>SUM(D14:H14)</f>
        <v>19345.207000000002</v>
      </c>
      <c r="O14" s="88">
        <f>N14+L14+K14+((J14+I14)*0.5)</f>
        <v>24281.979500000001</v>
      </c>
      <c r="P14" s="89">
        <f t="shared" si="20"/>
        <v>140437.38099999999</v>
      </c>
      <c r="R14" s="170">
        <f t="shared" si="21"/>
        <v>218.30000000004657</v>
      </c>
      <c r="S14" s="170">
        <f t="shared" si="22"/>
        <v>23.690000000002328</v>
      </c>
      <c r="T14" s="170">
        <f t="shared" si="1"/>
        <v>421.8</v>
      </c>
      <c r="U14" s="170">
        <f t="shared" si="74"/>
        <v>3.7</v>
      </c>
      <c r="V14" s="170">
        <f t="shared" si="23"/>
        <v>951</v>
      </c>
      <c r="W14" s="170">
        <f t="shared" si="2"/>
        <v>84.7</v>
      </c>
      <c r="X14" s="170">
        <f t="shared" si="24"/>
        <v>951</v>
      </c>
      <c r="Y14" s="170">
        <f t="shared" si="25"/>
        <v>77.7</v>
      </c>
      <c r="Z14" s="170">
        <f t="shared" si="3"/>
        <v>157.4</v>
      </c>
      <c r="AA14" s="501">
        <f t="shared" si="26"/>
        <v>1618.4900000000489</v>
      </c>
      <c r="AB14" s="170">
        <f t="shared" si="27"/>
        <v>194</v>
      </c>
      <c r="AC14" s="170">
        <f t="shared" si="27"/>
        <v>19</v>
      </c>
      <c r="AD14" s="501">
        <f>DW14-DW13+AB14</f>
        <v>368</v>
      </c>
      <c r="AE14" s="501">
        <f t="shared" si="29"/>
        <v>155</v>
      </c>
      <c r="AF14" s="170">
        <f t="shared" si="30"/>
        <v>105</v>
      </c>
      <c r="AG14" s="170">
        <f t="shared" si="30"/>
        <v>38.19999999999709</v>
      </c>
      <c r="AH14" s="501">
        <f t="shared" si="31"/>
        <v>211</v>
      </c>
      <c r="AI14" s="501">
        <f t="shared" si="32"/>
        <v>67.80000000000291</v>
      </c>
      <c r="AJ14" s="170">
        <f t="shared" si="33"/>
        <v>105</v>
      </c>
      <c r="AK14" s="170">
        <f t="shared" si="33"/>
        <v>18.400000000001455</v>
      </c>
      <c r="AL14" s="501">
        <f t="shared" si="34"/>
        <v>208</v>
      </c>
      <c r="AM14" s="501">
        <f t="shared" si="35"/>
        <v>84.599999999998545</v>
      </c>
      <c r="AN14" s="170">
        <f t="shared" si="36"/>
        <v>0</v>
      </c>
      <c r="AO14" s="501">
        <f t="shared" si="4"/>
        <v>0.5</v>
      </c>
      <c r="AP14" s="170">
        <f t="shared" si="37"/>
        <v>29.30000000000291</v>
      </c>
      <c r="AQ14" s="501">
        <f t="shared" si="5"/>
        <v>33.200000000011642</v>
      </c>
      <c r="AR14" s="170">
        <f t="shared" si="38"/>
        <v>151.47300000000001</v>
      </c>
      <c r="AS14" s="501">
        <f t="shared" si="39"/>
        <v>251.47299999999996</v>
      </c>
      <c r="AT14" s="501">
        <f t="shared" si="40"/>
        <v>1133.473</v>
      </c>
      <c r="AU14" s="170">
        <f t="shared" si="63"/>
        <v>244</v>
      </c>
      <c r="AV14" s="501">
        <f t="shared" si="64"/>
        <v>23</v>
      </c>
      <c r="AW14" s="170">
        <f t="shared" si="65"/>
        <v>638</v>
      </c>
      <c r="AX14" s="501">
        <f t="shared" si="66"/>
        <v>40</v>
      </c>
      <c r="AY14" s="501" t="str">
        <f t="shared" si="66"/>
        <v/>
      </c>
      <c r="AZ14" s="170">
        <f t="shared" si="41"/>
        <v>411</v>
      </c>
      <c r="BA14" s="170">
        <v>0</v>
      </c>
      <c r="BB14" s="170">
        <f t="shared" si="42"/>
        <v>141.70000000001164</v>
      </c>
      <c r="BC14" s="170">
        <f>IF(EY14=0,"",(EY14-EY13))</f>
        <v>683</v>
      </c>
      <c r="BD14" s="170">
        <f t="shared" si="43"/>
        <v>509</v>
      </c>
      <c r="BE14" s="90"/>
      <c r="BF14" s="90"/>
      <c r="BG14" s="501">
        <f t="shared" si="44"/>
        <v>1744.7000000000116</v>
      </c>
      <c r="BH14" s="501">
        <f t="shared" si="45"/>
        <v>4229.51</v>
      </c>
      <c r="BI14" s="90">
        <f t="shared" si="6"/>
        <v>-3092.3630000000721</v>
      </c>
      <c r="BJ14" s="90">
        <f t="shared" si="46"/>
        <v>5380.3630000000721</v>
      </c>
      <c r="BK14" s="92"/>
      <c r="BL14" s="93">
        <f>FD14+FN14</f>
        <v>6517.51</v>
      </c>
      <c r="BM14" s="93">
        <f t="shared" si="47"/>
        <v>47006.02</v>
      </c>
      <c r="BN14" s="92"/>
      <c r="BO14" s="94">
        <f t="shared" si="48"/>
        <v>0.11284448907682743</v>
      </c>
      <c r="BP14" s="94">
        <f t="shared" si="48"/>
        <v>1.2245927376224161E-2</v>
      </c>
      <c r="BQ14" s="94">
        <f t="shared" si="49"/>
        <v>0.21803850431789121</v>
      </c>
      <c r="BR14" s="94">
        <f t="shared" si="68"/>
        <v>0.4915946363355016</v>
      </c>
      <c r="BS14" s="94">
        <f t="shared" si="7"/>
        <v>4.0164987637506283E-2</v>
      </c>
      <c r="BT14" s="94">
        <f t="shared" si="7"/>
        <v>8.1363823090649795E-2</v>
      </c>
      <c r="BU14" s="95">
        <f t="shared" si="7"/>
        <v>0.83663617556537329</v>
      </c>
      <c r="BV14" s="94">
        <f t="shared" si="8"/>
        <v>8.9902060909015494E-2</v>
      </c>
      <c r="BW14" s="94">
        <f t="shared" si="8"/>
        <v>9.7562062434005132E-3</v>
      </c>
      <c r="BX14" s="94">
        <f t="shared" si="8"/>
        <v>0.17370906684111151</v>
      </c>
      <c r="BY14" s="94">
        <f t="shared" si="50"/>
        <v>0.39164846506850892</v>
      </c>
      <c r="BZ14" s="95">
        <f t="shared" si="9"/>
        <v>0.6665395628062567</v>
      </c>
      <c r="CA14" s="96" t="e">
        <f>#REF!</f>
        <v>#REF!</v>
      </c>
      <c r="CB14" s="94">
        <f t="shared" si="51"/>
        <v>6.2380828548183234E-2</v>
      </c>
      <c r="CC14" s="95">
        <f t="shared" si="51"/>
        <v>0.10356363244602852</v>
      </c>
      <c r="CD14" s="97">
        <f t="shared" si="10"/>
        <v>0.16734964489588167</v>
      </c>
      <c r="CE14" s="98">
        <f t="shared" si="10"/>
        <v>0.27783114648090446</v>
      </c>
      <c r="CF14" s="97">
        <f t="shared" si="52"/>
        <v>0.33871080382708285</v>
      </c>
      <c r="CG14" s="94">
        <f t="shared" si="52"/>
        <v>3.3172707591312245E-2</v>
      </c>
      <c r="CH14" s="95">
        <f t="shared" si="53"/>
        <v>0.64250296808436347</v>
      </c>
      <c r="CI14" s="96" t="e">
        <f>#REF!</f>
        <v>#REF!</v>
      </c>
      <c r="CJ14" s="94">
        <f t="shared" si="54"/>
        <v>0.18984183463148985</v>
      </c>
      <c r="CK14" s="94">
        <f t="shared" si="54"/>
        <v>6.906626745640343E-2</v>
      </c>
      <c r="CL14" s="95">
        <f t="shared" si="69"/>
        <v>0.38149168673566058</v>
      </c>
      <c r="CM14" s="95" t="e">
        <f>#REF!</f>
        <v>#REF!</v>
      </c>
      <c r="CN14" s="94">
        <f t="shared" si="55"/>
        <v>0.68893298059964736</v>
      </c>
      <c r="CO14" s="94">
        <f t="shared" si="55"/>
        <v>0.12072730326699535</v>
      </c>
      <c r="CP14" s="95">
        <f t="shared" si="56"/>
        <v>1.3647434282354918</v>
      </c>
      <c r="CQ14" s="95" t="e">
        <f>#REF!</f>
        <v>#REF!</v>
      </c>
      <c r="CR14" s="97" t="str">
        <f t="shared" si="70"/>
        <v xml:space="preserve">0,00 </v>
      </c>
      <c r="CS14" s="95" t="str">
        <f t="shared" si="70"/>
        <v xml:space="preserve">0,00 </v>
      </c>
      <c r="CT14" s="96" t="e">
        <f>#REF!</f>
        <v>#REF!</v>
      </c>
      <c r="CU14" s="97">
        <f t="shared" si="71"/>
        <v>4.4646999942557608E-2</v>
      </c>
      <c r="CV14" s="95">
        <f t="shared" si="57"/>
        <v>5.0589774678951718E-2</v>
      </c>
      <c r="CW14" s="96" t="e">
        <f>#REF!</f>
        <v>#REF!</v>
      </c>
      <c r="CX14" s="97">
        <f t="shared" si="58"/>
        <v>0.10048604151074256</v>
      </c>
      <c r="CY14" s="98">
        <f t="shared" si="58"/>
        <v>9.4720448965044217E-3</v>
      </c>
      <c r="CZ14" s="97">
        <f t="shared" si="58"/>
        <v>0.26274628886825308</v>
      </c>
      <c r="DA14" s="98">
        <f t="shared" si="58"/>
        <v>1.6473121559138125E-2</v>
      </c>
      <c r="DB14" s="94">
        <f t="shared" si="11"/>
        <v>0.16926132402014421</v>
      </c>
      <c r="DC14" s="94">
        <f t="shared" si="12"/>
        <v>5.8356033123251605E-2</v>
      </c>
      <c r="DD14" s="94">
        <f t="shared" si="12"/>
        <v>0.28127855062228346</v>
      </c>
      <c r="DE14" s="94">
        <f t="shared" si="12"/>
        <v>0.20962047184003266</v>
      </c>
      <c r="DF14" s="94">
        <f t="shared" si="12"/>
        <v>0</v>
      </c>
      <c r="DG14" s="94">
        <f t="shared" si="12"/>
        <v>0</v>
      </c>
      <c r="DH14" s="95">
        <f t="shared" si="12"/>
        <v>0.71851637960571191</v>
      </c>
      <c r="DI14" s="96" t="e">
        <f>#REF!</f>
        <v>#REF!</v>
      </c>
      <c r="DJ14" s="95">
        <f t="shared" si="59"/>
        <v>1.7418308091397572</v>
      </c>
      <c r="DK14" s="96" t="e">
        <f>#REF!</f>
        <v>#REF!</v>
      </c>
      <c r="DL14" s="95">
        <f t="shared" si="60"/>
        <v>-1.2735217900995561</v>
      </c>
      <c r="DM14" s="96">
        <f t="shared" si="13"/>
        <v>0</v>
      </c>
      <c r="DN14" s="94">
        <f t="shared" si="14"/>
        <v>2.2157843432822566</v>
      </c>
      <c r="DO14" s="100">
        <v>3.4</v>
      </c>
      <c r="DP14" s="94">
        <f t="shared" si="72"/>
        <v>2.6840933623224581</v>
      </c>
      <c r="DQ14" s="94">
        <f t="shared" si="73"/>
        <v>3.3471159648014224</v>
      </c>
      <c r="DR14" s="101">
        <f t="shared" si="15"/>
        <v>3.17</v>
      </c>
      <c r="DT14" s="142">
        <v>9</v>
      </c>
      <c r="DU14" s="135">
        <v>634201</v>
      </c>
      <c r="DV14" s="135">
        <v>29229</v>
      </c>
      <c r="DW14" s="135">
        <v>5150118</v>
      </c>
      <c r="DX14" s="136">
        <v>122854</v>
      </c>
      <c r="DY14" s="136">
        <v>86523</v>
      </c>
      <c r="DZ14" s="136">
        <v>403776</v>
      </c>
      <c r="EA14" s="136">
        <v>239347</v>
      </c>
      <c r="EB14" s="136">
        <v>55527</v>
      </c>
      <c r="EC14" s="136">
        <v>419931</v>
      </c>
      <c r="ED14" s="183">
        <v>48165.3</v>
      </c>
      <c r="EE14" s="136">
        <v>40657</v>
      </c>
      <c r="EF14" s="136">
        <v>43127.5</v>
      </c>
      <c r="EG14" s="135">
        <v>94320</v>
      </c>
      <c r="EH14" s="135">
        <v>186494</v>
      </c>
      <c r="EI14" s="135">
        <v>33909</v>
      </c>
      <c r="EJ14" s="136">
        <v>42596</v>
      </c>
      <c r="EK14" s="136"/>
      <c r="EL14" s="135">
        <v>715847</v>
      </c>
      <c r="EM14" s="136">
        <v>4218</v>
      </c>
      <c r="EN14" s="136">
        <v>46968</v>
      </c>
      <c r="EO14" s="135">
        <v>3103454</v>
      </c>
      <c r="EP14" s="136">
        <v>2815142</v>
      </c>
      <c r="EQ14" s="136">
        <v>777</v>
      </c>
      <c r="ER14" s="136">
        <v>1574</v>
      </c>
      <c r="ES14" s="144">
        <v>398791</v>
      </c>
      <c r="ET14" s="136">
        <v>5863980</v>
      </c>
      <c r="EU14" s="136">
        <v>447225</v>
      </c>
      <c r="EV14" s="136">
        <v>153092</v>
      </c>
      <c r="EW14" s="136">
        <v>131378</v>
      </c>
      <c r="EX14" s="135">
        <v>217548</v>
      </c>
      <c r="EY14" s="135">
        <v>1697044</v>
      </c>
      <c r="EZ14" s="140">
        <v>809275</v>
      </c>
      <c r="FA14" s="140">
        <v>760599</v>
      </c>
      <c r="FB14" s="145">
        <v>32120</v>
      </c>
      <c r="FC14" s="146">
        <v>2288</v>
      </c>
      <c r="FD14" s="77">
        <f>SUM(FE14:FM14)</f>
        <v>5317.51</v>
      </c>
      <c r="FE14" s="105">
        <f>FE47-FE46</f>
        <v>520</v>
      </c>
      <c r="FF14" s="123">
        <v>29</v>
      </c>
      <c r="FG14" s="105">
        <f t="shared" si="75"/>
        <v>977</v>
      </c>
      <c r="FH14" s="123">
        <v>1008</v>
      </c>
      <c r="FI14" s="123">
        <v>657</v>
      </c>
      <c r="FJ14" s="105">
        <f t="shared" si="17"/>
        <v>669</v>
      </c>
      <c r="FK14" s="123">
        <v>974.71</v>
      </c>
      <c r="FL14" s="123">
        <v>167.8</v>
      </c>
      <c r="FM14" s="123">
        <v>315</v>
      </c>
      <c r="FN14" s="80">
        <v>1200</v>
      </c>
      <c r="FO14" s="303"/>
      <c r="FP14" s="484"/>
      <c r="FY14" s="454">
        <v>9</v>
      </c>
      <c r="FZ14" s="107"/>
      <c r="GA14" s="107">
        <v>660</v>
      </c>
      <c r="GB14" s="108"/>
      <c r="GC14" s="109"/>
      <c r="GD14" s="110"/>
      <c r="GE14" s="110"/>
      <c r="GF14" s="111"/>
      <c r="GG14" s="111"/>
      <c r="GH14" s="111"/>
      <c r="GI14" s="112"/>
      <c r="GJ14" s="111" t="e">
        <f t="shared" si="61"/>
        <v>#DIV/0!</v>
      </c>
      <c r="GK14" s="113"/>
    </row>
    <row r="15" spans="1:194" s="119" customFormat="1" ht="15" customHeight="1">
      <c r="A15" s="119" t="s">
        <v>125</v>
      </c>
      <c r="B15" s="351">
        <v>42988</v>
      </c>
      <c r="D15" s="128">
        <v>0</v>
      </c>
      <c r="E15" s="128">
        <v>0</v>
      </c>
      <c r="F15" s="128">
        <v>1874.376</v>
      </c>
      <c r="G15" s="86">
        <v>0</v>
      </c>
      <c r="H15" s="86">
        <v>5119.1840000000002</v>
      </c>
      <c r="I15" s="86">
        <v>1986.3920000000001</v>
      </c>
      <c r="J15" s="86">
        <v>7788.36</v>
      </c>
      <c r="K15" s="86">
        <v>0</v>
      </c>
      <c r="L15" s="86">
        <v>0</v>
      </c>
      <c r="M15" s="115">
        <f t="shared" si="62"/>
        <v>9774.7520000000004</v>
      </c>
      <c r="N15" s="88">
        <f t="shared" si="18"/>
        <v>6993.56</v>
      </c>
      <c r="O15" s="88">
        <f t="shared" si="19"/>
        <v>11880.936000000002</v>
      </c>
      <c r="P15" s="89">
        <f t="shared" si="20"/>
        <v>152318.31699999998</v>
      </c>
      <c r="R15" s="170">
        <f t="shared" si="21"/>
        <v>122.30000000004657</v>
      </c>
      <c r="S15" s="170">
        <f t="shared" si="22"/>
        <v>0</v>
      </c>
      <c r="T15" s="170">
        <f t="shared" si="1"/>
        <v>4.9809999999999999</v>
      </c>
      <c r="U15" s="170">
        <f t="shared" si="74"/>
        <v>3.7400000000001454</v>
      </c>
      <c r="V15" s="170">
        <f t="shared" si="23"/>
        <v>955</v>
      </c>
      <c r="W15" s="170">
        <f t="shared" si="2"/>
        <v>66.5</v>
      </c>
      <c r="X15" s="170">
        <f t="shared" si="24"/>
        <v>955</v>
      </c>
      <c r="Y15" s="170" t="str">
        <f t="shared" si="25"/>
        <v>0</v>
      </c>
      <c r="Z15" s="170">
        <f t="shared" si="3"/>
        <v>78.8</v>
      </c>
      <c r="AA15" s="501">
        <f t="shared" si="26"/>
        <v>1086.0210000000468</v>
      </c>
      <c r="AB15" s="170">
        <f t="shared" si="27"/>
        <v>0</v>
      </c>
      <c r="AC15" s="170">
        <f t="shared" si="27"/>
        <v>0</v>
      </c>
      <c r="AD15" s="501">
        <f t="shared" si="28"/>
        <v>5</v>
      </c>
      <c r="AE15" s="501">
        <f t="shared" si="29"/>
        <v>5</v>
      </c>
      <c r="AF15" s="170">
        <v>107</v>
      </c>
      <c r="AG15" s="170">
        <f t="shared" si="30"/>
        <v>22.100000000005821</v>
      </c>
      <c r="AH15" s="501">
        <f t="shared" si="31"/>
        <v>165</v>
      </c>
      <c r="AI15" s="501">
        <f t="shared" si="32"/>
        <v>35.899999999994179</v>
      </c>
      <c r="AJ15" s="170">
        <f t="shared" si="33"/>
        <v>74</v>
      </c>
      <c r="AK15" s="170">
        <f t="shared" si="33"/>
        <v>13.400000000001455</v>
      </c>
      <c r="AL15" s="501">
        <f t="shared" si="34"/>
        <v>180</v>
      </c>
      <c r="AM15" s="501">
        <f t="shared" si="35"/>
        <v>92.599999999998545</v>
      </c>
      <c r="AN15" s="170">
        <f t="shared" si="36"/>
        <v>0</v>
      </c>
      <c r="AO15" s="501">
        <f t="shared" si="4"/>
        <v>-0.5</v>
      </c>
      <c r="AP15" s="170">
        <f t="shared" si="37"/>
        <v>0</v>
      </c>
      <c r="AQ15" s="501">
        <f t="shared" si="5"/>
        <v>27.899999999994179</v>
      </c>
      <c r="AR15" s="170">
        <f t="shared" si="38"/>
        <v>140.613</v>
      </c>
      <c r="AS15" s="501">
        <f t="shared" si="39"/>
        <v>193.61300000000006</v>
      </c>
      <c r="AT15" s="501">
        <f t="shared" si="40"/>
        <v>1067.6130000000001</v>
      </c>
      <c r="AU15" s="170">
        <f t="shared" si="63"/>
        <v>284</v>
      </c>
      <c r="AV15" s="501">
        <f t="shared" si="64"/>
        <v>15</v>
      </c>
      <c r="AW15" s="170">
        <f t="shared" si="65"/>
        <v>590</v>
      </c>
      <c r="AX15" s="501">
        <f t="shared" si="66"/>
        <v>18</v>
      </c>
      <c r="AY15" s="501" t="str">
        <f t="shared" si="66"/>
        <v/>
      </c>
      <c r="AZ15" s="170">
        <f t="shared" si="41"/>
        <v>341</v>
      </c>
      <c r="BA15" s="170">
        <v>0</v>
      </c>
      <c r="BB15" s="170">
        <f t="shared" si="42"/>
        <v>108.79999999998836</v>
      </c>
      <c r="BC15" s="170">
        <f t="shared" si="42"/>
        <v>718.5</v>
      </c>
      <c r="BD15" s="170">
        <f t="shared" si="43"/>
        <v>459</v>
      </c>
      <c r="BE15" s="90"/>
      <c r="BF15" s="90"/>
      <c r="BG15" s="501">
        <f t="shared" si="44"/>
        <v>1627.2999999999884</v>
      </c>
      <c r="BH15" s="501">
        <f t="shared" si="45"/>
        <v>4470</v>
      </c>
      <c r="BI15" s="90">
        <f>IF(FC15=0,"",(FC15-BJ15))</f>
        <v>-1822.3340000000298</v>
      </c>
      <c r="BJ15" s="90">
        <f t="shared" si="46"/>
        <v>4191.3340000000298</v>
      </c>
      <c r="BK15" s="92"/>
      <c r="BL15" s="93">
        <f t="shared" si="67"/>
        <v>6839</v>
      </c>
      <c r="BM15" s="93">
        <f t="shared" si="47"/>
        <v>53845.02</v>
      </c>
      <c r="BN15" s="92"/>
      <c r="BO15" s="94">
        <f t="shared" si="48"/>
        <v>0.17487517087155405</v>
      </c>
      <c r="BP15" s="94">
        <f t="shared" si="48"/>
        <v>0</v>
      </c>
      <c r="BQ15" s="94">
        <f t="shared" si="49"/>
        <v>7.1222667711437378E-3</v>
      </c>
      <c r="BR15" s="94">
        <f t="shared" si="68"/>
        <v>1.3655420129376168</v>
      </c>
      <c r="BS15" s="94">
        <f t="shared" si="7"/>
        <v>0</v>
      </c>
      <c r="BT15" s="94">
        <f t="shared" si="7"/>
        <v>0.11267508965391015</v>
      </c>
      <c r="BU15" s="95">
        <f t="shared" si="7"/>
        <v>1.5528872276781018</v>
      </c>
      <c r="BV15" s="94">
        <f t="shared" si="8"/>
        <v>0.10293801767810765</v>
      </c>
      <c r="BW15" s="94">
        <f t="shared" si="8"/>
        <v>0</v>
      </c>
      <c r="BX15" s="94">
        <f t="shared" si="8"/>
        <v>4.192430630044635E-3</v>
      </c>
      <c r="BY15" s="94">
        <f t="shared" si="50"/>
        <v>0.80380872348777899</v>
      </c>
      <c r="BZ15" s="95">
        <f t="shared" si="9"/>
        <v>0.91408707192770555</v>
      </c>
      <c r="CA15" s="96" t="e">
        <f>#REF!</f>
        <v>#REF!</v>
      </c>
      <c r="CB15" s="94">
        <f t="shared" si="51"/>
        <v>0.11835178642490791</v>
      </c>
      <c r="CC15" s="95">
        <f t="shared" si="51"/>
        <v>0.16296106636716168</v>
      </c>
      <c r="CD15" s="97">
        <f t="shared" si="10"/>
        <v>0.14385326604705675</v>
      </c>
      <c r="CE15" s="98">
        <f t="shared" si="10"/>
        <v>0.19807459053692619</v>
      </c>
      <c r="CF15" s="97" t="str">
        <f t="shared" si="52"/>
        <v>0,00</v>
      </c>
      <c r="CG15" s="94" t="str">
        <f t="shared" si="52"/>
        <v>0,00</v>
      </c>
      <c r="CH15" s="95" t="str">
        <f t="shared" si="53"/>
        <v xml:space="preserve">0,00 </v>
      </c>
      <c r="CI15" s="96" t="e">
        <f>#REF!</f>
        <v>#REF!</v>
      </c>
      <c r="CJ15" s="94" t="str">
        <f t="shared" si="54"/>
        <v>0,00</v>
      </c>
      <c r="CK15" s="94" t="str">
        <f t="shared" si="54"/>
        <v>0,00</v>
      </c>
      <c r="CL15" s="95" t="str">
        <f t="shared" si="69"/>
        <v xml:space="preserve">0,00 </v>
      </c>
      <c r="CM15" s="95" t="e">
        <f>#REF!</f>
        <v>#REF!</v>
      </c>
      <c r="CN15" s="94">
        <f t="shared" si="55"/>
        <v>0.39479805545952362</v>
      </c>
      <c r="CO15" s="94">
        <f t="shared" si="55"/>
        <v>7.1490458691326905E-2</v>
      </c>
      <c r="CP15" s="95">
        <f t="shared" si="56"/>
        <v>0.96031959436100334</v>
      </c>
      <c r="CQ15" s="95" t="e">
        <f>#REF!</f>
        <v>#REF!</v>
      </c>
      <c r="CR15" s="97" t="str">
        <f t="shared" si="70"/>
        <v xml:space="preserve">0,00 </v>
      </c>
      <c r="CS15" s="95" t="str">
        <f t="shared" si="70"/>
        <v xml:space="preserve">0,00 </v>
      </c>
      <c r="CT15" s="96" t="e">
        <f>#REF!</f>
        <v>#REF!</v>
      </c>
      <c r="CU15" s="97">
        <f t="shared" si="71"/>
        <v>0</v>
      </c>
      <c r="CV15" s="95">
        <f t="shared" si="57"/>
        <v>5.4500873576714917E-2</v>
      </c>
      <c r="CW15" s="96" t="e">
        <f>#REF!</f>
        <v>#REF!</v>
      </c>
      <c r="CX15" s="97">
        <f t="shared" si="58"/>
        <v>0.23903840572830287</v>
      </c>
      <c r="CY15" s="98">
        <f t="shared" si="58"/>
        <v>1.2625267908185011E-2</v>
      </c>
      <c r="CZ15" s="97">
        <f t="shared" si="58"/>
        <v>0.49659387105527703</v>
      </c>
      <c r="DA15" s="98">
        <f t="shared" si="58"/>
        <v>1.5150321489822012E-2</v>
      </c>
      <c r="DB15" s="94">
        <f t="shared" si="11"/>
        <v>0.28701442377940589</v>
      </c>
      <c r="DC15" s="94">
        <f t="shared" si="12"/>
        <v>9.1575276560692143E-2</v>
      </c>
      <c r="DD15" s="94">
        <f t="shared" si="12"/>
        <v>0.60475033280206192</v>
      </c>
      <c r="DE15" s="94">
        <f t="shared" si="12"/>
        <v>0.38633319799046134</v>
      </c>
      <c r="DF15" s="94">
        <f t="shared" si="12"/>
        <v>0</v>
      </c>
      <c r="DG15" s="94">
        <f t="shared" si="12"/>
        <v>0</v>
      </c>
      <c r="DH15" s="95">
        <f t="shared" si="12"/>
        <v>1.3696732311326212</v>
      </c>
      <c r="DI15" s="96" t="e">
        <f>#REF!</f>
        <v>#REF!</v>
      </c>
      <c r="DJ15" s="95">
        <f t="shared" si="59"/>
        <v>3.7623298366391329</v>
      </c>
      <c r="DK15" s="96" t="e">
        <f>#REF!</f>
        <v>#REF!</v>
      </c>
      <c r="DL15" s="95">
        <f t="shared" si="60"/>
        <v>-1.5338303312129866</v>
      </c>
      <c r="DM15" s="96">
        <f t="shared" si="13"/>
        <v>0</v>
      </c>
      <c r="DN15" s="94">
        <f t="shared" si="14"/>
        <v>3.527780976179006</v>
      </c>
      <c r="DO15" s="100">
        <v>3.4</v>
      </c>
      <c r="DP15" s="94">
        <f t="shared" si="72"/>
        <v>5.7562804816051525</v>
      </c>
      <c r="DQ15" s="94">
        <f t="shared" si="73"/>
        <v>3.5350324938267272</v>
      </c>
      <c r="DR15" s="101">
        <f t="shared" si="15"/>
        <v>3.17</v>
      </c>
      <c r="DS15" s="147"/>
      <c r="DT15" s="134">
        <v>10</v>
      </c>
      <c r="DU15" s="135">
        <v>634201</v>
      </c>
      <c r="DV15" s="135">
        <v>29229</v>
      </c>
      <c r="DW15" s="355">
        <v>5150123</v>
      </c>
      <c r="DX15" s="104">
        <v>121939</v>
      </c>
      <c r="DY15" s="104">
        <v>86545.1</v>
      </c>
      <c r="DZ15" s="104">
        <v>403834</v>
      </c>
      <c r="EA15" s="104">
        <v>239421</v>
      </c>
      <c r="EB15" s="104">
        <v>55540.4</v>
      </c>
      <c r="EC15" s="104">
        <v>420037</v>
      </c>
      <c r="ED15" s="183">
        <v>48165.3</v>
      </c>
      <c r="EE15" s="104">
        <v>40656.5</v>
      </c>
      <c r="EF15" s="136">
        <v>43127.5</v>
      </c>
      <c r="EG15" s="135">
        <v>94320</v>
      </c>
      <c r="EH15" s="355">
        <v>186521.9</v>
      </c>
      <c r="EI15" s="355">
        <v>33924</v>
      </c>
      <c r="EJ15" s="104">
        <v>42614</v>
      </c>
      <c r="EK15" s="104"/>
      <c r="EL15" s="355">
        <v>715969.3</v>
      </c>
      <c r="EM15" s="104">
        <v>49.81</v>
      </c>
      <c r="EN15" s="104">
        <v>47005.4</v>
      </c>
      <c r="EO15" s="355">
        <v>3104409</v>
      </c>
      <c r="EP15" s="303">
        <v>2815807</v>
      </c>
      <c r="EQ15" s="104">
        <v>0</v>
      </c>
      <c r="ER15" s="104">
        <v>788</v>
      </c>
      <c r="ES15" s="105">
        <v>399718</v>
      </c>
      <c r="ET15" s="104">
        <v>6004593</v>
      </c>
      <c r="EU15" s="136">
        <v>447815</v>
      </c>
      <c r="EV15" s="136">
        <v>153376</v>
      </c>
      <c r="EW15" s="104">
        <v>131719</v>
      </c>
      <c r="EX15" s="355">
        <v>217656.8</v>
      </c>
      <c r="EY15" s="355">
        <v>1697762.5</v>
      </c>
      <c r="EZ15" s="385">
        <v>809275</v>
      </c>
      <c r="FA15" s="386">
        <v>761058</v>
      </c>
      <c r="FB15" s="387">
        <v>32120.5</v>
      </c>
      <c r="FC15" s="452">
        <v>2369</v>
      </c>
      <c r="FD15" s="77">
        <f>SUM(FE15:FM15)</f>
        <v>5639</v>
      </c>
      <c r="FE15" s="105">
        <f>FE48-FE47</f>
        <v>246</v>
      </c>
      <c r="FF15" s="496">
        <v>980</v>
      </c>
      <c r="FG15" s="105">
        <f t="shared" si="75"/>
        <v>262</v>
      </c>
      <c r="FH15" s="496">
        <v>1129</v>
      </c>
      <c r="FI15" s="496">
        <v>549</v>
      </c>
      <c r="FJ15" s="105">
        <f t="shared" si="17"/>
        <v>1014</v>
      </c>
      <c r="FK15" s="496">
        <v>224</v>
      </c>
      <c r="FL15" s="496">
        <v>920</v>
      </c>
      <c r="FM15" s="496">
        <v>315</v>
      </c>
      <c r="FN15" s="80">
        <v>1200</v>
      </c>
      <c r="FO15" s="303"/>
      <c r="FP15" s="484"/>
      <c r="FY15" s="119">
        <v>10</v>
      </c>
      <c r="FZ15" s="107"/>
      <c r="GA15" s="107"/>
      <c r="GB15" s="108"/>
      <c r="GC15" s="109"/>
      <c r="GD15" s="110"/>
      <c r="GE15" s="110"/>
      <c r="GF15" s="111"/>
      <c r="GG15" s="111"/>
      <c r="GH15" s="111"/>
      <c r="GI15" s="112"/>
      <c r="GJ15" s="111" t="e">
        <f t="shared" si="61"/>
        <v>#DIV/0!</v>
      </c>
      <c r="GK15" s="113"/>
    </row>
    <row r="16" spans="1:194" s="454" customFormat="1" ht="15" customHeight="1">
      <c r="A16" s="454">
        <v>0</v>
      </c>
      <c r="B16" s="351">
        <v>42989</v>
      </c>
      <c r="D16" s="128">
        <v>0</v>
      </c>
      <c r="E16" s="128">
        <v>3816</v>
      </c>
      <c r="F16" s="128">
        <v>1233.7919999999999</v>
      </c>
      <c r="G16" s="86">
        <v>0</v>
      </c>
      <c r="H16" s="86">
        <v>0</v>
      </c>
      <c r="I16" s="86">
        <v>1630.2939999999999</v>
      </c>
      <c r="J16" s="86">
        <v>7371.48</v>
      </c>
      <c r="K16" s="86">
        <v>0</v>
      </c>
      <c r="L16" s="86">
        <v>0</v>
      </c>
      <c r="M16" s="115">
        <f t="shared" si="62"/>
        <v>9001.7739999999994</v>
      </c>
      <c r="N16" s="88">
        <f t="shared" si="18"/>
        <v>5049.7919999999995</v>
      </c>
      <c r="O16" s="88">
        <f>(N16+L16+((J16+I16)*0.5))-351.59</f>
        <v>9199.0889999999999</v>
      </c>
      <c r="P16" s="89">
        <f t="shared" si="20"/>
        <v>161517.40599999999</v>
      </c>
      <c r="Q16" s="152"/>
      <c r="R16" s="170">
        <f t="shared" si="21"/>
        <v>139</v>
      </c>
      <c r="S16" s="170">
        <f t="shared" si="22"/>
        <v>181.05</v>
      </c>
      <c r="T16" s="170">
        <f t="shared" si="1"/>
        <v>15.3</v>
      </c>
      <c r="U16" s="170">
        <f t="shared" si="74"/>
        <v>4.7900000000001457</v>
      </c>
      <c r="V16" s="170">
        <f t="shared" si="23"/>
        <v>369.60000000009313</v>
      </c>
      <c r="W16" s="170">
        <f t="shared" si="2"/>
        <v>36.9</v>
      </c>
      <c r="X16" s="170">
        <f t="shared" si="24"/>
        <v>369.60000000009313</v>
      </c>
      <c r="Y16" s="170">
        <f t="shared" si="25"/>
        <v>185.8</v>
      </c>
      <c r="Z16" s="170">
        <f t="shared" si="3"/>
        <v>35.299999999999997</v>
      </c>
      <c r="AA16" s="501">
        <f t="shared" si="26"/>
        <v>709.74000000009323</v>
      </c>
      <c r="AB16" s="170">
        <f t="shared" si="27"/>
        <v>0</v>
      </c>
      <c r="AC16" s="170">
        <f t="shared" si="27"/>
        <v>3</v>
      </c>
      <c r="AD16" s="501">
        <f>DW16-DW15+AB16</f>
        <v>38</v>
      </c>
      <c r="AE16" s="501">
        <f t="shared" si="29"/>
        <v>35</v>
      </c>
      <c r="AF16" s="170">
        <f t="shared" si="30"/>
        <v>110</v>
      </c>
      <c r="AG16" s="170">
        <f t="shared" si="30"/>
        <v>73.099999999991269</v>
      </c>
      <c r="AH16" s="501">
        <f t="shared" si="31"/>
        <v>222</v>
      </c>
      <c r="AI16" s="501">
        <f t="shared" si="32"/>
        <v>38.900000000008731</v>
      </c>
      <c r="AJ16" s="170">
        <f t="shared" si="33"/>
        <v>102</v>
      </c>
      <c r="AK16" s="170">
        <f t="shared" si="33"/>
        <v>77.799999999995634</v>
      </c>
      <c r="AL16" s="501">
        <f t="shared" si="34"/>
        <v>274</v>
      </c>
      <c r="AM16" s="501">
        <f t="shared" si="35"/>
        <v>94.200000000004366</v>
      </c>
      <c r="AN16" s="170">
        <f t="shared" si="36"/>
        <v>0</v>
      </c>
      <c r="AO16" s="501">
        <f t="shared" si="4"/>
        <v>15.19999999999709</v>
      </c>
      <c r="AP16" s="170">
        <f t="shared" si="37"/>
        <v>0</v>
      </c>
      <c r="AQ16" s="501">
        <f t="shared" si="5"/>
        <v>2.3000000000174623</v>
      </c>
      <c r="AR16" s="170">
        <f t="shared" si="38"/>
        <v>102.16</v>
      </c>
      <c r="AS16" s="501">
        <f t="shared" si="39"/>
        <v>119.15999999999997</v>
      </c>
      <c r="AT16" s="501">
        <f t="shared" si="40"/>
        <v>895.16</v>
      </c>
      <c r="AU16" s="170">
        <f t="shared" si="63"/>
        <v>257</v>
      </c>
      <c r="AV16" s="501">
        <f t="shared" si="64"/>
        <v>35</v>
      </c>
      <c r="AW16" s="170">
        <f t="shared" si="65"/>
        <v>519</v>
      </c>
      <c r="AX16" s="501">
        <f t="shared" si="66"/>
        <v>50</v>
      </c>
      <c r="AY16" s="501" t="str">
        <f t="shared" si="66"/>
        <v/>
      </c>
      <c r="AZ16" s="170">
        <f t="shared" si="41"/>
        <v>204</v>
      </c>
      <c r="BA16" s="170">
        <v>111</v>
      </c>
      <c r="BB16" s="170">
        <f t="shared" si="42"/>
        <v>119.90000000002328</v>
      </c>
      <c r="BC16" s="170">
        <f t="shared" si="42"/>
        <v>785</v>
      </c>
      <c r="BD16" s="170">
        <f t="shared" si="43"/>
        <v>487</v>
      </c>
      <c r="BE16" s="90"/>
      <c r="BF16" s="90"/>
      <c r="BG16" s="501">
        <f t="shared" si="44"/>
        <v>1595.9000000000233</v>
      </c>
      <c r="BH16" s="501">
        <f t="shared" si="45"/>
        <v>1533</v>
      </c>
      <c r="BI16" s="90">
        <f>IF(FC16=0,"",(FC16-BJ16))</f>
        <v>-237.30000000013115</v>
      </c>
      <c r="BJ16" s="90">
        <f>IF(BH16=0,"",(AA16+AD16+AO16+BG16+AH16+AL16+AQ16+AT16+AX16+AV16))</f>
        <v>3837.3000000001311</v>
      </c>
      <c r="BK16" s="92"/>
      <c r="BL16" s="93">
        <f t="shared" si="67"/>
        <v>5133</v>
      </c>
      <c r="BM16" s="93">
        <f t="shared" si="47"/>
        <v>58978.02</v>
      </c>
      <c r="BN16" s="92"/>
      <c r="BO16" s="94">
        <f t="shared" si="48"/>
        <v>0.27525886214719342</v>
      </c>
      <c r="BP16" s="94">
        <f t="shared" si="48"/>
        <v>0.35852961864567889</v>
      </c>
      <c r="BQ16" s="94">
        <f t="shared" si="49"/>
        <v>3.0298277632029205E-2</v>
      </c>
      <c r="BR16" s="94">
        <f t="shared" si="68"/>
        <v>0.73191133416998788</v>
      </c>
      <c r="BS16" s="94">
        <f t="shared" si="7"/>
        <v>0.36793594666869456</v>
      </c>
      <c r="BT16" s="94">
        <f t="shared" si="7"/>
        <v>6.9903869307884364E-2</v>
      </c>
      <c r="BU16" s="95">
        <f t="shared" si="7"/>
        <v>1.4054836318012569</v>
      </c>
      <c r="BV16" s="94">
        <f t="shared" si="8"/>
        <v>0.15110191889653421</v>
      </c>
      <c r="BW16" s="94">
        <f t="shared" si="8"/>
        <v>0.19681296702314763</v>
      </c>
      <c r="BX16" s="94">
        <f t="shared" si="8"/>
        <v>1.6632081720266E-2</v>
      </c>
      <c r="BY16" s="94">
        <f t="shared" si="50"/>
        <v>0.40177891528182097</v>
      </c>
      <c r="BZ16" s="95">
        <f t="shared" si="9"/>
        <v>0.77153292027079334</v>
      </c>
      <c r="CA16" s="96" t="e">
        <f>#REF!</f>
        <v>#REF!</v>
      </c>
      <c r="CB16" s="94">
        <f t="shared" si="51"/>
        <v>0.11105447506812903</v>
      </c>
      <c r="CC16" s="95">
        <f t="shared" si="51"/>
        <v>0.12953456586842454</v>
      </c>
      <c r="CD16" s="97">
        <f t="shared" si="10"/>
        <v>0.11348874121923079</v>
      </c>
      <c r="CE16" s="98">
        <f t="shared" si="10"/>
        <v>0.13237390763198451</v>
      </c>
      <c r="CF16" s="97" t="str">
        <f t="shared" si="52"/>
        <v>0,00</v>
      </c>
      <c r="CG16" s="94" t="str">
        <f t="shared" si="52"/>
        <v>0,00</v>
      </c>
      <c r="CH16" s="95" t="str">
        <f t="shared" si="53"/>
        <v xml:space="preserve">0,00 </v>
      </c>
      <c r="CI16" s="96" t="e">
        <f>#REF!</f>
        <v>#REF!</v>
      </c>
      <c r="CJ16" s="94">
        <f t="shared" si="54"/>
        <v>0.2882599580712788</v>
      </c>
      <c r="CK16" s="94">
        <f t="shared" si="54"/>
        <v>0.19156184486370878</v>
      </c>
      <c r="CL16" s="95">
        <f t="shared" si="69"/>
        <v>0.58176100628930816</v>
      </c>
      <c r="CM16" s="95" t="e">
        <f>#REF!</f>
        <v>#REF!</v>
      </c>
      <c r="CN16" s="94">
        <f t="shared" si="55"/>
        <v>0.82671957671957674</v>
      </c>
      <c r="CO16" s="94">
        <f t="shared" si="55"/>
        <v>0.63057630459587699</v>
      </c>
      <c r="CP16" s="95">
        <f t="shared" si="56"/>
        <v>2.2207957256976867</v>
      </c>
      <c r="CQ16" s="95" t="e">
        <f>#REF!</f>
        <v>#REF!</v>
      </c>
      <c r="CR16" s="97" t="str">
        <f t="shared" si="70"/>
        <v xml:space="preserve">0,00 </v>
      </c>
      <c r="CS16" s="95" t="str">
        <f t="shared" si="70"/>
        <v xml:space="preserve">0,00 </v>
      </c>
      <c r="CT16" s="96" t="e">
        <f>#REF!</f>
        <v>#REF!</v>
      </c>
      <c r="CU16" s="97" t="str">
        <f t="shared" si="71"/>
        <v xml:space="preserve">0,00 </v>
      </c>
      <c r="CV16" s="95" t="str">
        <f t="shared" si="57"/>
        <v xml:space="preserve">0,00 </v>
      </c>
      <c r="CW16" s="96" t="e">
        <f>#REF!</f>
        <v>#REF!</v>
      </c>
      <c r="CX16" s="97">
        <f t="shared" si="58"/>
        <v>0.27937549033387976</v>
      </c>
      <c r="CY16" s="98">
        <f t="shared" si="58"/>
        <v>3.8047245765314368E-2</v>
      </c>
      <c r="CZ16" s="97">
        <f t="shared" si="58"/>
        <v>0.56418630149137594</v>
      </c>
      <c r="DA16" s="98">
        <f t="shared" si="58"/>
        <v>5.4353208236163388E-2</v>
      </c>
      <c r="DB16" s="94">
        <f t="shared" si="11"/>
        <v>0.2217610896035466</v>
      </c>
      <c r="DC16" s="94">
        <f t="shared" si="12"/>
        <v>0.1303389933503451</v>
      </c>
      <c r="DD16" s="94">
        <f t="shared" si="12"/>
        <v>0.85334536930776517</v>
      </c>
      <c r="DE16" s="94">
        <f t="shared" si="12"/>
        <v>0.52940024822023135</v>
      </c>
      <c r="DF16" s="94">
        <f t="shared" si="12"/>
        <v>0</v>
      </c>
      <c r="DG16" s="94">
        <f t="shared" si="12"/>
        <v>0</v>
      </c>
      <c r="DH16" s="95">
        <f t="shared" si="12"/>
        <v>1.7348457004818882</v>
      </c>
      <c r="DI16" s="96" t="e">
        <f>#REF!</f>
        <v>#REF!</v>
      </c>
      <c r="DJ16" s="95">
        <f t="shared" si="59"/>
        <v>1.6664693645207693</v>
      </c>
      <c r="DK16" s="96" t="e">
        <f>#REF!</f>
        <v>#REF!</v>
      </c>
      <c r="DL16" s="95">
        <f t="shared" si="60"/>
        <v>-0.25796032628897397</v>
      </c>
      <c r="DM16" s="96">
        <f t="shared" si="13"/>
        <v>0</v>
      </c>
      <c r="DN16" s="94">
        <f t="shared" si="14"/>
        <v>4.1713913192927379</v>
      </c>
      <c r="DO16" s="100">
        <v>3.4</v>
      </c>
      <c r="DP16" s="94">
        <f>IF($O16&lt;&gt;0,IF($O16&lt;&gt;0,BL16/$O16*10,0)," ")</f>
        <v>5.579900357524533</v>
      </c>
      <c r="DQ16" s="94">
        <f>IF($P16&lt;&gt;0,IF($P16&lt;&gt;0,BM16/$P16*10,0)," ")</f>
        <v>3.6514962356441014</v>
      </c>
      <c r="DR16" s="101"/>
      <c r="DS16" s="153"/>
      <c r="DT16" s="142">
        <v>11</v>
      </c>
      <c r="DU16" s="135">
        <v>634201</v>
      </c>
      <c r="DV16" s="330">
        <v>29232</v>
      </c>
      <c r="DW16" s="330">
        <v>5150161</v>
      </c>
      <c r="DX16" s="330">
        <v>122049</v>
      </c>
      <c r="DY16" s="330">
        <v>86618.2</v>
      </c>
      <c r="DZ16" s="330">
        <v>403946</v>
      </c>
      <c r="EA16" s="330">
        <v>239523</v>
      </c>
      <c r="EB16" s="330">
        <v>55618.2</v>
      </c>
      <c r="EC16" s="330">
        <v>420209</v>
      </c>
      <c r="ED16" s="183">
        <v>48165.3</v>
      </c>
      <c r="EE16" s="330">
        <v>40656.5</v>
      </c>
      <c r="EF16" s="330">
        <v>43142.7</v>
      </c>
      <c r="EG16" s="135">
        <v>94320</v>
      </c>
      <c r="EH16" s="330">
        <v>186524.2</v>
      </c>
      <c r="EI16" s="330">
        <v>33959</v>
      </c>
      <c r="EJ16" s="330">
        <v>42664</v>
      </c>
      <c r="EK16" s="330"/>
      <c r="EL16" s="330">
        <v>716108.3</v>
      </c>
      <c r="EM16" s="330">
        <v>153</v>
      </c>
      <c r="EN16" s="330">
        <v>47053.3</v>
      </c>
      <c r="EO16" s="330">
        <v>3104778.6</v>
      </c>
      <c r="EP16" s="303">
        <v>2816176</v>
      </c>
      <c r="EQ16" s="330">
        <v>1858</v>
      </c>
      <c r="ER16" s="330">
        <v>353</v>
      </c>
      <c r="ES16" s="330">
        <v>400511</v>
      </c>
      <c r="ET16" s="105">
        <v>6106753</v>
      </c>
      <c r="EU16" s="136">
        <v>448334</v>
      </c>
      <c r="EV16" s="136">
        <v>153633</v>
      </c>
      <c r="EW16" s="330">
        <v>131923</v>
      </c>
      <c r="EX16" s="330">
        <v>217776.7</v>
      </c>
      <c r="EY16" s="330">
        <v>1698547.5</v>
      </c>
      <c r="EZ16" s="330">
        <v>811085.5</v>
      </c>
      <c r="FA16" s="385">
        <v>761545</v>
      </c>
      <c r="FB16" s="387">
        <v>32236.5</v>
      </c>
      <c r="FC16" s="378">
        <v>3600</v>
      </c>
      <c r="FD16" s="77">
        <f t="shared" ref="FD16:FD22" si="76">SUM(FE16:FM16)</f>
        <v>3933</v>
      </c>
      <c r="FE16" s="105">
        <f>FE49-FE48</f>
        <v>244</v>
      </c>
      <c r="FF16" s="496">
        <v>214</v>
      </c>
      <c r="FG16" s="105">
        <f t="shared" si="75"/>
        <v>414</v>
      </c>
      <c r="FH16" s="496">
        <v>907</v>
      </c>
      <c r="FI16" s="496">
        <v>513</v>
      </c>
      <c r="FJ16" s="105">
        <f t="shared" si="17"/>
        <v>878</v>
      </c>
      <c r="FK16" s="496">
        <v>0</v>
      </c>
      <c r="FL16" s="496">
        <v>534</v>
      </c>
      <c r="FM16" s="496">
        <v>229</v>
      </c>
      <c r="FN16" s="80">
        <v>1200</v>
      </c>
      <c r="FO16" s="303"/>
      <c r="FP16" s="484"/>
      <c r="FY16" s="454">
        <v>11</v>
      </c>
      <c r="FZ16" s="107"/>
      <c r="GA16" s="107"/>
      <c r="GB16" s="107"/>
      <c r="GC16" s="109"/>
      <c r="GD16" s="110"/>
      <c r="GE16" s="110"/>
      <c r="GF16" s="111"/>
      <c r="GG16" s="111"/>
      <c r="GH16" s="111"/>
      <c r="GI16" s="112"/>
      <c r="GJ16" s="111" t="e">
        <f t="shared" si="61"/>
        <v>#DIV/0!</v>
      </c>
      <c r="GK16" s="113"/>
    </row>
    <row r="17" spans="1:193" s="119" customFormat="1" ht="15" customHeight="1">
      <c r="A17" s="119" t="s">
        <v>126</v>
      </c>
      <c r="B17" s="351">
        <v>42990</v>
      </c>
      <c r="D17" s="154">
        <v>0</v>
      </c>
      <c r="E17" s="128">
        <v>6075</v>
      </c>
      <c r="F17" s="86">
        <v>3017.0880000000002</v>
      </c>
      <c r="G17" s="86">
        <v>0</v>
      </c>
      <c r="H17" s="86">
        <v>0</v>
      </c>
      <c r="I17" s="86">
        <v>1156.8820000000001</v>
      </c>
      <c r="J17" s="86">
        <v>1847.04</v>
      </c>
      <c r="K17" s="86">
        <v>6.2880000000000003</v>
      </c>
      <c r="L17" s="86"/>
      <c r="M17" s="115">
        <f t="shared" si="62"/>
        <v>3003.922</v>
      </c>
      <c r="N17" s="88">
        <f t="shared" si="18"/>
        <v>9092.0879999999997</v>
      </c>
      <c r="O17" s="88">
        <f t="shared" si="19"/>
        <v>10594.048999999999</v>
      </c>
      <c r="P17" s="89">
        <f t="shared" si="20"/>
        <v>172111.45499999999</v>
      </c>
      <c r="Q17" s="155"/>
      <c r="R17" s="170">
        <f t="shared" si="21"/>
        <v>103.5</v>
      </c>
      <c r="S17" s="170">
        <f t="shared" si="22"/>
        <v>22.830000000004656</v>
      </c>
      <c r="T17" s="170">
        <f t="shared" si="1"/>
        <v>2.246</v>
      </c>
      <c r="U17" s="170">
        <f t="shared" si="74"/>
        <v>0</v>
      </c>
      <c r="V17" s="170">
        <f t="shared" si="23"/>
        <v>944.10000000009313</v>
      </c>
      <c r="W17" s="170">
        <f t="shared" si="2"/>
        <v>101.5</v>
      </c>
      <c r="X17" s="170">
        <f t="shared" si="24"/>
        <v>944.10000000009313</v>
      </c>
      <c r="Y17" s="170">
        <f t="shared" si="25"/>
        <v>288.39999999999998</v>
      </c>
      <c r="Z17" s="170">
        <f t="shared" si="3"/>
        <v>92.9</v>
      </c>
      <c r="AA17" s="501">
        <f t="shared" si="26"/>
        <v>1072.6760000000977</v>
      </c>
      <c r="AB17" s="170">
        <f t="shared" si="27"/>
        <v>65</v>
      </c>
      <c r="AC17" s="170">
        <f t="shared" si="27"/>
        <v>50</v>
      </c>
      <c r="AD17" s="501">
        <f t="shared" si="28"/>
        <v>221</v>
      </c>
      <c r="AE17" s="501">
        <f t="shared" si="29"/>
        <v>106</v>
      </c>
      <c r="AF17" s="170">
        <f t="shared" si="30"/>
        <v>119</v>
      </c>
      <c r="AG17" s="170">
        <f t="shared" si="30"/>
        <v>41.100000000005821</v>
      </c>
      <c r="AH17" s="501">
        <f t="shared" si="31"/>
        <v>206</v>
      </c>
      <c r="AI17" s="501">
        <f t="shared" si="32"/>
        <v>45.899999999994179</v>
      </c>
      <c r="AJ17" s="170">
        <f t="shared" si="33"/>
        <v>157</v>
      </c>
      <c r="AK17" s="170">
        <f t="shared" si="33"/>
        <v>10.700000000004366</v>
      </c>
      <c r="AL17" s="501">
        <f t="shared" si="34"/>
        <v>268</v>
      </c>
      <c r="AM17" s="501">
        <f t="shared" si="35"/>
        <v>100.29999999999563</v>
      </c>
      <c r="AN17" s="170">
        <f t="shared" si="36"/>
        <v>0</v>
      </c>
      <c r="AO17" s="501">
        <f t="shared" si="4"/>
        <v>0</v>
      </c>
      <c r="AP17" s="170">
        <f t="shared" si="37"/>
        <v>63.30000000000291</v>
      </c>
      <c r="AQ17" s="501">
        <f t="shared" si="5"/>
        <v>99.199999999982538</v>
      </c>
      <c r="AR17" s="170">
        <f t="shared" si="38"/>
        <v>62.932000000000002</v>
      </c>
      <c r="AS17" s="501">
        <f t="shared" si="39"/>
        <v>147.93200000000002</v>
      </c>
      <c r="AT17" s="501">
        <f t="shared" si="40"/>
        <v>608.93200000000002</v>
      </c>
      <c r="AU17" s="170">
        <f t="shared" si="63"/>
        <v>85</v>
      </c>
      <c r="AV17" s="501">
        <f t="shared" si="64"/>
        <v>44</v>
      </c>
      <c r="AW17" s="170">
        <f t="shared" si="65"/>
        <v>376</v>
      </c>
      <c r="AX17" s="501">
        <f t="shared" si="66"/>
        <v>5</v>
      </c>
      <c r="AY17" s="501" t="str">
        <f t="shared" si="66"/>
        <v/>
      </c>
      <c r="AZ17" s="170">
        <f t="shared" si="41"/>
        <v>215</v>
      </c>
      <c r="BA17" s="170">
        <v>125</v>
      </c>
      <c r="BB17" s="170">
        <f t="shared" si="42"/>
        <v>108.09999999997672</v>
      </c>
      <c r="BC17" s="170">
        <f t="shared" si="42"/>
        <v>59.800000000046566</v>
      </c>
      <c r="BD17" s="170">
        <f t="shared" si="43"/>
        <v>200</v>
      </c>
      <c r="BE17" s="90"/>
      <c r="BF17" s="90"/>
      <c r="BG17" s="501">
        <f t="shared" si="44"/>
        <v>582.90000000002328</v>
      </c>
      <c r="BH17" s="501">
        <f t="shared" si="45"/>
        <v>3517.8999999999996</v>
      </c>
      <c r="BI17" s="90">
        <f t="shared" si="6"/>
        <v>-1433.7080000001033</v>
      </c>
      <c r="BJ17" s="90">
        <f t="shared" si="46"/>
        <v>3107.7080000001033</v>
      </c>
      <c r="BK17" s="92"/>
      <c r="BL17" s="93">
        <f t="shared" si="67"/>
        <v>5191.8999999999996</v>
      </c>
      <c r="BM17" s="93">
        <f t="shared" si="47"/>
        <v>64169.919999999998</v>
      </c>
      <c r="BN17" s="92"/>
      <c r="BO17" s="94">
        <f t="shared" si="48"/>
        <v>0.1138352378463561</v>
      </c>
      <c r="BP17" s="94">
        <f t="shared" si="48"/>
        <v>2.5109743768433231E-2</v>
      </c>
      <c r="BQ17" s="94">
        <f t="shared" si="49"/>
        <v>2.470279654134452E-3</v>
      </c>
      <c r="BR17" s="94">
        <f t="shared" si="68"/>
        <v>1.0383753434855594</v>
      </c>
      <c r="BS17" s="94">
        <f t="shared" si="7"/>
        <v>0.31719886565110234</v>
      </c>
      <c r="BT17" s="94">
        <f t="shared" si="7"/>
        <v>0.10217674971909645</v>
      </c>
      <c r="BU17" s="95">
        <f t="shared" si="7"/>
        <v>1.1797906047544828</v>
      </c>
      <c r="BV17" s="94">
        <f t="shared" si="8"/>
        <v>9.7696357643805506E-2</v>
      </c>
      <c r="BW17" s="94">
        <f t="shared" si="8"/>
        <v>2.1549834251290187E-2</v>
      </c>
      <c r="BX17" s="94">
        <f t="shared" si="8"/>
        <v>2.1200581571786201E-3</v>
      </c>
      <c r="BY17" s="94">
        <f t="shared" si="50"/>
        <v>0.89116068842053986</v>
      </c>
      <c r="BZ17" s="95">
        <f t="shared" si="9"/>
        <v>1.0125269384728142</v>
      </c>
      <c r="CA17" s="96" t="e">
        <f>#REF!</f>
        <v>#REF!</v>
      </c>
      <c r="CB17" s="94">
        <f t="shared" si="51"/>
        <v>5.9403161152076986E-2</v>
      </c>
      <c r="CC17" s="95">
        <f t="shared" si="51"/>
        <v>0.13963688482090278</v>
      </c>
      <c r="CD17" s="97">
        <f t="shared" si="10"/>
        <v>0.20949944772201143</v>
      </c>
      <c r="CE17" s="98">
        <f t="shared" si="10"/>
        <v>0.49246285356277564</v>
      </c>
      <c r="CF17" s="97" t="str">
        <f>IF($D17&lt;&gt;0,IF($D17&lt;&gt;0,AB17/$D17*10,0),"0,00")</f>
        <v>0,00</v>
      </c>
      <c r="CG17" s="94" t="str">
        <f t="shared" si="52"/>
        <v>0,00</v>
      </c>
      <c r="CH17" s="95" t="str">
        <f t="shared" si="53"/>
        <v xml:space="preserve">0,00 </v>
      </c>
      <c r="CI17" s="96" t="e">
        <f>#REF!</f>
        <v>#REF!</v>
      </c>
      <c r="CJ17" s="94">
        <f t="shared" si="54"/>
        <v>0.19588477366255144</v>
      </c>
      <c r="CK17" s="94">
        <f t="shared" si="54"/>
        <v>6.7654320987663899E-2</v>
      </c>
      <c r="CL17" s="95">
        <f t="shared" si="69"/>
        <v>0.33909465020576129</v>
      </c>
      <c r="CM17" s="95" t="e">
        <f>#REF!</f>
        <v>#REF!</v>
      </c>
      <c r="CN17" s="94">
        <f t="shared" si="55"/>
        <v>0.5203693097450256</v>
      </c>
      <c r="CO17" s="94">
        <f t="shared" si="55"/>
        <v>3.5464659963528954E-2</v>
      </c>
      <c r="CP17" s="95">
        <f t="shared" si="56"/>
        <v>0.88827372618896083</v>
      </c>
      <c r="CQ17" s="95" t="e">
        <f>#REF!</f>
        <v>#REF!</v>
      </c>
      <c r="CR17" s="97" t="str">
        <f t="shared" si="70"/>
        <v xml:space="preserve">0,00 </v>
      </c>
      <c r="CS17" s="95" t="str">
        <f t="shared" si="70"/>
        <v xml:space="preserve">0,00 </v>
      </c>
      <c r="CT17" s="96" t="e">
        <f>#REF!</f>
        <v>#REF!</v>
      </c>
      <c r="CU17" s="97" t="str">
        <f t="shared" si="71"/>
        <v xml:space="preserve">0,00 </v>
      </c>
      <c r="CV17" s="95" t="str">
        <f t="shared" si="57"/>
        <v xml:space="preserve">0,00 </v>
      </c>
      <c r="CW17" s="96" t="e">
        <f>#REF!</f>
        <v>#REF!</v>
      </c>
      <c r="CX17" s="97">
        <f t="shared" si="58"/>
        <v>8.0233723668825779E-2</v>
      </c>
      <c r="CY17" s="98">
        <f t="shared" si="58"/>
        <v>4.1532751075627469E-2</v>
      </c>
      <c r="CZ17" s="97">
        <f t="shared" si="58"/>
        <v>0.35491623646445286</v>
      </c>
      <c r="DA17" s="98">
        <f t="shared" si="58"/>
        <v>4.7196308040485749E-3</v>
      </c>
      <c r="DB17" s="94">
        <f t="shared" si="11"/>
        <v>0.20294412457408872</v>
      </c>
      <c r="DC17" s="94">
        <f t="shared" si="12"/>
        <v>0.10203841798350821</v>
      </c>
      <c r="DD17" s="94">
        <f t="shared" si="12"/>
        <v>5.6446784416464911E-2</v>
      </c>
      <c r="DE17" s="94">
        <f t="shared" si="12"/>
        <v>0.18878523216194298</v>
      </c>
      <c r="DF17" s="94">
        <f t="shared" si="12"/>
        <v>0</v>
      </c>
      <c r="DG17" s="94">
        <f t="shared" si="12"/>
        <v>0</v>
      </c>
      <c r="DH17" s="95">
        <f t="shared" si="12"/>
        <v>0.55021455913600492</v>
      </c>
      <c r="DI17" s="96" t="e">
        <f>#REF!</f>
        <v>#REF!</v>
      </c>
      <c r="DJ17" s="95">
        <f t="shared" si="59"/>
        <v>3.3206378411124966</v>
      </c>
      <c r="DK17" s="96" t="e">
        <f>#REF!</f>
        <v>#REF!</v>
      </c>
      <c r="DL17" s="95">
        <f t="shared" si="60"/>
        <v>-1.3533144881622725</v>
      </c>
      <c r="DM17" s="96">
        <f t="shared" si="13"/>
        <v>0</v>
      </c>
      <c r="DN17" s="94">
        <f t="shared" si="14"/>
        <v>2.9334468813577352</v>
      </c>
      <c r="DO17" s="100">
        <v>3.4</v>
      </c>
      <c r="DP17" s="94">
        <f>IF($O17&lt;&gt;0,IF($O17&lt;&gt;0,BL17/$O17*10,0)," ")</f>
        <v>4.9007702343079593</v>
      </c>
      <c r="DQ17" s="94">
        <f>IF($P17&lt;&gt;0,IF($P17&lt;&gt;0,BM17/$P17*10,0)," ")</f>
        <v>3.728393325127604</v>
      </c>
      <c r="DR17" s="101">
        <f t="shared" si="15"/>
        <v>3.17</v>
      </c>
      <c r="DS17" s="147"/>
      <c r="DT17" s="134">
        <v>12</v>
      </c>
      <c r="DU17" s="330">
        <v>634266</v>
      </c>
      <c r="DV17" s="330">
        <v>29282</v>
      </c>
      <c r="DW17" s="330">
        <v>5150317</v>
      </c>
      <c r="DX17" s="330">
        <v>122168</v>
      </c>
      <c r="DY17" s="330">
        <v>86659.3</v>
      </c>
      <c r="DZ17" s="330">
        <v>404033</v>
      </c>
      <c r="EA17" s="330">
        <v>239680</v>
      </c>
      <c r="EB17" s="330">
        <v>55628.9</v>
      </c>
      <c r="EC17" s="330">
        <v>420320</v>
      </c>
      <c r="ED17" s="183">
        <v>48165.3</v>
      </c>
      <c r="EE17" s="330">
        <v>40656.5</v>
      </c>
      <c r="EF17" s="330">
        <v>43142.7</v>
      </c>
      <c r="EG17" s="330">
        <v>94383.3</v>
      </c>
      <c r="EH17" s="330">
        <v>186623.4</v>
      </c>
      <c r="EI17" s="330">
        <v>34003</v>
      </c>
      <c r="EJ17" s="330">
        <v>42669</v>
      </c>
      <c r="EK17" s="330"/>
      <c r="EL17" s="330">
        <v>716211.8</v>
      </c>
      <c r="EM17" s="330">
        <v>22.46</v>
      </c>
      <c r="EN17" s="330">
        <v>47053.3</v>
      </c>
      <c r="EO17" s="330">
        <v>3105722.7</v>
      </c>
      <c r="EP17" s="330">
        <v>2817191</v>
      </c>
      <c r="EQ17" s="330">
        <v>2884</v>
      </c>
      <c r="ER17" s="330">
        <v>929</v>
      </c>
      <c r="ES17" s="330">
        <v>401057</v>
      </c>
      <c r="ET17" s="105">
        <v>6169685</v>
      </c>
      <c r="EU17" s="136">
        <v>448710</v>
      </c>
      <c r="EV17" s="136">
        <v>153718</v>
      </c>
      <c r="EW17" s="330">
        <v>132138</v>
      </c>
      <c r="EX17" s="330">
        <v>217884.79999999999</v>
      </c>
      <c r="EY17" s="330">
        <v>1698607.3</v>
      </c>
      <c r="EZ17" s="330">
        <v>811313.8</v>
      </c>
      <c r="FA17" s="104">
        <v>761745</v>
      </c>
      <c r="FB17" s="104">
        <v>32366.5</v>
      </c>
      <c r="FC17" s="104">
        <v>1674</v>
      </c>
      <c r="FD17" s="77">
        <f t="shared" si="76"/>
        <v>3991.9</v>
      </c>
      <c r="FE17" s="105">
        <v>250</v>
      </c>
      <c r="FF17" s="123">
        <v>267</v>
      </c>
      <c r="FG17" s="105">
        <f t="shared" si="75"/>
        <v>841</v>
      </c>
      <c r="FH17" s="123">
        <v>976</v>
      </c>
      <c r="FI17" s="123">
        <v>434</v>
      </c>
      <c r="FJ17" s="105">
        <f t="shared" si="17"/>
        <v>497</v>
      </c>
      <c r="FK17" s="496">
        <v>0</v>
      </c>
      <c r="FL17" s="496">
        <v>419.9</v>
      </c>
      <c r="FM17" s="496">
        <v>307</v>
      </c>
      <c r="FN17" s="80">
        <v>1200</v>
      </c>
      <c r="FO17" s="303"/>
      <c r="FP17" s="484"/>
      <c r="FY17" s="119">
        <v>12</v>
      </c>
      <c r="FZ17" s="107"/>
      <c r="GA17" s="107"/>
      <c r="GB17" s="107"/>
      <c r="GC17" s="109"/>
      <c r="GD17" s="110"/>
      <c r="GE17" s="110"/>
      <c r="GF17" s="111"/>
      <c r="GG17" s="111"/>
      <c r="GH17" s="111"/>
      <c r="GI17" s="112"/>
      <c r="GJ17" s="111" t="e">
        <f t="shared" si="61"/>
        <v>#DIV/0!</v>
      </c>
      <c r="GK17" s="113"/>
    </row>
    <row r="18" spans="1:193" s="119" customFormat="1" ht="15" customHeight="1">
      <c r="B18" s="351">
        <v>42991</v>
      </c>
      <c r="D18" s="154">
        <v>3288</v>
      </c>
      <c r="E18" s="128">
        <v>0</v>
      </c>
      <c r="F18" s="128">
        <v>2454.3360000000002</v>
      </c>
      <c r="G18" s="86">
        <v>0</v>
      </c>
      <c r="H18" s="86">
        <v>4773.97</v>
      </c>
      <c r="I18" s="86">
        <v>1428.9110000000001</v>
      </c>
      <c r="J18" s="86">
        <v>8304.1200000000008</v>
      </c>
      <c r="K18" s="86">
        <v>0</v>
      </c>
      <c r="L18" s="86">
        <v>0</v>
      </c>
      <c r="M18" s="115">
        <f t="shared" si="62"/>
        <v>9733.0310000000009</v>
      </c>
      <c r="N18" s="88">
        <f t="shared" si="18"/>
        <v>10516.306</v>
      </c>
      <c r="O18" s="88">
        <f>(N18+L18+((J18+I18)*0.5))-178</f>
        <v>15204.821500000002</v>
      </c>
      <c r="P18" s="89">
        <f t="shared" si="20"/>
        <v>187316.27649999998</v>
      </c>
      <c r="R18" s="170">
        <f t="shared" si="21"/>
        <v>317.39999999990687</v>
      </c>
      <c r="S18" s="170">
        <f t="shared" si="22"/>
        <v>52.45</v>
      </c>
      <c r="T18" s="170">
        <f t="shared" si="1"/>
        <v>1.6179999999999999</v>
      </c>
      <c r="U18" s="170">
        <f t="shared" si="74"/>
        <v>0</v>
      </c>
      <c r="V18" s="170">
        <f t="shared" si="23"/>
        <v>559.1999999997206</v>
      </c>
      <c r="W18" s="170">
        <f t="shared" si="2"/>
        <v>51.7</v>
      </c>
      <c r="X18" s="170">
        <f t="shared" si="24"/>
        <v>559.1999999997206</v>
      </c>
      <c r="Y18" s="170" t="str">
        <f t="shared" si="25"/>
        <v>0</v>
      </c>
      <c r="Z18" s="170">
        <f t="shared" si="3"/>
        <v>78.5</v>
      </c>
      <c r="AA18" s="501">
        <f t="shared" si="26"/>
        <v>930.66799999962745</v>
      </c>
      <c r="AB18" s="170">
        <f t="shared" si="27"/>
        <v>197</v>
      </c>
      <c r="AC18" s="170">
        <f t="shared" si="27"/>
        <v>20</v>
      </c>
      <c r="AD18" s="501">
        <f t="shared" si="28"/>
        <v>412</v>
      </c>
      <c r="AE18" s="501">
        <f t="shared" si="29"/>
        <v>195</v>
      </c>
      <c r="AF18" s="170">
        <f t="shared" si="30"/>
        <v>22.69999999999709</v>
      </c>
      <c r="AG18" s="170">
        <f t="shared" si="30"/>
        <v>14.30000000000291</v>
      </c>
      <c r="AH18" s="501">
        <f t="shared" si="31"/>
        <v>109.69999999999709</v>
      </c>
      <c r="AI18" s="501">
        <f t="shared" si="32"/>
        <v>72.69999999999709</v>
      </c>
      <c r="AJ18" s="170">
        <f t="shared" si="33"/>
        <v>131</v>
      </c>
      <c r="AK18" s="170">
        <f t="shared" si="33"/>
        <v>45.099999999998545</v>
      </c>
      <c r="AL18" s="501">
        <f t="shared" si="34"/>
        <v>315</v>
      </c>
      <c r="AM18" s="501">
        <f t="shared" si="35"/>
        <v>138.90000000000146</v>
      </c>
      <c r="AN18" s="170">
        <f t="shared" si="36"/>
        <v>1.3999999999941792</v>
      </c>
      <c r="AO18" s="501">
        <f t="shared" si="4"/>
        <v>0</v>
      </c>
      <c r="AP18" s="170">
        <f t="shared" si="37"/>
        <v>27.899999999994179</v>
      </c>
      <c r="AQ18" s="501">
        <f>IF(AP18=0.1,0,(IF(AP18&gt;=(EH18-EH17),(AP18),(EH18-EH17))))</f>
        <v>35.200000000011642</v>
      </c>
      <c r="AR18" s="170">
        <f t="shared" si="38"/>
        <v>75.314999999999998</v>
      </c>
      <c r="AS18" s="501">
        <f t="shared" si="39"/>
        <v>59.315000000000055</v>
      </c>
      <c r="AT18" s="501">
        <f t="shared" si="40"/>
        <v>883.31500000000005</v>
      </c>
      <c r="AU18" s="170">
        <f t="shared" si="63"/>
        <v>237</v>
      </c>
      <c r="AV18" s="501">
        <f t="shared" si="64"/>
        <v>13</v>
      </c>
      <c r="AW18" s="170">
        <f t="shared" si="65"/>
        <v>587</v>
      </c>
      <c r="AX18" s="501">
        <f t="shared" si="66"/>
        <v>42</v>
      </c>
      <c r="AY18" s="501" t="str">
        <f t="shared" si="66"/>
        <v/>
      </c>
      <c r="AZ18" s="170">
        <f t="shared" si="41"/>
        <v>260</v>
      </c>
      <c r="BA18" s="170">
        <v>28</v>
      </c>
      <c r="BB18" s="170">
        <f t="shared" si="42"/>
        <v>99.200000000011642</v>
      </c>
      <c r="BC18" s="170">
        <f t="shared" si="42"/>
        <v>0</v>
      </c>
      <c r="BD18" s="170">
        <f t="shared" si="43"/>
        <v>36</v>
      </c>
      <c r="BE18" s="90"/>
      <c r="BF18" s="90"/>
      <c r="BG18" s="501">
        <f t="shared" si="44"/>
        <v>395.20000000001164</v>
      </c>
      <c r="BH18" s="501">
        <f t="shared" si="45"/>
        <v>4987.78</v>
      </c>
      <c r="BI18" s="90" t="str">
        <f t="shared" si="6"/>
        <v/>
      </c>
      <c r="BJ18" s="90">
        <f t="shared" si="46"/>
        <v>3136.0829999996481</v>
      </c>
      <c r="BK18" s="92"/>
      <c r="BL18" s="93">
        <f t="shared" si="67"/>
        <v>4987.78</v>
      </c>
      <c r="BM18" s="93">
        <f t="shared" si="47"/>
        <v>69157.7</v>
      </c>
      <c r="BN18" s="92"/>
      <c r="BO18" s="94">
        <f t="shared" si="48"/>
        <v>0.30181700684623181</v>
      </c>
      <c r="BP18" s="94">
        <f t="shared" si="48"/>
        <v>4.9874927564869262E-2</v>
      </c>
      <c r="BQ18" s="94">
        <f t="shared" si="49"/>
        <v>1.5385630657761384E-3</v>
      </c>
      <c r="BR18" s="94">
        <f t="shared" si="68"/>
        <v>0.53174565289344045</v>
      </c>
      <c r="BS18" s="94">
        <f t="shared" si="7"/>
        <v>0</v>
      </c>
      <c r="BT18" s="94">
        <f t="shared" si="7"/>
        <v>7.4645983104713765E-2</v>
      </c>
      <c r="BU18" s="95">
        <f t="shared" si="7"/>
        <v>0.88497615037031774</v>
      </c>
      <c r="BV18" s="94">
        <f t="shared" si="8"/>
        <v>0.20874957328496546</v>
      </c>
      <c r="BW18" s="94">
        <f t="shared" si="8"/>
        <v>3.4495636795209991E-2</v>
      </c>
      <c r="BX18" s="94">
        <f t="shared" si="8"/>
        <v>1.0641361360276408E-3</v>
      </c>
      <c r="BY18" s="94">
        <f t="shared" si="50"/>
        <v>0.36777807618440017</v>
      </c>
      <c r="BZ18" s="95">
        <f t="shared" si="9"/>
        <v>0.61208742240060321</v>
      </c>
      <c r="CA18" s="96" t="e">
        <f>#REF!</f>
        <v>#REF!</v>
      </c>
      <c r="CB18" s="94">
        <f t="shared" si="51"/>
        <v>4.9533629842349672E-2</v>
      </c>
      <c r="CC18" s="95">
        <f t="shared" si="51"/>
        <v>3.9010651982991085E-2</v>
      </c>
      <c r="CD18" s="97">
        <f t="shared" si="10"/>
        <v>7.7380828233260521E-2</v>
      </c>
      <c r="CE18" s="98">
        <f t="shared" si="10"/>
        <v>6.0941961450651963E-2</v>
      </c>
      <c r="CF18" s="97">
        <f t="shared" si="52"/>
        <v>0.59914841849148426</v>
      </c>
      <c r="CG18" s="94">
        <f t="shared" si="52"/>
        <v>6.0827250608272508E-2</v>
      </c>
      <c r="CH18" s="95">
        <f t="shared" si="53"/>
        <v>1.2530413625304138</v>
      </c>
      <c r="CI18" s="96" t="e">
        <f>#REF!</f>
        <v>#REF!</v>
      </c>
      <c r="CJ18" s="94" t="str">
        <f t="shared" si="54"/>
        <v>0,00</v>
      </c>
      <c r="CK18" s="94" t="str">
        <f t="shared" si="54"/>
        <v>0,00</v>
      </c>
      <c r="CL18" s="95" t="str">
        <f t="shared" si="69"/>
        <v xml:space="preserve">0,00 </v>
      </c>
      <c r="CM18" s="95" t="e">
        <f>#REF!</f>
        <v>#REF!</v>
      </c>
      <c r="CN18" s="94">
        <f t="shared" si="55"/>
        <v>0.53374925030639653</v>
      </c>
      <c r="CO18" s="94">
        <f t="shared" si="55"/>
        <v>0.18375642128868475</v>
      </c>
      <c r="CP18" s="95">
        <f t="shared" si="56"/>
        <v>1.2834428537901899</v>
      </c>
      <c r="CQ18" s="95" t="e">
        <f>#REF!</f>
        <v>#REF!</v>
      </c>
      <c r="CR18" s="97" t="str">
        <f t="shared" si="70"/>
        <v xml:space="preserve">0,00 </v>
      </c>
      <c r="CS18" s="95" t="str">
        <f t="shared" si="70"/>
        <v xml:space="preserve">0,00 </v>
      </c>
      <c r="CT18" s="96" t="e">
        <f>#REF!</f>
        <v>#REF!</v>
      </c>
      <c r="CU18" s="97">
        <f t="shared" si="71"/>
        <v>5.8441925692859775E-2</v>
      </c>
      <c r="CV18" s="95">
        <f t="shared" si="57"/>
        <v>7.3733182236192601E-2</v>
      </c>
      <c r="CW18" s="96" t="e">
        <f>#REF!</f>
        <v>#REF!</v>
      </c>
      <c r="CX18" s="97">
        <f t="shared" si="58"/>
        <v>0.15587160954174961</v>
      </c>
      <c r="CY18" s="98">
        <f t="shared" si="58"/>
        <v>8.5499195107288824E-3</v>
      </c>
      <c r="CZ18" s="97">
        <f t="shared" si="58"/>
        <v>0.38606175021521949</v>
      </c>
      <c r="DA18" s="98">
        <f t="shared" si="58"/>
        <v>2.7622816880816387E-2</v>
      </c>
      <c r="DB18" s="94">
        <f t="shared" si="11"/>
        <v>0.17099839021457763</v>
      </c>
      <c r="DC18" s="94">
        <f t="shared" si="12"/>
        <v>6.5242462728031123E-2</v>
      </c>
      <c r="DD18" s="94">
        <f t="shared" si="12"/>
        <v>0</v>
      </c>
      <c r="DE18" s="94">
        <f t="shared" si="12"/>
        <v>2.3676700183556904E-2</v>
      </c>
      <c r="DF18" s="94">
        <f t="shared" si="12"/>
        <v>0</v>
      </c>
      <c r="DG18" s="94">
        <f t="shared" si="12"/>
        <v>0</v>
      </c>
      <c r="DH18" s="95">
        <f t="shared" si="12"/>
        <v>0.25991755312616566</v>
      </c>
      <c r="DI18" s="96" t="e">
        <f>#REF!</f>
        <v>#REF!</v>
      </c>
      <c r="DJ18" s="95">
        <f t="shared" si="59"/>
        <v>3.2803936567094851</v>
      </c>
      <c r="DK18" s="96" t="e">
        <f>#REF!</f>
        <v>#REF!</v>
      </c>
      <c r="DL18" s="95" t="e">
        <f t="shared" si="60"/>
        <v>#VALUE!</v>
      </c>
      <c r="DM18" s="96">
        <f t="shared" si="13"/>
        <v>0</v>
      </c>
      <c r="DN18" s="94">
        <f t="shared" si="14"/>
        <v>2.0625582483817042</v>
      </c>
      <c r="DO18" s="100">
        <v>3.4</v>
      </c>
      <c r="DP18" s="94">
        <f>IF($O18&lt;&gt;0,IF($O18&lt;&gt;0,BL18/$O18*10,0)," ")</f>
        <v>3.2803936567094851</v>
      </c>
      <c r="DQ18" s="94">
        <f t="shared" si="73"/>
        <v>3.6920283326259695</v>
      </c>
      <c r="DR18" s="101">
        <f t="shared" si="15"/>
        <v>3.17</v>
      </c>
      <c r="DS18" s="147"/>
      <c r="DT18" s="134">
        <v>13</v>
      </c>
      <c r="DU18" s="361">
        <v>634463</v>
      </c>
      <c r="DV18" s="361">
        <v>29302</v>
      </c>
      <c r="DW18" s="361">
        <v>5150532</v>
      </c>
      <c r="DX18" s="400">
        <v>122190.7</v>
      </c>
      <c r="DY18" s="361">
        <v>86673.600000000006</v>
      </c>
      <c r="DZ18" s="361">
        <v>404120</v>
      </c>
      <c r="EA18" s="303">
        <v>239811</v>
      </c>
      <c r="EB18" s="303">
        <v>55674</v>
      </c>
      <c r="EC18" s="303">
        <v>420504</v>
      </c>
      <c r="ED18" s="303">
        <v>48166.7</v>
      </c>
      <c r="EE18" s="303">
        <v>40656.5</v>
      </c>
      <c r="EF18" s="330">
        <v>43142.7</v>
      </c>
      <c r="EG18" s="303">
        <v>94411.199999999997</v>
      </c>
      <c r="EH18" s="361">
        <v>186658.6</v>
      </c>
      <c r="EI18" s="361">
        <v>34016</v>
      </c>
      <c r="EJ18" s="303">
        <v>42711</v>
      </c>
      <c r="EK18" s="303"/>
      <c r="EL18" s="361">
        <v>716529.2</v>
      </c>
      <c r="EM18" s="303">
        <v>16.18</v>
      </c>
      <c r="EN18" s="303">
        <v>47053.3</v>
      </c>
      <c r="EO18" s="361">
        <v>3106281.9</v>
      </c>
      <c r="EP18" s="303">
        <v>2817708</v>
      </c>
      <c r="EQ18" s="303">
        <v>0</v>
      </c>
      <c r="ER18" s="303">
        <v>785</v>
      </c>
      <c r="ES18" s="303">
        <v>401865</v>
      </c>
      <c r="ET18" s="303">
        <v>6245000</v>
      </c>
      <c r="EU18" s="136">
        <v>449297</v>
      </c>
      <c r="EV18" s="136">
        <v>153955</v>
      </c>
      <c r="EW18" s="303">
        <v>132398</v>
      </c>
      <c r="EX18" s="303">
        <v>217984</v>
      </c>
      <c r="EY18" s="303">
        <v>1698607.3</v>
      </c>
      <c r="EZ18" s="303">
        <v>811838.3</v>
      </c>
      <c r="FA18" s="383">
        <v>761781</v>
      </c>
      <c r="FB18" s="303">
        <v>32404.5</v>
      </c>
      <c r="FC18" s="303"/>
      <c r="FD18" s="77">
        <f t="shared" si="76"/>
        <v>3787.7799999999997</v>
      </c>
      <c r="FE18" s="105">
        <v>0</v>
      </c>
      <c r="FF18" s="123">
        <v>0</v>
      </c>
      <c r="FG18" s="105">
        <v>457</v>
      </c>
      <c r="FH18" s="123">
        <v>996</v>
      </c>
      <c r="FI18" s="123">
        <v>347</v>
      </c>
      <c r="FJ18" s="105">
        <v>703</v>
      </c>
      <c r="FK18" s="123">
        <v>1040.78</v>
      </c>
      <c r="FL18" s="123">
        <v>0</v>
      </c>
      <c r="FM18" s="123">
        <v>244</v>
      </c>
      <c r="FN18" s="80">
        <v>1200</v>
      </c>
      <c r="FO18" s="303"/>
      <c r="FP18" s="485"/>
      <c r="FY18" s="119">
        <v>13</v>
      </c>
      <c r="FZ18" s="107"/>
      <c r="GA18" s="107"/>
      <c r="GB18" s="107"/>
      <c r="GC18" s="109"/>
      <c r="GD18" s="110"/>
      <c r="GE18" s="110"/>
      <c r="GF18" s="111"/>
      <c r="GG18" s="111"/>
      <c r="GH18" s="111"/>
      <c r="GI18" s="112"/>
      <c r="GJ18" s="111" t="e">
        <f t="shared" si="61"/>
        <v>#DIV/0!</v>
      </c>
      <c r="GK18" s="113"/>
    </row>
    <row r="19" spans="1:193" s="119" customFormat="1" ht="15" customHeight="1">
      <c r="A19" s="119">
        <v>0</v>
      </c>
      <c r="B19" s="351">
        <v>42992</v>
      </c>
      <c r="D19" s="157">
        <v>5535</v>
      </c>
      <c r="E19" s="128">
        <v>0</v>
      </c>
      <c r="F19" s="128">
        <v>2197.3679999999999</v>
      </c>
      <c r="G19" s="86">
        <v>0</v>
      </c>
      <c r="H19" s="86">
        <v>5592.3360000000002</v>
      </c>
      <c r="I19" s="86">
        <v>1596.5360000000001</v>
      </c>
      <c r="J19" s="86">
        <v>7408.3680000000004</v>
      </c>
      <c r="K19" s="86">
        <v>0</v>
      </c>
      <c r="L19" s="86">
        <v>0</v>
      </c>
      <c r="M19" s="115">
        <f t="shared" si="62"/>
        <v>9004.9040000000005</v>
      </c>
      <c r="N19" s="88">
        <f t="shared" si="18"/>
        <v>13324.704000000002</v>
      </c>
      <c r="O19" s="88">
        <f t="shared" si="19"/>
        <v>17827.156000000003</v>
      </c>
      <c r="P19" s="89">
        <f t="shared" si="20"/>
        <v>205143.4325</v>
      </c>
      <c r="R19" s="170">
        <f t="shared" si="21"/>
        <v>51.200000000069849</v>
      </c>
      <c r="S19" s="170">
        <f t="shared" si="22"/>
        <v>158.22999999999303</v>
      </c>
      <c r="T19" s="170">
        <f t="shared" si="1"/>
        <v>7.4279999999999999</v>
      </c>
      <c r="U19" s="170">
        <f t="shared" si="74"/>
        <v>0</v>
      </c>
      <c r="V19" s="170">
        <f t="shared" si="23"/>
        <v>715.20000000018626</v>
      </c>
      <c r="W19" s="170">
        <f t="shared" si="2"/>
        <v>65.3</v>
      </c>
      <c r="X19" s="170">
        <f t="shared" si="24"/>
        <v>715.20000000018626</v>
      </c>
      <c r="Y19" s="170" t="str">
        <f t="shared" si="25"/>
        <v>0</v>
      </c>
      <c r="Z19" s="170">
        <f t="shared" si="3"/>
        <v>86.6</v>
      </c>
      <c r="AA19" s="501">
        <f t="shared" si="26"/>
        <v>932.05800000024919</v>
      </c>
      <c r="AB19" s="170">
        <f t="shared" si="27"/>
        <v>210</v>
      </c>
      <c r="AC19" s="170">
        <f t="shared" si="27"/>
        <v>39</v>
      </c>
      <c r="AD19" s="501">
        <f t="shared" si="28"/>
        <v>410</v>
      </c>
      <c r="AE19" s="501">
        <f t="shared" si="29"/>
        <v>161</v>
      </c>
      <c r="AF19" s="170">
        <v>112</v>
      </c>
      <c r="AG19" s="170">
        <f t="shared" si="30"/>
        <v>90.899999999994179</v>
      </c>
      <c r="AH19" s="501">
        <f t="shared" si="31"/>
        <v>289</v>
      </c>
      <c r="AI19" s="501">
        <f t="shared" si="32"/>
        <v>86.100000000005821</v>
      </c>
      <c r="AJ19" s="170">
        <f t="shared" si="33"/>
        <v>135</v>
      </c>
      <c r="AK19" s="170">
        <f t="shared" si="33"/>
        <v>42</v>
      </c>
      <c r="AL19" s="501">
        <f t="shared" si="34"/>
        <v>332</v>
      </c>
      <c r="AM19" s="501">
        <f t="shared" si="35"/>
        <v>155</v>
      </c>
      <c r="AN19" s="170">
        <f t="shared" si="36"/>
        <v>33.100000000005821</v>
      </c>
      <c r="AO19" s="501">
        <f t="shared" si="4"/>
        <v>0.5</v>
      </c>
      <c r="AP19" s="170">
        <f t="shared" si="37"/>
        <v>24.600000000005821</v>
      </c>
      <c r="AQ19" s="501">
        <f>IF(AP19=0.1,0,(IF(AP19&gt;=(EH19-EH18),(AP19),(EH19-EH18))))</f>
        <v>30.399999999994179</v>
      </c>
      <c r="AR19" s="170">
        <f t="shared" si="38"/>
        <v>54.86</v>
      </c>
      <c r="AS19" s="501">
        <f t="shared" si="39"/>
        <v>209.8599999999999</v>
      </c>
      <c r="AT19" s="501">
        <f t="shared" si="40"/>
        <v>1109.8599999999999</v>
      </c>
      <c r="AU19" s="170">
        <f t="shared" si="63"/>
        <v>193</v>
      </c>
      <c r="AV19" s="501">
        <f t="shared" si="64"/>
        <v>62</v>
      </c>
      <c r="AW19" s="170">
        <f t="shared" si="65"/>
        <v>707</v>
      </c>
      <c r="AX19" s="501">
        <f t="shared" si="66"/>
        <v>3</v>
      </c>
      <c r="AY19" s="501" t="str">
        <f t="shared" si="66"/>
        <v/>
      </c>
      <c r="AZ19" s="170">
        <f t="shared" si="41"/>
        <v>36</v>
      </c>
      <c r="BA19" s="170">
        <v>165</v>
      </c>
      <c r="BB19" s="170">
        <f t="shared" si="42"/>
        <v>122.60000000000582</v>
      </c>
      <c r="BC19" s="170">
        <f t="shared" si="42"/>
        <v>0</v>
      </c>
      <c r="BD19" s="170">
        <f t="shared" si="43"/>
        <v>22</v>
      </c>
      <c r="BE19" s="90"/>
      <c r="BF19" s="90"/>
      <c r="BG19" s="501">
        <f t="shared" si="44"/>
        <v>180.60000000000582</v>
      </c>
      <c r="BH19" s="501">
        <f t="shared" si="45"/>
        <v>6201</v>
      </c>
      <c r="BI19" s="90">
        <f t="shared" si="6"/>
        <v>-2539.4180000002489</v>
      </c>
      <c r="BJ19" s="90">
        <f t="shared" si="46"/>
        <v>3349.4180000002489</v>
      </c>
      <c r="BK19" s="92"/>
      <c r="BL19" s="331">
        <f t="shared" si="67"/>
        <v>7011</v>
      </c>
      <c r="BM19" s="93">
        <f t="shared" si="47"/>
        <v>76168.7</v>
      </c>
      <c r="BN19" s="92"/>
      <c r="BO19" s="94">
        <f t="shared" si="48"/>
        <v>3.8424868574994116E-2</v>
      </c>
      <c r="BP19" s="94">
        <f t="shared" si="48"/>
        <v>0.11874935458228041</v>
      </c>
      <c r="BQ19" s="94">
        <f t="shared" si="49"/>
        <v>5.5746078862239628E-3</v>
      </c>
      <c r="BR19" s="94">
        <f t="shared" si="68"/>
        <v>0.5367473829063566</v>
      </c>
      <c r="BS19" s="94">
        <f t="shared" si="7"/>
        <v>0</v>
      </c>
      <c r="BT19" s="94">
        <f t="shared" si="7"/>
        <v>6.4992062863084968E-2</v>
      </c>
      <c r="BU19" s="95">
        <f t="shared" si="7"/>
        <v>0.69949621394985517</v>
      </c>
      <c r="BV19" s="94">
        <f t="shared" si="8"/>
        <v>2.8720228846412652E-2</v>
      </c>
      <c r="BW19" s="94">
        <f t="shared" si="8"/>
        <v>8.8757847858622549E-2</v>
      </c>
      <c r="BX19" s="94">
        <f t="shared" si="8"/>
        <v>4.1666769506027764E-3</v>
      </c>
      <c r="BY19" s="94">
        <f t="shared" si="50"/>
        <v>0.4011856966978839</v>
      </c>
      <c r="BZ19" s="95">
        <f t="shared" si="9"/>
        <v>0.52283045035352194</v>
      </c>
      <c r="CA19" s="96" t="e">
        <f>#REF!</f>
        <v>#REF!</v>
      </c>
      <c r="CB19" s="94">
        <f t="shared" si="51"/>
        <v>3.0773276455313449E-2</v>
      </c>
      <c r="CC19" s="95">
        <f t="shared" si="51"/>
        <v>0.11771928175195184</v>
      </c>
      <c r="CD19" s="97">
        <f t="shared" si="10"/>
        <v>6.092235963870353E-2</v>
      </c>
      <c r="CE19" s="98">
        <f t="shared" si="10"/>
        <v>0.23305079099121978</v>
      </c>
      <c r="CF19" s="97">
        <f t="shared" si="52"/>
        <v>0.37940379403794033</v>
      </c>
      <c r="CG19" s="94">
        <f t="shared" si="52"/>
        <v>7.0460704607046065E-2</v>
      </c>
      <c r="CH19" s="95">
        <f t="shared" si="53"/>
        <v>0.7407407407407407</v>
      </c>
      <c r="CI19" s="96" t="e">
        <f>#REF!</f>
        <v>#REF!</v>
      </c>
      <c r="CJ19" s="94" t="str">
        <f t="shared" si="54"/>
        <v>0,00</v>
      </c>
      <c r="CK19" s="94" t="str">
        <f t="shared" si="54"/>
        <v>0,00</v>
      </c>
      <c r="CL19" s="95" t="str">
        <f t="shared" si="69"/>
        <v xml:space="preserve">0,00 </v>
      </c>
      <c r="CM19" s="95" t="e">
        <f>#REF!</f>
        <v>#REF!</v>
      </c>
      <c r="CN19" s="94">
        <f t="shared" si="55"/>
        <v>0.61437137520888629</v>
      </c>
      <c r="CO19" s="94">
        <f t="shared" si="55"/>
        <v>0.19113776117609796</v>
      </c>
      <c r="CP19" s="95">
        <f t="shared" si="56"/>
        <v>1.5108984931062983</v>
      </c>
      <c r="CQ19" s="95" t="e">
        <f>#REF!</f>
        <v>#REF!</v>
      </c>
      <c r="CR19" s="97" t="str">
        <f t="shared" si="70"/>
        <v xml:space="preserve">0,00 </v>
      </c>
      <c r="CS19" s="95" t="str">
        <f t="shared" si="70"/>
        <v xml:space="preserve">0,00 </v>
      </c>
      <c r="CT19" s="96" t="e">
        <f>#REF!</f>
        <v>#REF!</v>
      </c>
      <c r="CU19" s="97">
        <f t="shared" si="71"/>
        <v>4.3988773206770512E-2</v>
      </c>
      <c r="CV19" s="95">
        <f t="shared" si="57"/>
        <v>5.4360109979075255E-2</v>
      </c>
      <c r="CW19" s="96" t="e">
        <f>#REF!</f>
        <v>#REF!</v>
      </c>
      <c r="CX19" s="97">
        <f t="shared" si="58"/>
        <v>0.10826180014355626</v>
      </c>
      <c r="CY19" s="98">
        <f t="shared" si="58"/>
        <v>3.4778402118655377E-2</v>
      </c>
      <c r="CZ19" s="97">
        <f t="shared" si="58"/>
        <v>0.39658597254660244</v>
      </c>
      <c r="DA19" s="98">
        <f t="shared" si="58"/>
        <v>1.6828259089671956E-3</v>
      </c>
      <c r="DB19" s="94">
        <f t="shared" si="11"/>
        <v>2.0193910907606347E-2</v>
      </c>
      <c r="DC19" s="94">
        <f t="shared" si="12"/>
        <v>6.8771485479796002E-2</v>
      </c>
      <c r="DD19" s="94">
        <f t="shared" si="12"/>
        <v>0</v>
      </c>
      <c r="DE19" s="94">
        <f t="shared" si="12"/>
        <v>1.23407233324261E-2</v>
      </c>
      <c r="DF19" s="94">
        <f t="shared" si="12"/>
        <v>0</v>
      </c>
      <c r="DG19" s="94">
        <f t="shared" si="12"/>
        <v>0</v>
      </c>
      <c r="DH19" s="95">
        <f t="shared" si="12"/>
        <v>0.10130611971982845</v>
      </c>
      <c r="DI19" s="96" t="e">
        <f>#REF!</f>
        <v>#REF!</v>
      </c>
      <c r="DJ19" s="95">
        <f t="shared" si="59"/>
        <v>3.4784011538351933</v>
      </c>
      <c r="DK19" s="96" t="e">
        <f>#REF!</f>
        <v>#REF!</v>
      </c>
      <c r="DL19" s="95">
        <f t="shared" si="60"/>
        <v>-1.424466134699359</v>
      </c>
      <c r="DM19" s="96">
        <f t="shared" si="13"/>
        <v>0</v>
      </c>
      <c r="DN19" s="94">
        <f t="shared" si="14"/>
        <v>1.8788291301205018</v>
      </c>
      <c r="DO19" s="100">
        <v>3.4</v>
      </c>
      <c r="DP19" s="94">
        <f>IF($O19&lt;&gt;0,IF($O19&lt;&gt;0,BL19/$O19*10,0)," ")</f>
        <v>3.9327641492563363</v>
      </c>
      <c r="DQ19" s="94">
        <f t="shared" si="73"/>
        <v>3.7129485000695794</v>
      </c>
      <c r="DR19" s="101">
        <f t="shared" si="15"/>
        <v>3.17</v>
      </c>
      <c r="DS19" s="147"/>
      <c r="DT19" s="103">
        <v>14</v>
      </c>
      <c r="DU19" s="361">
        <v>634673</v>
      </c>
      <c r="DV19" s="361">
        <v>29341</v>
      </c>
      <c r="DW19" s="361">
        <v>5150732</v>
      </c>
      <c r="DX19" s="360">
        <v>121224</v>
      </c>
      <c r="DY19" s="361">
        <v>86764.5</v>
      </c>
      <c r="DZ19" s="361">
        <v>404297</v>
      </c>
      <c r="EA19" s="361">
        <v>239946</v>
      </c>
      <c r="EB19" s="303">
        <v>55716</v>
      </c>
      <c r="EC19" s="361">
        <v>420701</v>
      </c>
      <c r="ED19" s="361">
        <v>48199.8</v>
      </c>
      <c r="EE19" s="405">
        <v>40657</v>
      </c>
      <c r="EF19" s="405">
        <v>43142.7</v>
      </c>
      <c r="EG19" s="361">
        <v>94435.8</v>
      </c>
      <c r="EH19" s="361">
        <v>186689</v>
      </c>
      <c r="EI19" s="361">
        <v>34078</v>
      </c>
      <c r="EJ19" s="303">
        <v>42714</v>
      </c>
      <c r="EK19" s="303"/>
      <c r="EL19" s="361">
        <v>716580.4</v>
      </c>
      <c r="EM19" s="303">
        <v>74.28</v>
      </c>
      <c r="EN19" s="303">
        <v>47053.3</v>
      </c>
      <c r="EO19" s="361">
        <v>3106997.1</v>
      </c>
      <c r="EP19" s="303">
        <v>2818361</v>
      </c>
      <c r="EQ19" s="303">
        <v>0</v>
      </c>
      <c r="ER19" s="303">
        <v>866</v>
      </c>
      <c r="ES19" s="303">
        <v>402920</v>
      </c>
      <c r="ET19" s="303">
        <v>6299860</v>
      </c>
      <c r="EU19" s="136">
        <v>450004</v>
      </c>
      <c r="EV19" s="136">
        <v>154148</v>
      </c>
      <c r="EW19" s="303">
        <v>132434</v>
      </c>
      <c r="EX19" s="303">
        <v>218106.6</v>
      </c>
      <c r="EY19" s="303">
        <v>1698607.3</v>
      </c>
      <c r="EZ19" s="303">
        <v>813420.6</v>
      </c>
      <c r="FA19" s="383">
        <v>761803</v>
      </c>
      <c r="FB19" s="303">
        <v>32571.8</v>
      </c>
      <c r="FC19" s="303">
        <v>810</v>
      </c>
      <c r="FD19" s="77">
        <f t="shared" si="76"/>
        <v>5911</v>
      </c>
      <c r="FE19" s="105">
        <v>588</v>
      </c>
      <c r="FF19" s="123">
        <v>560</v>
      </c>
      <c r="FG19" s="105">
        <v>1067</v>
      </c>
      <c r="FH19" s="123">
        <v>950</v>
      </c>
      <c r="FI19" s="123">
        <v>495</v>
      </c>
      <c r="FJ19" s="555">
        <f>438-99</f>
        <v>339</v>
      </c>
      <c r="FK19" s="123">
        <v>1115</v>
      </c>
      <c r="FL19" s="123">
        <v>535</v>
      </c>
      <c r="FM19" s="123">
        <v>262</v>
      </c>
      <c r="FN19" s="80">
        <v>1100</v>
      </c>
      <c r="FO19" s="388">
        <v>0</v>
      </c>
      <c r="FP19" s="485"/>
      <c r="FY19" s="119">
        <v>14</v>
      </c>
      <c r="FZ19" s="107"/>
      <c r="GA19" s="107"/>
      <c r="GB19" s="107"/>
      <c r="GC19" s="109"/>
      <c r="GD19" s="110"/>
      <c r="GE19" s="110"/>
      <c r="GF19" s="111"/>
      <c r="GG19" s="111"/>
      <c r="GH19" s="111"/>
      <c r="GI19" s="112"/>
      <c r="GJ19" s="111" t="e">
        <f t="shared" si="61"/>
        <v>#DIV/0!</v>
      </c>
      <c r="GK19" s="113"/>
    </row>
    <row r="20" spans="1:193" s="119" customFormat="1" ht="15" customHeight="1">
      <c r="B20" s="351">
        <v>42993</v>
      </c>
      <c r="D20" s="159">
        <v>5611.8</v>
      </c>
      <c r="E20" s="128">
        <v>3828</v>
      </c>
      <c r="F20" s="86">
        <v>3006.72</v>
      </c>
      <c r="G20" s="86">
        <v>0</v>
      </c>
      <c r="H20" s="86">
        <v>8073.201</v>
      </c>
      <c r="I20" s="86">
        <v>1498.9870000000001</v>
      </c>
      <c r="J20" s="86">
        <v>7500.5039999999999</v>
      </c>
      <c r="K20" s="86">
        <v>0</v>
      </c>
      <c r="L20" s="86">
        <v>0</v>
      </c>
      <c r="M20" s="115">
        <f t="shared" si="62"/>
        <v>8999.491</v>
      </c>
      <c r="N20" s="88">
        <f t="shared" si="18"/>
        <v>20519.720999999998</v>
      </c>
      <c r="O20" s="88">
        <f>(N20+L20+((J20+I20)*0.5))-353</f>
        <v>24666.466499999999</v>
      </c>
      <c r="P20" s="89">
        <f t="shared" si="20"/>
        <v>229809.899</v>
      </c>
      <c r="R20" s="170">
        <f t="shared" si="21"/>
        <v>167.09999999997672</v>
      </c>
      <c r="S20" s="170">
        <f t="shared" si="22"/>
        <v>80.120000000006982</v>
      </c>
      <c r="T20" s="170">
        <f t="shared" si="1"/>
        <v>16.3</v>
      </c>
      <c r="U20" s="170">
        <f t="shared" si="74"/>
        <v>3.0799999999995635</v>
      </c>
      <c r="V20" s="170">
        <f t="shared" si="23"/>
        <v>996.29999999981374</v>
      </c>
      <c r="W20" s="170">
        <f t="shared" si="2"/>
        <v>88.3</v>
      </c>
      <c r="X20" s="170">
        <f t="shared" si="24"/>
        <v>996.29999999981374</v>
      </c>
      <c r="Y20" s="170" t="str">
        <f t="shared" si="25"/>
        <v>0</v>
      </c>
      <c r="Z20" s="170">
        <f t="shared" si="3"/>
        <v>147.69999999999999</v>
      </c>
      <c r="AA20" s="501">
        <f t="shared" si="26"/>
        <v>1262.899999999797</v>
      </c>
      <c r="AB20" s="170">
        <f t="shared" si="27"/>
        <v>210</v>
      </c>
      <c r="AC20" s="170">
        <f t="shared" si="27"/>
        <v>41</v>
      </c>
      <c r="AD20" s="501">
        <f t="shared" si="28"/>
        <v>499</v>
      </c>
      <c r="AE20" s="501">
        <f t="shared" si="29"/>
        <v>248</v>
      </c>
      <c r="AF20" s="170">
        <f t="shared" si="30"/>
        <v>87</v>
      </c>
      <c r="AG20" s="170">
        <f t="shared" si="30"/>
        <v>57</v>
      </c>
      <c r="AH20" s="501">
        <f t="shared" si="31"/>
        <v>199</v>
      </c>
      <c r="AI20" s="501">
        <f t="shared" si="32"/>
        <v>55</v>
      </c>
      <c r="AJ20" s="170">
        <f t="shared" si="33"/>
        <v>144</v>
      </c>
      <c r="AK20" s="170">
        <f t="shared" si="33"/>
        <v>12</v>
      </c>
      <c r="AL20" s="501">
        <f t="shared" si="34"/>
        <v>240</v>
      </c>
      <c r="AM20" s="501">
        <f t="shared" si="35"/>
        <v>84</v>
      </c>
      <c r="AN20" s="170">
        <f t="shared" si="36"/>
        <v>12</v>
      </c>
      <c r="AO20" s="501">
        <f t="shared" si="4"/>
        <v>15.400000000001455</v>
      </c>
      <c r="AP20" s="170">
        <f t="shared" si="37"/>
        <v>32.30000000000291</v>
      </c>
      <c r="AQ20" s="501">
        <f t="shared" si="5"/>
        <v>37.799999999988358</v>
      </c>
      <c r="AR20" s="170">
        <f t="shared" si="38"/>
        <v>83.183000000000007</v>
      </c>
      <c r="AS20" s="501">
        <f t="shared" si="39"/>
        <v>91.182999999999993</v>
      </c>
      <c r="AT20" s="501">
        <f t="shared" si="40"/>
        <v>1079.183</v>
      </c>
      <c r="AU20" s="170">
        <f t="shared" si="63"/>
        <v>348</v>
      </c>
      <c r="AV20" s="501">
        <f t="shared" si="64"/>
        <v>53</v>
      </c>
      <c r="AW20" s="170">
        <f t="shared" si="65"/>
        <v>640</v>
      </c>
      <c r="AX20" s="501">
        <f t="shared" si="66"/>
        <v>2</v>
      </c>
      <c r="AY20" s="501" t="str">
        <f t="shared" si="66"/>
        <v/>
      </c>
      <c r="AZ20" s="170">
        <f t="shared" si="41"/>
        <v>282</v>
      </c>
      <c r="BA20" s="170">
        <v>54</v>
      </c>
      <c r="BB20" s="170">
        <f t="shared" si="42"/>
        <v>168.5</v>
      </c>
      <c r="BC20" s="170">
        <f t="shared" si="42"/>
        <v>488.0999999998603</v>
      </c>
      <c r="BD20" s="170">
        <f t="shared" si="43"/>
        <v>338</v>
      </c>
      <c r="BE20" s="90"/>
      <c r="BF20" s="90"/>
      <c r="BG20" s="501">
        <f t="shared" si="44"/>
        <v>1276.5999999998603</v>
      </c>
      <c r="BH20" s="501">
        <f t="shared" si="45"/>
        <v>4274.59</v>
      </c>
      <c r="BI20" s="90">
        <f t="shared" si="6"/>
        <v>-2857.8829999996469</v>
      </c>
      <c r="BJ20" s="90">
        <f t="shared" si="46"/>
        <v>4664.8829999996469</v>
      </c>
      <c r="BK20" s="92"/>
      <c r="BL20" s="93">
        <f t="shared" si="67"/>
        <v>6081.59</v>
      </c>
      <c r="BM20" s="93">
        <f t="shared" si="47"/>
        <v>82250.289999999994</v>
      </c>
      <c r="BN20" s="92"/>
      <c r="BO20" s="94">
        <f t="shared" si="48"/>
        <v>8.1433855752705772E-2</v>
      </c>
      <c r="BP20" s="94">
        <f t="shared" si="48"/>
        <v>3.9045365187960882E-2</v>
      </c>
      <c r="BQ20" s="94">
        <f t="shared" si="49"/>
        <v>7.9435777903607962E-3</v>
      </c>
      <c r="BR20" s="94">
        <f t="shared" si="68"/>
        <v>0.4855329173334344</v>
      </c>
      <c r="BS20" s="94">
        <f t="shared" si="7"/>
        <v>0</v>
      </c>
      <c r="BT20" s="94">
        <f t="shared" si="7"/>
        <v>7.1979536174005487E-2</v>
      </c>
      <c r="BU20" s="95">
        <f t="shared" si="7"/>
        <v>0.61545671113159739</v>
      </c>
      <c r="BV20" s="94">
        <f t="shared" si="8"/>
        <v>6.7743792974959235E-2</v>
      </c>
      <c r="BW20" s="94">
        <f t="shared" si="8"/>
        <v>3.2481344662806479E-2</v>
      </c>
      <c r="BX20" s="94">
        <f t="shared" si="8"/>
        <v>6.6081617324475726E-3</v>
      </c>
      <c r="BY20" s="94">
        <f t="shared" si="50"/>
        <v>0.40390868306971078</v>
      </c>
      <c r="BZ20" s="95">
        <f t="shared" si="9"/>
        <v>0.5119906412212698</v>
      </c>
      <c r="CA20" s="96" t="e">
        <f>#REF!</f>
        <v>#REF!</v>
      </c>
      <c r="CB20" s="94">
        <f t="shared" si="51"/>
        <v>3.3723111496330456E-2</v>
      </c>
      <c r="CC20" s="95">
        <f t="shared" si="51"/>
        <v>3.6966381058267911E-2</v>
      </c>
      <c r="CD20" s="97">
        <f t="shared" si="10"/>
        <v>9.2430783029840244E-2</v>
      </c>
      <c r="CE20" s="98">
        <f t="shared" si="10"/>
        <v>0.1013201746632115</v>
      </c>
      <c r="CF20" s="97">
        <f t="shared" si="52"/>
        <v>0.37421148294664813</v>
      </c>
      <c r="CG20" s="94">
        <f t="shared" si="52"/>
        <v>7.3060337146726537E-2</v>
      </c>
      <c r="CH20" s="95">
        <f t="shared" si="53"/>
        <v>0.88919776185893995</v>
      </c>
      <c r="CI20" s="96" t="e">
        <f>#REF!</f>
        <v>#REF!</v>
      </c>
      <c r="CJ20" s="94">
        <f t="shared" si="54"/>
        <v>0.22727272727272729</v>
      </c>
      <c r="CK20" s="94">
        <f t="shared" si="54"/>
        <v>0.14890282131661442</v>
      </c>
      <c r="CL20" s="95">
        <f t="shared" si="69"/>
        <v>0.51985370950888188</v>
      </c>
      <c r="CM20" s="95" t="e">
        <f>#REF!</f>
        <v>#REF!</v>
      </c>
      <c r="CN20" s="94">
        <f t="shared" si="55"/>
        <v>0.47892720306513414</v>
      </c>
      <c r="CO20" s="94">
        <f t="shared" si="55"/>
        <v>3.9910600255427843E-2</v>
      </c>
      <c r="CP20" s="95">
        <f t="shared" si="56"/>
        <v>0.79821200510855683</v>
      </c>
      <c r="CQ20" s="95" t="e">
        <f>#REF!</f>
        <v>#REF!</v>
      </c>
      <c r="CR20" s="97" t="str">
        <f t="shared" si="70"/>
        <v xml:space="preserve">0,00 </v>
      </c>
      <c r="CS20" s="95" t="str">
        <f t="shared" si="70"/>
        <v xml:space="preserve">0,00 </v>
      </c>
      <c r="CT20" s="96" t="e">
        <f>#REF!</f>
        <v>#REF!</v>
      </c>
      <c r="CU20" s="97">
        <f t="shared" si="71"/>
        <v>4.0008913440905181E-2</v>
      </c>
      <c r="CV20" s="95">
        <f t="shared" si="57"/>
        <v>4.6821576720297638E-2</v>
      </c>
      <c r="CW20" s="96" t="e">
        <f>#REF!</f>
        <v>#REF!</v>
      </c>
      <c r="CX20" s="97">
        <f t="shared" si="58"/>
        <v>0.14108222594427947</v>
      </c>
      <c r="CY20" s="98">
        <f t="shared" si="58"/>
        <v>2.1486660847835664E-2</v>
      </c>
      <c r="CZ20" s="97">
        <f t="shared" si="58"/>
        <v>0.25946156495499673</v>
      </c>
      <c r="DA20" s="98">
        <f t="shared" si="58"/>
        <v>8.108173904843647E-4</v>
      </c>
      <c r="DB20" s="94">
        <f t="shared" si="11"/>
        <v>0.11432525205829544</v>
      </c>
      <c r="DC20" s="94">
        <f t="shared" si="12"/>
        <v>6.8311365148307726E-2</v>
      </c>
      <c r="DD20" s="94">
        <f t="shared" si="12"/>
        <v>0.19787998414765257</v>
      </c>
      <c r="DE20" s="94">
        <f t="shared" si="12"/>
        <v>0.13702813899185765</v>
      </c>
      <c r="DF20" s="94">
        <f t="shared" si="12"/>
        <v>0</v>
      </c>
      <c r="DG20" s="94">
        <f t="shared" si="12"/>
        <v>0</v>
      </c>
      <c r="DH20" s="95">
        <f t="shared" si="12"/>
        <v>0.51754474034611331</v>
      </c>
      <c r="DI20" s="96" t="e">
        <f>#REF!</f>
        <v>#REF!</v>
      </c>
      <c r="DJ20" s="95">
        <f t="shared" si="59"/>
        <v>1.7329559545952802</v>
      </c>
      <c r="DK20" s="96" t="e">
        <f>#REF!</f>
        <v>#REF!</v>
      </c>
      <c r="DL20" s="95">
        <f t="shared" si="60"/>
        <v>-1.1586106181846707</v>
      </c>
      <c r="DM20" s="96">
        <f t="shared" si="13"/>
        <v>0</v>
      </c>
      <c r="DN20" s="94">
        <f t="shared" si="14"/>
        <v>1.8911841304872943</v>
      </c>
      <c r="DO20" s="100">
        <v>3.4</v>
      </c>
      <c r="DP20" s="94">
        <f>IF($O20&lt;&gt;0,IF($O20&lt;&gt;0,BL20/$O20*10,0)," ")</f>
        <v>2.465529466897904</v>
      </c>
      <c r="DQ20" s="94">
        <f>IF($P20&lt;&gt;0,IF($P20&lt;&gt;0,BM20/$P20*10,0)," ")</f>
        <v>3.5790577498143366</v>
      </c>
      <c r="DR20" s="101">
        <f t="shared" si="15"/>
        <v>3.17</v>
      </c>
      <c r="DS20" s="147"/>
      <c r="DT20" s="103">
        <v>15</v>
      </c>
      <c r="DU20" s="135">
        <v>634883</v>
      </c>
      <c r="DV20" s="135">
        <v>29382</v>
      </c>
      <c r="DW20" s="135">
        <v>5151021</v>
      </c>
      <c r="DX20" s="517">
        <v>121311</v>
      </c>
      <c r="DY20" s="135">
        <v>86821.5</v>
      </c>
      <c r="DZ20" s="135">
        <v>404409</v>
      </c>
      <c r="EA20" s="135">
        <v>240090</v>
      </c>
      <c r="EB20" s="136">
        <v>55728</v>
      </c>
      <c r="EC20" s="135">
        <v>420797</v>
      </c>
      <c r="ED20" s="135">
        <v>48211.8</v>
      </c>
      <c r="EE20" s="136">
        <v>40672.400000000001</v>
      </c>
      <c r="EF20" s="136">
        <v>43142.7</v>
      </c>
      <c r="EG20" s="135">
        <v>94468.1</v>
      </c>
      <c r="EH20" s="135">
        <v>186726.8</v>
      </c>
      <c r="EI20" s="135">
        <v>34131</v>
      </c>
      <c r="EJ20" s="136">
        <v>42716</v>
      </c>
      <c r="EK20" s="136"/>
      <c r="EL20" s="135">
        <v>716747.5</v>
      </c>
      <c r="EM20" s="136">
        <v>163</v>
      </c>
      <c r="EN20" s="136">
        <v>47084.1</v>
      </c>
      <c r="EO20" s="135">
        <v>3107993.4</v>
      </c>
      <c r="EP20" s="136">
        <v>2819244</v>
      </c>
      <c r="EQ20" s="136">
        <v>0</v>
      </c>
      <c r="ER20" s="136">
        <v>1477</v>
      </c>
      <c r="ES20" s="136">
        <v>403916</v>
      </c>
      <c r="ET20" s="136">
        <v>6383043</v>
      </c>
      <c r="EU20" s="136">
        <v>450644</v>
      </c>
      <c r="EV20" s="136">
        <v>154496</v>
      </c>
      <c r="EW20" s="136">
        <v>132716</v>
      </c>
      <c r="EX20" s="136">
        <v>218275.1</v>
      </c>
      <c r="EY20" s="136">
        <v>1699095.4</v>
      </c>
      <c r="EZ20" s="136">
        <v>814221.8</v>
      </c>
      <c r="FA20" s="145">
        <v>762141</v>
      </c>
      <c r="FB20" s="136">
        <v>32637.4</v>
      </c>
      <c r="FC20" s="136">
        <v>1807</v>
      </c>
      <c r="FD20" s="77">
        <f t="shared" si="76"/>
        <v>4881.59</v>
      </c>
      <c r="FE20" s="136">
        <v>588</v>
      </c>
      <c r="FF20" s="123">
        <v>450</v>
      </c>
      <c r="FG20" s="105">
        <f t="shared" ref="FG20:FG28" si="77">FG53-FG52</f>
        <v>462</v>
      </c>
      <c r="FH20" s="123">
        <v>983</v>
      </c>
      <c r="FI20" s="496">
        <v>456</v>
      </c>
      <c r="FJ20" s="105">
        <f t="shared" ref="FJ20:FJ35" si="78">FJ53-FJ52</f>
        <v>2</v>
      </c>
      <c r="FK20" s="123">
        <v>939.19</v>
      </c>
      <c r="FL20" s="123">
        <v>998.4</v>
      </c>
      <c r="FM20" s="123">
        <v>3</v>
      </c>
      <c r="FN20" s="80">
        <v>1200</v>
      </c>
      <c r="FO20" s="389"/>
      <c r="FP20" s="486"/>
      <c r="FY20" s="119">
        <v>15</v>
      </c>
      <c r="FZ20" s="107"/>
      <c r="GA20" s="107"/>
      <c r="GB20" s="107"/>
      <c r="GC20" s="109"/>
      <c r="GD20" s="110"/>
      <c r="GE20" s="110"/>
      <c r="GF20" s="111"/>
      <c r="GG20" s="111"/>
      <c r="GH20" s="111"/>
      <c r="GI20" s="112"/>
      <c r="GJ20" s="111" t="e">
        <f t="shared" si="61"/>
        <v>#DIV/0!</v>
      </c>
      <c r="GK20" s="113"/>
    </row>
    <row r="21" spans="1:193" s="119" customFormat="1" ht="15" customHeight="1">
      <c r="B21" s="351">
        <v>42994</v>
      </c>
      <c r="D21" s="159">
        <v>5140.5599999999995</v>
      </c>
      <c r="E21" s="128">
        <v>5189.3999999999996</v>
      </c>
      <c r="F21" s="86">
        <v>2882.3040000000001</v>
      </c>
      <c r="G21" s="86">
        <v>4071.0690000000004</v>
      </c>
      <c r="H21" s="86">
        <v>6340.6030000000001</v>
      </c>
      <c r="I21" s="86">
        <v>860.19600000000003</v>
      </c>
      <c r="J21" s="86">
        <v>8953.0319999999992</v>
      </c>
      <c r="K21" s="86">
        <v>0</v>
      </c>
      <c r="L21" s="86">
        <v>0</v>
      </c>
      <c r="M21" s="115">
        <f t="shared" si="62"/>
        <v>9813.2279999999992</v>
      </c>
      <c r="N21" s="88">
        <f t="shared" si="18"/>
        <v>23623.935999999998</v>
      </c>
      <c r="O21" s="88">
        <f>(N21+L21+((J21+I21)*0.5))-545.5</f>
        <v>27985.049999999996</v>
      </c>
      <c r="P21" s="89">
        <f t="shared" si="20"/>
        <v>257794.94899999999</v>
      </c>
      <c r="R21" s="170">
        <f t="shared" si="21"/>
        <v>222.90000000002328</v>
      </c>
      <c r="S21" s="170">
        <f t="shared" si="22"/>
        <v>69.139999999990692</v>
      </c>
      <c r="T21" s="170">
        <f t="shared" si="1"/>
        <v>386.4</v>
      </c>
      <c r="U21" s="170">
        <f t="shared" si="74"/>
        <v>5.5400000000001457</v>
      </c>
      <c r="V21" s="170">
        <f t="shared" si="23"/>
        <v>1020.3999999999069</v>
      </c>
      <c r="W21" s="170">
        <f t="shared" si="2"/>
        <v>90.9</v>
      </c>
      <c r="X21" s="170">
        <f t="shared" si="24"/>
        <v>1020.3999999999069</v>
      </c>
      <c r="Y21" s="170" t="str">
        <f t="shared" si="25"/>
        <v>0</v>
      </c>
      <c r="Z21" s="170">
        <f t="shared" si="3"/>
        <v>142.80000000000001</v>
      </c>
      <c r="AA21" s="501">
        <f t="shared" si="26"/>
        <v>1704.379999999921</v>
      </c>
      <c r="AB21" s="170">
        <f t="shared" si="27"/>
        <v>174</v>
      </c>
      <c r="AC21" s="170">
        <f t="shared" si="27"/>
        <v>42</v>
      </c>
      <c r="AD21" s="501">
        <f t="shared" si="28"/>
        <v>457</v>
      </c>
      <c r="AE21" s="501">
        <f t="shared" si="29"/>
        <v>241</v>
      </c>
      <c r="AF21" s="170">
        <f t="shared" si="30"/>
        <v>98</v>
      </c>
      <c r="AG21" s="170">
        <f t="shared" si="30"/>
        <v>59.19999999999709</v>
      </c>
      <c r="AH21" s="501">
        <f t="shared" si="31"/>
        <v>210</v>
      </c>
      <c r="AI21" s="501">
        <f t="shared" si="32"/>
        <v>52.80000000000291</v>
      </c>
      <c r="AJ21" s="170">
        <f t="shared" si="33"/>
        <v>163</v>
      </c>
      <c r="AK21" s="170">
        <f t="shared" si="33"/>
        <v>13</v>
      </c>
      <c r="AL21" s="501">
        <f t="shared" si="34"/>
        <v>300</v>
      </c>
      <c r="AM21" s="501">
        <f t="shared" si="35"/>
        <v>124</v>
      </c>
      <c r="AN21" s="170">
        <f t="shared" si="36"/>
        <v>9.9999999998544808E-2</v>
      </c>
      <c r="AO21" s="501">
        <f t="shared" si="4"/>
        <v>20.19999999999709</v>
      </c>
      <c r="AP21" s="170">
        <f t="shared" si="37"/>
        <v>31.899999999994179</v>
      </c>
      <c r="AQ21" s="501">
        <f t="shared" si="5"/>
        <v>42.200000000011642</v>
      </c>
      <c r="AR21" s="170">
        <f t="shared" si="38"/>
        <v>86.028000000000006</v>
      </c>
      <c r="AS21" s="501">
        <f t="shared" si="39"/>
        <v>25.02800000000002</v>
      </c>
      <c r="AT21" s="501">
        <f t="shared" si="40"/>
        <v>1041.028</v>
      </c>
      <c r="AU21" s="170">
        <f t="shared" si="63"/>
        <v>294</v>
      </c>
      <c r="AV21" s="501">
        <f t="shared" si="64"/>
        <v>70</v>
      </c>
      <c r="AW21" s="170">
        <f t="shared" si="65"/>
        <v>722</v>
      </c>
      <c r="AX21" s="501">
        <f t="shared" si="66"/>
        <v>41</v>
      </c>
      <c r="AY21" s="501" t="str">
        <f t="shared" si="66"/>
        <v/>
      </c>
      <c r="AZ21" s="170">
        <f t="shared" si="41"/>
        <v>248</v>
      </c>
      <c r="BA21" s="170">
        <v>145</v>
      </c>
      <c r="BB21" s="170">
        <f t="shared" si="42"/>
        <v>218.69999999998254</v>
      </c>
      <c r="BC21" s="170">
        <f t="shared" si="42"/>
        <v>1042.6000000000931</v>
      </c>
      <c r="BD21" s="170">
        <f t="shared" si="43"/>
        <v>409</v>
      </c>
      <c r="BE21" s="90"/>
      <c r="BF21" s="90"/>
      <c r="BG21" s="501">
        <f t="shared" si="44"/>
        <v>1918.3000000000757</v>
      </c>
      <c r="BH21" s="501">
        <f t="shared" si="45"/>
        <v>4622.7</v>
      </c>
      <c r="BI21" s="90">
        <f t="shared" si="6"/>
        <v>-3770.1080000000056</v>
      </c>
      <c r="BJ21" s="90">
        <f t="shared" si="46"/>
        <v>5804.1080000000056</v>
      </c>
      <c r="BK21" s="92"/>
      <c r="BL21" s="331">
        <f>FD21+FN21</f>
        <v>6656.7</v>
      </c>
      <c r="BM21" s="93">
        <f t="shared" si="47"/>
        <v>88906.989999999991</v>
      </c>
      <c r="BN21" s="92"/>
      <c r="BO21" s="94">
        <f t="shared" si="48"/>
        <v>9.4353455749297377E-2</v>
      </c>
      <c r="BP21" s="94">
        <f t="shared" si="48"/>
        <v>2.9266926561260027E-2</v>
      </c>
      <c r="BQ21" s="94">
        <f t="shared" si="49"/>
        <v>0.16356292194492911</v>
      </c>
      <c r="BR21" s="94">
        <f t="shared" si="68"/>
        <v>0.43193479697875359</v>
      </c>
      <c r="BS21" s="94">
        <f t="shared" si="7"/>
        <v>0</v>
      </c>
      <c r="BT21" s="94">
        <f t="shared" si="7"/>
        <v>6.044716680573467E-2</v>
      </c>
      <c r="BU21" s="95">
        <f t="shared" si="7"/>
        <v>0.72146318039463075</v>
      </c>
      <c r="BV21" s="94">
        <f t="shared" si="8"/>
        <v>7.9649670091718028E-2</v>
      </c>
      <c r="BW21" s="94">
        <f t="shared" si="8"/>
        <v>2.4706048407985945E-2</v>
      </c>
      <c r="BX21" s="94">
        <f t="shared" si="8"/>
        <v>0.13807372150487493</v>
      </c>
      <c r="BY21" s="94">
        <f t="shared" si="50"/>
        <v>0.36462325420176384</v>
      </c>
      <c r="BZ21" s="95">
        <f t="shared" si="9"/>
        <v>0.60903232261508244</v>
      </c>
      <c r="CA21" s="96" t="e">
        <f>#REF!</f>
        <v>#REF!</v>
      </c>
      <c r="CB21" s="94">
        <f t="shared" si="51"/>
        <v>3.0740699051815173E-2</v>
      </c>
      <c r="CC21" s="95">
        <f t="shared" si="51"/>
        <v>8.9433465368116277E-3</v>
      </c>
      <c r="CD21" s="97">
        <f t="shared" si="10"/>
        <v>8.7665343147025648E-2</v>
      </c>
      <c r="CE21" s="98">
        <f t="shared" si="10"/>
        <v>2.5504349842885566E-2</v>
      </c>
      <c r="CF21" s="97">
        <f t="shared" si="52"/>
        <v>0.33848452308697885</v>
      </c>
      <c r="CG21" s="94">
        <f t="shared" si="52"/>
        <v>8.1703160745132827E-2</v>
      </c>
      <c r="CH21" s="95">
        <f t="shared" si="53"/>
        <v>0.88900820144108827</v>
      </c>
      <c r="CI21" s="96" t="e">
        <f>#REF!</f>
        <v>#REF!</v>
      </c>
      <c r="CJ21" s="94">
        <f t="shared" si="54"/>
        <v>0.18884649477781634</v>
      </c>
      <c r="CK21" s="94">
        <f t="shared" si="54"/>
        <v>0.11407869888618548</v>
      </c>
      <c r="CL21" s="95">
        <f t="shared" si="69"/>
        <v>0.40467106023817784</v>
      </c>
      <c r="CM21" s="95" t="e">
        <f>#REF!</f>
        <v>#REF!</v>
      </c>
      <c r="CN21" s="94">
        <f t="shared" si="55"/>
        <v>0.56551980637712052</v>
      </c>
      <c r="CO21" s="94">
        <f t="shared" si="55"/>
        <v>4.5102806643574023E-2</v>
      </c>
      <c r="CP21" s="95">
        <f t="shared" si="56"/>
        <v>1.040833999467093</v>
      </c>
      <c r="CQ21" s="95" t="e">
        <f>#REF!</f>
        <v>#REF!</v>
      </c>
      <c r="CR21" s="97">
        <f t="shared" si="70"/>
        <v>2.4563572859743912E-4</v>
      </c>
      <c r="CS21" s="95">
        <f t="shared" si="70"/>
        <v>4.9618417177397595E-2</v>
      </c>
      <c r="CT21" s="96" t="e">
        <f>#REF!</f>
        <v>#REF!</v>
      </c>
      <c r="CU21" s="97">
        <f t="shared" si="71"/>
        <v>5.0310672344561207E-2</v>
      </c>
      <c r="CV21" s="95">
        <f t="shared" si="57"/>
        <v>6.6555184104747825E-2</v>
      </c>
      <c r="CW21" s="96" t="e">
        <f>#REF!</f>
        <v>#REF!</v>
      </c>
      <c r="CX21" s="97">
        <f t="shared" si="58"/>
        <v>0.10505609244936137</v>
      </c>
      <c r="CY21" s="98">
        <f t="shared" si="58"/>
        <v>2.5013355345086041E-2</v>
      </c>
      <c r="CZ21" s="97">
        <f t="shared" si="58"/>
        <v>0.25799489370217316</v>
      </c>
      <c r="DA21" s="98">
        <f t="shared" si="58"/>
        <v>1.4650679559264683E-2</v>
      </c>
      <c r="DB21" s="94">
        <f t="shared" si="11"/>
        <v>8.8618744651161985E-2</v>
      </c>
      <c r="DC21" s="94">
        <f t="shared" si="12"/>
        <v>7.8148868770998289E-2</v>
      </c>
      <c r="DD21" s="94">
        <f t="shared" si="12"/>
        <v>0.37255606118270052</v>
      </c>
      <c r="DE21" s="94">
        <f t="shared" si="12"/>
        <v>0.14614946194485987</v>
      </c>
      <c r="DF21" s="94">
        <f t="shared" si="12"/>
        <v>0</v>
      </c>
      <c r="DG21" s="94">
        <f t="shared" si="12"/>
        <v>0</v>
      </c>
      <c r="DH21" s="95">
        <f t="shared" si="12"/>
        <v>0.68547313654972064</v>
      </c>
      <c r="DI21" s="96" t="e">
        <f>#REF!</f>
        <v>#REF!</v>
      </c>
      <c r="DJ21" s="95">
        <f t="shared" si="59"/>
        <v>1.6518462536247034</v>
      </c>
      <c r="DK21" s="96" t="e">
        <f>#REF!</f>
        <v>#REF!</v>
      </c>
      <c r="DL21" s="95">
        <f t="shared" si="60"/>
        <v>-1.3471864441907397</v>
      </c>
      <c r="DM21" s="96">
        <f t="shared" si="13"/>
        <v>0</v>
      </c>
      <c r="DN21" s="94">
        <f t="shared" si="14"/>
        <v>2.0740030837893828</v>
      </c>
      <c r="DO21" s="100">
        <v>3.4</v>
      </c>
      <c r="DP21" s="94">
        <f t="shared" si="72"/>
        <v>2.3786628932233462</v>
      </c>
      <c r="DQ21" s="94">
        <f t="shared" si="73"/>
        <v>3.4487483305966555</v>
      </c>
      <c r="DR21" s="101">
        <f t="shared" si="15"/>
        <v>3.17</v>
      </c>
      <c r="DS21" s="147"/>
      <c r="DT21" s="103">
        <v>16</v>
      </c>
      <c r="DU21" s="135">
        <v>635057</v>
      </c>
      <c r="DV21" s="135">
        <v>29424</v>
      </c>
      <c r="DW21" s="518">
        <v>5151304</v>
      </c>
      <c r="DX21" s="517">
        <v>121409</v>
      </c>
      <c r="DY21" s="135">
        <v>86880.7</v>
      </c>
      <c r="DZ21" s="518">
        <v>404521</v>
      </c>
      <c r="EA21" s="135">
        <v>240253</v>
      </c>
      <c r="EB21" s="136">
        <v>55741</v>
      </c>
      <c r="EC21" s="518">
        <v>420934</v>
      </c>
      <c r="ED21" s="518">
        <v>48211.9</v>
      </c>
      <c r="EE21" s="136">
        <v>40690.699999999997</v>
      </c>
      <c r="EF21" s="519">
        <v>43144.6</v>
      </c>
      <c r="EG21" s="518">
        <v>94500</v>
      </c>
      <c r="EH21" s="518">
        <v>186769</v>
      </c>
      <c r="EI21" s="518">
        <v>34201</v>
      </c>
      <c r="EJ21" s="136">
        <v>42757</v>
      </c>
      <c r="EK21" s="136"/>
      <c r="EL21" s="518">
        <v>716970.4</v>
      </c>
      <c r="EM21" s="455">
        <v>3864</v>
      </c>
      <c r="EN21" s="455">
        <v>47139.5</v>
      </c>
      <c r="EO21" s="518">
        <v>3109013.8</v>
      </c>
      <c r="EP21" s="136">
        <v>2820153</v>
      </c>
      <c r="EQ21" s="136">
        <v>0</v>
      </c>
      <c r="ER21" s="136">
        <v>1428</v>
      </c>
      <c r="ES21" s="136">
        <v>404871</v>
      </c>
      <c r="ET21" s="136">
        <v>6469071</v>
      </c>
      <c r="EU21" s="136">
        <v>451366</v>
      </c>
      <c r="EV21" s="136">
        <v>154790</v>
      </c>
      <c r="EW21" s="136">
        <v>132964</v>
      </c>
      <c r="EX21" s="136">
        <v>218493.8</v>
      </c>
      <c r="EY21" s="136">
        <v>1700138</v>
      </c>
      <c r="EZ21" s="136">
        <v>814913.2</v>
      </c>
      <c r="FA21" s="136">
        <v>762550</v>
      </c>
      <c r="FB21" s="136">
        <v>32766.6</v>
      </c>
      <c r="FC21" s="136">
        <v>2034</v>
      </c>
      <c r="FD21" s="77">
        <f t="shared" si="76"/>
        <v>5456.7</v>
      </c>
      <c r="FE21" s="144">
        <v>960</v>
      </c>
      <c r="FF21" s="123">
        <v>477</v>
      </c>
      <c r="FG21" s="105">
        <f t="shared" si="77"/>
        <v>0</v>
      </c>
      <c r="FH21" s="123">
        <v>1041</v>
      </c>
      <c r="FI21" s="496">
        <v>543</v>
      </c>
      <c r="FJ21" s="105">
        <f t="shared" si="78"/>
        <v>2</v>
      </c>
      <c r="FK21" s="123">
        <v>928</v>
      </c>
      <c r="FL21" s="123">
        <v>1127.7</v>
      </c>
      <c r="FM21" s="123">
        <v>378</v>
      </c>
      <c r="FN21" s="80">
        <v>1200</v>
      </c>
      <c r="FO21" s="104"/>
      <c r="FP21" s="484"/>
      <c r="FY21" s="119">
        <v>16</v>
      </c>
      <c r="FZ21" s="107"/>
      <c r="GA21" s="163"/>
      <c r="GB21" s="107"/>
      <c r="GC21" s="109"/>
      <c r="GD21" s="110"/>
      <c r="GE21" s="110"/>
      <c r="GF21" s="111"/>
      <c r="GG21" s="111"/>
      <c r="GH21" s="111"/>
      <c r="GI21" s="164"/>
      <c r="GJ21" s="111" t="e">
        <f t="shared" si="61"/>
        <v>#DIV/0!</v>
      </c>
      <c r="GK21" s="113"/>
    </row>
    <row r="22" spans="1:193" ht="15" customHeight="1">
      <c r="B22" s="351">
        <v>42995</v>
      </c>
      <c r="D22" s="329">
        <v>4560</v>
      </c>
      <c r="E22" s="329">
        <v>0</v>
      </c>
      <c r="F22" s="329">
        <v>1629.288</v>
      </c>
      <c r="G22" s="329">
        <v>4402.1139999999996</v>
      </c>
      <c r="H22" s="329">
        <v>5951.683</v>
      </c>
      <c r="I22" s="329">
        <v>2707.9720000000002</v>
      </c>
      <c r="J22" s="329">
        <v>3783.72</v>
      </c>
      <c r="K22" s="391">
        <v>0</v>
      </c>
      <c r="L22" s="284">
        <v>0</v>
      </c>
      <c r="M22" s="115">
        <f t="shared" si="62"/>
        <v>6491.692</v>
      </c>
      <c r="N22" s="88">
        <f t="shared" si="18"/>
        <v>16543.084999999999</v>
      </c>
      <c r="O22" s="88">
        <f t="shared" si="19"/>
        <v>19788.931</v>
      </c>
      <c r="P22" s="89">
        <f t="shared" si="20"/>
        <v>277583.88</v>
      </c>
      <c r="Q22" s="168"/>
      <c r="R22" s="170">
        <f t="shared" si="21"/>
        <v>214.79999999993015</v>
      </c>
      <c r="S22" s="170">
        <f t="shared" si="22"/>
        <v>125.97000000000699</v>
      </c>
      <c r="T22" s="170">
        <f t="shared" si="1"/>
        <v>4.8899999999999997</v>
      </c>
      <c r="U22" s="170">
        <f t="shared" si="74"/>
        <v>4.4599999999998543</v>
      </c>
      <c r="V22" s="170">
        <f>IF(EO22=0,"",(EO22-EO21))</f>
        <v>994.90000000037253</v>
      </c>
      <c r="W22" s="170">
        <f t="shared" si="2"/>
        <v>87.9</v>
      </c>
      <c r="X22" s="170">
        <f t="shared" si="24"/>
        <v>994.90000000037253</v>
      </c>
      <c r="Y22" s="170">
        <f t="shared" si="25"/>
        <v>87</v>
      </c>
      <c r="Z22" s="170">
        <f t="shared" si="3"/>
        <v>145.69999999999999</v>
      </c>
      <c r="AA22" s="501">
        <f t="shared" si="26"/>
        <v>1345.0200000003094</v>
      </c>
      <c r="AB22" s="170">
        <f t="shared" si="27"/>
        <v>194</v>
      </c>
      <c r="AC22" s="170">
        <f t="shared" si="27"/>
        <v>31</v>
      </c>
      <c r="AD22" s="501">
        <f t="shared" si="28"/>
        <v>438</v>
      </c>
      <c r="AE22" s="501">
        <f t="shared" si="29"/>
        <v>213</v>
      </c>
      <c r="AF22" s="170">
        <f t="shared" si="30"/>
        <v>0</v>
      </c>
      <c r="AG22" s="170">
        <f t="shared" si="30"/>
        <v>0</v>
      </c>
      <c r="AH22" s="501">
        <f t="shared" si="31"/>
        <v>6</v>
      </c>
      <c r="AI22" s="501">
        <f t="shared" si="32"/>
        <v>6</v>
      </c>
      <c r="AJ22" s="170">
        <f t="shared" si="33"/>
        <v>84</v>
      </c>
      <c r="AK22" s="170">
        <f t="shared" si="33"/>
        <v>10.5</v>
      </c>
      <c r="AL22" s="501">
        <f t="shared" si="34"/>
        <v>205</v>
      </c>
      <c r="AM22" s="501">
        <f t="shared" si="35"/>
        <v>110.5</v>
      </c>
      <c r="AN22" s="170">
        <f t="shared" si="36"/>
        <v>2.5</v>
      </c>
      <c r="AO22" s="501">
        <f t="shared" si="4"/>
        <v>23.80000000000291</v>
      </c>
      <c r="AP22" s="170">
        <f t="shared" si="37"/>
        <v>39.69999999999709</v>
      </c>
      <c r="AQ22" s="501">
        <f t="shared" si="5"/>
        <v>39.69999999999709</v>
      </c>
      <c r="AR22" s="170">
        <f t="shared" si="38"/>
        <v>93.581099999999623</v>
      </c>
      <c r="AS22" s="501">
        <f t="shared" si="39"/>
        <v>34.581099999999651</v>
      </c>
      <c r="AT22" s="501">
        <f t="shared" si="40"/>
        <v>772.58109999999965</v>
      </c>
      <c r="AU22" s="170">
        <f t="shared" si="63"/>
        <v>290</v>
      </c>
      <c r="AV22" s="501">
        <f t="shared" si="64"/>
        <v>12</v>
      </c>
      <c r="AW22" s="170">
        <f t="shared" si="65"/>
        <v>448</v>
      </c>
      <c r="AX22" s="501">
        <f t="shared" si="66"/>
        <v>60</v>
      </c>
      <c r="AY22" s="501" t="str">
        <f t="shared" si="66"/>
        <v/>
      </c>
      <c r="AZ22" s="170">
        <f t="shared" si="41"/>
        <v>368</v>
      </c>
      <c r="BA22" s="170">
        <v>0</v>
      </c>
      <c r="BB22" s="170">
        <f>IF(EX22=0,"",(EX22-EX21))</f>
        <v>172.60000000000582</v>
      </c>
      <c r="BC22" s="170">
        <f t="shared" si="42"/>
        <v>791.5</v>
      </c>
      <c r="BD22" s="170">
        <f t="shared" si="43"/>
        <v>361</v>
      </c>
      <c r="BE22" s="90"/>
      <c r="BF22" s="90"/>
      <c r="BG22" s="501">
        <f t="shared" si="44"/>
        <v>1693.1000000000058</v>
      </c>
      <c r="BH22" s="501">
        <f t="shared" si="45"/>
        <v>3907.3199999999997</v>
      </c>
      <c r="BI22" s="90">
        <f t="shared" si="6"/>
        <v>-2561.2011000003149</v>
      </c>
      <c r="BJ22" s="90">
        <f t="shared" si="46"/>
        <v>4595.2011000003149</v>
      </c>
      <c r="BK22" s="92"/>
      <c r="BL22" s="331">
        <f>FD22+FN22</f>
        <v>5941.32</v>
      </c>
      <c r="BM22" s="93">
        <f t="shared" si="47"/>
        <v>94848.31</v>
      </c>
      <c r="BN22" s="92"/>
      <c r="BO22" s="94">
        <f t="shared" si="48"/>
        <v>0.129842771163861</v>
      </c>
      <c r="BP22" s="94">
        <f t="shared" si="48"/>
        <v>7.6146619569449708E-2</v>
      </c>
      <c r="BQ22" s="94">
        <f t="shared" si="49"/>
        <v>2.9559178351558973E-3</v>
      </c>
      <c r="BR22" s="94">
        <f t="shared" si="68"/>
        <v>0.60139931578685146</v>
      </c>
      <c r="BS22" s="94">
        <f t="shared" ref="BS22:BU36" si="79">IF($N22&lt;&gt;0,IF($N22&lt;&gt;0,Y22/$N22*10,0)," ")</f>
        <v>5.2589949214430082E-2</v>
      </c>
      <c r="BT22" s="94">
        <f t="shared" si="79"/>
        <v>8.8073052879798414E-2</v>
      </c>
      <c r="BU22" s="95">
        <f t="shared" si="79"/>
        <v>0.81304061485527612</v>
      </c>
      <c r="BV22" s="94">
        <f t="shared" si="8"/>
        <v>0.10854552982166149</v>
      </c>
      <c r="BW22" s="94">
        <f t="shared" si="8"/>
        <v>6.3656798843761186E-2</v>
      </c>
      <c r="BX22" s="94">
        <f t="shared" si="8"/>
        <v>2.4710784023654433E-3</v>
      </c>
      <c r="BY22" s="94">
        <f t="shared" si="50"/>
        <v>0.502755808285133</v>
      </c>
      <c r="BZ22" s="95">
        <f t="shared" si="9"/>
        <v>0.67968300056244035</v>
      </c>
      <c r="CA22" s="96" t="e">
        <f>#REF!</f>
        <v>#REF!</v>
      </c>
      <c r="CB22" s="94">
        <f t="shared" si="51"/>
        <v>4.7289618625685051E-2</v>
      </c>
      <c r="CC22" s="95">
        <f t="shared" si="51"/>
        <v>1.7474971235181755E-2</v>
      </c>
      <c r="CD22" s="97">
        <f t="shared" si="10"/>
        <v>0.14415517556901902</v>
      </c>
      <c r="CE22" s="98">
        <f t="shared" si="10"/>
        <v>5.3269779280963499E-2</v>
      </c>
      <c r="CF22" s="97">
        <f t="shared" si="52"/>
        <v>0.42543859649122806</v>
      </c>
      <c r="CG22" s="94">
        <f t="shared" si="52"/>
        <v>6.798245614035088E-2</v>
      </c>
      <c r="CH22" s="95">
        <f t="shared" si="53"/>
        <v>0.96052631578947367</v>
      </c>
      <c r="CI22" s="96" t="e">
        <f>#REF!</f>
        <v>#REF!</v>
      </c>
      <c r="CJ22" s="94" t="str">
        <f t="shared" si="54"/>
        <v>0,00</v>
      </c>
      <c r="CK22" s="94" t="str">
        <f t="shared" si="54"/>
        <v>0,00</v>
      </c>
      <c r="CL22" s="95" t="str">
        <f t="shared" si="69"/>
        <v xml:space="preserve">0,00 </v>
      </c>
      <c r="CM22" s="95" t="e">
        <f>#REF!</f>
        <v>#REF!</v>
      </c>
      <c r="CN22" s="94">
        <f t="shared" si="55"/>
        <v>0.51556262612871395</v>
      </c>
      <c r="CO22" s="94">
        <f t="shared" si="55"/>
        <v>6.4445328266089244E-2</v>
      </c>
      <c r="CP22" s="95">
        <f t="shared" si="56"/>
        <v>1.2582183137665039</v>
      </c>
      <c r="CQ22" s="95" t="e">
        <f>#REF!</f>
        <v>#REF!</v>
      </c>
      <c r="CR22" s="97">
        <f t="shared" si="70"/>
        <v>5.679089637387856E-3</v>
      </c>
      <c r="CS22" s="95">
        <f t="shared" si="70"/>
        <v>5.4064933347938993E-2</v>
      </c>
      <c r="CT22" s="96" t="e">
        <f>#REF!</f>
        <v>#REF!</v>
      </c>
      <c r="CU22" s="97">
        <f t="shared" si="71"/>
        <v>6.6703821423279921E-2</v>
      </c>
      <c r="CV22" s="95">
        <f t="shared" si="57"/>
        <v>6.6703821423279921E-2</v>
      </c>
      <c r="CW22" s="96" t="e">
        <f>#REF!</f>
        <v>#REF!</v>
      </c>
      <c r="CX22" s="97">
        <f t="shared" si="58"/>
        <v>0.14654657191942305</v>
      </c>
      <c r="CY22" s="98">
        <f t="shared" si="58"/>
        <v>6.0639960794244014E-3</v>
      </c>
      <c r="CZ22" s="97">
        <f t="shared" si="58"/>
        <v>0.22638918696517765</v>
      </c>
      <c r="DA22" s="98">
        <f t="shared" si="58"/>
        <v>3.0319980397122005E-2</v>
      </c>
      <c r="DB22" s="94">
        <f t="shared" si="11"/>
        <v>0.18596254643568164</v>
      </c>
      <c r="DC22" s="94">
        <f t="shared" si="12"/>
        <v>8.7220476942390587E-2</v>
      </c>
      <c r="DD22" s="94">
        <f t="shared" si="12"/>
        <v>0.39997107473870114</v>
      </c>
      <c r="DE22" s="94">
        <f t="shared" si="12"/>
        <v>0.18242521538935075</v>
      </c>
      <c r="DF22" s="94">
        <f t="shared" si="12"/>
        <v>0</v>
      </c>
      <c r="DG22" s="94">
        <f t="shared" si="12"/>
        <v>0</v>
      </c>
      <c r="DH22" s="95">
        <f t="shared" si="12"/>
        <v>0.85557931350612404</v>
      </c>
      <c r="DI22" s="96" t="e">
        <f>#REF!</f>
        <v>#REF!</v>
      </c>
      <c r="DJ22" s="95">
        <f t="shared" si="59"/>
        <v>1.9744977634213792</v>
      </c>
      <c r="DK22" s="96" t="e">
        <f>#REF!</f>
        <v>#REF!</v>
      </c>
      <c r="DL22" s="95">
        <f t="shared" si="60"/>
        <v>-1.2942594524182809</v>
      </c>
      <c r="DM22" s="96">
        <f t="shared" si="13"/>
        <v>0</v>
      </c>
      <c r="DN22" s="94">
        <f t="shared" si="14"/>
        <v>2.3221067878807173</v>
      </c>
      <c r="DO22" s="100">
        <v>3.4</v>
      </c>
      <c r="DP22" s="94">
        <f t="shared" si="72"/>
        <v>3.002345098883815</v>
      </c>
      <c r="DQ22" s="94">
        <f t="shared" si="73"/>
        <v>3.4169242824907551</v>
      </c>
      <c r="DR22" s="101">
        <f t="shared" si="15"/>
        <v>3.17</v>
      </c>
      <c r="DS22" s="116"/>
      <c r="DT22" s="103">
        <v>17</v>
      </c>
      <c r="DU22" s="135">
        <v>635251</v>
      </c>
      <c r="DV22" s="135">
        <v>29455</v>
      </c>
      <c r="DW22" s="518">
        <v>5151548</v>
      </c>
      <c r="DX22" s="517">
        <v>121409</v>
      </c>
      <c r="DY22" s="518">
        <v>86880.7</v>
      </c>
      <c r="DZ22" s="518">
        <v>404527</v>
      </c>
      <c r="EA22" s="455">
        <v>240337</v>
      </c>
      <c r="EB22" s="455">
        <v>55751.5</v>
      </c>
      <c r="EC22" s="518">
        <v>421055</v>
      </c>
      <c r="ED22" s="518">
        <v>48214.400000000001</v>
      </c>
      <c r="EE22" s="455">
        <v>40710.199999999997</v>
      </c>
      <c r="EF22" s="136">
        <v>43148.9</v>
      </c>
      <c r="EG22" s="518">
        <v>94539.7</v>
      </c>
      <c r="EH22" s="518">
        <v>186797.1</v>
      </c>
      <c r="EI22" s="518">
        <v>34213</v>
      </c>
      <c r="EJ22" s="136">
        <v>42817</v>
      </c>
      <c r="EK22" s="136"/>
      <c r="EL22" s="518">
        <v>717185.2</v>
      </c>
      <c r="EM22" s="455">
        <v>48.9</v>
      </c>
      <c r="EN22" s="455">
        <v>47184.1</v>
      </c>
      <c r="EO22" s="518">
        <v>3110008.7</v>
      </c>
      <c r="EP22" s="136">
        <v>2821032</v>
      </c>
      <c r="EQ22" s="136">
        <v>870</v>
      </c>
      <c r="ER22" s="136">
        <v>1457</v>
      </c>
      <c r="ES22" s="136">
        <v>405550</v>
      </c>
      <c r="ET22" s="136">
        <v>6562652.0999999996</v>
      </c>
      <c r="EU22" s="136">
        <v>451814</v>
      </c>
      <c r="EV22" s="136">
        <v>155080</v>
      </c>
      <c r="EW22" s="136">
        <v>133332</v>
      </c>
      <c r="EX22" s="136">
        <v>218666.4</v>
      </c>
      <c r="EY22" s="136">
        <v>1700929.5</v>
      </c>
      <c r="EZ22" s="136">
        <v>816172.9</v>
      </c>
      <c r="FA22" s="145">
        <v>762911</v>
      </c>
      <c r="FB22" s="136">
        <v>32766.6</v>
      </c>
      <c r="FC22" s="136">
        <v>2034</v>
      </c>
      <c r="FD22" s="77">
        <f t="shared" si="76"/>
        <v>4741.32</v>
      </c>
      <c r="FE22" s="105">
        <f>FE55-FE54</f>
        <v>283</v>
      </c>
      <c r="FF22" s="523">
        <v>39</v>
      </c>
      <c r="FG22" s="105">
        <f t="shared" si="77"/>
        <v>480</v>
      </c>
      <c r="FH22" s="496">
        <v>997</v>
      </c>
      <c r="FI22" s="496">
        <v>456</v>
      </c>
      <c r="FJ22" s="105">
        <f t="shared" si="78"/>
        <v>0</v>
      </c>
      <c r="FK22" s="523">
        <v>1050.92</v>
      </c>
      <c r="FL22" s="496">
        <v>998.4</v>
      </c>
      <c r="FM22" s="496">
        <v>437</v>
      </c>
      <c r="FN22" s="187">
        <v>1200</v>
      </c>
      <c r="FO22" s="455"/>
      <c r="FP22" s="486"/>
      <c r="FR22" s="64"/>
      <c r="FS22" s="64"/>
      <c r="FT22" s="64"/>
      <c r="FU22" s="64"/>
      <c r="FV22" s="64"/>
      <c r="FW22" s="64"/>
      <c r="FX22" s="64"/>
      <c r="FY22" s="64">
        <v>17</v>
      </c>
      <c r="FZ22" s="107"/>
      <c r="GA22" s="107"/>
      <c r="GB22" s="107"/>
      <c r="GC22" s="109"/>
      <c r="GD22" s="110"/>
      <c r="GE22" s="110"/>
      <c r="GF22" s="111"/>
      <c r="GG22" s="111"/>
      <c r="GH22" s="111"/>
      <c r="GI22" s="164"/>
      <c r="GJ22" s="111" t="e">
        <f t="shared" si="61"/>
        <v>#DIV/0!</v>
      </c>
      <c r="GK22" s="118"/>
    </row>
    <row r="23" spans="1:193" s="119" customFormat="1" ht="15" customHeight="1">
      <c r="B23" s="351">
        <v>42996</v>
      </c>
      <c r="D23" s="128">
        <v>1207.08</v>
      </c>
      <c r="E23" s="128">
        <v>2102.88</v>
      </c>
      <c r="F23" s="86">
        <v>2532.8159999999998</v>
      </c>
      <c r="G23" s="86">
        <v>3507.9180000000001</v>
      </c>
      <c r="H23" s="86">
        <v>7973.2470000000003</v>
      </c>
      <c r="I23" s="86">
        <v>1740.7260000000001</v>
      </c>
      <c r="J23" s="86">
        <v>6349.8</v>
      </c>
      <c r="K23" s="284">
        <v>4.4480000000000004</v>
      </c>
      <c r="L23" s="284">
        <v>137.56800000000001</v>
      </c>
      <c r="M23" s="115">
        <f>I23+J23</f>
        <v>8090.5259999999998</v>
      </c>
      <c r="N23" s="88">
        <f>SUM(D23:H23)</f>
        <v>17323.940999999999</v>
      </c>
      <c r="O23" s="88">
        <f t="shared" si="19"/>
        <v>21506.771999999997</v>
      </c>
      <c r="P23" s="89">
        <f t="shared" si="20"/>
        <v>299090.652</v>
      </c>
      <c r="R23" s="170">
        <f t="shared" si="21"/>
        <v>113.70000000006985</v>
      </c>
      <c r="S23" s="170">
        <f t="shared" si="22"/>
        <v>47.440000000002328</v>
      </c>
      <c r="T23" s="170">
        <f t="shared" si="1"/>
        <v>4.6029999999999998</v>
      </c>
      <c r="U23" s="170">
        <f>IF(FB23=0,"",((EN23-EN22)/10))</f>
        <v>4.1900000000001452</v>
      </c>
      <c r="V23" s="170">
        <f>IF(EO23=0,"",(EO23-EO22))</f>
        <v>884.6999999997206</v>
      </c>
      <c r="W23" s="170">
        <f t="shared" si="2"/>
        <v>79.3</v>
      </c>
      <c r="X23" s="170">
        <f>IF(V23="","",V23)</f>
        <v>884.6999999997206</v>
      </c>
      <c r="Y23" s="170">
        <f t="shared" si="25"/>
        <v>28.6</v>
      </c>
      <c r="Z23" s="170">
        <f t="shared" si="3"/>
        <v>41.410000000000004</v>
      </c>
      <c r="AA23" s="501">
        <f t="shared" si="26"/>
        <v>1054.6329999997929</v>
      </c>
      <c r="AB23" s="170">
        <f t="shared" si="27"/>
        <v>48</v>
      </c>
      <c r="AC23" s="170">
        <f t="shared" si="27"/>
        <v>0</v>
      </c>
      <c r="AD23" s="501">
        <f t="shared" si="28"/>
        <v>222</v>
      </c>
      <c r="AE23" s="501">
        <f t="shared" si="29"/>
        <v>174</v>
      </c>
      <c r="AF23" s="170">
        <f>IF(DX23=0,"",(DX23-121146))</f>
        <v>101</v>
      </c>
      <c r="AG23" s="170">
        <f t="shared" si="30"/>
        <v>48.400000000008731</v>
      </c>
      <c r="AH23" s="501">
        <f t="shared" si="31"/>
        <v>240</v>
      </c>
      <c r="AI23" s="501">
        <f t="shared" si="32"/>
        <v>90.599999999991269</v>
      </c>
      <c r="AJ23" s="170">
        <f t="shared" si="33"/>
        <v>149</v>
      </c>
      <c r="AK23" s="170">
        <f t="shared" si="33"/>
        <v>11.900000000001455</v>
      </c>
      <c r="AL23" s="501">
        <f t="shared" si="34"/>
        <v>295</v>
      </c>
      <c r="AM23" s="501">
        <f t="shared" si="35"/>
        <v>134.09999999999854</v>
      </c>
      <c r="AN23" s="170">
        <f t="shared" si="36"/>
        <v>5.2999999999956344</v>
      </c>
      <c r="AO23" s="501">
        <f>IF(AN23="","",(EE23-EE22)+(EF23-EF22))</f>
        <v>33.900000000001455</v>
      </c>
      <c r="AP23" s="170">
        <f t="shared" si="37"/>
        <v>49.100000000005821</v>
      </c>
      <c r="AQ23" s="501">
        <f>IF(AP23=0.1,0,(IF(AP23&gt;=(EH23-EH22),(AP23),(EH23-EH22))))</f>
        <v>49.100000000005821</v>
      </c>
      <c r="AR23" s="170">
        <f>IF(ET23=0,"",(ET23-ET22)/1000)</f>
        <v>80.209900000000374</v>
      </c>
      <c r="AS23" s="501">
        <f>IF(AR23="","",(ES23-ES22)+((ET23-ET22)/1000)-AW23-AU23)</f>
        <v>97.209900000000403</v>
      </c>
      <c r="AT23" s="501">
        <f t="shared" si="40"/>
        <v>821.2099000000004</v>
      </c>
      <c r="AU23" s="170">
        <f t="shared" si="63"/>
        <v>247</v>
      </c>
      <c r="AV23" s="501">
        <f t="shared" si="64"/>
        <v>22</v>
      </c>
      <c r="AW23" s="170">
        <f t="shared" si="65"/>
        <v>477</v>
      </c>
      <c r="AX23" s="501">
        <f>IF(EJ23=0,"",(EJ23-EJ22))</f>
        <v>41</v>
      </c>
      <c r="AY23" s="501" t="str">
        <f t="shared" si="66"/>
        <v/>
      </c>
      <c r="AZ23" s="170">
        <f t="shared" si="41"/>
        <v>241</v>
      </c>
      <c r="BA23" s="170">
        <v>107</v>
      </c>
      <c r="BB23" s="170">
        <f t="shared" si="42"/>
        <v>174.20000000001164</v>
      </c>
      <c r="BC23" s="170">
        <f t="shared" si="42"/>
        <v>756.19999999995343</v>
      </c>
      <c r="BD23" s="170">
        <f t="shared" si="43"/>
        <v>339</v>
      </c>
      <c r="BE23" s="90"/>
      <c r="BF23" s="90"/>
      <c r="BG23" s="501">
        <f t="shared" si="44"/>
        <v>1510.3999999999651</v>
      </c>
      <c r="BH23" s="501">
        <f>BL23-FC23</f>
        <v>5868</v>
      </c>
      <c r="BI23" s="90">
        <f>IF(FC23=0,"",(FC23-BJ23))</f>
        <v>-2301.2428999997655</v>
      </c>
      <c r="BJ23" s="90">
        <f t="shared" si="46"/>
        <v>4289.2428999997655</v>
      </c>
      <c r="BK23" s="92"/>
      <c r="BL23" s="331">
        <f t="shared" si="67"/>
        <v>7856</v>
      </c>
      <c r="BM23" s="93">
        <f>BL23+BM22</f>
        <v>102704.31</v>
      </c>
      <c r="BN23" s="92"/>
      <c r="BO23" s="94">
        <f t="shared" si="48"/>
        <v>6.5631717401987144E-2</v>
      </c>
      <c r="BP23" s="94">
        <f t="shared" si="48"/>
        <v>2.7384069248447759E-2</v>
      </c>
      <c r="BQ23" s="94">
        <f t="shared" si="49"/>
        <v>2.6570166684358951E-3</v>
      </c>
      <c r="BR23" s="94">
        <f t="shared" si="68"/>
        <v>0.51068056627514524</v>
      </c>
      <c r="BS23" s="94">
        <f t="shared" si="79"/>
        <v>1.650894562617132E-2</v>
      </c>
      <c r="BT23" s="94">
        <f>IF($N23&lt;&gt;0,IF($N23&lt;&gt;0,Z23/$N23*10,0)," ")</f>
        <v>2.3903337006285118E-2</v>
      </c>
      <c r="BU23" s="95">
        <f t="shared" si="79"/>
        <v>0.60877198785183628</v>
      </c>
      <c r="BV23" s="94">
        <f t="shared" si="8"/>
        <v>5.2867069032986387E-2</v>
      </c>
      <c r="BW23" s="94">
        <f t="shared" si="8"/>
        <v>2.2058168468983785E-2</v>
      </c>
      <c r="BX23" s="94">
        <f t="shared" si="8"/>
        <v>2.1402561016595147E-3</v>
      </c>
      <c r="BY23" s="94">
        <f t="shared" si="50"/>
        <v>0.41135880363623173</v>
      </c>
      <c r="BZ23" s="95">
        <f t="shared" si="9"/>
        <v>0.49037252080404858</v>
      </c>
      <c r="CA23" s="96" t="e">
        <f>#REF!</f>
        <v>#REF!</v>
      </c>
      <c r="CB23" s="94">
        <f t="shared" si="51"/>
        <v>3.729518311720624E-2</v>
      </c>
      <c r="CC23" s="95">
        <f t="shared" si="51"/>
        <v>4.5199670131807979E-2</v>
      </c>
      <c r="CD23" s="97">
        <f t="shared" si="10"/>
        <v>9.9140525597470899E-2</v>
      </c>
      <c r="CE23" s="98">
        <f t="shared" si="10"/>
        <v>0.12015275644624392</v>
      </c>
      <c r="CF23" s="97">
        <f t="shared" si="52"/>
        <v>0.39765384233025158</v>
      </c>
      <c r="CG23" s="94">
        <f t="shared" si="52"/>
        <v>0</v>
      </c>
      <c r="CH23" s="95">
        <f t="shared" si="53"/>
        <v>1.8391490207774133</v>
      </c>
      <c r="CI23" s="96" t="e">
        <f>#REF!</f>
        <v>#REF!</v>
      </c>
      <c r="CJ23" s="94">
        <f t="shared" si="54"/>
        <v>0.48029369245986453</v>
      </c>
      <c r="CK23" s="94">
        <f t="shared" si="54"/>
        <v>0.23016054173328354</v>
      </c>
      <c r="CL23" s="95">
        <f t="shared" si="69"/>
        <v>1.1412919424788861</v>
      </c>
      <c r="CM23" s="95" t="e">
        <f>#REF!</f>
        <v>#REF!</v>
      </c>
      <c r="CN23" s="94">
        <f t="shared" si="55"/>
        <v>0.58827802730241763</v>
      </c>
      <c r="CO23" s="94">
        <f t="shared" si="55"/>
        <v>4.6983278690601517E-2</v>
      </c>
      <c r="CP23" s="95">
        <f t="shared" si="56"/>
        <v>1.1647115305651892</v>
      </c>
      <c r="CQ23" s="95" t="e">
        <f>#REF!</f>
        <v>#REF!</v>
      </c>
      <c r="CR23" s="97">
        <f t="shared" si="70"/>
        <v>1.5108676998708735E-2</v>
      </c>
      <c r="CS23" s="95">
        <f t="shared" si="70"/>
        <v>9.663851891635282E-2</v>
      </c>
      <c r="CT23" s="96" t="e">
        <f>#REF!</f>
        <v>#REF!</v>
      </c>
      <c r="CU23" s="97">
        <f t="shared" si="71"/>
        <v>6.158093434206393E-2</v>
      </c>
      <c r="CV23" s="95">
        <f t="shared" si="57"/>
        <v>6.158093434206393E-2</v>
      </c>
      <c r="CW23" s="96" t="e">
        <f>#REF!</f>
        <v>#REF!</v>
      </c>
      <c r="CX23" s="99">
        <f t="shared" si="58"/>
        <v>0.11484754662391922</v>
      </c>
      <c r="CY23" s="95">
        <f t="shared" si="58"/>
        <v>1.0229336136543412E-2</v>
      </c>
      <c r="CZ23" s="99">
        <f t="shared" si="58"/>
        <v>0.22179060623323671</v>
      </c>
      <c r="DA23" s="95">
        <f t="shared" si="58"/>
        <v>1.9063762799921814E-2</v>
      </c>
      <c r="DB23" s="94">
        <f t="shared" si="11"/>
        <v>0.1120577276775892</v>
      </c>
      <c r="DC23" s="94">
        <f t="shared" si="12"/>
        <v>8.0997743408453698E-2</v>
      </c>
      <c r="DD23" s="94">
        <f t="shared" si="12"/>
        <v>0.3516101812024387</v>
      </c>
      <c r="DE23" s="94">
        <f t="shared" si="12"/>
        <v>0.1576247704676462</v>
      </c>
      <c r="DF23" s="94">
        <f t="shared" si="12"/>
        <v>0</v>
      </c>
      <c r="DG23" s="94">
        <f t="shared" si="12"/>
        <v>0</v>
      </c>
      <c r="DH23" s="95">
        <f t="shared" si="12"/>
        <v>0.70229042275612785</v>
      </c>
      <c r="DI23" s="96" t="e">
        <f>#REF!</f>
        <v>#REF!</v>
      </c>
      <c r="DJ23" s="95">
        <f t="shared" si="59"/>
        <v>2.7284429295107611</v>
      </c>
      <c r="DK23" s="96" t="e">
        <f>#REF!</f>
        <v>#REF!</v>
      </c>
      <c r="DL23" s="95">
        <f t="shared" si="60"/>
        <v>-1.070008507087798</v>
      </c>
      <c r="DM23" s="96">
        <f t="shared" si="13"/>
        <v>0</v>
      </c>
      <c r="DN23" s="94">
        <f t="shared" si="14"/>
        <v>1.9943685179718118</v>
      </c>
      <c r="DO23" s="100">
        <v>3.4</v>
      </c>
      <c r="DP23" s="94">
        <f>IF($O23&lt;&gt;0,IF($O23&lt;&gt;0,BL23/$O23*10,0)," ")</f>
        <v>3.6528029403947748</v>
      </c>
      <c r="DQ23" s="94">
        <f>IF($P23&lt;&gt;0,IF($P23&lt;&gt;0,BM23/$P23*10,0)," ")</f>
        <v>3.4338856568476102</v>
      </c>
      <c r="DR23" s="101">
        <f t="shared" si="15"/>
        <v>3.17</v>
      </c>
      <c r="DS23" s="171"/>
      <c r="DT23" s="103">
        <v>18</v>
      </c>
      <c r="DU23" s="373">
        <v>635299</v>
      </c>
      <c r="DV23" s="135">
        <v>29455</v>
      </c>
      <c r="DW23" s="373">
        <v>5151722</v>
      </c>
      <c r="DX23" s="373">
        <v>121247</v>
      </c>
      <c r="DY23" s="373">
        <v>86929.1</v>
      </c>
      <c r="DZ23" s="373">
        <v>404666</v>
      </c>
      <c r="EA23" s="373">
        <v>240486</v>
      </c>
      <c r="EB23" s="373">
        <v>55763.4</v>
      </c>
      <c r="EC23" s="373">
        <v>421201</v>
      </c>
      <c r="ED23" s="373">
        <v>48219.7</v>
      </c>
      <c r="EE23" s="373">
        <v>40736.5</v>
      </c>
      <c r="EF23" s="373">
        <v>43156.5</v>
      </c>
      <c r="EG23" s="373">
        <v>94588.800000000003</v>
      </c>
      <c r="EH23" s="373">
        <v>186832.7</v>
      </c>
      <c r="EI23" s="373">
        <v>34235</v>
      </c>
      <c r="EJ23" s="373">
        <v>42858</v>
      </c>
      <c r="EK23" s="330"/>
      <c r="EL23" s="373">
        <v>717298.9</v>
      </c>
      <c r="EM23" s="373">
        <v>46.03</v>
      </c>
      <c r="EN23" s="373">
        <v>47226</v>
      </c>
      <c r="EO23" s="373">
        <v>3110893.4</v>
      </c>
      <c r="EP23" s="373">
        <v>2821825</v>
      </c>
      <c r="EQ23" s="373">
        <v>286</v>
      </c>
      <c r="ER23" s="373">
        <v>414.1</v>
      </c>
      <c r="ES23" s="373">
        <v>406291</v>
      </c>
      <c r="ET23" s="373">
        <v>6642862</v>
      </c>
      <c r="EU23" s="373">
        <v>452291</v>
      </c>
      <c r="EV23" s="373">
        <v>155327</v>
      </c>
      <c r="EW23" s="373">
        <v>133573</v>
      </c>
      <c r="EX23" s="373">
        <v>218840.6</v>
      </c>
      <c r="EY23" s="373">
        <v>1701685.7</v>
      </c>
      <c r="EZ23" s="521">
        <v>816647.3</v>
      </c>
      <c r="FA23" s="373">
        <v>763250</v>
      </c>
      <c r="FB23" s="136">
        <v>32878.699999999997</v>
      </c>
      <c r="FC23" s="136">
        <v>1988</v>
      </c>
      <c r="FD23" s="77">
        <f t="shared" ref="FD23:FD30" si="80">SUM(FE23:FM23)</f>
        <v>6656</v>
      </c>
      <c r="FE23" s="105">
        <f>FE56-FE55</f>
        <v>180</v>
      </c>
      <c r="FF23" s="523">
        <v>1118</v>
      </c>
      <c r="FG23" s="105">
        <f t="shared" si="77"/>
        <v>1441</v>
      </c>
      <c r="FH23" s="496">
        <v>957</v>
      </c>
      <c r="FI23" s="496">
        <v>456</v>
      </c>
      <c r="FJ23" s="105">
        <f t="shared" si="78"/>
        <v>0</v>
      </c>
      <c r="FK23" s="496">
        <v>1025</v>
      </c>
      <c r="FL23" s="496">
        <v>1055</v>
      </c>
      <c r="FM23" s="496">
        <v>424</v>
      </c>
      <c r="FN23" s="80">
        <v>1200</v>
      </c>
      <c r="FO23" s="104"/>
      <c r="FP23" s="487"/>
      <c r="FY23" s="119">
        <v>18</v>
      </c>
      <c r="FZ23" s="107"/>
      <c r="GA23" s="107"/>
      <c r="GB23" s="107"/>
      <c r="GC23" s="109"/>
      <c r="GD23" s="110"/>
      <c r="GE23" s="110"/>
      <c r="GF23" s="111"/>
      <c r="GG23" s="111"/>
      <c r="GH23" s="111"/>
      <c r="GI23" s="164"/>
      <c r="GJ23" s="111" t="e">
        <f t="shared" si="61"/>
        <v>#DIV/0!</v>
      </c>
    </row>
    <row r="24" spans="1:193" s="119" customFormat="1" ht="15" customHeight="1">
      <c r="B24" s="351">
        <v>42997</v>
      </c>
      <c r="D24" s="128">
        <v>3137.52</v>
      </c>
      <c r="E24" s="128">
        <v>4506.3599999999997</v>
      </c>
      <c r="F24" s="86">
        <v>2968.848</v>
      </c>
      <c r="G24" s="86">
        <v>4671.8140000000003</v>
      </c>
      <c r="H24" s="86">
        <v>5895.4330000000009</v>
      </c>
      <c r="I24" s="86">
        <v>1063.2860000000001</v>
      </c>
      <c r="J24" s="86">
        <v>1355.76</v>
      </c>
      <c r="K24" s="284">
        <v>1.9079999999999999</v>
      </c>
      <c r="L24" s="284">
        <v>0</v>
      </c>
      <c r="M24" s="115">
        <f t="shared" si="62"/>
        <v>2419.0460000000003</v>
      </c>
      <c r="N24" s="88">
        <f t="shared" si="18"/>
        <v>21179.974999999999</v>
      </c>
      <c r="O24" s="88">
        <f t="shared" si="19"/>
        <v>22389.498</v>
      </c>
      <c r="P24" s="89">
        <f t="shared" si="20"/>
        <v>321480.15000000002</v>
      </c>
      <c r="R24" s="170">
        <f t="shared" si="21"/>
        <v>193.69999999995343</v>
      </c>
      <c r="S24" s="170">
        <f t="shared" si="22"/>
        <v>240.06999999999533</v>
      </c>
      <c r="T24" s="170">
        <f t="shared" si="1"/>
        <v>4.4969999999999999</v>
      </c>
      <c r="U24" s="170">
        <f>IF(FB24=0,"",((EN24-EN23)/10))</f>
        <v>2.1300000000002912</v>
      </c>
      <c r="V24" s="170">
        <f t="shared" si="23"/>
        <v>1191.8000000002794</v>
      </c>
      <c r="W24" s="170">
        <f t="shared" si="2"/>
        <v>105.2</v>
      </c>
      <c r="X24" s="170">
        <f t="shared" si="24"/>
        <v>1191.8000000002794</v>
      </c>
      <c r="Y24" s="170" t="str">
        <f t="shared" si="25"/>
        <v>0</v>
      </c>
      <c r="Z24" s="170">
        <f t="shared" si="3"/>
        <v>34.432000000000002</v>
      </c>
      <c r="AA24" s="501">
        <f t="shared" si="26"/>
        <v>1632.1970000002284</v>
      </c>
      <c r="AB24" s="170">
        <f t="shared" si="27"/>
        <v>173</v>
      </c>
      <c r="AC24" s="170">
        <f t="shared" si="27"/>
        <v>79</v>
      </c>
      <c r="AD24" s="501">
        <f t="shared" si="28"/>
        <v>441</v>
      </c>
      <c r="AE24" s="501">
        <f t="shared" si="29"/>
        <v>189</v>
      </c>
      <c r="AF24" s="170">
        <f t="shared" si="30"/>
        <v>104</v>
      </c>
      <c r="AG24" s="170">
        <f t="shared" si="30"/>
        <v>22.899999999994179</v>
      </c>
      <c r="AH24" s="501">
        <f t="shared" si="31"/>
        <v>176</v>
      </c>
      <c r="AI24" s="501">
        <f t="shared" si="32"/>
        <v>49.100000000005821</v>
      </c>
      <c r="AJ24" s="170">
        <f t="shared" si="33"/>
        <v>136</v>
      </c>
      <c r="AK24" s="170">
        <f t="shared" si="33"/>
        <v>8.4000000000014552</v>
      </c>
      <c r="AL24" s="501">
        <f t="shared" si="34"/>
        <v>281</v>
      </c>
      <c r="AM24" s="501">
        <f t="shared" si="35"/>
        <v>136.59999999999854</v>
      </c>
      <c r="AN24" s="170">
        <f t="shared" si="36"/>
        <v>1.5</v>
      </c>
      <c r="AO24" s="501">
        <f t="shared" si="4"/>
        <v>32.5</v>
      </c>
      <c r="AP24" s="170">
        <f t="shared" si="37"/>
        <v>48.899999999994179</v>
      </c>
      <c r="AQ24" s="501">
        <f t="shared" si="5"/>
        <v>48.899999999994179</v>
      </c>
      <c r="AR24" s="170">
        <f t="shared" si="38"/>
        <v>116.64409999999963</v>
      </c>
      <c r="AS24" s="501">
        <f t="shared" si="39"/>
        <v>176.64409999999964</v>
      </c>
      <c r="AT24" s="501">
        <f t="shared" si="40"/>
        <v>499.64409999999964</v>
      </c>
      <c r="AU24" s="170">
        <f t="shared" si="63"/>
        <v>135</v>
      </c>
      <c r="AV24" s="501">
        <f t="shared" si="64"/>
        <v>31</v>
      </c>
      <c r="AW24" s="170">
        <f t="shared" si="65"/>
        <v>188</v>
      </c>
      <c r="AX24" s="501">
        <f t="shared" si="66"/>
        <v>31</v>
      </c>
      <c r="AY24" s="501" t="str">
        <f t="shared" si="66"/>
        <v/>
      </c>
      <c r="AZ24" s="170">
        <f t="shared" si="41"/>
        <v>361</v>
      </c>
      <c r="BA24" s="170">
        <v>18</v>
      </c>
      <c r="BB24" s="170">
        <f t="shared" si="42"/>
        <v>183.19999999998254</v>
      </c>
      <c r="BC24" s="170">
        <f t="shared" si="42"/>
        <v>420.9000000001397</v>
      </c>
      <c r="BD24" s="170">
        <f t="shared" si="43"/>
        <v>325</v>
      </c>
      <c r="BE24" s="90"/>
      <c r="BF24" s="90"/>
      <c r="BG24" s="501">
        <f t="shared" si="44"/>
        <v>1290.1000000001222</v>
      </c>
      <c r="BH24" s="501">
        <f t="shared" si="45"/>
        <v>4812</v>
      </c>
      <c r="BI24" s="90">
        <f t="shared" si="6"/>
        <v>-2766.3411000003443</v>
      </c>
      <c r="BJ24" s="90">
        <f t="shared" si="46"/>
        <v>4463.3411000003443</v>
      </c>
      <c r="BK24" s="92"/>
      <c r="BL24" s="331">
        <f t="shared" si="67"/>
        <v>6509</v>
      </c>
      <c r="BM24" s="93">
        <f t="shared" si="47"/>
        <v>109213.31</v>
      </c>
      <c r="BN24" s="92"/>
      <c r="BO24" s="94">
        <f t="shared" si="48"/>
        <v>9.1454310026311852E-2</v>
      </c>
      <c r="BP24" s="94">
        <f t="shared" si="48"/>
        <v>0.11334763143015765</v>
      </c>
      <c r="BQ24" s="94">
        <f t="shared" si="49"/>
        <v>2.1232319679319735E-3</v>
      </c>
      <c r="BR24" s="94">
        <f t="shared" si="68"/>
        <v>0.56270132519055349</v>
      </c>
      <c r="BS24" s="94">
        <f t="shared" si="79"/>
        <v>0</v>
      </c>
      <c r="BT24" s="94">
        <f t="shared" si="79"/>
        <v>1.6256865270143146E-2</v>
      </c>
      <c r="BU24" s="95">
        <f t="shared" si="79"/>
        <v>0.77063216552438263</v>
      </c>
      <c r="BV24" s="94">
        <f t="shared" si="8"/>
        <v>8.6513775342329444E-2</v>
      </c>
      <c r="BW24" s="94">
        <f t="shared" si="8"/>
        <v>0.10722437814371513</v>
      </c>
      <c r="BX24" s="94">
        <f t="shared" si="8"/>
        <v>2.008530963936753E-3</v>
      </c>
      <c r="BY24" s="94">
        <f t="shared" si="50"/>
        <v>0.53230313605078572</v>
      </c>
      <c r="BZ24" s="95">
        <f t="shared" si="9"/>
        <v>0.72900115938295196</v>
      </c>
      <c r="CA24" s="96" t="e">
        <f>#REF!</f>
        <v>#REF!</v>
      </c>
      <c r="CB24" s="94">
        <f t="shared" si="51"/>
        <v>5.209768436969852E-2</v>
      </c>
      <c r="CC24" s="95">
        <f t="shared" si="51"/>
        <v>7.8895962741102832E-2</v>
      </c>
      <c r="CD24" s="97">
        <f t="shared" si="10"/>
        <v>0.48219049989127782</v>
      </c>
      <c r="CE24" s="98">
        <f t="shared" si="10"/>
        <v>0.73022216195971312</v>
      </c>
      <c r="CF24" s="97">
        <f t="shared" si="52"/>
        <v>0.55139090746831887</v>
      </c>
      <c r="CG24" s="94">
        <f t="shared" si="52"/>
        <v>0.25179122364160228</v>
      </c>
      <c r="CH24" s="95">
        <f t="shared" si="53"/>
        <v>1.4055687294423622</v>
      </c>
      <c r="CI24" s="96" t="e">
        <f>#REF!</f>
        <v>#REF!</v>
      </c>
      <c r="CJ24" s="94">
        <f t="shared" si="54"/>
        <v>0.23078493506954617</v>
      </c>
      <c r="CK24" s="94">
        <f t="shared" si="54"/>
        <v>5.0817067433569847E-2</v>
      </c>
      <c r="CL24" s="95">
        <f t="shared" si="69"/>
        <v>0.39055912088692424</v>
      </c>
      <c r="CM24" s="95" t="e">
        <f>#REF!</f>
        <v>#REF!</v>
      </c>
      <c r="CN24" s="94">
        <f t="shared" si="55"/>
        <v>0.45809014136122828</v>
      </c>
      <c r="CO24" s="94">
        <f t="shared" si="55"/>
        <v>2.8293802848786652E-2</v>
      </c>
      <c r="CP24" s="95">
        <f t="shared" si="56"/>
        <v>0.94649507148900858</v>
      </c>
      <c r="CQ24" s="95" t="e">
        <f>#REF!</f>
        <v>#REF!</v>
      </c>
      <c r="CR24" s="97">
        <f t="shared" si="70"/>
        <v>3.2107442633632242E-3</v>
      </c>
      <c r="CS24" s="95">
        <f t="shared" si="70"/>
        <v>6.9566125706203186E-2</v>
      </c>
      <c r="CT24" s="96" t="e">
        <f>#REF!</f>
        <v>#REF!</v>
      </c>
      <c r="CU24" s="97">
        <f t="shared" si="71"/>
        <v>8.2945561420160602E-2</v>
      </c>
      <c r="CV24" s="95">
        <f t="shared" si="57"/>
        <v>8.2945561420160602E-2</v>
      </c>
      <c r="CW24" s="96" t="e">
        <f>#REF!</f>
        <v>#REF!</v>
      </c>
      <c r="CX24" s="99">
        <f t="shared" si="58"/>
        <v>6.0296126335659686E-2</v>
      </c>
      <c r="CY24" s="95">
        <f t="shared" si="58"/>
        <v>1.3845777158558892E-2</v>
      </c>
      <c r="CZ24" s="99">
        <f t="shared" si="58"/>
        <v>8.3967938897066829E-2</v>
      </c>
      <c r="DA24" s="95">
        <f t="shared" si="58"/>
        <v>1.3845777158558892E-2</v>
      </c>
      <c r="DB24" s="94">
        <f t="shared" si="11"/>
        <v>0.1612363082012826</v>
      </c>
      <c r="DC24" s="94">
        <f t="shared" si="12"/>
        <v>8.1824076627346684E-2</v>
      </c>
      <c r="DD24" s="94">
        <f t="shared" si="12"/>
        <v>0.18798992277546361</v>
      </c>
      <c r="DE24" s="94">
        <f t="shared" si="12"/>
        <v>0.14515734117844001</v>
      </c>
      <c r="DF24" s="94">
        <f t="shared" si="12"/>
        <v>0</v>
      </c>
      <c r="DG24" s="94">
        <f t="shared" si="12"/>
        <v>0</v>
      </c>
      <c r="DH24" s="95">
        <f t="shared" si="12"/>
        <v>0.57620764878253283</v>
      </c>
      <c r="DI24" s="96" t="e">
        <f>#REF!</f>
        <v>#REF!</v>
      </c>
      <c r="DJ24" s="95">
        <f t="shared" si="59"/>
        <v>2.1492219253866254</v>
      </c>
      <c r="DK24" s="96" t="e">
        <f>#REF!</f>
        <v>#REF!</v>
      </c>
      <c r="DL24" s="95">
        <f t="shared" si="60"/>
        <v>-1.2355529811344339</v>
      </c>
      <c r="DM24" s="96">
        <f t="shared" si="13"/>
        <v>0</v>
      </c>
      <c r="DN24" s="94">
        <f t="shared" si="14"/>
        <v>1.993497621072319</v>
      </c>
      <c r="DO24" s="100">
        <v>3.4</v>
      </c>
      <c r="DP24" s="94">
        <f>IF($O24&lt;&gt;0,IF($O24&lt;&gt;0,BL24/$O24*10,0)," ")</f>
        <v>2.9071665653245105</v>
      </c>
      <c r="DQ24" s="94">
        <f t="shared" si="73"/>
        <v>3.3972022844956369</v>
      </c>
      <c r="DR24" s="101">
        <f t="shared" si="15"/>
        <v>3.17</v>
      </c>
      <c r="DT24" s="103">
        <v>19</v>
      </c>
      <c r="DU24" s="373">
        <v>635472</v>
      </c>
      <c r="DV24" s="373">
        <v>29534</v>
      </c>
      <c r="DW24" s="373">
        <v>5151990</v>
      </c>
      <c r="DX24" s="373">
        <v>121351</v>
      </c>
      <c r="DY24" s="373">
        <v>86952</v>
      </c>
      <c r="DZ24" s="373">
        <v>404738</v>
      </c>
      <c r="EA24" s="373">
        <v>240622</v>
      </c>
      <c r="EB24" s="373">
        <v>55771.8</v>
      </c>
      <c r="EC24" s="373">
        <v>421346</v>
      </c>
      <c r="ED24" s="373">
        <v>48221.2</v>
      </c>
      <c r="EE24" s="373">
        <v>40762.6</v>
      </c>
      <c r="EF24" s="373">
        <v>43162.9</v>
      </c>
      <c r="EG24" s="373">
        <v>94637.7</v>
      </c>
      <c r="EH24" s="373">
        <v>186855.3</v>
      </c>
      <c r="EI24" s="373">
        <v>34266</v>
      </c>
      <c r="EJ24" s="373">
        <v>42889</v>
      </c>
      <c r="EK24" s="330"/>
      <c r="EL24" s="373">
        <v>717492.6</v>
      </c>
      <c r="EM24" s="373">
        <v>44.97</v>
      </c>
      <c r="EN24" s="373">
        <v>47247.3</v>
      </c>
      <c r="EO24" s="373">
        <v>3112085.2</v>
      </c>
      <c r="EP24" s="373">
        <v>2822877</v>
      </c>
      <c r="EQ24" s="330">
        <v>0</v>
      </c>
      <c r="ER24" s="373">
        <v>344.32</v>
      </c>
      <c r="ES24" s="373">
        <v>406674</v>
      </c>
      <c r="ET24" s="373">
        <v>6759506.0999999996</v>
      </c>
      <c r="EU24" s="373">
        <v>452479</v>
      </c>
      <c r="EV24" s="373">
        <v>155462</v>
      </c>
      <c r="EW24" s="373">
        <v>133934</v>
      </c>
      <c r="EX24" s="373">
        <v>219023.8</v>
      </c>
      <c r="EY24" s="373">
        <v>1702106.6</v>
      </c>
      <c r="EZ24" s="373">
        <v>819048</v>
      </c>
      <c r="FA24" s="373">
        <v>763575</v>
      </c>
      <c r="FB24" s="136">
        <v>32906.400000000001</v>
      </c>
      <c r="FC24" s="136">
        <v>1697</v>
      </c>
      <c r="FD24" s="303">
        <f t="shared" si="80"/>
        <v>5309</v>
      </c>
      <c r="FE24" s="105">
        <f>FE57-FE56</f>
        <v>388</v>
      </c>
      <c r="FF24" s="523">
        <v>132</v>
      </c>
      <c r="FG24" s="105">
        <f t="shared" si="77"/>
        <v>1373</v>
      </c>
      <c r="FH24" s="496">
        <v>1861</v>
      </c>
      <c r="FI24" s="496">
        <v>546</v>
      </c>
      <c r="FJ24" s="105">
        <f t="shared" si="78"/>
        <v>0</v>
      </c>
      <c r="FK24" s="496">
        <v>815</v>
      </c>
      <c r="FL24" s="496">
        <v>0</v>
      </c>
      <c r="FM24" s="496">
        <v>194</v>
      </c>
      <c r="FN24" s="80">
        <v>1200</v>
      </c>
      <c r="FO24" s="104"/>
      <c r="FP24" s="487"/>
      <c r="FY24" s="119">
        <v>19</v>
      </c>
      <c r="FZ24" s="107"/>
      <c r="GA24" s="107"/>
      <c r="GB24" s="107"/>
      <c r="GC24" s="109"/>
      <c r="GD24" s="110"/>
      <c r="GE24" s="110"/>
      <c r="GF24" s="111"/>
      <c r="GG24" s="111"/>
      <c r="GH24" s="111"/>
      <c r="GI24" s="164"/>
      <c r="GJ24" s="111" t="e">
        <f t="shared" si="61"/>
        <v>#DIV/0!</v>
      </c>
    </row>
    <row r="25" spans="1:193" ht="15" customHeight="1">
      <c r="B25" s="351">
        <v>42998</v>
      </c>
      <c r="D25" s="86">
        <v>5565.36</v>
      </c>
      <c r="E25" s="86">
        <v>1604.88</v>
      </c>
      <c r="F25" s="525">
        <v>2787.2640000000001</v>
      </c>
      <c r="G25" s="86">
        <v>4317.68</v>
      </c>
      <c r="H25" s="86">
        <v>7695.8609999999999</v>
      </c>
      <c r="I25" s="86">
        <v>1815.922</v>
      </c>
      <c r="J25" s="86">
        <v>5711.4</v>
      </c>
      <c r="K25" s="284">
        <v>0</v>
      </c>
      <c r="L25" s="284">
        <v>0</v>
      </c>
      <c r="M25" s="115">
        <f>I25+J25</f>
        <v>7527.3220000000001</v>
      </c>
      <c r="N25" s="88">
        <f>SUM(D25:H25)</f>
        <v>21971.045000000002</v>
      </c>
      <c r="O25" s="88">
        <f t="shared" si="19"/>
        <v>25734.706000000002</v>
      </c>
      <c r="P25" s="89">
        <f t="shared" si="20"/>
        <v>347214.85600000003</v>
      </c>
      <c r="R25" s="170">
        <f t="shared" si="21"/>
        <v>234.70000000006985</v>
      </c>
      <c r="S25" s="170">
        <f t="shared" si="22"/>
        <v>30.1</v>
      </c>
      <c r="T25" s="170">
        <f t="shared" si="1"/>
        <v>4.0979999999999999</v>
      </c>
      <c r="U25" s="170">
        <f t="shared" si="74"/>
        <v>5.1799999999995636</v>
      </c>
      <c r="V25" s="170">
        <f t="shared" si="23"/>
        <v>1130.6999999997206</v>
      </c>
      <c r="W25" s="170">
        <f t="shared" si="2"/>
        <v>100</v>
      </c>
      <c r="X25" s="170">
        <f t="shared" si="24"/>
        <v>1130.6999999997206</v>
      </c>
      <c r="Y25" s="170">
        <f t="shared" si="25"/>
        <v>52.9</v>
      </c>
      <c r="Z25" s="170">
        <f t="shared" si="3"/>
        <v>144.9</v>
      </c>
      <c r="AA25" s="501">
        <f t="shared" si="26"/>
        <v>1404.7779999997902</v>
      </c>
      <c r="AB25" s="170">
        <f t="shared" si="27"/>
        <v>179</v>
      </c>
      <c r="AC25" s="170">
        <f t="shared" si="27"/>
        <v>29</v>
      </c>
      <c r="AD25" s="501">
        <f t="shared" si="28"/>
        <v>451</v>
      </c>
      <c r="AE25" s="501">
        <f t="shared" si="29"/>
        <v>243</v>
      </c>
      <c r="AF25" s="170">
        <f t="shared" si="30"/>
        <v>54</v>
      </c>
      <c r="AG25" s="170">
        <f t="shared" si="30"/>
        <v>76</v>
      </c>
      <c r="AH25" s="501">
        <f t="shared" si="31"/>
        <v>276</v>
      </c>
      <c r="AI25" s="501">
        <f t="shared" si="32"/>
        <v>146</v>
      </c>
      <c r="AJ25" s="170">
        <f t="shared" si="33"/>
        <v>166</v>
      </c>
      <c r="AK25" s="170">
        <f t="shared" si="33"/>
        <v>24.299999999995634</v>
      </c>
      <c r="AL25" s="501">
        <f t="shared" si="34"/>
        <v>296</v>
      </c>
      <c r="AM25" s="501">
        <f t="shared" si="35"/>
        <v>105.70000000000437</v>
      </c>
      <c r="AN25" s="170">
        <f t="shared" si="36"/>
        <v>0</v>
      </c>
      <c r="AO25" s="501">
        <f t="shared" si="4"/>
        <v>35.19999999999709</v>
      </c>
      <c r="AP25" s="170">
        <f t="shared" si="37"/>
        <v>24.69999999999709</v>
      </c>
      <c r="AQ25" s="501">
        <f t="shared" si="5"/>
        <v>40.900000000023283</v>
      </c>
      <c r="AR25" s="170">
        <f t="shared" si="38"/>
        <v>82.314900000000378</v>
      </c>
      <c r="AS25" s="501">
        <f t="shared" si="39"/>
        <v>169.31490000000031</v>
      </c>
      <c r="AT25" s="501">
        <f t="shared" si="40"/>
        <v>1048.3149000000003</v>
      </c>
      <c r="AU25" s="170">
        <f t="shared" si="63"/>
        <v>266</v>
      </c>
      <c r="AV25" s="501">
        <f t="shared" si="64"/>
        <v>51</v>
      </c>
      <c r="AW25" s="170">
        <f>IF(EU25="","",(EU25-EU24))</f>
        <v>613</v>
      </c>
      <c r="AX25" s="501">
        <f t="shared" si="66"/>
        <v>27</v>
      </c>
      <c r="AY25" s="501" t="str">
        <f t="shared" si="66"/>
        <v/>
      </c>
      <c r="AZ25" s="170">
        <f t="shared" si="41"/>
        <v>299</v>
      </c>
      <c r="BA25" s="170">
        <v>122</v>
      </c>
      <c r="BB25" s="170">
        <f t="shared" si="42"/>
        <v>199</v>
      </c>
      <c r="BC25" s="170">
        <f t="shared" si="42"/>
        <v>947.79999999981374</v>
      </c>
      <c r="BD25" s="170">
        <f t="shared" si="43"/>
        <v>305</v>
      </c>
      <c r="BE25" s="90"/>
      <c r="BF25" s="90"/>
      <c r="BG25" s="501">
        <f t="shared" si="44"/>
        <v>1750.7999999998137</v>
      </c>
      <c r="BH25" s="501">
        <f t="shared" si="45"/>
        <v>4662</v>
      </c>
      <c r="BI25" s="90">
        <f t="shared" si="6"/>
        <v>-3410.9928999996246</v>
      </c>
      <c r="BJ25" s="90">
        <f t="shared" si="46"/>
        <v>5380.9928999996246</v>
      </c>
      <c r="BK25" s="92"/>
      <c r="BL25" s="331">
        <f>FD25+FN25</f>
        <v>6632</v>
      </c>
      <c r="BM25" s="93">
        <f t="shared" si="47"/>
        <v>115845.31</v>
      </c>
      <c r="BN25" s="92"/>
      <c r="BO25" s="94">
        <f t="shared" si="48"/>
        <v>0.10682241104147291</v>
      </c>
      <c r="BP25" s="94">
        <f t="shared" si="48"/>
        <v>1.3699849051330967E-2</v>
      </c>
      <c r="BQ25" s="94">
        <f t="shared" si="49"/>
        <v>1.8651821067227343E-3</v>
      </c>
      <c r="BR25" s="94">
        <f t="shared" si="68"/>
        <v>0.5146318711739567</v>
      </c>
      <c r="BS25" s="94">
        <f t="shared" si="79"/>
        <v>2.4077143349349107E-2</v>
      </c>
      <c r="BT25" s="94">
        <f t="shared" si="79"/>
        <v>6.5950436130825824E-2</v>
      </c>
      <c r="BU25" s="95">
        <f t="shared" si="79"/>
        <v>0.63937696181487491</v>
      </c>
      <c r="BV25" s="94">
        <f t="shared" si="8"/>
        <v>9.1199798435649432E-2</v>
      </c>
      <c r="BW25" s="94">
        <f t="shared" si="8"/>
        <v>1.1696267289783688E-2</v>
      </c>
      <c r="BX25" s="94">
        <f t="shared" si="8"/>
        <v>1.5924021047685564E-3</v>
      </c>
      <c r="BY25" s="94">
        <f t="shared" si="50"/>
        <v>0.43936775496860953</v>
      </c>
      <c r="BZ25" s="95">
        <f t="shared" si="9"/>
        <v>0.54586906879751806</v>
      </c>
      <c r="CA25" s="96" t="e">
        <f>#REF!</f>
        <v>#REF!</v>
      </c>
      <c r="CB25" s="94">
        <f t="shared" si="51"/>
        <v>3.1985949246904302E-2</v>
      </c>
      <c r="CC25" s="95">
        <f t="shared" si="51"/>
        <v>6.5792436097774062E-2</v>
      </c>
      <c r="CD25" s="97">
        <f t="shared" si="10"/>
        <v>0.1093548276531818</v>
      </c>
      <c r="CE25" s="98">
        <f t="shared" si="10"/>
        <v>0.22493378123056287</v>
      </c>
      <c r="CF25" s="97">
        <f t="shared" si="52"/>
        <v>0.32163238317018128</v>
      </c>
      <c r="CG25" s="94">
        <f t="shared" si="52"/>
        <v>5.2108039731481884E-2</v>
      </c>
      <c r="CH25" s="95">
        <f t="shared" si="53"/>
        <v>0.81036985927235616</v>
      </c>
      <c r="CI25" s="96" t="e">
        <f>#REF!</f>
        <v>#REF!</v>
      </c>
      <c r="CJ25" s="94">
        <f t="shared" si="54"/>
        <v>0.3364737550471063</v>
      </c>
      <c r="CK25" s="94">
        <f t="shared" si="54"/>
        <v>0.47355565525148297</v>
      </c>
      <c r="CL25" s="95">
        <f t="shared" si="69"/>
        <v>1.7197547480185431</v>
      </c>
      <c r="CM25" s="95" t="e">
        <f>#REF!</f>
        <v>#REF!</v>
      </c>
      <c r="CN25" s="94">
        <f t="shared" si="55"/>
        <v>0.59556611788477876</v>
      </c>
      <c r="CO25" s="94">
        <f t="shared" si="55"/>
        <v>8.7182269063840495E-2</v>
      </c>
      <c r="CP25" s="95">
        <f t="shared" si="56"/>
        <v>1.0619733186379188</v>
      </c>
      <c r="CQ25" s="95" t="e">
        <f>#REF!</f>
        <v>#REF!</v>
      </c>
      <c r="CR25" s="97">
        <f t="shared" si="70"/>
        <v>0</v>
      </c>
      <c r="CS25" s="95">
        <f t="shared" si="70"/>
        <v>8.1525263567464673E-2</v>
      </c>
      <c r="CT25" s="96" t="e">
        <f>#REF!</f>
        <v>#REF!</v>
      </c>
      <c r="CU25" s="97">
        <f t="shared" si="71"/>
        <v>3.2095174276142835E-2</v>
      </c>
      <c r="CV25" s="95">
        <f t="shared" si="57"/>
        <v>5.3145450522070613E-2</v>
      </c>
      <c r="CW25" s="96" t="e">
        <f>#REF!</f>
        <v>#REF!</v>
      </c>
      <c r="CX25" s="99">
        <f t="shared" si="58"/>
        <v>0.1033623620957628</v>
      </c>
      <c r="CY25" s="95">
        <f t="shared" si="58"/>
        <v>1.9817595740165048E-2</v>
      </c>
      <c r="CZ25" s="99">
        <f t="shared" si="58"/>
        <v>0.23819972919061128</v>
      </c>
      <c r="DA25" s="95">
        <f t="shared" si="58"/>
        <v>1.0491668333028555E-2</v>
      </c>
      <c r="DB25" s="94">
        <f t="shared" si="11"/>
        <v>0.1161855122805755</v>
      </c>
      <c r="DC25" s="94">
        <f t="shared" si="12"/>
        <v>7.7327481417506769E-2</v>
      </c>
      <c r="DD25" s="94">
        <f t="shared" si="12"/>
        <v>0.36829641652009304</v>
      </c>
      <c r="DE25" s="94">
        <f t="shared" si="12"/>
        <v>0.11851699413235961</v>
      </c>
      <c r="DF25" s="94">
        <f t="shared" si="12"/>
        <v>0</v>
      </c>
      <c r="DG25" s="94">
        <f t="shared" si="12"/>
        <v>0</v>
      </c>
      <c r="DH25" s="95">
        <f t="shared" si="12"/>
        <v>0.68032640435053482</v>
      </c>
      <c r="DI25" s="96" t="e">
        <f>#REF!</f>
        <v>#REF!</v>
      </c>
      <c r="DJ25" s="95">
        <f t="shared" si="59"/>
        <v>1.8115613988362638</v>
      </c>
      <c r="DK25" s="96" t="e">
        <f>#REF!</f>
        <v>#REF!</v>
      </c>
      <c r="DL25" s="95">
        <f t="shared" si="60"/>
        <v>-1.3254446738189372</v>
      </c>
      <c r="DM25" s="96">
        <f t="shared" si="13"/>
        <v>0</v>
      </c>
      <c r="DN25" s="94">
        <f t="shared" si="14"/>
        <v>2.0909478818213909</v>
      </c>
      <c r="DO25" s="100">
        <v>3.4</v>
      </c>
      <c r="DP25" s="94">
        <f t="shared" si="72"/>
        <v>2.577064606838718</v>
      </c>
      <c r="DQ25" s="94">
        <f t="shared" si="73"/>
        <v>3.3364157091250721</v>
      </c>
      <c r="DR25" s="101">
        <f t="shared" si="15"/>
        <v>3.17</v>
      </c>
      <c r="DS25" s="173"/>
      <c r="DT25" s="103">
        <v>20</v>
      </c>
      <c r="DU25" s="518">
        <v>635651</v>
      </c>
      <c r="DV25" s="518">
        <v>29563</v>
      </c>
      <c r="DW25" s="135">
        <v>5152262</v>
      </c>
      <c r="DX25" s="135">
        <v>121405</v>
      </c>
      <c r="DY25" s="183">
        <v>87028</v>
      </c>
      <c r="DZ25" s="183">
        <v>404960</v>
      </c>
      <c r="EA25" s="139">
        <v>240788</v>
      </c>
      <c r="EB25" s="455">
        <v>55796.1</v>
      </c>
      <c r="EC25" s="183">
        <v>421476</v>
      </c>
      <c r="ED25" s="135">
        <v>48221.2</v>
      </c>
      <c r="EE25" s="136">
        <v>40792.6</v>
      </c>
      <c r="EF25" s="136">
        <v>43168.1</v>
      </c>
      <c r="EG25" s="135">
        <v>94662.399999999994</v>
      </c>
      <c r="EH25" s="135">
        <v>186896.2</v>
      </c>
      <c r="EI25" s="135">
        <v>34317</v>
      </c>
      <c r="EJ25" s="136">
        <v>42916</v>
      </c>
      <c r="EK25" s="136"/>
      <c r="EL25" s="135">
        <v>717727.3</v>
      </c>
      <c r="EM25" s="136">
        <v>40.98</v>
      </c>
      <c r="EN25" s="136">
        <v>47299.1</v>
      </c>
      <c r="EO25" s="135">
        <v>3113215.9</v>
      </c>
      <c r="EP25" s="136">
        <v>2823877</v>
      </c>
      <c r="EQ25" s="136">
        <v>529</v>
      </c>
      <c r="ER25" s="136">
        <v>1449</v>
      </c>
      <c r="ES25" s="136">
        <v>407640</v>
      </c>
      <c r="ET25" s="136">
        <v>6841821</v>
      </c>
      <c r="EU25" s="136">
        <v>453092</v>
      </c>
      <c r="EV25" s="136">
        <v>155728</v>
      </c>
      <c r="EW25" s="136">
        <v>134233</v>
      </c>
      <c r="EX25" s="136">
        <v>219222.8</v>
      </c>
      <c r="EY25" s="136">
        <v>1703054.4</v>
      </c>
      <c r="EZ25" s="136">
        <v>819349</v>
      </c>
      <c r="FA25" s="145">
        <v>763880</v>
      </c>
      <c r="FB25" s="136">
        <v>33021.699999999997</v>
      </c>
      <c r="FC25" s="136">
        <v>1970</v>
      </c>
      <c r="FD25" s="303">
        <f t="shared" si="80"/>
        <v>5381</v>
      </c>
      <c r="FE25" s="105">
        <f>FE58-FE57</f>
        <v>248</v>
      </c>
      <c r="FF25" s="523">
        <v>0</v>
      </c>
      <c r="FG25" s="105">
        <f t="shared" si="77"/>
        <v>995</v>
      </c>
      <c r="FH25" s="496">
        <v>1224</v>
      </c>
      <c r="FI25" s="496">
        <v>570</v>
      </c>
      <c r="FJ25" s="105">
        <f t="shared" si="78"/>
        <v>0</v>
      </c>
      <c r="FK25" s="496">
        <v>990</v>
      </c>
      <c r="FL25" s="496">
        <v>930</v>
      </c>
      <c r="FM25" s="496">
        <v>424</v>
      </c>
      <c r="FN25" s="526">
        <v>1251</v>
      </c>
      <c r="FO25" s="527">
        <v>1107950</v>
      </c>
      <c r="FP25" s="528" t="s">
        <v>304</v>
      </c>
      <c r="FQ25" s="175"/>
      <c r="FR25" s="64"/>
      <c r="FS25" s="64"/>
      <c r="FT25" s="64"/>
      <c r="FU25" s="64"/>
      <c r="FV25" s="64"/>
      <c r="FW25" s="64"/>
      <c r="FX25" s="64"/>
      <c r="FY25" s="64">
        <v>20</v>
      </c>
      <c r="FZ25" s="107"/>
      <c r="GA25" s="107"/>
      <c r="GB25" s="107"/>
      <c r="GC25" s="109"/>
      <c r="GD25" s="110"/>
      <c r="GE25" s="110"/>
      <c r="GF25" s="111"/>
      <c r="GG25" s="111"/>
      <c r="GH25" s="111"/>
      <c r="GI25" s="164"/>
      <c r="GJ25" s="111" t="e">
        <f t="shared" si="61"/>
        <v>#DIV/0!</v>
      </c>
      <c r="GK25" s="118"/>
    </row>
    <row r="26" spans="1:193" s="119" customFormat="1" ht="15" customHeight="1">
      <c r="B26" s="351">
        <v>42999</v>
      </c>
      <c r="D26" s="86">
        <v>5462.52</v>
      </c>
      <c r="E26" s="86">
        <v>2640</v>
      </c>
      <c r="F26" s="86">
        <v>3327.5520000000001</v>
      </c>
      <c r="G26" s="86">
        <v>3694.8679999999999</v>
      </c>
      <c r="H26" s="86">
        <v>2607.7809999999999</v>
      </c>
      <c r="I26" s="86">
        <v>1839.6980000000001</v>
      </c>
      <c r="J26" s="284">
        <v>4757.55</v>
      </c>
      <c r="K26" s="284">
        <v>0</v>
      </c>
      <c r="L26" s="284">
        <v>0</v>
      </c>
      <c r="M26" s="115">
        <f t="shared" si="62"/>
        <v>6597.2480000000005</v>
      </c>
      <c r="N26" s="88">
        <f t="shared" si="18"/>
        <v>17732.721000000001</v>
      </c>
      <c r="O26" s="88">
        <f t="shared" si="19"/>
        <v>21031.345000000001</v>
      </c>
      <c r="P26" s="89">
        <f t="shared" si="20"/>
        <v>368246.201</v>
      </c>
      <c r="R26" s="170">
        <f t="shared" si="21"/>
        <v>247.29999999993015</v>
      </c>
      <c r="S26" s="170">
        <f t="shared" si="22"/>
        <v>48.659999999997673</v>
      </c>
      <c r="T26" s="170">
        <f t="shared" si="1"/>
        <v>3.16</v>
      </c>
      <c r="U26" s="170">
        <f t="shared" si="74"/>
        <v>5.3800000000002912</v>
      </c>
      <c r="V26" s="170">
        <f t="shared" si="23"/>
        <v>1032.6000000000931</v>
      </c>
      <c r="W26" s="170">
        <f t="shared" si="2"/>
        <v>91.5</v>
      </c>
      <c r="X26" s="170">
        <f t="shared" si="24"/>
        <v>1032.6000000000931</v>
      </c>
      <c r="Y26" s="170" t="str">
        <f t="shared" si="25"/>
        <v>0</v>
      </c>
      <c r="Z26" s="170">
        <f t="shared" si="3"/>
        <v>151.19999999999999</v>
      </c>
      <c r="AA26" s="501">
        <f t="shared" si="26"/>
        <v>1337.1000000000213</v>
      </c>
      <c r="AB26" s="170">
        <f t="shared" si="27"/>
        <v>171</v>
      </c>
      <c r="AC26" s="170">
        <f t="shared" si="27"/>
        <v>17</v>
      </c>
      <c r="AD26" s="501">
        <f t="shared" si="28"/>
        <v>358</v>
      </c>
      <c r="AE26" s="501">
        <f t="shared" si="29"/>
        <v>170</v>
      </c>
      <c r="AF26" s="170">
        <f t="shared" si="30"/>
        <v>82</v>
      </c>
      <c r="AG26" s="170">
        <f t="shared" si="30"/>
        <v>15.899999999994179</v>
      </c>
      <c r="AH26" s="501">
        <f t="shared" si="31"/>
        <v>160</v>
      </c>
      <c r="AI26" s="501">
        <f t="shared" si="32"/>
        <v>62.100000000005821</v>
      </c>
      <c r="AJ26" s="170">
        <f t="shared" si="33"/>
        <v>148</v>
      </c>
      <c r="AK26" s="170">
        <f t="shared" si="33"/>
        <v>32</v>
      </c>
      <c r="AL26" s="501">
        <f t="shared" si="34"/>
        <v>288</v>
      </c>
      <c r="AM26" s="501">
        <f t="shared" si="35"/>
        <v>108</v>
      </c>
      <c r="AN26" s="170">
        <f t="shared" si="36"/>
        <v>0</v>
      </c>
      <c r="AO26" s="501">
        <f t="shared" si="4"/>
        <v>11.400000000001455</v>
      </c>
      <c r="AP26" s="170">
        <f t="shared" si="37"/>
        <v>2</v>
      </c>
      <c r="AQ26" s="501">
        <f t="shared" si="5"/>
        <v>70.099999999976717</v>
      </c>
      <c r="AR26" s="170">
        <f t="shared" si="38"/>
        <v>112.70099999999999</v>
      </c>
      <c r="AS26" s="501">
        <f t="shared" si="39"/>
        <v>106.70100000000002</v>
      </c>
      <c r="AT26" s="501">
        <f t="shared" si="40"/>
        <v>726.70100000000002</v>
      </c>
      <c r="AU26" s="170">
        <f t="shared" si="63"/>
        <v>259</v>
      </c>
      <c r="AV26" s="501">
        <f t="shared" si="64"/>
        <v>45</v>
      </c>
      <c r="AW26" s="170">
        <f t="shared" si="65"/>
        <v>361</v>
      </c>
      <c r="AX26" s="501">
        <f t="shared" si="66"/>
        <v>31</v>
      </c>
      <c r="AY26" s="501" t="str">
        <f t="shared" si="66"/>
        <v/>
      </c>
      <c r="AZ26" s="170">
        <f t="shared" si="41"/>
        <v>278</v>
      </c>
      <c r="BA26" s="170">
        <v>48</v>
      </c>
      <c r="BB26" s="170">
        <f t="shared" si="42"/>
        <v>186.5</v>
      </c>
      <c r="BC26" s="170">
        <f t="shared" si="42"/>
        <v>855.4000000001397</v>
      </c>
      <c r="BD26" s="170">
        <f t="shared" si="43"/>
        <v>182</v>
      </c>
      <c r="BE26" s="90"/>
      <c r="BF26" s="90"/>
      <c r="BG26" s="501">
        <f t="shared" si="44"/>
        <v>1501.9000000001397</v>
      </c>
      <c r="BH26" s="501">
        <f t="shared" si="45"/>
        <v>2586</v>
      </c>
      <c r="BI26" s="90">
        <f t="shared" si="6"/>
        <v>-982.20100000013917</v>
      </c>
      <c r="BJ26" s="90">
        <f t="shared" si="46"/>
        <v>4529.2010000001392</v>
      </c>
      <c r="BK26" s="92"/>
      <c r="BL26" s="331">
        <f t="shared" si="67"/>
        <v>6133</v>
      </c>
      <c r="BM26" s="93">
        <f t="shared" si="47"/>
        <v>121978.31</v>
      </c>
      <c r="BN26" s="92"/>
      <c r="BO26" s="94">
        <f t="shared" si="48"/>
        <v>0.13945970277202813</v>
      </c>
      <c r="BP26" s="94">
        <f t="shared" si="48"/>
        <v>2.7440797156847878E-2</v>
      </c>
      <c r="BQ26" s="94">
        <f t="shared" si="49"/>
        <v>1.7820164203790269E-3</v>
      </c>
      <c r="BR26" s="94">
        <f t="shared" si="68"/>
        <v>0.58231334040618643</v>
      </c>
      <c r="BS26" s="94">
        <f t="shared" si="79"/>
        <v>0</v>
      </c>
      <c r="BT26" s="94">
        <f t="shared" si="79"/>
        <v>8.5266102139654687E-2</v>
      </c>
      <c r="BU26" s="95">
        <f t="shared" si="79"/>
        <v>0.75402979610406162</v>
      </c>
      <c r="BV26" s="94">
        <f t="shared" si="8"/>
        <v>0.11758639307183166</v>
      </c>
      <c r="BW26" s="94">
        <f t="shared" si="8"/>
        <v>2.3136894002736236E-2</v>
      </c>
      <c r="BX26" s="94">
        <f t="shared" si="8"/>
        <v>1.5025192159607479E-3</v>
      </c>
      <c r="BY26" s="94">
        <f t="shared" si="50"/>
        <v>0.49098143746873685</v>
      </c>
      <c r="BZ26" s="95">
        <f t="shared" si="9"/>
        <v>0.63576533027251525</v>
      </c>
      <c r="CA26" s="96" t="e">
        <f>#REF!</f>
        <v>#REF!</v>
      </c>
      <c r="CB26" s="94">
        <f t="shared" si="51"/>
        <v>5.3587157644934262E-2</v>
      </c>
      <c r="CC26" s="95">
        <f t="shared" si="51"/>
        <v>5.0734273057667027E-2</v>
      </c>
      <c r="CD26" s="97">
        <f t="shared" si="10"/>
        <v>0.17083032197667875</v>
      </c>
      <c r="CE26" s="98">
        <f t="shared" si="10"/>
        <v>0.1617356206709222</v>
      </c>
      <c r="CF26" s="97">
        <f t="shared" si="52"/>
        <v>0.31304233211045446</v>
      </c>
      <c r="CG26" s="94">
        <f t="shared" si="52"/>
        <v>3.1121167519752788E-2</v>
      </c>
      <c r="CH26" s="95">
        <f t="shared" si="53"/>
        <v>0.65537517482773522</v>
      </c>
      <c r="CI26" s="96" t="e">
        <f>#REF!</f>
        <v>#REF!</v>
      </c>
      <c r="CJ26" s="94">
        <f t="shared" si="54"/>
        <v>0.31060606060606061</v>
      </c>
      <c r="CK26" s="94">
        <f t="shared" si="54"/>
        <v>6.0227272727250675E-2</v>
      </c>
      <c r="CL26" s="95">
        <f t="shared" si="69"/>
        <v>0.60606060606060608</v>
      </c>
      <c r="CM26" s="95" t="e">
        <f>#REF!</f>
        <v>#REF!</v>
      </c>
      <c r="CN26" s="94">
        <f t="shared" si="55"/>
        <v>0.44477141153616834</v>
      </c>
      <c r="CO26" s="94">
        <f t="shared" si="55"/>
        <v>9.6166791683495859E-2</v>
      </c>
      <c r="CP26" s="95">
        <f t="shared" si="56"/>
        <v>0.86550112515146271</v>
      </c>
      <c r="CQ26" s="95" t="e">
        <f>#REF!</f>
        <v>#REF!</v>
      </c>
      <c r="CR26" s="97">
        <f t="shared" si="70"/>
        <v>0</v>
      </c>
      <c r="CS26" s="95">
        <f t="shared" si="70"/>
        <v>3.0853605595657155E-2</v>
      </c>
      <c r="CT26" s="96" t="e">
        <f>#REF!</f>
        <v>#REF!</v>
      </c>
      <c r="CU26" s="97">
        <f t="shared" si="71"/>
        <v>7.6693556705873696E-3</v>
      </c>
      <c r="CV26" s="95">
        <f t="shared" si="57"/>
        <v>0.268810916253998</v>
      </c>
      <c r="CW26" s="96" t="e">
        <f>#REF!</f>
        <v>#REF!</v>
      </c>
      <c r="CX26" s="99">
        <f t="shared" si="58"/>
        <v>0.12314951801703598</v>
      </c>
      <c r="CY26" s="95">
        <f t="shared" si="58"/>
        <v>2.1396634404504324E-2</v>
      </c>
      <c r="CZ26" s="99">
        <f t="shared" si="58"/>
        <v>0.17164855600057913</v>
      </c>
      <c r="DA26" s="95">
        <f t="shared" si="58"/>
        <v>1.4739903700880755E-2</v>
      </c>
      <c r="DB26" s="94">
        <f t="shared" si="11"/>
        <v>0.13218365254338227</v>
      </c>
      <c r="DC26" s="94">
        <f t="shared" si="12"/>
        <v>8.8677162587556813E-2</v>
      </c>
      <c r="DD26" s="94">
        <f t="shared" si="12"/>
        <v>0.4067262459914664</v>
      </c>
      <c r="DE26" s="94">
        <f t="shared" si="12"/>
        <v>8.6537499147106373E-2</v>
      </c>
      <c r="DF26" s="94">
        <f t="shared" si="12"/>
        <v>0</v>
      </c>
      <c r="DG26" s="94">
        <f t="shared" si="12"/>
        <v>0</v>
      </c>
      <c r="DH26" s="95">
        <f t="shared" si="12"/>
        <v>0.71412456026951177</v>
      </c>
      <c r="DI26" s="96" t="e">
        <f>#REF!</f>
        <v>#REF!</v>
      </c>
      <c r="DJ26" s="95">
        <f t="shared" si="59"/>
        <v>1.2295932571121817</v>
      </c>
      <c r="DK26" s="96" t="e">
        <f>#REF!</f>
        <v>#REF!</v>
      </c>
      <c r="DL26" s="95">
        <f t="shared" si="60"/>
        <v>-0.4670176824164784</v>
      </c>
      <c r="DM26" s="96">
        <f t="shared" si="13"/>
        <v>0</v>
      </c>
      <c r="DN26" s="94">
        <f t="shared" si="14"/>
        <v>2.1535479542559637</v>
      </c>
      <c r="DO26" s="100">
        <v>3.4</v>
      </c>
      <c r="DP26" s="94">
        <f>IF($O26&lt;&gt;0,IF($O26&lt;&gt;0,BL26/$O26*10,0)," ")</f>
        <v>2.9161235289516667</v>
      </c>
      <c r="DQ26" s="94">
        <f>IF($P26&lt;&gt;0,IF($P26&lt;&gt;0,BM26/$P26*10,0)," ")</f>
        <v>3.312411904556213</v>
      </c>
      <c r="DR26" s="101">
        <f t="shared" si="15"/>
        <v>3.17</v>
      </c>
      <c r="DS26" s="173"/>
      <c r="DT26" s="103">
        <v>21</v>
      </c>
      <c r="DU26" s="518">
        <v>635822</v>
      </c>
      <c r="DV26" s="518">
        <v>29580</v>
      </c>
      <c r="DW26" s="135">
        <v>5152449</v>
      </c>
      <c r="DX26" s="183">
        <v>121487</v>
      </c>
      <c r="DY26" s="183">
        <v>87043.9</v>
      </c>
      <c r="DZ26" s="183">
        <v>405038</v>
      </c>
      <c r="EA26" s="139">
        <v>240936</v>
      </c>
      <c r="EB26" s="455">
        <v>55828.1</v>
      </c>
      <c r="EC26" s="139">
        <v>421616</v>
      </c>
      <c r="ED26" s="135">
        <v>48221.2</v>
      </c>
      <c r="EE26" s="136">
        <v>40804</v>
      </c>
      <c r="EF26" s="136">
        <v>43168.1</v>
      </c>
      <c r="EG26" s="135">
        <v>94664.4</v>
      </c>
      <c r="EH26" s="135">
        <v>186966.3</v>
      </c>
      <c r="EI26" s="135">
        <v>34362</v>
      </c>
      <c r="EJ26" s="136">
        <v>42947</v>
      </c>
      <c r="EK26" s="136"/>
      <c r="EL26" s="135">
        <v>717974.6</v>
      </c>
      <c r="EM26" s="135">
        <v>31.6</v>
      </c>
      <c r="EN26" s="136">
        <v>47352.9</v>
      </c>
      <c r="EO26" s="135">
        <v>3114248.5</v>
      </c>
      <c r="EP26" s="136">
        <v>2824792</v>
      </c>
      <c r="EQ26" s="136">
        <v>0</v>
      </c>
      <c r="ER26" s="136">
        <v>1512</v>
      </c>
      <c r="ES26" s="136">
        <v>408254</v>
      </c>
      <c r="ET26" s="136">
        <v>6954522</v>
      </c>
      <c r="EU26" s="136">
        <v>453453</v>
      </c>
      <c r="EV26" s="136">
        <v>155987</v>
      </c>
      <c r="EW26" s="136">
        <v>134511</v>
      </c>
      <c r="EX26" s="136">
        <v>219409.3</v>
      </c>
      <c r="EY26" s="136">
        <v>1703909.8</v>
      </c>
      <c r="EZ26" s="136">
        <v>819835.6</v>
      </c>
      <c r="FA26" s="145">
        <v>764062</v>
      </c>
      <c r="FB26" s="136">
        <v>33073.599999999999</v>
      </c>
      <c r="FC26" s="136">
        <v>3547</v>
      </c>
      <c r="FD26" s="303">
        <f t="shared" si="80"/>
        <v>4933</v>
      </c>
      <c r="FE26" s="105">
        <f>FE59-FE58</f>
        <v>286</v>
      </c>
      <c r="FF26" s="123">
        <v>0</v>
      </c>
      <c r="FG26" s="105">
        <f t="shared" si="77"/>
        <v>626</v>
      </c>
      <c r="FH26" s="496">
        <v>1623</v>
      </c>
      <c r="FI26" s="123">
        <v>456</v>
      </c>
      <c r="FJ26" s="105">
        <f t="shared" si="78"/>
        <v>0</v>
      </c>
      <c r="FK26" s="496">
        <v>971</v>
      </c>
      <c r="FL26" s="496">
        <v>538</v>
      </c>
      <c r="FM26" s="123">
        <v>433</v>
      </c>
      <c r="FN26" s="80">
        <v>1200</v>
      </c>
      <c r="FO26" s="333"/>
      <c r="FP26" s="487"/>
      <c r="FY26" s="119">
        <v>21</v>
      </c>
      <c r="FZ26" s="107"/>
      <c r="GA26" s="107"/>
      <c r="GB26" s="107"/>
      <c r="GC26" s="109"/>
      <c r="GD26" s="110"/>
      <c r="GE26" s="110"/>
      <c r="GF26" s="111"/>
      <c r="GG26" s="111"/>
      <c r="GH26" s="111"/>
      <c r="GI26" s="164"/>
      <c r="GJ26" s="111" t="e">
        <f t="shared" si="61"/>
        <v>#DIV/0!</v>
      </c>
      <c r="GK26" s="113"/>
    </row>
    <row r="27" spans="1:193" s="119" customFormat="1" ht="15" customHeight="1">
      <c r="B27" s="351">
        <v>43000</v>
      </c>
      <c r="D27" s="86">
        <v>5112</v>
      </c>
      <c r="E27" s="86">
        <v>2081.7600000000002</v>
      </c>
      <c r="F27" s="86">
        <v>699.40800000000002</v>
      </c>
      <c r="G27" s="86">
        <v>0</v>
      </c>
      <c r="H27" s="86">
        <v>0</v>
      </c>
      <c r="I27" s="86">
        <v>1814.7850000000001</v>
      </c>
      <c r="J27" s="86">
        <v>5211.6000000000004</v>
      </c>
      <c r="K27" s="284">
        <v>30.215</v>
      </c>
      <c r="L27" s="284">
        <v>0</v>
      </c>
      <c r="M27" s="115">
        <f t="shared" si="62"/>
        <v>7026.3850000000002</v>
      </c>
      <c r="N27" s="88">
        <f t="shared" si="18"/>
        <v>7893.1680000000006</v>
      </c>
      <c r="O27" s="88">
        <f t="shared" si="19"/>
        <v>11406.360500000001</v>
      </c>
      <c r="P27" s="89">
        <f t="shared" si="20"/>
        <v>379652.56150000001</v>
      </c>
      <c r="R27" s="170">
        <f t="shared" si="21"/>
        <v>107.80000000004657</v>
      </c>
      <c r="S27" s="170">
        <f t="shared" si="22"/>
        <v>193.45</v>
      </c>
      <c r="T27" s="170">
        <f t="shared" si="1"/>
        <v>6.26</v>
      </c>
      <c r="U27" s="170">
        <f t="shared" si="74"/>
        <v>2.0099999999998546</v>
      </c>
      <c r="V27" s="170">
        <f t="shared" si="23"/>
        <v>801.60000000009313</v>
      </c>
      <c r="W27" s="170">
        <f t="shared" si="2"/>
        <v>72.5</v>
      </c>
      <c r="X27" s="170">
        <f t="shared" si="24"/>
        <v>801.60000000009313</v>
      </c>
      <c r="Y27" s="170">
        <f t="shared" si="25"/>
        <v>39.799999999999997</v>
      </c>
      <c r="Z27" s="170">
        <f t="shared" si="3"/>
        <v>98</v>
      </c>
      <c r="AA27" s="501">
        <f t="shared" si="26"/>
        <v>1111.1200000001395</v>
      </c>
      <c r="AB27" s="170">
        <f t="shared" si="27"/>
        <v>188</v>
      </c>
      <c r="AC27" s="170">
        <f t="shared" si="27"/>
        <v>5</v>
      </c>
      <c r="AD27" s="501">
        <f t="shared" si="28"/>
        <v>441</v>
      </c>
      <c r="AE27" s="501">
        <f t="shared" si="29"/>
        <v>248</v>
      </c>
      <c r="AF27" s="170">
        <f t="shared" si="30"/>
        <v>53</v>
      </c>
      <c r="AG27" s="170">
        <f t="shared" si="30"/>
        <v>35.600000000005821</v>
      </c>
      <c r="AH27" s="501">
        <f t="shared" si="31"/>
        <v>153</v>
      </c>
      <c r="AI27" s="501">
        <f t="shared" si="32"/>
        <v>64.399999999994179</v>
      </c>
      <c r="AJ27" s="170">
        <f t="shared" si="33"/>
        <v>63</v>
      </c>
      <c r="AK27" s="170">
        <f t="shared" si="33"/>
        <v>51.700000000004366</v>
      </c>
      <c r="AL27" s="501">
        <f t="shared" si="34"/>
        <v>305</v>
      </c>
      <c r="AM27" s="501">
        <f t="shared" si="35"/>
        <v>190.29999999999563</v>
      </c>
      <c r="AN27" s="170">
        <f t="shared" si="36"/>
        <v>16.5</v>
      </c>
      <c r="AO27" s="501">
        <f t="shared" si="4"/>
        <v>0</v>
      </c>
      <c r="AP27" s="170">
        <f t="shared" si="37"/>
        <v>61.5</v>
      </c>
      <c r="AQ27" s="501">
        <f t="shared" si="5"/>
        <v>76.200000000011642</v>
      </c>
      <c r="AR27" s="170">
        <f t="shared" si="38"/>
        <v>107.399</v>
      </c>
      <c r="AS27" s="501">
        <f t="shared" si="39"/>
        <v>243.399</v>
      </c>
      <c r="AT27" s="501">
        <f t="shared" si="40"/>
        <v>924.399</v>
      </c>
      <c r="AU27" s="170">
        <f>IF(EV27="","",(EV27-EV26))</f>
        <v>215</v>
      </c>
      <c r="AV27" s="501">
        <f t="shared" si="64"/>
        <v>32</v>
      </c>
      <c r="AW27" s="170">
        <f>IF(EU27="","",(EU27-EU26))</f>
        <v>466</v>
      </c>
      <c r="AX27" s="501">
        <f t="shared" si="66"/>
        <v>32</v>
      </c>
      <c r="AY27" s="501" t="str">
        <f t="shared" si="66"/>
        <v/>
      </c>
      <c r="AZ27" s="170">
        <f t="shared" si="41"/>
        <v>267</v>
      </c>
      <c r="BA27" s="170">
        <v>39</v>
      </c>
      <c r="BB27" s="170">
        <f t="shared" si="42"/>
        <v>134.60000000000582</v>
      </c>
      <c r="BC27" s="170">
        <f t="shared" si="42"/>
        <v>430.39999999990687</v>
      </c>
      <c r="BD27" s="170">
        <f t="shared" si="43"/>
        <v>90</v>
      </c>
      <c r="BE27" s="90"/>
      <c r="BF27" s="90"/>
      <c r="BG27" s="501">
        <f t="shared" si="44"/>
        <v>921.99999999991269</v>
      </c>
      <c r="BH27" s="501">
        <f t="shared" si="45"/>
        <v>3159.17</v>
      </c>
      <c r="BI27" s="90">
        <f t="shared" si="6"/>
        <v>-1590.7190000000637</v>
      </c>
      <c r="BJ27" s="90">
        <f t="shared" si="46"/>
        <v>3996.7190000000637</v>
      </c>
      <c r="BK27" s="92"/>
      <c r="BL27" s="331">
        <f t="shared" si="67"/>
        <v>5565.17</v>
      </c>
      <c r="BM27" s="93">
        <f t="shared" si="47"/>
        <v>127543.48</v>
      </c>
      <c r="BN27" s="92"/>
      <c r="BO27" s="94">
        <f t="shared" si="48"/>
        <v>0.13657380661357588</v>
      </c>
      <c r="BP27" s="94">
        <f t="shared" si="48"/>
        <v>0.24508537003139927</v>
      </c>
      <c r="BQ27" s="94">
        <f t="shared" si="49"/>
        <v>7.9309093636420747E-3</v>
      </c>
      <c r="BR27" s="94">
        <f t="shared" si="68"/>
        <v>1.0155618124434866</v>
      </c>
      <c r="BS27" s="94">
        <f t="shared" si="79"/>
        <v>5.0423353462133322E-2</v>
      </c>
      <c r="BT27" s="94">
        <f t="shared" si="79"/>
        <v>0.12415800601228809</v>
      </c>
      <c r="BU27" s="95">
        <f t="shared" si="79"/>
        <v>1.4076984044937844</v>
      </c>
      <c r="BV27" s="94">
        <f t="shared" si="8"/>
        <v>9.450867347217945E-2</v>
      </c>
      <c r="BW27" s="94">
        <f t="shared" si="8"/>
        <v>0.16959835698687586</v>
      </c>
      <c r="BX27" s="94">
        <f t="shared" si="8"/>
        <v>5.4881660105342098E-3</v>
      </c>
      <c r="BY27" s="94">
        <f t="shared" si="50"/>
        <v>0.70276579457583599</v>
      </c>
      <c r="BZ27" s="95">
        <f t="shared" si="9"/>
        <v>0.97412316575487812</v>
      </c>
      <c r="CA27" s="96" t="e">
        <f>#REF!</f>
        <v>#REF!</v>
      </c>
      <c r="CB27" s="94">
        <f t="shared" si="51"/>
        <v>9.4157115234083641E-2</v>
      </c>
      <c r="CC27" s="95">
        <f t="shared" si="51"/>
        <v>0.2133888368686927</v>
      </c>
      <c r="CD27" s="97">
        <f t="shared" si="10"/>
        <v>0.15285100375228514</v>
      </c>
      <c r="CE27" s="98">
        <f t="shared" si="10"/>
        <v>0.34640714962245872</v>
      </c>
      <c r="CF27" s="97">
        <f t="shared" si="52"/>
        <v>0.36776212832550864</v>
      </c>
      <c r="CG27" s="94">
        <f t="shared" si="52"/>
        <v>9.7809076682316125E-3</v>
      </c>
      <c r="CH27" s="95">
        <f t="shared" si="53"/>
        <v>0.86267605633802813</v>
      </c>
      <c r="CI27" s="96" t="e">
        <f>#REF!</f>
        <v>#REF!</v>
      </c>
      <c r="CJ27" s="94">
        <f t="shared" si="54"/>
        <v>0.25459226808085467</v>
      </c>
      <c r="CK27" s="94">
        <f t="shared" si="54"/>
        <v>0.17100914610716805</v>
      </c>
      <c r="CL27" s="95">
        <f t="shared" si="69"/>
        <v>0.73495503804473128</v>
      </c>
      <c r="CM27" s="95" t="e">
        <f>#REF!</f>
        <v>#REF!</v>
      </c>
      <c r="CN27" s="94">
        <f t="shared" si="55"/>
        <v>0.90076178711138555</v>
      </c>
      <c r="CO27" s="94">
        <f t="shared" si="55"/>
        <v>0.73919657767718361</v>
      </c>
      <c r="CP27" s="95">
        <f t="shared" si="56"/>
        <v>4.3608308741106763</v>
      </c>
      <c r="CQ27" s="95" t="e">
        <f>#REF!</f>
        <v>#REF!</v>
      </c>
      <c r="CR27" s="97" t="str">
        <f t="shared" si="70"/>
        <v xml:space="preserve">0,00 </v>
      </c>
      <c r="CS27" s="95" t="str">
        <f t="shared" si="70"/>
        <v xml:space="preserve">0,00 </v>
      </c>
      <c r="CT27" s="96" t="e">
        <f>#REF!</f>
        <v>#REF!</v>
      </c>
      <c r="CU27" s="97" t="str">
        <f t="shared" si="71"/>
        <v xml:space="preserve">0,00 </v>
      </c>
      <c r="CV27" s="95" t="str">
        <f t="shared" si="57"/>
        <v xml:space="preserve">0,00 </v>
      </c>
      <c r="CW27" s="96" t="e">
        <f>#REF!</f>
        <v>#REF!</v>
      </c>
      <c r="CX27" s="99">
        <f t="shared" ref="CX27:DA37" si="81">IF($O27&lt;&gt;0,IF($O27&lt;&gt;0,AU27/$O27*10,0)," ")</f>
        <v>0.18849132464294813</v>
      </c>
      <c r="CY27" s="95">
        <f t="shared" si="81"/>
        <v>2.8054522737555064E-2</v>
      </c>
      <c r="CZ27" s="99">
        <f t="shared" si="81"/>
        <v>0.40854398736564568</v>
      </c>
      <c r="DA27" s="95">
        <f t="shared" si="81"/>
        <v>2.8054522737555064E-2</v>
      </c>
      <c r="DB27" s="94">
        <f t="shared" si="11"/>
        <v>0.2340799240914751</v>
      </c>
      <c r="DC27" s="94">
        <f t="shared" si="12"/>
        <v>0.1180043362648461</v>
      </c>
      <c r="DD27" s="94">
        <f t="shared" si="12"/>
        <v>0.37733333082003395</v>
      </c>
      <c r="DE27" s="94">
        <f t="shared" si="12"/>
        <v>7.8903345199373628E-2</v>
      </c>
      <c r="DF27" s="94">
        <f t="shared" si="12"/>
        <v>0</v>
      </c>
      <c r="DG27" s="94">
        <f t="shared" si="12"/>
        <v>0</v>
      </c>
      <c r="DH27" s="95">
        <f t="shared" si="12"/>
        <v>0.80832093637572877</v>
      </c>
      <c r="DI27" s="96" t="e">
        <f>#REF!</f>
        <v>#REF!</v>
      </c>
      <c r="DJ27" s="95">
        <f t="shared" si="59"/>
        <v>2.7696564561500576</v>
      </c>
      <c r="DK27" s="96" t="e">
        <f>#REF!</f>
        <v>#REF!</v>
      </c>
      <c r="DL27" s="95">
        <f t="shared" si="60"/>
        <v>-1.3945894485800827</v>
      </c>
      <c r="DM27" s="96">
        <f t="shared" si="13"/>
        <v>0</v>
      </c>
      <c r="DN27" s="94">
        <f t="shared" si="14"/>
        <v>3.5039388769100044</v>
      </c>
      <c r="DO27" s="100">
        <v>3.4</v>
      </c>
      <c r="DP27" s="94">
        <f t="shared" si="72"/>
        <v>4.8790058844799793</v>
      </c>
      <c r="DQ27" s="94">
        <f>IF($P27&lt;&gt;0,IF($P27&lt;&gt;0,BM27/$P27*10,0)," ")</f>
        <v>3.3594789798356199</v>
      </c>
      <c r="DR27" s="101">
        <f t="shared" si="15"/>
        <v>3.17</v>
      </c>
      <c r="DS27" s="173"/>
      <c r="DT27" s="103">
        <v>22</v>
      </c>
      <c r="DU27" s="362">
        <v>636010</v>
      </c>
      <c r="DV27" s="362">
        <v>29585</v>
      </c>
      <c r="DW27" s="361">
        <v>5152702</v>
      </c>
      <c r="DX27" s="364">
        <v>121540</v>
      </c>
      <c r="DY27" s="364">
        <v>87079.5</v>
      </c>
      <c r="DZ27" s="364">
        <v>405138</v>
      </c>
      <c r="EA27" s="381">
        <v>240999</v>
      </c>
      <c r="EB27" s="390">
        <v>55879.8</v>
      </c>
      <c r="EC27" s="381">
        <v>421858</v>
      </c>
      <c r="ED27" s="361">
        <v>48237.7</v>
      </c>
      <c r="EE27" s="303">
        <v>40804</v>
      </c>
      <c r="EF27" s="303">
        <f>EF26</f>
        <v>43168.1</v>
      </c>
      <c r="EG27" s="361">
        <v>94725.9</v>
      </c>
      <c r="EH27" s="361">
        <v>187042.5</v>
      </c>
      <c r="EI27" s="361">
        <v>34394</v>
      </c>
      <c r="EJ27" s="303">
        <v>42979</v>
      </c>
      <c r="EK27" s="330"/>
      <c r="EL27" s="361">
        <v>718082.4</v>
      </c>
      <c r="EM27" s="361">
        <v>62.6</v>
      </c>
      <c r="EN27" s="303">
        <v>47373</v>
      </c>
      <c r="EO27" s="361">
        <v>3115050.1</v>
      </c>
      <c r="EP27" s="303">
        <v>2825517</v>
      </c>
      <c r="EQ27" s="303">
        <v>398</v>
      </c>
      <c r="ER27" s="303">
        <v>980</v>
      </c>
      <c r="ES27" s="303">
        <v>409071</v>
      </c>
      <c r="ET27" s="303">
        <v>7061921</v>
      </c>
      <c r="EU27" s="303">
        <v>453919</v>
      </c>
      <c r="EV27" s="136">
        <v>156202</v>
      </c>
      <c r="EW27" s="303">
        <v>134778</v>
      </c>
      <c r="EX27" s="303">
        <v>219543.9</v>
      </c>
      <c r="EY27" s="303">
        <v>1704340.2</v>
      </c>
      <c r="EZ27" s="303">
        <v>821770.1</v>
      </c>
      <c r="FA27" s="383">
        <v>764152</v>
      </c>
      <c r="FB27" s="104">
        <v>33127.599999999999</v>
      </c>
      <c r="FC27" s="393">
        <v>2406</v>
      </c>
      <c r="FD27" s="303">
        <f t="shared" si="80"/>
        <v>3965.17</v>
      </c>
      <c r="FE27" s="538">
        <v>0</v>
      </c>
      <c r="FF27" s="123">
        <v>0</v>
      </c>
      <c r="FG27" s="105">
        <f t="shared" si="77"/>
        <v>0</v>
      </c>
      <c r="FH27" s="123">
        <v>1375</v>
      </c>
      <c r="FI27" s="123">
        <v>496</v>
      </c>
      <c r="FJ27" s="105">
        <f t="shared" si="78"/>
        <v>0</v>
      </c>
      <c r="FK27" s="123">
        <v>801.57</v>
      </c>
      <c r="FL27" s="123">
        <v>966.6</v>
      </c>
      <c r="FM27" s="123">
        <v>326</v>
      </c>
      <c r="FN27" s="80">
        <v>1600</v>
      </c>
      <c r="FO27" s="333">
        <v>0</v>
      </c>
      <c r="FP27" s="487" t="s">
        <v>305</v>
      </c>
      <c r="FY27" s="119">
        <v>22</v>
      </c>
      <c r="FZ27" s="107"/>
      <c r="GA27" s="107"/>
      <c r="GB27" s="107"/>
      <c r="GC27" s="109"/>
      <c r="GD27" s="110"/>
      <c r="GE27" s="110"/>
      <c r="GF27" s="111"/>
      <c r="GG27" s="111"/>
      <c r="GH27" s="111"/>
      <c r="GI27" s="112"/>
      <c r="GJ27" s="111" t="e">
        <f t="shared" si="61"/>
        <v>#DIV/0!</v>
      </c>
      <c r="GK27" s="113"/>
    </row>
    <row r="28" spans="1:193" ht="15" customHeight="1">
      <c r="B28" s="351">
        <v>43001</v>
      </c>
      <c r="D28" s="86">
        <v>3848.4</v>
      </c>
      <c r="E28" s="86">
        <v>3900</v>
      </c>
      <c r="F28" s="86">
        <v>2619.864</v>
      </c>
      <c r="G28" s="86">
        <v>0</v>
      </c>
      <c r="H28" s="86">
        <v>4741.9570000000003</v>
      </c>
      <c r="I28" s="86">
        <v>1693.7719999999999</v>
      </c>
      <c r="J28" s="86">
        <v>3649.7999999999997</v>
      </c>
      <c r="K28" s="363">
        <v>0</v>
      </c>
      <c r="L28" s="284">
        <v>0</v>
      </c>
      <c r="M28" s="115">
        <f t="shared" si="62"/>
        <v>5343.5720000000001</v>
      </c>
      <c r="N28" s="88">
        <f t="shared" si="18"/>
        <v>15110.221</v>
      </c>
      <c r="O28" s="88">
        <f t="shared" si="19"/>
        <v>17782.006999999998</v>
      </c>
      <c r="P28" s="89">
        <f t="shared" si="20"/>
        <v>397434.56849999999</v>
      </c>
      <c r="R28" s="170">
        <f t="shared" si="21"/>
        <v>248.5</v>
      </c>
      <c r="S28" s="170">
        <f t="shared" si="22"/>
        <v>98.336999999999534</v>
      </c>
      <c r="T28" s="170">
        <f t="shared" si="1"/>
        <v>629.29999999999995</v>
      </c>
      <c r="U28" s="170">
        <f t="shared" si="74"/>
        <v>6.1699999999997086</v>
      </c>
      <c r="V28" s="170">
        <f t="shared" si="23"/>
        <v>908</v>
      </c>
      <c r="W28" s="170">
        <f t="shared" si="2"/>
        <v>81.5</v>
      </c>
      <c r="X28" s="170">
        <f t="shared" si="24"/>
        <v>908</v>
      </c>
      <c r="Y28" s="170" t="str">
        <f t="shared" si="25"/>
        <v>0</v>
      </c>
      <c r="Z28" s="170">
        <f t="shared" si="3"/>
        <v>108.9</v>
      </c>
      <c r="AA28" s="501">
        <f t="shared" si="26"/>
        <v>1890.3069999999993</v>
      </c>
      <c r="AB28" s="170">
        <f t="shared" si="27"/>
        <v>0</v>
      </c>
      <c r="AC28" s="170">
        <f t="shared" si="27"/>
        <v>0</v>
      </c>
      <c r="AD28" s="501">
        <f t="shared" si="28"/>
        <v>149</v>
      </c>
      <c r="AE28" s="501">
        <f t="shared" si="29"/>
        <v>149</v>
      </c>
      <c r="AF28" s="170">
        <f t="shared" si="30"/>
        <v>113</v>
      </c>
      <c r="AG28" s="170">
        <f t="shared" si="30"/>
        <v>39.30000000000291</v>
      </c>
      <c r="AH28" s="501">
        <f t="shared" si="31"/>
        <v>199</v>
      </c>
      <c r="AI28" s="501">
        <f t="shared" si="32"/>
        <v>46.69999999999709</v>
      </c>
      <c r="AJ28" s="170">
        <f t="shared" si="33"/>
        <v>145</v>
      </c>
      <c r="AK28" s="170">
        <f t="shared" si="33"/>
        <v>135.69999999999709</v>
      </c>
      <c r="AL28" s="501">
        <f t="shared" si="34"/>
        <v>399</v>
      </c>
      <c r="AM28" s="501">
        <f t="shared" si="35"/>
        <v>118.30000000000291</v>
      </c>
      <c r="AN28" s="170">
        <f t="shared" si="36"/>
        <v>0</v>
      </c>
      <c r="AO28" s="501">
        <f t="shared" si="4"/>
        <v>0</v>
      </c>
      <c r="AP28" s="170">
        <f t="shared" si="37"/>
        <v>47.200000000011642</v>
      </c>
      <c r="AQ28" s="501">
        <f t="shared" si="5"/>
        <v>47.200000000011642</v>
      </c>
      <c r="AR28" s="170">
        <f t="shared" si="38"/>
        <v>70.352999999999994</v>
      </c>
      <c r="AS28" s="501">
        <f t="shared" si="39"/>
        <v>99.352999999999952</v>
      </c>
      <c r="AT28" s="501">
        <f t="shared" si="40"/>
        <v>711.35299999999995</v>
      </c>
      <c r="AU28" s="170">
        <f t="shared" si="63"/>
        <v>319</v>
      </c>
      <c r="AV28" s="501">
        <f t="shared" si="64"/>
        <v>15</v>
      </c>
      <c r="AW28" s="170">
        <f t="shared" si="65"/>
        <v>293</v>
      </c>
      <c r="AX28" s="501">
        <f t="shared" si="66"/>
        <v>41</v>
      </c>
      <c r="AY28" s="501" t="str">
        <f t="shared" si="66"/>
        <v/>
      </c>
      <c r="AZ28" s="170">
        <f t="shared" si="41"/>
        <v>379</v>
      </c>
      <c r="BA28" s="170">
        <v>67</v>
      </c>
      <c r="BB28" s="170">
        <f t="shared" si="42"/>
        <v>148.5</v>
      </c>
      <c r="BC28" s="170">
        <f t="shared" si="42"/>
        <v>1132.6999999999534</v>
      </c>
      <c r="BD28" s="170">
        <f t="shared" si="43"/>
        <v>367</v>
      </c>
      <c r="BE28" s="90"/>
      <c r="BF28" s="90"/>
      <c r="BG28" s="501">
        <f t="shared" si="44"/>
        <v>2027.1999999999534</v>
      </c>
      <c r="BH28" s="501">
        <f t="shared" si="45"/>
        <v>5311</v>
      </c>
      <c r="BI28" s="90">
        <f t="shared" si="6"/>
        <v>-3639.059999999964</v>
      </c>
      <c r="BJ28" s="90">
        <f t="shared" si="46"/>
        <v>5479.059999999964</v>
      </c>
      <c r="BK28" s="92"/>
      <c r="BL28" s="331">
        <f t="shared" si="67"/>
        <v>7151</v>
      </c>
      <c r="BM28" s="93">
        <f t="shared" si="47"/>
        <v>134694.47999999998</v>
      </c>
      <c r="BN28" s="92"/>
      <c r="BO28" s="94">
        <f t="shared" si="48"/>
        <v>0.16445821672628086</v>
      </c>
      <c r="BP28" s="94">
        <f t="shared" si="48"/>
        <v>6.5079789369063196E-2</v>
      </c>
      <c r="BQ28" s="94">
        <f t="shared" si="49"/>
        <v>0.41647306151246893</v>
      </c>
      <c r="BR28" s="94">
        <f t="shared" si="68"/>
        <v>0.60091774964773848</v>
      </c>
      <c r="BS28" s="94">
        <f t="shared" si="79"/>
        <v>0</v>
      </c>
      <c r="BT28" s="94">
        <f t="shared" si="79"/>
        <v>7.2070421736386253E-2</v>
      </c>
      <c r="BU28" s="95">
        <f t="shared" si="79"/>
        <v>1.2510121460169241</v>
      </c>
      <c r="BV28" s="94">
        <f t="shared" si="8"/>
        <v>0.13974800482307764</v>
      </c>
      <c r="BW28" s="94">
        <f t="shared" si="8"/>
        <v>5.5301406640993644E-2</v>
      </c>
      <c r="BX28" s="94">
        <f t="shared" si="8"/>
        <v>0.3538970601012586</v>
      </c>
      <c r="BY28" s="94">
        <f t="shared" si="50"/>
        <v>0.51062852466541042</v>
      </c>
      <c r="BZ28" s="95">
        <f t="shared" si="9"/>
        <v>1.0630447957871119</v>
      </c>
      <c r="CA28" s="96" t="e">
        <f>#REF!</f>
        <v>#REF!</v>
      </c>
      <c r="CB28" s="94">
        <f t="shared" si="51"/>
        <v>3.9564150435887242E-2</v>
      </c>
      <c r="CC28" s="95">
        <f t="shared" si="51"/>
        <v>5.5872770717051212E-2</v>
      </c>
      <c r="CD28" s="97">
        <f t="shared" si="10"/>
        <v>0.13165912239977304</v>
      </c>
      <c r="CE28" s="98">
        <f t="shared" si="10"/>
        <v>0.18592993600535362</v>
      </c>
      <c r="CF28" s="97">
        <f t="shared" si="52"/>
        <v>0</v>
      </c>
      <c r="CG28" s="94">
        <f t="shared" si="52"/>
        <v>0</v>
      </c>
      <c r="CH28" s="95">
        <f t="shared" si="53"/>
        <v>0.38717389044797834</v>
      </c>
      <c r="CI28" s="96" t="e">
        <f>#REF!</f>
        <v>#REF!</v>
      </c>
      <c r="CJ28" s="94">
        <f t="shared" si="54"/>
        <v>0.28974358974358971</v>
      </c>
      <c r="CK28" s="94">
        <f t="shared" si="54"/>
        <v>0.10076923076923823</v>
      </c>
      <c r="CL28" s="95">
        <f t="shared" si="69"/>
        <v>0.51025641025641022</v>
      </c>
      <c r="CM28" s="95" t="e">
        <f>#REF!</f>
        <v>#REF!</v>
      </c>
      <c r="CN28" s="94">
        <f t="shared" si="55"/>
        <v>0.55346384392472281</v>
      </c>
      <c r="CO28" s="94">
        <f t="shared" si="55"/>
        <v>0.51796581807298814</v>
      </c>
      <c r="CP28" s="95">
        <f t="shared" si="56"/>
        <v>1.5229798187997545</v>
      </c>
      <c r="CQ28" s="95" t="e">
        <f>#REF!</f>
        <v>#REF!</v>
      </c>
      <c r="CR28" s="97" t="str">
        <f t="shared" si="70"/>
        <v xml:space="preserve">0,00 </v>
      </c>
      <c r="CS28" s="95" t="str">
        <f t="shared" si="70"/>
        <v xml:space="preserve">0,00 </v>
      </c>
      <c r="CT28" s="96" t="e">
        <f>#REF!</f>
        <v>#REF!</v>
      </c>
      <c r="CU28" s="97">
        <f t="shared" si="71"/>
        <v>9.953696332550388E-2</v>
      </c>
      <c r="CV28" s="95">
        <f t="shared" si="57"/>
        <v>9.953696332550388E-2</v>
      </c>
      <c r="CW28" s="96" t="e">
        <f>#REF!</f>
        <v>#REF!</v>
      </c>
      <c r="CX28" s="99">
        <f t="shared" si="81"/>
        <v>0.17939482309280388</v>
      </c>
      <c r="CY28" s="95">
        <f t="shared" si="81"/>
        <v>8.4354932488779257E-3</v>
      </c>
      <c r="CZ28" s="99">
        <f t="shared" si="81"/>
        <v>0.1647733014614155</v>
      </c>
      <c r="DA28" s="95">
        <f t="shared" si="81"/>
        <v>2.3057014880266329E-2</v>
      </c>
      <c r="DB28" s="94">
        <f t="shared" si="11"/>
        <v>0.21313679608831559</v>
      </c>
      <c r="DC28" s="94">
        <f t="shared" si="12"/>
        <v>8.3511383163891464E-2</v>
      </c>
      <c r="DD28" s="94">
        <f t="shared" si="12"/>
        <v>0.63699221353357549</v>
      </c>
      <c r="DE28" s="94">
        <f t="shared" si="12"/>
        <v>0.20638840148921325</v>
      </c>
      <c r="DF28" s="94">
        <f t="shared" si="12"/>
        <v>0</v>
      </c>
      <c r="DG28" s="94">
        <f t="shared" si="12"/>
        <v>0</v>
      </c>
      <c r="DH28" s="95">
        <f t="shared" si="12"/>
        <v>1.140028794274996</v>
      </c>
      <c r="DI28" s="96" t="e">
        <f>#REF!</f>
        <v>#REF!</v>
      </c>
      <c r="DJ28" s="95">
        <f t="shared" si="59"/>
        <v>2.9867269763193778</v>
      </c>
      <c r="DK28" s="96" t="e">
        <f>#REF!</f>
        <v>#REF!</v>
      </c>
      <c r="DL28" s="95">
        <f t="shared" si="60"/>
        <v>-2.0464844041507604</v>
      </c>
      <c r="DM28" s="96">
        <f t="shared" si="13"/>
        <v>0</v>
      </c>
      <c r="DN28" s="94">
        <f t="shared" si="14"/>
        <v>3.0812382426797855</v>
      </c>
      <c r="DO28" s="100">
        <v>3.4</v>
      </c>
      <c r="DP28" s="94">
        <f>IF($O28&lt;&gt;0,IF($O28&lt;&gt;0,BL28/$O28*10,0)," ")</f>
        <v>4.0214808148484034</v>
      </c>
      <c r="DQ28" s="94">
        <f t="shared" si="73"/>
        <v>3.3890982485082946</v>
      </c>
      <c r="DR28" s="101">
        <f t="shared" si="15"/>
        <v>3.17</v>
      </c>
      <c r="DS28" s="173"/>
      <c r="DT28" s="103">
        <v>23</v>
      </c>
      <c r="DU28" s="473">
        <f>DU27</f>
        <v>636010</v>
      </c>
      <c r="DV28" s="361">
        <f>DV27</f>
        <v>29585</v>
      </c>
      <c r="DW28" s="330">
        <v>5152851</v>
      </c>
      <c r="DX28" s="364">
        <v>121653</v>
      </c>
      <c r="DY28" s="330">
        <v>87118.8</v>
      </c>
      <c r="DZ28" s="330">
        <v>405224</v>
      </c>
      <c r="EA28" s="381">
        <v>241144</v>
      </c>
      <c r="EB28" s="475">
        <v>56015.5</v>
      </c>
      <c r="EC28" s="104">
        <v>422112</v>
      </c>
      <c r="ED28" s="361">
        <f>ED27</f>
        <v>48237.7</v>
      </c>
      <c r="EE28" s="303">
        <v>40804</v>
      </c>
      <c r="EF28" s="389">
        <f>EF27</f>
        <v>43168.1</v>
      </c>
      <c r="EG28" s="330">
        <v>94773.1</v>
      </c>
      <c r="EH28" s="330">
        <v>187083.7</v>
      </c>
      <c r="EI28" s="330">
        <v>34409</v>
      </c>
      <c r="EJ28" s="104">
        <v>43020</v>
      </c>
      <c r="EK28" s="104"/>
      <c r="EL28" s="330">
        <v>718330.9</v>
      </c>
      <c r="EM28" s="330">
        <v>6293</v>
      </c>
      <c r="EN28" s="105">
        <v>47434.7</v>
      </c>
      <c r="EO28" s="330">
        <v>3115958.1</v>
      </c>
      <c r="EP28" s="105">
        <v>2826332</v>
      </c>
      <c r="EQ28" s="105">
        <v>0</v>
      </c>
      <c r="ER28" s="105">
        <v>1089</v>
      </c>
      <c r="ES28" s="104">
        <v>409712</v>
      </c>
      <c r="ET28" s="104">
        <v>7132274</v>
      </c>
      <c r="EU28" s="104">
        <v>454212</v>
      </c>
      <c r="EV28" s="104">
        <v>156521</v>
      </c>
      <c r="EW28" s="105">
        <v>135157</v>
      </c>
      <c r="EX28" s="330">
        <v>219692.4</v>
      </c>
      <c r="EY28" s="330">
        <v>1705472.9</v>
      </c>
      <c r="EZ28" s="388">
        <v>822753.47</v>
      </c>
      <c r="FA28" s="387">
        <v>764519</v>
      </c>
      <c r="FB28" s="386">
        <v>33182.199999999997</v>
      </c>
      <c r="FC28" s="394">
        <v>1840</v>
      </c>
      <c r="FD28" s="383">
        <f t="shared" si="80"/>
        <v>5551</v>
      </c>
      <c r="FE28" s="121">
        <v>391</v>
      </c>
      <c r="FF28" s="536">
        <v>0</v>
      </c>
      <c r="FG28" s="105">
        <f t="shared" si="77"/>
        <v>964</v>
      </c>
      <c r="FH28" s="123">
        <v>1482</v>
      </c>
      <c r="FI28" s="496">
        <v>549</v>
      </c>
      <c r="FJ28" s="105">
        <f t="shared" si="78"/>
        <v>0</v>
      </c>
      <c r="FK28" s="496">
        <v>842</v>
      </c>
      <c r="FL28" s="496">
        <v>970</v>
      </c>
      <c r="FM28" s="496">
        <v>353</v>
      </c>
      <c r="FN28" s="80">
        <v>1600</v>
      </c>
      <c r="FO28" s="455">
        <v>0</v>
      </c>
      <c r="FP28" s="487" t="s">
        <v>305</v>
      </c>
      <c r="FR28" s="64"/>
      <c r="FS28" s="64"/>
      <c r="FT28" s="64"/>
      <c r="FU28" s="64"/>
      <c r="FV28" s="64"/>
      <c r="FW28" s="64"/>
      <c r="FX28" s="64"/>
      <c r="FY28" s="64">
        <v>23</v>
      </c>
      <c r="FZ28" s="107"/>
      <c r="GA28" s="107"/>
      <c r="GB28" s="107"/>
      <c r="GC28" s="109"/>
      <c r="GD28" s="110"/>
      <c r="GE28" s="110"/>
      <c r="GF28" s="111"/>
      <c r="GG28" s="111"/>
      <c r="GH28" s="111"/>
      <c r="GI28" s="112"/>
      <c r="GJ28" s="111" t="e">
        <f t="shared" si="61"/>
        <v>#DIV/0!</v>
      </c>
      <c r="GK28" s="118"/>
    </row>
    <row r="29" spans="1:193" ht="15" customHeight="1">
      <c r="B29" s="351">
        <v>43002</v>
      </c>
      <c r="D29" s="86">
        <v>0</v>
      </c>
      <c r="E29" s="86">
        <v>2677.44</v>
      </c>
      <c r="F29" s="86">
        <v>1820.808</v>
      </c>
      <c r="G29" s="86">
        <v>0</v>
      </c>
      <c r="H29" s="86">
        <v>8529.6649999999991</v>
      </c>
      <c r="I29" s="86">
        <v>2303.384</v>
      </c>
      <c r="J29" s="86">
        <v>4783.2</v>
      </c>
      <c r="K29" s="284">
        <v>0</v>
      </c>
      <c r="L29" s="284">
        <v>0</v>
      </c>
      <c r="M29" s="115">
        <f t="shared" si="62"/>
        <v>7086.5839999999998</v>
      </c>
      <c r="N29" s="88">
        <f t="shared" si="18"/>
        <v>13027.912999999999</v>
      </c>
      <c r="O29" s="88">
        <f t="shared" si="19"/>
        <v>16571.204999999998</v>
      </c>
      <c r="P29" s="89">
        <f t="shared" si="20"/>
        <v>414005.77350000001</v>
      </c>
      <c r="R29" s="170">
        <f t="shared" si="21"/>
        <v>188.5</v>
      </c>
      <c r="S29" s="170">
        <f t="shared" si="22"/>
        <v>76.353000000002794</v>
      </c>
      <c r="T29" s="170">
        <f t="shared" si="1"/>
        <v>410.4</v>
      </c>
      <c r="U29" s="170">
        <f t="shared" si="74"/>
        <v>4.0300000000002907</v>
      </c>
      <c r="V29" s="170">
        <f t="shared" si="23"/>
        <v>875.60000000009313</v>
      </c>
      <c r="W29" s="170">
        <f t="shared" si="2"/>
        <v>77.8</v>
      </c>
      <c r="X29" s="170">
        <f t="shared" si="24"/>
        <v>875.60000000009313</v>
      </c>
      <c r="Y29" s="170">
        <f t="shared" si="25"/>
        <v>18.100000000000001</v>
      </c>
      <c r="Z29" s="170">
        <f t="shared" si="3"/>
        <v>123.8</v>
      </c>
      <c r="AA29" s="501">
        <f t="shared" si="26"/>
        <v>1554.8830000000962</v>
      </c>
      <c r="AB29" s="170">
        <f t="shared" si="27"/>
        <v>146</v>
      </c>
      <c r="AC29" s="170">
        <f t="shared" si="27"/>
        <v>51</v>
      </c>
      <c r="AD29" s="501">
        <f t="shared" si="28"/>
        <v>175</v>
      </c>
      <c r="AE29" s="501">
        <f t="shared" si="29"/>
        <v>-22</v>
      </c>
      <c r="AF29" s="170">
        <f t="shared" si="30"/>
        <v>0</v>
      </c>
      <c r="AG29" s="170">
        <f t="shared" si="30"/>
        <v>6.3999999999941792</v>
      </c>
      <c r="AH29" s="501">
        <f t="shared" si="31"/>
        <v>35</v>
      </c>
      <c r="AI29" s="501">
        <f t="shared" si="32"/>
        <v>28.600000000005821</v>
      </c>
      <c r="AJ29" s="170">
        <f t="shared" si="33"/>
        <v>131</v>
      </c>
      <c r="AK29" s="170">
        <f t="shared" si="33"/>
        <v>26.5</v>
      </c>
      <c r="AL29" s="501">
        <f t="shared" si="34"/>
        <v>277</v>
      </c>
      <c r="AM29" s="501">
        <f t="shared" si="35"/>
        <v>119.5</v>
      </c>
      <c r="AN29" s="170">
        <f t="shared" si="36"/>
        <v>74.100000000005821</v>
      </c>
      <c r="AO29" s="501">
        <f>IF(AN29="","",(EE29-EE28)+(EF29-43040.7))</f>
        <v>143.30000000000291</v>
      </c>
      <c r="AP29" s="170">
        <f t="shared" si="37"/>
        <v>33.899999999994179</v>
      </c>
      <c r="AQ29" s="501">
        <f t="shared" si="5"/>
        <v>33.899999999994179</v>
      </c>
      <c r="AR29" s="170">
        <f t="shared" si="38"/>
        <v>96.894000000000005</v>
      </c>
      <c r="AS29" s="501">
        <f t="shared" si="39"/>
        <v>132.89400000000001</v>
      </c>
      <c r="AT29" s="501">
        <f t="shared" si="40"/>
        <v>948.89400000000001</v>
      </c>
      <c r="AU29" s="170">
        <f t="shared" si="63"/>
        <v>268</v>
      </c>
      <c r="AV29" s="501">
        <f t="shared" si="64"/>
        <v>40</v>
      </c>
      <c r="AW29" s="170">
        <f t="shared" si="65"/>
        <v>548</v>
      </c>
      <c r="AX29" s="501">
        <f t="shared" si="66"/>
        <v>32</v>
      </c>
      <c r="AY29" s="501" t="str">
        <f t="shared" si="66"/>
        <v/>
      </c>
      <c r="AZ29" s="170">
        <f t="shared" si="41"/>
        <v>373</v>
      </c>
      <c r="BA29" s="170">
        <v>0</v>
      </c>
      <c r="BB29" s="170">
        <f t="shared" si="42"/>
        <v>147.39999999999418</v>
      </c>
      <c r="BC29" s="170">
        <f t="shared" si="42"/>
        <v>650.30000000004657</v>
      </c>
      <c r="BD29" s="170">
        <f t="shared" si="43"/>
        <v>290</v>
      </c>
      <c r="BE29" s="90"/>
      <c r="BF29" s="90"/>
      <c r="BG29" s="501">
        <f t="shared" si="44"/>
        <v>1460.7000000000407</v>
      </c>
      <c r="BH29" s="501">
        <f t="shared" si="45"/>
        <v>2504</v>
      </c>
      <c r="BI29" s="90">
        <f t="shared" si="6"/>
        <v>-183.67700000013429</v>
      </c>
      <c r="BJ29" s="90">
        <f t="shared" si="46"/>
        <v>4700.6770000001343</v>
      </c>
      <c r="BK29" s="92"/>
      <c r="BL29" s="331">
        <f>FD29+FN29</f>
        <v>7021</v>
      </c>
      <c r="BM29" s="93">
        <f t="shared" si="47"/>
        <v>141715.47999999998</v>
      </c>
      <c r="BN29" s="92"/>
      <c r="BO29" s="94">
        <f t="shared" si="48"/>
        <v>0.14468932974913173</v>
      </c>
      <c r="BP29" s="94">
        <f t="shared" si="48"/>
        <v>5.8607238166237988E-2</v>
      </c>
      <c r="BQ29" s="94">
        <f t="shared" si="49"/>
        <v>0.31501592004797696</v>
      </c>
      <c r="BR29" s="94">
        <f t="shared" si="68"/>
        <v>0.6720953693811843</v>
      </c>
      <c r="BS29" s="94">
        <f t="shared" si="79"/>
        <v>1.3893245986521405E-2</v>
      </c>
      <c r="BT29" s="94">
        <f t="shared" si="79"/>
        <v>9.5026732217201648E-2</v>
      </c>
      <c r="BU29" s="95">
        <f t="shared" si="79"/>
        <v>1.1935012154288229</v>
      </c>
      <c r="BV29" s="94">
        <f t="shared" si="8"/>
        <v>0.11375153466510132</v>
      </c>
      <c r="BW29" s="94">
        <f t="shared" si="8"/>
        <v>4.6075707831749593E-2</v>
      </c>
      <c r="BX29" s="94">
        <f t="shared" si="8"/>
        <v>0.24765851366874048</v>
      </c>
      <c r="BY29" s="94">
        <f t="shared" si="50"/>
        <v>0.52838643900675486</v>
      </c>
      <c r="BZ29" s="95">
        <f t="shared" si="9"/>
        <v>0.93830412453415213</v>
      </c>
      <c r="CA29" s="96" t="e">
        <f>#REF!</f>
        <v>#REF!</v>
      </c>
      <c r="CB29" s="94">
        <f t="shared" si="51"/>
        <v>5.8471306099948689E-2</v>
      </c>
      <c r="CC29" s="95">
        <f t="shared" si="51"/>
        <v>8.0195737123522418E-2</v>
      </c>
      <c r="CD29" s="97">
        <f t="shared" si="10"/>
        <v>0.13672878216077028</v>
      </c>
      <c r="CE29" s="98">
        <f t="shared" si="10"/>
        <v>0.18752899845680232</v>
      </c>
      <c r="CF29" s="97" t="str">
        <f t="shared" si="52"/>
        <v>0,00</v>
      </c>
      <c r="CG29" s="94" t="str">
        <f t="shared" si="52"/>
        <v>0,00</v>
      </c>
      <c r="CH29" s="95" t="str">
        <f t="shared" si="53"/>
        <v xml:space="preserve">0,00 </v>
      </c>
      <c r="CI29" s="96" t="e">
        <f>#REF!</f>
        <v>#REF!</v>
      </c>
      <c r="CJ29" s="94">
        <f t="shared" si="54"/>
        <v>0</v>
      </c>
      <c r="CK29" s="94">
        <f t="shared" si="54"/>
        <v>2.3903430142203669E-2</v>
      </c>
      <c r="CL29" s="95">
        <f t="shared" si="69"/>
        <v>0.13072188359029518</v>
      </c>
      <c r="CM29" s="95" t="e">
        <f>#REF!</f>
        <v>#REF!</v>
      </c>
      <c r="CN29" s="94">
        <f t="shared" si="55"/>
        <v>0.71946081080487345</v>
      </c>
      <c r="CO29" s="94">
        <f t="shared" si="55"/>
        <v>0.14553978233839043</v>
      </c>
      <c r="CP29" s="95">
        <f t="shared" si="56"/>
        <v>1.5213026304805339</v>
      </c>
      <c r="CQ29" s="95" t="e">
        <f>#REF!</f>
        <v>#REF!</v>
      </c>
      <c r="CR29" s="97" t="str">
        <f t="shared" si="70"/>
        <v xml:space="preserve">0,00 </v>
      </c>
      <c r="CS29" s="95" t="str">
        <f t="shared" si="70"/>
        <v xml:space="preserve">0,00 </v>
      </c>
      <c r="CT29" s="96" t="e">
        <f>#REF!</f>
        <v>#REF!</v>
      </c>
      <c r="CU29" s="97">
        <f t="shared" si="71"/>
        <v>3.974364761100721E-2</v>
      </c>
      <c r="CV29" s="95">
        <f t="shared" si="57"/>
        <v>3.974364761100721E-2</v>
      </c>
      <c r="CW29" s="96" t="e">
        <f>#REF!</f>
        <v>#REF!</v>
      </c>
      <c r="CX29" s="99">
        <f t="shared" si="81"/>
        <v>0.16172631984215996</v>
      </c>
      <c r="CY29" s="95">
        <f t="shared" si="81"/>
        <v>2.4138256692859697E-2</v>
      </c>
      <c r="CZ29" s="99">
        <f t="shared" si="81"/>
        <v>0.33069411669217785</v>
      </c>
      <c r="DA29" s="95">
        <f t="shared" si="81"/>
        <v>1.9310605354287757E-2</v>
      </c>
      <c r="DB29" s="94">
        <f t="shared" si="11"/>
        <v>0.22508924366091668</v>
      </c>
      <c r="DC29" s="94">
        <f t="shared" si="12"/>
        <v>8.8949475913184459E-2</v>
      </c>
      <c r="DD29" s="94">
        <f t="shared" si="12"/>
        <v>0.39242770818419459</v>
      </c>
      <c r="DE29" s="94">
        <f t="shared" si="12"/>
        <v>0.1750023610232328</v>
      </c>
      <c r="DF29" s="94">
        <f t="shared" si="12"/>
        <v>0</v>
      </c>
      <c r="DG29" s="94">
        <f t="shared" si="12"/>
        <v>0</v>
      </c>
      <c r="DH29" s="95">
        <f t="shared" si="12"/>
        <v>0.88146878878152857</v>
      </c>
      <c r="DI29" s="96" t="e">
        <f>#REF!</f>
        <v>#REF!</v>
      </c>
      <c r="DJ29" s="95">
        <f t="shared" si="59"/>
        <v>1.5110548689730168</v>
      </c>
      <c r="DK29" s="96" t="e">
        <f>#REF!</f>
        <v>#REF!</v>
      </c>
      <c r="DL29" s="95">
        <f t="shared" si="60"/>
        <v>-0.11084106436444079</v>
      </c>
      <c r="DM29" s="96">
        <f t="shared" si="13"/>
        <v>0</v>
      </c>
      <c r="DN29" s="94">
        <f t="shared" si="14"/>
        <v>2.8366537014056221</v>
      </c>
      <c r="DO29" s="100">
        <v>3.4</v>
      </c>
      <c r="DP29" s="94">
        <f t="shared" si="72"/>
        <v>4.2368675060141978</v>
      </c>
      <c r="DQ29" s="94">
        <f>IF($P29&lt;&gt;0,IF($P29&lt;&gt;0,BM29/$P29*10,0)," ")</f>
        <v>3.4230314906465908</v>
      </c>
      <c r="DR29" s="101">
        <f t="shared" si="15"/>
        <v>3.17</v>
      </c>
      <c r="DS29" s="178"/>
      <c r="DT29" s="103">
        <v>24</v>
      </c>
      <c r="DU29" s="330">
        <v>636156</v>
      </c>
      <c r="DV29" s="330">
        <v>29636</v>
      </c>
      <c r="DW29" s="330">
        <v>5152880</v>
      </c>
      <c r="DX29" s="330">
        <f>DX28</f>
        <v>121653</v>
      </c>
      <c r="DY29" s="330">
        <v>87125.2</v>
      </c>
      <c r="DZ29" s="330">
        <v>405259</v>
      </c>
      <c r="EA29" s="330">
        <v>241275</v>
      </c>
      <c r="EB29" s="330">
        <v>56042</v>
      </c>
      <c r="EC29" s="330">
        <v>422258</v>
      </c>
      <c r="ED29" s="330">
        <v>48311.8</v>
      </c>
      <c r="EE29" s="330">
        <v>40804</v>
      </c>
      <c r="EF29" s="330">
        <v>43184</v>
      </c>
      <c r="EG29" s="330">
        <v>94807</v>
      </c>
      <c r="EH29" s="330">
        <v>187117.5</v>
      </c>
      <c r="EI29" s="330">
        <v>34449</v>
      </c>
      <c r="EJ29" s="330">
        <v>43052</v>
      </c>
      <c r="EK29" s="330"/>
      <c r="EL29" s="330">
        <v>718519.4</v>
      </c>
      <c r="EM29" s="330">
        <v>4104</v>
      </c>
      <c r="EN29" s="330">
        <v>47475</v>
      </c>
      <c r="EO29" s="330">
        <v>3116833.7</v>
      </c>
      <c r="EP29" s="330">
        <v>2827110</v>
      </c>
      <c r="EQ29" s="330">
        <v>181</v>
      </c>
      <c r="ER29" s="330">
        <v>1238</v>
      </c>
      <c r="ES29" s="330">
        <v>410564</v>
      </c>
      <c r="ET29" s="330">
        <v>7229168</v>
      </c>
      <c r="EU29" s="330">
        <v>454760</v>
      </c>
      <c r="EV29" s="330">
        <v>156789</v>
      </c>
      <c r="EW29" s="330">
        <v>135530</v>
      </c>
      <c r="EX29" s="330">
        <v>219839.8</v>
      </c>
      <c r="EY29" s="330">
        <v>1706123.2</v>
      </c>
      <c r="EZ29" s="457">
        <v>823517</v>
      </c>
      <c r="FA29" s="387">
        <v>764809</v>
      </c>
      <c r="FB29" s="387">
        <v>33182</v>
      </c>
      <c r="FC29" s="385">
        <v>4517</v>
      </c>
      <c r="FD29" s="383">
        <f t="shared" si="80"/>
        <v>5421</v>
      </c>
      <c r="FE29" s="121">
        <v>500</v>
      </c>
      <c r="FF29" s="537">
        <v>0</v>
      </c>
      <c r="FG29" s="105">
        <f>FG62-FG61</f>
        <v>1011</v>
      </c>
      <c r="FH29" s="123">
        <v>1418</v>
      </c>
      <c r="FI29" s="123">
        <v>304</v>
      </c>
      <c r="FJ29" s="105">
        <f t="shared" si="78"/>
        <v>0</v>
      </c>
      <c r="FK29" s="123">
        <v>849</v>
      </c>
      <c r="FL29" s="123">
        <v>957</v>
      </c>
      <c r="FM29" s="123">
        <v>382</v>
      </c>
      <c r="FN29" s="80">
        <v>1600</v>
      </c>
      <c r="FO29" s="389">
        <v>0</v>
      </c>
      <c r="FP29" s="487" t="s">
        <v>305</v>
      </c>
      <c r="FR29" s="64"/>
      <c r="FS29" s="64"/>
      <c r="FT29" s="64"/>
      <c r="FU29" s="64"/>
      <c r="FV29" s="64"/>
      <c r="FW29" s="64"/>
      <c r="FX29" s="64"/>
      <c r="FY29" s="64">
        <v>24</v>
      </c>
      <c r="FZ29" s="107"/>
      <c r="GA29" s="107"/>
      <c r="GB29" s="107"/>
      <c r="GC29" s="109"/>
      <c r="GD29" s="110"/>
      <c r="GE29" s="110"/>
      <c r="GF29" s="111"/>
      <c r="GG29" s="111"/>
      <c r="GH29" s="111"/>
      <c r="GI29" s="179"/>
      <c r="GJ29" s="111" t="e">
        <f t="shared" si="61"/>
        <v>#DIV/0!</v>
      </c>
      <c r="GK29" s="113"/>
    </row>
    <row r="30" spans="1:193" ht="15" customHeight="1">
      <c r="B30" s="351">
        <v>43003</v>
      </c>
      <c r="D30" s="86">
        <v>3264</v>
      </c>
      <c r="E30" s="86">
        <v>0</v>
      </c>
      <c r="F30" s="86">
        <v>3269.4480000000003</v>
      </c>
      <c r="G30" s="86">
        <v>4065.5309999999999</v>
      </c>
      <c r="H30" s="86">
        <v>6551.9210000000003</v>
      </c>
      <c r="I30" s="86">
        <v>1907.13</v>
      </c>
      <c r="J30" s="86">
        <v>8034.3600000000006</v>
      </c>
      <c r="K30" s="284">
        <v>13.158000000000001</v>
      </c>
      <c r="L30" s="284">
        <v>0</v>
      </c>
      <c r="M30" s="115">
        <f t="shared" si="62"/>
        <v>9941.4900000000016</v>
      </c>
      <c r="N30" s="88">
        <f t="shared" si="18"/>
        <v>17150.900000000001</v>
      </c>
      <c r="O30" s="88">
        <f t="shared" si="19"/>
        <v>22121.645000000004</v>
      </c>
      <c r="P30" s="89">
        <f t="shared" si="20"/>
        <v>436127.41850000003</v>
      </c>
      <c r="R30" s="170">
        <f t="shared" si="21"/>
        <v>256</v>
      </c>
      <c r="S30" s="170">
        <f t="shared" si="22"/>
        <v>31.79000000000233</v>
      </c>
      <c r="T30" s="170">
        <f t="shared" si="1"/>
        <v>418.1</v>
      </c>
      <c r="U30" s="170">
        <f t="shared" si="74"/>
        <v>5.2300000000002909</v>
      </c>
      <c r="V30" s="170">
        <f t="shared" si="23"/>
        <v>914</v>
      </c>
      <c r="W30" s="170">
        <f>IF(EP30=0,"",(EP30-EP29)/10)</f>
        <v>81.099999999999994</v>
      </c>
      <c r="X30" s="170">
        <f t="shared" si="24"/>
        <v>914</v>
      </c>
      <c r="Y30" s="170" t="str">
        <f t="shared" si="25"/>
        <v>0</v>
      </c>
      <c r="Z30" s="170">
        <f t="shared" si="3"/>
        <v>149</v>
      </c>
      <c r="AA30" s="501">
        <f t="shared" si="26"/>
        <v>1625.1200000000026</v>
      </c>
      <c r="AB30" s="170">
        <f t="shared" si="27"/>
        <v>133</v>
      </c>
      <c r="AC30" s="170">
        <f t="shared" si="27"/>
        <v>27</v>
      </c>
      <c r="AD30" s="501">
        <f t="shared" si="28"/>
        <v>350</v>
      </c>
      <c r="AE30" s="501">
        <f t="shared" si="29"/>
        <v>190</v>
      </c>
      <c r="AF30" s="170">
        <f>IF(DX30=0,"",(DX30-DX29))</f>
        <v>47</v>
      </c>
      <c r="AG30" s="170">
        <f t="shared" si="30"/>
        <v>73.600000000005821</v>
      </c>
      <c r="AH30" s="501">
        <f t="shared" si="31"/>
        <v>211</v>
      </c>
      <c r="AI30" s="501">
        <f t="shared" si="32"/>
        <v>90.399999999994179</v>
      </c>
      <c r="AJ30" s="170">
        <f>IF(EA30=0,"",(EA30-EA29))</f>
        <v>194</v>
      </c>
      <c r="AK30" s="170">
        <f t="shared" si="33"/>
        <v>19.80000000000291</v>
      </c>
      <c r="AL30" s="501">
        <f t="shared" si="34"/>
        <v>346</v>
      </c>
      <c r="AM30" s="501">
        <f t="shared" si="35"/>
        <v>132.19999999999709</v>
      </c>
      <c r="AN30" s="170">
        <f t="shared" si="36"/>
        <v>2.1999999999970896</v>
      </c>
      <c r="AO30" s="501">
        <f t="shared" si="4"/>
        <v>28.80000000000291</v>
      </c>
      <c r="AP30" s="170">
        <f t="shared" si="37"/>
        <v>42</v>
      </c>
      <c r="AQ30" s="501">
        <f>IF(AP30=0.1,0,(IF(AP30&gt;=(EH30-EH29),(AP30),(EH30-EH29))))</f>
        <v>42</v>
      </c>
      <c r="AR30" s="170">
        <f t="shared" si="38"/>
        <v>88.739000000000004</v>
      </c>
      <c r="AS30" s="501">
        <f t="shared" si="39"/>
        <v>142.73900000000003</v>
      </c>
      <c r="AT30" s="501">
        <f t="shared" si="40"/>
        <v>932.73900000000003</v>
      </c>
      <c r="AU30" s="170">
        <f t="shared" si="63"/>
        <v>211</v>
      </c>
      <c r="AV30" s="501">
        <f t="shared" si="64"/>
        <v>21</v>
      </c>
      <c r="AW30" s="170">
        <f t="shared" si="65"/>
        <v>579</v>
      </c>
      <c r="AX30" s="501">
        <f t="shared" si="66"/>
        <v>29</v>
      </c>
      <c r="AY30" s="501" t="str">
        <f t="shared" si="66"/>
        <v/>
      </c>
      <c r="AZ30" s="170">
        <f t="shared" si="41"/>
        <v>218</v>
      </c>
      <c r="BA30" s="170">
        <v>125</v>
      </c>
      <c r="BB30" s="170">
        <f t="shared" si="42"/>
        <v>282.40000000002328</v>
      </c>
      <c r="BC30" s="170">
        <f t="shared" si="42"/>
        <v>967.69999999995343</v>
      </c>
      <c r="BD30" s="170">
        <f t="shared" si="43"/>
        <v>279</v>
      </c>
      <c r="BE30" s="90"/>
      <c r="BF30" s="90"/>
      <c r="BG30" s="501">
        <f t="shared" si="44"/>
        <v>1747.0999999999767</v>
      </c>
      <c r="BH30" s="501">
        <f t="shared" si="45"/>
        <v>4618</v>
      </c>
      <c r="BI30" s="90">
        <f t="shared" si="6"/>
        <v>-3274.7589999999818</v>
      </c>
      <c r="BJ30" s="90">
        <f t="shared" si="46"/>
        <v>5332.7589999999818</v>
      </c>
      <c r="BK30" s="92"/>
      <c r="BL30" s="331">
        <f t="shared" si="67"/>
        <v>6676</v>
      </c>
      <c r="BM30" s="93">
        <f t="shared" si="47"/>
        <v>148391.47999999998</v>
      </c>
      <c r="BN30" s="92"/>
      <c r="BO30" s="94">
        <f t="shared" si="48"/>
        <v>0.14926330396655568</v>
      </c>
      <c r="BP30" s="94">
        <f t="shared" si="48"/>
        <v>1.8535470441785752E-2</v>
      </c>
      <c r="BQ30" s="94">
        <f t="shared" si="49"/>
        <v>0.24377729448600366</v>
      </c>
      <c r="BR30" s="94">
        <f t="shared" si="68"/>
        <v>0.53291663994309335</v>
      </c>
      <c r="BS30" s="94">
        <f t="shared" si="79"/>
        <v>0</v>
      </c>
      <c r="BT30" s="94">
        <f t="shared" si="79"/>
        <v>8.6875907386784357E-2</v>
      </c>
      <c r="BU30" s="95">
        <f t="shared" si="79"/>
        <v>0.94754211149269285</v>
      </c>
      <c r="BV30" s="94">
        <f t="shared" si="8"/>
        <v>0.1157237628575994</v>
      </c>
      <c r="BW30" s="94">
        <f t="shared" si="8"/>
        <v>1.4370540707981853E-2</v>
      </c>
      <c r="BX30" s="94">
        <f t="shared" si="8"/>
        <v>0.18900041113579027</v>
      </c>
      <c r="BY30" s="94">
        <f t="shared" si="50"/>
        <v>0.41316999707752289</v>
      </c>
      <c r="BZ30" s="95">
        <f t="shared" si="9"/>
        <v>0.73462891209039938</v>
      </c>
      <c r="CA30" s="96" t="e">
        <f>#REF!</f>
        <v>#REF!</v>
      </c>
      <c r="CB30" s="94">
        <f t="shared" si="51"/>
        <v>4.0114105438361386E-2</v>
      </c>
      <c r="CC30" s="95">
        <f t="shared" si="51"/>
        <v>6.4524586666136266E-2</v>
      </c>
      <c r="CD30" s="97">
        <f t="shared" si="10"/>
        <v>8.9261267677179165E-2</v>
      </c>
      <c r="CE30" s="98">
        <f t="shared" si="10"/>
        <v>0.14357908120412535</v>
      </c>
      <c r="CF30" s="97">
        <f t="shared" si="52"/>
        <v>0.40747549019607843</v>
      </c>
      <c r="CG30" s="94">
        <f t="shared" si="52"/>
        <v>8.2720588235294115E-2</v>
      </c>
      <c r="CH30" s="95">
        <f t="shared" si="53"/>
        <v>1.0723039215686274</v>
      </c>
      <c r="CI30" s="96" t="e">
        <f>#REF!</f>
        <v>#REF!</v>
      </c>
      <c r="CJ30" s="94" t="str">
        <f t="shared" si="54"/>
        <v>0,00</v>
      </c>
      <c r="CK30" s="94" t="str">
        <f t="shared" si="54"/>
        <v>0,00</v>
      </c>
      <c r="CL30" s="95" t="str">
        <f t="shared" si="69"/>
        <v xml:space="preserve">0,00 </v>
      </c>
      <c r="CM30" s="95" t="e">
        <f>#REF!</f>
        <v>#REF!</v>
      </c>
      <c r="CN30" s="94">
        <f t="shared" si="55"/>
        <v>0.59337233685931068</v>
      </c>
      <c r="CO30" s="94">
        <f t="shared" si="55"/>
        <v>6.056068180317567E-2</v>
      </c>
      <c r="CP30" s="95">
        <f t="shared" si="56"/>
        <v>1.0582826214088739</v>
      </c>
      <c r="CQ30" s="95" t="e">
        <f>#REF!</f>
        <v>#REF!</v>
      </c>
      <c r="CR30" s="97">
        <f t="shared" si="70"/>
        <v>5.4113472508193631E-3</v>
      </c>
      <c r="CS30" s="95">
        <f t="shared" si="70"/>
        <v>7.0839454919917999E-2</v>
      </c>
      <c r="CT30" s="96" t="e">
        <f>#REF!</f>
        <v>#REF!</v>
      </c>
      <c r="CU30" s="97">
        <f t="shared" si="71"/>
        <v>6.4103337021310228E-2</v>
      </c>
      <c r="CV30" s="95">
        <f t="shared" si="57"/>
        <v>6.4103337021310228E-2</v>
      </c>
      <c r="CW30" s="96" t="e">
        <f>#REF!</f>
        <v>#REF!</v>
      </c>
      <c r="CX30" s="99">
        <f t="shared" si="81"/>
        <v>9.5381695167787009E-2</v>
      </c>
      <c r="CY30" s="95">
        <f t="shared" si="81"/>
        <v>9.4929649219124505E-3</v>
      </c>
      <c r="CZ30" s="99">
        <f t="shared" si="81"/>
        <v>0.26173460427558615</v>
      </c>
      <c r="DA30" s="95">
        <f t="shared" si="81"/>
        <v>1.3109332511212431E-2</v>
      </c>
      <c r="DB30" s="94">
        <f t="shared" si="11"/>
        <v>9.8546016808424494E-2</v>
      </c>
      <c r="DC30" s="94">
        <f t="shared" si="12"/>
        <v>0.12765777590229987</v>
      </c>
      <c r="DD30" s="94">
        <f t="shared" si="12"/>
        <v>0.43744486452067793</v>
      </c>
      <c r="DE30" s="94">
        <f t="shared" si="12"/>
        <v>0.12612081967683686</v>
      </c>
      <c r="DF30" s="94">
        <f t="shared" si="12"/>
        <v>0</v>
      </c>
      <c r="DG30" s="94">
        <f t="shared" si="12"/>
        <v>0</v>
      </c>
      <c r="DH30" s="95">
        <f t="shared" si="12"/>
        <v>0.78976947690823918</v>
      </c>
      <c r="DI30" s="96" t="e">
        <f>#REF!</f>
        <v>#REF!</v>
      </c>
      <c r="DJ30" s="95">
        <f t="shared" si="59"/>
        <v>2.0875481909234144</v>
      </c>
      <c r="DK30" s="96" t="e">
        <f>#REF!</f>
        <v>#REF!</v>
      </c>
      <c r="DL30" s="95">
        <f t="shared" si="60"/>
        <v>-1.4803415387960439</v>
      </c>
      <c r="DM30" s="96">
        <f t="shared" si="13"/>
        <v>0</v>
      </c>
      <c r="DN30" s="94">
        <f t="shared" si="14"/>
        <v>2.4106521011434641</v>
      </c>
      <c r="DO30" s="100">
        <v>3.4</v>
      </c>
      <c r="DP30" s="94">
        <f>IF($O30&lt;&gt;0,IF($O30&lt;&gt;0,BL30/$O30*10,0)," ")</f>
        <v>3.0178587532708345</v>
      </c>
      <c r="DQ30" s="94">
        <f>IF($P30&lt;&gt;0,IF($P30&lt;&gt;0,BM30/$P30*10,0)," ")</f>
        <v>3.402479956668901</v>
      </c>
      <c r="DR30" s="101">
        <f t="shared" si="15"/>
        <v>3.17</v>
      </c>
      <c r="DT30" s="103">
        <v>25</v>
      </c>
      <c r="DU30" s="330">
        <v>636289</v>
      </c>
      <c r="DV30" s="330">
        <v>29663</v>
      </c>
      <c r="DW30" s="330">
        <v>5153097</v>
      </c>
      <c r="DX30" s="330">
        <v>121700</v>
      </c>
      <c r="DY30" s="330">
        <v>87198.8</v>
      </c>
      <c r="DZ30" s="330">
        <v>405423</v>
      </c>
      <c r="EA30" s="330">
        <v>241469</v>
      </c>
      <c r="EB30" s="330">
        <v>56061.8</v>
      </c>
      <c r="EC30" s="330">
        <v>422410</v>
      </c>
      <c r="ED30" s="330">
        <v>48314</v>
      </c>
      <c r="EE30" s="330">
        <v>40828</v>
      </c>
      <c r="EF30" s="330">
        <v>43188.800000000003</v>
      </c>
      <c r="EG30" s="330">
        <v>94849</v>
      </c>
      <c r="EH30" s="330">
        <v>187152.6</v>
      </c>
      <c r="EI30" s="330">
        <v>34470</v>
      </c>
      <c r="EJ30" s="330">
        <v>43081</v>
      </c>
      <c r="EK30" s="330"/>
      <c r="EL30" s="330">
        <v>718775.4</v>
      </c>
      <c r="EM30" s="330">
        <v>4181</v>
      </c>
      <c r="EN30" s="330">
        <v>47527.3</v>
      </c>
      <c r="EO30" s="330">
        <v>3117747.7</v>
      </c>
      <c r="EP30" s="330">
        <v>2827921</v>
      </c>
      <c r="EQ30" s="330">
        <v>0</v>
      </c>
      <c r="ER30" s="330">
        <v>1490</v>
      </c>
      <c r="ES30" s="330">
        <v>411408</v>
      </c>
      <c r="ET30" s="104">
        <v>7317907</v>
      </c>
      <c r="EU30" s="330">
        <v>455339</v>
      </c>
      <c r="EV30" s="136">
        <v>157000</v>
      </c>
      <c r="EW30" s="330">
        <v>135748</v>
      </c>
      <c r="EX30" s="330">
        <v>220122.2</v>
      </c>
      <c r="EY30" s="330">
        <v>1707090.9</v>
      </c>
      <c r="EZ30" s="330">
        <v>823834.9</v>
      </c>
      <c r="FA30" s="385">
        <v>765088</v>
      </c>
      <c r="FB30" s="387">
        <v>33315.300000000003</v>
      </c>
      <c r="FC30" s="378">
        <v>2058</v>
      </c>
      <c r="FD30" s="383">
        <f t="shared" si="80"/>
        <v>5176</v>
      </c>
      <c r="FE30" s="136">
        <v>1000</v>
      </c>
      <c r="FF30" s="536">
        <v>0</v>
      </c>
      <c r="FG30" s="105">
        <f t="shared" ref="FG30:FG35" si="82">FG63-FG62</f>
        <v>709</v>
      </c>
      <c r="FH30" s="496">
        <v>1109</v>
      </c>
      <c r="FI30" s="496">
        <v>358</v>
      </c>
      <c r="FJ30" s="105">
        <f t="shared" si="78"/>
        <v>0</v>
      </c>
      <c r="FK30" s="496">
        <v>780</v>
      </c>
      <c r="FL30" s="496">
        <v>947</v>
      </c>
      <c r="FM30" s="496">
        <v>273</v>
      </c>
      <c r="FN30" s="80">
        <v>1500</v>
      </c>
      <c r="FO30" s="104">
        <v>0</v>
      </c>
      <c r="FP30" s="487"/>
      <c r="FR30" s="64"/>
      <c r="FS30" s="64"/>
      <c r="FT30" s="64"/>
      <c r="FU30" s="64"/>
      <c r="FV30" s="64"/>
      <c r="FW30" s="64"/>
      <c r="FX30" s="64"/>
      <c r="FY30" s="64">
        <v>25</v>
      </c>
      <c r="FZ30" s="107"/>
      <c r="GA30" s="107"/>
      <c r="GB30" s="180"/>
      <c r="GC30" s="109"/>
      <c r="GD30" s="110"/>
      <c r="GE30" s="110"/>
      <c r="GF30" s="111"/>
      <c r="GG30" s="111"/>
      <c r="GH30" s="111"/>
      <c r="GI30" s="164"/>
      <c r="GJ30" s="111" t="e">
        <f t="shared" si="61"/>
        <v>#DIV/0!</v>
      </c>
    </row>
    <row r="31" spans="1:193" ht="15" customHeight="1">
      <c r="B31" s="351">
        <v>43004</v>
      </c>
      <c r="D31" s="86">
        <v>5990.64</v>
      </c>
      <c r="E31" s="86">
        <v>3216</v>
      </c>
      <c r="F31" s="86">
        <v>2911.9679999999998</v>
      </c>
      <c r="G31" s="86">
        <v>5436.143</v>
      </c>
      <c r="H31" s="86">
        <v>4390.2719999999999</v>
      </c>
      <c r="I31" s="86">
        <v>472.33199999999999</v>
      </c>
      <c r="J31" s="86">
        <v>6079.92</v>
      </c>
      <c r="K31" s="284">
        <v>0</v>
      </c>
      <c r="L31" s="284">
        <v>0</v>
      </c>
      <c r="M31" s="115">
        <f t="shared" si="62"/>
        <v>6552.2520000000004</v>
      </c>
      <c r="N31" s="88">
        <f t="shared" si="18"/>
        <v>21945.023000000001</v>
      </c>
      <c r="O31" s="88">
        <f t="shared" si="19"/>
        <v>25221.149000000001</v>
      </c>
      <c r="P31" s="89">
        <f t="shared" si="20"/>
        <v>461348.5675</v>
      </c>
      <c r="R31" s="170">
        <f t="shared" si="21"/>
        <v>211.40000000002328</v>
      </c>
      <c r="S31" s="170">
        <f t="shared" si="22"/>
        <v>132.42999999999302</v>
      </c>
      <c r="T31" s="170">
        <f t="shared" si="1"/>
        <v>344.5</v>
      </c>
      <c r="U31" s="170">
        <f t="shared" si="74"/>
        <v>4.9299999999995636</v>
      </c>
      <c r="V31" s="170">
        <f t="shared" si="23"/>
        <v>1030.1999999997206</v>
      </c>
      <c r="W31" s="170">
        <f t="shared" si="2"/>
        <v>91.6</v>
      </c>
      <c r="X31" s="170">
        <f t="shared" si="24"/>
        <v>1030.1999999997206</v>
      </c>
      <c r="Y31" s="170" t="str">
        <f t="shared" si="25"/>
        <v>0</v>
      </c>
      <c r="Z31" s="170">
        <f t="shared" si="3"/>
        <v>128.30000000000001</v>
      </c>
      <c r="AA31" s="501">
        <f t="shared" si="26"/>
        <v>1723.4599999997365</v>
      </c>
      <c r="AB31" s="170">
        <f t="shared" si="27"/>
        <v>199</v>
      </c>
      <c r="AC31" s="170">
        <f t="shared" si="27"/>
        <v>14</v>
      </c>
      <c r="AD31" s="501">
        <f t="shared" si="28"/>
        <v>400</v>
      </c>
      <c r="AE31" s="501">
        <f t="shared" si="29"/>
        <v>187</v>
      </c>
      <c r="AF31" s="170">
        <f>IF(DX31=0,"",(DX31-DX30))</f>
        <v>65</v>
      </c>
      <c r="AG31" s="170">
        <f t="shared" si="30"/>
        <v>35</v>
      </c>
      <c r="AH31" s="501">
        <f t="shared" si="31"/>
        <v>150</v>
      </c>
      <c r="AI31" s="501">
        <f t="shared" si="32"/>
        <v>50</v>
      </c>
      <c r="AJ31" s="170">
        <f t="shared" si="33"/>
        <v>165</v>
      </c>
      <c r="AK31" s="170">
        <f t="shared" si="33"/>
        <v>7.5</v>
      </c>
      <c r="AL31" s="501">
        <f t="shared" si="34"/>
        <v>340</v>
      </c>
      <c r="AM31" s="501">
        <f t="shared" si="35"/>
        <v>167.5</v>
      </c>
      <c r="AN31" s="170">
        <f t="shared" si="36"/>
        <v>11.400000000001455</v>
      </c>
      <c r="AO31" s="501">
        <f t="shared" si="4"/>
        <v>49.599999999998545</v>
      </c>
      <c r="AP31" s="170">
        <f t="shared" si="37"/>
        <v>32.69999999999709</v>
      </c>
      <c r="AQ31" s="501">
        <f t="shared" si="5"/>
        <v>40.899999999994179</v>
      </c>
      <c r="AR31" s="170">
        <f t="shared" si="38"/>
        <v>93.846999999999994</v>
      </c>
      <c r="AS31" s="501">
        <f t="shared" si="39"/>
        <v>-40.15300000000002</v>
      </c>
      <c r="AT31" s="501">
        <f t="shared" si="40"/>
        <v>829.84699999999998</v>
      </c>
      <c r="AU31" s="170">
        <f t="shared" si="63"/>
        <v>297</v>
      </c>
      <c r="AV31" s="501">
        <f t="shared" si="64"/>
        <v>71</v>
      </c>
      <c r="AW31" s="170">
        <f t="shared" si="65"/>
        <v>573</v>
      </c>
      <c r="AX31" s="501">
        <f t="shared" si="66"/>
        <v>30</v>
      </c>
      <c r="AY31" s="501" t="str">
        <f t="shared" si="66"/>
        <v/>
      </c>
      <c r="AZ31" s="170">
        <f t="shared" si="41"/>
        <v>301</v>
      </c>
      <c r="BA31" s="170">
        <v>29</v>
      </c>
      <c r="BB31" s="170">
        <f t="shared" si="42"/>
        <v>311</v>
      </c>
      <c r="BC31" s="170">
        <f t="shared" si="42"/>
        <v>804.5</v>
      </c>
      <c r="BD31" s="170">
        <f t="shared" si="43"/>
        <v>289</v>
      </c>
      <c r="BE31" s="90"/>
      <c r="BF31" s="90"/>
      <c r="BG31" s="501">
        <f t="shared" si="44"/>
        <v>1705.5</v>
      </c>
      <c r="BH31" s="501">
        <f t="shared" si="45"/>
        <v>3825</v>
      </c>
      <c r="BI31" s="90">
        <f t="shared" si="6"/>
        <v>-2848.3069999997288</v>
      </c>
      <c r="BJ31" s="90">
        <f t="shared" si="46"/>
        <v>5340.3069999997288</v>
      </c>
      <c r="BK31" s="92"/>
      <c r="BL31" s="331">
        <f t="shared" si="67"/>
        <v>6317</v>
      </c>
      <c r="BM31" s="93">
        <f t="shared" si="47"/>
        <v>154708.47999999998</v>
      </c>
      <c r="BN31" s="92"/>
      <c r="BO31" s="94">
        <f t="shared" si="48"/>
        <v>9.6331637474257048E-2</v>
      </c>
      <c r="BP31" s="94">
        <f t="shared" si="48"/>
        <v>6.0346257098929906E-2</v>
      </c>
      <c r="BQ31" s="94">
        <f t="shared" si="49"/>
        <v>0.15698320297955484</v>
      </c>
      <c r="BR31" s="94">
        <f t="shared" si="68"/>
        <v>0.46944585111609155</v>
      </c>
      <c r="BS31" s="94">
        <f t="shared" si="79"/>
        <v>0</v>
      </c>
      <c r="BT31" s="94">
        <f t="shared" si="79"/>
        <v>5.846428139993292E-2</v>
      </c>
      <c r="BU31" s="95">
        <f t="shared" si="79"/>
        <v>0.78535347171872938</v>
      </c>
      <c r="BV31" s="94">
        <f t="shared" si="8"/>
        <v>8.3818544508033041E-2</v>
      </c>
      <c r="BW31" s="94">
        <f t="shared" si="8"/>
        <v>5.2507520573306557E-2</v>
      </c>
      <c r="BX31" s="94">
        <f t="shared" si="8"/>
        <v>0.13659171515143897</v>
      </c>
      <c r="BY31" s="94">
        <f t="shared" si="50"/>
        <v>0.40846671973577436</v>
      </c>
      <c r="BZ31" s="95">
        <f t="shared" si="9"/>
        <v>0.68333920869336151</v>
      </c>
      <c r="CA31" s="96" t="e">
        <f>#REF!</f>
        <v>#REF!</v>
      </c>
      <c r="CB31" s="94">
        <f t="shared" si="51"/>
        <v>3.720964496899011E-2</v>
      </c>
      <c r="CC31" s="95">
        <f t="shared" si="51"/>
        <v>-1.5920369052179192E-2</v>
      </c>
      <c r="CD31" s="97">
        <f t="shared" si="10"/>
        <v>0.14322861819111962</v>
      </c>
      <c r="CE31" s="98">
        <f t="shared" si="10"/>
        <v>-6.1281220563555887E-2</v>
      </c>
      <c r="CF31" s="97">
        <f t="shared" si="52"/>
        <v>0.33218487507177863</v>
      </c>
      <c r="CG31" s="94">
        <f t="shared" si="52"/>
        <v>2.3369790206054779E-2</v>
      </c>
      <c r="CH31" s="95">
        <f t="shared" si="53"/>
        <v>0.66770829160156508</v>
      </c>
      <c r="CI31" s="96" t="e">
        <f>#REF!</f>
        <v>#REF!</v>
      </c>
      <c r="CJ31" s="94">
        <f t="shared" si="54"/>
        <v>0.20211442786069653</v>
      </c>
      <c r="CK31" s="94">
        <f t="shared" si="54"/>
        <v>0.10883084577114428</v>
      </c>
      <c r="CL31" s="95">
        <f t="shared" si="69"/>
        <v>0.46641791044776121</v>
      </c>
      <c r="CM31" s="95" t="e">
        <f>#REF!</f>
        <v>#REF!</v>
      </c>
      <c r="CN31" s="94">
        <f t="shared" si="55"/>
        <v>0.5666271057923713</v>
      </c>
      <c r="CO31" s="94">
        <f t="shared" si="55"/>
        <v>2.5755777536016877E-2</v>
      </c>
      <c r="CP31" s="95">
        <f t="shared" si="56"/>
        <v>1.1675952482994318</v>
      </c>
      <c r="CQ31" s="95" t="e">
        <f>#REF!</f>
        <v>#REF!</v>
      </c>
      <c r="CR31" s="97">
        <f t="shared" si="70"/>
        <v>2.0970750769436077E-2</v>
      </c>
      <c r="CS31" s="98">
        <f t="shared" si="70"/>
        <v>9.1241161242444413E-2</v>
      </c>
      <c r="CT31" s="96" t="e">
        <f>#REF!</f>
        <v>#REF!</v>
      </c>
      <c r="CU31" s="97">
        <f t="shared" si="71"/>
        <v>7.4482856643044187E-2</v>
      </c>
      <c r="CV31" s="95">
        <f t="shared" si="57"/>
        <v>9.31605148838026E-2</v>
      </c>
      <c r="CW31" s="96" t="e">
        <f>#REF!</f>
        <v>#REF!</v>
      </c>
      <c r="CX31" s="99">
        <f t="shared" si="81"/>
        <v>0.1177583146588603</v>
      </c>
      <c r="CY31" s="95">
        <f t="shared" si="81"/>
        <v>2.8150977578380747E-2</v>
      </c>
      <c r="CZ31" s="99">
        <f t="shared" si="81"/>
        <v>0.22719028383679107</v>
      </c>
      <c r="DA31" s="95">
        <f t="shared" si="81"/>
        <v>1.1894779258470737E-2</v>
      </c>
      <c r="DB31" s="94">
        <f t="shared" si="11"/>
        <v>0.11934428522665641</v>
      </c>
      <c r="DC31" s="94">
        <f t="shared" si="12"/>
        <v>0.12330921164614664</v>
      </c>
      <c r="DD31" s="94">
        <f t="shared" si="12"/>
        <v>0.31897833044799029</v>
      </c>
      <c r="DE31" s="94">
        <f t="shared" si="12"/>
        <v>0.11458637352326811</v>
      </c>
      <c r="DF31" s="94">
        <f t="shared" si="12"/>
        <v>0</v>
      </c>
      <c r="DG31" s="94">
        <f t="shared" si="12"/>
        <v>0</v>
      </c>
      <c r="DH31" s="95">
        <f t="shared" si="12"/>
        <v>0.67621820084406148</v>
      </c>
      <c r="DI31" s="96" t="e">
        <f>#REF!</f>
        <v>#REF!</v>
      </c>
      <c r="DJ31" s="95">
        <f t="shared" si="59"/>
        <v>1.5165843554550191</v>
      </c>
      <c r="DK31" s="96" t="e">
        <f>#REF!</f>
        <v>#REF!</v>
      </c>
      <c r="DL31" s="95">
        <f t="shared" si="60"/>
        <v>-1.1293327675117928</v>
      </c>
      <c r="DM31" s="96">
        <f t="shared" si="13"/>
        <v>0</v>
      </c>
      <c r="DN31" s="94">
        <f t="shared" si="14"/>
        <v>2.1173924312487622</v>
      </c>
      <c r="DO31" s="100">
        <v>3.4</v>
      </c>
      <c r="DP31" s="94">
        <f t="shared" si="72"/>
        <v>2.5046440191919883</v>
      </c>
      <c r="DQ31" s="94">
        <f t="shared" si="73"/>
        <v>3.353396778456454</v>
      </c>
      <c r="DR31" s="101">
        <f t="shared" si="15"/>
        <v>3.17</v>
      </c>
      <c r="DT31" s="182">
        <v>26</v>
      </c>
      <c r="DU31" s="183">
        <v>636488</v>
      </c>
      <c r="DV31" s="135">
        <v>29677</v>
      </c>
      <c r="DW31" s="135">
        <v>5153298</v>
      </c>
      <c r="DX31" s="135">
        <v>121765</v>
      </c>
      <c r="DY31" s="135">
        <v>87233.8</v>
      </c>
      <c r="DZ31" s="135">
        <v>405508</v>
      </c>
      <c r="EA31" s="136">
        <v>241634</v>
      </c>
      <c r="EB31" s="136">
        <v>56069.3</v>
      </c>
      <c r="EC31" s="136">
        <v>422585</v>
      </c>
      <c r="ED31" s="136">
        <v>48325.4</v>
      </c>
      <c r="EE31" s="136">
        <v>40861.800000000003</v>
      </c>
      <c r="EF31" s="136">
        <v>43204.6</v>
      </c>
      <c r="EG31" s="135">
        <v>94881.7</v>
      </c>
      <c r="EH31" s="135">
        <v>187193.5</v>
      </c>
      <c r="EI31" s="135">
        <v>34541</v>
      </c>
      <c r="EJ31" s="136">
        <v>43111</v>
      </c>
      <c r="EK31" s="136"/>
      <c r="EL31" s="135">
        <v>718986.8</v>
      </c>
      <c r="EM31" s="135">
        <v>3445</v>
      </c>
      <c r="EN31" s="136">
        <v>47576.6</v>
      </c>
      <c r="EO31" s="135">
        <v>3118777.9</v>
      </c>
      <c r="EP31" s="139">
        <v>2828837</v>
      </c>
      <c r="EQ31" s="139">
        <v>0</v>
      </c>
      <c r="ER31" s="139">
        <v>1283</v>
      </c>
      <c r="ES31" s="373">
        <v>412144</v>
      </c>
      <c r="ET31" s="136">
        <v>7411754</v>
      </c>
      <c r="EU31" s="136">
        <v>455912</v>
      </c>
      <c r="EV31" s="136">
        <v>157297</v>
      </c>
      <c r="EW31" s="136">
        <v>136049</v>
      </c>
      <c r="EX31" s="135">
        <v>220433.2</v>
      </c>
      <c r="EY31" s="135">
        <v>1707895.4</v>
      </c>
      <c r="EZ31" s="136">
        <v>825159.2</v>
      </c>
      <c r="FA31" s="145">
        <v>765377</v>
      </c>
      <c r="FB31" s="145">
        <v>31862</v>
      </c>
      <c r="FC31" s="140">
        <v>2492</v>
      </c>
      <c r="FD31" s="383">
        <f t="shared" ref="FD31:FD36" si="83">SUM(FE31:FM31)</f>
        <v>4817</v>
      </c>
      <c r="FE31" s="136">
        <v>1000</v>
      </c>
      <c r="FF31" s="536">
        <v>0</v>
      </c>
      <c r="FG31" s="105">
        <f t="shared" si="82"/>
        <v>176</v>
      </c>
      <c r="FH31" s="532">
        <f>2045-1205</f>
        <v>840</v>
      </c>
      <c r="FI31" s="496">
        <v>707</v>
      </c>
      <c r="FJ31" s="105">
        <f t="shared" si="78"/>
        <v>0</v>
      </c>
      <c r="FK31" s="496">
        <v>831</v>
      </c>
      <c r="FL31" s="496">
        <v>939</v>
      </c>
      <c r="FM31" s="496">
        <v>324</v>
      </c>
      <c r="FN31" s="526">
        <v>1500</v>
      </c>
      <c r="FO31" s="529">
        <v>1116950</v>
      </c>
      <c r="FP31" s="530" t="s">
        <v>306</v>
      </c>
      <c r="FQ31" s="185"/>
      <c r="FR31" s="64"/>
      <c r="FS31" s="64"/>
      <c r="FT31" s="64"/>
      <c r="FU31" s="64"/>
      <c r="FV31" s="64"/>
      <c r="FW31" s="64"/>
      <c r="FX31" s="64"/>
      <c r="FY31" s="64">
        <v>26</v>
      </c>
      <c r="FZ31" s="107"/>
      <c r="GA31" s="107"/>
      <c r="GB31" s="180"/>
      <c r="GC31" s="109"/>
      <c r="GD31" s="110"/>
      <c r="GE31" s="110"/>
      <c r="GF31" s="111"/>
      <c r="GG31" s="111"/>
      <c r="GH31" s="111"/>
      <c r="GI31" s="112"/>
      <c r="GJ31" s="111" t="e">
        <f t="shared" si="61"/>
        <v>#DIV/0!</v>
      </c>
      <c r="GK31" s="118"/>
    </row>
    <row r="32" spans="1:193" s="119" customFormat="1" ht="15" customHeight="1">
      <c r="B32" s="351">
        <v>43005</v>
      </c>
      <c r="D32" s="86">
        <v>2200.6799999999998</v>
      </c>
      <c r="E32" s="86">
        <v>4535.16</v>
      </c>
      <c r="F32" s="86">
        <v>2646.9360000000001</v>
      </c>
      <c r="G32" s="86">
        <v>4873.4399999999996</v>
      </c>
      <c r="H32" s="86">
        <v>7916.7139999999999</v>
      </c>
      <c r="I32" s="86">
        <v>1497.1949999999999</v>
      </c>
      <c r="J32" s="86">
        <v>4983.6000000000004</v>
      </c>
      <c r="K32" s="284">
        <v>6.2089999999999996</v>
      </c>
      <c r="L32" s="284">
        <v>103.36</v>
      </c>
      <c r="M32" s="115">
        <f t="shared" si="62"/>
        <v>6480.7950000000001</v>
      </c>
      <c r="N32" s="88">
        <f t="shared" si="18"/>
        <v>22172.93</v>
      </c>
      <c r="O32" s="88">
        <f t="shared" si="19"/>
        <v>25516.6875</v>
      </c>
      <c r="P32" s="89">
        <f t="shared" si="20"/>
        <v>486865.255</v>
      </c>
      <c r="R32" s="170">
        <f t="shared" si="21"/>
        <v>233.79999999993015</v>
      </c>
      <c r="S32" s="170">
        <f t="shared" si="22"/>
        <v>3.2</v>
      </c>
      <c r="T32" s="170">
        <f t="shared" si="1"/>
        <v>393.6</v>
      </c>
      <c r="U32" s="170">
        <f t="shared" si="74"/>
        <v>4.9400000000001452</v>
      </c>
      <c r="V32" s="170">
        <f t="shared" si="23"/>
        <v>838.3000000002794</v>
      </c>
      <c r="W32" s="170">
        <f t="shared" si="2"/>
        <v>74.400000000000006</v>
      </c>
      <c r="X32" s="170">
        <f t="shared" si="24"/>
        <v>838.3000000002794</v>
      </c>
      <c r="Y32" s="170">
        <f t="shared" si="25"/>
        <v>35</v>
      </c>
      <c r="Z32" s="170">
        <f t="shared" si="3"/>
        <v>150.30000000000001</v>
      </c>
      <c r="AA32" s="501">
        <f t="shared" si="26"/>
        <v>1473.8400000002098</v>
      </c>
      <c r="AB32" s="170">
        <f t="shared" si="27"/>
        <v>79</v>
      </c>
      <c r="AC32" s="170">
        <f t="shared" si="27"/>
        <v>44</v>
      </c>
      <c r="AD32" s="501">
        <f t="shared" si="28"/>
        <v>357</v>
      </c>
      <c r="AE32" s="501">
        <f t="shared" si="29"/>
        <v>234</v>
      </c>
      <c r="AF32" s="170">
        <f>IF(DX32=0,"",(DX32-DX31))</f>
        <v>103</v>
      </c>
      <c r="AG32" s="170">
        <f t="shared" si="30"/>
        <v>13.30000000000291</v>
      </c>
      <c r="AH32" s="501">
        <f t="shared" si="31"/>
        <v>156</v>
      </c>
      <c r="AI32" s="501">
        <f t="shared" si="32"/>
        <v>39.69999999999709</v>
      </c>
      <c r="AJ32" s="170">
        <f>IF(EA32=0,"",(EA32-EA31))</f>
        <v>151</v>
      </c>
      <c r="AK32" s="170">
        <f t="shared" si="33"/>
        <v>12.19999999999709</v>
      </c>
      <c r="AL32" s="501">
        <f t="shared" si="34"/>
        <v>304</v>
      </c>
      <c r="AM32" s="501">
        <f t="shared" si="35"/>
        <v>140.80000000000291</v>
      </c>
      <c r="AN32" s="170">
        <f t="shared" si="36"/>
        <v>18.400000000001455</v>
      </c>
      <c r="AO32" s="501">
        <f t="shared" si="4"/>
        <v>54.5</v>
      </c>
      <c r="AP32" s="170">
        <f t="shared" si="37"/>
        <v>26.400000000008731</v>
      </c>
      <c r="AQ32" s="501">
        <f t="shared" si="5"/>
        <v>33.100000000005821</v>
      </c>
      <c r="AR32" s="170">
        <f t="shared" si="38"/>
        <v>89.25</v>
      </c>
      <c r="AS32" s="501">
        <f t="shared" si="39"/>
        <v>52.25</v>
      </c>
      <c r="AT32" s="501">
        <f t="shared" si="40"/>
        <v>809.25</v>
      </c>
      <c r="AU32" s="170">
        <f t="shared" si="63"/>
        <v>247</v>
      </c>
      <c r="AV32" s="501">
        <f t="shared" si="64"/>
        <v>42</v>
      </c>
      <c r="AW32" s="170">
        <f t="shared" si="65"/>
        <v>510</v>
      </c>
      <c r="AX32" s="501">
        <f t="shared" si="66"/>
        <v>31</v>
      </c>
      <c r="AY32" s="501" t="str">
        <f t="shared" si="66"/>
        <v/>
      </c>
      <c r="AZ32" s="170">
        <f t="shared" si="41"/>
        <v>307</v>
      </c>
      <c r="BA32" s="170">
        <v>89</v>
      </c>
      <c r="BB32" s="170">
        <f t="shared" si="42"/>
        <v>177.79999999998836</v>
      </c>
      <c r="BC32" s="170">
        <f t="shared" si="42"/>
        <v>659.60000000009313</v>
      </c>
      <c r="BD32" s="170">
        <f t="shared" si="43"/>
        <v>297</v>
      </c>
      <c r="BE32" s="90"/>
      <c r="BF32" s="90"/>
      <c r="BG32" s="501">
        <f t="shared" si="44"/>
        <v>1441.4000000000815</v>
      </c>
      <c r="BH32" s="501">
        <f t="shared" si="45"/>
        <v>3708</v>
      </c>
      <c r="BI32" s="90">
        <f t="shared" si="6"/>
        <v>-2694.0900000002966</v>
      </c>
      <c r="BJ32" s="90">
        <f t="shared" si="46"/>
        <v>4702.0900000002966</v>
      </c>
      <c r="BK32" s="92"/>
      <c r="BL32" s="331">
        <f>FD32+FN32</f>
        <v>5716</v>
      </c>
      <c r="BM32" s="93">
        <f t="shared" si="47"/>
        <v>160424.47999999998</v>
      </c>
      <c r="BN32" s="92"/>
      <c r="BO32" s="94">
        <f t="shared" si="48"/>
        <v>0.10544389036538254</v>
      </c>
      <c r="BP32" s="94">
        <f t="shared" si="48"/>
        <v>1.44320123682346E-3</v>
      </c>
      <c r="BQ32" s="94">
        <f t="shared" si="49"/>
        <v>0.17751375212928561</v>
      </c>
      <c r="BR32" s="94">
        <f t="shared" si="68"/>
        <v>0.37807362400922173</v>
      </c>
      <c r="BS32" s="94">
        <f t="shared" si="79"/>
        <v>1.5785013527756592E-2</v>
      </c>
      <c r="BT32" s="94">
        <f t="shared" si="79"/>
        <v>6.7785358092051884E-2</v>
      </c>
      <c r="BU32" s="95">
        <f t="shared" si="79"/>
        <v>0.66470240965005967</v>
      </c>
      <c r="BV32" s="94">
        <f t="shared" si="8"/>
        <v>9.1626313172479837E-2</v>
      </c>
      <c r="BW32" s="94">
        <f t="shared" si="8"/>
        <v>1.2540812752438969E-3</v>
      </c>
      <c r="BX32" s="94">
        <f t="shared" si="8"/>
        <v>0.15425199685499932</v>
      </c>
      <c r="BY32" s="94">
        <f t="shared" si="50"/>
        <v>0.32853010407415906</v>
      </c>
      <c r="BZ32" s="95">
        <f t="shared" si="9"/>
        <v>0.57759848334553998</v>
      </c>
      <c r="CA32" s="96" t="e">
        <f>#REF!</f>
        <v>#REF!</v>
      </c>
      <c r="CB32" s="94">
        <f t="shared" si="51"/>
        <v>3.4977110567349305E-2</v>
      </c>
      <c r="CC32" s="95">
        <f t="shared" si="51"/>
        <v>2.0476795822341749E-2</v>
      </c>
      <c r="CD32" s="97">
        <f t="shared" si="10"/>
        <v>0.13771458594200248</v>
      </c>
      <c r="CE32" s="98">
        <f t="shared" si="10"/>
        <v>8.0622824823189124E-2</v>
      </c>
      <c r="CF32" s="97">
        <f t="shared" si="52"/>
        <v>0.3589799516513078</v>
      </c>
      <c r="CG32" s="94">
        <f t="shared" si="52"/>
        <v>0.19993820091971576</v>
      </c>
      <c r="CH32" s="95">
        <f t="shared" si="53"/>
        <v>1.6222258574622392</v>
      </c>
      <c r="CI32" s="96" t="e">
        <f>#REF!</f>
        <v>#REF!</v>
      </c>
      <c r="CJ32" s="94">
        <f t="shared" si="54"/>
        <v>0.22711436862205525</v>
      </c>
      <c r="CK32" s="94">
        <f t="shared" si="54"/>
        <v>2.9326418472563065E-2</v>
      </c>
      <c r="CL32" s="95">
        <f t="shared" si="69"/>
        <v>0.34397904373825844</v>
      </c>
      <c r="CM32" s="95" t="e">
        <f>#REF!</f>
        <v>#REF!</v>
      </c>
      <c r="CN32" s="94">
        <f t="shared" si="55"/>
        <v>0.57047091429486763</v>
      </c>
      <c r="CO32" s="94">
        <f t="shared" si="55"/>
        <v>4.6091027512554471E-2</v>
      </c>
      <c r="CP32" s="95">
        <f t="shared" si="56"/>
        <v>1.1484977347393364</v>
      </c>
      <c r="CQ32" s="95" t="e">
        <f>#REF!</f>
        <v>#REF!</v>
      </c>
      <c r="CR32" s="97">
        <f t="shared" si="70"/>
        <v>3.7755671558491452E-2</v>
      </c>
      <c r="CS32" s="95">
        <f t="shared" si="70"/>
        <v>0.1118306576053055</v>
      </c>
      <c r="CT32" s="96" t="e">
        <f>#REF!</f>
        <v>#REF!</v>
      </c>
      <c r="CU32" s="97">
        <f t="shared" si="71"/>
        <v>3.3347169040095083E-2</v>
      </c>
      <c r="CV32" s="95">
        <f t="shared" si="57"/>
        <v>4.1810276334355162E-2</v>
      </c>
      <c r="CW32" s="96" t="e">
        <f>#REF!</f>
        <v>#REF!</v>
      </c>
      <c r="CX32" s="99">
        <f t="shared" si="81"/>
        <v>9.6799398432888276E-2</v>
      </c>
      <c r="CY32" s="95">
        <f t="shared" si="81"/>
        <v>1.6459816737576145E-2</v>
      </c>
      <c r="CZ32" s="99">
        <f t="shared" si="81"/>
        <v>0.19986920324199603</v>
      </c>
      <c r="DA32" s="95">
        <f t="shared" si="81"/>
        <v>1.214891235392525E-2</v>
      </c>
      <c r="DB32" s="94">
        <f t="shared" si="11"/>
        <v>0.12031342234371134</v>
      </c>
      <c r="DC32" s="94">
        <f t="shared" si="12"/>
        <v>6.967989085573445E-2</v>
      </c>
      <c r="DD32" s="94">
        <f t="shared" si="12"/>
        <v>0.2584975028596847</v>
      </c>
      <c r="DE32" s="94">
        <f t="shared" si="12"/>
        <v>0.11639441835857417</v>
      </c>
      <c r="DF32" s="94">
        <f t="shared" si="12"/>
        <v>0</v>
      </c>
      <c r="DG32" s="94">
        <f t="shared" si="12"/>
        <v>0</v>
      </c>
      <c r="DH32" s="95">
        <f t="shared" si="12"/>
        <v>0.56488523441770466</v>
      </c>
      <c r="DI32" s="96" t="e">
        <f>#REF!</f>
        <v>#REF!</v>
      </c>
      <c r="DJ32" s="95">
        <f t="shared" si="59"/>
        <v>1.4531666776888654</v>
      </c>
      <c r="DK32" s="96" t="e">
        <f>#REF!</f>
        <v>#REF!</v>
      </c>
      <c r="DL32" s="95">
        <f t="shared" si="60"/>
        <v>-1.055814944631938</v>
      </c>
      <c r="DM32" s="96">
        <f t="shared" si="13"/>
        <v>0</v>
      </c>
      <c r="DN32" s="94">
        <f>IF($O32&lt;&gt;0,BJ32/$O32*10,"")</f>
        <v>1.8427509448474833</v>
      </c>
      <c r="DO32" s="100">
        <v>3.4</v>
      </c>
      <c r="DP32" s="94">
        <f t="shared" si="72"/>
        <v>2.2401026779044106</v>
      </c>
      <c r="DQ32" s="94">
        <f t="shared" si="73"/>
        <v>3.2950488528905186</v>
      </c>
      <c r="DR32" s="101"/>
      <c r="DS32" s="173"/>
      <c r="DT32" s="134">
        <v>27</v>
      </c>
      <c r="DU32" s="135">
        <v>636567</v>
      </c>
      <c r="DV32" s="135">
        <v>29721</v>
      </c>
      <c r="DW32" s="135">
        <v>5153576</v>
      </c>
      <c r="DX32" s="135">
        <v>121868</v>
      </c>
      <c r="DY32" s="135">
        <v>87247.1</v>
      </c>
      <c r="DZ32" s="137">
        <v>405561</v>
      </c>
      <c r="EA32" s="136">
        <v>241785</v>
      </c>
      <c r="EB32" s="136">
        <v>56081.5</v>
      </c>
      <c r="EC32" s="136">
        <v>422738</v>
      </c>
      <c r="ED32" s="136">
        <v>48343.8</v>
      </c>
      <c r="EE32" s="136">
        <v>40892.9</v>
      </c>
      <c r="EF32" s="535">
        <v>43228</v>
      </c>
      <c r="EG32" s="135">
        <v>94908.1</v>
      </c>
      <c r="EH32" s="135">
        <v>187226.6</v>
      </c>
      <c r="EI32" s="135">
        <v>34583</v>
      </c>
      <c r="EJ32" s="136">
        <v>43142</v>
      </c>
      <c r="EK32" s="136"/>
      <c r="EL32" s="135">
        <v>719220.6</v>
      </c>
      <c r="EM32" s="135">
        <v>3936</v>
      </c>
      <c r="EN32" s="136">
        <v>47626</v>
      </c>
      <c r="EO32" s="135">
        <v>3119616.2</v>
      </c>
      <c r="EP32" s="144">
        <v>2829581</v>
      </c>
      <c r="EQ32" s="136">
        <v>350</v>
      </c>
      <c r="ER32" s="136">
        <v>1503</v>
      </c>
      <c r="ES32" s="136">
        <v>412864</v>
      </c>
      <c r="ET32" s="136">
        <v>7501004</v>
      </c>
      <c r="EU32" s="136">
        <v>456422</v>
      </c>
      <c r="EV32" s="136">
        <v>157544</v>
      </c>
      <c r="EW32" s="136">
        <v>136356</v>
      </c>
      <c r="EX32" s="135">
        <v>220611</v>
      </c>
      <c r="EY32" s="135">
        <v>1708555</v>
      </c>
      <c r="EZ32" s="136">
        <v>825191.2</v>
      </c>
      <c r="FA32" s="145">
        <v>765674</v>
      </c>
      <c r="FB32" s="145">
        <v>31930.7</v>
      </c>
      <c r="FC32" s="140">
        <v>2008</v>
      </c>
      <c r="FD32" s="383">
        <f t="shared" si="83"/>
        <v>4090</v>
      </c>
      <c r="FE32" s="532">
        <v>0</v>
      </c>
      <c r="FF32" s="536">
        <v>0</v>
      </c>
      <c r="FG32" s="105">
        <f t="shared" si="82"/>
        <v>600</v>
      </c>
      <c r="FH32" s="496">
        <v>1617</v>
      </c>
      <c r="FI32" s="496">
        <v>540</v>
      </c>
      <c r="FJ32" s="105">
        <f t="shared" si="78"/>
        <v>0</v>
      </c>
      <c r="FK32" s="532">
        <v>0</v>
      </c>
      <c r="FL32" s="496">
        <v>930</v>
      </c>
      <c r="FM32" s="496">
        <v>403</v>
      </c>
      <c r="FN32" s="80">
        <v>1626</v>
      </c>
      <c r="FO32" s="104"/>
      <c r="FP32" s="539" t="s">
        <v>307</v>
      </c>
      <c r="FQ32" s="186"/>
      <c r="FY32" s="119">
        <v>27</v>
      </c>
      <c r="FZ32" s="107"/>
      <c r="GA32" s="107"/>
      <c r="GB32" s="180"/>
      <c r="GC32" s="109"/>
      <c r="GD32" s="110"/>
      <c r="GE32" s="110"/>
      <c r="GF32" s="111"/>
      <c r="GG32" s="111"/>
      <c r="GH32" s="111"/>
      <c r="GI32" s="164"/>
      <c r="GJ32" s="111" t="e">
        <f t="shared" si="61"/>
        <v>#DIV/0!</v>
      </c>
    </row>
    <row r="33" spans="1:193" s="119" customFormat="1" ht="15" customHeight="1">
      <c r="A33" s="119">
        <v>0</v>
      </c>
      <c r="B33" s="351">
        <v>43006</v>
      </c>
      <c r="D33" s="86">
        <v>4276.08</v>
      </c>
      <c r="E33" s="86">
        <v>3466.8</v>
      </c>
      <c r="F33" s="86">
        <v>2358.7199999999998</v>
      </c>
      <c r="G33" s="86">
        <v>5147.1019999999999</v>
      </c>
      <c r="H33" s="86">
        <v>5683.549</v>
      </c>
      <c r="I33" s="86">
        <v>1777.386</v>
      </c>
      <c r="J33" s="86">
        <v>5434.2</v>
      </c>
      <c r="K33" s="284">
        <v>0</v>
      </c>
      <c r="L33" s="284">
        <v>96</v>
      </c>
      <c r="M33" s="115">
        <f t="shared" si="62"/>
        <v>7211.5859999999993</v>
      </c>
      <c r="N33" s="88">
        <f t="shared" si="18"/>
        <v>20932.251</v>
      </c>
      <c r="O33" s="88">
        <f t="shared" si="19"/>
        <v>24634.044000000002</v>
      </c>
      <c r="P33" s="89">
        <f t="shared" si="20"/>
        <v>511499.299</v>
      </c>
      <c r="R33" s="170">
        <f t="shared" si="21"/>
        <v>274.09999999997672</v>
      </c>
      <c r="S33" s="170">
        <f t="shared" si="22"/>
        <v>0</v>
      </c>
      <c r="T33" s="170">
        <f t="shared" si="1"/>
        <v>404.51799999999997</v>
      </c>
      <c r="U33" s="170">
        <f t="shared" si="74"/>
        <v>5.5800000000002914</v>
      </c>
      <c r="V33" s="170">
        <f t="shared" si="23"/>
        <v>1137.2999999998137</v>
      </c>
      <c r="W33" s="170">
        <f t="shared" si="2"/>
        <v>100.5</v>
      </c>
      <c r="X33" s="170">
        <f t="shared" si="24"/>
        <v>1137.2999999998137</v>
      </c>
      <c r="Y33" s="170">
        <f t="shared" si="25"/>
        <v>173.7</v>
      </c>
      <c r="Z33" s="170">
        <f t="shared" si="3"/>
        <v>305.3</v>
      </c>
      <c r="AA33" s="501">
        <f t="shared" si="26"/>
        <v>1821.4979999997909</v>
      </c>
      <c r="AB33" s="170">
        <f>IF(DU33=0,"",(DU33-DU32))</f>
        <v>184</v>
      </c>
      <c r="AC33" s="170">
        <f t="shared" si="27"/>
        <v>18</v>
      </c>
      <c r="AD33" s="501">
        <f t="shared" si="28"/>
        <v>443</v>
      </c>
      <c r="AE33" s="501">
        <f t="shared" si="29"/>
        <v>241</v>
      </c>
      <c r="AF33" s="170">
        <f t="shared" si="30"/>
        <v>83</v>
      </c>
      <c r="AG33" s="170">
        <f t="shared" si="30"/>
        <v>23.899999999994179</v>
      </c>
      <c r="AH33" s="501">
        <f t="shared" si="31"/>
        <v>171</v>
      </c>
      <c r="AI33" s="501">
        <f t="shared" si="32"/>
        <v>64.100000000005821</v>
      </c>
      <c r="AJ33" s="170">
        <f>IF(EA33=0,"",(EA33-EA32))</f>
        <v>140</v>
      </c>
      <c r="AK33" s="170">
        <f t="shared" si="33"/>
        <v>12.400000000001455</v>
      </c>
      <c r="AL33" s="501">
        <f t="shared" si="34"/>
        <v>291</v>
      </c>
      <c r="AM33" s="501">
        <f t="shared" si="35"/>
        <v>138.59999999999854</v>
      </c>
      <c r="AN33" s="170">
        <f t="shared" si="36"/>
        <v>29.099999999998545</v>
      </c>
      <c r="AO33" s="501">
        <f t="shared" si="4"/>
        <v>67.399999999994179</v>
      </c>
      <c r="AP33" s="170">
        <f t="shared" si="37"/>
        <v>47.299999999988358</v>
      </c>
      <c r="AQ33" s="501">
        <f t="shared" si="5"/>
        <v>72</v>
      </c>
      <c r="AR33" s="170">
        <f t="shared" si="38"/>
        <v>87.352999999999994</v>
      </c>
      <c r="AS33" s="501">
        <f t="shared" si="39"/>
        <v>187.35299999999995</v>
      </c>
      <c r="AT33" s="501">
        <f t="shared" si="40"/>
        <v>890.35299999999995</v>
      </c>
      <c r="AU33" s="170">
        <f t="shared" si="63"/>
        <v>251</v>
      </c>
      <c r="AV33" s="501">
        <f t="shared" si="64"/>
        <v>37</v>
      </c>
      <c r="AW33" s="170">
        <f t="shared" si="65"/>
        <v>452</v>
      </c>
      <c r="AX33" s="501">
        <f t="shared" si="66"/>
        <v>29</v>
      </c>
      <c r="AY33" s="501" t="str">
        <f t="shared" si="66"/>
        <v/>
      </c>
      <c r="AZ33" s="170">
        <f t="shared" si="41"/>
        <v>302</v>
      </c>
      <c r="BA33" s="170">
        <v>103</v>
      </c>
      <c r="BB33" s="170">
        <f t="shared" si="42"/>
        <v>131.79999999998836</v>
      </c>
      <c r="BC33" s="170">
        <f t="shared" si="42"/>
        <v>1339</v>
      </c>
      <c r="BD33" s="170">
        <f t="shared" si="43"/>
        <v>150</v>
      </c>
      <c r="BE33" s="90"/>
      <c r="BF33" s="90"/>
      <c r="BG33" s="501">
        <f t="shared" si="44"/>
        <v>1922.7999999999884</v>
      </c>
      <c r="BH33" s="501">
        <f>BL33-FC33</f>
        <v>3791</v>
      </c>
      <c r="BI33" s="90">
        <f t="shared" si="6"/>
        <v>-2362.050999999773</v>
      </c>
      <c r="BJ33" s="90">
        <f t="shared" si="46"/>
        <v>5745.050999999773</v>
      </c>
      <c r="BK33" s="92"/>
      <c r="BL33" s="331">
        <f t="shared" si="67"/>
        <v>7174</v>
      </c>
      <c r="BM33" s="93">
        <f t="shared" si="47"/>
        <v>167598.47999999998</v>
      </c>
      <c r="BN33" s="92"/>
      <c r="BO33" s="94">
        <f t="shared" si="48"/>
        <v>0.13094626086796718</v>
      </c>
      <c r="BP33" s="94">
        <f t="shared" si="48"/>
        <v>0</v>
      </c>
      <c r="BQ33" s="94">
        <f t="shared" si="49"/>
        <v>0.19325107462164484</v>
      </c>
      <c r="BR33" s="94">
        <f t="shared" si="68"/>
        <v>0.54332427028503227</v>
      </c>
      <c r="BS33" s="94">
        <f t="shared" si="79"/>
        <v>8.2981997492768439E-2</v>
      </c>
      <c r="BT33" s="94">
        <f t="shared" si="79"/>
        <v>0.14585149012401963</v>
      </c>
      <c r="BU33" s="95">
        <f t="shared" si="79"/>
        <v>0.87018734869928271</v>
      </c>
      <c r="BV33" s="94">
        <f t="shared" si="8"/>
        <v>0.11126877909285893</v>
      </c>
      <c r="BW33" s="94">
        <f t="shared" si="8"/>
        <v>0</v>
      </c>
      <c r="BX33" s="94">
        <f t="shared" si="8"/>
        <v>0.16421095943483738</v>
      </c>
      <c r="BY33" s="94">
        <f t="shared" si="50"/>
        <v>0.46167815564501452</v>
      </c>
      <c r="BZ33" s="95">
        <f t="shared" si="9"/>
        <v>0.73942305209806025</v>
      </c>
      <c r="CA33" s="96" t="e">
        <f>#REF!</f>
        <v>#REF!</v>
      </c>
      <c r="CB33" s="94">
        <f t="shared" si="51"/>
        <v>3.5460276031008139E-2</v>
      </c>
      <c r="CC33" s="95">
        <f t="shared" si="51"/>
        <v>7.6054504083860497E-2</v>
      </c>
      <c r="CD33" s="97">
        <f t="shared" si="10"/>
        <v>0.12112869485297686</v>
      </c>
      <c r="CE33" s="98">
        <f t="shared" si="10"/>
        <v>0.25979444743500246</v>
      </c>
      <c r="CF33" s="97">
        <f t="shared" si="52"/>
        <v>0.4303006491927186</v>
      </c>
      <c r="CG33" s="94">
        <f t="shared" si="52"/>
        <v>4.2094628725374637E-2</v>
      </c>
      <c r="CH33" s="95">
        <f t="shared" si="53"/>
        <v>1.0359955847411648</v>
      </c>
      <c r="CI33" s="96" t="e">
        <f>#REF!</f>
        <v>#REF!</v>
      </c>
      <c r="CJ33" s="94">
        <f t="shared" si="54"/>
        <v>0.23941386869735778</v>
      </c>
      <c r="CK33" s="94">
        <f t="shared" si="54"/>
        <v>6.8939656167053706E-2</v>
      </c>
      <c r="CL33" s="95">
        <f t="shared" si="69"/>
        <v>0.49325025960539975</v>
      </c>
      <c r="CM33" s="95" t="e">
        <f>#REF!</f>
        <v>#REF!</v>
      </c>
      <c r="CN33" s="94">
        <f t="shared" si="55"/>
        <v>0.59354226020892698</v>
      </c>
      <c r="CO33" s="94">
        <f t="shared" si="55"/>
        <v>5.2570885904225408E-2</v>
      </c>
      <c r="CP33" s="95">
        <f t="shared" si="56"/>
        <v>1.2337199837199839</v>
      </c>
      <c r="CQ33" s="95" t="e">
        <f>#REF!</f>
        <v>#REF!</v>
      </c>
      <c r="CR33" s="97">
        <f t="shared" si="70"/>
        <v>5.6536668595257189E-2</v>
      </c>
      <c r="CS33" s="95">
        <f t="shared" si="70"/>
        <v>0.13094747296632975</v>
      </c>
      <c r="CT33" s="96" t="e">
        <f>#REF!</f>
        <v>#REF!</v>
      </c>
      <c r="CU33" s="97">
        <f t="shared" si="71"/>
        <v>8.3222648383938211E-2</v>
      </c>
      <c r="CV33" s="95">
        <f t="shared" si="57"/>
        <v>0.1266814098022204</v>
      </c>
      <c r="CW33" s="96" t="e">
        <f>#REF!</f>
        <v>#REF!</v>
      </c>
      <c r="CX33" s="99">
        <f t="shared" si="81"/>
        <v>0.10189151241265948</v>
      </c>
      <c r="CY33" s="95">
        <f t="shared" si="81"/>
        <v>1.5019864379555383E-2</v>
      </c>
      <c r="CZ33" s="99">
        <f t="shared" si="81"/>
        <v>0.18348591079889276</v>
      </c>
      <c r="DA33" s="95">
        <f t="shared" si="81"/>
        <v>1.177232613532719E-2</v>
      </c>
      <c r="DB33" s="94">
        <f t="shared" si="11"/>
        <v>0.1225945687196142</v>
      </c>
      <c r="DC33" s="94">
        <f t="shared" si="12"/>
        <v>5.3503192573654719E-2</v>
      </c>
      <c r="DD33" s="94">
        <f t="shared" si="12"/>
        <v>0.54355671362769342</v>
      </c>
      <c r="DE33" s="94">
        <f t="shared" si="12"/>
        <v>6.0891342079278578E-2</v>
      </c>
      <c r="DF33" s="94">
        <f t="shared" si="12"/>
        <v>0</v>
      </c>
      <c r="DG33" s="94">
        <f t="shared" si="12"/>
        <v>0</v>
      </c>
      <c r="DH33" s="95">
        <f t="shared" si="12"/>
        <v>0.78054581700024095</v>
      </c>
      <c r="DI33" s="96" t="e">
        <f>#REF!</f>
        <v>#REF!</v>
      </c>
      <c r="DJ33" s="95">
        <f t="shared" si="59"/>
        <v>1.5389271854836339</v>
      </c>
      <c r="DK33" s="96" t="e">
        <f>#REF!</f>
        <v>#REF!</v>
      </c>
      <c r="DL33" s="95">
        <f t="shared" si="60"/>
        <v>-0.95885636966458809</v>
      </c>
      <c r="DM33" s="96">
        <f t="shared" si="13"/>
        <v>0</v>
      </c>
      <c r="DN33" s="94">
        <f t="shared" si="14"/>
        <v>2.3321591046925843</v>
      </c>
      <c r="DO33" s="100">
        <v>3.4</v>
      </c>
      <c r="DP33" s="94">
        <f t="shared" si="72"/>
        <v>2.9122299205116295</v>
      </c>
      <c r="DQ33" s="94">
        <f t="shared" si="73"/>
        <v>3.2766121151614716</v>
      </c>
      <c r="DR33" s="101">
        <f t="shared" si="15"/>
        <v>3.17</v>
      </c>
      <c r="DT33" s="134">
        <v>28</v>
      </c>
      <c r="DU33" s="135">
        <v>636751</v>
      </c>
      <c r="DV33" s="135">
        <v>29739</v>
      </c>
      <c r="DW33" s="135">
        <v>5153835</v>
      </c>
      <c r="DX33" s="135">
        <v>121951</v>
      </c>
      <c r="DY33" s="135">
        <v>87271</v>
      </c>
      <c r="DZ33" s="135">
        <v>405649</v>
      </c>
      <c r="EA33" s="136">
        <v>241925</v>
      </c>
      <c r="EB33" s="136">
        <v>56093.9</v>
      </c>
      <c r="EC33" s="136">
        <v>422889</v>
      </c>
      <c r="ED33" s="135">
        <v>48372.9</v>
      </c>
      <c r="EE33" s="136">
        <v>40926.199999999997</v>
      </c>
      <c r="EF33" s="136">
        <v>43262.1</v>
      </c>
      <c r="EG33" s="135">
        <v>94955.4</v>
      </c>
      <c r="EH33" s="135">
        <v>187298.6</v>
      </c>
      <c r="EI33" s="135">
        <v>34620</v>
      </c>
      <c r="EJ33" s="136">
        <v>43171</v>
      </c>
      <c r="EK33" s="136"/>
      <c r="EL33" s="135">
        <v>719494.7</v>
      </c>
      <c r="EM33" s="135">
        <v>4045.18</v>
      </c>
      <c r="EN33" s="136">
        <v>47681.8</v>
      </c>
      <c r="EO33" s="135">
        <v>3120753.5</v>
      </c>
      <c r="EP33" s="136">
        <v>2830586</v>
      </c>
      <c r="EQ33" s="136">
        <v>1737</v>
      </c>
      <c r="ER33" s="136">
        <v>3053</v>
      </c>
      <c r="ES33" s="136">
        <v>413667</v>
      </c>
      <c r="ET33" s="136">
        <v>7588357</v>
      </c>
      <c r="EU33" s="136">
        <v>456874</v>
      </c>
      <c r="EV33" s="136">
        <v>157795</v>
      </c>
      <c r="EW33" s="136">
        <v>136658</v>
      </c>
      <c r="EX33" s="135">
        <v>220742.8</v>
      </c>
      <c r="EY33" s="135">
        <v>1709894</v>
      </c>
      <c r="EZ33" s="140">
        <v>825191.2</v>
      </c>
      <c r="FA33" s="145">
        <v>765824</v>
      </c>
      <c r="FB33" s="145">
        <v>32036.3</v>
      </c>
      <c r="FC33" s="145">
        <v>3383</v>
      </c>
      <c r="FD33" s="383">
        <f>SUM(FE33:FM33)</f>
        <v>5674</v>
      </c>
      <c r="FE33" s="105">
        <v>800</v>
      </c>
      <c r="FF33" s="536">
        <v>0</v>
      </c>
      <c r="FG33" s="105">
        <f t="shared" si="82"/>
        <v>132</v>
      </c>
      <c r="FH33" s="496">
        <v>1876</v>
      </c>
      <c r="FI33" s="496">
        <v>624</v>
      </c>
      <c r="FJ33" s="105">
        <f t="shared" si="78"/>
        <v>0</v>
      </c>
      <c r="FK33" s="496">
        <v>936</v>
      </c>
      <c r="FL33" s="496">
        <v>920</v>
      </c>
      <c r="FM33" s="496">
        <v>386</v>
      </c>
      <c r="FN33" s="80">
        <v>1500</v>
      </c>
      <c r="FO33" s="104"/>
      <c r="FP33" s="488"/>
      <c r="FY33" s="119">
        <v>28</v>
      </c>
      <c r="FZ33" s="107"/>
      <c r="GA33" s="107"/>
      <c r="GB33" s="180"/>
      <c r="GC33" s="109"/>
      <c r="GD33" s="110"/>
      <c r="GE33" s="110"/>
      <c r="GF33" s="111"/>
      <c r="GG33" s="111"/>
      <c r="GH33" s="111"/>
      <c r="GI33" s="164"/>
      <c r="GJ33" s="111" t="e">
        <f t="shared" si="61"/>
        <v>#DIV/0!</v>
      </c>
      <c r="GK33" s="113"/>
    </row>
    <row r="34" spans="1:193" s="119" customFormat="1" ht="15" customHeight="1">
      <c r="B34" s="351">
        <v>43007</v>
      </c>
      <c r="D34" s="86">
        <v>3036.84</v>
      </c>
      <c r="E34" s="86">
        <v>876</v>
      </c>
      <c r="F34" s="86">
        <v>1790.9280000000001</v>
      </c>
      <c r="G34" s="86">
        <v>5081.6260000000002</v>
      </c>
      <c r="H34" s="86">
        <v>6165.7250000000004</v>
      </c>
      <c r="I34" s="86">
        <v>1993.502</v>
      </c>
      <c r="J34" s="86">
        <v>7881.8519999999999</v>
      </c>
      <c r="K34" s="284">
        <v>0</v>
      </c>
      <c r="L34" s="284">
        <v>0</v>
      </c>
      <c r="M34" s="115">
        <f t="shared" si="62"/>
        <v>9875.3539999999994</v>
      </c>
      <c r="N34" s="88">
        <f t="shared" si="18"/>
        <v>16951.118999999999</v>
      </c>
      <c r="O34" s="88">
        <f t="shared" si="19"/>
        <v>21888.795999999998</v>
      </c>
      <c r="P34" s="89">
        <f t="shared" si="20"/>
        <v>533388.09499999997</v>
      </c>
      <c r="R34" s="170">
        <f t="shared" si="21"/>
        <v>120.30000000004657</v>
      </c>
      <c r="S34" s="170">
        <f t="shared" si="22"/>
        <v>73.430000000004654</v>
      </c>
      <c r="T34" s="170">
        <f t="shared" si="1"/>
        <v>4769.42</v>
      </c>
      <c r="U34" s="170">
        <f t="shared" si="74"/>
        <v>1.239999999999418</v>
      </c>
      <c r="V34" s="170">
        <f t="shared" si="23"/>
        <v>897</v>
      </c>
      <c r="W34" s="170">
        <f t="shared" si="2"/>
        <v>79.7</v>
      </c>
      <c r="X34" s="170">
        <f t="shared" si="24"/>
        <v>897</v>
      </c>
      <c r="Y34" s="170" t="str">
        <f t="shared" si="25"/>
        <v>0</v>
      </c>
      <c r="Z34" s="170">
        <f t="shared" si="3"/>
        <v>139.9</v>
      </c>
      <c r="AA34" s="501">
        <f t="shared" si="26"/>
        <v>5861.3900000000513</v>
      </c>
      <c r="AB34" s="170">
        <f t="shared" si="27"/>
        <v>133</v>
      </c>
      <c r="AC34" s="170">
        <f t="shared" si="27"/>
        <v>25</v>
      </c>
      <c r="AD34" s="501">
        <f t="shared" si="28"/>
        <v>317</v>
      </c>
      <c r="AE34" s="501">
        <f t="shared" si="29"/>
        <v>159</v>
      </c>
      <c r="AF34" s="170">
        <f t="shared" si="30"/>
        <v>84</v>
      </c>
      <c r="AG34" s="170">
        <f t="shared" si="30"/>
        <v>31.899999999994179</v>
      </c>
      <c r="AH34" s="501">
        <f t="shared" si="31"/>
        <v>167</v>
      </c>
      <c r="AI34" s="501">
        <f t="shared" si="32"/>
        <v>51.100000000005821</v>
      </c>
      <c r="AJ34" s="170">
        <f>IF(EA34=0,"",(EA34-EA33))</f>
        <v>111</v>
      </c>
      <c r="AK34" s="170">
        <f t="shared" si="33"/>
        <v>43.799999999995634</v>
      </c>
      <c r="AL34" s="501">
        <f t="shared" si="34"/>
        <v>364</v>
      </c>
      <c r="AM34" s="501">
        <f t="shared" si="35"/>
        <v>209.20000000000437</v>
      </c>
      <c r="AN34" s="170">
        <f t="shared" si="36"/>
        <v>21.099999999998545</v>
      </c>
      <c r="AO34" s="501">
        <f t="shared" si="4"/>
        <v>61.599999999998545</v>
      </c>
      <c r="AP34" s="170">
        <f t="shared" si="37"/>
        <v>28.600000000005821</v>
      </c>
      <c r="AQ34" s="501">
        <f t="shared" si="5"/>
        <v>69.799999999988358</v>
      </c>
      <c r="AR34" s="170">
        <f t="shared" si="38"/>
        <v>78.936000000000007</v>
      </c>
      <c r="AS34" s="501">
        <f t="shared" si="39"/>
        <v>135.93599999999992</v>
      </c>
      <c r="AT34" s="501">
        <f t="shared" si="40"/>
        <v>1126.9359999999999</v>
      </c>
      <c r="AU34" s="170">
        <f t="shared" si="63"/>
        <v>266</v>
      </c>
      <c r="AV34" s="501">
        <f t="shared" si="64"/>
        <v>44</v>
      </c>
      <c r="AW34" s="170">
        <f t="shared" si="65"/>
        <v>725</v>
      </c>
      <c r="AX34" s="501">
        <f t="shared" si="66"/>
        <v>4</v>
      </c>
      <c r="AY34" s="501" t="str">
        <f t="shared" si="66"/>
        <v/>
      </c>
      <c r="AZ34" s="170">
        <f t="shared" si="41"/>
        <v>291</v>
      </c>
      <c r="BA34" s="170">
        <v>16</v>
      </c>
      <c r="BB34" s="170">
        <f t="shared" si="42"/>
        <v>108.20000000001164</v>
      </c>
      <c r="BC34" s="170">
        <f t="shared" si="42"/>
        <v>259.89999999990687</v>
      </c>
      <c r="BD34" s="170">
        <f t="shared" si="43"/>
        <v>94</v>
      </c>
      <c r="BE34" s="90"/>
      <c r="BF34" s="90"/>
      <c r="BG34" s="501">
        <f t="shared" si="44"/>
        <v>753.09999999991851</v>
      </c>
      <c r="BH34" s="501">
        <f t="shared" si="45"/>
        <v>2493</v>
      </c>
      <c r="BI34" s="90">
        <f>IF(FC34=0,"",(FC34-BJ34))</f>
        <v>-5626.8259999999573</v>
      </c>
      <c r="BJ34" s="90">
        <f>IF(BH34=0,"",(AA34+AD34+AO34+BG34+AH34+AL34+AQ34+AT34+AX34+AV34))</f>
        <v>8768.8259999999573</v>
      </c>
      <c r="BK34" s="92"/>
      <c r="BL34" s="331">
        <f t="shared" si="67"/>
        <v>5635</v>
      </c>
      <c r="BM34" s="93">
        <f t="shared" si="47"/>
        <v>173233.47999999998</v>
      </c>
      <c r="BN34" s="92"/>
      <c r="BO34" s="94">
        <f t="shared" si="48"/>
        <v>7.0968766132811986E-2</v>
      </c>
      <c r="BP34" s="94">
        <f t="shared" si="48"/>
        <v>4.3318674124112194E-2</v>
      </c>
      <c r="BQ34" s="94">
        <f t="shared" si="49"/>
        <v>2.8136313596760192</v>
      </c>
      <c r="BR34" s="94">
        <f t="shared" si="68"/>
        <v>0.52916860532924115</v>
      </c>
      <c r="BS34" s="94">
        <f>IF($N34&lt;&gt;0,IF($N34&lt;&gt;0,Y34/$N34*10,0)," ")</f>
        <v>0</v>
      </c>
      <c r="BT34" s="94">
        <f t="shared" si="79"/>
        <v>8.2531424621583985E-2</v>
      </c>
      <c r="BU34" s="95">
        <f t="shared" si="79"/>
        <v>3.4578189203910674</v>
      </c>
      <c r="BV34" s="94">
        <f t="shared" si="8"/>
        <v>5.4959624092639256E-2</v>
      </c>
      <c r="BW34" s="94">
        <f t="shared" si="8"/>
        <v>3.3546842868837856E-2</v>
      </c>
      <c r="BX34" s="94">
        <f t="shared" si="8"/>
        <v>2.1789320892752624</v>
      </c>
      <c r="BY34" s="94">
        <f t="shared" si="50"/>
        <v>0.40979869335892211</v>
      </c>
      <c r="BZ34" s="95">
        <f t="shared" si="9"/>
        <v>2.6778037494616203</v>
      </c>
      <c r="CA34" s="96" t="e">
        <f>#REF!</f>
        <v>#REF!</v>
      </c>
      <c r="CB34" s="94">
        <f t="shared" si="51"/>
        <v>3.6062285015585144E-2</v>
      </c>
      <c r="CC34" s="95">
        <f t="shared" si="51"/>
        <v>6.2103004660466449E-2</v>
      </c>
      <c r="CD34" s="97">
        <f t="shared" si="10"/>
        <v>7.9932324451356396E-2</v>
      </c>
      <c r="CE34" s="98">
        <f t="shared" si="10"/>
        <v>0.13765177430601469</v>
      </c>
      <c r="CF34" s="97">
        <f t="shared" si="52"/>
        <v>0.43795524294990845</v>
      </c>
      <c r="CG34" s="94">
        <f t="shared" si="52"/>
        <v>8.2322414088328646E-2</v>
      </c>
      <c r="CH34" s="95">
        <f t="shared" si="53"/>
        <v>1.0438482106400073</v>
      </c>
      <c r="CI34" s="96" t="e">
        <f>#REF!</f>
        <v>#REF!</v>
      </c>
      <c r="CJ34" s="94">
        <f t="shared" si="54"/>
        <v>0.95890410958904104</v>
      </c>
      <c r="CK34" s="94">
        <f t="shared" si="54"/>
        <v>0.36415525114148606</v>
      </c>
      <c r="CL34" s="95">
        <f t="shared" si="69"/>
        <v>1.9063926940639271</v>
      </c>
      <c r="CM34" s="95" t="e">
        <f>#REF!</f>
        <v>#REF!</v>
      </c>
      <c r="CN34" s="94">
        <f t="shared" si="55"/>
        <v>0.61979041033475379</v>
      </c>
      <c r="CO34" s="94">
        <f t="shared" si="55"/>
        <v>0.24456594569963522</v>
      </c>
      <c r="CP34" s="95">
        <f t="shared" si="56"/>
        <v>2.0324658501067603</v>
      </c>
      <c r="CQ34" s="95" t="e">
        <f>#REF!</f>
        <v>#REF!</v>
      </c>
      <c r="CR34" s="97">
        <f t="shared" si="70"/>
        <v>4.1522142715734185E-2</v>
      </c>
      <c r="CS34" s="95">
        <f t="shared" si="70"/>
        <v>0.12122104224120103</v>
      </c>
      <c r="CT34" s="96" t="e">
        <f>#REF!</f>
        <v>#REF!</v>
      </c>
      <c r="CU34" s="97">
        <f t="shared" si="71"/>
        <v>4.6385461563734708E-2</v>
      </c>
      <c r="CV34" s="95">
        <f t="shared" si="57"/>
        <v>0.11320647612403789</v>
      </c>
      <c r="CW34" s="96" t="e">
        <f>#REF!</f>
        <v>#REF!</v>
      </c>
      <c r="CX34" s="99">
        <f t="shared" si="81"/>
        <v>0.12152335834277958</v>
      </c>
      <c r="CY34" s="95">
        <f t="shared" si="81"/>
        <v>2.0101608146925947E-2</v>
      </c>
      <c r="CZ34" s="99">
        <f t="shared" si="81"/>
        <v>0.33121967969366617</v>
      </c>
      <c r="DA34" s="95">
        <f t="shared" si="81"/>
        <v>1.8274189224478129E-3</v>
      </c>
      <c r="DB34" s="94">
        <f t="shared" si="11"/>
        <v>0.13294472660807841</v>
      </c>
      <c r="DC34" s="94">
        <f t="shared" si="12"/>
        <v>4.9431681852218662E-2</v>
      </c>
      <c r="DD34" s="94">
        <f t="shared" si="12"/>
        <v>0.11873654448600411</v>
      </c>
      <c r="DE34" s="94">
        <f t="shared" si="12"/>
        <v>4.2944344677523609E-2</v>
      </c>
      <c r="DF34" s="94">
        <f t="shared" si="12"/>
        <v>0</v>
      </c>
      <c r="DG34" s="94">
        <f t="shared" si="12"/>
        <v>0</v>
      </c>
      <c r="DH34" s="95">
        <f t="shared" si="12"/>
        <v>0.34405729762382481</v>
      </c>
      <c r="DI34" s="96" t="e">
        <f>#REF!</f>
        <v>#REF!</v>
      </c>
      <c r="DJ34" s="95">
        <f t="shared" si="59"/>
        <v>1.1389388434155996</v>
      </c>
      <c r="DK34" s="96" t="e">
        <f>#REF!</f>
        <v>#REF!</v>
      </c>
      <c r="DL34" s="95">
        <f t="shared" si="60"/>
        <v>-2.5706420764303148</v>
      </c>
      <c r="DM34" s="96">
        <f t="shared" si="13"/>
        <v>0</v>
      </c>
      <c r="DN34" s="94">
        <f t="shared" si="14"/>
        <v>4.0060796400130725</v>
      </c>
      <c r="DO34" s="100">
        <v>3.4</v>
      </c>
      <c r="DP34" s="94">
        <f>IF($O34&lt;&gt;0,IF($O34&lt;&gt;0,BL34/$O34*10,0)," ")</f>
        <v>2.5743764069983568</v>
      </c>
      <c r="DQ34" s="94">
        <f t="shared" si="73"/>
        <v>3.2477942725737066</v>
      </c>
      <c r="DR34" s="101">
        <f t="shared" si="15"/>
        <v>3.17</v>
      </c>
      <c r="DT34" s="134">
        <v>29</v>
      </c>
      <c r="DU34" s="135">
        <v>636884</v>
      </c>
      <c r="DV34" s="135">
        <v>29764</v>
      </c>
      <c r="DW34" s="136">
        <v>5154019</v>
      </c>
      <c r="DX34" s="135">
        <v>122035</v>
      </c>
      <c r="DY34" s="135">
        <v>87302.9</v>
      </c>
      <c r="DZ34" s="135">
        <v>405732</v>
      </c>
      <c r="EA34" s="136">
        <v>242036</v>
      </c>
      <c r="EB34" s="136">
        <v>56137.7</v>
      </c>
      <c r="EC34" s="136">
        <v>423142</v>
      </c>
      <c r="ED34" s="136">
        <v>48394</v>
      </c>
      <c r="EE34" s="136">
        <v>40958.699999999997</v>
      </c>
      <c r="EF34" s="136">
        <v>43291.199999999997</v>
      </c>
      <c r="EG34" s="135">
        <v>94984</v>
      </c>
      <c r="EH34" s="135">
        <v>187368.4</v>
      </c>
      <c r="EI34" s="135">
        <v>34664</v>
      </c>
      <c r="EJ34" s="136">
        <v>43175</v>
      </c>
      <c r="EK34" s="136"/>
      <c r="EL34" s="135">
        <v>719615</v>
      </c>
      <c r="EM34" s="135">
        <v>47694.2</v>
      </c>
      <c r="EN34" s="136">
        <v>47694.2</v>
      </c>
      <c r="EO34" s="135">
        <v>3121650.5</v>
      </c>
      <c r="EP34" s="136">
        <v>2831383</v>
      </c>
      <c r="EQ34" s="136">
        <v>0</v>
      </c>
      <c r="ER34" s="136">
        <v>1399</v>
      </c>
      <c r="ES34" s="136">
        <v>414715</v>
      </c>
      <c r="ET34" s="136">
        <v>7667293</v>
      </c>
      <c r="EU34" s="136">
        <v>457599</v>
      </c>
      <c r="EV34" s="136">
        <v>158061</v>
      </c>
      <c r="EW34" s="136">
        <v>136949</v>
      </c>
      <c r="EX34" s="135">
        <v>220851</v>
      </c>
      <c r="EY34" s="135">
        <v>1710153.9</v>
      </c>
      <c r="EZ34" s="140">
        <v>825925.5</v>
      </c>
      <c r="FA34" s="140">
        <v>765918</v>
      </c>
      <c r="FB34" s="145">
        <v>32068.2</v>
      </c>
      <c r="FC34" s="140">
        <v>3142</v>
      </c>
      <c r="FD34" s="383">
        <f>SUM(FE34:FM34)</f>
        <v>4135</v>
      </c>
      <c r="FE34" s="105">
        <f>FE67-FE66</f>
        <v>55</v>
      </c>
      <c r="FF34" s="546">
        <v>0</v>
      </c>
      <c r="FG34" s="105">
        <f t="shared" si="82"/>
        <v>37</v>
      </c>
      <c r="FH34" s="496">
        <v>1345</v>
      </c>
      <c r="FI34" s="546">
        <v>543</v>
      </c>
      <c r="FJ34" s="105">
        <f t="shared" si="78"/>
        <v>0</v>
      </c>
      <c r="FK34" s="546">
        <v>849</v>
      </c>
      <c r="FL34" s="546">
        <v>916</v>
      </c>
      <c r="FM34" s="546">
        <v>390</v>
      </c>
      <c r="FN34" s="80">
        <v>1500</v>
      </c>
      <c r="FO34" s="104"/>
      <c r="FP34" s="488"/>
      <c r="FY34" s="119">
        <v>29</v>
      </c>
      <c r="FZ34" s="190"/>
      <c r="GA34" s="191"/>
      <c r="GB34" s="107"/>
      <c r="GC34" s="109"/>
      <c r="GD34" s="110"/>
      <c r="GE34" s="110"/>
      <c r="GF34" s="111"/>
      <c r="GG34" s="111"/>
      <c r="GH34" s="111"/>
      <c r="GI34" s="112"/>
      <c r="GJ34" s="111" t="e">
        <f t="shared" si="61"/>
        <v>#DIV/0!</v>
      </c>
      <c r="GK34" s="113"/>
    </row>
    <row r="35" spans="1:193" s="119" customFormat="1" ht="15" customHeight="1">
      <c r="B35" s="351">
        <v>43008</v>
      </c>
      <c r="D35" s="86">
        <v>6144.84</v>
      </c>
      <c r="E35" s="86">
        <v>3553.08</v>
      </c>
      <c r="F35" s="86">
        <v>3585.96</v>
      </c>
      <c r="G35" s="86">
        <v>6199.4079999999994</v>
      </c>
      <c r="H35" s="86">
        <v>7973.5870000000004</v>
      </c>
      <c r="I35" s="86">
        <v>2656.04</v>
      </c>
      <c r="J35" s="86">
        <v>7984.2840000000006</v>
      </c>
      <c r="K35" s="284">
        <v>0</v>
      </c>
      <c r="L35" s="284"/>
      <c r="M35" s="115">
        <f t="shared" si="62"/>
        <v>10640.324000000001</v>
      </c>
      <c r="N35" s="88">
        <f t="shared" si="18"/>
        <v>27456.875</v>
      </c>
      <c r="O35" s="88">
        <f t="shared" si="19"/>
        <v>32777.036999999997</v>
      </c>
      <c r="P35" s="89">
        <f t="shared" si="20"/>
        <v>566165.13199999998</v>
      </c>
      <c r="R35" s="170">
        <f t="shared" si="21"/>
        <v>191</v>
      </c>
      <c r="S35" s="170">
        <f t="shared" si="22"/>
        <v>95.459999999997677</v>
      </c>
      <c r="T35" s="170">
        <f t="shared" si="1"/>
        <v>682.7</v>
      </c>
      <c r="U35" s="170">
        <f t="shared" si="74"/>
        <v>4.2900000000001457</v>
      </c>
      <c r="V35" s="170">
        <f t="shared" si="23"/>
        <v>1139</v>
      </c>
      <c r="W35" s="170">
        <f t="shared" si="2"/>
        <v>100.2</v>
      </c>
      <c r="X35" s="170">
        <f t="shared" si="24"/>
        <v>1139</v>
      </c>
      <c r="Y35" s="170" t="str">
        <f t="shared" si="25"/>
        <v>0</v>
      </c>
      <c r="Z35" s="170">
        <f t="shared" si="3"/>
        <v>185.8</v>
      </c>
      <c r="AA35" s="501">
        <f t="shared" si="26"/>
        <v>2112.449999999998</v>
      </c>
      <c r="AB35" s="170">
        <f t="shared" si="27"/>
        <v>165</v>
      </c>
      <c r="AC35" s="170">
        <f t="shared" si="27"/>
        <v>13</v>
      </c>
      <c r="AD35" s="501">
        <f t="shared" si="28"/>
        <v>352</v>
      </c>
      <c r="AE35" s="501">
        <f t="shared" si="29"/>
        <v>174</v>
      </c>
      <c r="AF35" s="170">
        <f t="shared" si="30"/>
        <v>103</v>
      </c>
      <c r="AG35" s="170">
        <f t="shared" si="30"/>
        <v>4.2000000000116415</v>
      </c>
      <c r="AH35" s="501">
        <f t="shared" si="31"/>
        <v>148</v>
      </c>
      <c r="AI35" s="501">
        <f t="shared" si="32"/>
        <v>40.799999999988358</v>
      </c>
      <c r="AJ35" s="170">
        <f t="shared" si="33"/>
        <v>171</v>
      </c>
      <c r="AK35" s="170">
        <f t="shared" si="33"/>
        <v>1.2000000000043656</v>
      </c>
      <c r="AL35" s="501">
        <f t="shared" si="34"/>
        <v>281</v>
      </c>
      <c r="AM35" s="501">
        <f t="shared" si="35"/>
        <v>108.79999999999563</v>
      </c>
      <c r="AN35" s="170">
        <f t="shared" si="36"/>
        <v>23.30000000000291</v>
      </c>
      <c r="AO35" s="501">
        <f t="shared" si="4"/>
        <v>60.700000000011642</v>
      </c>
      <c r="AP35" s="170">
        <f t="shared" si="37"/>
        <v>30.899999999994179</v>
      </c>
      <c r="AQ35" s="501">
        <f t="shared" si="5"/>
        <v>34.100000000005821</v>
      </c>
      <c r="AR35" s="170">
        <f t="shared" si="38"/>
        <v>80.656000000000006</v>
      </c>
      <c r="AS35" s="501">
        <f t="shared" si="39"/>
        <v>127.65599999999995</v>
      </c>
      <c r="AT35" s="501">
        <f t="shared" si="40"/>
        <v>1048.6559999999999</v>
      </c>
      <c r="AU35" s="170">
        <f t="shared" si="63"/>
        <v>321</v>
      </c>
      <c r="AV35" s="501">
        <f t="shared" si="64"/>
        <v>23</v>
      </c>
      <c r="AW35" s="170">
        <f t="shared" si="65"/>
        <v>600</v>
      </c>
      <c r="AX35" s="501">
        <f t="shared" si="66"/>
        <v>30</v>
      </c>
      <c r="AY35" s="501" t="str">
        <f t="shared" si="66"/>
        <v/>
      </c>
      <c r="AZ35" s="170">
        <f t="shared" si="41"/>
        <v>287</v>
      </c>
      <c r="BA35" s="170">
        <v>96</v>
      </c>
      <c r="BB35" s="170">
        <f t="shared" si="42"/>
        <v>130.5</v>
      </c>
      <c r="BC35" s="170">
        <f t="shared" si="42"/>
        <v>877.10000000009313</v>
      </c>
      <c r="BD35" s="170">
        <f t="shared" si="43"/>
        <v>292</v>
      </c>
      <c r="BE35" s="90"/>
      <c r="BF35" s="90"/>
      <c r="BG35" s="501">
        <f t="shared" si="44"/>
        <v>1586.6000000000931</v>
      </c>
      <c r="BH35" s="501">
        <f t="shared" si="45"/>
        <v>1998.9899999999998</v>
      </c>
      <c r="BI35" s="90">
        <f t="shared" si="6"/>
        <v>-2052.5060000001085</v>
      </c>
      <c r="BJ35" s="90">
        <f t="shared" si="46"/>
        <v>5676.5060000001085</v>
      </c>
      <c r="BK35" s="92"/>
      <c r="BL35" s="331">
        <f>(FD35+FN35)-390</f>
        <v>5622.99</v>
      </c>
      <c r="BM35" s="93">
        <f t="shared" si="47"/>
        <v>178856.46999999997</v>
      </c>
      <c r="BN35" s="92"/>
      <c r="BO35" s="94">
        <f t="shared" si="48"/>
        <v>6.9563633880403361E-2</v>
      </c>
      <c r="BP35" s="94">
        <f t="shared" si="48"/>
        <v>3.4767248639911742E-2</v>
      </c>
      <c r="BQ35" s="94">
        <f t="shared" si="49"/>
        <v>0.24864446518403863</v>
      </c>
      <c r="BR35" s="94">
        <f t="shared" si="68"/>
        <v>0.41483235073182945</v>
      </c>
      <c r="BS35" s="94">
        <f t="shared" si="79"/>
        <v>0</v>
      </c>
      <c r="BT35" s="94">
        <f t="shared" si="79"/>
        <v>6.76697548428217E-2</v>
      </c>
      <c r="BU35" s="95">
        <f t="shared" si="79"/>
        <v>0.76937014864218822</v>
      </c>
      <c r="BV35" s="94">
        <f t="shared" si="8"/>
        <v>5.8272503399254792E-2</v>
      </c>
      <c r="BW35" s="94">
        <f t="shared" si="8"/>
        <v>2.9124048033993336E-2</v>
      </c>
      <c r="BX35" s="94">
        <f t="shared" si="8"/>
        <v>0.20828606319723167</v>
      </c>
      <c r="BY35" s="94">
        <f t="shared" si="50"/>
        <v>0.34749937890969224</v>
      </c>
      <c r="BZ35" s="95">
        <f t="shared" si="9"/>
        <v>0.64449083667934903</v>
      </c>
      <c r="CA35" s="96" t="e">
        <f>#REF!</f>
        <v>#REF!</v>
      </c>
      <c r="CB35" s="94">
        <f t="shared" si="51"/>
        <v>2.4607471383090548E-2</v>
      </c>
      <c r="CC35" s="95">
        <f t="shared" si="51"/>
        <v>3.8946778502278886E-2</v>
      </c>
      <c r="CD35" s="97">
        <f t="shared" si="10"/>
        <v>7.580220301562246E-2</v>
      </c>
      <c r="CE35" s="98">
        <f t="shared" si="10"/>
        <v>0.11997379027179994</v>
      </c>
      <c r="CF35" s="97">
        <f t="shared" si="52"/>
        <v>0.26851797605796085</v>
      </c>
      <c r="CG35" s="94">
        <f t="shared" si="52"/>
        <v>2.1155961750021157E-2</v>
      </c>
      <c r="CH35" s="95">
        <f t="shared" si="53"/>
        <v>0.57283834892364971</v>
      </c>
      <c r="CI35" s="96" t="e">
        <f>#REF!</f>
        <v>#REF!</v>
      </c>
      <c r="CJ35" s="94">
        <f t="shared" si="54"/>
        <v>0.28988933544980694</v>
      </c>
      <c r="CK35" s="94">
        <f t="shared" si="54"/>
        <v>1.182073018342295E-2</v>
      </c>
      <c r="CL35" s="95">
        <f t="shared" si="69"/>
        <v>0.41654001598613039</v>
      </c>
      <c r="CM35" s="95" t="e">
        <f>#REF!</f>
        <v>#REF!</v>
      </c>
      <c r="CN35" s="94">
        <f t="shared" si="55"/>
        <v>0.47685975303684369</v>
      </c>
      <c r="CO35" s="94">
        <f t="shared" si="55"/>
        <v>3.346384231849674E-3</v>
      </c>
      <c r="CP35" s="95">
        <f t="shared" si="56"/>
        <v>0.78361164095528113</v>
      </c>
      <c r="CQ35" s="95" t="e">
        <f>#REF!</f>
        <v>#REF!</v>
      </c>
      <c r="CR35" s="97">
        <f t="shared" si="70"/>
        <v>3.7584233849430319E-2</v>
      </c>
      <c r="CS35" s="95">
        <f t="shared" si="70"/>
        <v>9.7912574878136191E-2</v>
      </c>
      <c r="CT35" s="96" t="e">
        <f>#REF!</f>
        <v>#REF!</v>
      </c>
      <c r="CU35" s="97">
        <f t="shared" si="71"/>
        <v>3.875294770094586E-2</v>
      </c>
      <c r="CV35" s="95">
        <f t="shared" si="57"/>
        <v>4.2766197948308354E-2</v>
      </c>
      <c r="CW35" s="96" t="e">
        <f>#REF!</f>
        <v>#REF!</v>
      </c>
      <c r="CX35" s="99">
        <f t="shared" si="81"/>
        <v>9.7934416707648117E-2</v>
      </c>
      <c r="CY35" s="95">
        <f t="shared" si="81"/>
        <v>7.0171077391772791E-3</v>
      </c>
      <c r="CZ35" s="99">
        <f t="shared" si="81"/>
        <v>0.18305498450027685</v>
      </c>
      <c r="DA35" s="95">
        <f t="shared" si="81"/>
        <v>9.1527492250138426E-3</v>
      </c>
      <c r="DB35" s="94">
        <f t="shared" si="11"/>
        <v>8.756130091929909E-2</v>
      </c>
      <c r="DC35" s="94">
        <f t="shared" si="12"/>
        <v>3.9814459128810216E-2</v>
      </c>
      <c r="DD35" s="94">
        <f t="shared" si="12"/>
        <v>0.2675958781753498</v>
      </c>
      <c r="DE35" s="94">
        <f t="shared" si="12"/>
        <v>8.9086759123468071E-2</v>
      </c>
      <c r="DF35" s="94">
        <f t="shared" si="12"/>
        <v>0</v>
      </c>
      <c r="DG35" s="94">
        <f t="shared" si="12"/>
        <v>0</v>
      </c>
      <c r="DH35" s="95">
        <f t="shared" si="12"/>
        <v>0.48405839734692713</v>
      </c>
      <c r="DI35" s="96" t="e">
        <f>#REF!</f>
        <v>#REF!</v>
      </c>
      <c r="DJ35" s="95">
        <f t="shared" si="59"/>
        <v>0.6098751391103473</v>
      </c>
      <c r="DK35" s="96" t="e">
        <f>#REF!</f>
        <v>#REF!</v>
      </c>
      <c r="DL35" s="95">
        <f t="shared" si="60"/>
        <v>-0.62620242336124177</v>
      </c>
      <c r="DM35" s="96">
        <f t="shared" si="13"/>
        <v>0</v>
      </c>
      <c r="DN35" s="94">
        <f t="shared" si="14"/>
        <v>1.7318545297429138</v>
      </c>
      <c r="DO35" s="100">
        <v>3.4</v>
      </c>
      <c r="DP35" s="94">
        <f>IF($O35&lt;&gt;0,IF($O35&lt;&gt;0,BL35/$O35*10,0)," ")</f>
        <v>1.7155272454920194</v>
      </c>
      <c r="DQ35" s="94">
        <f>IF($P35&lt;&gt;0,IF($P35&lt;&gt;0,BM35/$P35*10,0)," ")</f>
        <v>3.1590866319899047</v>
      </c>
      <c r="DR35" s="101">
        <f t="shared" si="15"/>
        <v>3.17</v>
      </c>
      <c r="DS35" s="173"/>
      <c r="DT35" s="134">
        <v>30</v>
      </c>
      <c r="DU35" s="135">
        <v>637049</v>
      </c>
      <c r="DV35" s="135">
        <v>29777</v>
      </c>
      <c r="DW35" s="135">
        <v>5154206</v>
      </c>
      <c r="DX35" s="135">
        <v>122138</v>
      </c>
      <c r="DY35" s="135">
        <v>87307.1</v>
      </c>
      <c r="DZ35" s="135">
        <v>405777</v>
      </c>
      <c r="EA35" s="136">
        <v>242207</v>
      </c>
      <c r="EB35" s="136">
        <v>56138.9</v>
      </c>
      <c r="EC35" s="136">
        <v>423252</v>
      </c>
      <c r="ED35" s="135">
        <v>48417.3</v>
      </c>
      <c r="EE35" s="136">
        <v>40990.800000000003</v>
      </c>
      <c r="EF35" s="136">
        <v>43319.8</v>
      </c>
      <c r="EG35" s="135">
        <v>95014.9</v>
      </c>
      <c r="EH35" s="135">
        <v>187402.5</v>
      </c>
      <c r="EI35" s="135">
        <v>34687</v>
      </c>
      <c r="EJ35" s="136">
        <v>43205</v>
      </c>
      <c r="EK35" s="136"/>
      <c r="EL35" s="135">
        <v>719806</v>
      </c>
      <c r="EM35" s="135">
        <v>6827</v>
      </c>
      <c r="EN35" s="136">
        <v>47737.1</v>
      </c>
      <c r="EO35" s="135">
        <v>3122789.5</v>
      </c>
      <c r="EP35" s="136">
        <v>2832385</v>
      </c>
      <c r="EQ35" s="136">
        <v>0</v>
      </c>
      <c r="ER35" s="136">
        <v>1858</v>
      </c>
      <c r="ES35" s="136">
        <v>415683</v>
      </c>
      <c r="ET35" s="136">
        <v>7747949</v>
      </c>
      <c r="EU35" s="136">
        <v>458199</v>
      </c>
      <c r="EV35" s="136">
        <v>158382</v>
      </c>
      <c r="EW35" s="136">
        <v>137236</v>
      </c>
      <c r="EX35" s="135">
        <v>220981.5</v>
      </c>
      <c r="EY35" s="135">
        <v>1711031</v>
      </c>
      <c r="EZ35" s="140">
        <v>826880.1</v>
      </c>
      <c r="FA35" s="140">
        <v>766210</v>
      </c>
      <c r="FB35" s="145">
        <v>32157.5</v>
      </c>
      <c r="FC35" s="140">
        <v>3624</v>
      </c>
      <c r="FD35" s="104">
        <f>SUM(FE35:FM35)</f>
        <v>4892.99</v>
      </c>
      <c r="FE35" s="532">
        <f>800-767</f>
        <v>33</v>
      </c>
      <c r="FF35" s="371">
        <v>85</v>
      </c>
      <c r="FG35" s="105">
        <f t="shared" si="82"/>
        <v>266</v>
      </c>
      <c r="FH35" s="136">
        <v>1784</v>
      </c>
      <c r="FI35" s="371">
        <v>664</v>
      </c>
      <c r="FJ35" s="105">
        <f t="shared" si="78"/>
        <v>0</v>
      </c>
      <c r="FK35" s="371">
        <v>819.99</v>
      </c>
      <c r="FL35" s="371">
        <v>904</v>
      </c>
      <c r="FM35" s="371">
        <v>337</v>
      </c>
      <c r="FN35" s="554">
        <f>1500-380</f>
        <v>1120</v>
      </c>
      <c r="FO35" s="136">
        <v>1122696</v>
      </c>
      <c r="FP35" s="539" t="s">
        <v>308</v>
      </c>
      <c r="FY35" s="119">
        <v>30</v>
      </c>
      <c r="FZ35" s="190"/>
      <c r="GA35" s="192"/>
      <c r="GB35" s="190"/>
      <c r="GC35" s="109"/>
      <c r="GD35" s="110"/>
      <c r="GE35" s="110"/>
      <c r="GF35" s="111"/>
      <c r="GG35" s="111"/>
      <c r="GH35" s="111"/>
      <c r="GI35" s="112"/>
      <c r="GJ35" s="111" t="e">
        <f t="shared" si="61"/>
        <v>#DIV/0!</v>
      </c>
      <c r="GK35" s="113"/>
    </row>
    <row r="36" spans="1:193" s="119" customFormat="1" ht="15" customHeight="1">
      <c r="B36" s="351"/>
      <c r="D36" s="86"/>
      <c r="E36" s="86"/>
      <c r="F36" s="86"/>
      <c r="G36" s="86"/>
      <c r="H36" s="86"/>
      <c r="I36" s="86"/>
      <c r="J36" s="86"/>
      <c r="K36" s="284"/>
      <c r="L36" s="284"/>
      <c r="M36" s="115">
        <f t="shared" si="62"/>
        <v>0</v>
      </c>
      <c r="N36" s="88">
        <f t="shared" si="18"/>
        <v>0</v>
      </c>
      <c r="O36" s="88">
        <f t="shared" si="19"/>
        <v>0</v>
      </c>
      <c r="P36" s="89">
        <f t="shared" si="20"/>
        <v>566165.13199999998</v>
      </c>
      <c r="R36" s="170" t="str">
        <f t="shared" si="21"/>
        <v/>
      </c>
      <c r="S36" s="170" t="str">
        <f t="shared" si="22"/>
        <v/>
      </c>
      <c r="T36" s="170" t="str">
        <f t="shared" si="1"/>
        <v/>
      </c>
      <c r="U36" s="170" t="str">
        <f>IF(FB36=0,"",((EN36-EN35)/10))</f>
        <v/>
      </c>
      <c r="V36" s="170" t="str">
        <f t="shared" si="23"/>
        <v/>
      </c>
      <c r="W36" s="170" t="str">
        <f t="shared" si="2"/>
        <v/>
      </c>
      <c r="X36" s="170" t="str">
        <f t="shared" si="24"/>
        <v/>
      </c>
      <c r="Y36" s="170" t="str">
        <f t="shared" si="25"/>
        <v>0</v>
      </c>
      <c r="Z36" s="170" t="str">
        <f t="shared" si="3"/>
        <v/>
      </c>
      <c r="AA36" s="501" t="str">
        <f t="shared" si="26"/>
        <v/>
      </c>
      <c r="AB36" s="170" t="str">
        <f t="shared" si="27"/>
        <v/>
      </c>
      <c r="AC36" s="170" t="str">
        <f t="shared" si="27"/>
        <v/>
      </c>
      <c r="AD36" s="501"/>
      <c r="AE36" s="501" t="str">
        <f t="shared" si="29"/>
        <v/>
      </c>
      <c r="AF36" s="170" t="str">
        <f t="shared" si="30"/>
        <v/>
      </c>
      <c r="AG36" s="170" t="str">
        <f t="shared" si="30"/>
        <v/>
      </c>
      <c r="AH36" s="501"/>
      <c r="AI36" s="501" t="str">
        <f t="shared" si="32"/>
        <v/>
      </c>
      <c r="AJ36" s="170" t="str">
        <f>IF(EA36=0,"",(EA36-EA35))</f>
        <v/>
      </c>
      <c r="AK36" s="170" t="str">
        <f>IF(EB36=0,"",(EB36-EB35))</f>
        <v/>
      </c>
      <c r="AL36" s="501"/>
      <c r="AM36" s="501" t="str">
        <f t="shared" si="35"/>
        <v/>
      </c>
      <c r="AN36" s="170" t="str">
        <f t="shared" si="36"/>
        <v/>
      </c>
      <c r="AO36" s="501" t="str">
        <f t="shared" si="4"/>
        <v/>
      </c>
      <c r="AP36" s="170" t="str">
        <f t="shared" si="37"/>
        <v/>
      </c>
      <c r="AQ36" s="501" t="str">
        <f t="shared" si="5"/>
        <v/>
      </c>
      <c r="AR36" s="170" t="str">
        <f t="shared" si="38"/>
        <v/>
      </c>
      <c r="AS36" s="501" t="str">
        <f t="shared" si="39"/>
        <v/>
      </c>
      <c r="AT36" s="501" t="str">
        <f t="shared" si="40"/>
        <v/>
      </c>
      <c r="AU36" s="170" t="str">
        <f>IF(EV36="","",(EV36-EU34))</f>
        <v/>
      </c>
      <c r="AV36" s="501" t="str">
        <f t="shared" si="64"/>
        <v/>
      </c>
      <c r="AW36" s="170" t="str">
        <f t="shared" si="65"/>
        <v/>
      </c>
      <c r="AX36" s="501" t="str">
        <f t="shared" si="66"/>
        <v/>
      </c>
      <c r="AY36" s="501" t="str">
        <f t="shared" si="66"/>
        <v/>
      </c>
      <c r="AZ36" s="170" t="str">
        <f t="shared" si="41"/>
        <v/>
      </c>
      <c r="BA36" s="170"/>
      <c r="BB36" s="170" t="str">
        <f t="shared" si="42"/>
        <v/>
      </c>
      <c r="BC36" s="170" t="str">
        <f t="shared" si="42"/>
        <v/>
      </c>
      <c r="BD36" s="170" t="str">
        <f t="shared" si="43"/>
        <v/>
      </c>
      <c r="BE36" s="90"/>
      <c r="BF36" s="90"/>
      <c r="BG36" s="501" t="str">
        <f t="shared" si="44"/>
        <v/>
      </c>
      <c r="BH36" s="501">
        <f t="shared" si="45"/>
        <v>0</v>
      </c>
      <c r="BI36" s="90" t="str">
        <f t="shared" si="6"/>
        <v/>
      </c>
      <c r="BJ36" s="90" t="str">
        <f t="shared" si="46"/>
        <v/>
      </c>
      <c r="BK36" s="92"/>
      <c r="BL36" s="331">
        <f>(FD36+FN36)</f>
        <v>0</v>
      </c>
      <c r="BM36" s="93">
        <f t="shared" si="47"/>
        <v>178856.46999999997</v>
      </c>
      <c r="BN36" s="92"/>
      <c r="BO36" s="94" t="str">
        <f>IF($N36&lt;&gt;0,IF($N36&lt;&gt;0,R36/$N36*10,0)," ")</f>
        <v xml:space="preserve"> </v>
      </c>
      <c r="BP36" s="94" t="str">
        <f>IF($N36&lt;&gt;0,IF($N36&lt;&gt;0,S36/$N36*10,0)," ")</f>
        <v xml:space="preserve"> </v>
      </c>
      <c r="BQ36" s="94" t="str">
        <f t="shared" si="49"/>
        <v xml:space="preserve"> </v>
      </c>
      <c r="BR36" s="94" t="str">
        <f t="shared" si="68"/>
        <v xml:space="preserve"> </v>
      </c>
      <c r="BS36" s="94" t="str">
        <f t="shared" si="79"/>
        <v xml:space="preserve"> </v>
      </c>
      <c r="BT36" s="94" t="str">
        <f t="shared" si="79"/>
        <v xml:space="preserve"> </v>
      </c>
      <c r="BU36" s="95" t="str">
        <f t="shared" si="79"/>
        <v xml:space="preserve"> </v>
      </c>
      <c r="BV36" s="94" t="str">
        <f>IF($O36&lt;&gt;0,IF($O36&lt;&gt;0,R36/$O36*10,0)," ")</f>
        <v xml:space="preserve"> </v>
      </c>
      <c r="BW36" s="94" t="str">
        <f>IF($O36&lt;&gt;0,IF($O36&lt;&gt;0,S36/$O36*10,0)," ")</f>
        <v xml:space="preserve"> </v>
      </c>
      <c r="BX36" s="94" t="str">
        <f>IF($O36&lt;&gt;0,IF($O36&lt;&gt;0,T36/$O36*10,0)," ")</f>
        <v xml:space="preserve"> </v>
      </c>
      <c r="BY36" s="94" t="str">
        <f t="shared" si="50"/>
        <v xml:space="preserve"> </v>
      </c>
      <c r="BZ36" s="95" t="str">
        <f t="shared" si="9"/>
        <v xml:space="preserve"> </v>
      </c>
      <c r="CA36" s="96" t="e">
        <f>#REF!</f>
        <v>#REF!</v>
      </c>
      <c r="CB36" s="94" t="str">
        <f t="shared" si="51"/>
        <v xml:space="preserve"> </v>
      </c>
      <c r="CC36" s="95" t="str">
        <f t="shared" si="51"/>
        <v xml:space="preserve"> </v>
      </c>
      <c r="CD36" s="97" t="str">
        <f>IFERROR(AR36*10/($I36+$J36),"")</f>
        <v/>
      </c>
      <c r="CE36" s="98" t="str">
        <f>IFERROR(AS36*10/($I36+$J36),"")</f>
        <v/>
      </c>
      <c r="CF36" s="97" t="str">
        <f t="shared" si="52"/>
        <v>0,00</v>
      </c>
      <c r="CG36" s="94" t="str">
        <f t="shared" si="52"/>
        <v>0,00</v>
      </c>
      <c r="CH36" s="95" t="str">
        <f t="shared" si="53"/>
        <v xml:space="preserve">0,00 </v>
      </c>
      <c r="CI36" s="96" t="e">
        <f>#REF!</f>
        <v>#REF!</v>
      </c>
      <c r="CJ36" s="94" t="str">
        <f t="shared" si="54"/>
        <v>0,00</v>
      </c>
      <c r="CK36" s="94" t="str">
        <f t="shared" si="54"/>
        <v>0,00</v>
      </c>
      <c r="CL36" s="95" t="str">
        <f t="shared" si="69"/>
        <v xml:space="preserve">0,00 </v>
      </c>
      <c r="CM36" s="95" t="e">
        <f>#REF!</f>
        <v>#REF!</v>
      </c>
      <c r="CN36" s="94" t="str">
        <f t="shared" si="55"/>
        <v>0,00</v>
      </c>
      <c r="CO36" s="94" t="str">
        <f t="shared" si="55"/>
        <v>0,00</v>
      </c>
      <c r="CP36" s="95" t="str">
        <f t="shared" si="56"/>
        <v xml:space="preserve">0,00 </v>
      </c>
      <c r="CQ36" s="95" t="e">
        <f>#REF!</f>
        <v>#REF!</v>
      </c>
      <c r="CR36" s="97" t="str">
        <f t="shared" si="70"/>
        <v xml:space="preserve">0,00 </v>
      </c>
      <c r="CS36" s="95" t="str">
        <f t="shared" si="70"/>
        <v xml:space="preserve">0,00 </v>
      </c>
      <c r="CT36" s="96" t="e">
        <f>#REF!</f>
        <v>#REF!</v>
      </c>
      <c r="CU36" s="97" t="str">
        <f t="shared" si="71"/>
        <v xml:space="preserve">0,00 </v>
      </c>
      <c r="CV36" s="95" t="str">
        <f t="shared" si="57"/>
        <v xml:space="preserve">0,00 </v>
      </c>
      <c r="CW36" s="96" t="e">
        <f>#REF!</f>
        <v>#REF!</v>
      </c>
      <c r="CX36" s="99" t="str">
        <f t="shared" si="81"/>
        <v xml:space="preserve"> </v>
      </c>
      <c r="CY36" s="95" t="str">
        <f t="shared" si="81"/>
        <v xml:space="preserve"> </v>
      </c>
      <c r="CZ36" s="99" t="str">
        <f t="shared" si="81"/>
        <v xml:space="preserve"> </v>
      </c>
      <c r="DA36" s="95" t="str">
        <f t="shared" si="81"/>
        <v xml:space="preserve"> </v>
      </c>
      <c r="DB36" s="94" t="str">
        <f t="shared" si="11"/>
        <v xml:space="preserve"> </v>
      </c>
      <c r="DC36" s="94" t="str">
        <f t="shared" ref="DC36:DH36" si="84">IF($O36&lt;&gt;0,IF($O36&lt;&gt;0,BB36/$O36*10,0)," ")</f>
        <v xml:space="preserve"> </v>
      </c>
      <c r="DD36" s="94" t="str">
        <f t="shared" si="84"/>
        <v xml:space="preserve"> </v>
      </c>
      <c r="DE36" s="94" t="str">
        <f t="shared" si="84"/>
        <v xml:space="preserve"> </v>
      </c>
      <c r="DF36" s="94" t="str">
        <f t="shared" si="84"/>
        <v xml:space="preserve"> </v>
      </c>
      <c r="DG36" s="94" t="str">
        <f t="shared" si="84"/>
        <v xml:space="preserve"> </v>
      </c>
      <c r="DH36" s="95" t="str">
        <f t="shared" si="84"/>
        <v xml:space="preserve"> </v>
      </c>
      <c r="DI36" s="96" t="e">
        <f>#REF!</f>
        <v>#REF!</v>
      </c>
      <c r="DJ36" s="95" t="str">
        <f t="shared" si="59"/>
        <v xml:space="preserve"> </v>
      </c>
      <c r="DK36" s="96" t="e">
        <f>#REF!</f>
        <v>#REF!</v>
      </c>
      <c r="DL36" s="95" t="str">
        <f t="shared" si="60"/>
        <v xml:space="preserve"> </v>
      </c>
      <c r="DM36" s="96">
        <f t="shared" si="13"/>
        <v>0</v>
      </c>
      <c r="DN36" s="94" t="str">
        <f t="shared" si="14"/>
        <v/>
      </c>
      <c r="DO36" s="100">
        <v>3.4</v>
      </c>
      <c r="DP36" s="94" t="str">
        <f>IF($O36&lt;&gt;0,IF($O36&lt;&gt;0,BL36/$O36*10,0)," ")</f>
        <v xml:space="preserve"> </v>
      </c>
      <c r="DQ36" s="94">
        <f>IF($P36&lt;&gt;0,IF($P36&lt;&gt;0,BM36/$P36*10,0)," ")</f>
        <v>3.1590866319899047</v>
      </c>
      <c r="DR36" s="101"/>
      <c r="DS36" s="173"/>
      <c r="DT36" s="134">
        <v>31</v>
      </c>
      <c r="DU36" s="361"/>
      <c r="DV36" s="361"/>
      <c r="DW36" s="361"/>
      <c r="DX36" s="361"/>
      <c r="DY36" s="361"/>
      <c r="DZ36" s="361"/>
      <c r="EA36" s="303"/>
      <c r="EB36" s="303"/>
      <c r="EC36" s="303"/>
      <c r="ED36" s="361"/>
      <c r="EE36" s="303"/>
      <c r="EF36" s="303"/>
      <c r="EG36" s="361"/>
      <c r="EH36" s="361"/>
      <c r="EI36" s="361"/>
      <c r="EJ36" s="303"/>
      <c r="EK36" s="303"/>
      <c r="EL36" s="361"/>
      <c r="EM36" s="361"/>
      <c r="EN36" s="303"/>
      <c r="EO36" s="361"/>
      <c r="EP36" s="303"/>
      <c r="EQ36" s="303"/>
      <c r="ER36" s="303"/>
      <c r="ES36" s="303"/>
      <c r="ET36" s="303"/>
      <c r="EU36" s="136"/>
      <c r="EV36" s="303"/>
      <c r="EW36" s="303"/>
      <c r="EX36" s="361"/>
      <c r="EY36" s="361"/>
      <c r="EZ36" s="361"/>
      <c r="FA36" s="361"/>
      <c r="FB36" s="303"/>
      <c r="FC36" s="361"/>
      <c r="FD36" s="104">
        <f t="shared" si="83"/>
        <v>0</v>
      </c>
      <c r="FE36" s="105"/>
      <c r="FF36" s="105"/>
      <c r="FG36" s="105"/>
      <c r="FH36" s="105"/>
      <c r="FI36" s="105"/>
      <c r="FJ36" s="104"/>
      <c r="FK36" s="267"/>
      <c r="FL36" s="267"/>
      <c r="FM36" s="267"/>
      <c r="FN36" s="80"/>
      <c r="FO36" s="389"/>
      <c r="FP36" s="486"/>
      <c r="FY36" s="119">
        <v>31</v>
      </c>
      <c r="FZ36" s="190"/>
      <c r="GA36" s="192"/>
      <c r="GB36" s="190"/>
      <c r="GC36" s="109"/>
      <c r="GD36" s="110"/>
      <c r="GE36" s="110"/>
      <c r="GF36" s="111"/>
      <c r="GG36" s="111"/>
      <c r="GH36" s="111"/>
      <c r="GI36" s="164"/>
      <c r="GJ36" s="111" t="e">
        <f t="shared" si="61"/>
        <v>#DIV/0!</v>
      </c>
    </row>
    <row r="37" spans="1:193" s="10" customFormat="1" ht="15" customHeight="1">
      <c r="A37" s="64" t="s">
        <v>127</v>
      </c>
      <c r="B37" s="351"/>
      <c r="C37" s="194"/>
      <c r="D37" s="195">
        <f>SUM(D6:D36)</f>
        <v>103537.67999999998</v>
      </c>
      <c r="E37" s="196">
        <f t="shared" ref="E37:M37" si="85">SUM(E6:E36)</f>
        <v>70634.880000000005</v>
      </c>
      <c r="F37" s="196">
        <f t="shared" si="85"/>
        <v>65467.224000000017</v>
      </c>
      <c r="G37" s="196">
        <f t="shared" si="85"/>
        <v>75223.186000000002</v>
      </c>
      <c r="H37" s="196">
        <f t="shared" si="85"/>
        <v>148879.71300000002</v>
      </c>
      <c r="I37" s="195">
        <f t="shared" si="85"/>
        <v>44611.976000000002</v>
      </c>
      <c r="J37" s="195">
        <f t="shared" si="85"/>
        <v>158292.75000000006</v>
      </c>
      <c r="K37" s="195">
        <f t="shared" si="85"/>
        <v>64.802999999999997</v>
      </c>
      <c r="L37" s="195">
        <f t="shared" si="85"/>
        <v>2929.1660000000006</v>
      </c>
      <c r="M37" s="458">
        <f t="shared" si="85"/>
        <v>202904.72600000002</v>
      </c>
      <c r="N37" s="199">
        <f>SUM(N6:N36)</f>
        <v>463742.68300000002</v>
      </c>
      <c r="O37" s="199">
        <f>SUM(O6:O36)</f>
        <v>566521.12199999997</v>
      </c>
      <c r="P37" s="200">
        <f>P36</f>
        <v>566165.13199999998</v>
      </c>
      <c r="Q37" s="201">
        <f>SUM(Q6:Q33)</f>
        <v>0</v>
      </c>
      <c r="R37" s="196">
        <f>SUM(R6:R36)</f>
        <v>5490.6999999999534</v>
      </c>
      <c r="S37" s="196">
        <f t="shared" ref="S37:Z37" si="86">SUM(S6:S36)</f>
        <v>2301.9699999999953</v>
      </c>
      <c r="T37" s="196">
        <f t="shared" si="86"/>
        <v>9819.643</v>
      </c>
      <c r="U37" s="483">
        <f t="shared" si="86"/>
        <v>105.74999999999999</v>
      </c>
      <c r="V37" s="483">
        <f t="shared" si="86"/>
        <v>26445.600000000093</v>
      </c>
      <c r="W37" s="483">
        <f t="shared" si="86"/>
        <v>2355.5999999999995</v>
      </c>
      <c r="X37" s="196">
        <f t="shared" si="86"/>
        <v>26445.600000000093</v>
      </c>
      <c r="Y37" s="196">
        <f t="shared" si="86"/>
        <v>1201.1000000000001</v>
      </c>
      <c r="Z37" s="196">
        <f t="shared" si="86"/>
        <v>3720.1420000000007</v>
      </c>
      <c r="AA37" s="502">
        <f>SUM(R37:V37)</f>
        <v>44163.663000000044</v>
      </c>
      <c r="AB37" s="196">
        <f t="shared" ref="AB37:AZ37" si="87">SUM(AB6:AB36)</f>
        <v>4082</v>
      </c>
      <c r="AC37" s="196">
        <f t="shared" si="87"/>
        <v>761</v>
      </c>
      <c r="AD37" s="501">
        <f t="shared" si="28"/>
        <v>4082</v>
      </c>
      <c r="AE37" s="502">
        <f>SUM(AE6:AE36)</f>
        <v>5009</v>
      </c>
      <c r="AF37" s="196">
        <f>SUM(AF6:AF36)</f>
        <v>2097.6999999999971</v>
      </c>
      <c r="AG37" s="196">
        <f>SUM(AG6:AG36)</f>
        <v>1015.4000000000087</v>
      </c>
      <c r="AH37" s="502">
        <f t="shared" si="87"/>
        <v>4776.6999999999971</v>
      </c>
      <c r="AI37" s="502">
        <f t="shared" si="87"/>
        <v>1663.5999999999913</v>
      </c>
      <c r="AJ37" s="196">
        <f t="shared" si="87"/>
        <v>3630</v>
      </c>
      <c r="AK37" s="196">
        <f t="shared" si="87"/>
        <v>730</v>
      </c>
      <c r="AL37" s="502">
        <f t="shared" si="87"/>
        <v>7904</v>
      </c>
      <c r="AM37" s="502">
        <f t="shared" si="87"/>
        <v>3544</v>
      </c>
      <c r="AN37" s="196">
        <f t="shared" si="87"/>
        <v>309</v>
      </c>
      <c r="AO37" s="502">
        <f t="shared" si="87"/>
        <v>840.50000000000728</v>
      </c>
      <c r="AP37" s="196">
        <f>SUM(AP6:AP36)</f>
        <v>953.19999999999709</v>
      </c>
      <c r="AQ37" s="502">
        <f t="shared" si="87"/>
        <v>1771.300000000032</v>
      </c>
      <c r="AR37" s="196">
        <f t="shared" si="87"/>
        <v>2679.3040000000005</v>
      </c>
      <c r="AS37" s="502">
        <f t="shared" si="87"/>
        <v>3858.3040000000001</v>
      </c>
      <c r="AT37" s="502">
        <f t="shared" si="87"/>
        <v>24937.304000000004</v>
      </c>
      <c r="AU37" s="204">
        <f t="shared" si="87"/>
        <v>6834</v>
      </c>
      <c r="AV37" s="502">
        <f t="shared" si="87"/>
        <v>1070</v>
      </c>
      <c r="AW37" s="365">
        <f>SUM(AW6:AW36)</f>
        <v>14245</v>
      </c>
      <c r="AX37" s="502">
        <f t="shared" si="87"/>
        <v>920</v>
      </c>
      <c r="AY37" s="502">
        <f t="shared" si="87"/>
        <v>0</v>
      </c>
      <c r="AZ37" s="196">
        <f t="shared" si="87"/>
        <v>8415</v>
      </c>
      <c r="BA37" s="483">
        <f>SUM(BA6:BA36)</f>
        <v>1980</v>
      </c>
      <c r="BB37" s="483">
        <f>SUM(BB6:BB35)</f>
        <v>4566</v>
      </c>
      <c r="BC37" s="483">
        <f t="shared" ref="BC37:BJ37" si="88">SUM(BC6:BC36)</f>
        <v>19188.300000000047</v>
      </c>
      <c r="BD37" s="483">
        <f t="shared" si="88"/>
        <v>8248</v>
      </c>
      <c r="BE37" s="196">
        <f t="shared" si="88"/>
        <v>0</v>
      </c>
      <c r="BF37" s="196">
        <f t="shared" si="88"/>
        <v>0</v>
      </c>
      <c r="BG37" s="502">
        <f t="shared" si="88"/>
        <v>40417.300000000047</v>
      </c>
      <c r="BH37" s="502">
        <f t="shared" si="88"/>
        <v>102437.47</v>
      </c>
      <c r="BI37" s="196">
        <f t="shared" si="88"/>
        <v>-57090.444000000483</v>
      </c>
      <c r="BJ37" s="196">
        <f t="shared" si="88"/>
        <v>136652.76700000014</v>
      </c>
      <c r="BK37" s="205"/>
      <c r="BL37" s="196">
        <f>SUM(BL6:BL36)</f>
        <v>178856.46999999997</v>
      </c>
      <c r="BM37" s="196">
        <f>BM36</f>
        <v>178856.46999999997</v>
      </c>
      <c r="BN37" s="205"/>
      <c r="BO37" s="94">
        <f>IF($N37&lt;&gt;0,IF($N37&lt;&gt;0,R37/$N37*10,0)," ")</f>
        <v>0.11839971176429222</v>
      </c>
      <c r="BP37" s="206">
        <f>S37/$N$37/0.1</f>
        <v>4.9638950314176603E-2</v>
      </c>
      <c r="BQ37" s="94">
        <f>IF($N37&lt;&gt;0,IF($N37&lt;&gt;0,T37/$N37*10,0)," ")</f>
        <v>0.21174766438309497</v>
      </c>
      <c r="BR37" s="94">
        <f>IF($N37&lt;&gt;0,IF($N37&lt;&gt;0,(V37)/$N37*10,0)," ")</f>
        <v>0.57026452318170795</v>
      </c>
      <c r="BS37" s="206">
        <f>IF($N37&lt;&gt;0,IF($N37&lt;&gt;0,Y37/$N37*10,0)," ")</f>
        <v>2.590013910796303E-2</v>
      </c>
      <c r="BT37" s="206">
        <f>IF($N37&lt;&gt;0,IF($N37&lt;&gt;0,Z37/$N37*10,0)," ")</f>
        <v>8.0219961120119726E-2</v>
      </c>
      <c r="BU37" s="207">
        <f>IF($N37&lt;&gt;0,IF($N37&lt;&gt;0,AA37/$N37*10,0)," ")</f>
        <v>0.95233120907268409</v>
      </c>
      <c r="BV37" s="206">
        <f>R37/$O$37/0.1</f>
        <v>9.6919599054242384E-2</v>
      </c>
      <c r="BW37" s="206">
        <f>S37/$O$37/0.1</f>
        <v>4.0633436435226072E-2</v>
      </c>
      <c r="BX37" s="206">
        <f>(T37+U37)/$O$37/0.1</f>
        <v>0.17519899284531884</v>
      </c>
      <c r="BY37" s="206">
        <f>(V37)/$O$37/0.1</f>
        <v>0.46680695516945075</v>
      </c>
      <c r="BZ37" s="198">
        <f>AA37/$O$37/0.1</f>
        <v>0.77955898350423802</v>
      </c>
      <c r="CA37" s="208" t="e">
        <f>#REF!</f>
        <v>#REF!</v>
      </c>
      <c r="CB37" s="209">
        <f>IF($O37&lt;&gt;0,IF($O37&lt;&gt;0,AR37/$O37*10,0)," ")</f>
        <v>4.7293982447489405E-2</v>
      </c>
      <c r="CC37" s="210">
        <f>IF($O37&lt;&gt;0,IF($O37&lt;&gt;0,AS37/$O37*10,0)," ")</f>
        <v>6.8105210029574148E-2</v>
      </c>
      <c r="CD37" s="211">
        <f>IFERROR(AR37*10/($I37+$J37),"")</f>
        <v>0.13204739252845199</v>
      </c>
      <c r="CE37" s="212">
        <f>IFERROR(AS37*10/(($I37+$J37)),"")</f>
        <v>0.19015348119589875</v>
      </c>
      <c r="CF37" s="206">
        <f>AB37/$D$37/0.1</f>
        <v>0.3942526044624528</v>
      </c>
      <c r="CG37" s="206">
        <f>AC37/$D$37/0.1</f>
        <v>7.3499811855934974E-2</v>
      </c>
      <c r="CH37" s="198">
        <f>AD37/$D$37/0.1</f>
        <v>0.3942526044624528</v>
      </c>
      <c r="CI37" s="208" t="e">
        <f>#REF!</f>
        <v>#REF!</v>
      </c>
      <c r="CJ37" s="206">
        <f>AF37/$E$37/0.1</f>
        <v>0.29697792365471515</v>
      </c>
      <c r="CK37" s="206">
        <f>AG37/$E$37/0.1</f>
        <v>0.1437533411255188</v>
      </c>
      <c r="CL37" s="198">
        <f>AH37/$E$37/0.1</f>
        <v>0.6762522991473896</v>
      </c>
      <c r="CM37" s="95" t="e">
        <f>#REF!</f>
        <v>#REF!</v>
      </c>
      <c r="CN37" s="206">
        <f>AJ37/$F$37/0.1</f>
        <v>0.55447593134543149</v>
      </c>
      <c r="CO37" s="206">
        <f>AK37/$F$37/0.1</f>
        <v>0.11150617903089946</v>
      </c>
      <c r="CP37" s="198">
        <f>AL37/$F$37/0.1</f>
        <v>1.2073216973427798</v>
      </c>
      <c r="CQ37" s="213" t="e">
        <f>#REF!</f>
        <v>#REF!</v>
      </c>
      <c r="CR37" s="214">
        <f>AN37/$G$37/0.1</f>
        <v>4.1077760253334657E-2</v>
      </c>
      <c r="CS37" s="198">
        <f>AO37/$G$37/0.1</f>
        <v>0.11173416664378018</v>
      </c>
      <c r="CT37" s="208" t="e">
        <f>#REF!</f>
        <v>#REF!</v>
      </c>
      <c r="CU37" s="214">
        <f>AP37/$H$37/0.1</f>
        <v>6.4024841316022471E-2</v>
      </c>
      <c r="CV37" s="198">
        <f>AQ37/$H$37/0.1</f>
        <v>0.1189752427854312</v>
      </c>
      <c r="CW37" s="96" t="e">
        <f>#REF!</f>
        <v>#REF!</v>
      </c>
      <c r="CX37" s="99">
        <f t="shared" si="81"/>
        <v>0.12063098328750398</v>
      </c>
      <c r="CY37" s="95">
        <f t="shared" si="81"/>
        <v>1.888720399731186E-2</v>
      </c>
      <c r="CZ37" s="99">
        <f>IF($O37&lt;&gt;0,IF($O37&lt;&gt;0,AW37/$O37*10,0)," ")</f>
        <v>0.25144693545953967</v>
      </c>
      <c r="DA37" s="198">
        <f>IF($O37&lt;&gt;0,IF($O37&lt;&gt;0,AX37/$O37*10,0)," ")</f>
        <v>1.6239465119184032E-2</v>
      </c>
      <c r="DB37" s="206">
        <f>AZ37/$O$37/0.1</f>
        <v>0.1485381510629713</v>
      </c>
      <c r="DC37" s="206">
        <f t="shared" ref="DC37:DH37" si="89">BB37/$O$37/0.1</f>
        <v>8.0597171450211169E-2</v>
      </c>
      <c r="DD37" s="215">
        <f t="shared" si="89"/>
        <v>0.33870405276786919</v>
      </c>
      <c r="DE37" s="215">
        <f t="shared" si="89"/>
        <v>0.14559033511198899</v>
      </c>
      <c r="DF37" s="215">
        <f t="shared" si="89"/>
        <v>0</v>
      </c>
      <c r="DG37" s="215">
        <f t="shared" si="89"/>
        <v>0</v>
      </c>
      <c r="DH37" s="216">
        <f t="shared" si="89"/>
        <v>0.71342971039304059</v>
      </c>
      <c r="DI37" s="217" t="e">
        <f>#REF!</f>
        <v>#REF!</v>
      </c>
      <c r="DJ37" s="216">
        <f>BH37/$O$37/0.1</f>
        <v>1.8081844793070223</v>
      </c>
      <c r="DK37" s="217" t="e">
        <f>#REF!</f>
        <v>#REF!</v>
      </c>
      <c r="DL37" s="213">
        <f>BI37/$O$37/0.1</f>
        <v>-1.0077372543225402</v>
      </c>
      <c r="DM37" s="96">
        <f t="shared" si="13"/>
        <v>0</v>
      </c>
      <c r="DN37" s="206">
        <f>BJ37/$O$37/0.1</f>
        <v>2.4121389599309615</v>
      </c>
      <c r="DO37" s="100">
        <v>3.4</v>
      </c>
      <c r="DP37" s="206">
        <f>BL37/$O$37/0.1</f>
        <v>3.1571015281580266</v>
      </c>
      <c r="DQ37" s="218" t="str">
        <f>IF($Q37&lt;&gt;0,IF($Q37&lt;&gt;0,BM37/$Q37*10,0)," ")</f>
        <v xml:space="preserve"> </v>
      </c>
      <c r="DR37" s="101" t="e">
        <f>#REF!</f>
        <v>#REF!</v>
      </c>
      <c r="DS37" s="64"/>
      <c r="DT37" s="64"/>
      <c r="DU37" s="219"/>
      <c r="DV37" s="219"/>
      <c r="DW37" s="219"/>
      <c r="DX37" s="219"/>
      <c r="DY37" s="219"/>
      <c r="DZ37" s="219"/>
      <c r="EA37" s="219"/>
      <c r="EB37" s="471"/>
      <c r="EC37" s="219"/>
      <c r="ED37" s="219"/>
      <c r="EE37" s="219"/>
      <c r="EF37" s="219"/>
      <c r="EG37" s="219"/>
      <c r="EH37" s="219"/>
      <c r="EI37" s="219"/>
      <c r="EJ37" s="471"/>
      <c r="EK37" s="471"/>
      <c r="EL37" s="219"/>
      <c r="EM37" s="219"/>
      <c r="EN37" s="471"/>
      <c r="EO37" s="219"/>
      <c r="EP37" s="471"/>
      <c r="EQ37" s="471"/>
      <c r="ER37" s="471"/>
      <c r="ES37" s="471"/>
      <c r="ET37" s="471"/>
      <c r="EU37" s="472"/>
      <c r="EV37" s="472"/>
      <c r="EW37" s="471"/>
      <c r="EX37" s="219"/>
      <c r="EY37" s="219"/>
      <c r="EZ37" s="219"/>
      <c r="FA37" s="219"/>
      <c r="FB37" s="219"/>
      <c r="FC37" s="219"/>
      <c r="FD37" s="471"/>
      <c r="FE37" s="574" t="s">
        <v>129</v>
      </c>
      <c r="FF37" s="575"/>
      <c r="FG37" s="575"/>
      <c r="FH37" s="575"/>
      <c r="FI37" s="575"/>
      <c r="FJ37" s="575"/>
      <c r="FK37" s="575"/>
      <c r="FL37" s="575"/>
      <c r="FM37" s="576"/>
      <c r="FN37" s="471">
        <f>SUM(FN6:FN36)</f>
        <v>30297</v>
      </c>
      <c r="FO37" s="471"/>
      <c r="FP37" s="64"/>
      <c r="FQ37" s="64"/>
      <c r="FR37" s="64"/>
      <c r="FS37" s="64"/>
      <c r="FT37" s="64"/>
      <c r="FU37" s="64"/>
      <c r="FV37" s="64"/>
      <c r="FW37" s="64"/>
      <c r="FX37" s="64"/>
      <c r="FY37" s="64"/>
      <c r="FZ37" s="221">
        <f>SUM(FZ6:FZ36)</f>
        <v>38276</v>
      </c>
      <c r="GA37" s="221">
        <f t="shared" ref="GA37:GI37" si="90">SUM(GA6:GA36)</f>
        <v>6040</v>
      </c>
      <c r="GB37" s="221">
        <f t="shared" si="90"/>
        <v>6.4779304812053722</v>
      </c>
      <c r="GC37" s="221">
        <f t="shared" si="90"/>
        <v>0</v>
      </c>
      <c r="GD37" s="221">
        <f t="shared" si="90"/>
        <v>0</v>
      </c>
      <c r="GE37" s="221">
        <f t="shared" si="90"/>
        <v>0</v>
      </c>
      <c r="GF37" s="221">
        <f t="shared" si="90"/>
        <v>0</v>
      </c>
      <c r="GG37" s="221">
        <f t="shared" si="90"/>
        <v>0</v>
      </c>
      <c r="GH37" s="221">
        <f t="shared" si="90"/>
        <v>0</v>
      </c>
      <c r="GI37" s="221">
        <f t="shared" si="90"/>
        <v>0</v>
      </c>
      <c r="GJ37" s="111">
        <f t="shared" si="61"/>
        <v>0</v>
      </c>
      <c r="GK37" s="222"/>
    </row>
    <row r="38" spans="1:193" s="10" customFormat="1">
      <c r="A38" s="64"/>
      <c r="B38" s="351"/>
      <c r="C38" s="64"/>
      <c r="D38" s="478">
        <v>103537.67999999998</v>
      </c>
      <c r="E38" s="478">
        <v>70634.880000000005</v>
      </c>
      <c r="F38" s="479">
        <v>65467.224000000017</v>
      </c>
      <c r="G38" s="479">
        <v>75223.186000000002</v>
      </c>
      <c r="H38" s="478">
        <v>148879.71299999996</v>
      </c>
      <c r="I38" s="478">
        <v>44611.976000000002</v>
      </c>
      <c r="J38" s="478">
        <v>158292.75</v>
      </c>
      <c r="K38" s="478">
        <v>64.803000000000011</v>
      </c>
      <c r="L38" s="478">
        <v>2929.16</v>
      </c>
      <c r="M38" s="480"/>
      <c r="N38" s="481"/>
      <c r="O38" s="227"/>
      <c r="P38" s="102"/>
      <c r="Q38" s="64"/>
      <c r="R38" s="228"/>
      <c r="S38" s="228"/>
      <c r="T38" s="228"/>
      <c r="U38" s="228"/>
      <c r="V38" s="229"/>
      <c r="W38" s="229"/>
      <c r="X38" s="229"/>
      <c r="Y38" s="229"/>
      <c r="Z38" s="229"/>
      <c r="AA38" s="230"/>
      <c r="AB38" s="152"/>
      <c r="AC38" s="152"/>
      <c r="AD38" s="153"/>
      <c r="AE38" s="231"/>
      <c r="AF38" s="152"/>
      <c r="AG38" s="152"/>
      <c r="AH38" s="152"/>
      <c r="AI38" s="231"/>
      <c r="AJ38" s="152"/>
      <c r="AK38" s="152"/>
      <c r="AL38" s="152"/>
      <c r="AM38" s="231"/>
      <c r="AN38" s="152"/>
      <c r="AO38" s="231"/>
      <c r="AP38" s="152"/>
      <c r="AQ38" s="231"/>
      <c r="AR38" s="232"/>
      <c r="AS38" s="230"/>
      <c r="AT38" s="230"/>
      <c r="AU38" s="232"/>
      <c r="AV38" s="152"/>
      <c r="AW38" s="232"/>
      <c r="AX38" s="152"/>
      <c r="AY38" s="152"/>
      <c r="AZ38" s="152"/>
      <c r="BA38" s="152"/>
      <c r="BB38" s="152"/>
      <c r="BC38" s="395"/>
      <c r="BD38" s="228"/>
      <c r="BE38" s="228"/>
      <c r="BF38" s="228"/>
      <c r="BG38" s="152"/>
      <c r="BH38" s="152"/>
      <c r="BI38" s="233"/>
      <c r="BJ38" s="233"/>
      <c r="BK38" s="234"/>
      <c r="BL38" s="235"/>
      <c r="BM38" s="233"/>
      <c r="BN38" s="234"/>
      <c r="BO38" s="178"/>
      <c r="BP38" s="178"/>
      <c r="BQ38" s="178"/>
      <c r="BR38" s="178"/>
      <c r="BS38" s="178"/>
      <c r="BT38" s="178"/>
      <c r="BU38" s="178"/>
      <c r="BV38" s="178"/>
      <c r="BW38" s="178"/>
      <c r="BX38" s="178"/>
      <c r="BY38" s="178"/>
      <c r="BZ38" s="64"/>
      <c r="CA38" s="236"/>
      <c r="CB38" s="236"/>
      <c r="CC38" s="236"/>
      <c r="CD38" s="236"/>
      <c r="CE38" s="236"/>
      <c r="CF38" s="237"/>
      <c r="CG38" s="237"/>
      <c r="CH38" s="64"/>
      <c r="CI38" s="236"/>
      <c r="CJ38" s="236"/>
      <c r="CK38" s="236"/>
      <c r="CL38" s="236"/>
      <c r="CM38" s="236"/>
      <c r="CN38" s="236"/>
      <c r="CO38" s="236"/>
      <c r="CP38" s="236"/>
      <c r="CQ38" s="236"/>
      <c r="CR38" s="64"/>
      <c r="CS38" s="238"/>
      <c r="CT38" s="236"/>
      <c r="CU38" s="236"/>
      <c r="CV38" s="239"/>
      <c r="CW38" s="236"/>
      <c r="CX38" s="236"/>
      <c r="CY38" s="236"/>
      <c r="CZ38" s="236"/>
      <c r="DA38" s="236"/>
      <c r="DB38" s="64"/>
      <c r="DC38" s="64"/>
      <c r="DD38" s="64"/>
      <c r="DE38" s="64"/>
      <c r="DF38" s="64"/>
      <c r="DG38" s="64"/>
      <c r="DH38" s="240"/>
      <c r="DI38" s="236"/>
      <c r="DJ38" s="241"/>
      <c r="DK38" s="242"/>
      <c r="DL38" s="243"/>
      <c r="DM38" s="242"/>
      <c r="DN38" s="64"/>
      <c r="DO38" s="100"/>
      <c r="DP38" s="240"/>
      <c r="DQ38" s="244"/>
      <c r="DR38" s="245"/>
      <c r="DS38" s="64"/>
      <c r="DT38" s="64"/>
      <c r="DU38" s="246"/>
      <c r="DV38" s="246"/>
      <c r="DW38" s="246"/>
      <c r="DX38" s="219"/>
      <c r="DY38" s="219"/>
      <c r="DZ38" s="219"/>
      <c r="EA38" s="246"/>
      <c r="EB38" s="246"/>
      <c r="EC38" s="9"/>
      <c r="ED38" s="9"/>
      <c r="EE38" s="246"/>
      <c r="EF38" s="246"/>
      <c r="EG38" s="9"/>
      <c r="EH38" s="9"/>
      <c r="EI38" s="9"/>
      <c r="EJ38" s="64"/>
      <c r="EK38" s="64"/>
      <c r="EL38" s="460"/>
      <c r="EM38" s="9"/>
      <c r="EN38" s="64"/>
      <c r="EO38" s="9"/>
      <c r="EP38" s="471"/>
      <c r="EQ38" s="64"/>
      <c r="ER38" s="64"/>
      <c r="ES38" s="247"/>
      <c r="ET38" s="175"/>
      <c r="EU38" s="471"/>
      <c r="EV38" s="471"/>
      <c r="EW38" s="246"/>
      <c r="EX38" s="64"/>
      <c r="EY38" s="64"/>
      <c r="EZ38" s="64"/>
      <c r="FA38" s="64"/>
      <c r="FB38" s="64"/>
      <c r="FC38" s="454"/>
      <c r="FD38" s="468" t="s">
        <v>53</v>
      </c>
      <c r="FE38" s="267"/>
      <c r="FF38" s="136">
        <v>927217</v>
      </c>
      <c r="FG38" s="136">
        <v>968968</v>
      </c>
      <c r="FH38" s="136">
        <v>1099865</v>
      </c>
      <c r="FI38" s="136">
        <v>830536</v>
      </c>
      <c r="FJ38" s="136">
        <v>1292245</v>
      </c>
      <c r="FK38" s="136">
        <v>81181.7</v>
      </c>
      <c r="FL38" s="136">
        <v>334479</v>
      </c>
      <c r="FM38" s="136">
        <v>876579</v>
      </c>
      <c r="FN38" s="152"/>
      <c r="FO38" s="152"/>
      <c r="FP38" s="471"/>
      <c r="FQ38" s="9"/>
      <c r="FR38" s="64"/>
      <c r="FS38" s="64"/>
      <c r="FT38" s="64"/>
      <c r="FU38" s="64"/>
      <c r="FV38" s="64"/>
      <c r="FW38" s="64"/>
      <c r="FX38" s="64"/>
      <c r="FY38" s="64"/>
      <c r="FZ38" s="9"/>
      <c r="GA38" s="64"/>
      <c r="GB38" s="64"/>
      <c r="GC38" s="64"/>
      <c r="GD38" s="64"/>
      <c r="GE38" s="64"/>
      <c r="GF38" s="64"/>
      <c r="GG38" s="64"/>
      <c r="GH38" s="64"/>
      <c r="GI38" s="64"/>
      <c r="GJ38" s="64"/>
    </row>
    <row r="39" spans="1:193" s="10" customFormat="1">
      <c r="A39" s="64"/>
      <c r="B39" s="64"/>
      <c r="C39" s="64"/>
      <c r="D39" s="482"/>
      <c r="E39" s="482"/>
      <c r="F39" s="482"/>
      <c r="G39" s="482"/>
      <c r="H39" s="482"/>
      <c r="I39" s="482"/>
      <c r="J39" s="482"/>
      <c r="K39" s="482"/>
      <c r="L39" s="482"/>
      <c r="M39" s="254"/>
      <c r="N39" s="481"/>
      <c r="O39" s="256"/>
      <c r="P39" s="257"/>
      <c r="Q39" s="64"/>
      <c r="R39" s="258"/>
      <c r="S39" s="258"/>
      <c r="T39" s="258"/>
      <c r="U39" s="258"/>
      <c r="V39" s="258"/>
      <c r="W39" s="258"/>
      <c r="X39" s="258"/>
      <c r="Y39" s="258"/>
      <c r="Z39" s="258"/>
      <c r="AA39" s="258"/>
      <c r="AB39" s="152"/>
      <c r="AD39" s="231"/>
      <c r="AE39" s="152"/>
      <c r="AF39" s="152"/>
      <c r="AG39" s="152"/>
      <c r="AH39" s="152"/>
      <c r="AI39" s="152"/>
      <c r="AJ39" s="152"/>
      <c r="AK39" s="152"/>
      <c r="AL39" s="152"/>
      <c r="AM39" s="152"/>
      <c r="AN39" s="152"/>
      <c r="AO39" s="152"/>
      <c r="AP39" s="152"/>
      <c r="AQ39" s="152"/>
      <c r="AR39" s="258"/>
      <c r="AS39" s="258"/>
      <c r="AT39" s="258"/>
      <c r="AU39" s="258"/>
      <c r="AV39" s="152"/>
      <c r="AW39" s="258"/>
      <c r="AX39" s="152"/>
      <c r="AY39" s="152"/>
      <c r="AZ39" s="152"/>
      <c r="BA39" s="152"/>
      <c r="BB39" s="152"/>
      <c r="BC39" s="231"/>
      <c r="BD39" s="231"/>
      <c r="BE39" s="231"/>
      <c r="BF39" s="231"/>
      <c r="BG39" s="152"/>
      <c r="BH39" s="231"/>
      <c r="BI39" s="116"/>
      <c r="BJ39" s="116"/>
      <c r="BK39" s="259"/>
      <c r="BL39" s="260"/>
      <c r="BM39" s="165"/>
      <c r="BN39" s="259"/>
      <c r="BO39" s="64"/>
      <c r="BP39" s="64"/>
      <c r="BQ39" s="64"/>
      <c r="BR39" s="116"/>
      <c r="BS39" s="116"/>
      <c r="BT39" s="116"/>
      <c r="BU39" s="116"/>
      <c r="BV39" s="64"/>
      <c r="BW39" s="64"/>
      <c r="BX39" s="64"/>
      <c r="BY39" s="116"/>
      <c r="BZ39" s="243"/>
      <c r="CA39" s="243"/>
      <c r="CB39" s="243"/>
      <c r="CC39" s="243"/>
      <c r="CD39" s="243"/>
      <c r="CE39" s="243"/>
      <c r="CF39" s="454"/>
      <c r="CG39" s="237"/>
      <c r="CH39" s="243"/>
      <c r="CI39" s="243"/>
      <c r="CJ39" s="243"/>
      <c r="CK39" s="243"/>
      <c r="CL39" s="243"/>
      <c r="CM39" s="243"/>
      <c r="CN39" s="243"/>
      <c r="CO39" s="243"/>
      <c r="CP39" s="243"/>
      <c r="CQ39" s="243"/>
      <c r="CR39" s="243"/>
      <c r="CS39" s="243"/>
      <c r="CT39" s="243"/>
      <c r="CU39" s="243"/>
      <c r="CV39" s="243"/>
      <c r="CW39" s="243"/>
      <c r="CX39" s="243"/>
      <c r="CY39" s="116"/>
      <c r="CZ39" s="243"/>
      <c r="DA39" s="243"/>
      <c r="DB39" s="243"/>
      <c r="DC39" s="243"/>
      <c r="DD39" s="116"/>
      <c r="DE39" s="116"/>
      <c r="DF39" s="116"/>
      <c r="DG39" s="116"/>
      <c r="DH39" s="243"/>
      <c r="DI39" s="243"/>
      <c r="DJ39" s="64"/>
      <c r="DK39" s="64"/>
      <c r="DL39" s="74"/>
      <c r="DM39" s="64"/>
      <c r="DN39" s="74"/>
      <c r="DO39" s="261"/>
      <c r="DP39" s="262"/>
      <c r="DQ39" s="263"/>
      <c r="DR39" s="244"/>
      <c r="DS39" s="64"/>
      <c r="DT39" s="64"/>
      <c r="DU39" s="246"/>
      <c r="DV39" s="246"/>
      <c r="DW39" s="246"/>
      <c r="DX39" s="219"/>
      <c r="DY39" s="219"/>
      <c r="DZ39" s="219"/>
      <c r="EA39" s="246"/>
      <c r="EB39" s="246"/>
      <c r="EC39" s="9"/>
      <c r="ED39" s="9"/>
      <c r="EE39" s="246"/>
      <c r="EF39" s="246"/>
      <c r="EG39" s="9"/>
      <c r="EH39" s="9"/>
      <c r="EI39" s="9"/>
      <c r="EJ39" s="64"/>
      <c r="EK39" s="64"/>
      <c r="EL39" s="9"/>
      <c r="EM39" s="9"/>
      <c r="EN39" s="64"/>
      <c r="EO39" s="9"/>
      <c r="EP39" s="471"/>
      <c r="EQ39" s="64"/>
      <c r="ER39" s="64"/>
      <c r="ES39" s="257"/>
      <c r="ET39" s="366"/>
      <c r="EU39" s="64"/>
      <c r="EV39" s="64"/>
      <c r="EW39" s="246"/>
      <c r="EX39" s="64"/>
      <c r="EY39" s="64"/>
      <c r="EZ39" s="64"/>
      <c r="FA39" s="64"/>
      <c r="FB39" s="64"/>
      <c r="FC39" s="152"/>
      <c r="FD39" s="468">
        <v>1</v>
      </c>
      <c r="FE39" s="267">
        <v>0</v>
      </c>
      <c r="FF39" s="267"/>
      <c r="FG39" s="136">
        <v>970881</v>
      </c>
      <c r="FH39" s="267"/>
      <c r="FI39" s="267"/>
      <c r="FJ39" s="136">
        <v>1293540</v>
      </c>
      <c r="FK39" s="267"/>
      <c r="FL39" s="267"/>
      <c r="FM39" s="250"/>
      <c r="FN39" s="492"/>
      <c r="FO39" s="152"/>
      <c r="FP39" s="465"/>
      <c r="FQ39" s="9"/>
      <c r="FR39" s="9"/>
      <c r="FS39" s="9"/>
      <c r="FT39" s="9"/>
      <c r="FU39" s="9"/>
      <c r="FV39" s="9"/>
      <c r="FW39" s="9"/>
      <c r="FX39" s="9"/>
      <c r="FY39" s="9"/>
      <c r="FZ39" s="246"/>
      <c r="GA39" s="64"/>
      <c r="GB39" s="64"/>
      <c r="GC39" s="64"/>
      <c r="GD39" s="64"/>
      <c r="GE39" s="64"/>
      <c r="GF39" s="64"/>
      <c r="GG39" s="64"/>
      <c r="GH39" s="64"/>
      <c r="GI39" s="64"/>
      <c r="GJ39" s="64"/>
    </row>
    <row r="40" spans="1:193">
      <c r="D40" s="524"/>
      <c r="E40" s="524"/>
      <c r="F40" s="524"/>
      <c r="G40" s="524"/>
      <c r="H40" s="524"/>
      <c r="I40" s="524"/>
      <c r="J40" s="524"/>
      <c r="K40" s="524"/>
      <c r="L40" s="524"/>
      <c r="M40" s="152"/>
      <c r="N40" s="454"/>
      <c r="O40" s="454"/>
      <c r="AB40" s="152"/>
      <c r="BA40" s="454"/>
      <c r="FC40" s="471"/>
      <c r="FD40" s="468">
        <v>2</v>
      </c>
      <c r="FE40" s="493">
        <v>0</v>
      </c>
      <c r="FF40" s="494">
        <v>0</v>
      </c>
      <c r="FG40" s="491">
        <v>970923</v>
      </c>
      <c r="FH40" s="303">
        <v>0</v>
      </c>
      <c r="FI40" s="303">
        <v>0</v>
      </c>
      <c r="FJ40" s="303">
        <v>1293821</v>
      </c>
      <c r="FK40" s="303">
        <v>0</v>
      </c>
      <c r="FL40" s="303">
        <v>0</v>
      </c>
      <c r="FM40" s="303">
        <v>0</v>
      </c>
      <c r="FN40" s="492"/>
      <c r="FO40" s="152">
        <f>FO35-FO6</f>
        <v>30297</v>
      </c>
    </row>
    <row r="41" spans="1:193">
      <c r="B41" s="471"/>
      <c r="D41" s="396"/>
      <c r="E41" s="396"/>
      <c r="F41" s="500"/>
      <c r="G41" s="500"/>
      <c r="H41" s="454"/>
      <c r="I41" s="454"/>
      <c r="J41" s="454"/>
      <c r="K41" s="454"/>
      <c r="L41" s="454"/>
      <c r="M41" s="152"/>
      <c r="N41" s="454"/>
      <c r="O41" s="454"/>
      <c r="BA41" s="454"/>
      <c r="CH41" s="178"/>
      <c r="CP41" s="178"/>
      <c r="FC41" s="471"/>
      <c r="FD41" s="468">
        <v>3</v>
      </c>
      <c r="FE41" s="367">
        <v>0</v>
      </c>
      <c r="FF41" s="495">
        <v>0</v>
      </c>
      <c r="FG41" s="136">
        <v>971177</v>
      </c>
      <c r="FH41" s="303">
        <v>0</v>
      </c>
      <c r="FI41" s="136">
        <v>0</v>
      </c>
      <c r="FJ41" s="303">
        <v>1293926</v>
      </c>
      <c r="FK41" s="136">
        <v>0</v>
      </c>
      <c r="FL41" s="303">
        <v>0</v>
      </c>
      <c r="FM41" s="303">
        <v>100</v>
      </c>
      <c r="FN41" s="492"/>
      <c r="FO41" s="152"/>
    </row>
    <row r="42" spans="1:193">
      <c r="D42" s="396"/>
      <c r="E42" s="396"/>
      <c r="F42" s="500"/>
      <c r="G42" s="503"/>
      <c r="H42" s="396"/>
      <c r="I42" s="454"/>
      <c r="J42" s="152"/>
      <c r="K42" s="454"/>
      <c r="L42" s="454"/>
      <c r="M42" s="396"/>
      <c r="N42" s="464"/>
      <c r="O42" s="454"/>
      <c r="BV42" s="454"/>
      <c r="FC42" s="471"/>
      <c r="FD42" s="468">
        <v>4</v>
      </c>
      <c r="FE42" s="287">
        <v>0</v>
      </c>
      <c r="FF42" s="267"/>
      <c r="FG42" s="136">
        <v>972562</v>
      </c>
      <c r="FH42" s="303"/>
      <c r="FI42" s="136"/>
      <c r="FJ42" s="303">
        <v>1294491</v>
      </c>
      <c r="FK42" s="136"/>
      <c r="FL42" s="136"/>
      <c r="FM42" s="136"/>
      <c r="FN42" s="264"/>
      <c r="FO42" s="152"/>
    </row>
    <row r="43" spans="1:193">
      <c r="D43" s="396"/>
      <c r="E43" s="396"/>
      <c r="F43" s="454"/>
      <c r="G43" s="503"/>
      <c r="H43" s="396"/>
      <c r="I43" s="454"/>
      <c r="J43" s="152"/>
      <c r="K43" s="454"/>
      <c r="L43" s="454"/>
      <c r="M43" s="454"/>
      <c r="N43" s="464"/>
      <c r="O43" s="454"/>
      <c r="FC43" s="471"/>
      <c r="FD43" s="468">
        <v>5</v>
      </c>
      <c r="FE43" s="267">
        <v>0</v>
      </c>
      <c r="FF43" s="267"/>
      <c r="FG43" s="136">
        <v>973760</v>
      </c>
      <c r="FH43" s="267"/>
      <c r="FI43" s="267"/>
      <c r="FJ43" s="303">
        <v>1295357</v>
      </c>
      <c r="FK43" s="267"/>
      <c r="FL43" s="267"/>
      <c r="FM43" s="250"/>
      <c r="FN43" s="397"/>
    </row>
    <row r="44" spans="1:193">
      <c r="B44" s="471"/>
      <c r="D44" s="396"/>
      <c r="E44" s="396"/>
      <c r="F44" s="454"/>
      <c r="G44" s="396"/>
      <c r="H44" s="396"/>
      <c r="I44" s="454"/>
      <c r="J44" s="152"/>
      <c r="K44" s="454"/>
      <c r="L44" s="454"/>
      <c r="M44" s="396"/>
      <c r="N44" s="464"/>
      <c r="O44" s="454"/>
      <c r="FC44" s="471"/>
      <c r="FD44" s="468">
        <v>6</v>
      </c>
      <c r="FE44" s="287">
        <v>0</v>
      </c>
      <c r="FF44" s="267"/>
      <c r="FG44" s="303">
        <v>974974</v>
      </c>
      <c r="FH44" s="303"/>
      <c r="FI44" s="303"/>
      <c r="FJ44" s="136">
        <v>1296236</v>
      </c>
      <c r="FK44" s="303"/>
      <c r="FL44" s="303"/>
      <c r="FM44" s="136"/>
      <c r="FN44" s="152"/>
      <c r="FO44" s="152"/>
    </row>
    <row r="45" spans="1:193">
      <c r="B45" s="471"/>
      <c r="D45" s="396"/>
      <c r="E45" s="396"/>
      <c r="F45" s="152"/>
      <c r="G45" s="503"/>
      <c r="H45" s="396"/>
      <c r="I45" s="152"/>
      <c r="J45" s="464"/>
      <c r="K45" s="454"/>
      <c r="L45" s="152"/>
      <c r="M45" s="396"/>
      <c r="N45" s="464"/>
      <c r="O45" s="454"/>
      <c r="FC45" s="471"/>
      <c r="FD45" s="468">
        <v>7</v>
      </c>
      <c r="FE45" s="129">
        <v>468083</v>
      </c>
      <c r="FF45" s="267"/>
      <c r="FG45" s="136">
        <v>976290</v>
      </c>
      <c r="FH45" s="267"/>
      <c r="FI45" s="152"/>
      <c r="FJ45" s="136">
        <v>1297121</v>
      </c>
      <c r="FK45" s="267"/>
      <c r="FL45" s="267"/>
      <c r="FM45" s="250"/>
      <c r="FN45" s="231"/>
    </row>
    <row r="46" spans="1:193">
      <c r="B46" s="471"/>
      <c r="D46" s="396"/>
      <c r="E46" s="396"/>
      <c r="F46" s="152"/>
      <c r="G46" s="503"/>
      <c r="H46" s="396"/>
      <c r="I46" s="152"/>
      <c r="J46" s="464"/>
      <c r="K46" s="454"/>
      <c r="L46" s="152"/>
      <c r="M46" s="396"/>
      <c r="N46" s="464"/>
      <c r="O46" s="454"/>
      <c r="FC46" s="471"/>
      <c r="FD46" s="468">
        <v>8</v>
      </c>
      <c r="FE46" s="129">
        <v>468446</v>
      </c>
      <c r="FF46" s="267"/>
      <c r="FG46" s="136">
        <v>977204</v>
      </c>
      <c r="FH46" s="267"/>
      <c r="FI46" s="267"/>
      <c r="FJ46" s="136">
        <v>1297968</v>
      </c>
      <c r="FK46" s="267"/>
      <c r="FL46" s="267"/>
      <c r="FM46" s="250"/>
    </row>
    <row r="47" spans="1:193">
      <c r="B47" s="471"/>
      <c r="C47" s="471"/>
      <c r="D47" s="396"/>
      <c r="E47" s="396"/>
      <c r="F47" s="454"/>
      <c r="G47" s="503"/>
      <c r="H47" s="396"/>
      <c r="I47" s="454"/>
      <c r="J47" s="464"/>
      <c r="K47" s="152"/>
      <c r="L47" s="454"/>
      <c r="M47" s="396"/>
      <c r="N47" s="464"/>
      <c r="O47" s="454"/>
      <c r="FC47" s="471"/>
      <c r="FD47" s="468">
        <v>9</v>
      </c>
      <c r="FE47" s="129">
        <v>468966</v>
      </c>
      <c r="FF47" s="105"/>
      <c r="FG47" s="136">
        <v>978181</v>
      </c>
      <c r="FH47" s="267"/>
      <c r="FI47" s="267"/>
      <c r="FJ47" s="136">
        <v>1298637</v>
      </c>
      <c r="FK47" s="267"/>
      <c r="FL47" s="267"/>
      <c r="FM47" s="250"/>
    </row>
    <row r="48" spans="1:193">
      <c r="B48" s="471"/>
      <c r="D48" s="396"/>
      <c r="E48" s="396"/>
      <c r="F48" s="454"/>
      <c r="G48" s="454"/>
      <c r="H48" s="454"/>
      <c r="I48" s="454"/>
      <c r="J48" s="464"/>
      <c r="K48" s="152"/>
      <c r="L48" s="454"/>
      <c r="M48" s="396"/>
      <c r="N48" s="464"/>
      <c r="O48" s="454"/>
      <c r="FC48" s="471"/>
      <c r="FD48" s="468">
        <v>10</v>
      </c>
      <c r="FE48" s="129">
        <v>469212</v>
      </c>
      <c r="FF48" s="267"/>
      <c r="FG48" s="136">
        <v>978443</v>
      </c>
      <c r="FH48" s="267"/>
      <c r="FI48" s="267"/>
      <c r="FJ48" s="136">
        <v>1299651</v>
      </c>
      <c r="FK48" s="267"/>
      <c r="FL48" s="267"/>
      <c r="FM48" s="250"/>
    </row>
    <row r="49" spans="2:169">
      <c r="B49" s="471"/>
      <c r="C49" s="471"/>
      <c r="D49" s="396"/>
      <c r="E49" s="396"/>
      <c r="F49" s="454"/>
      <c r="G49" s="454"/>
      <c r="H49" s="454"/>
      <c r="I49" s="454"/>
      <c r="J49" s="464"/>
      <c r="K49" s="454"/>
      <c r="L49" s="454"/>
      <c r="M49" s="396"/>
      <c r="N49" s="464"/>
      <c r="O49" s="454"/>
      <c r="FC49" s="471"/>
      <c r="FD49" s="468">
        <v>11</v>
      </c>
      <c r="FE49" s="129">
        <v>469456</v>
      </c>
      <c r="FF49" s="267"/>
      <c r="FG49" s="136">
        <v>978857</v>
      </c>
      <c r="FH49" s="267"/>
      <c r="FI49" s="267"/>
      <c r="FJ49" s="136">
        <v>1300529</v>
      </c>
      <c r="FK49" s="267"/>
      <c r="FL49" s="267"/>
      <c r="FM49" s="250"/>
    </row>
    <row r="50" spans="2:169">
      <c r="B50" s="471"/>
      <c r="C50" s="471"/>
      <c r="D50" s="396"/>
      <c r="E50" s="396"/>
      <c r="F50" s="454"/>
      <c r="G50" s="454"/>
      <c r="H50" s="454"/>
      <c r="I50" s="454"/>
      <c r="J50" s="464"/>
      <c r="K50" s="454"/>
      <c r="L50" s="454"/>
      <c r="M50" s="396"/>
      <c r="N50" s="464"/>
      <c r="O50" s="454"/>
      <c r="FC50" s="471"/>
      <c r="FD50" s="468">
        <v>12</v>
      </c>
      <c r="FE50" s="267"/>
      <c r="FF50" s="267"/>
      <c r="FG50" s="136">
        <v>979698</v>
      </c>
      <c r="FH50" s="267"/>
      <c r="FI50" s="267"/>
      <c r="FJ50" s="136">
        <v>1301026</v>
      </c>
      <c r="FK50" s="267"/>
      <c r="FL50" s="267"/>
      <c r="FM50" s="267"/>
    </row>
    <row r="51" spans="2:169">
      <c r="B51" s="471"/>
      <c r="C51" s="471"/>
      <c r="D51" s="396"/>
      <c r="E51" s="396"/>
      <c r="F51" s="454"/>
      <c r="G51" s="454"/>
      <c r="H51" s="454"/>
      <c r="I51" s="454"/>
      <c r="J51" s="464"/>
      <c r="K51" s="454"/>
      <c r="L51" s="454"/>
      <c r="M51" s="396"/>
      <c r="N51" s="464"/>
      <c r="O51" s="454"/>
      <c r="FC51" s="471"/>
      <c r="FD51" s="468">
        <v>13</v>
      </c>
      <c r="FE51" s="267"/>
      <c r="FF51" s="267"/>
      <c r="FG51" s="267"/>
      <c r="FH51" s="267"/>
      <c r="FI51" s="267"/>
      <c r="FJ51" s="267"/>
      <c r="FK51" s="267"/>
      <c r="FL51" s="267"/>
      <c r="FM51" s="250"/>
    </row>
    <row r="52" spans="2:169">
      <c r="B52" s="471"/>
      <c r="C52" s="471"/>
      <c r="D52" s="396"/>
      <c r="E52" s="396"/>
      <c r="F52" s="454"/>
      <c r="G52" s="454"/>
      <c r="H52" s="454"/>
      <c r="I52" s="454"/>
      <c r="J52" s="464"/>
      <c r="K52" s="463"/>
      <c r="L52" s="454"/>
      <c r="M52" s="454"/>
      <c r="N52" s="454"/>
      <c r="O52" s="454"/>
      <c r="FC52" s="471"/>
      <c r="FD52" s="468">
        <v>14</v>
      </c>
      <c r="FE52" s="267"/>
      <c r="FF52" s="267"/>
      <c r="FG52" s="455">
        <v>981216</v>
      </c>
      <c r="FH52" s="267"/>
      <c r="FI52" s="267"/>
      <c r="FJ52" s="136">
        <v>1302161</v>
      </c>
      <c r="FK52" s="267"/>
      <c r="FL52" s="267"/>
      <c r="FM52" s="250"/>
    </row>
    <row r="53" spans="2:169">
      <c r="C53" s="471"/>
      <c r="D53" s="454"/>
      <c r="E53" s="454"/>
      <c r="F53" s="454"/>
      <c r="G53" s="454"/>
      <c r="H53" s="454"/>
      <c r="I53" s="454"/>
      <c r="J53" s="464"/>
      <c r="K53" s="454"/>
      <c r="L53" s="454"/>
      <c r="M53" s="454"/>
      <c r="N53" s="454"/>
      <c r="O53" s="454"/>
      <c r="FC53" s="471"/>
      <c r="FD53" s="468">
        <v>15</v>
      </c>
      <c r="FE53" s="267"/>
      <c r="FF53" s="267"/>
      <c r="FG53" s="136">
        <v>981678</v>
      </c>
      <c r="FH53" s="267"/>
      <c r="FI53" s="267"/>
      <c r="FJ53" s="455">
        <v>1302163</v>
      </c>
      <c r="FK53" s="267"/>
      <c r="FL53" s="267"/>
      <c r="FM53" s="250"/>
    </row>
    <row r="54" spans="2:169">
      <c r="B54" s="471"/>
      <c r="C54" s="471"/>
      <c r="D54" s="454"/>
      <c r="E54" s="454"/>
      <c r="F54" s="454"/>
      <c r="G54" s="454"/>
      <c r="H54" s="454"/>
      <c r="I54" s="454"/>
      <c r="J54" s="464"/>
      <c r="K54" s="454"/>
      <c r="L54" s="454"/>
      <c r="M54" s="454"/>
      <c r="N54" s="454"/>
      <c r="O54" s="454"/>
      <c r="FC54" s="471"/>
      <c r="FD54" s="468">
        <v>16</v>
      </c>
      <c r="FE54" s="455">
        <v>470736</v>
      </c>
      <c r="FF54" s="267"/>
      <c r="FG54" s="136">
        <v>981678</v>
      </c>
      <c r="FH54" s="303"/>
      <c r="FI54" s="303"/>
      <c r="FJ54" s="455">
        <v>1302165</v>
      </c>
      <c r="FK54" s="390"/>
      <c r="FL54" s="303"/>
      <c r="FM54" s="161"/>
    </row>
    <row r="55" spans="2:169">
      <c r="B55" s="471"/>
      <c r="C55" s="471"/>
      <c r="D55" s="454"/>
      <c r="E55" s="454"/>
      <c r="F55" s="454"/>
      <c r="G55" s="454"/>
      <c r="H55" s="454"/>
      <c r="I55" s="454"/>
      <c r="J55" s="454"/>
      <c r="K55" s="454"/>
      <c r="L55" s="454"/>
      <c r="M55" s="454"/>
      <c r="N55" s="454"/>
      <c r="O55" s="454"/>
      <c r="FC55" s="471"/>
      <c r="FD55" s="468">
        <v>17</v>
      </c>
      <c r="FE55" s="456">
        <v>471019</v>
      </c>
      <c r="FF55" s="267"/>
      <c r="FG55" s="136">
        <v>982158</v>
      </c>
      <c r="FH55" s="267"/>
      <c r="FI55" s="267"/>
      <c r="FJ55" s="136">
        <v>1302165</v>
      </c>
      <c r="FK55" s="267"/>
      <c r="FL55" s="267"/>
      <c r="FM55" s="250"/>
    </row>
    <row r="56" spans="2:169">
      <c r="B56" s="471"/>
      <c r="C56" s="471"/>
      <c r="D56" s="454"/>
      <c r="E56" s="454"/>
      <c r="F56" s="454"/>
      <c r="G56" s="454"/>
      <c r="H56" s="454"/>
      <c r="I56" s="454"/>
      <c r="J56" s="454"/>
      <c r="K56" s="454"/>
      <c r="L56" s="454"/>
      <c r="M56" s="454"/>
      <c r="N56" s="454"/>
      <c r="O56" s="454"/>
      <c r="FC56" s="471"/>
      <c r="FD56" s="468">
        <v>18</v>
      </c>
      <c r="FE56" s="456">
        <v>471199</v>
      </c>
      <c r="FF56" s="520"/>
      <c r="FG56" s="136">
        <v>983599</v>
      </c>
      <c r="FH56" s="520"/>
      <c r="FI56" s="520"/>
      <c r="FJ56" s="136">
        <v>1302165</v>
      </c>
      <c r="FK56" s="520"/>
      <c r="FL56" s="520"/>
      <c r="FM56" s="520"/>
    </row>
    <row r="57" spans="2:169">
      <c r="B57" s="471"/>
      <c r="C57" s="471"/>
      <c r="D57" s="454"/>
      <c r="E57" s="454"/>
      <c r="F57" s="454"/>
      <c r="G57" s="454"/>
      <c r="H57" s="454"/>
      <c r="I57" s="454"/>
      <c r="J57" s="454"/>
      <c r="K57" s="454"/>
      <c r="L57" s="454"/>
      <c r="M57" s="454"/>
      <c r="N57" s="454"/>
      <c r="O57" s="454"/>
      <c r="FC57" s="471"/>
      <c r="FD57" s="468">
        <v>19</v>
      </c>
      <c r="FE57" s="456">
        <v>471587</v>
      </c>
      <c r="FF57" s="520"/>
      <c r="FG57" s="136">
        <v>984972</v>
      </c>
      <c r="FH57" s="520"/>
      <c r="FI57" s="520"/>
      <c r="FJ57" s="136">
        <v>1302165</v>
      </c>
      <c r="FK57" s="522"/>
      <c r="FL57" s="522"/>
      <c r="FM57" s="522"/>
    </row>
    <row r="58" spans="2:169">
      <c r="C58" s="471"/>
      <c r="E58" s="454"/>
      <c r="FC58" s="534"/>
      <c r="FD58" s="468">
        <v>20</v>
      </c>
      <c r="FE58" s="456">
        <v>471835</v>
      </c>
      <c r="FF58" s="456"/>
      <c r="FG58" s="136">
        <v>985967</v>
      </c>
      <c r="FH58" s="136"/>
      <c r="FI58" s="136"/>
      <c r="FJ58" s="136">
        <v>1302165</v>
      </c>
      <c r="FK58" s="136"/>
      <c r="FL58" s="136"/>
      <c r="FM58" s="136"/>
    </row>
    <row r="59" spans="2:169">
      <c r="FC59" s="471"/>
      <c r="FD59" s="468">
        <v>21</v>
      </c>
      <c r="FE59" s="456">
        <v>472121</v>
      </c>
      <c r="FG59" s="121">
        <v>986593</v>
      </c>
      <c r="FH59" s="531"/>
      <c r="FI59" s="531"/>
      <c r="FJ59" s="136">
        <v>1302165</v>
      </c>
      <c r="FK59" s="531"/>
      <c r="FL59" s="531"/>
      <c r="FM59" s="531"/>
    </row>
    <row r="60" spans="2:169">
      <c r="FC60" s="471"/>
      <c r="FD60" s="468">
        <v>22</v>
      </c>
      <c r="FE60" s="267">
        <f>FE59+FE27</f>
        <v>472121</v>
      </c>
      <c r="FF60" s="267"/>
      <c r="FG60" s="123">
        <v>986593</v>
      </c>
      <c r="FH60" s="267"/>
      <c r="FI60" s="267"/>
      <c r="FJ60" s="123">
        <v>1302165</v>
      </c>
      <c r="FK60" s="267"/>
      <c r="FL60" s="267"/>
      <c r="FM60" s="250"/>
    </row>
    <row r="61" spans="2:169">
      <c r="FC61" s="471"/>
      <c r="FD61" s="468">
        <v>23</v>
      </c>
      <c r="FE61" s="267">
        <f>472512</f>
        <v>472512</v>
      </c>
      <c r="FF61" s="267"/>
      <c r="FG61" s="496">
        <v>987557</v>
      </c>
      <c r="FH61" s="121"/>
      <c r="FI61" s="267"/>
      <c r="FJ61" s="123">
        <v>1302165</v>
      </c>
      <c r="FK61" s="267"/>
      <c r="FL61" s="267"/>
      <c r="FM61" s="250"/>
    </row>
    <row r="62" spans="2:169">
      <c r="FD62" s="468">
        <v>24</v>
      </c>
      <c r="FE62" s="267"/>
      <c r="FF62" s="267"/>
      <c r="FG62" s="123">
        <v>988568</v>
      </c>
      <c r="FH62" s="267"/>
      <c r="FI62" s="267"/>
      <c r="FJ62" s="123">
        <v>1302165</v>
      </c>
      <c r="FK62" s="267"/>
      <c r="FL62" s="267"/>
      <c r="FM62" s="250"/>
    </row>
    <row r="63" spans="2:169">
      <c r="FD63" s="468">
        <v>25</v>
      </c>
      <c r="FE63" s="136"/>
      <c r="FF63" s="136"/>
      <c r="FG63" s="136">
        <v>989277</v>
      </c>
      <c r="FH63" s="136"/>
      <c r="FI63" s="136"/>
      <c r="FJ63" s="136">
        <v>1302165</v>
      </c>
      <c r="FK63" s="136"/>
      <c r="FL63" s="136"/>
      <c r="FM63" s="136"/>
    </row>
    <row r="64" spans="2:169">
      <c r="FD64" s="468">
        <v>26</v>
      </c>
      <c r="FE64" s="136"/>
      <c r="FF64" s="136"/>
      <c r="FG64" s="136">
        <v>989453</v>
      </c>
      <c r="FH64" s="136"/>
      <c r="FI64" s="136"/>
      <c r="FJ64" s="136">
        <v>1302165</v>
      </c>
      <c r="FK64" s="136"/>
      <c r="FL64" s="136"/>
      <c r="FM64" s="136"/>
    </row>
    <row r="65" spans="160:170">
      <c r="FD65" s="468">
        <v>27</v>
      </c>
      <c r="FE65" s="533"/>
      <c r="FF65" s="533"/>
      <c r="FG65" s="136">
        <v>990053</v>
      </c>
      <c r="FH65" s="533"/>
      <c r="FI65" s="533"/>
      <c r="FJ65" s="136">
        <v>1302165</v>
      </c>
      <c r="FK65" s="533"/>
      <c r="FL65" s="533"/>
      <c r="FM65" s="533"/>
    </row>
    <row r="66" spans="160:170">
      <c r="FD66" s="468">
        <v>28</v>
      </c>
      <c r="FE66" s="136">
        <v>473306</v>
      </c>
      <c r="FG66" s="136">
        <v>990185</v>
      </c>
      <c r="FH66" s="533"/>
      <c r="FI66" s="533"/>
      <c r="FJ66" s="136">
        <v>1302165</v>
      </c>
      <c r="FK66" s="533"/>
      <c r="FL66" s="533"/>
      <c r="FM66" s="533"/>
    </row>
    <row r="67" spans="160:170">
      <c r="FD67" s="468">
        <v>29</v>
      </c>
      <c r="FE67" s="136">
        <v>473361</v>
      </c>
      <c r="FF67" s="371"/>
      <c r="FG67" s="371">
        <v>990222</v>
      </c>
      <c r="FH67" s="136"/>
      <c r="FI67" s="371"/>
      <c r="FJ67" s="136">
        <v>1302165</v>
      </c>
      <c r="FK67" s="371"/>
      <c r="FL67" s="371"/>
      <c r="FM67" s="371"/>
    </row>
    <row r="68" spans="160:170">
      <c r="FD68" s="468">
        <v>30</v>
      </c>
      <c r="FG68" s="371">
        <v>990488</v>
      </c>
      <c r="FJ68" s="136">
        <v>1302165</v>
      </c>
    </row>
    <row r="69" spans="160:170">
      <c r="FD69" s="468">
        <v>31</v>
      </c>
      <c r="FE69" s="267"/>
      <c r="FF69" s="267"/>
      <c r="FG69" s="267"/>
      <c r="FH69" s="267"/>
      <c r="FI69" s="267"/>
      <c r="FJ69" s="267"/>
      <c r="FK69" s="267"/>
      <c r="FL69" s="267"/>
      <c r="FM69" s="267"/>
    </row>
    <row r="70" spans="160:170">
      <c r="FE70" s="470"/>
      <c r="FF70" s="470"/>
      <c r="FG70" s="470"/>
      <c r="FH70" s="470"/>
      <c r="FI70" s="470"/>
      <c r="FJ70" s="470"/>
      <c r="FK70" s="470"/>
      <c r="FL70" s="470"/>
      <c r="FM70" s="470"/>
    </row>
    <row r="72" spans="160:170">
      <c r="FD72" s="152"/>
      <c r="FE72" s="152"/>
      <c r="FF72" s="152"/>
      <c r="FG72" s="152"/>
      <c r="FH72" s="152"/>
      <c r="FI72" s="152"/>
      <c r="FJ72" s="152"/>
      <c r="FK72" s="152"/>
      <c r="FL72" s="152"/>
      <c r="FM72"/>
      <c r="FN72" s="152"/>
    </row>
    <row r="73" spans="160:170">
      <c r="FD73" s="152"/>
      <c r="FE73" s="152"/>
      <c r="FF73" s="152"/>
      <c r="FG73" s="152"/>
      <c r="FH73" s="152"/>
      <c r="FI73" s="152"/>
      <c r="FJ73" s="152"/>
      <c r="FK73" s="152"/>
      <c r="FL73" s="152"/>
      <c r="FM73" s="152"/>
      <c r="FN73" s="152"/>
    </row>
    <row r="74" spans="160:170">
      <c r="FD74" s="402"/>
      <c r="FE74" s="152"/>
      <c r="FF74" s="152"/>
      <c r="FG74" s="152"/>
      <c r="FH74" s="152"/>
      <c r="FI74" s="152"/>
      <c r="FJ74" s="152"/>
      <c r="FK74" s="152"/>
      <c r="FL74" s="152"/>
      <c r="FM74" s="152"/>
      <c r="FN74" s="152"/>
    </row>
    <row r="75" spans="160:170">
      <c r="FD75" s="152"/>
      <c r="FE75" s="152"/>
      <c r="FF75" s="152"/>
      <c r="FG75" s="152"/>
      <c r="FH75" s="152"/>
      <c r="FI75" s="152"/>
      <c r="FJ75" s="152"/>
      <c r="FK75" s="152"/>
      <c r="FL75" s="152"/>
      <c r="FM75" s="152"/>
      <c r="FN75" s="152"/>
    </row>
    <row r="76" spans="160:170">
      <c r="FD76" s="152"/>
      <c r="FE76"/>
      <c r="FF76" s="152"/>
      <c r="FG76" s="152"/>
      <c r="FH76" s="152"/>
      <c r="FI76" s="152"/>
      <c r="FJ76" s="152"/>
      <c r="FK76" s="152"/>
      <c r="FL76" s="152"/>
      <c r="FM76" s="152"/>
      <c r="FN76" s="152"/>
    </row>
    <row r="77" spans="160:170" ht="53.25" customHeight="1">
      <c r="FD77" s="152"/>
      <c r="FE77" s="10"/>
      <c r="FF77" s="152"/>
      <c r="FG77" s="152"/>
      <c r="FH77" s="152"/>
      <c r="FI77" s="152"/>
      <c r="FJ77" s="152"/>
      <c r="FK77" s="152"/>
      <c r="FL77" s="402"/>
      <c r="FM77" s="152"/>
      <c r="FN77" s="152"/>
    </row>
    <row r="78" spans="160:170">
      <c r="FD78" s="152"/>
      <c r="FE78"/>
      <c r="FF78" s="152"/>
      <c r="FG78" s="152"/>
      <c r="FH78" s="152"/>
      <c r="FI78" s="152"/>
      <c r="FJ78" s="152"/>
      <c r="FK78" s="152"/>
      <c r="FL78" s="152"/>
      <c r="FM78" s="152"/>
      <c r="FN78" s="152"/>
    </row>
    <row r="79" spans="160:170">
      <c r="FD79" s="402"/>
      <c r="FF79" s="152"/>
      <c r="FG79" s="152"/>
      <c r="FH79" s="152"/>
      <c r="FI79" s="335">
        <f>FI77/4</f>
        <v>0</v>
      </c>
      <c r="FJ79" s="152"/>
      <c r="FK79" s="152"/>
      <c r="FL79" s="152"/>
      <c r="FM79" s="152"/>
      <c r="FN79" s="152"/>
    </row>
    <row r="80" spans="160:170">
      <c r="FD80" s="152"/>
      <c r="FE80"/>
      <c r="FF80" s="152"/>
      <c r="FG80" s="152"/>
      <c r="FH80" s="152"/>
      <c r="FI80" s="152"/>
      <c r="FJ80" s="152"/>
      <c r="FK80" s="152"/>
      <c r="FL80" s="152"/>
      <c r="FM80" s="152"/>
      <c r="FN80" s="152"/>
    </row>
    <row r="81" spans="160:170">
      <c r="FD81" s="152"/>
      <c r="FE81"/>
      <c r="FF81" s="152"/>
      <c r="FG81" s="152"/>
      <c r="FH81" s="152"/>
      <c r="FI81" s="152"/>
      <c r="FJ81" s="152"/>
      <c r="FK81" s="152"/>
      <c r="FL81" s="152"/>
      <c r="FM81" s="152"/>
      <c r="FN81" s="152"/>
    </row>
    <row r="82" spans="160:170">
      <c r="FD82" s="152"/>
      <c r="FE82"/>
      <c r="FF82" s="152"/>
      <c r="FG82" s="152"/>
      <c r="FH82" s="152"/>
      <c r="FI82" s="152"/>
      <c r="FJ82" s="152"/>
      <c r="FK82" s="152"/>
      <c r="FL82" s="152"/>
      <c r="FM82" s="152"/>
      <c r="FN82" s="152"/>
    </row>
    <row r="83" spans="160:170">
      <c r="FD83" s="152"/>
      <c r="FE83"/>
      <c r="FF83" s="152"/>
      <c r="FG83" s="152"/>
      <c r="FH83" s="152"/>
      <c r="FI83" s="152"/>
      <c r="FJ83" s="152"/>
      <c r="FK83" s="152"/>
      <c r="FL83" s="152"/>
      <c r="FM83" s="152"/>
      <c r="FN83" s="402"/>
    </row>
    <row r="84" spans="160:170">
      <c r="FD84" s="152"/>
      <c r="FF84" s="152"/>
      <c r="FG84" s="152"/>
      <c r="FH84" s="152"/>
      <c r="FI84" s="152"/>
      <c r="FJ84" s="152"/>
      <c r="FK84" s="152"/>
      <c r="FL84" s="152"/>
      <c r="FM84" s="152"/>
      <c r="FN84" s="152"/>
    </row>
    <row r="85" spans="160:170">
      <c r="FE85"/>
    </row>
    <row r="87" spans="160:170">
      <c r="FE87"/>
    </row>
    <row r="89" spans="160:170">
      <c r="FE89"/>
    </row>
  </sheetData>
  <sheetProtection formatCells="0" formatColumns="0" formatRows="0" insertColumns="0" insertRows="0" insertHyperlinks="0" deleteColumns="0" deleteRows="0" selectLockedCells="1" sort="0" autoFilter="0" pivotTables="0" selectUnlockedCells="1"/>
  <customSheetViews>
    <customSheetView guid="{CAAAA4EE-AC24-494B-BD01-DBAF6444BECB}" scale="80" showGridLines="0" hiddenColumns="1">
      <pane xSplit="3" ySplit="5" topLeftCell="D6" activePane="bottomRight" state="frozen"/>
      <selection pane="bottomRight" activeCell="FC13" sqref="FC13"/>
      <pageMargins left="0.7" right="0.7" top="0.75" bottom="0.75" header="0.3" footer="0.3"/>
      <pageSetup orientation="portrait" r:id="rId1"/>
    </customSheetView>
    <customSheetView guid="{34EDC84D-4B3C-44BF-BB1A-7A0DFA8F65E7}" scale="80" showGridLines="0" hiddenColumns="1">
      <pane xSplit="3" ySplit="5" topLeftCell="BG6" activePane="bottomRight" state="frozen"/>
      <selection pane="bottomRight" activeCell="BJ13" sqref="BJ13"/>
      <pageMargins left="0.7" right="0.7" top="0.75" bottom="0.75" header="0.3" footer="0.3"/>
      <pageSetup orientation="portrait" r:id="rId2"/>
    </customSheetView>
  </customSheetViews>
  <mergeCells count="8">
    <mergeCell ref="FE37:FM37"/>
    <mergeCell ref="FC3:FC4"/>
    <mergeCell ref="B4:B5"/>
    <mergeCell ref="CF4:CH4"/>
    <mergeCell ref="CJ4:CL4"/>
    <mergeCell ref="CN4:CP4"/>
    <mergeCell ref="CR4:CT4"/>
    <mergeCell ref="CU4:CW4"/>
  </mergeCells>
  <conditionalFormatting sqref="DR39 DQ38:DQ39">
    <cfRule type="cellIs" dxfId="447" priority="111" stopIfTrue="1" operator="lessThanOrEqual">
      <formula>0.145</formula>
    </cfRule>
    <cfRule type="cellIs" dxfId="446" priority="112" stopIfTrue="1" operator="greaterThan">
      <formula>0.15</formula>
    </cfRule>
  </conditionalFormatting>
  <conditionalFormatting sqref="D6:F7 E10:F21 N15:N36 G15:M21 N6:N9 H9:L9 G9:G14 D10:D15 D23:M36 H10:N14 G6:M8">
    <cfRule type="expression" dxfId="445" priority="110" stopIfTrue="1">
      <formula>OR($B6=TODAY(),$B6=TODAY()-1)</formula>
    </cfRule>
  </conditionalFormatting>
  <conditionalFormatting sqref="G15:G21 G10:G13 G6 I7:M8 H17">
    <cfRule type="expression" dxfId="444" priority="109" stopIfTrue="1">
      <formula>OR($B6=TODAY(),$B6=TODAY()-1)</formula>
    </cfRule>
  </conditionalFormatting>
  <conditionalFormatting sqref="D6:F7">
    <cfRule type="expression" dxfId="443" priority="108" stopIfTrue="1">
      <formula>OR($B6=TODAY(),$B6=TODAY()-1)</formula>
    </cfRule>
  </conditionalFormatting>
  <conditionalFormatting sqref="I7:M8">
    <cfRule type="expression" dxfId="442" priority="107" stopIfTrue="1">
      <formula>OR($B7=TODAY(),$B7=TODAY()-1)</formula>
    </cfRule>
  </conditionalFormatting>
  <conditionalFormatting sqref="I7:M8">
    <cfRule type="expression" dxfId="441" priority="106" stopIfTrue="1">
      <formula>OR($B7=TODAY(),$B7=TODAY()-1)</formula>
    </cfRule>
  </conditionalFormatting>
  <conditionalFormatting sqref="D6:F6">
    <cfRule type="expression" dxfId="440" priority="105" stopIfTrue="1">
      <formula>OR($B6=TODAY(),$B6=TODAY()-1)</formula>
    </cfRule>
  </conditionalFormatting>
  <conditionalFormatting sqref="D6:F7 G6:L21">
    <cfRule type="expression" dxfId="439" priority="104" stopIfTrue="1">
      <formula>OR($B6=TODAY(),$B6=TODAY()-1)</formula>
    </cfRule>
  </conditionalFormatting>
  <conditionalFormatting sqref="G15:G21 G10:G13 G6 I7:M8 H17">
    <cfRule type="expression" dxfId="438" priority="103" stopIfTrue="1">
      <formula>OR($B6=TODAY(),$B6=TODAY()-1)</formula>
    </cfRule>
  </conditionalFormatting>
  <conditionalFormatting sqref="D6:F7 G6:L21">
    <cfRule type="expression" dxfId="437" priority="102" stopIfTrue="1">
      <formula>OR($B6=TODAY(),$B6=TODAY()-1)</formula>
    </cfRule>
  </conditionalFormatting>
  <conditionalFormatting sqref="G15:G21 G10:G13 G6 I7:M8 H17">
    <cfRule type="expression" dxfId="436" priority="101" stopIfTrue="1">
      <formula>OR($B6=TODAY(),$B6=TODAY()-1)</formula>
    </cfRule>
  </conditionalFormatting>
  <conditionalFormatting sqref="D6:F7 G6:L21">
    <cfRule type="expression" dxfId="435" priority="100" stopIfTrue="1">
      <formula>OR($B6=TODAY(),$B6=TODAY()-1)</formula>
    </cfRule>
  </conditionalFormatting>
  <conditionalFormatting sqref="G15:G21 G10:G13 G6 I7:M8 H17">
    <cfRule type="expression" dxfId="434" priority="99" stopIfTrue="1">
      <formula>OR($B6=TODAY(),$B6=TODAY()-1)</formula>
    </cfRule>
  </conditionalFormatting>
  <conditionalFormatting sqref="D6:F7 G6:L21">
    <cfRule type="expression" dxfId="433" priority="98" stopIfTrue="1">
      <formula>OR($B6=TODAY(),$B6=TODAY()-1)</formula>
    </cfRule>
  </conditionalFormatting>
  <conditionalFormatting sqref="G15:G21 G10:G13 G6 I7:M8 H17">
    <cfRule type="expression" dxfId="432" priority="97" stopIfTrue="1">
      <formula>OR($B6=TODAY(),$B6=TODAY()-1)</formula>
    </cfRule>
  </conditionalFormatting>
  <conditionalFormatting sqref="D6:F7 G6:L21">
    <cfRule type="expression" dxfId="431" priority="96" stopIfTrue="1">
      <formula>OR($B6=TODAY(),$B6=TODAY()-1)</formula>
    </cfRule>
  </conditionalFormatting>
  <conditionalFormatting sqref="G15:G21 G10:G13 G6 I7:M8 H17">
    <cfRule type="expression" dxfId="430" priority="95" stopIfTrue="1">
      <formula>OR($B6=TODAY(),$B6=TODAY()-1)</formula>
    </cfRule>
  </conditionalFormatting>
  <conditionalFormatting sqref="D6:F7 G6:L21">
    <cfRule type="expression" dxfId="429" priority="94" stopIfTrue="1">
      <formula>OR($B6=TODAY(),$B6=TODAY()-1)</formula>
    </cfRule>
  </conditionalFormatting>
  <conditionalFormatting sqref="G15:G21 G10:G13 G6 I7:M8 H17">
    <cfRule type="expression" dxfId="428" priority="93" stopIfTrue="1">
      <formula>OR($B6=TODAY(),$B6=TODAY()-1)</formula>
    </cfRule>
  </conditionalFormatting>
  <conditionalFormatting sqref="D6:F7 G6:L21">
    <cfRule type="expression" dxfId="427" priority="92" stopIfTrue="1">
      <formula>OR($B6=TODAY(),$B6=TODAY()-1)</formula>
    </cfRule>
  </conditionalFormatting>
  <conditionalFormatting sqref="D6:F7 G6:L21">
    <cfRule type="expression" dxfId="426" priority="91" stopIfTrue="1">
      <formula>OR($B6=TODAY(),$B6=TODAY()-1)</formula>
    </cfRule>
  </conditionalFormatting>
  <conditionalFormatting sqref="G15:G21 G10:G13 G6 I7:M8 H17">
    <cfRule type="expression" dxfId="425" priority="90" stopIfTrue="1">
      <formula>OR($B6=TODAY(),$B6=TODAY()-1)</formula>
    </cfRule>
  </conditionalFormatting>
  <conditionalFormatting sqref="D6:F7 G6:L21">
    <cfRule type="expression" dxfId="424" priority="89" stopIfTrue="1">
      <formula>OR($B6=TODAY(),$B6=TODAY()-1)</formula>
    </cfRule>
  </conditionalFormatting>
  <conditionalFormatting sqref="G15:G21 G10:G13 G6 I7:M8 H17">
    <cfRule type="expression" dxfId="423" priority="88" stopIfTrue="1">
      <formula>OR($B6=TODAY(),$B6=TODAY()-1)</formula>
    </cfRule>
  </conditionalFormatting>
  <conditionalFormatting sqref="D6:F7">
    <cfRule type="expression" dxfId="422" priority="87" stopIfTrue="1">
      <formula>OR($B6=TODAY(),$B6=TODAY()-1)</formula>
    </cfRule>
  </conditionalFormatting>
  <conditionalFormatting sqref="G15:G21 G10:G13 G6 I7:M8 H17">
    <cfRule type="expression" dxfId="421" priority="86" stopIfTrue="1">
      <formula>OR($B6=TODAY(),$B6=TODAY()-1)</formula>
    </cfRule>
  </conditionalFormatting>
  <conditionalFormatting sqref="D29 D30:F31">
    <cfRule type="expression" dxfId="420" priority="85" stopIfTrue="1">
      <formula>OR($B29=TODAY(),$B29=TODAY()-1)</formula>
    </cfRule>
  </conditionalFormatting>
  <conditionalFormatting sqref="D29 D30:F31">
    <cfRule type="expression" dxfId="419" priority="84" stopIfTrue="1">
      <formula>OR($B29=TODAY(),$B29=TODAY()-1)</formula>
    </cfRule>
  </conditionalFormatting>
  <conditionalFormatting sqref="D29 D30:F31">
    <cfRule type="expression" dxfId="418" priority="83" stopIfTrue="1">
      <formula>OR($B29=TODAY(),$B29=TODAY()-1)</formula>
    </cfRule>
  </conditionalFormatting>
  <conditionalFormatting sqref="D29 D30:F31">
    <cfRule type="expression" dxfId="417" priority="82" stopIfTrue="1">
      <formula>OR($B29=TODAY(),$B29=TODAY()-1)</formula>
    </cfRule>
  </conditionalFormatting>
  <conditionalFormatting sqref="D29 D30:F31">
    <cfRule type="expression" dxfId="416" priority="81" stopIfTrue="1">
      <formula>OR($B29=TODAY(),$B29=TODAY()-1)</formula>
    </cfRule>
  </conditionalFormatting>
  <conditionalFormatting sqref="D29 D30:F31">
    <cfRule type="expression" dxfId="415" priority="80" stopIfTrue="1">
      <formula>OR($B29=TODAY(),$B29=TODAY()-1)</formula>
    </cfRule>
  </conditionalFormatting>
  <conditionalFormatting sqref="D29 D30:F31">
    <cfRule type="expression" dxfId="414" priority="79" stopIfTrue="1">
      <formula>OR($B29=TODAY(),$B29=TODAY()-1)</formula>
    </cfRule>
  </conditionalFormatting>
  <conditionalFormatting sqref="D29 D30:F31">
    <cfRule type="expression" dxfId="413" priority="78" stopIfTrue="1">
      <formula>OR($B29=TODAY(),$B29=TODAY()-1)</formula>
    </cfRule>
  </conditionalFormatting>
  <conditionalFormatting sqref="D29 D30:F31">
    <cfRule type="expression" dxfId="412" priority="77" stopIfTrue="1">
      <formula>OR($B29=TODAY(),$B29=TODAY()-1)</formula>
    </cfRule>
  </conditionalFormatting>
  <conditionalFormatting sqref="D29 D30:F31">
    <cfRule type="expression" dxfId="411" priority="76" stopIfTrue="1">
      <formula>OR($B29=TODAY(),$B29=TODAY()-1)</formula>
    </cfRule>
  </conditionalFormatting>
  <conditionalFormatting sqref="D29 D30:F31">
    <cfRule type="expression" dxfId="410" priority="75" stopIfTrue="1">
      <formula>OR($B29=TODAY(),$B29=TODAY()-1)</formula>
    </cfRule>
  </conditionalFormatting>
  <conditionalFormatting sqref="DP6:DQ37">
    <cfRule type="cellIs" dxfId="409" priority="73" stopIfTrue="1" operator="lessThanOrEqual">
      <formula>$D$2</formula>
    </cfRule>
    <cfRule type="cellIs" dxfId="408" priority="74" stopIfTrue="1" operator="greaterThan">
      <formula>$D$2</formula>
    </cfRule>
  </conditionalFormatting>
  <conditionalFormatting sqref="BZ6:BZ37 DH6:DH37 DJ6:DJ37 CS6:CS37">
    <cfRule type="cellIs" dxfId="407" priority="71" stopIfTrue="1" operator="lessThanOrEqual">
      <formula>#REF!</formula>
    </cfRule>
    <cfRule type="cellIs" dxfId="406" priority="72" stopIfTrue="1" operator="greaterThan">
      <formula>#REF!</formula>
    </cfRule>
  </conditionalFormatting>
  <conditionalFormatting sqref="DL6:DL37">
    <cfRule type="cellIs" dxfId="405" priority="69" stopIfTrue="1" operator="greaterThan">
      <formula>$D$3</formula>
    </cfRule>
    <cfRule type="cellIs" dxfId="404" priority="70" stopIfTrue="1" operator="lessThanOrEqual">
      <formula>$D$3</formula>
    </cfRule>
  </conditionalFormatting>
  <conditionalFormatting sqref="E20:F20">
    <cfRule type="expression" dxfId="403" priority="68" stopIfTrue="1">
      <formula>OR($B20=TODAY(),$B20=TODAY()-1)</formula>
    </cfRule>
  </conditionalFormatting>
  <conditionalFormatting sqref="E20:F20">
    <cfRule type="expression" dxfId="402" priority="67" stopIfTrue="1">
      <formula>OR($B20=TODAY(),$B20=TODAY()-1)</formula>
    </cfRule>
  </conditionalFormatting>
  <conditionalFormatting sqref="E20:F20">
    <cfRule type="expression" dxfId="401" priority="66" stopIfTrue="1">
      <formula>OR($B20=TODAY(),$B20=TODAY()-1)</formula>
    </cfRule>
  </conditionalFormatting>
  <conditionalFormatting sqref="E20:F20">
    <cfRule type="expression" dxfId="400" priority="65" stopIfTrue="1">
      <formula>OR($B20=TODAY(),$B20=TODAY()-1)</formula>
    </cfRule>
  </conditionalFormatting>
  <conditionalFormatting sqref="E20:F20">
    <cfRule type="expression" dxfId="399" priority="64" stopIfTrue="1">
      <formula>OR($B20=TODAY(),$B20=TODAY()-1)</formula>
    </cfRule>
  </conditionalFormatting>
  <conditionalFormatting sqref="E20:F20">
    <cfRule type="expression" dxfId="398" priority="63" stopIfTrue="1">
      <formula>OR($B20=TODAY(),$B20=TODAY()-1)</formula>
    </cfRule>
  </conditionalFormatting>
  <conditionalFormatting sqref="E20:F20">
    <cfRule type="expression" dxfId="397" priority="62" stopIfTrue="1">
      <formula>OR($B20=TODAY(),$B20=TODAY()-1)</formula>
    </cfRule>
  </conditionalFormatting>
  <conditionalFormatting sqref="E20:F20">
    <cfRule type="expression" dxfId="396" priority="61" stopIfTrue="1">
      <formula>OR($B20=TODAY(),$B20=TODAY()-1)</formula>
    </cfRule>
  </conditionalFormatting>
  <conditionalFormatting sqref="E20:F20">
    <cfRule type="expression" dxfId="395" priority="60" stopIfTrue="1">
      <formula>OR($B20=TODAY(),$B20=TODAY()-1)</formula>
    </cfRule>
  </conditionalFormatting>
  <conditionalFormatting sqref="E20:F20">
    <cfRule type="expression" dxfId="394" priority="59" stopIfTrue="1">
      <formula>OR($B20=TODAY(),$B20=TODAY()-1)</formula>
    </cfRule>
  </conditionalFormatting>
  <conditionalFormatting sqref="D34:F34">
    <cfRule type="expression" dxfId="393" priority="58" stopIfTrue="1">
      <formula>OR($B34=TODAY(),$B34=TODAY()-1)</formula>
    </cfRule>
  </conditionalFormatting>
  <conditionalFormatting sqref="D34:F34">
    <cfRule type="expression" dxfId="392" priority="57" stopIfTrue="1">
      <formula>OR($B34=TODAY(),$B34=TODAY()-1)</formula>
    </cfRule>
  </conditionalFormatting>
  <conditionalFormatting sqref="CH37">
    <cfRule type="cellIs" dxfId="391" priority="55" stopIfTrue="1" operator="lessThanOrEqual">
      <formula>#REF!</formula>
    </cfRule>
    <cfRule type="cellIs" dxfId="390" priority="56" stopIfTrue="1" operator="greaterThan">
      <formula>#REF!</formula>
    </cfRule>
  </conditionalFormatting>
  <conditionalFormatting sqref="CP6:CP37 CV6:CV37 CL6:CL37">
    <cfRule type="cellIs" dxfId="389" priority="53" operator="greaterThan">
      <formula>#REF!</formula>
    </cfRule>
    <cfRule type="cellIs" dxfId="388" priority="54" operator="lessThanOrEqual">
      <formula>#REF!</formula>
    </cfRule>
  </conditionalFormatting>
  <conditionalFormatting sqref="G14">
    <cfRule type="expression" dxfId="387" priority="52" stopIfTrue="1">
      <formula>OR($B15=TODAY(),$B15=TODAY()-1)</formula>
    </cfRule>
  </conditionalFormatting>
  <conditionalFormatting sqref="I16:M18">
    <cfRule type="expression" dxfId="386" priority="51" stopIfTrue="1">
      <formula>OR($B16=TODAY(),$B16=TODAY()-1)</formula>
    </cfRule>
  </conditionalFormatting>
  <conditionalFormatting sqref="I16:M18">
    <cfRule type="expression" dxfId="385" priority="50" stopIfTrue="1">
      <formula>OR($B16=TODAY(),$B16=TODAY()-1)</formula>
    </cfRule>
  </conditionalFormatting>
  <conditionalFormatting sqref="I16:M18">
    <cfRule type="expression" dxfId="384" priority="49" stopIfTrue="1">
      <formula>OR($B16=TODAY(),$B16=TODAY()-1)</formula>
    </cfRule>
  </conditionalFormatting>
  <conditionalFormatting sqref="I16:M18">
    <cfRule type="expression" dxfId="383" priority="48" stopIfTrue="1">
      <formula>OR($B16=TODAY(),$B16=TODAY()-1)</formula>
    </cfRule>
  </conditionalFormatting>
  <conditionalFormatting sqref="D16">
    <cfRule type="expression" dxfId="382" priority="47" stopIfTrue="1">
      <formula>OR($B16=TODAY(),$B16=TODAY()-1)</formula>
    </cfRule>
  </conditionalFormatting>
  <conditionalFormatting sqref="G6:L21">
    <cfRule type="expression" dxfId="381" priority="46" stopIfTrue="1">
      <formula>OR($B6=TODAY(),$B6=TODAY()-1)</formula>
    </cfRule>
  </conditionalFormatting>
  <conditionalFormatting sqref="G6:L21">
    <cfRule type="expression" dxfId="380" priority="45" stopIfTrue="1">
      <formula>OR($B6=TODAY(),$B6=TODAY()-1)</formula>
    </cfRule>
  </conditionalFormatting>
  <conditionalFormatting sqref="G6:L21">
    <cfRule type="expression" dxfId="379" priority="44" stopIfTrue="1">
      <formula>OR($B6=TODAY(),$B6=TODAY()-1)</formula>
    </cfRule>
  </conditionalFormatting>
  <conditionalFormatting sqref="G15">
    <cfRule type="expression" dxfId="378" priority="43" stopIfTrue="1">
      <formula>OR($B16=TODAY(),$B16=TODAY()-1)</formula>
    </cfRule>
  </conditionalFormatting>
  <conditionalFormatting sqref="D6:J6">
    <cfRule type="expression" dxfId="377" priority="42" stopIfTrue="1">
      <formula>OR($B6=TODAY(),$B6=TODAY()-1)</formula>
    </cfRule>
  </conditionalFormatting>
  <conditionalFormatting sqref="G6">
    <cfRule type="expression" dxfId="376" priority="41" stopIfTrue="1">
      <formula>OR($B6=TODAY(),$B6=TODAY()-1)</formula>
    </cfRule>
  </conditionalFormatting>
  <conditionalFormatting sqref="D6:F6">
    <cfRule type="expression" dxfId="375" priority="40" stopIfTrue="1">
      <formula>OR($B6=TODAY(),$B6=TODAY()-1)</formula>
    </cfRule>
  </conditionalFormatting>
  <conditionalFormatting sqref="D6:F6">
    <cfRule type="expression" dxfId="374" priority="39" stopIfTrue="1">
      <formula>OR($B6=TODAY(),$B6=TODAY()-1)</formula>
    </cfRule>
  </conditionalFormatting>
  <conditionalFormatting sqref="D6:J6">
    <cfRule type="expression" dxfId="373" priority="38" stopIfTrue="1">
      <formula>OR($B6=TODAY(),$B6=TODAY()-1)</formula>
    </cfRule>
  </conditionalFormatting>
  <conditionalFormatting sqref="G6">
    <cfRule type="expression" dxfId="372" priority="37" stopIfTrue="1">
      <formula>OR($B6=TODAY(),$B6=TODAY()-1)</formula>
    </cfRule>
  </conditionalFormatting>
  <conditionalFormatting sqref="D6:J6">
    <cfRule type="expression" dxfId="371" priority="36" stopIfTrue="1">
      <formula>OR($B6=TODAY(),$B6=TODAY()-1)</formula>
    </cfRule>
  </conditionalFormatting>
  <conditionalFormatting sqref="G6">
    <cfRule type="expression" dxfId="370" priority="35" stopIfTrue="1">
      <formula>OR($B6=TODAY(),$B6=TODAY()-1)</formula>
    </cfRule>
  </conditionalFormatting>
  <conditionalFormatting sqref="D6:J6">
    <cfRule type="expression" dxfId="369" priority="34" stopIfTrue="1">
      <formula>OR($B6=TODAY(),$B6=TODAY()-1)</formula>
    </cfRule>
  </conditionalFormatting>
  <conditionalFormatting sqref="G6">
    <cfRule type="expression" dxfId="368" priority="33" stopIfTrue="1">
      <formula>OR($B6=TODAY(),$B6=TODAY()-1)</formula>
    </cfRule>
  </conditionalFormatting>
  <conditionalFormatting sqref="D6:J6">
    <cfRule type="expression" dxfId="367" priority="32" stopIfTrue="1">
      <formula>OR($B6=TODAY(),$B6=TODAY()-1)</formula>
    </cfRule>
  </conditionalFormatting>
  <conditionalFormatting sqref="G6">
    <cfRule type="expression" dxfId="366" priority="31" stopIfTrue="1">
      <formula>OR($B6=TODAY(),$B6=TODAY()-1)</formula>
    </cfRule>
  </conditionalFormatting>
  <conditionalFormatting sqref="D6:J6">
    <cfRule type="expression" dxfId="365" priority="30" stopIfTrue="1">
      <formula>OR($B6=TODAY(),$B6=TODAY()-1)</formula>
    </cfRule>
  </conditionalFormatting>
  <conditionalFormatting sqref="G6">
    <cfRule type="expression" dxfId="364" priority="29" stopIfTrue="1">
      <formula>OR($B6=TODAY(),$B6=TODAY()-1)</formula>
    </cfRule>
  </conditionalFormatting>
  <conditionalFormatting sqref="D6:J6">
    <cfRule type="expression" dxfId="363" priority="28" stopIfTrue="1">
      <formula>OR($B6=TODAY(),$B6=TODAY()-1)</formula>
    </cfRule>
  </conditionalFormatting>
  <conditionalFormatting sqref="G6">
    <cfRule type="expression" dxfId="362" priority="27" stopIfTrue="1">
      <formula>OR($B6=TODAY(),$B6=TODAY()-1)</formula>
    </cfRule>
  </conditionalFormatting>
  <conditionalFormatting sqref="D6:J6">
    <cfRule type="expression" dxfId="361" priority="26" stopIfTrue="1">
      <formula>OR($B6=TODAY(),$B6=TODAY()-1)</formula>
    </cfRule>
  </conditionalFormatting>
  <conditionalFormatting sqref="D6:J6">
    <cfRule type="expression" dxfId="360" priority="25" stopIfTrue="1">
      <formula>OR($B6=TODAY(),$B6=TODAY()-1)</formula>
    </cfRule>
  </conditionalFormatting>
  <conditionalFormatting sqref="G6">
    <cfRule type="expression" dxfId="359" priority="24" stopIfTrue="1">
      <formula>OR($B6=TODAY(),$B6=TODAY()-1)</formula>
    </cfRule>
  </conditionalFormatting>
  <conditionalFormatting sqref="D6:J6">
    <cfRule type="expression" dxfId="358" priority="23" stopIfTrue="1">
      <formula>OR($B6=TODAY(),$B6=TODAY()-1)</formula>
    </cfRule>
  </conditionalFormatting>
  <conditionalFormatting sqref="G6">
    <cfRule type="expression" dxfId="357" priority="22" stopIfTrue="1">
      <formula>OR($B6=TODAY(),$B6=TODAY()-1)</formula>
    </cfRule>
  </conditionalFormatting>
  <conditionalFormatting sqref="D6:F6">
    <cfRule type="expression" dxfId="356" priority="21" stopIfTrue="1">
      <formula>OR($B6=TODAY(),$B6=TODAY()-1)</formula>
    </cfRule>
  </conditionalFormatting>
  <conditionalFormatting sqref="G6">
    <cfRule type="expression" dxfId="355" priority="20" stopIfTrue="1">
      <formula>OR($B6=TODAY(),$B6=TODAY()-1)</formula>
    </cfRule>
  </conditionalFormatting>
  <conditionalFormatting sqref="G6:J6">
    <cfRule type="expression" dxfId="354" priority="19" stopIfTrue="1">
      <formula>OR($B6=TODAY(),$B6=TODAY()-1)</formula>
    </cfRule>
  </conditionalFormatting>
  <conditionalFormatting sqref="G6:J6">
    <cfRule type="expression" dxfId="353" priority="18" stopIfTrue="1">
      <formula>OR($B6=TODAY(),$B6=TODAY()-1)</formula>
    </cfRule>
  </conditionalFormatting>
  <conditionalFormatting sqref="G6:J6">
    <cfRule type="expression" dxfId="352" priority="17" stopIfTrue="1">
      <formula>OR($B6=TODAY(),$B6=TODAY()-1)</formula>
    </cfRule>
  </conditionalFormatting>
  <conditionalFormatting sqref="K13">
    <cfRule type="expression" dxfId="351" priority="16" stopIfTrue="1">
      <formula>OR($B13=TODAY(),$B13=TODAY()-1)</formula>
    </cfRule>
  </conditionalFormatting>
  <conditionalFormatting sqref="K13">
    <cfRule type="expression" dxfId="350" priority="15" stopIfTrue="1">
      <formula>OR($B13=TODAY(),$B13=TODAY()-1)</formula>
    </cfRule>
  </conditionalFormatting>
  <conditionalFormatting sqref="K13">
    <cfRule type="expression" dxfId="349" priority="14" stopIfTrue="1">
      <formula>OR($B13=TODAY(),$B13=TODAY()-1)</formula>
    </cfRule>
  </conditionalFormatting>
  <conditionalFormatting sqref="K13">
    <cfRule type="expression" dxfId="348" priority="13" stopIfTrue="1">
      <formula>OR($B13=TODAY(),$B13=TODAY()-1)</formula>
    </cfRule>
  </conditionalFormatting>
  <conditionalFormatting sqref="K13">
    <cfRule type="expression" dxfId="347" priority="12" stopIfTrue="1">
      <formula>OR($B13=TODAY(),$B13=TODAY()-1)</formula>
    </cfRule>
  </conditionalFormatting>
  <conditionalFormatting sqref="K13">
    <cfRule type="expression" dxfId="346" priority="11" stopIfTrue="1">
      <formula>OR($B13=TODAY(),$B13=TODAY()-1)</formula>
    </cfRule>
  </conditionalFormatting>
  <conditionalFormatting sqref="K13">
    <cfRule type="expression" dxfId="345" priority="10" stopIfTrue="1">
      <formula>OR($B13=TODAY(),$B13=TODAY()-1)</formula>
    </cfRule>
  </conditionalFormatting>
  <conditionalFormatting sqref="K13">
    <cfRule type="expression" dxfId="344" priority="9" stopIfTrue="1">
      <formula>OR($B13=TODAY(),$B13=TODAY()-1)</formula>
    </cfRule>
  </conditionalFormatting>
  <conditionalFormatting sqref="K13">
    <cfRule type="expression" dxfId="343" priority="8" stopIfTrue="1">
      <formula>OR($B13=TODAY(),$B13=TODAY()-1)</formula>
    </cfRule>
  </conditionalFormatting>
  <conditionalFormatting sqref="K13">
    <cfRule type="expression" dxfId="342" priority="7" stopIfTrue="1">
      <formula>OR($B13=TODAY(),$B13=TODAY()-1)</formula>
    </cfRule>
  </conditionalFormatting>
  <conditionalFormatting sqref="K13">
    <cfRule type="expression" dxfId="341" priority="6" stopIfTrue="1">
      <formula>OR($B13=TODAY(),$B13=TODAY()-1)</formula>
    </cfRule>
  </conditionalFormatting>
  <conditionalFormatting sqref="K13">
    <cfRule type="expression" dxfId="340" priority="5" stopIfTrue="1">
      <formula>OR($B13=TODAY(),$B13=TODAY()-1)</formula>
    </cfRule>
  </conditionalFormatting>
  <conditionalFormatting sqref="K13">
    <cfRule type="expression" dxfId="339" priority="4" stopIfTrue="1">
      <formula>OR($B13=TODAY(),$B13=TODAY()-1)</formula>
    </cfRule>
  </conditionalFormatting>
  <conditionalFormatting sqref="K13">
    <cfRule type="expression" dxfId="338" priority="3" stopIfTrue="1">
      <formula>OR($B13=TODAY(),$B13=TODAY()-1)</formula>
    </cfRule>
  </conditionalFormatting>
  <conditionalFormatting sqref="K13">
    <cfRule type="expression" dxfId="337" priority="2" stopIfTrue="1">
      <formula>OR($B13=TODAY(),$B13=TODAY()-1)</formula>
    </cfRule>
  </conditionalFormatting>
  <conditionalFormatting sqref="K13">
    <cfRule type="expression" dxfId="336" priority="1" stopIfTrue="1">
      <formula>OR($B13=TODAY(),$B13=TODAY()-1)</formula>
    </cfRule>
  </conditionalFormatting>
  <hyperlinks>
    <hyperlink ref="BA5" r:id="rId3" xr:uid="{00000000-0004-0000-1C00-000000000000}"/>
  </hyperlinks>
  <pageMargins left="0.7" right="0.7" top="0.75" bottom="0.75" header="0.3" footer="0.3"/>
  <pageSetup orientation="portrait" r:id="rId4"/>
  <legacy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GL89"/>
  <sheetViews>
    <sheetView showGridLines="0" zoomScale="80" zoomScaleNormal="80" workbookViewId="0">
      <pane xSplit="3" ySplit="5" topLeftCell="D26" activePane="bottomRight" state="frozen"/>
      <selection activeCell="FD6" sqref="FD6:FD36"/>
      <selection pane="topRight" activeCell="FD6" sqref="FD6:FD36"/>
      <selection pane="bottomLeft" activeCell="FD6" sqref="FD6:FD36"/>
      <selection pane="bottomRight" activeCell="FD6" sqref="FD6:FD36"/>
    </sheetView>
  </sheetViews>
  <sheetFormatPr defaultRowHeight="15" outlineLevelCol="2"/>
  <cols>
    <col min="1" max="1" width="0.7109375" style="64" customWidth="1"/>
    <col min="2" max="2" width="6.5703125" style="64" customWidth="1"/>
    <col min="3" max="3" width="6.85546875" style="64" bestFit="1" customWidth="1"/>
    <col min="4" max="4" width="13.85546875" style="64" customWidth="1" outlineLevel="1"/>
    <col min="5" max="5" width="12" style="64" customWidth="1" outlineLevel="1"/>
    <col min="6" max="6" width="10" style="64" customWidth="1" outlineLevel="1"/>
    <col min="7" max="7" width="9.85546875" style="64" customWidth="1" outlineLevel="1"/>
    <col min="8" max="8" width="10.85546875" style="64" bestFit="1" customWidth="1" outlineLevel="1"/>
    <col min="9" max="9" width="10.7109375" style="64" customWidth="1" outlineLevel="1"/>
    <col min="10" max="11" width="9.28515625" style="64" customWidth="1" outlineLevel="1"/>
    <col min="12" max="12" width="10.5703125" style="64" customWidth="1" outlineLevel="1"/>
    <col min="13" max="13" width="10.85546875" style="64" customWidth="1" outlineLevel="1"/>
    <col min="14" max="14" width="14.28515625" style="64" customWidth="1" outlineLevel="1"/>
    <col min="15" max="15" width="11" style="64" customWidth="1"/>
    <col min="16" max="16" width="11.85546875" style="64" customWidth="1" outlineLevel="1"/>
    <col min="17" max="17" width="1.42578125" style="64" customWidth="1"/>
    <col min="18" max="18" width="12.28515625" style="64" customWidth="1" outlineLevel="2"/>
    <col min="19" max="19" width="12.85546875" style="64" customWidth="1" outlineLevel="2"/>
    <col min="20" max="20" width="12.5703125" style="64" customWidth="1" outlineLevel="2"/>
    <col min="21" max="21" width="14.140625" style="64" customWidth="1" outlineLevel="2"/>
    <col min="22" max="22" width="9.42578125" style="64" customWidth="1" outlineLevel="2"/>
    <col min="23" max="23" width="10.7109375" style="64" customWidth="1" outlineLevel="2"/>
    <col min="24" max="24" width="11.5703125" style="64" customWidth="1" outlineLevel="2"/>
    <col min="25" max="26" width="10.7109375" style="64" customWidth="1" outlineLevel="2"/>
    <col min="27" max="27" width="11" style="64" customWidth="1" outlineLevel="1"/>
    <col min="28" max="29" width="12" style="64" customWidth="1" outlineLevel="2"/>
    <col min="30" max="31" width="10.85546875" style="64" customWidth="1" outlineLevel="1"/>
    <col min="32" max="32" width="12" style="64" customWidth="1" outlineLevel="2"/>
    <col min="33" max="33" width="8.140625" style="64" customWidth="1" outlineLevel="2"/>
    <col min="34" max="34" width="9.5703125" style="64" customWidth="1" outlineLevel="1"/>
    <col min="35" max="35" width="10.85546875" style="64" customWidth="1" outlineLevel="1"/>
    <col min="36" max="36" width="12" style="64" customWidth="1" outlineLevel="2"/>
    <col min="37" max="37" width="8.140625" style="64" customWidth="1" outlineLevel="2"/>
    <col min="38" max="38" width="9.5703125" style="64" customWidth="1" outlineLevel="1"/>
    <col min="39" max="39" width="10.85546875" style="64" customWidth="1" outlineLevel="1"/>
    <col min="40" max="40" width="9.5703125" style="64" customWidth="1" outlineLevel="2"/>
    <col min="41" max="41" width="9.5703125" style="64" customWidth="1" outlineLevel="1"/>
    <col min="42" max="42" width="9.5703125" style="64" customWidth="1" outlineLevel="2"/>
    <col min="43" max="43" width="9.5703125" style="64" customWidth="1" outlineLevel="1"/>
    <col min="44" max="44" width="11.28515625" style="64" customWidth="1" outlineLevel="2"/>
    <col min="45" max="45" width="9.140625" style="64" customWidth="1" outlineLevel="1"/>
    <col min="46" max="46" width="13.5703125" style="64" customWidth="1" outlineLevel="1"/>
    <col min="47" max="47" width="11.28515625" style="64" customWidth="1" outlineLevel="2"/>
    <col min="48" max="48" width="9.5703125" style="64" customWidth="1" outlineLevel="1"/>
    <col min="49" max="49" width="11.28515625" style="64" customWidth="1" outlineLevel="2"/>
    <col min="50" max="51" width="9.5703125" style="64" customWidth="1" outlineLevel="1"/>
    <col min="52" max="52" width="13.85546875" style="64" customWidth="1" outlineLevel="2"/>
    <col min="53" max="53" width="10.28515625" style="64" customWidth="1" outlineLevel="2"/>
    <col min="54" max="54" width="13.85546875" style="64" customWidth="1" outlineLevel="2"/>
    <col min="55" max="55" width="14.85546875" style="64" customWidth="1" outlineLevel="2"/>
    <col min="56" max="56" width="15.28515625" style="64" customWidth="1" outlineLevel="2"/>
    <col min="57" max="58" width="13.7109375" style="64" customWidth="1" outlineLevel="2"/>
    <col min="59" max="60" width="9.5703125" style="64" customWidth="1" outlineLevel="1"/>
    <col min="61" max="61" width="17" style="64" customWidth="1" outlineLevel="1"/>
    <col min="62" max="62" width="19.140625" style="64" customWidth="1" outlineLevel="1"/>
    <col min="63" max="63" width="2.28515625" style="261" customWidth="1"/>
    <col min="64" max="64" width="19.28515625" style="64" customWidth="1"/>
    <col min="65" max="65" width="14.28515625" style="64" customWidth="1"/>
    <col min="66" max="66" width="0.85546875" style="64" customWidth="1"/>
    <col min="67" max="67" width="12.28515625" style="64" hidden="1" customWidth="1" outlineLevel="2"/>
    <col min="68" max="68" width="12.42578125" style="64" hidden="1" customWidth="1" outlineLevel="2"/>
    <col min="69" max="69" width="12.5703125" style="64" hidden="1" customWidth="1" outlineLevel="2"/>
    <col min="70" max="72" width="9.42578125" style="64" hidden="1" customWidth="1" outlineLevel="2"/>
    <col min="73" max="73" width="21.42578125" style="64" hidden="1" customWidth="1" outlineLevel="1"/>
    <col min="74" max="74" width="12.28515625" style="64" hidden="1" customWidth="1" outlineLevel="2"/>
    <col min="75" max="75" width="12.42578125" style="64" hidden="1" customWidth="1" outlineLevel="2"/>
    <col min="76" max="76" width="12.5703125" style="64" hidden="1" customWidth="1" outlineLevel="2"/>
    <col min="77" max="77" width="9.42578125" style="64" hidden="1" customWidth="1" outlineLevel="2"/>
    <col min="78" max="78" width="13.7109375" style="64" hidden="1" customWidth="1" outlineLevel="1"/>
    <col min="79" max="79" width="0.42578125" style="64" hidden="1" customWidth="1" outlineLevel="1"/>
    <col min="80" max="80" width="11.7109375" style="64" hidden="1" customWidth="1" outlineLevel="2"/>
    <col min="81" max="81" width="9.7109375" style="64" hidden="1" customWidth="1" outlineLevel="1"/>
    <col min="82" max="82" width="11.42578125" style="64" hidden="1" customWidth="1" outlineLevel="1"/>
    <col min="83" max="83" width="12.85546875" style="64" hidden="1" customWidth="1" outlineLevel="1"/>
    <col min="84" max="84" width="13.7109375" style="64" hidden="1" customWidth="1" outlineLevel="2"/>
    <col min="85" max="85" width="11" style="64" hidden="1" customWidth="1" outlineLevel="2"/>
    <col min="86" max="86" width="8.7109375" style="64" hidden="1" customWidth="1" outlineLevel="1"/>
    <col min="87" max="87" width="0.140625" style="64" hidden="1" customWidth="1" outlineLevel="1"/>
    <col min="88" max="89" width="11.7109375" style="64" hidden="1" customWidth="1" outlineLevel="2"/>
    <col min="90" max="90" width="10.28515625" style="64" hidden="1" customWidth="1" outlineLevel="1"/>
    <col min="91" max="91" width="0.5703125" style="64" hidden="1" customWidth="1" outlineLevel="1"/>
    <col min="92" max="93" width="11.7109375" style="64" hidden="1" customWidth="1" outlineLevel="2"/>
    <col min="94" max="94" width="8.7109375" style="64" hidden="1" customWidth="1" outlineLevel="1"/>
    <col min="95" max="95" width="0.28515625" style="64" hidden="1" customWidth="1" outlineLevel="1"/>
    <col min="96" max="96" width="14.42578125" style="64" hidden="1" customWidth="1" outlineLevel="2"/>
    <col min="97" max="97" width="6.7109375" style="64" hidden="1" customWidth="1" outlineLevel="1"/>
    <col min="98" max="98" width="0.28515625" style="64" hidden="1" customWidth="1" outlineLevel="1"/>
    <col min="99" max="99" width="11" style="64" hidden="1" customWidth="1" outlineLevel="2"/>
    <col min="100" max="100" width="7.28515625" style="64" hidden="1" customWidth="1" outlineLevel="1"/>
    <col min="101" max="101" width="0.42578125" style="64" hidden="1" customWidth="1" outlineLevel="1"/>
    <col min="102" max="104" width="8.140625" style="64" hidden="1" customWidth="1" outlineLevel="1"/>
    <col min="105" max="105" width="8.42578125" style="64" hidden="1" customWidth="1" outlineLevel="1"/>
    <col min="106" max="106" width="10.42578125" style="64" hidden="1" customWidth="1" outlineLevel="2"/>
    <col min="107" max="107" width="9.7109375" style="64" hidden="1" customWidth="1" outlineLevel="2"/>
    <col min="108" max="108" width="18.28515625" style="64" hidden="1" customWidth="1" outlineLevel="2"/>
    <col min="109" max="109" width="14.85546875" style="64" hidden="1" customWidth="1" outlineLevel="2"/>
    <col min="110" max="110" width="17" style="64" hidden="1" customWidth="1" outlineLevel="2"/>
    <col min="111" max="111" width="14.85546875" style="64" hidden="1" customWidth="1" outlineLevel="2"/>
    <col min="112" max="112" width="11" style="64" hidden="1" customWidth="1" outlineLevel="1"/>
    <col min="113" max="113" width="0.28515625" style="64" hidden="1" customWidth="1" outlineLevel="1"/>
    <col min="114" max="114" width="9.85546875" style="64" hidden="1" customWidth="1" outlineLevel="1"/>
    <col min="115" max="115" width="0.42578125" style="64" hidden="1" customWidth="1" outlineLevel="1"/>
    <col min="116" max="116" width="9.85546875" style="64" hidden="1" customWidth="1" outlineLevel="1"/>
    <col min="117" max="117" width="0.42578125" style="64" hidden="1" customWidth="1" outlineLevel="1"/>
    <col min="118" max="118" width="13.140625" style="64" hidden="1" customWidth="1" outlineLevel="2"/>
    <col min="119" max="119" width="1.7109375" style="261" customWidth="1" collapsed="1"/>
    <col min="120" max="120" width="16.42578125" style="64" customWidth="1"/>
    <col min="121" max="121" width="15.140625" style="64" customWidth="1"/>
    <col min="122" max="122" width="3.42578125" style="64" customWidth="1"/>
    <col min="123" max="123" width="8.42578125" style="64" customWidth="1"/>
    <col min="124" max="124" width="9.140625" style="64" customWidth="1"/>
    <col min="125" max="131" width="15.7109375" style="219" customWidth="1" outlineLevel="1"/>
    <col min="132" max="132" width="15.7109375" style="545" customWidth="1" outlineLevel="1"/>
    <col min="133" max="139" width="15.7109375" style="219" customWidth="1" outlineLevel="1"/>
    <col min="140" max="141" width="15.7109375" style="545" customWidth="1" outlineLevel="1"/>
    <col min="142" max="143" width="15.7109375" style="219" customWidth="1" outlineLevel="1"/>
    <col min="144" max="144" width="15.7109375" style="545" customWidth="1" outlineLevel="1"/>
    <col min="145" max="145" width="15.7109375" style="219" customWidth="1" outlineLevel="1"/>
    <col min="146" max="153" width="15.7109375" style="545" customWidth="1" outlineLevel="1"/>
    <col min="154" max="159" width="15.7109375" style="219" customWidth="1" outlineLevel="1"/>
    <col min="160" max="160" width="20.5703125" style="545" customWidth="1"/>
    <col min="161" max="162" width="11.85546875" style="545" customWidth="1" outlineLevel="1"/>
    <col min="163" max="169" width="10.7109375" style="545" customWidth="1" outlineLevel="1"/>
    <col min="170" max="170" width="15.5703125" style="545" customWidth="1"/>
    <col min="171" max="171" width="21.85546875" style="545" customWidth="1"/>
    <col min="172" max="172" width="79" style="64" customWidth="1"/>
    <col min="173" max="173" width="9.140625" style="9"/>
    <col min="174" max="178" width="9.140625" style="9" hidden="1" customWidth="1"/>
    <col min="179" max="179" width="5.85546875" style="9" customWidth="1"/>
    <col min="180" max="181" width="9.140625" style="9"/>
    <col min="182" max="182" width="12.28515625" style="9" customWidth="1"/>
    <col min="183" max="183" width="12" style="64" customWidth="1"/>
    <col min="184" max="184" width="9.28515625" style="64" bestFit="1" customWidth="1"/>
    <col min="185" max="185" width="9.140625" style="64"/>
    <col min="186" max="187" width="13.5703125" style="64" customWidth="1"/>
    <col min="188" max="188" width="9.7109375" style="64" bestFit="1" customWidth="1"/>
    <col min="189" max="189" width="9.140625" style="64"/>
    <col min="190" max="190" width="10.85546875" style="64" customWidth="1"/>
    <col min="191" max="191" width="15" style="64" customWidth="1"/>
    <col min="192" max="192" width="13.7109375" style="64" customWidth="1"/>
    <col min="193" max="194" width="9.140625" style="10"/>
    <col min="195" max="16384" width="9.140625" style="64"/>
  </cols>
  <sheetData>
    <row r="1" spans="1:194" s="4" customFormat="1">
      <c r="A1" s="1"/>
      <c r="B1" s="2"/>
      <c r="C1" s="1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AA1" s="5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5"/>
      <c r="AS1" s="5"/>
      <c r="AT1" s="5"/>
      <c r="AU1" s="5"/>
      <c r="AV1" s="6"/>
      <c r="AW1" s="5"/>
      <c r="AX1" s="6"/>
      <c r="AY1" s="6"/>
      <c r="AZ1" s="374"/>
      <c r="BA1" s="6"/>
      <c r="BB1" s="374"/>
      <c r="BD1" s="5"/>
      <c r="BE1" s="5"/>
      <c r="BF1" s="5"/>
      <c r="BG1" s="6"/>
      <c r="BH1" s="462"/>
      <c r="BJ1" s="4" t="s">
        <v>299</v>
      </c>
      <c r="BK1" s="7"/>
      <c r="CF1" s="22"/>
      <c r="CK1" s="22"/>
      <c r="CO1" s="22"/>
      <c r="DO1" s="7"/>
      <c r="DU1" s="8"/>
      <c r="DV1" s="8"/>
      <c r="DW1" s="8"/>
      <c r="DX1" s="8"/>
      <c r="DY1" s="8"/>
      <c r="DZ1" s="8"/>
      <c r="EA1" s="8"/>
      <c r="EB1" s="3"/>
      <c r="EC1" s="8"/>
      <c r="ED1" s="8"/>
      <c r="EE1" s="8"/>
      <c r="EF1" s="8"/>
      <c r="EG1" s="8"/>
      <c r="EH1" s="8"/>
      <c r="EI1" s="8"/>
      <c r="EJ1" s="3"/>
      <c r="EK1" s="3"/>
      <c r="EL1" s="8"/>
      <c r="EM1" s="8"/>
      <c r="EN1" s="3"/>
      <c r="EO1" s="8"/>
      <c r="EP1" s="3"/>
      <c r="EQ1" s="3"/>
      <c r="ER1" s="3"/>
      <c r="ES1" s="3"/>
      <c r="ET1" s="3"/>
      <c r="EU1" s="3"/>
      <c r="EV1" s="3"/>
      <c r="EW1" s="3"/>
      <c r="EX1" s="8"/>
      <c r="EY1" s="8"/>
      <c r="EZ1" s="8"/>
      <c r="FA1" s="8"/>
      <c r="FB1" s="8"/>
      <c r="FC1" s="8"/>
      <c r="FD1" s="3"/>
      <c r="FE1" s="3"/>
      <c r="FF1" s="3"/>
      <c r="FG1" s="3"/>
      <c r="FH1" s="3"/>
      <c r="FI1" s="3"/>
      <c r="FJ1" s="3"/>
      <c r="FK1" s="3"/>
      <c r="FL1" s="3"/>
      <c r="FM1" s="3"/>
      <c r="FN1" s="339"/>
      <c r="FO1" s="339"/>
      <c r="FP1" s="453"/>
      <c r="FQ1" s="23"/>
      <c r="FR1" s="23"/>
      <c r="FS1" s="23"/>
      <c r="FT1" s="23"/>
      <c r="FU1" s="23"/>
      <c r="FV1" s="23"/>
      <c r="FW1" s="23"/>
      <c r="FX1" s="9"/>
      <c r="FY1" s="9"/>
      <c r="FZ1" s="9"/>
      <c r="GK1" s="10"/>
      <c r="GL1" s="10"/>
    </row>
    <row r="2" spans="1:194" s="4" customFormat="1" ht="13.5" customHeight="1">
      <c r="B2" s="11"/>
      <c r="C2" s="12"/>
      <c r="D2" s="490">
        <v>3.13</v>
      </c>
      <c r="E2" s="14"/>
      <c r="F2" s="14"/>
      <c r="G2" s="3"/>
      <c r="H2" s="12"/>
      <c r="I2" s="12"/>
      <c r="J2" s="12"/>
      <c r="K2" s="336"/>
      <c r="L2" s="12"/>
      <c r="M2" s="12"/>
      <c r="N2" s="12"/>
      <c r="R2" s="15"/>
      <c r="S2" s="15"/>
      <c r="T2" s="15"/>
      <c r="U2" s="15"/>
      <c r="V2" s="16"/>
      <c r="W2" s="16"/>
      <c r="X2" s="16"/>
      <c r="Y2" s="16"/>
      <c r="Z2" s="16"/>
      <c r="AA2" s="17"/>
      <c r="AB2" s="17"/>
      <c r="AC2" s="17"/>
      <c r="AD2" s="17"/>
      <c r="AE2" s="17"/>
      <c r="AF2" s="5"/>
      <c r="AG2" s="5"/>
      <c r="AH2" s="5"/>
      <c r="AI2" s="17"/>
      <c r="AJ2" s="5"/>
      <c r="AK2" s="5"/>
      <c r="AL2" s="5"/>
      <c r="AM2" s="17"/>
      <c r="AN2" s="5"/>
      <c r="AO2" s="5"/>
      <c r="AP2" s="5"/>
      <c r="AQ2" s="5"/>
      <c r="AR2" s="17"/>
      <c r="AS2" s="17"/>
      <c r="AT2" s="17"/>
      <c r="AU2" s="17"/>
      <c r="AV2" s="5"/>
      <c r="AW2" s="17"/>
      <c r="AX2" s="5"/>
      <c r="AY2" s="5"/>
      <c r="AZ2" s="5"/>
      <c r="BA2" s="5"/>
      <c r="BB2" s="5"/>
      <c r="BC2" s="6"/>
      <c r="BD2" s="18"/>
      <c r="BE2" s="18"/>
      <c r="BF2" s="18"/>
      <c r="BG2" s="5"/>
      <c r="BH2" s="5"/>
      <c r="BI2" s="19"/>
      <c r="BJ2" s="19"/>
      <c r="BK2" s="20"/>
      <c r="BL2" s="19"/>
      <c r="BM2" s="19"/>
      <c r="BN2" s="19"/>
      <c r="CG2" s="21"/>
      <c r="CK2" s="22"/>
      <c r="CO2" s="22"/>
      <c r="CU2" s="22"/>
      <c r="DO2" s="7"/>
      <c r="DU2" s="8" t="s">
        <v>3</v>
      </c>
      <c r="DV2" s="8"/>
      <c r="DW2" s="8"/>
      <c r="DX2" s="8"/>
      <c r="DY2" s="8"/>
      <c r="DZ2" s="8"/>
      <c r="EA2" s="3"/>
      <c r="EB2" s="3"/>
      <c r="EC2" s="8"/>
      <c r="ED2" s="3"/>
      <c r="EE2" s="8"/>
      <c r="EF2" s="8"/>
      <c r="EG2" s="8"/>
      <c r="EH2" s="8"/>
      <c r="EI2" s="8"/>
      <c r="EJ2" s="9"/>
      <c r="EK2" s="9"/>
      <c r="EL2" s="8"/>
      <c r="EM2" s="8"/>
      <c r="EN2" s="9"/>
      <c r="EO2" s="8"/>
      <c r="EP2" s="104"/>
      <c r="EQ2" s="246"/>
      <c r="ER2" s="246"/>
      <c r="ES2" s="246"/>
      <c r="ET2" s="246"/>
      <c r="EU2" s="9"/>
      <c r="EV2" s="9"/>
      <c r="EW2" s="3"/>
      <c r="EX2" s="8"/>
      <c r="EY2" s="8"/>
      <c r="EZ2" s="8"/>
      <c r="FC2" s="9"/>
      <c r="FD2" s="246"/>
      <c r="FE2" s="9"/>
      <c r="FF2" s="9"/>
      <c r="FG2" s="246"/>
      <c r="FH2" s="9"/>
      <c r="FI2" s="9"/>
      <c r="FJ2" s="9"/>
      <c r="FK2" s="246"/>
      <c r="FL2" s="246"/>
      <c r="FM2" s="9"/>
      <c r="FN2" s="23"/>
      <c r="FO2" s="23"/>
      <c r="FP2" s="23"/>
      <c r="FQ2" s="23"/>
      <c r="FR2" s="23"/>
      <c r="FS2" s="16"/>
      <c r="FT2" s="16"/>
      <c r="FU2" s="16"/>
      <c r="FV2" s="16"/>
      <c r="FW2" s="16"/>
      <c r="GK2" s="10"/>
      <c r="GL2" s="10"/>
    </row>
    <row r="3" spans="1:194" s="16" customFormat="1" ht="30" customHeight="1">
      <c r="D3" s="337"/>
      <c r="E3" s="338"/>
      <c r="F3" s="338"/>
      <c r="G3" s="28"/>
      <c r="H3" s="339"/>
      <c r="I3" s="339"/>
      <c r="J3" s="339"/>
      <c r="K3" s="339"/>
      <c r="L3" s="339"/>
      <c r="M3" s="339"/>
      <c r="N3" s="339"/>
      <c r="P3" s="340"/>
      <c r="R3" s="27" t="s">
        <v>211</v>
      </c>
      <c r="S3" s="27" t="s">
        <v>212</v>
      </c>
      <c r="T3" s="27" t="s">
        <v>213</v>
      </c>
      <c r="U3" s="27"/>
      <c r="V3" s="27" t="s">
        <v>214</v>
      </c>
      <c r="W3" s="27"/>
      <c r="X3" s="27">
        <v>1402</v>
      </c>
      <c r="Y3" s="27" t="s">
        <v>215</v>
      </c>
      <c r="Z3" s="27" t="s">
        <v>216</v>
      </c>
      <c r="AA3" s="27" t="s">
        <v>217</v>
      </c>
      <c r="AB3" s="27" t="s">
        <v>218</v>
      </c>
      <c r="AC3" s="27" t="s">
        <v>219</v>
      </c>
      <c r="AD3" s="28" t="s">
        <v>220</v>
      </c>
      <c r="AE3" s="28" t="s">
        <v>221</v>
      </c>
      <c r="AF3" s="27" t="s">
        <v>222</v>
      </c>
      <c r="AG3" s="27" t="s">
        <v>223</v>
      </c>
      <c r="AH3" s="28" t="s">
        <v>224</v>
      </c>
      <c r="AI3" s="28" t="s">
        <v>225</v>
      </c>
      <c r="AJ3" s="27" t="s">
        <v>226</v>
      </c>
      <c r="AK3" s="27" t="s">
        <v>227</v>
      </c>
      <c r="AL3" s="27" t="s">
        <v>228</v>
      </c>
      <c r="AM3" s="28" t="s">
        <v>229</v>
      </c>
      <c r="AN3" s="27" t="s">
        <v>230</v>
      </c>
      <c r="AO3" s="27" t="s">
        <v>231</v>
      </c>
      <c r="AP3" s="27" t="s">
        <v>232</v>
      </c>
      <c r="AQ3" s="27" t="s">
        <v>233</v>
      </c>
      <c r="AR3" s="27" t="s">
        <v>234</v>
      </c>
      <c r="AS3" s="27" t="s">
        <v>235</v>
      </c>
      <c r="AT3" s="27" t="s">
        <v>236</v>
      </c>
      <c r="AU3" s="27" t="s">
        <v>237</v>
      </c>
      <c r="AV3" s="27">
        <v>32</v>
      </c>
      <c r="AW3" s="27" t="s">
        <v>238</v>
      </c>
      <c r="AX3" s="27" t="s">
        <v>239</v>
      </c>
      <c r="AY3" s="341" t="s">
        <v>199</v>
      </c>
      <c r="AZ3" s="27" t="s">
        <v>240</v>
      </c>
      <c r="BA3" s="27" t="s">
        <v>241</v>
      </c>
      <c r="BB3" s="27" t="s">
        <v>242</v>
      </c>
      <c r="BC3" s="29" t="s">
        <v>243</v>
      </c>
      <c r="BD3" s="27"/>
      <c r="BE3" s="27"/>
      <c r="BF3" s="27"/>
      <c r="BG3" s="27" t="s">
        <v>298</v>
      </c>
      <c r="BH3" s="27"/>
      <c r="BI3" s="342" t="s">
        <v>244</v>
      </c>
      <c r="BJ3" s="342" t="s">
        <v>245</v>
      </c>
      <c r="BK3" s="343"/>
      <c r="BL3" s="342">
        <v>6932</v>
      </c>
      <c r="BM3" s="342"/>
      <c r="BN3" s="342"/>
      <c r="BO3" s="459" t="s">
        <v>4</v>
      </c>
      <c r="BY3" s="375"/>
      <c r="CC3" s="16">
        <f>COLUMN(CC2)-3</f>
        <v>78</v>
      </c>
      <c r="CD3" s="16">
        <f>COLUMN(CD2)-3</f>
        <v>79</v>
      </c>
      <c r="CE3" s="16">
        <f>COLUMN(CE2)-3</f>
        <v>80</v>
      </c>
      <c r="CF3" s="16">
        <f>COLUMN(CF2)-3</f>
        <v>81</v>
      </c>
      <c r="CG3" s="16">
        <f>COLUMN(CG2)-2</f>
        <v>83</v>
      </c>
      <c r="CH3" s="16">
        <f>COLUMN(CH2)-2</f>
        <v>84</v>
      </c>
      <c r="CI3" s="16">
        <f t="shared" ref="CI3:CX3" si="0">COLUMN(CI2)-2</f>
        <v>85</v>
      </c>
      <c r="CJ3" s="16">
        <f t="shared" si="0"/>
        <v>86</v>
      </c>
      <c r="CK3" s="16">
        <f t="shared" si="0"/>
        <v>87</v>
      </c>
      <c r="CL3" s="16">
        <f t="shared" si="0"/>
        <v>88</v>
      </c>
      <c r="CM3" s="16">
        <f t="shared" si="0"/>
        <v>89</v>
      </c>
      <c r="CN3" s="16">
        <f t="shared" si="0"/>
        <v>90</v>
      </c>
      <c r="CO3" s="16">
        <f t="shared" si="0"/>
        <v>91</v>
      </c>
      <c r="CP3" s="16">
        <f t="shared" si="0"/>
        <v>92</v>
      </c>
      <c r="CQ3" s="16">
        <f t="shared" si="0"/>
        <v>93</v>
      </c>
      <c r="CR3" s="16">
        <f t="shared" si="0"/>
        <v>94</v>
      </c>
      <c r="CS3" s="16">
        <f t="shared" si="0"/>
        <v>95</v>
      </c>
      <c r="CT3" s="16">
        <f t="shared" si="0"/>
        <v>96</v>
      </c>
      <c r="CU3" s="16">
        <f t="shared" si="0"/>
        <v>97</v>
      </c>
      <c r="CV3" s="16">
        <f t="shared" si="0"/>
        <v>98</v>
      </c>
      <c r="CW3" s="16">
        <f t="shared" si="0"/>
        <v>99</v>
      </c>
      <c r="CX3" s="16">
        <f t="shared" si="0"/>
        <v>100</v>
      </c>
      <c r="CY3" s="16">
        <f>COLUMN(CY2)-3</f>
        <v>100</v>
      </c>
      <c r="CZ3" s="16">
        <f>COLUMN(CZ2)-2</f>
        <v>102</v>
      </c>
      <c r="DA3" s="16">
        <f>COLUMN(DA2)-3</f>
        <v>102</v>
      </c>
      <c r="DB3" s="16">
        <f>COLUMN(DB2)-2</f>
        <v>104</v>
      </c>
      <c r="DC3" s="16">
        <f>COLUMN(DC2)-2</f>
        <v>105</v>
      </c>
      <c r="DO3" s="345"/>
      <c r="DU3" s="346" t="s">
        <v>5</v>
      </c>
      <c r="DV3" s="347" t="s">
        <v>6</v>
      </c>
      <c r="DW3" s="347" t="s">
        <v>7</v>
      </c>
      <c r="DX3" s="347" t="s">
        <v>8</v>
      </c>
      <c r="DY3" s="347" t="s">
        <v>9</v>
      </c>
      <c r="DZ3" s="347" t="s">
        <v>10</v>
      </c>
      <c r="EA3" s="347" t="s">
        <v>11</v>
      </c>
      <c r="EB3" s="347" t="s">
        <v>12</v>
      </c>
      <c r="EC3" s="347" t="s">
        <v>13</v>
      </c>
      <c r="ED3" s="347" t="s">
        <v>14</v>
      </c>
      <c r="EE3" s="348" t="s">
        <v>200</v>
      </c>
      <c r="EF3" s="348" t="s">
        <v>201</v>
      </c>
      <c r="EG3" s="347" t="s">
        <v>17</v>
      </c>
      <c r="EH3" s="347" t="s">
        <v>18</v>
      </c>
      <c r="EI3" s="347" t="s">
        <v>19</v>
      </c>
      <c r="EJ3" s="347" t="s">
        <v>20</v>
      </c>
      <c r="EK3" s="347" t="s">
        <v>21</v>
      </c>
      <c r="EL3" s="347" t="s">
        <v>22</v>
      </c>
      <c r="EM3" s="347" t="s">
        <v>23</v>
      </c>
      <c r="EN3" s="347" t="s">
        <v>24</v>
      </c>
      <c r="EO3" s="348" t="s">
        <v>25</v>
      </c>
      <c r="EP3" s="348" t="s">
        <v>26</v>
      </c>
      <c r="EQ3" s="347" t="s">
        <v>27</v>
      </c>
      <c r="ER3" s="347" t="s">
        <v>28</v>
      </c>
      <c r="ES3" s="347" t="s">
        <v>29</v>
      </c>
      <c r="ET3" s="347" t="s">
        <v>30</v>
      </c>
      <c r="EU3" s="347" t="s">
        <v>31</v>
      </c>
      <c r="EV3" s="347" t="s">
        <v>32</v>
      </c>
      <c r="EW3" s="347" t="s">
        <v>33</v>
      </c>
      <c r="EX3" s="347" t="s">
        <v>34</v>
      </c>
      <c r="EY3" s="348" t="s">
        <v>35</v>
      </c>
      <c r="EZ3" s="347" t="s">
        <v>36</v>
      </c>
      <c r="FA3" s="348" t="s">
        <v>37</v>
      </c>
      <c r="FB3" s="540" t="s">
        <v>38</v>
      </c>
      <c r="FC3" s="577" t="s">
        <v>39</v>
      </c>
      <c r="FD3" s="37" t="s">
        <v>40</v>
      </c>
      <c r="FE3" s="38" t="s">
        <v>41</v>
      </c>
      <c r="FF3" s="38" t="s">
        <v>42</v>
      </c>
      <c r="FG3" s="38" t="s">
        <v>43</v>
      </c>
      <c r="FH3" s="38" t="s">
        <v>44</v>
      </c>
      <c r="FI3" s="38" t="s">
        <v>45</v>
      </c>
      <c r="FJ3" s="38" t="s">
        <v>46</v>
      </c>
      <c r="FK3" s="38" t="s">
        <v>47</v>
      </c>
      <c r="FL3" s="38" t="s">
        <v>48</v>
      </c>
      <c r="FM3" s="39" t="s">
        <v>49</v>
      </c>
      <c r="FN3" s="38" t="s">
        <v>50</v>
      </c>
      <c r="FO3" s="40" t="s">
        <v>51</v>
      </c>
      <c r="FP3" s="41" t="s">
        <v>52</v>
      </c>
      <c r="FQ3" s="23"/>
      <c r="GK3" s="222"/>
      <c r="GL3" s="222"/>
    </row>
    <row r="4" spans="1:194" s="4" customFormat="1" ht="26.25" customHeight="1">
      <c r="B4" s="579" t="s">
        <v>53</v>
      </c>
      <c r="C4" s="42"/>
      <c r="D4" s="43" t="s">
        <v>54</v>
      </c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2"/>
      <c r="R4" s="45" t="s">
        <v>55</v>
      </c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7"/>
      <c r="BL4" s="48" t="s">
        <v>55</v>
      </c>
      <c r="BM4" s="48"/>
      <c r="BN4" s="47"/>
      <c r="BO4" s="32" t="s">
        <v>56</v>
      </c>
      <c r="BP4" s="32"/>
      <c r="BQ4" s="32"/>
      <c r="BR4" s="32"/>
      <c r="BS4" s="32"/>
      <c r="BT4" s="32"/>
      <c r="BU4" s="32"/>
      <c r="BV4" s="32" t="s">
        <v>57</v>
      </c>
      <c r="BW4" s="32"/>
      <c r="BX4" s="32"/>
      <c r="BY4" s="32"/>
      <c r="BZ4" s="32"/>
      <c r="CA4" s="32"/>
      <c r="CB4" s="32"/>
      <c r="CC4" s="32"/>
      <c r="CD4" s="32"/>
      <c r="CE4" s="32"/>
      <c r="CF4" s="581" t="s">
        <v>56</v>
      </c>
      <c r="CG4" s="581"/>
      <c r="CH4" s="581"/>
      <c r="CI4" s="49"/>
      <c r="CJ4" s="581" t="s">
        <v>56</v>
      </c>
      <c r="CK4" s="581"/>
      <c r="CL4" s="581"/>
      <c r="CM4" s="49"/>
      <c r="CN4" s="581" t="s">
        <v>56</v>
      </c>
      <c r="CO4" s="581"/>
      <c r="CP4" s="581"/>
      <c r="CQ4" s="49"/>
      <c r="CR4" s="581" t="s">
        <v>56</v>
      </c>
      <c r="CS4" s="581"/>
      <c r="CT4" s="581"/>
      <c r="CU4" s="581" t="s">
        <v>56</v>
      </c>
      <c r="CV4" s="581"/>
      <c r="CW4" s="581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50"/>
      <c r="DP4" s="32" t="s">
        <v>58</v>
      </c>
      <c r="DQ4" s="51"/>
      <c r="DR4" s="52"/>
      <c r="DS4" s="53"/>
      <c r="DT4" s="33" t="s">
        <v>53</v>
      </c>
      <c r="DU4" s="347"/>
      <c r="DV4" s="347"/>
      <c r="DW4" s="347"/>
      <c r="DX4" s="347"/>
      <c r="DY4" s="347"/>
      <c r="DZ4" s="347"/>
      <c r="EA4" s="347"/>
      <c r="EB4" s="347"/>
      <c r="EC4" s="347"/>
      <c r="ED4" s="347"/>
      <c r="EE4" s="347"/>
      <c r="EF4" s="347"/>
      <c r="EG4" s="347"/>
      <c r="EH4" s="347"/>
      <c r="EI4" s="347"/>
      <c r="EJ4" s="347"/>
      <c r="EK4" s="347"/>
      <c r="EL4" s="347"/>
      <c r="EM4" s="347"/>
      <c r="EN4" s="347"/>
      <c r="EO4" s="347"/>
      <c r="EP4" s="347"/>
      <c r="EQ4" s="347"/>
      <c r="ER4" s="347"/>
      <c r="ES4" s="347"/>
      <c r="ET4" s="347"/>
      <c r="EU4" s="347"/>
      <c r="EV4" s="347"/>
      <c r="EW4" s="347"/>
      <c r="EX4" s="347"/>
      <c r="EY4" s="347"/>
      <c r="EZ4" s="347"/>
      <c r="FA4" s="347"/>
      <c r="FB4" s="541"/>
      <c r="FC4" s="578"/>
      <c r="FD4" s="55"/>
      <c r="FE4" s="541"/>
      <c r="FF4" s="541"/>
      <c r="FG4" s="541"/>
      <c r="FH4" s="541"/>
      <c r="FI4" s="541"/>
      <c r="FJ4" s="541"/>
      <c r="FK4" s="541"/>
      <c r="FL4" s="541"/>
      <c r="FM4" s="56"/>
      <c r="FN4" s="349"/>
      <c r="FO4" s="58"/>
      <c r="FP4" s="350"/>
      <c r="FZ4" s="60"/>
      <c r="GA4" s="60"/>
      <c r="GB4" s="60"/>
      <c r="GC4" s="60"/>
      <c r="GD4" s="61" t="s">
        <v>59</v>
      </c>
      <c r="GE4" s="61"/>
      <c r="GF4" s="61"/>
      <c r="GG4" s="62"/>
      <c r="GH4" s="34" t="s">
        <v>60</v>
      </c>
      <c r="GI4" s="63" t="s">
        <v>61</v>
      </c>
      <c r="GJ4" s="63"/>
    </row>
    <row r="5" spans="1:194" ht="36" customHeight="1">
      <c r="B5" s="580"/>
      <c r="C5" s="65"/>
      <c r="D5" s="66" t="s">
        <v>62</v>
      </c>
      <c r="E5" s="66" t="s">
        <v>63</v>
      </c>
      <c r="F5" s="66" t="s">
        <v>64</v>
      </c>
      <c r="G5" s="66" t="s">
        <v>65</v>
      </c>
      <c r="H5" s="66" t="s">
        <v>66</v>
      </c>
      <c r="I5" s="66" t="s">
        <v>19</v>
      </c>
      <c r="J5" s="66" t="s">
        <v>20</v>
      </c>
      <c r="K5" s="66" t="s">
        <v>21</v>
      </c>
      <c r="L5" s="67" t="s">
        <v>67</v>
      </c>
      <c r="M5" s="67" t="s">
        <v>68</v>
      </c>
      <c r="N5" s="66" t="s">
        <v>69</v>
      </c>
      <c r="O5" s="66" t="s">
        <v>70</v>
      </c>
      <c r="P5" s="66" t="s">
        <v>71</v>
      </c>
      <c r="Q5" s="65"/>
      <c r="R5" s="66" t="s">
        <v>22</v>
      </c>
      <c r="S5" s="66" t="s">
        <v>72</v>
      </c>
      <c r="T5" s="66" t="s">
        <v>23</v>
      </c>
      <c r="U5" s="66" t="s">
        <v>73</v>
      </c>
      <c r="V5" s="66" t="s">
        <v>74</v>
      </c>
      <c r="W5" s="66" t="s">
        <v>75</v>
      </c>
      <c r="X5" s="66" t="s">
        <v>76</v>
      </c>
      <c r="Y5" s="66" t="s">
        <v>27</v>
      </c>
      <c r="Z5" s="66" t="s">
        <v>28</v>
      </c>
      <c r="AA5" s="67" t="s">
        <v>77</v>
      </c>
      <c r="AB5" s="67" t="s">
        <v>78</v>
      </c>
      <c r="AC5" s="66" t="s">
        <v>6</v>
      </c>
      <c r="AD5" s="67" t="s">
        <v>79</v>
      </c>
      <c r="AE5" s="67" t="s">
        <v>80</v>
      </c>
      <c r="AF5" s="67" t="s">
        <v>8</v>
      </c>
      <c r="AG5" s="66" t="s">
        <v>9</v>
      </c>
      <c r="AH5" s="67" t="s">
        <v>81</v>
      </c>
      <c r="AI5" s="67" t="s">
        <v>82</v>
      </c>
      <c r="AJ5" s="67" t="s">
        <v>11</v>
      </c>
      <c r="AK5" s="66" t="s">
        <v>12</v>
      </c>
      <c r="AL5" s="67" t="s">
        <v>83</v>
      </c>
      <c r="AM5" s="67" t="s">
        <v>84</v>
      </c>
      <c r="AN5" s="66" t="s">
        <v>14</v>
      </c>
      <c r="AO5" s="66" t="s">
        <v>65</v>
      </c>
      <c r="AP5" s="66" t="s">
        <v>17</v>
      </c>
      <c r="AQ5" s="66" t="s">
        <v>66</v>
      </c>
      <c r="AR5" s="67" t="s">
        <v>85</v>
      </c>
      <c r="AS5" s="66" t="s">
        <v>86</v>
      </c>
      <c r="AT5" s="67" t="s">
        <v>87</v>
      </c>
      <c r="AU5" s="67" t="s">
        <v>88</v>
      </c>
      <c r="AV5" s="66">
        <v>561</v>
      </c>
      <c r="AW5" s="67" t="s">
        <v>89</v>
      </c>
      <c r="AX5" s="66">
        <v>562</v>
      </c>
      <c r="AY5" s="66" t="s">
        <v>21</v>
      </c>
      <c r="AZ5" s="66" t="s">
        <v>33</v>
      </c>
      <c r="BA5" s="66" t="s">
        <v>90</v>
      </c>
      <c r="BB5" s="66" t="s">
        <v>34</v>
      </c>
      <c r="BC5" s="67" t="s">
        <v>91</v>
      </c>
      <c r="BD5" s="67" t="s">
        <v>92</v>
      </c>
      <c r="BE5" s="67" t="s">
        <v>93</v>
      </c>
      <c r="BF5" s="67" t="s">
        <v>94</v>
      </c>
      <c r="BG5" s="66" t="s">
        <v>95</v>
      </c>
      <c r="BH5" s="66" t="s">
        <v>96</v>
      </c>
      <c r="BI5" s="66" t="s">
        <v>97</v>
      </c>
      <c r="BJ5" s="66" t="s">
        <v>98</v>
      </c>
      <c r="BK5" s="69"/>
      <c r="BL5" s="66" t="s">
        <v>99</v>
      </c>
      <c r="BM5" s="70" t="s">
        <v>71</v>
      </c>
      <c r="BN5" s="69"/>
      <c r="BO5" s="67" t="s">
        <v>22</v>
      </c>
      <c r="BP5" s="67" t="s">
        <v>72</v>
      </c>
      <c r="BQ5" s="67" t="s">
        <v>23</v>
      </c>
      <c r="BR5" s="67" t="s">
        <v>74</v>
      </c>
      <c r="BS5" s="67" t="s">
        <v>27</v>
      </c>
      <c r="BT5" s="67" t="s">
        <v>28</v>
      </c>
      <c r="BU5" s="67" t="s">
        <v>101</v>
      </c>
      <c r="BV5" s="67" t="s">
        <v>22</v>
      </c>
      <c r="BW5" s="67" t="s">
        <v>100</v>
      </c>
      <c r="BX5" s="67" t="s">
        <v>23</v>
      </c>
      <c r="BY5" s="67" t="s">
        <v>74</v>
      </c>
      <c r="BZ5" s="67" t="s">
        <v>102</v>
      </c>
      <c r="CA5" s="71" t="s">
        <v>1</v>
      </c>
      <c r="CB5" s="66" t="s">
        <v>103</v>
      </c>
      <c r="CC5" s="66" t="s">
        <v>86</v>
      </c>
      <c r="CD5" s="67" t="s">
        <v>104</v>
      </c>
      <c r="CE5" s="67" t="s">
        <v>204</v>
      </c>
      <c r="CF5" s="66" t="s">
        <v>78</v>
      </c>
      <c r="CG5" s="66" t="s">
        <v>6</v>
      </c>
      <c r="CH5" s="67" t="s">
        <v>106</v>
      </c>
      <c r="CI5" s="71" t="s">
        <v>1</v>
      </c>
      <c r="CJ5" s="66" t="s">
        <v>8</v>
      </c>
      <c r="CK5" s="66" t="s">
        <v>9</v>
      </c>
      <c r="CL5" s="67" t="s">
        <v>107</v>
      </c>
      <c r="CM5" s="71" t="s">
        <v>1</v>
      </c>
      <c r="CN5" s="66" t="s">
        <v>11</v>
      </c>
      <c r="CO5" s="66" t="s">
        <v>12</v>
      </c>
      <c r="CP5" s="67" t="s">
        <v>205</v>
      </c>
      <c r="CQ5" s="71" t="s">
        <v>1</v>
      </c>
      <c r="CR5" s="66" t="s">
        <v>109</v>
      </c>
      <c r="CS5" s="67" t="s">
        <v>206</v>
      </c>
      <c r="CT5" s="71" t="s">
        <v>1</v>
      </c>
      <c r="CU5" s="66" t="s">
        <v>17</v>
      </c>
      <c r="CV5" s="67" t="s">
        <v>207</v>
      </c>
      <c r="CW5" s="71" t="s">
        <v>1</v>
      </c>
      <c r="CX5" s="67" t="s">
        <v>110</v>
      </c>
      <c r="CY5" s="66" t="s">
        <v>19</v>
      </c>
      <c r="CZ5" s="67" t="s">
        <v>111</v>
      </c>
      <c r="DA5" s="66" t="s">
        <v>112</v>
      </c>
      <c r="DB5" s="66" t="s">
        <v>33</v>
      </c>
      <c r="DC5" s="66" t="s">
        <v>34</v>
      </c>
      <c r="DD5" s="66" t="s">
        <v>91</v>
      </c>
      <c r="DE5" s="66" t="s">
        <v>92</v>
      </c>
      <c r="DF5" s="66" t="s">
        <v>113</v>
      </c>
      <c r="DG5" s="66" t="s">
        <v>114</v>
      </c>
      <c r="DH5" s="67" t="s">
        <v>115</v>
      </c>
      <c r="DI5" s="71" t="s">
        <v>1</v>
      </c>
      <c r="DJ5" s="66" t="s">
        <v>96</v>
      </c>
      <c r="DK5" s="71" t="s">
        <v>1</v>
      </c>
      <c r="DL5" s="66" t="s">
        <v>97</v>
      </c>
      <c r="DM5" s="71" t="s">
        <v>1</v>
      </c>
      <c r="DN5" s="67" t="s">
        <v>98</v>
      </c>
      <c r="DO5" s="69"/>
      <c r="DP5" s="66" t="s">
        <v>116</v>
      </c>
      <c r="DQ5" s="72" t="s">
        <v>71</v>
      </c>
      <c r="DR5" s="73" t="s">
        <v>1</v>
      </c>
      <c r="DS5" s="74"/>
      <c r="DT5" s="543"/>
      <c r="DU5" s="135">
        <v>637049</v>
      </c>
      <c r="DV5" s="135">
        <v>29777</v>
      </c>
      <c r="DW5" s="135">
        <v>5154206</v>
      </c>
      <c r="DX5" s="135">
        <v>122138</v>
      </c>
      <c r="DY5" s="135">
        <v>87307.1</v>
      </c>
      <c r="DZ5" s="135">
        <v>405777</v>
      </c>
      <c r="EA5" s="136">
        <v>242207</v>
      </c>
      <c r="EB5" s="136">
        <v>56138.9</v>
      </c>
      <c r="EC5" s="136">
        <v>423252</v>
      </c>
      <c r="ED5" s="135">
        <v>48417.3</v>
      </c>
      <c r="EE5" s="136">
        <v>40990.800000000003</v>
      </c>
      <c r="EF5" s="136">
        <v>43319.8</v>
      </c>
      <c r="EG5" s="135">
        <v>95014.9</v>
      </c>
      <c r="EH5" s="135">
        <v>187402.5</v>
      </c>
      <c r="EI5" s="135">
        <v>34687</v>
      </c>
      <c r="EJ5" s="136">
        <v>43205</v>
      </c>
      <c r="EK5" s="136"/>
      <c r="EL5" s="135">
        <v>719806</v>
      </c>
      <c r="EM5" s="135">
        <v>6827</v>
      </c>
      <c r="EN5" s="136">
        <v>47737.1</v>
      </c>
      <c r="EO5" s="135">
        <v>3122789.5</v>
      </c>
      <c r="EP5" s="136">
        <v>2832385</v>
      </c>
      <c r="EQ5" s="136">
        <v>0</v>
      </c>
      <c r="ER5" s="136">
        <v>1858</v>
      </c>
      <c r="ES5" s="136">
        <v>415683</v>
      </c>
      <c r="ET5" s="136">
        <v>7747949</v>
      </c>
      <c r="EU5" s="136">
        <v>158382</v>
      </c>
      <c r="EV5" s="136">
        <v>458199</v>
      </c>
      <c r="EW5" s="136">
        <v>137236</v>
      </c>
      <c r="EX5" s="135">
        <v>220981.5</v>
      </c>
      <c r="EY5" s="135">
        <v>1711031</v>
      </c>
      <c r="EZ5" s="140">
        <v>826880.1</v>
      </c>
      <c r="FA5" s="140">
        <v>766210</v>
      </c>
      <c r="FB5" s="145">
        <v>32157.5</v>
      </c>
      <c r="FC5" s="140">
        <v>3624</v>
      </c>
      <c r="FD5" s="78">
        <v>2337</v>
      </c>
      <c r="FE5" s="77"/>
      <c r="FF5" s="267"/>
      <c r="FG5" s="267"/>
      <c r="FH5" s="104"/>
      <c r="FI5" s="267"/>
      <c r="FJ5" s="104"/>
      <c r="FK5" s="267"/>
      <c r="FL5" s="267"/>
      <c r="FM5" s="267"/>
      <c r="FN5" s="80"/>
      <c r="FO5" s="136">
        <v>1122696</v>
      </c>
      <c r="FP5" s="81"/>
      <c r="FQ5" s="64"/>
      <c r="FR5" s="64"/>
      <c r="FS5" s="64"/>
      <c r="FT5" s="64"/>
      <c r="FU5" s="64"/>
      <c r="FV5" s="64"/>
      <c r="FW5" s="64"/>
      <c r="FX5" s="64"/>
      <c r="FY5" s="64"/>
      <c r="FZ5" s="82" t="s">
        <v>117</v>
      </c>
      <c r="GA5" s="82" t="s">
        <v>118</v>
      </c>
      <c r="GB5" s="82" t="s">
        <v>119</v>
      </c>
      <c r="GC5" s="70" t="s">
        <v>120</v>
      </c>
      <c r="GD5" s="70" t="s">
        <v>121</v>
      </c>
      <c r="GE5" s="70" t="s">
        <v>122</v>
      </c>
      <c r="GF5" s="70" t="s">
        <v>74</v>
      </c>
      <c r="GG5" s="70" t="s">
        <v>120</v>
      </c>
      <c r="GH5" s="70" t="s">
        <v>120</v>
      </c>
      <c r="GI5" s="83" t="s">
        <v>123</v>
      </c>
      <c r="GJ5" s="70" t="s">
        <v>124</v>
      </c>
      <c r="GK5" s="64"/>
      <c r="GL5" s="64"/>
    </row>
    <row r="6" spans="1:194" ht="15" customHeight="1">
      <c r="A6" s="4"/>
      <c r="B6" s="351">
        <v>43009</v>
      </c>
      <c r="C6" s="53"/>
      <c r="D6" s="86">
        <v>0</v>
      </c>
      <c r="E6" s="86">
        <v>0</v>
      </c>
      <c r="F6" s="86">
        <v>1386.576</v>
      </c>
      <c r="G6" s="86">
        <v>1552.94</v>
      </c>
      <c r="H6" s="86">
        <v>5274.0259999999998</v>
      </c>
      <c r="I6" s="86">
        <v>2014.433</v>
      </c>
      <c r="J6" s="86">
        <v>5872.9440000000004</v>
      </c>
      <c r="K6" s="86">
        <v>0</v>
      </c>
      <c r="L6" s="86">
        <v>0</v>
      </c>
      <c r="M6" s="87">
        <f>I6+J6</f>
        <v>7887.3770000000004</v>
      </c>
      <c r="N6" s="88">
        <f>SUM(D6:H6)</f>
        <v>8213.5419999999995</v>
      </c>
      <c r="O6" s="88">
        <f>N6+L6+((J6+I6)*0.5)</f>
        <v>12157.2305</v>
      </c>
      <c r="P6" s="89">
        <f>O6</f>
        <v>12157.2305</v>
      </c>
      <c r="Q6" s="74"/>
      <c r="R6" s="170">
        <f>IF(EL6=0,"",(EL6-EL5))</f>
        <v>194.80000000004657</v>
      </c>
      <c r="S6" s="170">
        <f>IF(EZ6=0,"",((EZ6-EZ5)/10))</f>
        <v>80.340000000002334</v>
      </c>
      <c r="T6" s="170">
        <f t="shared" ref="T6:T36" si="1">IF(EM6=0,"",((EM6/10)))</f>
        <v>333.8</v>
      </c>
      <c r="U6" s="170">
        <f>IF(FB6=0,"",((EN6-EN5)/10))</f>
        <v>4.7400000000001459</v>
      </c>
      <c r="V6" s="170">
        <f>IF(EO6=0,"",(EO6-EO5))</f>
        <v>1041.6000000000931</v>
      </c>
      <c r="W6" s="170">
        <f t="shared" ref="W6:W36" si="2">IF(EP6=0,"",(EP6-EP5)/10)</f>
        <v>92.4</v>
      </c>
      <c r="X6" s="170">
        <f>IF(V6="","",V6)</f>
        <v>1041.6000000000931</v>
      </c>
      <c r="Y6" s="170">
        <f>IF(EQ6=0,"0",(EQ6/10))</f>
        <v>148.5</v>
      </c>
      <c r="Z6" s="170">
        <f t="shared" ref="Z6:Z36" si="3">IF(ER6=0,"",(ER6/10))</f>
        <v>129.4</v>
      </c>
      <c r="AA6" s="501">
        <f>IF(SUM(R6:V6)=0,"",SUM(R6:V6))</f>
        <v>1655.2800000001421</v>
      </c>
      <c r="AB6" s="170">
        <f>IF(DU6=0,"",(DU6-DU5))</f>
        <v>31</v>
      </c>
      <c r="AC6" s="170">
        <f>IF(DV6=0,"",(DV6-DV5))</f>
        <v>0</v>
      </c>
      <c r="AD6" s="501">
        <f t="shared" ref="AD6:AD36" si="4">DW6-DW5+AB6</f>
        <v>65</v>
      </c>
      <c r="AE6" s="501">
        <f>IF(AB6="","",(AD6-AC6-AB6))</f>
        <v>34</v>
      </c>
      <c r="AF6" s="170">
        <f>IF(DX6=0,"",(DX6-DX5))</f>
        <v>26</v>
      </c>
      <c r="AG6" s="170">
        <f>IF(DY6=0,"",(DY6-DY5))</f>
        <v>25.399999999994179</v>
      </c>
      <c r="AH6" s="501">
        <f t="shared" ref="AH6:AH36" si="5">DZ6-DZ5+AF6</f>
        <v>102</v>
      </c>
      <c r="AI6" s="501">
        <f>IF(AF6="","",(AH6-AG6-AF6))</f>
        <v>50.600000000005821</v>
      </c>
      <c r="AJ6" s="170">
        <f>IF(EA6=0,"",(EA6-EA5))</f>
        <v>116</v>
      </c>
      <c r="AK6" s="170">
        <f>IF(EB6=0,"",(EB6-EB5))</f>
        <v>11</v>
      </c>
      <c r="AL6" s="501">
        <f t="shared" ref="AL6:AL36" si="6">EC6-EC5+AJ6</f>
        <v>220</v>
      </c>
      <c r="AM6" s="501">
        <f>IF(AJ6="","",(AL6-AK6-AJ6))</f>
        <v>93</v>
      </c>
      <c r="AN6" s="170">
        <f>IF(ED6=0,"",(ED6-ED5))</f>
        <v>11.69999999999709</v>
      </c>
      <c r="AO6" s="501">
        <f t="shared" ref="AO6:AO36" si="7">IF(AN6="","",(EE6-EE5)+(EF6-EF5))</f>
        <v>39.799999999995634</v>
      </c>
      <c r="AP6" s="170">
        <f>IF(EG6=0,"",(EG6-EG5))</f>
        <v>51.100000000005821</v>
      </c>
      <c r="AQ6" s="501">
        <f t="shared" ref="AQ6:AQ36" si="8">IF(AP6=0.1,0,(IF(AP6&gt;=(EH6-EH5),(AP6),(EH6-EH5))))</f>
        <v>51.100000000005821</v>
      </c>
      <c r="AR6" s="170">
        <f>IF(ET6=0,"",(ET6-ET5)/1000)</f>
        <v>39.296999999999997</v>
      </c>
      <c r="AS6" s="501">
        <f>IF(AR6="","",(ES6-ES5)+((ET6-ET5)/1000)-AW6-AU6)</f>
        <v>18.297000000000025</v>
      </c>
      <c r="AT6" s="501">
        <f>IF(AR6="","",ES6-ES5+((ET6-ET5)/1000))</f>
        <v>835.29700000000003</v>
      </c>
      <c r="AU6" s="170">
        <f>IF(EV6="","",(EV6-EV5))</f>
        <v>514</v>
      </c>
      <c r="AV6" s="501">
        <f>IF(EI6=0,"",(EI6-EI5))</f>
        <v>11</v>
      </c>
      <c r="AW6" s="170">
        <f>IF(EU6="","",(EU6-EU5))</f>
        <v>303</v>
      </c>
      <c r="AX6" s="501">
        <f>IF(EJ6=0,"",(EJ6-EJ5))</f>
        <v>12</v>
      </c>
      <c r="AY6" s="501"/>
      <c r="AZ6" s="170">
        <f>IF(EW6=0,"",EW6-EW5)</f>
        <v>374</v>
      </c>
      <c r="BA6" s="170">
        <v>0</v>
      </c>
      <c r="BB6" s="170">
        <f>IF(EX6=0,"",(EX6-EX5))</f>
        <v>99.5</v>
      </c>
      <c r="BC6" s="170">
        <f>IF(EY6=0,"",(EY6-EY5))</f>
        <v>806.69999999995343</v>
      </c>
      <c r="BD6" s="170">
        <f>IF(FA6=0,"",(FA6-FA5))</f>
        <v>239</v>
      </c>
      <c r="BE6" s="90"/>
      <c r="BF6" s="90"/>
      <c r="BG6" s="501">
        <f>IFERROR(SUM(BB6:BC6)+AZ6+BD6,"")</f>
        <v>1519.1999999999534</v>
      </c>
      <c r="BH6" s="501">
        <f>BL6-FC6</f>
        <v>3898.7</v>
      </c>
      <c r="BI6" s="90">
        <f t="shared" ref="BI6:BI36" si="9">IF(FC6=0,"",(FC6-BJ6))</f>
        <v>-636.677000000097</v>
      </c>
      <c r="BJ6" s="90">
        <f>IF(BH6=0,"",(AA6+AD6+AO6+BG6+AH6+AL6+AQ6+AT6+AX6+AV6))</f>
        <v>4510.677000000097</v>
      </c>
      <c r="BK6" s="92"/>
      <c r="BL6" s="93">
        <f>FD6+FN6</f>
        <v>7772.7</v>
      </c>
      <c r="BM6" s="93">
        <f>BL6</f>
        <v>7772.7</v>
      </c>
      <c r="BN6" s="92"/>
      <c r="BO6" s="94">
        <f>IF($N6&lt;&gt;0,IF($N6&lt;&gt;0,R6/$N6*10,0)," ")</f>
        <v>0.23716929918912763</v>
      </c>
      <c r="BP6" s="94">
        <f>IF($N6&lt;&gt;0,IF($N6&lt;&gt;0,S6/$N6*10,0)," ")</f>
        <v>9.781407339245643E-2</v>
      </c>
      <c r="BQ6" s="94">
        <f>IF($N6&lt;&gt;0,IF($N6&lt;&gt;0,T6/$N6*10,0)," ")</f>
        <v>0.40640201267613907</v>
      </c>
      <c r="BR6" s="94">
        <f>IF($N6&lt;&gt;0,IF($N6&lt;&gt;0,(V6)/$N6*10,0)," ")</f>
        <v>1.2681495997708336</v>
      </c>
      <c r="BS6" s="94">
        <f t="shared" ref="BS6:BU21" si="10">IF($N6&lt;&gt;0,IF($N6&lt;&gt;0,Y6/$N6*10,0)," ")</f>
        <v>0.18079897807791084</v>
      </c>
      <c r="BT6" s="94">
        <f t="shared" si="10"/>
        <v>0.15754469874263749</v>
      </c>
      <c r="BU6" s="95">
        <f>IF($N6&lt;&gt;0,IF($N6&lt;&gt;0,AA6/$N6*10,0)," ")</f>
        <v>2.0153059423086193</v>
      </c>
      <c r="BV6" s="94">
        <f t="shared" ref="BV6:BX35" si="11">IF($O6&lt;&gt;0,IF($O6&lt;&gt;0,R6/$O6*10,0)," ")</f>
        <v>0.16023386247389695</v>
      </c>
      <c r="BW6" s="94">
        <f t="shared" si="11"/>
        <v>6.6084129934035826E-2</v>
      </c>
      <c r="BX6" s="94">
        <f t="shared" si="11"/>
        <v>0.27456911341773116</v>
      </c>
      <c r="BY6" s="94">
        <f>IF($O6&lt;&gt;0,IF($O6&lt;&gt;0,(V6)/$O6*10,0)," ")</f>
        <v>0.85677408189315252</v>
      </c>
      <c r="BZ6" s="95">
        <f t="shared" ref="BZ6:BZ36" si="12">IF($O6&lt;&gt;0,IF($O6&lt;&gt;0,AA6/$O6*10,0)," ")</f>
        <v>1.3615601020315786</v>
      </c>
      <c r="CA6" s="96" t="e">
        <f>#REF!</f>
        <v>#REF!</v>
      </c>
      <c r="CB6" s="94">
        <f>IF($O6&lt;&gt;0,IF($O6&lt;&gt;0,AR6/$O6*10,0)," ")</f>
        <v>3.2323973786628463E-2</v>
      </c>
      <c r="CC6" s="95">
        <f>IF($O6&lt;&gt;0,IF($O6&lt;&gt;0,AS6/$O6*10,0)," ")</f>
        <v>1.5050302780719692E-2</v>
      </c>
      <c r="CD6" s="97">
        <f t="shared" ref="CD6:CE35" si="13">IFERROR(AR6*10/($I6+$J6),"")</f>
        <v>4.9822646996587075E-2</v>
      </c>
      <c r="CE6" s="98">
        <f>IFERROR(AS6*10/($I6+$J6),"")</f>
        <v>2.3197826096051987E-2</v>
      </c>
      <c r="CF6" s="94" t="str">
        <f>IF($D6&lt;&gt;0,IF($D6&lt;&gt;0,AB6/$D6*10,0),"0,00")</f>
        <v>0,00</v>
      </c>
      <c r="CG6" s="94" t="str">
        <f>IF($D6&lt;&gt;0,IF($D6&lt;&gt;0,AC6/$D6*10,0),"0,00")</f>
        <v>0,00</v>
      </c>
      <c r="CH6" s="95" t="str">
        <f>IF($D6&lt;&gt;0,IF($O6&lt;&gt;0,AD6/$D6*10,0),"0,00 ")</f>
        <v xml:space="preserve">0,00 </v>
      </c>
      <c r="CI6" s="96" t="e">
        <f>#REF!</f>
        <v>#REF!</v>
      </c>
      <c r="CJ6" s="94" t="str">
        <f>IF($E6&lt;&gt;0,IF($E6&lt;&gt;0,AF6/$E6*10,0),"0,00")</f>
        <v>0,00</v>
      </c>
      <c r="CK6" s="94" t="str">
        <f>IF($E6&lt;&gt;0,IF($E6&lt;&gt;0,AG6/$E6*10,0),"0,00")</f>
        <v>0,00</v>
      </c>
      <c r="CL6" s="95" t="str">
        <f>IF($E6&lt;&gt;0,IF($E6&lt;&gt;0,AH6/$E6*10,0),"0,00 ")</f>
        <v xml:space="preserve">0,00 </v>
      </c>
      <c r="CM6" s="95" t="e">
        <f>#REF!</f>
        <v>#REF!</v>
      </c>
      <c r="CN6" s="94">
        <f>IF($F6&lt;&gt;0,IF($F6&lt;&gt;0,AJ6/$F6*10,0),"0,00")</f>
        <v>0.83659316186058319</v>
      </c>
      <c r="CO6" s="94">
        <f>IF($F6&lt;&gt;0,IF($F6&lt;&gt;0,AK6/$F6*10,0),"0,00")</f>
        <v>7.93321101764346E-2</v>
      </c>
      <c r="CP6" s="95">
        <f>IF($F6&lt;&gt;0,IF($F6&lt;&gt;0,AL6/$F6*10,0),"0,00 ")</f>
        <v>1.5866422035286922</v>
      </c>
      <c r="CQ6" s="95" t="e">
        <f>#REF!</f>
        <v>#REF!</v>
      </c>
      <c r="CR6" s="97">
        <f>IF($G6&lt;&gt;0,IF($G6&lt;&gt;0,AN6/$G6*10,0),"0,00 ")</f>
        <v>7.5340966167379869E-2</v>
      </c>
      <c r="CS6" s="95">
        <f>IF($G6&lt;&gt;0,IF($G6&lt;&gt;0,AO6/$G6*10,0),"0,00 ")</f>
        <v>0.25628807294548167</v>
      </c>
      <c r="CT6" s="96" t="e">
        <f>#REF!</f>
        <v>#REF!</v>
      </c>
      <c r="CU6" s="97">
        <f>IF($H6&lt;&gt;0,IF($H6&lt;&gt;0,AP6/$H6*10,0),"0,00 ")</f>
        <v>9.6889928111855775E-2</v>
      </c>
      <c r="CV6" s="95">
        <f>IF($H6&lt;&gt;0,IF($H6&lt;&gt;0,AQ6/$H6*10,0),"0,00 ")</f>
        <v>9.6889928111855775E-2</v>
      </c>
      <c r="CW6" s="96" t="e">
        <f>#REF!</f>
        <v>#REF!</v>
      </c>
      <c r="CX6" s="97">
        <f>IF($O6&lt;&gt;0,IF($O6&lt;&gt;0,AU6/$O6*10,0)," ")</f>
        <v>0.42279366176367228</v>
      </c>
      <c r="CY6" s="98">
        <f>IF($O6&lt;&gt;0,IF($O6&lt;&gt;0,AV6/$O6*10,0)," ")</f>
        <v>9.0481133840474605E-3</v>
      </c>
      <c r="CZ6" s="97">
        <f>IF($O6&lt;&gt;0,IF($O6&lt;&gt;0,AW6/$O6*10,0)," ")</f>
        <v>0.24923439594239821</v>
      </c>
      <c r="DA6" s="98">
        <f>IF($O6&lt;&gt;0,IF($O6&lt;&gt;0,AX6/$O6*10,0)," ")</f>
        <v>9.870669146233595E-3</v>
      </c>
      <c r="DB6" s="94">
        <f t="shared" ref="DB6:DB36" si="14">IF($O6&lt;&gt;0,IF($O6&lt;&gt;0,AZ6/$O6*10,0)," ")</f>
        <v>0.30763585505761365</v>
      </c>
      <c r="DC6" s="94">
        <f t="shared" ref="DC6:DH35" si="15">IF($O6&lt;&gt;0,IF($O6&lt;&gt;0,BB6/$O6*10,0)," ")</f>
        <v>8.1844298337520202E-2</v>
      </c>
      <c r="DD6" s="94">
        <f t="shared" si="15"/>
        <v>0.6635557333555151</v>
      </c>
      <c r="DE6" s="94">
        <f t="shared" si="15"/>
        <v>0.19659082716248572</v>
      </c>
      <c r="DF6" s="94">
        <f t="shared" si="15"/>
        <v>0</v>
      </c>
      <c r="DG6" s="94">
        <f t="shared" si="15"/>
        <v>0</v>
      </c>
      <c r="DH6" s="95">
        <f>IF($O6&lt;&gt;0,IF($O6&lt;&gt;0,BG6/$O6*10,0)," ")</f>
        <v>1.2496267139131347</v>
      </c>
      <c r="DI6" s="96" t="e">
        <f>#REF!</f>
        <v>#REF!</v>
      </c>
      <c r="DJ6" s="95">
        <f>IF($O6&lt;&gt;0,IF($O6&lt;&gt;0,BH6/$O6*10,0)," ")</f>
        <v>3.2068981500350757</v>
      </c>
      <c r="DK6" s="96" t="e">
        <f>#REF!</f>
        <v>#REF!</v>
      </c>
      <c r="DL6" s="95">
        <f>IF($O6&lt;&gt;0,BI6/$O6*10," ")</f>
        <v>-0.52370233500146024</v>
      </c>
      <c r="DM6" s="96">
        <f t="shared" ref="DM6:DM37" si="16">$D$3</f>
        <v>0</v>
      </c>
      <c r="DN6" s="94">
        <f t="shared" ref="DN6:DN36" si="17">IF($O6&lt;&gt;0,BJ6/$O6*10,"")</f>
        <v>3.710283357710539</v>
      </c>
      <c r="DO6" s="100">
        <v>3.4</v>
      </c>
      <c r="DP6" s="94">
        <f>IF($O6&lt;&gt;0,IF($O6&lt;&gt;0,BL6/$O6*10,0)," ")</f>
        <v>6.3934791727441542</v>
      </c>
      <c r="DQ6" s="94">
        <f>IF($P6&lt;&gt;0,IF($P6&lt;&gt;0,BM6/$P6*10,0)," ")</f>
        <v>6.3934791727441542</v>
      </c>
      <c r="DR6" s="101">
        <f t="shared" ref="DR6:DR35" si="18">$D$2</f>
        <v>3.13</v>
      </c>
      <c r="DS6" s="102"/>
      <c r="DT6" s="103">
        <v>1</v>
      </c>
      <c r="DU6" s="548">
        <v>637080</v>
      </c>
      <c r="DV6" s="548">
        <v>29777</v>
      </c>
      <c r="DW6" s="548">
        <v>5154240</v>
      </c>
      <c r="DX6" s="548">
        <v>122164</v>
      </c>
      <c r="DY6" s="548">
        <v>87332.5</v>
      </c>
      <c r="DZ6" s="548">
        <v>405853</v>
      </c>
      <c r="EA6" s="549">
        <v>242323</v>
      </c>
      <c r="EB6" s="549">
        <v>56149.9</v>
      </c>
      <c r="EC6" s="549">
        <v>423356</v>
      </c>
      <c r="ED6" s="548">
        <v>48429</v>
      </c>
      <c r="EE6" s="549">
        <v>41008.400000000001</v>
      </c>
      <c r="EF6" s="549">
        <v>43342</v>
      </c>
      <c r="EG6" s="548">
        <v>95066</v>
      </c>
      <c r="EH6" s="548">
        <v>187441.5</v>
      </c>
      <c r="EI6" s="548">
        <v>34698</v>
      </c>
      <c r="EJ6" s="549">
        <v>43217</v>
      </c>
      <c r="EK6" s="549"/>
      <c r="EL6" s="548">
        <v>720000.8</v>
      </c>
      <c r="EM6" s="548">
        <v>3338</v>
      </c>
      <c r="EN6" s="549">
        <v>47784.5</v>
      </c>
      <c r="EO6" s="548">
        <v>3123831.1</v>
      </c>
      <c r="EP6" s="549">
        <v>2833309</v>
      </c>
      <c r="EQ6" s="549">
        <v>1485</v>
      </c>
      <c r="ER6" s="549">
        <v>1294</v>
      </c>
      <c r="ES6" s="549">
        <v>416479</v>
      </c>
      <c r="ET6" s="549">
        <v>7787246</v>
      </c>
      <c r="EU6" s="549">
        <v>158685</v>
      </c>
      <c r="EV6" s="549">
        <v>458713</v>
      </c>
      <c r="EW6" s="549">
        <v>137610</v>
      </c>
      <c r="EX6" s="548">
        <v>221081</v>
      </c>
      <c r="EY6" s="548">
        <v>1711837.7</v>
      </c>
      <c r="EZ6" s="548">
        <v>827683.5</v>
      </c>
      <c r="FA6" s="548">
        <v>766449</v>
      </c>
      <c r="FB6" s="549">
        <v>32157.5</v>
      </c>
      <c r="FC6" s="548">
        <v>3874</v>
      </c>
      <c r="FD6" s="303">
        <f>SUM(FE6:FM6)</f>
        <v>6272.7</v>
      </c>
      <c r="FE6" s="136">
        <f>FE39-FE38</f>
        <v>528</v>
      </c>
      <c r="FF6" s="549">
        <v>1274</v>
      </c>
      <c r="FG6" s="105">
        <f>FG39-FG38</f>
        <v>477</v>
      </c>
      <c r="FH6" s="549">
        <v>1177</v>
      </c>
      <c r="FI6" s="549">
        <v>596</v>
      </c>
      <c r="FJ6" s="105">
        <f t="shared" ref="FJ6:FJ22" si="19">FJ39-FJ38</f>
        <v>0</v>
      </c>
      <c r="FK6" s="550">
        <v>808.7</v>
      </c>
      <c r="FL6" s="549">
        <v>1071</v>
      </c>
      <c r="FM6" s="550">
        <v>341</v>
      </c>
      <c r="FN6" s="187">
        <v>1500</v>
      </c>
      <c r="FO6" s="77"/>
      <c r="FP6" s="484"/>
      <c r="FR6" s="64"/>
      <c r="FS6" s="64"/>
      <c r="FT6" s="64"/>
      <c r="FU6" s="64"/>
      <c r="FV6" s="64"/>
      <c r="FW6" s="64"/>
      <c r="FX6" s="64"/>
      <c r="FY6" s="64">
        <v>1</v>
      </c>
      <c r="FZ6" s="107">
        <v>8054</v>
      </c>
      <c r="GA6" s="107">
        <v>1246</v>
      </c>
      <c r="GB6" s="108">
        <f>GA6/FZ6/0.1</f>
        <v>1.5470573628010924</v>
      </c>
      <c r="GC6" s="109"/>
      <c r="GD6" s="110"/>
      <c r="GE6" s="110"/>
      <c r="GF6" s="111"/>
      <c r="GG6" s="111"/>
      <c r="GH6" s="111"/>
      <c r="GI6" s="112"/>
      <c r="GJ6" s="111">
        <f>(SUM(ER5+ES5)/(GB6+GI6))</f>
        <v>269893.67688603536</v>
      </c>
      <c r="GK6" s="113"/>
    </row>
    <row r="7" spans="1:194" ht="15" customHeight="1">
      <c r="B7" s="351">
        <v>43010</v>
      </c>
      <c r="D7" s="86">
        <v>0</v>
      </c>
      <c r="E7" s="86">
        <v>5952</v>
      </c>
      <c r="F7" s="86">
        <v>908.928</v>
      </c>
      <c r="G7" s="86">
        <v>3924.9940000000001</v>
      </c>
      <c r="H7" s="86">
        <v>6888.7340000000004</v>
      </c>
      <c r="I7" s="86">
        <v>2369.5920000000001</v>
      </c>
      <c r="J7" s="86">
        <v>4941.84</v>
      </c>
      <c r="K7" s="86">
        <v>11.087999999999999</v>
      </c>
      <c r="L7" s="86">
        <v>0</v>
      </c>
      <c r="M7" s="87">
        <f>I7+J7</f>
        <v>7311.4320000000007</v>
      </c>
      <c r="N7" s="88">
        <f t="shared" ref="N7:N36" si="20">SUM(D7:H7)</f>
        <v>17674.656000000003</v>
      </c>
      <c r="O7" s="88">
        <f t="shared" ref="O7:O35" si="21">N7+L7+((J7+I7)*0.5)</f>
        <v>21330.372000000003</v>
      </c>
      <c r="P7" s="89">
        <f t="shared" ref="P7:P36" si="22">P6+O7</f>
        <v>33487.602500000001</v>
      </c>
      <c r="R7" s="170">
        <f t="shared" ref="R7:R36" si="23">IF(EL7=0,"",(EL7-EL6))</f>
        <v>260.19999999995343</v>
      </c>
      <c r="S7" s="170">
        <f t="shared" ref="S7:S36" si="24">IF(EZ7=0,"",((EZ7-EZ6)/10))</f>
        <v>13.490000000002329</v>
      </c>
      <c r="T7" s="170">
        <f t="shared" si="1"/>
        <v>332.1</v>
      </c>
      <c r="U7" s="170">
        <f>IF(FB7=0,"",((EN7-EN6)/10))</f>
        <v>5.3699999999997088</v>
      </c>
      <c r="V7" s="170">
        <f t="shared" ref="V7:V36" si="25">IF(EO7=0,"",(EO7-EO6))</f>
        <v>886.89999999990687</v>
      </c>
      <c r="W7" s="170">
        <f t="shared" si="2"/>
        <v>79.099999999999994</v>
      </c>
      <c r="X7" s="170">
        <f t="shared" ref="X7:X36" si="26">IF(V7="","",V7)</f>
        <v>886.89999999990687</v>
      </c>
      <c r="Y7" s="170">
        <f t="shared" ref="Y7:Y36" si="27">IF(EQ7=0,"0",(EQ7/10))</f>
        <v>23</v>
      </c>
      <c r="Z7" s="170">
        <f t="shared" si="3"/>
        <v>121</v>
      </c>
      <c r="AA7" s="501">
        <f t="shared" ref="AA7:AA36" si="28">IF(SUM(R7:V7)=0,"",SUM(R7:V7))</f>
        <v>1498.0599999998624</v>
      </c>
      <c r="AB7" s="170">
        <f t="shared" ref="AB7:AC36" si="29">IF(DU7=0,"",(DU7-DU6))</f>
        <v>0</v>
      </c>
      <c r="AC7" s="170">
        <f t="shared" si="29"/>
        <v>26</v>
      </c>
      <c r="AD7" s="501">
        <f t="shared" si="4"/>
        <v>176</v>
      </c>
      <c r="AE7" s="501">
        <f t="shared" ref="AE7:AE36" si="30">IF(AB7="","",(AD7-AC7-AB7))</f>
        <v>150</v>
      </c>
      <c r="AF7" s="170">
        <f>IF(DX7=0,"",(DX7-DX6))</f>
        <v>52</v>
      </c>
      <c r="AG7" s="170">
        <f t="shared" ref="AF7:AG36" si="31">IF(DY7=0,"",(DY7-DY6))</f>
        <v>15.100000000005821</v>
      </c>
      <c r="AH7" s="501">
        <f t="shared" si="5"/>
        <v>114</v>
      </c>
      <c r="AI7" s="501">
        <f t="shared" ref="AI7:AI36" si="32">IF(AF7="","",(AH7-AG7-AF7))</f>
        <v>46.899999999994179</v>
      </c>
      <c r="AJ7" s="170">
        <f t="shared" ref="AJ7:AK35" si="33">IF(EA7=0,"",(EA7-EA6))</f>
        <v>53</v>
      </c>
      <c r="AK7" s="170">
        <f t="shared" si="33"/>
        <v>20.69999999999709</v>
      </c>
      <c r="AL7" s="501">
        <f t="shared" si="6"/>
        <v>205</v>
      </c>
      <c r="AM7" s="501">
        <f t="shared" ref="AM7:AM36" si="34">IF(AJ7="","",(AL7-AK7-AJ7))</f>
        <v>131.30000000000291</v>
      </c>
      <c r="AN7" s="170">
        <f t="shared" ref="AN7:AN36" si="35">IF(ED7=0,"",(ED7-ED6))</f>
        <v>19.900000000001455</v>
      </c>
      <c r="AO7" s="501">
        <f t="shared" si="7"/>
        <v>58</v>
      </c>
      <c r="AP7" s="170">
        <f t="shared" ref="AP7:AP36" si="36">IF(EG7=0,"",(EG7-EG6))</f>
        <v>24.80000000000291</v>
      </c>
      <c r="AQ7" s="501">
        <f t="shared" si="8"/>
        <v>30.600000000005821</v>
      </c>
      <c r="AR7" s="170">
        <f t="shared" ref="AR7:AR36" si="37">IF(ET7=0,"",(ET7-ET6)/1000)</f>
        <v>86.57</v>
      </c>
      <c r="AS7" s="501">
        <f t="shared" ref="AS7:AS36" si="38">IF(AR7="","",(ES7-ES6)+((ET7-ET6)/1000)-AW7-AU7)</f>
        <v>95.569999999999936</v>
      </c>
      <c r="AT7" s="501">
        <f t="shared" ref="AT7:AT36" si="39">IF(AR7="","",ES7-ES6+((ET7-ET6)/1000))</f>
        <v>977.56999999999994</v>
      </c>
      <c r="AU7" s="170">
        <f>IF(EV7="","",(EV7-EV6))</f>
        <v>564</v>
      </c>
      <c r="AV7" s="501">
        <f>IF(EI7=0,"",(EI7-EI6))</f>
        <v>12</v>
      </c>
      <c r="AW7" s="170">
        <f>IF(EU7="","",(EU7-EU6))</f>
        <v>318</v>
      </c>
      <c r="AX7" s="501">
        <f>IF(EJ7=0,"",(EJ7-EJ6))</f>
        <v>62</v>
      </c>
      <c r="AY7" s="501"/>
      <c r="AZ7" s="170">
        <f t="shared" ref="AZ7:AZ36" si="40">IF(EW7=0,"",EW7-EW6)</f>
        <v>253</v>
      </c>
      <c r="BA7" s="170">
        <v>117</v>
      </c>
      <c r="BB7" s="170">
        <f t="shared" ref="BB7:BC36" si="41">IF(EX7=0,"",(EX7-EX6))</f>
        <v>113.29999999998836</v>
      </c>
      <c r="BC7" s="170">
        <f t="shared" si="41"/>
        <v>1006</v>
      </c>
      <c r="BD7" s="170">
        <f t="shared" ref="BD7:BD36" si="42">IF(FA7=0,"",(FA7-FA6))</f>
        <v>131</v>
      </c>
      <c r="BE7" s="90"/>
      <c r="BF7" s="90"/>
      <c r="BG7" s="501">
        <f t="shared" ref="BG7:BG36" si="43">IFERROR(SUM(BB7:BC7)+AZ7+BD7,"")</f>
        <v>1503.2999999999884</v>
      </c>
      <c r="BH7" s="501">
        <f t="shared" ref="BH7:BH36" si="44">BL7-FC7</f>
        <v>4876</v>
      </c>
      <c r="BI7" s="90">
        <f t="shared" si="9"/>
        <v>-2926.529999999856</v>
      </c>
      <c r="BJ7" s="90">
        <f t="shared" ref="BJ7:BJ36" si="45">IF(BH7=0,"",(AA7+AD7+AO7+BG7+AH7+AL7+AQ7+AT7+AX7+AV7))</f>
        <v>4636.529999999856</v>
      </c>
      <c r="BK7" s="92"/>
      <c r="BL7" s="93">
        <f>FD7+FN7</f>
        <v>6586</v>
      </c>
      <c r="BM7" s="93">
        <f t="shared" ref="BM7:BM36" si="46">BL7+BM6</f>
        <v>14358.7</v>
      </c>
      <c r="BN7" s="92"/>
      <c r="BO7" s="94">
        <f t="shared" ref="BO7:BP35" si="47">IF($N7&lt;&gt;0,IF($N7&lt;&gt;0,R7/$N7*10,0)," ")</f>
        <v>0.14721644370331927</v>
      </c>
      <c r="BP7" s="94">
        <f>IF($N7&lt;&gt;0,IF($N7&lt;&gt;0,S7/$N7*10,0)," ")</f>
        <v>7.6323974848519415E-3</v>
      </c>
      <c r="BQ7" s="94">
        <f t="shared" ref="BQ7:BQ36" si="48">IF($N7&lt;&gt;0,IF($N7&lt;&gt;0,T7/$N7*10,0)," ")</f>
        <v>0.18789616046841306</v>
      </c>
      <c r="BR7" s="94">
        <f>IF($N7&lt;&gt;0,IF($N7&lt;&gt;0,(V7)/$N7*10,0)," ")</f>
        <v>0.50179194435235785</v>
      </c>
      <c r="BS7" s="94">
        <f t="shared" si="10"/>
        <v>1.301298310982686E-2</v>
      </c>
      <c r="BT7" s="94">
        <f t="shared" si="10"/>
        <v>6.8459606795176084E-2</v>
      </c>
      <c r="BU7" s="95">
        <f t="shared" si="10"/>
        <v>0.84757519467414932</v>
      </c>
      <c r="BV7" s="94">
        <f t="shared" si="11"/>
        <v>0.12198568313761869</v>
      </c>
      <c r="BW7" s="94">
        <f t="shared" si="11"/>
        <v>6.3243153940317244E-3</v>
      </c>
      <c r="BX7" s="94">
        <f t="shared" si="11"/>
        <v>0.15569348720219225</v>
      </c>
      <c r="BY7" s="94">
        <f t="shared" ref="BY7:BY36" si="49">IF($O7&lt;&gt;0,IF($O7&lt;&gt;0,(V7)/$O7*10,0)," ")</f>
        <v>0.41579209213974644</v>
      </c>
      <c r="BZ7" s="95">
        <f t="shared" si="12"/>
        <v>0.70231311483918901</v>
      </c>
      <c r="CA7" s="96" t="e">
        <f>#REF!</f>
        <v>#REF!</v>
      </c>
      <c r="CB7" s="94">
        <f t="shared" ref="CB7:CC36" si="50">IF($O7&lt;&gt;0,IF($O7&lt;&gt;0,AR7/$O7*10,0)," ")</f>
        <v>4.0585321249905992E-2</v>
      </c>
      <c r="CC7" s="95">
        <f t="shared" si="50"/>
        <v>4.4804656946442339E-2</v>
      </c>
      <c r="CD7" s="97">
        <f t="shared" si="13"/>
        <v>0.11840361778650199</v>
      </c>
      <c r="CE7" s="98">
        <f>IFERROR(AS7*10/($I7+$J7),"")</f>
        <v>0.13071310791100829</v>
      </c>
      <c r="CF7" s="97" t="str">
        <f t="shared" ref="CF7:CG36" si="51">IF($D7&lt;&gt;0,IF($D7&lt;&gt;0,AB7/$D7*10,0),"0,00")</f>
        <v>0,00</v>
      </c>
      <c r="CG7" s="94" t="str">
        <f t="shared" si="51"/>
        <v>0,00</v>
      </c>
      <c r="CH7" s="95" t="str">
        <f t="shared" ref="CH7:CH36" si="52">IF($D7&lt;&gt;0,IF($O7&lt;&gt;0,AD7/$D7*10,0),"0,00 ")</f>
        <v xml:space="preserve">0,00 </v>
      </c>
      <c r="CI7" s="96" t="e">
        <f>#REF!</f>
        <v>#REF!</v>
      </c>
      <c r="CJ7" s="94">
        <f t="shared" ref="CJ7:CK36" si="53">IF($E7&lt;&gt;0,IF($E7&lt;&gt;0,AF7/$E7*10,0),"0,00")</f>
        <v>8.7365591397849454E-2</v>
      </c>
      <c r="CK7" s="94">
        <f t="shared" si="53"/>
        <v>2.5369623655923757E-2</v>
      </c>
      <c r="CL7" s="95">
        <f>IF($E7&lt;&gt;0,IF($E7&lt;&gt;0,AH7/$E7*10,0),"0,00 ")</f>
        <v>0.19153225806451613</v>
      </c>
      <c r="CM7" s="95" t="e">
        <f>#REF!</f>
        <v>#REF!</v>
      </c>
      <c r="CN7" s="94">
        <f t="shared" ref="CN7:CO36" si="54">IF($F7&lt;&gt;0,IF($F7&lt;&gt;0,AJ7/$F7*10,0),"0,00")</f>
        <v>0.58310449232502459</v>
      </c>
      <c r="CO7" s="94">
        <f t="shared" si="54"/>
        <v>0.22774081115332664</v>
      </c>
      <c r="CP7" s="95">
        <f t="shared" ref="CP7:CP36" si="55">IF($F7&lt;&gt;0,IF($F7&lt;&gt;0,AL7/$F7*10,0),"0,00 ")</f>
        <v>2.2554041684269821</v>
      </c>
      <c r="CQ7" s="95" t="e">
        <f>#REF!</f>
        <v>#REF!</v>
      </c>
      <c r="CR7" s="97">
        <f>IF($G7&lt;&gt;0,IF($G7&lt;&gt;0,AN7/$G7*10,0),"0,00 ")</f>
        <v>5.070071444695573E-2</v>
      </c>
      <c r="CS7" s="95">
        <f>IF($G7&lt;&gt;0,IF($G7&lt;&gt;0,AO7/$G7*10,0),"0,00 ")</f>
        <v>0.14777092652880489</v>
      </c>
      <c r="CT7" s="96" t="e">
        <f>#REF!</f>
        <v>#REF!</v>
      </c>
      <c r="CU7" s="97">
        <f>IF($H7&lt;&gt;0,IF($H7&lt;&gt;0,AP7/$H7*10,0),"0,00 ")</f>
        <v>3.6000809437558352E-2</v>
      </c>
      <c r="CV7" s="95">
        <f t="shared" ref="CV7:CV36" si="56">IF($H7&lt;&gt;0,IF($H7&lt;&gt;0,AQ7/$H7*10,0),"0,00 ")</f>
        <v>4.4420353580216364E-2</v>
      </c>
      <c r="CW7" s="96" t="e">
        <f>#REF!</f>
        <v>#REF!</v>
      </c>
      <c r="CX7" s="97">
        <f t="shared" ref="CX7:DA26" si="57">IF($O7&lt;&gt;0,IF($O7&lt;&gt;0,AU7/$O7*10,0)," ")</f>
        <v>0.26441170364961286</v>
      </c>
      <c r="CY7" s="98">
        <f t="shared" si="57"/>
        <v>5.6257809287151668E-3</v>
      </c>
      <c r="CZ7" s="97">
        <f t="shared" si="57"/>
        <v>0.1490831946109519</v>
      </c>
      <c r="DA7" s="98">
        <f t="shared" si="57"/>
        <v>2.9066534798361694E-2</v>
      </c>
      <c r="DB7" s="94">
        <f t="shared" si="14"/>
        <v>0.11861021458041143</v>
      </c>
      <c r="DC7" s="94">
        <f t="shared" si="15"/>
        <v>5.3116748268613567E-2</v>
      </c>
      <c r="DD7" s="94">
        <f t="shared" si="15"/>
        <v>0.47162796785728817</v>
      </c>
      <c r="DE7" s="94">
        <f t="shared" si="15"/>
        <v>6.1414775138473904E-2</v>
      </c>
      <c r="DF7" s="94">
        <f t="shared" si="15"/>
        <v>0</v>
      </c>
      <c r="DG7" s="94">
        <f t="shared" si="15"/>
        <v>0</v>
      </c>
      <c r="DH7" s="95">
        <f t="shared" si="15"/>
        <v>0.70476970584478704</v>
      </c>
      <c r="DI7" s="96" t="e">
        <f>#REF!</f>
        <v>#REF!</v>
      </c>
      <c r="DJ7" s="95">
        <f t="shared" ref="DJ7:DJ36" si="58">IF($O7&lt;&gt;0,IF($O7&lt;&gt;0,BH7/$O7*10,0)," ")</f>
        <v>2.2859423173679296</v>
      </c>
      <c r="DK7" s="96" t="e">
        <f>#REF!</f>
        <v>#REF!</v>
      </c>
      <c r="DL7" s="95">
        <f t="shared" ref="DL7:DL36" si="59">IF($O7&lt;&gt;0,BI7/$O7*10," ")</f>
        <v>-1.3720013884426654</v>
      </c>
      <c r="DM7" s="96">
        <f t="shared" si="16"/>
        <v>0</v>
      </c>
      <c r="DN7" s="94">
        <f t="shared" si="17"/>
        <v>2.1736751707845765</v>
      </c>
      <c r="DO7" s="100">
        <v>3.4</v>
      </c>
      <c r="DP7" s="94">
        <f>IF($O7&lt;&gt;0,IF($O7&lt;&gt;0,BL7/$O7*10,0)," ")</f>
        <v>3.0876160997098405</v>
      </c>
      <c r="DQ7" s="94">
        <f>IF($P7&lt;&gt;0,IF($P7&lt;&gt;0,BM7/$P7*10,0)," ")</f>
        <v>4.287765897842343</v>
      </c>
      <c r="DR7" s="101">
        <f t="shared" si="18"/>
        <v>3.13</v>
      </c>
      <c r="DS7" s="116"/>
      <c r="DT7" s="103">
        <v>2</v>
      </c>
      <c r="DU7" s="120">
        <v>637080</v>
      </c>
      <c r="DV7" s="120">
        <v>29803</v>
      </c>
      <c r="DW7" s="120">
        <v>5154416</v>
      </c>
      <c r="DX7" s="120">
        <v>122216</v>
      </c>
      <c r="DY7" s="553">
        <v>87347.6</v>
      </c>
      <c r="DZ7" s="553">
        <v>405915</v>
      </c>
      <c r="EA7" s="553">
        <v>242376</v>
      </c>
      <c r="EB7" s="553">
        <v>56170.6</v>
      </c>
      <c r="EC7" s="553">
        <v>423508</v>
      </c>
      <c r="ED7" s="553">
        <v>48448.9</v>
      </c>
      <c r="EE7" s="553">
        <v>41036.6</v>
      </c>
      <c r="EF7" s="553">
        <v>43371.8</v>
      </c>
      <c r="EG7" s="553">
        <v>95090.8</v>
      </c>
      <c r="EH7" s="553">
        <v>187472.1</v>
      </c>
      <c r="EI7" s="553">
        <v>34710</v>
      </c>
      <c r="EJ7" s="553">
        <v>43279</v>
      </c>
      <c r="EK7" s="553"/>
      <c r="EL7" s="553">
        <v>720261</v>
      </c>
      <c r="EM7" s="553">
        <v>3321</v>
      </c>
      <c r="EN7" s="553">
        <v>47838.2</v>
      </c>
      <c r="EO7" s="553">
        <v>3124718</v>
      </c>
      <c r="EP7" s="553">
        <v>2834100</v>
      </c>
      <c r="EQ7" s="553">
        <v>230</v>
      </c>
      <c r="ER7" s="553">
        <v>1210</v>
      </c>
      <c r="ES7" s="553">
        <v>417370</v>
      </c>
      <c r="ET7" s="553">
        <v>7873816</v>
      </c>
      <c r="EU7" s="553">
        <v>159003</v>
      </c>
      <c r="EV7" s="553">
        <v>459277</v>
      </c>
      <c r="EW7" s="553">
        <v>137863</v>
      </c>
      <c r="EX7" s="553">
        <v>221194.3</v>
      </c>
      <c r="EY7" s="553">
        <v>1712843.7</v>
      </c>
      <c r="EZ7" s="553">
        <v>827818.4</v>
      </c>
      <c r="FA7" s="553">
        <v>766580</v>
      </c>
      <c r="FB7" s="553">
        <v>32282.1</v>
      </c>
      <c r="FC7" s="135">
        <v>1710</v>
      </c>
      <c r="FD7" s="303">
        <f>SUM(FE7:FM7)</f>
        <v>5086</v>
      </c>
      <c r="FE7" s="493">
        <v>1140</v>
      </c>
      <c r="FF7" s="494">
        <v>0</v>
      </c>
      <c r="FG7" s="105">
        <f>FG40-FG39</f>
        <v>611</v>
      </c>
      <c r="FH7" s="303">
        <v>1833</v>
      </c>
      <c r="FI7" s="303">
        <v>346</v>
      </c>
      <c r="FJ7" s="105">
        <f t="shared" si="19"/>
        <v>0</v>
      </c>
      <c r="FK7" s="303">
        <v>807</v>
      </c>
      <c r="FL7" s="303">
        <v>248</v>
      </c>
      <c r="FM7" s="303">
        <v>101</v>
      </c>
      <c r="FN7" s="80">
        <v>1500</v>
      </c>
      <c r="FO7" s="77"/>
      <c r="FP7" s="353"/>
      <c r="FR7" s="64"/>
      <c r="FS7" s="64"/>
      <c r="FT7" s="64"/>
      <c r="FU7" s="64"/>
      <c r="FV7" s="64"/>
      <c r="FW7" s="64"/>
      <c r="FX7" s="64"/>
      <c r="FY7" s="64">
        <v>2</v>
      </c>
      <c r="FZ7" s="107"/>
      <c r="GA7" s="107">
        <v>83</v>
      </c>
      <c r="GB7" s="108"/>
      <c r="GC7" s="109"/>
      <c r="GD7" s="110"/>
      <c r="GE7" s="110"/>
      <c r="GF7" s="111"/>
      <c r="GG7" s="111"/>
      <c r="GH7" s="111"/>
      <c r="GI7" s="112"/>
      <c r="GJ7" s="111" t="e">
        <f t="shared" ref="GJ7:GJ37" si="60">(SUM(EQ6+ER6)/(GB7+GI7))</f>
        <v>#DIV/0!</v>
      </c>
      <c r="GK7" s="118"/>
    </row>
    <row r="8" spans="1:194" s="119" customFormat="1" ht="15" customHeight="1">
      <c r="B8" s="351">
        <v>43011</v>
      </c>
      <c r="D8" s="86">
        <v>0</v>
      </c>
      <c r="E8" s="86">
        <v>4164</v>
      </c>
      <c r="F8" s="86">
        <v>2227.8240000000001</v>
      </c>
      <c r="G8" s="86">
        <v>4115.2449999999999</v>
      </c>
      <c r="H8" s="86">
        <v>6553.0559999999996</v>
      </c>
      <c r="I8" s="86">
        <v>2317.7460000000001</v>
      </c>
      <c r="J8" s="86">
        <v>5220</v>
      </c>
      <c r="K8" s="86">
        <v>15.019</v>
      </c>
      <c r="L8" s="86">
        <v>0</v>
      </c>
      <c r="M8" s="115">
        <f t="shared" ref="M8:M36" si="61">I8+J8</f>
        <v>7537.7460000000001</v>
      </c>
      <c r="N8" s="88">
        <f t="shared" si="20"/>
        <v>17060.125</v>
      </c>
      <c r="O8" s="88">
        <f t="shared" si="21"/>
        <v>20828.998</v>
      </c>
      <c r="P8" s="89">
        <f>(P7+O8)</f>
        <v>54316.6005</v>
      </c>
      <c r="R8" s="170">
        <f t="shared" si="23"/>
        <v>276.69999999995343</v>
      </c>
      <c r="S8" s="170">
        <f t="shared" si="24"/>
        <v>12.2</v>
      </c>
      <c r="T8" s="170">
        <f t="shared" si="1"/>
        <v>817.5</v>
      </c>
      <c r="U8" s="170">
        <f>IF(FB8=0,"",((EN8-EN7)/10))</f>
        <v>5.9</v>
      </c>
      <c r="V8" s="170">
        <f t="shared" si="25"/>
        <v>1058.6000000000931</v>
      </c>
      <c r="W8" s="170">
        <f t="shared" si="2"/>
        <v>93.7</v>
      </c>
      <c r="X8" s="170">
        <f t="shared" si="26"/>
        <v>1058.6000000000931</v>
      </c>
      <c r="Y8" s="170">
        <f t="shared" si="27"/>
        <v>49.5</v>
      </c>
      <c r="Z8" s="170">
        <f t="shared" si="3"/>
        <v>154.4</v>
      </c>
      <c r="AA8" s="501">
        <f t="shared" si="28"/>
        <v>2170.9000000000469</v>
      </c>
      <c r="AB8" s="170">
        <f t="shared" si="29"/>
        <v>0</v>
      </c>
      <c r="AC8" s="170">
        <f t="shared" si="29"/>
        <v>22</v>
      </c>
      <c r="AD8" s="501">
        <f t="shared" si="4"/>
        <v>63</v>
      </c>
      <c r="AE8" s="501">
        <f t="shared" si="30"/>
        <v>41</v>
      </c>
      <c r="AF8" s="170">
        <f t="shared" si="31"/>
        <v>31</v>
      </c>
      <c r="AG8" s="170">
        <f t="shared" si="31"/>
        <v>4.5</v>
      </c>
      <c r="AH8" s="501">
        <f t="shared" si="5"/>
        <v>90</v>
      </c>
      <c r="AI8" s="501">
        <f t="shared" si="32"/>
        <v>54.5</v>
      </c>
      <c r="AJ8" s="170">
        <f t="shared" si="33"/>
        <v>132</v>
      </c>
      <c r="AK8" s="170">
        <f t="shared" si="33"/>
        <v>9.8000000000029104</v>
      </c>
      <c r="AL8" s="501">
        <f t="shared" si="6"/>
        <v>245</v>
      </c>
      <c r="AM8" s="501">
        <f t="shared" si="34"/>
        <v>103.19999999999709</v>
      </c>
      <c r="AN8" s="170">
        <f t="shared" si="35"/>
        <v>15.299999999995634</v>
      </c>
      <c r="AO8" s="501">
        <f t="shared" si="7"/>
        <v>43.69999999999709</v>
      </c>
      <c r="AP8" s="170">
        <f t="shared" si="36"/>
        <v>31</v>
      </c>
      <c r="AQ8" s="501">
        <f t="shared" si="8"/>
        <v>35.100000000005821</v>
      </c>
      <c r="AR8" s="170">
        <f t="shared" si="37"/>
        <v>81.501999999999995</v>
      </c>
      <c r="AS8" s="501">
        <f t="shared" si="38"/>
        <v>106.50199999999995</v>
      </c>
      <c r="AT8" s="501">
        <f t="shared" si="39"/>
        <v>695.50199999999995</v>
      </c>
      <c r="AU8" s="170">
        <f t="shared" ref="AU8:AU36" si="62">IF(EV8="","",(EV8-EV7))</f>
        <v>346</v>
      </c>
      <c r="AV8" s="501">
        <f t="shared" ref="AV8:AV36" si="63">IF(EI8=0,"",(EI8-EI7))</f>
        <v>43</v>
      </c>
      <c r="AW8" s="170">
        <f t="shared" ref="AW8:AW36" si="64">IF(EU8="","",(EU8-EU7))</f>
        <v>243</v>
      </c>
      <c r="AX8" s="501">
        <f t="shared" ref="AX8:AY36" si="65">IF(EJ8=0,"",(EJ8-EJ7))</f>
        <v>29</v>
      </c>
      <c r="AY8" s="501"/>
      <c r="AZ8" s="170">
        <f t="shared" si="40"/>
        <v>371</v>
      </c>
      <c r="BA8" s="170">
        <v>0</v>
      </c>
      <c r="BB8" s="170">
        <f t="shared" si="41"/>
        <v>138.70000000001164</v>
      </c>
      <c r="BC8" s="170">
        <f t="shared" si="41"/>
        <v>1120.4000000001397</v>
      </c>
      <c r="BD8" s="170">
        <f t="shared" si="42"/>
        <v>187</v>
      </c>
      <c r="BE8" s="90"/>
      <c r="BF8" s="90"/>
      <c r="BG8" s="501">
        <f>IFERROR(SUM(BB8:BC8)+AZ8+BD8,"")</f>
        <v>1817.1000000001513</v>
      </c>
      <c r="BH8" s="501">
        <f t="shared" si="44"/>
        <v>2561</v>
      </c>
      <c r="BI8" s="90">
        <f t="shared" si="9"/>
        <v>-1233.3020000002016</v>
      </c>
      <c r="BJ8" s="90">
        <f t="shared" si="45"/>
        <v>5232.3020000002016</v>
      </c>
      <c r="BK8" s="92"/>
      <c r="BL8" s="93">
        <f t="shared" ref="BL8:BL35" si="66">FD8+FN8</f>
        <v>6560</v>
      </c>
      <c r="BM8" s="93">
        <f t="shared" si="46"/>
        <v>20918.7</v>
      </c>
      <c r="BN8" s="92" t="s">
        <v>125</v>
      </c>
      <c r="BO8" s="94">
        <f t="shared" si="47"/>
        <v>0.16219107421543127</v>
      </c>
      <c r="BP8" s="94">
        <f t="shared" si="47"/>
        <v>7.1511785523259647E-3</v>
      </c>
      <c r="BQ8" s="94">
        <f t="shared" si="48"/>
        <v>0.47918757922348165</v>
      </c>
      <c r="BR8" s="94">
        <f t="shared" ref="BR8:BR36" si="67">IF($N8&lt;&gt;0,IF($N8&lt;&gt;0,(V8)/$N8*10,0)," ")</f>
        <v>0.62051127995843713</v>
      </c>
      <c r="BS8" s="94">
        <f t="shared" si="10"/>
        <v>2.9015027732797974E-2</v>
      </c>
      <c r="BT8" s="94">
        <f t="shared" si="10"/>
        <v>9.0503440039272881E-2</v>
      </c>
      <c r="BU8" s="95">
        <f t="shared" si="10"/>
        <v>1.2724994687905553</v>
      </c>
      <c r="BV8" s="94">
        <f t="shared" si="11"/>
        <v>0.13284364423096753</v>
      </c>
      <c r="BW8" s="94">
        <f t="shared" si="11"/>
        <v>5.8572188638166848E-3</v>
      </c>
      <c r="BX8" s="94">
        <f t="shared" si="11"/>
        <v>0.39248167386640492</v>
      </c>
      <c r="BY8" s="94">
        <f t="shared" si="49"/>
        <v>0.5082337614128597</v>
      </c>
      <c r="BZ8" s="95">
        <f t="shared" si="12"/>
        <v>1.0422488878245835</v>
      </c>
      <c r="CA8" s="96" t="e">
        <f>#REF!</f>
        <v>#REF!</v>
      </c>
      <c r="CB8" s="94">
        <f t="shared" si="50"/>
        <v>3.9129102609736677E-2</v>
      </c>
      <c r="CC8" s="95">
        <f t="shared" si="50"/>
        <v>5.1131600281492162E-2</v>
      </c>
      <c r="CD8" s="97">
        <f t="shared" si="13"/>
        <v>0.10812516102293709</v>
      </c>
      <c r="CE8" s="98">
        <f t="shared" si="13"/>
        <v>0.14129157443087093</v>
      </c>
      <c r="CF8" s="97" t="str">
        <f t="shared" si="51"/>
        <v>0,00</v>
      </c>
      <c r="CG8" s="94" t="str">
        <f t="shared" si="51"/>
        <v>0,00</v>
      </c>
      <c r="CH8" s="95" t="str">
        <f t="shared" si="52"/>
        <v xml:space="preserve">0,00 </v>
      </c>
      <c r="CI8" s="96" t="e">
        <f>#REF!</f>
        <v>#REF!</v>
      </c>
      <c r="CJ8" s="94">
        <f t="shared" si="53"/>
        <v>7.4447646493756001E-2</v>
      </c>
      <c r="CK8" s="94">
        <f t="shared" si="53"/>
        <v>1.0806916426512969E-2</v>
      </c>
      <c r="CL8" s="95">
        <f t="shared" ref="CL8:CL36" si="68">IF($E8&lt;&gt;0,IF($E8&lt;&gt;0,AH8/$E8*10,0),"0,00 ")</f>
        <v>0.21613832853025938</v>
      </c>
      <c r="CM8" s="95" t="e">
        <f>#REF!</f>
        <v>#REF!</v>
      </c>
      <c r="CN8" s="94">
        <f t="shared" si="54"/>
        <v>0.59250640984207004</v>
      </c>
      <c r="CO8" s="94">
        <f t="shared" si="54"/>
        <v>4.3989112245863722E-2</v>
      </c>
      <c r="CP8" s="95">
        <f t="shared" si="55"/>
        <v>1.0997278061462665</v>
      </c>
      <c r="CQ8" s="95" t="e">
        <f>#REF!</f>
        <v>#REF!</v>
      </c>
      <c r="CR8" s="97">
        <f t="shared" ref="CR8:CS36" si="69">IF($G8&lt;&gt;0,IF($G8&lt;&gt;0,AN8/$G8*10,0),"0,00 ")</f>
        <v>3.7178831393989017E-2</v>
      </c>
      <c r="CS8" s="95">
        <f t="shared" si="69"/>
        <v>0.10619051842599188</v>
      </c>
      <c r="CT8" s="96" t="e">
        <f>#REF!</f>
        <v>#REF!</v>
      </c>
      <c r="CU8" s="97">
        <f t="shared" ref="CU8:CU36" si="70">IF($H8&lt;&gt;0,IF($H8&lt;&gt;0,AP8/$H8*10,0),"0,00 ")</f>
        <v>4.7306172875678162E-2</v>
      </c>
      <c r="CV8" s="95">
        <f t="shared" si="56"/>
        <v>5.3562795739889632E-2</v>
      </c>
      <c r="CW8" s="96" t="e">
        <f>#REF!</f>
        <v>#REF!</v>
      </c>
      <c r="CX8" s="97">
        <f t="shared" si="57"/>
        <v>0.16611456777709616</v>
      </c>
      <c r="CY8" s="98">
        <f t="shared" si="57"/>
        <v>2.0644295995419466E-2</v>
      </c>
      <c r="CZ8" s="97">
        <f t="shared" si="57"/>
        <v>0.11666427736946347</v>
      </c>
      <c r="DA8" s="98">
        <f t="shared" si="57"/>
        <v>1.3922897299236382E-2</v>
      </c>
      <c r="DB8" s="94">
        <f t="shared" si="14"/>
        <v>0.17811706544885164</v>
      </c>
      <c r="DC8" s="94">
        <f t="shared" si="15"/>
        <v>6.6589857082905116E-2</v>
      </c>
      <c r="DD8" s="94">
        <f t="shared" si="15"/>
        <v>0.53790393565746164</v>
      </c>
      <c r="DE8" s="94">
        <f t="shared" si="15"/>
        <v>8.9778682584731165E-2</v>
      </c>
      <c r="DF8" s="94">
        <f t="shared" si="15"/>
        <v>0</v>
      </c>
      <c r="DG8" s="94">
        <f t="shared" si="15"/>
        <v>0</v>
      </c>
      <c r="DH8" s="95">
        <f t="shared" si="15"/>
        <v>0.87238954077394959</v>
      </c>
      <c r="DI8" s="96" t="e">
        <f>#REF!</f>
        <v>#REF!</v>
      </c>
      <c r="DJ8" s="95">
        <f t="shared" si="58"/>
        <v>1.2295358614946337</v>
      </c>
      <c r="DK8" s="96" t="e">
        <f>#REF!</f>
        <v>#REF!</v>
      </c>
      <c r="DL8" s="95">
        <f t="shared" si="59"/>
        <v>-0.5921081753429529</v>
      </c>
      <c r="DM8" s="96">
        <f t="shared" si="16"/>
        <v>0</v>
      </c>
      <c r="DN8" s="94">
        <f t="shared" si="17"/>
        <v>2.5120277029169631</v>
      </c>
      <c r="DO8" s="100">
        <v>3.4</v>
      </c>
      <c r="DP8" s="94">
        <f>IF($O8&lt;&gt;0,IF($O8&lt;&gt;0,BL8/$O8*10,0)," ")</f>
        <v>3.1494553890686436</v>
      </c>
      <c r="DQ8" s="94">
        <f>IF($P8&lt;&gt;0,IF($P8&lt;&gt;0,BM8/$P8*10,0)," ")</f>
        <v>3.8512535408028716</v>
      </c>
      <c r="DR8" s="101">
        <f t="shared" si="18"/>
        <v>3.13</v>
      </c>
      <c r="DS8" s="116"/>
      <c r="DT8" s="103">
        <v>3</v>
      </c>
      <c r="DU8" s="120">
        <v>637080</v>
      </c>
      <c r="DV8" s="135">
        <v>29825</v>
      </c>
      <c r="DW8" s="136">
        <v>5154479</v>
      </c>
      <c r="DX8" s="135">
        <v>122247</v>
      </c>
      <c r="DY8" s="136">
        <v>87352.1</v>
      </c>
      <c r="DZ8" s="136">
        <v>405974</v>
      </c>
      <c r="EA8" s="135">
        <v>242508</v>
      </c>
      <c r="EB8" s="519">
        <v>56180.4</v>
      </c>
      <c r="EC8" s="136">
        <v>423621</v>
      </c>
      <c r="ED8" s="135">
        <v>48464.2</v>
      </c>
      <c r="EE8" s="556">
        <v>41062.199999999997</v>
      </c>
      <c r="EF8" s="556">
        <v>43389.9</v>
      </c>
      <c r="EG8" s="135">
        <v>95121.8</v>
      </c>
      <c r="EH8" s="135">
        <v>187507.20000000001</v>
      </c>
      <c r="EI8" s="135">
        <v>34753</v>
      </c>
      <c r="EJ8" s="136">
        <v>43308</v>
      </c>
      <c r="EK8" s="136"/>
      <c r="EL8" s="135">
        <v>720537.7</v>
      </c>
      <c r="EM8" s="136">
        <v>8175</v>
      </c>
      <c r="EN8" s="136">
        <v>47897.2</v>
      </c>
      <c r="EO8" s="135">
        <v>3125776.6</v>
      </c>
      <c r="EP8" s="136">
        <v>2835037</v>
      </c>
      <c r="EQ8" s="136">
        <v>495</v>
      </c>
      <c r="ER8" s="136">
        <v>1544</v>
      </c>
      <c r="ES8" s="144">
        <v>417984</v>
      </c>
      <c r="ET8" s="136">
        <v>7955318</v>
      </c>
      <c r="EU8" s="136">
        <v>159246</v>
      </c>
      <c r="EV8" s="136">
        <v>459623</v>
      </c>
      <c r="EW8" s="136">
        <v>138234</v>
      </c>
      <c r="EX8" s="135">
        <v>221333</v>
      </c>
      <c r="EY8" s="135">
        <v>1713964.1</v>
      </c>
      <c r="EZ8" s="146">
        <v>827940.4</v>
      </c>
      <c r="FA8" s="146">
        <v>766767</v>
      </c>
      <c r="FB8" s="125">
        <v>32282.1</v>
      </c>
      <c r="FC8" s="136">
        <v>3999</v>
      </c>
      <c r="FD8" s="303">
        <f>SUM(FE8:FM8)</f>
        <v>5360</v>
      </c>
      <c r="FE8" s="367">
        <v>436</v>
      </c>
      <c r="FF8" s="495">
        <v>0</v>
      </c>
      <c r="FG8" s="105">
        <f>FG41-FG40</f>
        <v>781</v>
      </c>
      <c r="FH8" s="303">
        <v>1646</v>
      </c>
      <c r="FI8" s="136">
        <v>368</v>
      </c>
      <c r="FJ8" s="105">
        <f t="shared" si="19"/>
        <v>0</v>
      </c>
      <c r="FK8" s="136">
        <v>805</v>
      </c>
      <c r="FL8" s="303">
        <v>906</v>
      </c>
      <c r="FM8" s="303">
        <v>418</v>
      </c>
      <c r="FN8" s="80">
        <v>1200</v>
      </c>
      <c r="FO8" s="77"/>
      <c r="FP8" s="398"/>
      <c r="FY8" s="119">
        <v>3</v>
      </c>
      <c r="FZ8" s="107"/>
      <c r="GA8" s="107">
        <v>0</v>
      </c>
      <c r="GB8" s="108"/>
      <c r="GC8" s="109"/>
      <c r="GD8" s="110"/>
      <c r="GE8" s="110"/>
      <c r="GF8" s="111"/>
      <c r="GG8" s="111"/>
      <c r="GH8" s="111"/>
      <c r="GI8" s="112"/>
      <c r="GJ8" s="111" t="e">
        <f t="shared" si="60"/>
        <v>#DIV/0!</v>
      </c>
      <c r="GK8" s="113"/>
    </row>
    <row r="9" spans="1:194" s="119" customFormat="1" ht="15" customHeight="1">
      <c r="B9" s="351">
        <v>43012</v>
      </c>
      <c r="D9" s="86">
        <v>3822</v>
      </c>
      <c r="E9" s="86">
        <v>1167</v>
      </c>
      <c r="F9" s="152">
        <v>1555.2</v>
      </c>
      <c r="G9" s="86">
        <v>4962.3460000000005</v>
      </c>
      <c r="H9" s="525">
        <v>8950.9950000000008</v>
      </c>
      <c r="I9" s="86">
        <v>1745.5329999999999</v>
      </c>
      <c r="J9" s="86">
        <v>7578.36</v>
      </c>
      <c r="K9" s="86">
        <v>16.844999999999999</v>
      </c>
      <c r="L9" s="86">
        <v>0</v>
      </c>
      <c r="M9" s="115">
        <f t="shared" si="61"/>
        <v>9323.893</v>
      </c>
      <c r="N9" s="88">
        <f t="shared" si="20"/>
        <v>20457.541000000001</v>
      </c>
      <c r="O9" s="88">
        <f t="shared" si="21"/>
        <v>25119.487500000003</v>
      </c>
      <c r="P9" s="89">
        <f t="shared" si="22"/>
        <v>79436.088000000003</v>
      </c>
      <c r="R9" s="170">
        <f t="shared" si="23"/>
        <v>397.30000000004657</v>
      </c>
      <c r="S9" s="170">
        <f t="shared" si="24"/>
        <v>-4.0000000002328305E-2</v>
      </c>
      <c r="T9" s="170">
        <f t="shared" si="1"/>
        <v>389.2</v>
      </c>
      <c r="U9" s="170">
        <f>IF(FB9=0,"",((EN9-EN8)/10))</f>
        <v>6.8800000000002912</v>
      </c>
      <c r="V9" s="170">
        <f>IF(EO9=0,"",(EO9-EO8))</f>
        <v>1104.3999999999069</v>
      </c>
      <c r="W9" s="170">
        <f t="shared" si="2"/>
        <v>98.3</v>
      </c>
      <c r="X9" s="170">
        <f t="shared" si="26"/>
        <v>1104.3999999999069</v>
      </c>
      <c r="Y9" s="170">
        <f t="shared" si="27"/>
        <v>23.4</v>
      </c>
      <c r="Z9" s="170">
        <f t="shared" si="3"/>
        <v>168</v>
      </c>
      <c r="AA9" s="501">
        <f t="shared" si="28"/>
        <v>1897.7399999999514</v>
      </c>
      <c r="AB9" s="170">
        <f t="shared" si="29"/>
        <v>212</v>
      </c>
      <c r="AC9" s="170">
        <f t="shared" si="29"/>
        <v>14</v>
      </c>
      <c r="AD9" s="501">
        <f t="shared" si="4"/>
        <v>397</v>
      </c>
      <c r="AE9" s="501">
        <f t="shared" si="30"/>
        <v>171</v>
      </c>
      <c r="AF9" s="170">
        <f t="shared" si="31"/>
        <v>31</v>
      </c>
      <c r="AG9" s="170">
        <f t="shared" si="31"/>
        <v>36.899999999994179</v>
      </c>
      <c r="AH9" s="501">
        <f t="shared" si="5"/>
        <v>223</v>
      </c>
      <c r="AI9" s="501">
        <f t="shared" si="32"/>
        <v>155.10000000000582</v>
      </c>
      <c r="AJ9" s="170">
        <f t="shared" si="33"/>
        <v>97</v>
      </c>
      <c r="AK9" s="170">
        <f t="shared" si="33"/>
        <v>13.599999999998545</v>
      </c>
      <c r="AL9" s="501">
        <f t="shared" si="6"/>
        <v>243</v>
      </c>
      <c r="AM9" s="501">
        <f t="shared" si="34"/>
        <v>132.40000000000146</v>
      </c>
      <c r="AN9" s="170">
        <f t="shared" si="35"/>
        <v>35.80000000000291</v>
      </c>
      <c r="AO9" s="501">
        <f t="shared" si="7"/>
        <v>70.900000000001455</v>
      </c>
      <c r="AP9" s="170">
        <f t="shared" si="36"/>
        <v>36.19999999999709</v>
      </c>
      <c r="AQ9" s="501">
        <f t="shared" si="8"/>
        <v>73.799999999988358</v>
      </c>
      <c r="AR9" s="170">
        <f t="shared" si="37"/>
        <v>105.73699999999999</v>
      </c>
      <c r="AS9" s="501">
        <f t="shared" si="38"/>
        <v>151.73700000000008</v>
      </c>
      <c r="AT9" s="501">
        <f t="shared" si="39"/>
        <v>1345.7370000000001</v>
      </c>
      <c r="AU9" s="170">
        <f t="shared" si="62"/>
        <v>853</v>
      </c>
      <c r="AV9" s="501">
        <f t="shared" si="63"/>
        <v>43</v>
      </c>
      <c r="AW9" s="170">
        <f t="shared" si="64"/>
        <v>341</v>
      </c>
      <c r="AX9" s="501">
        <f t="shared" si="65"/>
        <v>6</v>
      </c>
      <c r="AY9" s="501"/>
      <c r="AZ9" s="170">
        <f t="shared" si="40"/>
        <v>327</v>
      </c>
      <c r="BA9" s="170">
        <v>104</v>
      </c>
      <c r="BB9" s="170">
        <f t="shared" si="41"/>
        <v>164</v>
      </c>
      <c r="BC9" s="170">
        <f t="shared" si="41"/>
        <v>1176.8999999999069</v>
      </c>
      <c r="BD9" s="170">
        <f t="shared" si="42"/>
        <v>334</v>
      </c>
      <c r="BE9" s="90"/>
      <c r="BF9" s="90"/>
      <c r="BG9" s="501">
        <f>IFERROR(SUM(BB9:BC9)+AZ9+BD9,"")</f>
        <v>2001.8999999999069</v>
      </c>
      <c r="BH9" s="501">
        <f t="shared" si="44"/>
        <v>3512</v>
      </c>
      <c r="BI9" s="90">
        <f t="shared" si="9"/>
        <v>-3697.0769999998483</v>
      </c>
      <c r="BJ9" s="90">
        <f t="shared" si="45"/>
        <v>6302.0769999998483</v>
      </c>
      <c r="BK9" s="92"/>
      <c r="BL9" s="93">
        <f t="shared" si="66"/>
        <v>6117</v>
      </c>
      <c r="BM9" s="93">
        <f t="shared" si="46"/>
        <v>27035.7</v>
      </c>
      <c r="BN9" s="92"/>
      <c r="BO9" s="94">
        <f t="shared" si="47"/>
        <v>0.19420711413949826</v>
      </c>
      <c r="BP9" s="94">
        <f t="shared" si="47"/>
        <v>-1.9552692086662958E-5</v>
      </c>
      <c r="BQ9" s="94">
        <f t="shared" si="48"/>
        <v>0.19024769399215671</v>
      </c>
      <c r="BR9" s="94">
        <f t="shared" si="67"/>
        <v>0.53984982848129537</v>
      </c>
      <c r="BS9" s="94">
        <f t="shared" si="10"/>
        <v>1.1438324870032032E-2</v>
      </c>
      <c r="BT9" s="94">
        <f t="shared" si="10"/>
        <v>8.2121306759204343E-2</v>
      </c>
      <c r="BU9" s="95">
        <f t="shared" si="10"/>
        <v>0.92764814695957409</v>
      </c>
      <c r="BV9" s="94">
        <f t="shared" si="11"/>
        <v>0.15816405489962582</v>
      </c>
      <c r="BW9" s="94">
        <f t="shared" si="11"/>
        <v>-1.5923891760263143E-5</v>
      </c>
      <c r="BX9" s="94">
        <f t="shared" si="11"/>
        <v>0.1549394668183417</v>
      </c>
      <c r="BY9" s="94">
        <f t="shared" si="49"/>
        <v>0.43965865147523681</v>
      </c>
      <c r="BZ9" s="95">
        <f t="shared" si="12"/>
        <v>0.75548515868404997</v>
      </c>
      <c r="CA9" s="96" t="e">
        <f>#REF!</f>
        <v>#REF!</v>
      </c>
      <c r="CB9" s="94">
        <f t="shared" si="50"/>
        <v>4.2093613573923425E-2</v>
      </c>
      <c r="CC9" s="95">
        <f t="shared" si="50"/>
        <v>6.0406089097160144E-2</v>
      </c>
      <c r="CD9" s="97">
        <f t="shared" si="13"/>
        <v>0.11340434730428586</v>
      </c>
      <c r="CE9" s="98">
        <f t="shared" si="13"/>
        <v>0.16273996280309103</v>
      </c>
      <c r="CF9" s="97">
        <f t="shared" si="51"/>
        <v>0.55468341182626901</v>
      </c>
      <c r="CG9" s="94">
        <f t="shared" si="51"/>
        <v>3.6630036630036632E-2</v>
      </c>
      <c r="CH9" s="95">
        <f t="shared" si="52"/>
        <v>1.0387231815803244</v>
      </c>
      <c r="CI9" s="96" t="e">
        <f>#REF!</f>
        <v>#REF!</v>
      </c>
      <c r="CJ9" s="94">
        <f t="shared" si="53"/>
        <v>0.26563838903170522</v>
      </c>
      <c r="CK9" s="94">
        <f t="shared" si="53"/>
        <v>0.31619537275059278</v>
      </c>
      <c r="CL9" s="95">
        <f t="shared" si="68"/>
        <v>1.9108826049700087</v>
      </c>
      <c r="CM9" s="95" t="e">
        <f>#REF!</f>
        <v>#REF!</v>
      </c>
      <c r="CN9" s="94">
        <f t="shared" si="54"/>
        <v>0.62371399176954734</v>
      </c>
      <c r="CO9" s="94">
        <f t="shared" si="54"/>
        <v>8.744855967077253E-2</v>
      </c>
      <c r="CP9" s="95">
        <f t="shared" si="55"/>
        <v>1.5625</v>
      </c>
      <c r="CQ9" s="95" t="e">
        <f>#REF!</f>
        <v>#REF!</v>
      </c>
      <c r="CR9" s="97">
        <f t="shared" si="69"/>
        <v>7.2143296739088536E-2</v>
      </c>
      <c r="CS9" s="95">
        <f t="shared" si="69"/>
        <v>0.14287597035757171</v>
      </c>
      <c r="CT9" s="96" t="e">
        <f>#REF!</f>
        <v>#REF!</v>
      </c>
      <c r="CU9" s="97">
        <f t="shared" si="70"/>
        <v>4.0442431260432038E-2</v>
      </c>
      <c r="CV9" s="95">
        <f t="shared" si="56"/>
        <v>8.2448934448056732E-2</v>
      </c>
      <c r="CW9" s="96" t="e">
        <f>#REF!</f>
        <v>#REF!</v>
      </c>
      <c r="CX9" s="97">
        <f t="shared" si="57"/>
        <v>0.3395769917678455</v>
      </c>
      <c r="CY9" s="98">
        <f t="shared" si="57"/>
        <v>1.711818364128647E-2</v>
      </c>
      <c r="CZ9" s="97">
        <f t="shared" si="57"/>
        <v>0.13575117724834154</v>
      </c>
      <c r="DA9" s="98">
        <f t="shared" si="57"/>
        <v>2.3885837639004374E-3</v>
      </c>
      <c r="DB9" s="94">
        <f t="shared" si="14"/>
        <v>0.13017781513257384</v>
      </c>
      <c r="DC9" s="94">
        <f t="shared" si="15"/>
        <v>6.5287956213278625E-2</v>
      </c>
      <c r="DD9" s="94">
        <f t="shared" si="15"/>
        <v>0.46852070528903378</v>
      </c>
      <c r="DE9" s="94">
        <f t="shared" si="15"/>
        <v>0.13296449619045769</v>
      </c>
      <c r="DF9" s="94">
        <f t="shared" si="15"/>
        <v>0</v>
      </c>
      <c r="DG9" s="94">
        <f t="shared" si="15"/>
        <v>0</v>
      </c>
      <c r="DH9" s="95">
        <f t="shared" si="15"/>
        <v>0.79695097282534388</v>
      </c>
      <c r="DI9" s="96" t="e">
        <f>#REF!</f>
        <v>#REF!</v>
      </c>
      <c r="DJ9" s="95">
        <f t="shared" si="58"/>
        <v>1.3981176964697228</v>
      </c>
      <c r="DK9" s="96" t="e">
        <f>#REF!</f>
        <v>#REF!</v>
      </c>
      <c r="DL9" s="95">
        <f t="shared" si="59"/>
        <v>-1.4717963493482291</v>
      </c>
      <c r="DM9" s="96">
        <f t="shared" si="16"/>
        <v>0</v>
      </c>
      <c r="DN9" s="94">
        <f t="shared" si="17"/>
        <v>2.5088398001750027</v>
      </c>
      <c r="DO9" s="100">
        <v>3.4</v>
      </c>
      <c r="DP9" s="94">
        <f t="shared" ref="DP9:DP33" si="71">IF($O9&lt;&gt;0,IF($O9&lt;&gt;0,BL9/$O9*10,0)," ")</f>
        <v>2.4351611472964962</v>
      </c>
      <c r="DQ9" s="94">
        <f t="shared" ref="DQ9:DQ34" si="72">IF($P9&lt;&gt;0,IF($P9&lt;&gt;0,BM9/$P9*10,0)," ")</f>
        <v>3.4034531005605411</v>
      </c>
      <c r="DR9" s="101">
        <f t="shared" si="18"/>
        <v>3.13</v>
      </c>
      <c r="DS9" s="116"/>
      <c r="DT9" s="103">
        <v>4</v>
      </c>
      <c r="DU9" s="355">
        <v>637292</v>
      </c>
      <c r="DV9" s="355">
        <v>29839</v>
      </c>
      <c r="DW9" s="104">
        <v>5154664</v>
      </c>
      <c r="DX9" s="104">
        <v>122278</v>
      </c>
      <c r="DY9" s="104">
        <v>87389</v>
      </c>
      <c r="DZ9" s="104">
        <v>406166</v>
      </c>
      <c r="EA9" s="355">
        <v>242605</v>
      </c>
      <c r="EB9" s="104">
        <v>56194</v>
      </c>
      <c r="EC9" s="104">
        <v>423767</v>
      </c>
      <c r="ED9" s="104">
        <v>48500</v>
      </c>
      <c r="EE9" s="104">
        <v>41095</v>
      </c>
      <c r="EF9" s="104">
        <v>43428</v>
      </c>
      <c r="EG9" s="355">
        <v>95158</v>
      </c>
      <c r="EH9" s="355">
        <v>187581</v>
      </c>
      <c r="EI9" s="355">
        <v>34796</v>
      </c>
      <c r="EJ9" s="104">
        <v>43314</v>
      </c>
      <c r="EK9" s="104"/>
      <c r="EL9" s="355">
        <v>720935</v>
      </c>
      <c r="EM9" s="104">
        <v>3892</v>
      </c>
      <c r="EN9" s="104">
        <v>47966</v>
      </c>
      <c r="EO9" s="355">
        <v>3126881</v>
      </c>
      <c r="EP9" s="104">
        <v>2836020</v>
      </c>
      <c r="EQ9" s="104">
        <v>234</v>
      </c>
      <c r="ER9" s="104">
        <v>1680</v>
      </c>
      <c r="ES9" s="80">
        <v>419224</v>
      </c>
      <c r="ET9" s="104">
        <v>8061055</v>
      </c>
      <c r="EU9" s="104">
        <v>159587</v>
      </c>
      <c r="EV9" s="136">
        <v>460476</v>
      </c>
      <c r="EW9" s="104">
        <v>138561</v>
      </c>
      <c r="EX9" s="355">
        <v>221497</v>
      </c>
      <c r="EY9" s="355">
        <v>1715141</v>
      </c>
      <c r="EZ9" s="377">
        <v>827940</v>
      </c>
      <c r="FA9" s="378">
        <v>767101</v>
      </c>
      <c r="FB9" s="379">
        <v>32389</v>
      </c>
      <c r="FC9" s="104">
        <v>2605</v>
      </c>
      <c r="FD9" s="104">
        <f>SUM(FE9:FM9)</f>
        <v>6117</v>
      </c>
      <c r="FE9" s="105">
        <v>1113</v>
      </c>
      <c r="FF9" s="105">
        <v>0</v>
      </c>
      <c r="FG9" s="105">
        <v>969</v>
      </c>
      <c r="FH9" s="105">
        <v>1532</v>
      </c>
      <c r="FI9" s="105">
        <v>412</v>
      </c>
      <c r="FJ9" s="105">
        <f t="shared" si="19"/>
        <v>0</v>
      </c>
      <c r="FK9" s="105">
        <v>800</v>
      </c>
      <c r="FL9" s="105">
        <v>880</v>
      </c>
      <c r="FM9" s="105">
        <v>411</v>
      </c>
      <c r="FN9" s="80">
        <v>0</v>
      </c>
      <c r="FO9" s="77">
        <v>1124521</v>
      </c>
      <c r="FP9" s="484" t="s">
        <v>309</v>
      </c>
      <c r="FY9" s="119">
        <v>4</v>
      </c>
      <c r="FZ9" s="107"/>
      <c r="GA9" s="107">
        <v>0</v>
      </c>
      <c r="GB9" s="108"/>
      <c r="GC9" s="109"/>
      <c r="GD9" s="110"/>
      <c r="GE9" s="110"/>
      <c r="GF9" s="111"/>
      <c r="GG9" s="111"/>
      <c r="GH9" s="111"/>
      <c r="GI9" s="112"/>
      <c r="GJ9" s="111" t="e">
        <f t="shared" si="60"/>
        <v>#DIV/0!</v>
      </c>
      <c r="GK9" s="113"/>
    </row>
    <row r="10" spans="1:194" s="119" customFormat="1" ht="15" customHeight="1">
      <c r="B10" s="351">
        <v>43013</v>
      </c>
      <c r="D10" s="128">
        <v>3795.84</v>
      </c>
      <c r="E10" s="128">
        <v>2548.08</v>
      </c>
      <c r="F10" s="128">
        <v>2363.904</v>
      </c>
      <c r="G10" s="86">
        <v>4703.9980000000005</v>
      </c>
      <c r="H10" s="86">
        <v>1762.2840000000001</v>
      </c>
      <c r="I10" s="86">
        <v>2159.25</v>
      </c>
      <c r="J10" s="86">
        <v>6824.16</v>
      </c>
      <c r="K10" s="86">
        <v>13.81</v>
      </c>
      <c r="L10" s="86">
        <v>408.81599999999997</v>
      </c>
      <c r="M10" s="115">
        <f t="shared" si="61"/>
        <v>8983.41</v>
      </c>
      <c r="N10" s="88">
        <f t="shared" si="20"/>
        <v>15174.106</v>
      </c>
      <c r="O10" s="88">
        <f>(N10+L10+((J10+I10)*0.5))</f>
        <v>20074.627</v>
      </c>
      <c r="P10" s="89">
        <f t="shared" si="22"/>
        <v>99510.714999999997</v>
      </c>
      <c r="R10" s="170">
        <f t="shared" si="23"/>
        <v>146.19999999995343</v>
      </c>
      <c r="S10" s="170">
        <f t="shared" si="24"/>
        <v>50.5</v>
      </c>
      <c r="T10" s="170">
        <f t="shared" si="1"/>
        <v>330.2</v>
      </c>
      <c r="U10" s="170">
        <f>IF(FB10=0,"",((EN10-EN9)/10))</f>
        <v>3.7</v>
      </c>
      <c r="V10" s="170">
        <f t="shared" si="25"/>
        <v>669.20000000018626</v>
      </c>
      <c r="W10" s="170">
        <f t="shared" si="2"/>
        <v>59.4</v>
      </c>
      <c r="X10" s="170">
        <f t="shared" si="26"/>
        <v>669.20000000018626</v>
      </c>
      <c r="Y10" s="170" t="str">
        <f t="shared" si="27"/>
        <v>0</v>
      </c>
      <c r="Z10" s="170">
        <f t="shared" si="3"/>
        <v>114.1</v>
      </c>
      <c r="AA10" s="501">
        <f t="shared" si="28"/>
        <v>1199.8000000001398</v>
      </c>
      <c r="AB10" s="170">
        <f t="shared" si="29"/>
        <v>100</v>
      </c>
      <c r="AC10" s="170">
        <f t="shared" si="29"/>
        <v>55</v>
      </c>
      <c r="AD10" s="501">
        <f t="shared" si="4"/>
        <v>291</v>
      </c>
      <c r="AE10" s="501">
        <f t="shared" si="30"/>
        <v>136</v>
      </c>
      <c r="AF10" s="170">
        <f t="shared" si="31"/>
        <v>30</v>
      </c>
      <c r="AG10" s="170">
        <f t="shared" si="31"/>
        <v>21</v>
      </c>
      <c r="AH10" s="501">
        <f t="shared" si="5"/>
        <v>63</v>
      </c>
      <c r="AI10" s="501">
        <f t="shared" si="32"/>
        <v>12</v>
      </c>
      <c r="AJ10" s="170">
        <f t="shared" si="33"/>
        <v>142</v>
      </c>
      <c r="AK10" s="170">
        <f t="shared" si="33"/>
        <v>7.9000000000014552</v>
      </c>
      <c r="AL10" s="501">
        <f t="shared" si="6"/>
        <v>222</v>
      </c>
      <c r="AM10" s="501">
        <f t="shared" si="34"/>
        <v>72.099999999998545</v>
      </c>
      <c r="AN10" s="170">
        <f t="shared" si="35"/>
        <v>20.900000000001455</v>
      </c>
      <c r="AO10" s="501">
        <f t="shared" si="7"/>
        <v>50.5</v>
      </c>
      <c r="AP10" s="170">
        <f t="shared" si="36"/>
        <v>63.80000000000291</v>
      </c>
      <c r="AQ10" s="501">
        <f t="shared" si="8"/>
        <v>101.39999999999418</v>
      </c>
      <c r="AR10" s="170">
        <f t="shared" si="37"/>
        <v>78.847999999999999</v>
      </c>
      <c r="AS10" s="501">
        <f t="shared" si="38"/>
        <v>132.84799999999996</v>
      </c>
      <c r="AT10" s="501">
        <f t="shared" si="39"/>
        <v>722.84799999999996</v>
      </c>
      <c r="AU10" s="170">
        <f t="shared" si="62"/>
        <v>388</v>
      </c>
      <c r="AV10" s="501">
        <f t="shared" si="63"/>
        <v>32</v>
      </c>
      <c r="AW10" s="170">
        <f t="shared" si="64"/>
        <v>202</v>
      </c>
      <c r="AX10" s="501">
        <f t="shared" si="65"/>
        <v>18</v>
      </c>
      <c r="AY10" s="501"/>
      <c r="AZ10" s="170">
        <f t="shared" si="40"/>
        <v>267</v>
      </c>
      <c r="BA10" s="170">
        <v>13</v>
      </c>
      <c r="BB10" s="170">
        <f t="shared" si="41"/>
        <v>89.5</v>
      </c>
      <c r="BC10" s="170">
        <f t="shared" si="41"/>
        <v>627.89999999990687</v>
      </c>
      <c r="BD10" s="170">
        <f t="shared" si="42"/>
        <v>223</v>
      </c>
      <c r="BE10" s="90"/>
      <c r="BF10" s="90"/>
      <c r="BG10" s="501">
        <f t="shared" si="43"/>
        <v>1207.3999999999069</v>
      </c>
      <c r="BH10" s="501">
        <f t="shared" si="44"/>
        <v>3230.1500000000005</v>
      </c>
      <c r="BI10" s="90">
        <f t="shared" si="9"/>
        <v>-709.94800000004079</v>
      </c>
      <c r="BJ10" s="90">
        <f t="shared" si="45"/>
        <v>3907.9480000000408</v>
      </c>
      <c r="BK10" s="92"/>
      <c r="BL10" s="93">
        <f t="shared" si="66"/>
        <v>6428.1500000000005</v>
      </c>
      <c r="BM10" s="93">
        <f t="shared" si="46"/>
        <v>33463.85</v>
      </c>
      <c r="BN10" s="92"/>
      <c r="BO10" s="94">
        <f t="shared" si="47"/>
        <v>9.6348345002963243E-2</v>
      </c>
      <c r="BP10" s="94">
        <f t="shared" si="47"/>
        <v>3.3280379087901456E-2</v>
      </c>
      <c r="BQ10" s="94">
        <f t="shared" si="48"/>
        <v>0.21760754801633783</v>
      </c>
      <c r="BR10" s="94">
        <f t="shared" si="67"/>
        <v>0.44101444922039318</v>
      </c>
      <c r="BS10" s="94">
        <f t="shared" si="10"/>
        <v>0</v>
      </c>
      <c r="BT10" s="94">
        <f t="shared" si="10"/>
        <v>7.519388621642685E-2</v>
      </c>
      <c r="BU10" s="95">
        <f t="shared" si="10"/>
        <v>0.79068908573601615</v>
      </c>
      <c r="BV10" s="94">
        <f t="shared" si="11"/>
        <v>7.2828252300754293E-2</v>
      </c>
      <c r="BW10" s="94">
        <f t="shared" si="11"/>
        <v>2.5156133660665277E-2</v>
      </c>
      <c r="BX10" s="94">
        <f t="shared" si="11"/>
        <v>0.16448624425250841</v>
      </c>
      <c r="BY10" s="94">
        <f t="shared" si="49"/>
        <v>0.33335613159845323</v>
      </c>
      <c r="BZ10" s="95">
        <f t="shared" si="12"/>
        <v>0.59766988447662805</v>
      </c>
      <c r="CA10" s="96" t="e">
        <f>#REF!</f>
        <v>#REF!</v>
      </c>
      <c r="CB10" s="94">
        <f t="shared" si="50"/>
        <v>3.9277442116359126E-2</v>
      </c>
      <c r="CC10" s="95">
        <f t="shared" si="50"/>
        <v>6.6177070189149687E-2</v>
      </c>
      <c r="CD10" s="97">
        <f t="shared" si="13"/>
        <v>8.7770679508115512E-2</v>
      </c>
      <c r="CE10" s="98">
        <f t="shared" si="13"/>
        <v>0.14788148375728144</v>
      </c>
      <c r="CF10" s="97">
        <f t="shared" si="51"/>
        <v>0.26344629910639011</v>
      </c>
      <c r="CG10" s="94">
        <f t="shared" si="51"/>
        <v>0.14489546450851457</v>
      </c>
      <c r="CH10" s="95">
        <f t="shared" si="52"/>
        <v>0.76662873039959534</v>
      </c>
      <c r="CI10" s="96" t="e">
        <f>#REF!</f>
        <v>#REF!</v>
      </c>
      <c r="CJ10" s="94">
        <f t="shared" si="53"/>
        <v>0.11773570688518414</v>
      </c>
      <c r="CK10" s="94">
        <f t="shared" si="53"/>
        <v>8.2414994819628884E-2</v>
      </c>
      <c r="CL10" s="95">
        <f t="shared" si="68"/>
        <v>0.24724498445888671</v>
      </c>
      <c r="CM10" s="95" t="e">
        <f>#REF!</f>
        <v>#REF!</v>
      </c>
      <c r="CN10" s="94">
        <f t="shared" si="54"/>
        <v>0.60070121290881529</v>
      </c>
      <c r="CO10" s="94">
        <f t="shared" si="54"/>
        <v>3.3419292830848692E-2</v>
      </c>
      <c r="CP10" s="95">
        <f t="shared" si="55"/>
        <v>0.93912443144899282</v>
      </c>
      <c r="CQ10" s="95" t="e">
        <f>#REF!</f>
        <v>#REF!</v>
      </c>
      <c r="CR10" s="97">
        <f t="shared" si="69"/>
        <v>4.4430290999276471E-2</v>
      </c>
      <c r="CS10" s="95">
        <f t="shared" si="69"/>
        <v>0.10735548782121079</v>
      </c>
      <c r="CT10" s="96" t="e">
        <f>#REF!</f>
        <v>#REF!</v>
      </c>
      <c r="CU10" s="97">
        <f t="shared" si="70"/>
        <v>0.3620301835572638</v>
      </c>
      <c r="CV10" s="95">
        <f t="shared" si="56"/>
        <v>0.57538966477590536</v>
      </c>
      <c r="CW10" s="96" t="e">
        <f>#REF!</f>
        <v>#REF!</v>
      </c>
      <c r="CX10" s="97">
        <f t="shared" si="57"/>
        <v>0.19327880911560649</v>
      </c>
      <c r="CY10" s="98">
        <f t="shared" si="57"/>
        <v>1.5940520339431462E-2</v>
      </c>
      <c r="CZ10" s="97">
        <f t="shared" si="57"/>
        <v>0.10062453464266111</v>
      </c>
      <c r="DA10" s="98">
        <f t="shared" si="57"/>
        <v>8.9665426909301977E-3</v>
      </c>
      <c r="DB10" s="94">
        <f t="shared" si="14"/>
        <v>0.13300371658213125</v>
      </c>
      <c r="DC10" s="94">
        <f t="shared" si="15"/>
        <v>4.4583642824347375E-2</v>
      </c>
      <c r="DD10" s="94">
        <f t="shared" si="15"/>
        <v>0.31278289753523536</v>
      </c>
      <c r="DE10" s="94">
        <f t="shared" si="15"/>
        <v>0.111085501115413</v>
      </c>
      <c r="DF10" s="94">
        <f t="shared" si="15"/>
        <v>0</v>
      </c>
      <c r="DG10" s="94">
        <f t="shared" si="15"/>
        <v>0</v>
      </c>
      <c r="DH10" s="95">
        <f t="shared" si="15"/>
        <v>0.60145575805712692</v>
      </c>
      <c r="DI10" s="96" t="e">
        <f>#REF!</f>
        <v>#REF!</v>
      </c>
      <c r="DJ10" s="95">
        <f t="shared" si="58"/>
        <v>1.6090709929504545</v>
      </c>
      <c r="DK10" s="96" t="e">
        <f>#REF!</f>
        <v>#REF!</v>
      </c>
      <c r="DL10" s="95">
        <f t="shared" si="59"/>
        <v>-0.35365439168560431</v>
      </c>
      <c r="DM10" s="96">
        <f t="shared" si="16"/>
        <v>0</v>
      </c>
      <c r="DN10" s="94">
        <f t="shared" si="17"/>
        <v>1.946710143107536</v>
      </c>
      <c r="DO10" s="100">
        <v>3.4</v>
      </c>
      <c r="DP10" s="94">
        <f>IF($O10&lt;&gt;0,IF($O10&lt;&gt;0,BL10/$O10*10,0)," ")</f>
        <v>3.2021267443723862</v>
      </c>
      <c r="DQ10" s="94">
        <f>IF($P10&lt;&gt;0,IF($P10&lt;&gt;0,BM10/$P10*10,0)," ")</f>
        <v>3.3628388661462232</v>
      </c>
      <c r="DR10" s="101">
        <f t="shared" si="18"/>
        <v>3.13</v>
      </c>
      <c r="DS10" s="116"/>
      <c r="DT10" s="103">
        <v>5</v>
      </c>
      <c r="DU10" s="183">
        <v>637392</v>
      </c>
      <c r="DV10" s="135">
        <v>29894</v>
      </c>
      <c r="DW10" s="135">
        <v>5154855</v>
      </c>
      <c r="DX10" s="129">
        <v>122308</v>
      </c>
      <c r="DY10" s="135">
        <v>87410</v>
      </c>
      <c r="DZ10" s="135">
        <v>406199</v>
      </c>
      <c r="EA10" s="135">
        <v>242747</v>
      </c>
      <c r="EB10" s="136">
        <v>56201.9</v>
      </c>
      <c r="EC10" s="135">
        <v>423847</v>
      </c>
      <c r="ED10" s="135">
        <v>48520.9</v>
      </c>
      <c r="EE10" s="136">
        <v>41115.5</v>
      </c>
      <c r="EF10" s="136">
        <v>43458</v>
      </c>
      <c r="EG10" s="135">
        <v>95221.8</v>
      </c>
      <c r="EH10" s="135">
        <v>187682.4</v>
      </c>
      <c r="EI10" s="135">
        <v>34828</v>
      </c>
      <c r="EJ10" s="136">
        <v>43332</v>
      </c>
      <c r="EK10" s="136"/>
      <c r="EL10" s="135">
        <v>721081.2</v>
      </c>
      <c r="EM10" s="136">
        <v>3302</v>
      </c>
      <c r="EN10" s="136">
        <v>48003</v>
      </c>
      <c r="EO10" s="135">
        <v>3127550.2</v>
      </c>
      <c r="EP10" s="136">
        <v>2836614</v>
      </c>
      <c r="EQ10" s="136">
        <v>0</v>
      </c>
      <c r="ER10" s="136">
        <v>1141</v>
      </c>
      <c r="ES10" s="144">
        <v>419868</v>
      </c>
      <c r="ET10" s="136">
        <v>8139903</v>
      </c>
      <c r="EU10" s="136">
        <v>159789</v>
      </c>
      <c r="EV10" s="136">
        <v>460864</v>
      </c>
      <c r="EW10" s="136">
        <v>138828</v>
      </c>
      <c r="EX10" s="135">
        <v>221586.5</v>
      </c>
      <c r="EY10" s="135">
        <v>1715768.9</v>
      </c>
      <c r="EZ10" s="135">
        <v>828445</v>
      </c>
      <c r="FA10" s="130">
        <v>767324</v>
      </c>
      <c r="FB10" s="136">
        <v>32417.3</v>
      </c>
      <c r="FC10" s="136">
        <v>3198</v>
      </c>
      <c r="FD10" s="104">
        <f>(SUM(FE10:FM10))</f>
        <v>6428.1500000000005</v>
      </c>
      <c r="FE10" s="129">
        <v>788</v>
      </c>
      <c r="FF10" s="129">
        <v>0</v>
      </c>
      <c r="FG10" s="105">
        <v>1265</v>
      </c>
      <c r="FH10" s="136">
        <v>1718</v>
      </c>
      <c r="FI10" s="136">
        <v>666</v>
      </c>
      <c r="FJ10" s="105">
        <f t="shared" si="19"/>
        <v>0</v>
      </c>
      <c r="FK10" s="136">
        <v>801.05</v>
      </c>
      <c r="FL10" s="136">
        <v>860.1</v>
      </c>
      <c r="FM10" s="136">
        <v>330</v>
      </c>
      <c r="FN10" s="80">
        <v>0</v>
      </c>
      <c r="FO10" s="77"/>
      <c r="FP10" s="484"/>
      <c r="FY10" s="119">
        <v>5</v>
      </c>
      <c r="FZ10" s="107">
        <v>3949</v>
      </c>
      <c r="GA10" s="107">
        <v>188</v>
      </c>
      <c r="GB10" s="108">
        <f>GA10/FZ10/0.1</f>
        <v>0.4760698911116738</v>
      </c>
      <c r="GC10" s="109"/>
      <c r="GD10" s="110"/>
      <c r="GE10" s="110"/>
      <c r="GF10" s="111"/>
      <c r="GG10" s="111"/>
      <c r="GH10" s="111"/>
      <c r="GI10" s="112"/>
      <c r="GJ10" s="111">
        <f t="shared" si="60"/>
        <v>4020.4180851063834</v>
      </c>
      <c r="GK10" s="113"/>
    </row>
    <row r="11" spans="1:194" s="119" customFormat="1" ht="15.75" customHeight="1">
      <c r="B11" s="351">
        <v>43014</v>
      </c>
      <c r="D11" s="128">
        <v>4944</v>
      </c>
      <c r="E11" s="128">
        <v>2503.08</v>
      </c>
      <c r="F11" s="128">
        <v>2187.6480000000001</v>
      </c>
      <c r="G11" s="86">
        <v>2485.7739999999999</v>
      </c>
      <c r="H11" s="86">
        <v>7862.1120000000001</v>
      </c>
      <c r="I11" s="86">
        <v>1934.2049999999999</v>
      </c>
      <c r="J11" s="86">
        <v>5700.24</v>
      </c>
      <c r="K11" s="86">
        <v>0</v>
      </c>
      <c r="L11" s="86">
        <v>411.08</v>
      </c>
      <c r="M11" s="115">
        <f t="shared" si="61"/>
        <v>7634.4449999999997</v>
      </c>
      <c r="N11" s="88">
        <f t="shared" si="20"/>
        <v>19982.613999999998</v>
      </c>
      <c r="O11" s="88">
        <f>N11+L11+K11+((J11+I11)*0.5)</f>
        <v>24210.916499999999</v>
      </c>
      <c r="P11" s="89">
        <f t="shared" si="22"/>
        <v>123721.63149999999</v>
      </c>
      <c r="R11" s="170">
        <f t="shared" si="23"/>
        <v>51.900000000023283</v>
      </c>
      <c r="S11" s="170">
        <f t="shared" si="24"/>
        <v>128.33000000000465</v>
      </c>
      <c r="T11" s="170">
        <f t="shared" si="1"/>
        <v>393.1</v>
      </c>
      <c r="U11" s="170">
        <f t="shared" ref="U11:U35" si="73">IF(FB11=0,"",((EN11-EN10)/10))</f>
        <v>2.5300000000002911</v>
      </c>
      <c r="V11" s="170">
        <f t="shared" si="25"/>
        <v>1029.7999999998137</v>
      </c>
      <c r="W11" s="170">
        <f t="shared" si="2"/>
        <v>91.9</v>
      </c>
      <c r="X11" s="170">
        <f t="shared" si="26"/>
        <v>1029.7999999998137</v>
      </c>
      <c r="Y11" s="170">
        <f t="shared" si="27"/>
        <v>101.5</v>
      </c>
      <c r="Z11" s="170">
        <f t="shared" si="3"/>
        <v>141.4</v>
      </c>
      <c r="AA11" s="501">
        <f t="shared" si="28"/>
        <v>1605.6599999998421</v>
      </c>
      <c r="AB11" s="170">
        <f t="shared" si="29"/>
        <v>169</v>
      </c>
      <c r="AC11" s="170">
        <f t="shared" si="29"/>
        <v>49</v>
      </c>
      <c r="AD11" s="501">
        <f t="shared" si="4"/>
        <v>375</v>
      </c>
      <c r="AE11" s="501">
        <f t="shared" si="30"/>
        <v>157</v>
      </c>
      <c r="AF11" s="170">
        <f t="shared" si="31"/>
        <v>86</v>
      </c>
      <c r="AG11" s="170">
        <f>IF(DY11=0,"",(DY11-DY10))</f>
        <v>18.100000000005821</v>
      </c>
      <c r="AH11" s="501">
        <f t="shared" si="5"/>
        <v>206</v>
      </c>
      <c r="AI11" s="501">
        <f t="shared" si="32"/>
        <v>101.89999999999418</v>
      </c>
      <c r="AJ11" s="170">
        <f t="shared" si="33"/>
        <v>117</v>
      </c>
      <c r="AK11" s="170">
        <f t="shared" si="33"/>
        <v>9.9000000000014552</v>
      </c>
      <c r="AL11" s="501">
        <f t="shared" si="6"/>
        <v>234</v>
      </c>
      <c r="AM11" s="501">
        <f t="shared" si="34"/>
        <v>107.09999999999854</v>
      </c>
      <c r="AN11" s="170">
        <f t="shared" si="35"/>
        <v>8.0999999999985448</v>
      </c>
      <c r="AO11" s="501">
        <f t="shared" si="7"/>
        <v>36.400000000001455</v>
      </c>
      <c r="AP11" s="170">
        <f t="shared" si="36"/>
        <v>31.899999999994179</v>
      </c>
      <c r="AQ11" s="501">
        <f t="shared" si="8"/>
        <v>38.600000000005821</v>
      </c>
      <c r="AR11" s="170">
        <f t="shared" si="37"/>
        <v>121.26600000000001</v>
      </c>
      <c r="AS11" s="501">
        <f t="shared" si="38"/>
        <v>172.26600000000008</v>
      </c>
      <c r="AT11" s="501">
        <f t="shared" si="39"/>
        <v>1038.2660000000001</v>
      </c>
      <c r="AU11" s="170">
        <f t="shared" si="62"/>
        <v>560</v>
      </c>
      <c r="AV11" s="501">
        <f t="shared" si="63"/>
        <v>37</v>
      </c>
      <c r="AW11" s="170">
        <f t="shared" si="64"/>
        <v>306</v>
      </c>
      <c r="AX11" s="501">
        <f t="shared" si="65"/>
        <v>30</v>
      </c>
      <c r="AY11" s="501"/>
      <c r="AZ11" s="170">
        <f t="shared" si="40"/>
        <v>328</v>
      </c>
      <c r="BA11" s="170">
        <v>91</v>
      </c>
      <c r="BB11" s="170">
        <f t="shared" si="41"/>
        <v>115.5</v>
      </c>
      <c r="BC11" s="170">
        <f t="shared" si="41"/>
        <v>327.70000000018626</v>
      </c>
      <c r="BD11" s="170">
        <f t="shared" si="42"/>
        <v>312</v>
      </c>
      <c r="BE11" s="90"/>
      <c r="BF11" s="90"/>
      <c r="BG11" s="501">
        <f t="shared" si="43"/>
        <v>1083.2000000001863</v>
      </c>
      <c r="BH11" s="501">
        <f t="shared" si="44"/>
        <v>3389.2699999999995</v>
      </c>
      <c r="BI11" s="90">
        <f t="shared" si="9"/>
        <v>-2020.1260000000357</v>
      </c>
      <c r="BJ11" s="90">
        <f t="shared" si="45"/>
        <v>4684.1260000000357</v>
      </c>
      <c r="BK11" s="92"/>
      <c r="BL11" s="93">
        <f t="shared" si="66"/>
        <v>6053.2699999999995</v>
      </c>
      <c r="BM11" s="93">
        <f t="shared" si="46"/>
        <v>39517.119999999995</v>
      </c>
      <c r="BN11" s="92"/>
      <c r="BO11" s="94">
        <f t="shared" si="47"/>
        <v>2.5972577962034039E-2</v>
      </c>
      <c r="BP11" s="94">
        <f t="shared" si="47"/>
        <v>6.4220827165056921E-2</v>
      </c>
      <c r="BQ11" s="94">
        <f t="shared" si="48"/>
        <v>0.1967210095736224</v>
      </c>
      <c r="BR11" s="94">
        <f t="shared" si="67"/>
        <v>0.51534799200936066</v>
      </c>
      <c r="BS11" s="94">
        <f t="shared" si="10"/>
        <v>5.0794155359253808E-2</v>
      </c>
      <c r="BT11" s="94">
        <f t="shared" si="10"/>
        <v>7.0761512983236338E-2</v>
      </c>
      <c r="BU11" s="95">
        <f t="shared" si="10"/>
        <v>0.80352850733134429</v>
      </c>
      <c r="BV11" s="94">
        <f t="shared" si="11"/>
        <v>2.1436611042800997E-2</v>
      </c>
      <c r="BW11" s="94">
        <f t="shared" si="11"/>
        <v>5.3005015320260446E-2</v>
      </c>
      <c r="BX11" s="94">
        <f t="shared" si="11"/>
        <v>0.16236477458422527</v>
      </c>
      <c r="BY11" s="94">
        <f t="shared" si="49"/>
        <v>0.42534531891835398</v>
      </c>
      <c r="BZ11" s="95">
        <f t="shared" si="12"/>
        <v>0.66319670302437417</v>
      </c>
      <c r="CA11" s="96" t="e">
        <f>#REF!</f>
        <v>#REF!</v>
      </c>
      <c r="CB11" s="94">
        <f t="shared" si="50"/>
        <v>5.0087323212237758E-2</v>
      </c>
      <c r="CC11" s="95">
        <f t="shared" si="50"/>
        <v>7.1152201115558797E-2</v>
      </c>
      <c r="CD11" s="97">
        <f t="shared" si="13"/>
        <v>0.15884062299224111</v>
      </c>
      <c r="CE11" s="98">
        <f t="shared" si="13"/>
        <v>0.22564312140568185</v>
      </c>
      <c r="CF11" s="97">
        <f t="shared" si="51"/>
        <v>0.34182847896440133</v>
      </c>
      <c r="CG11" s="94">
        <f t="shared" si="51"/>
        <v>9.9110032362459549E-2</v>
      </c>
      <c r="CH11" s="95">
        <f t="shared" si="52"/>
        <v>0.7584951456310679</v>
      </c>
      <c r="CI11" s="96" t="e">
        <f>#REF!</f>
        <v>#REF!</v>
      </c>
      <c r="CJ11" s="94">
        <f t="shared" si="53"/>
        <v>0.34357671348898161</v>
      </c>
      <c r="CK11" s="94">
        <f t="shared" si="53"/>
        <v>7.2310912955262402E-2</v>
      </c>
      <c r="CL11" s="95">
        <f t="shared" si="68"/>
        <v>0.82298608114802563</v>
      </c>
      <c r="CM11" s="95" t="e">
        <f>#REF!</f>
        <v>#REF!</v>
      </c>
      <c r="CN11" s="94">
        <f t="shared" si="54"/>
        <v>0.53482095839915744</v>
      </c>
      <c r="CO11" s="94">
        <f t="shared" si="54"/>
        <v>4.5254081095319969E-2</v>
      </c>
      <c r="CP11" s="95">
        <f t="shared" si="55"/>
        <v>1.0696419167983149</v>
      </c>
      <c r="CQ11" s="95" t="e">
        <f>#REF!</f>
        <v>#REF!</v>
      </c>
      <c r="CR11" s="97">
        <f t="shared" si="69"/>
        <v>3.2585424097277327E-2</v>
      </c>
      <c r="CS11" s="95">
        <f t="shared" si="69"/>
        <v>0.14643326384458705</v>
      </c>
      <c r="CT11" s="96" t="e">
        <f>#REF!</f>
        <v>#REF!</v>
      </c>
      <c r="CU11" s="97">
        <f t="shared" si="70"/>
        <v>4.0574339312380921E-2</v>
      </c>
      <c r="CV11" s="95">
        <f t="shared" si="56"/>
        <v>4.909622249085973E-2</v>
      </c>
      <c r="CW11" s="96" t="e">
        <f>#REF!</f>
        <v>#REF!</v>
      </c>
      <c r="CX11" s="97">
        <f t="shared" si="57"/>
        <v>0.23130062011489735</v>
      </c>
      <c r="CY11" s="98">
        <f t="shared" si="57"/>
        <v>1.5282362400448576E-2</v>
      </c>
      <c r="CZ11" s="97">
        <f t="shared" si="57"/>
        <v>0.12638926741992604</v>
      </c>
      <c r="DA11" s="98">
        <f t="shared" si="57"/>
        <v>1.2391104649012358E-2</v>
      </c>
      <c r="DB11" s="94">
        <f t="shared" si="14"/>
        <v>0.13547607749586846</v>
      </c>
      <c r="DC11" s="94">
        <f t="shared" si="15"/>
        <v>4.7705752898697579E-2</v>
      </c>
      <c r="DD11" s="94">
        <f t="shared" si="15"/>
        <v>0.13535216644945525</v>
      </c>
      <c r="DE11" s="94">
        <f t="shared" si="15"/>
        <v>0.12886748834972853</v>
      </c>
      <c r="DF11" s="94">
        <f t="shared" si="15"/>
        <v>0</v>
      </c>
      <c r="DG11" s="94">
        <f t="shared" si="15"/>
        <v>0</v>
      </c>
      <c r="DH11" s="95">
        <f t="shared" si="15"/>
        <v>0.44740148519374978</v>
      </c>
      <c r="DI11" s="96" t="e">
        <f>#REF!</f>
        <v>#REF!</v>
      </c>
      <c r="DJ11" s="95">
        <f t="shared" si="58"/>
        <v>1.3998933084586036</v>
      </c>
      <c r="DK11" s="96" t="e">
        <f>#REF!</f>
        <v>#REF!</v>
      </c>
      <c r="DL11" s="95">
        <f t="shared" si="59"/>
        <v>-0.83438642233970595</v>
      </c>
      <c r="DM11" s="96">
        <f t="shared" si="16"/>
        <v>0</v>
      </c>
      <c r="DN11" s="94">
        <f t="shared" si="17"/>
        <v>1.9347165151720034</v>
      </c>
      <c r="DO11" s="100">
        <v>3.4</v>
      </c>
      <c r="DP11" s="94">
        <f>IF($O11&lt;&gt;0,IF($O11&lt;&gt;0,BL11/$O11*10,0)," ")</f>
        <v>2.500223401290901</v>
      </c>
      <c r="DQ11" s="94">
        <f t="shared" si="72"/>
        <v>3.1940348280971382</v>
      </c>
      <c r="DR11" s="101">
        <f t="shared" si="18"/>
        <v>3.13</v>
      </c>
      <c r="DS11" s="116"/>
      <c r="DT11" s="103">
        <v>6</v>
      </c>
      <c r="DU11" s="183">
        <v>637561</v>
      </c>
      <c r="DV11" s="135">
        <v>29943</v>
      </c>
      <c r="DW11" s="135">
        <v>5155061</v>
      </c>
      <c r="DX11" s="129">
        <v>122394</v>
      </c>
      <c r="DY11" s="135">
        <v>87428.1</v>
      </c>
      <c r="DZ11" s="135">
        <v>406319</v>
      </c>
      <c r="EA11" s="135">
        <v>242864</v>
      </c>
      <c r="EB11" s="136">
        <v>56211.8</v>
      </c>
      <c r="EC11" s="135">
        <v>423964</v>
      </c>
      <c r="ED11" s="135">
        <v>48529</v>
      </c>
      <c r="EE11" s="136">
        <v>41137.9</v>
      </c>
      <c r="EF11" s="136">
        <v>43472</v>
      </c>
      <c r="EG11" s="135">
        <v>95253.7</v>
      </c>
      <c r="EH11" s="135">
        <v>187721</v>
      </c>
      <c r="EI11" s="135">
        <v>34865</v>
      </c>
      <c r="EJ11" s="136">
        <v>43362</v>
      </c>
      <c r="EK11" s="136"/>
      <c r="EL11" s="135">
        <v>721133.1</v>
      </c>
      <c r="EM11" s="136">
        <v>3931</v>
      </c>
      <c r="EN11" s="136">
        <v>48028.3</v>
      </c>
      <c r="EO11" s="135">
        <v>3128580</v>
      </c>
      <c r="EP11" s="136">
        <v>2837533</v>
      </c>
      <c r="EQ11" s="136">
        <v>1015</v>
      </c>
      <c r="ER11" s="136">
        <v>1414</v>
      </c>
      <c r="ES11" s="144">
        <v>420785</v>
      </c>
      <c r="ET11" s="136">
        <v>8261169</v>
      </c>
      <c r="EU11" s="136">
        <v>160095</v>
      </c>
      <c r="EV11" s="136">
        <v>461424</v>
      </c>
      <c r="EW11" s="136">
        <v>139156</v>
      </c>
      <c r="EX11" s="135">
        <v>221702</v>
      </c>
      <c r="EY11" s="135">
        <v>1716096.6</v>
      </c>
      <c r="EZ11" s="135">
        <v>829728.3</v>
      </c>
      <c r="FA11" s="130">
        <v>767636</v>
      </c>
      <c r="FB11" s="136">
        <v>32496.2</v>
      </c>
      <c r="FC11" s="136">
        <v>2664</v>
      </c>
      <c r="FD11" s="104">
        <f>(SUM(FE11:FM11))</f>
        <v>5053.2699999999995</v>
      </c>
      <c r="FE11" s="129">
        <v>925</v>
      </c>
      <c r="FF11" s="129">
        <v>0</v>
      </c>
      <c r="FG11" s="105">
        <f t="shared" ref="FG11:FG20" si="74">FG44-FG43</f>
        <v>639</v>
      </c>
      <c r="FH11" s="136">
        <v>1636</v>
      </c>
      <c r="FI11" s="136">
        <v>204</v>
      </c>
      <c r="FJ11" s="105">
        <f t="shared" si="19"/>
        <v>0</v>
      </c>
      <c r="FK11" s="136">
        <v>786.57</v>
      </c>
      <c r="FL11" s="136">
        <v>862.7</v>
      </c>
      <c r="FM11" s="136">
        <v>0</v>
      </c>
      <c r="FN11" s="80">
        <v>1000</v>
      </c>
      <c r="FO11" s="104"/>
      <c r="FP11" s="484"/>
      <c r="FY11" s="119">
        <v>6</v>
      </c>
      <c r="FZ11" s="107">
        <v>9080</v>
      </c>
      <c r="GA11" s="107">
        <v>1148</v>
      </c>
      <c r="GB11" s="108">
        <f>GA11/FZ11/0.1</f>
        <v>1.2643171806167399</v>
      </c>
      <c r="GC11" s="109"/>
      <c r="GD11" s="110"/>
      <c r="GE11" s="110"/>
      <c r="GF11" s="111"/>
      <c r="GG11" s="111"/>
      <c r="GH11" s="111"/>
      <c r="GI11" s="112"/>
      <c r="GJ11" s="111">
        <f t="shared" si="60"/>
        <v>902.46341463414649</v>
      </c>
      <c r="GK11" s="113"/>
    </row>
    <row r="12" spans="1:194" s="119" customFormat="1" ht="15" customHeight="1">
      <c r="B12" s="351">
        <v>43015</v>
      </c>
      <c r="D12" s="128">
        <v>348</v>
      </c>
      <c r="E12" s="128">
        <v>4479.12</v>
      </c>
      <c r="F12" s="128">
        <v>539.13599999999997</v>
      </c>
      <c r="G12" s="86">
        <v>4099.5050000000001</v>
      </c>
      <c r="H12" s="86">
        <v>7012.585</v>
      </c>
      <c r="I12" s="86">
        <v>1796.441</v>
      </c>
      <c r="J12" s="86">
        <v>5057.76</v>
      </c>
      <c r="K12" s="86">
        <v>0</v>
      </c>
      <c r="L12" s="86">
        <v>544.96</v>
      </c>
      <c r="M12" s="115">
        <f t="shared" si="61"/>
        <v>6854.201</v>
      </c>
      <c r="N12" s="88">
        <f t="shared" si="20"/>
        <v>16478.345999999998</v>
      </c>
      <c r="O12" s="88">
        <f>N12+L12+K12+((J12+I12)*0.5)</f>
        <v>20450.406499999997</v>
      </c>
      <c r="P12" s="89">
        <f t="shared" si="22"/>
        <v>144172.038</v>
      </c>
      <c r="R12" s="170">
        <f t="shared" si="23"/>
        <v>353.09999999997672</v>
      </c>
      <c r="S12" s="170">
        <f t="shared" si="24"/>
        <v>155.36999999999534</v>
      </c>
      <c r="T12" s="170">
        <f t="shared" si="1"/>
        <v>519.5</v>
      </c>
      <c r="U12" s="170">
        <f t="shared" si="73"/>
        <v>2.6599999999998545</v>
      </c>
      <c r="V12" s="170">
        <f t="shared" si="25"/>
        <v>893.89999999990687</v>
      </c>
      <c r="W12" s="170">
        <f t="shared" si="2"/>
        <v>79.400000000000006</v>
      </c>
      <c r="X12" s="170">
        <f t="shared" si="26"/>
        <v>893.89999999990687</v>
      </c>
      <c r="Y12" s="170">
        <f t="shared" si="27"/>
        <v>35</v>
      </c>
      <c r="Z12" s="170">
        <f t="shared" si="3"/>
        <v>124.2</v>
      </c>
      <c r="AA12" s="501">
        <f t="shared" si="28"/>
        <v>1924.5299999998788</v>
      </c>
      <c r="AB12" s="170">
        <f t="shared" si="29"/>
        <v>0</v>
      </c>
      <c r="AC12" s="170">
        <f t="shared" si="29"/>
        <v>0</v>
      </c>
      <c r="AD12" s="501">
        <f t="shared" si="4"/>
        <v>167</v>
      </c>
      <c r="AE12" s="501">
        <f t="shared" si="30"/>
        <v>167</v>
      </c>
      <c r="AF12" s="170">
        <f t="shared" si="31"/>
        <v>80</v>
      </c>
      <c r="AG12" s="170">
        <f t="shared" si="31"/>
        <v>14</v>
      </c>
      <c r="AH12" s="501">
        <f t="shared" si="5"/>
        <v>144</v>
      </c>
      <c r="AI12" s="501">
        <f t="shared" si="32"/>
        <v>50</v>
      </c>
      <c r="AJ12" s="170">
        <f t="shared" si="33"/>
        <v>50</v>
      </c>
      <c r="AK12" s="170">
        <f t="shared" si="33"/>
        <v>43.099999999998545</v>
      </c>
      <c r="AL12" s="501">
        <f t="shared" si="6"/>
        <v>214</v>
      </c>
      <c r="AM12" s="501">
        <f t="shared" si="34"/>
        <v>120.90000000000146</v>
      </c>
      <c r="AN12" s="170">
        <f t="shared" si="35"/>
        <v>20.400000000001455</v>
      </c>
      <c r="AO12" s="501">
        <f t="shared" si="7"/>
        <v>58.299999999995634</v>
      </c>
      <c r="AP12" s="170">
        <f t="shared" si="36"/>
        <v>24.30000000000291</v>
      </c>
      <c r="AQ12" s="501">
        <f t="shared" si="8"/>
        <v>29.299999999988358</v>
      </c>
      <c r="AR12" s="170">
        <f t="shared" si="37"/>
        <v>90.311000000000007</v>
      </c>
      <c r="AS12" s="501">
        <f t="shared" si="38"/>
        <v>164.31100000000004</v>
      </c>
      <c r="AT12" s="501">
        <f t="shared" si="39"/>
        <v>827.31100000000004</v>
      </c>
      <c r="AU12" s="170">
        <f t="shared" si="62"/>
        <v>393</v>
      </c>
      <c r="AV12" s="501">
        <f t="shared" si="63"/>
        <v>30</v>
      </c>
      <c r="AW12" s="170">
        <f t="shared" si="64"/>
        <v>270</v>
      </c>
      <c r="AX12" s="501">
        <f t="shared" si="65"/>
        <v>71</v>
      </c>
      <c r="AY12" s="501"/>
      <c r="AZ12" s="170">
        <f t="shared" si="40"/>
        <v>294</v>
      </c>
      <c r="BA12" s="170">
        <v>85</v>
      </c>
      <c r="BB12" s="170">
        <f t="shared" si="41"/>
        <v>119.79999999998836</v>
      </c>
      <c r="BC12" s="170">
        <f t="shared" si="41"/>
        <v>480.29999999981374</v>
      </c>
      <c r="BD12" s="170">
        <f t="shared" si="42"/>
        <v>317</v>
      </c>
      <c r="BE12" s="90"/>
      <c r="BF12" s="90"/>
      <c r="BG12" s="501">
        <f t="shared" si="43"/>
        <v>1211.0999999998021</v>
      </c>
      <c r="BH12" s="501">
        <f t="shared" si="44"/>
        <v>4591</v>
      </c>
      <c r="BI12" s="90">
        <f t="shared" si="9"/>
        <v>-2560.5409999996646</v>
      </c>
      <c r="BJ12" s="90">
        <f t="shared" si="45"/>
        <v>4676.5409999996646</v>
      </c>
      <c r="BK12" s="92"/>
      <c r="BL12" s="93">
        <f>FD12+FN12</f>
        <v>6707</v>
      </c>
      <c r="BM12" s="93">
        <f t="shared" si="46"/>
        <v>46224.119999999995</v>
      </c>
      <c r="BN12" s="92"/>
      <c r="BO12" s="94">
        <f t="shared" si="47"/>
        <v>0.21428121487434282</v>
      </c>
      <c r="BP12" s="94">
        <f t="shared" si="47"/>
        <v>9.4287375686853137E-2</v>
      </c>
      <c r="BQ12" s="94">
        <f t="shared" si="48"/>
        <v>0.3152622235265603</v>
      </c>
      <c r="BR12" s="94">
        <f t="shared" si="67"/>
        <v>0.5424694929939613</v>
      </c>
      <c r="BS12" s="94">
        <f t="shared" si="10"/>
        <v>2.1239995810259114E-2</v>
      </c>
      <c r="BT12" s="94">
        <f t="shared" si="10"/>
        <v>7.5371642275262343E-2</v>
      </c>
      <c r="BU12" s="95">
        <f t="shared" si="10"/>
        <v>1.1679145467632972</v>
      </c>
      <c r="BV12" s="94">
        <f t="shared" si="11"/>
        <v>0.17266160455048987</v>
      </c>
      <c r="BW12" s="94">
        <f t="shared" si="11"/>
        <v>7.5974039929228479E-2</v>
      </c>
      <c r="BX12" s="94">
        <f t="shared" si="11"/>
        <v>0.25402918030015692</v>
      </c>
      <c r="BY12" s="94">
        <f t="shared" si="49"/>
        <v>0.43710622573683655</v>
      </c>
      <c r="BZ12" s="95">
        <f t="shared" si="12"/>
        <v>0.94107175815790212</v>
      </c>
      <c r="CA12" s="96" t="e">
        <f>#REF!</f>
        <v>#REF!</v>
      </c>
      <c r="CB12" s="94">
        <f t="shared" si="50"/>
        <v>4.4160980369754514E-2</v>
      </c>
      <c r="CC12" s="95">
        <f t="shared" si="50"/>
        <v>8.0346080162269656E-2</v>
      </c>
      <c r="CD12" s="97">
        <f t="shared" si="13"/>
        <v>0.13176006948147567</v>
      </c>
      <c r="CE12" s="98">
        <f t="shared" si="13"/>
        <v>0.23972305451795189</v>
      </c>
      <c r="CF12" s="97">
        <f t="shared" si="51"/>
        <v>0</v>
      </c>
      <c r="CG12" s="94">
        <f t="shared" si="51"/>
        <v>0</v>
      </c>
      <c r="CH12" s="95">
        <f t="shared" si="52"/>
        <v>4.7988505747126435</v>
      </c>
      <c r="CI12" s="96" t="e">
        <f>#REF!</f>
        <v>#REF!</v>
      </c>
      <c r="CJ12" s="94">
        <f t="shared" si="53"/>
        <v>0.17860651199342728</v>
      </c>
      <c r="CK12" s="94">
        <f t="shared" si="53"/>
        <v>3.1256139598849778E-2</v>
      </c>
      <c r="CL12" s="95">
        <f t="shared" si="68"/>
        <v>0.32149172158816913</v>
      </c>
      <c r="CM12" s="95" t="e">
        <f>#REF!</f>
        <v>#REF!</v>
      </c>
      <c r="CN12" s="94">
        <f t="shared" si="54"/>
        <v>0.92740978157644827</v>
      </c>
      <c r="CO12" s="94">
        <f t="shared" si="54"/>
        <v>0.79942723171887153</v>
      </c>
      <c r="CP12" s="95">
        <f t="shared" si="55"/>
        <v>3.9693138651471989</v>
      </c>
      <c r="CQ12" s="95" t="e">
        <f>#REF!</f>
        <v>#REF!</v>
      </c>
      <c r="CR12" s="97">
        <f t="shared" si="69"/>
        <v>4.9762105424926803E-2</v>
      </c>
      <c r="CS12" s="95">
        <f t="shared" si="69"/>
        <v>0.1422122914839612</v>
      </c>
      <c r="CT12" s="96" t="e">
        <f>#REF!</f>
        <v>#REF!</v>
      </c>
      <c r="CU12" s="97">
        <f t="shared" si="70"/>
        <v>3.4651986393038958E-2</v>
      </c>
      <c r="CV12" s="95">
        <f t="shared" si="56"/>
        <v>4.1782024745494507E-2</v>
      </c>
      <c r="CW12" s="96" t="e">
        <f>#REF!</f>
        <v>#REF!</v>
      </c>
      <c r="CX12" s="97">
        <f t="shared" si="57"/>
        <v>0.19217221916835739</v>
      </c>
      <c r="CY12" s="98">
        <f t="shared" si="57"/>
        <v>1.4669635051019647E-2</v>
      </c>
      <c r="CZ12" s="97">
        <f t="shared" si="57"/>
        <v>0.13202671545917682</v>
      </c>
      <c r="DA12" s="98">
        <f t="shared" si="57"/>
        <v>3.4718136287413166E-2</v>
      </c>
      <c r="DB12" s="94">
        <f t="shared" si="14"/>
        <v>0.14376242349999255</v>
      </c>
      <c r="DC12" s="94">
        <f t="shared" si="15"/>
        <v>5.8580742637066099E-2</v>
      </c>
      <c r="DD12" s="94">
        <f t="shared" si="15"/>
        <v>0.23486085716673349</v>
      </c>
      <c r="DE12" s="94">
        <f t="shared" si="15"/>
        <v>0.15500914370577429</v>
      </c>
      <c r="DF12" s="94">
        <f t="shared" si="15"/>
        <v>0</v>
      </c>
      <c r="DG12" s="94">
        <f t="shared" si="15"/>
        <v>0</v>
      </c>
      <c r="DH12" s="95">
        <f t="shared" si="15"/>
        <v>0.59221316700956639</v>
      </c>
      <c r="DI12" s="96" t="e">
        <f>#REF!</f>
        <v>#REF!</v>
      </c>
      <c r="DJ12" s="95">
        <f t="shared" si="58"/>
        <v>2.2449431506410402</v>
      </c>
      <c r="DK12" s="96" t="e">
        <f>#REF!</f>
        <v>#REF!</v>
      </c>
      <c r="DL12" s="95">
        <f t="shared" si="59"/>
        <v>-1.2520734001055995</v>
      </c>
      <c r="DM12" s="96">
        <f t="shared" si="16"/>
        <v>0</v>
      </c>
      <c r="DN12" s="94">
        <f t="shared" si="17"/>
        <v>2.2867716590375182</v>
      </c>
      <c r="DO12" s="100">
        <v>3.4</v>
      </c>
      <c r="DP12" s="94">
        <f>IF($O12&lt;&gt;0,IF($O12&lt;&gt;0,BL12/$O12*10,0)," ")</f>
        <v>3.2796414095729594</v>
      </c>
      <c r="DQ12" s="94">
        <f t="shared" si="72"/>
        <v>3.2061778858949053</v>
      </c>
      <c r="DR12" s="101">
        <f t="shared" si="18"/>
        <v>3.13</v>
      </c>
      <c r="DS12" s="116"/>
      <c r="DT12" s="134">
        <v>7</v>
      </c>
      <c r="DU12" s="183">
        <v>637561</v>
      </c>
      <c r="DV12" s="135">
        <v>29943</v>
      </c>
      <c r="DW12" s="135">
        <v>5155228</v>
      </c>
      <c r="DX12" s="136">
        <v>122474</v>
      </c>
      <c r="DY12" s="136">
        <v>87442.1</v>
      </c>
      <c r="DZ12" s="136">
        <v>406383</v>
      </c>
      <c r="EA12" s="136">
        <v>242914</v>
      </c>
      <c r="EB12" s="136">
        <v>56254.9</v>
      </c>
      <c r="EC12" s="136">
        <v>424128</v>
      </c>
      <c r="ED12" s="183">
        <v>48549.4</v>
      </c>
      <c r="EE12" s="136">
        <v>41164.699999999997</v>
      </c>
      <c r="EF12" s="136">
        <v>43503.5</v>
      </c>
      <c r="EG12" s="135">
        <v>95278</v>
      </c>
      <c r="EH12" s="135">
        <v>187750.3</v>
      </c>
      <c r="EI12" s="135">
        <v>34895</v>
      </c>
      <c r="EJ12" s="136">
        <v>43433</v>
      </c>
      <c r="EK12" s="136"/>
      <c r="EL12" s="135">
        <v>721486.2</v>
      </c>
      <c r="EM12" s="136">
        <v>5195</v>
      </c>
      <c r="EN12" s="136">
        <v>48054.9</v>
      </c>
      <c r="EO12" s="135">
        <v>3129473.9</v>
      </c>
      <c r="EP12" s="136">
        <v>2838327</v>
      </c>
      <c r="EQ12" s="136">
        <v>350</v>
      </c>
      <c r="ER12" s="136">
        <v>1242</v>
      </c>
      <c r="ES12" s="136">
        <v>421522</v>
      </c>
      <c r="ET12" s="136">
        <v>8351480</v>
      </c>
      <c r="EU12" s="136">
        <v>160365</v>
      </c>
      <c r="EV12" s="136">
        <v>461817</v>
      </c>
      <c r="EW12" s="136">
        <v>139450</v>
      </c>
      <c r="EX12" s="135">
        <v>221821.8</v>
      </c>
      <c r="EY12" s="135">
        <v>1716576.9</v>
      </c>
      <c r="EZ12" s="135">
        <v>831282</v>
      </c>
      <c r="FA12" s="135">
        <v>767953</v>
      </c>
      <c r="FB12" s="136">
        <v>32583.9</v>
      </c>
      <c r="FC12" s="136">
        <v>2116</v>
      </c>
      <c r="FD12" s="104">
        <f>(SUM(FE12:FM12))</f>
        <v>5707</v>
      </c>
      <c r="FE12" s="129">
        <v>428</v>
      </c>
      <c r="FF12" s="129">
        <v>0</v>
      </c>
      <c r="FG12" s="105">
        <f t="shared" si="74"/>
        <v>926</v>
      </c>
      <c r="FH12" s="136">
        <v>1847</v>
      </c>
      <c r="FI12" s="136">
        <v>592</v>
      </c>
      <c r="FJ12" s="105">
        <f t="shared" si="19"/>
        <v>0</v>
      </c>
      <c r="FK12" s="136">
        <v>784</v>
      </c>
      <c r="FL12" s="136">
        <v>865</v>
      </c>
      <c r="FM12" s="136">
        <v>265</v>
      </c>
      <c r="FN12" s="80">
        <v>1000</v>
      </c>
      <c r="FO12" s="104"/>
      <c r="FP12" s="484"/>
      <c r="FY12" s="119">
        <v>7</v>
      </c>
      <c r="FZ12" s="107">
        <v>9087</v>
      </c>
      <c r="GA12" s="107">
        <v>1193</v>
      </c>
      <c r="GB12" s="108">
        <f>GA12/FZ12/0.1</f>
        <v>1.312864531748652</v>
      </c>
      <c r="GC12" s="109"/>
      <c r="GD12" s="110"/>
      <c r="GE12" s="110"/>
      <c r="GF12" s="111"/>
      <c r="GG12" s="111"/>
      <c r="GH12" s="111"/>
      <c r="GI12" s="112"/>
      <c r="GJ12" s="111">
        <f t="shared" si="60"/>
        <v>1850.1528080469404</v>
      </c>
      <c r="GK12" s="113"/>
    </row>
    <row r="13" spans="1:194" s="119" customFormat="1" ht="15" customHeight="1">
      <c r="B13" s="351">
        <v>43016</v>
      </c>
      <c r="D13" s="128">
        <v>0</v>
      </c>
      <c r="E13" s="128">
        <v>3766.08</v>
      </c>
      <c r="F13" s="128">
        <v>2518.1279999999997</v>
      </c>
      <c r="G13" s="525">
        <v>5369.8370000000004</v>
      </c>
      <c r="H13" s="86">
        <v>8990.1589999999997</v>
      </c>
      <c r="I13" s="86">
        <v>2147.9879999999998</v>
      </c>
      <c r="J13" s="86">
        <v>5400.36</v>
      </c>
      <c r="K13" s="86">
        <v>0</v>
      </c>
      <c r="L13" s="86">
        <v>408.72</v>
      </c>
      <c r="M13" s="115">
        <f t="shared" si="61"/>
        <v>7548.348</v>
      </c>
      <c r="N13" s="88">
        <f t="shared" si="20"/>
        <v>20644.203999999998</v>
      </c>
      <c r="O13" s="88">
        <f>N13+L13+K13+((J13+I13)*0.5)</f>
        <v>24827.097999999998</v>
      </c>
      <c r="P13" s="89">
        <f t="shared" si="22"/>
        <v>168999.136</v>
      </c>
      <c r="R13" s="170">
        <f t="shared" si="23"/>
        <v>292.5</v>
      </c>
      <c r="S13" s="170">
        <f t="shared" si="24"/>
        <v>28.169999999995344</v>
      </c>
      <c r="T13" s="170">
        <f t="shared" si="1"/>
        <v>371.3</v>
      </c>
      <c r="U13" s="170">
        <f t="shared" si="73"/>
        <v>5.3799999999995638</v>
      </c>
      <c r="V13" s="170">
        <f t="shared" si="25"/>
        <v>962.20000000018626</v>
      </c>
      <c r="W13" s="170">
        <f t="shared" si="2"/>
        <v>85.5</v>
      </c>
      <c r="X13" s="170">
        <f t="shared" si="26"/>
        <v>962.20000000018626</v>
      </c>
      <c r="Y13" s="170">
        <f t="shared" si="27"/>
        <v>192</v>
      </c>
      <c r="Z13" s="170">
        <f t="shared" si="3"/>
        <v>119.3</v>
      </c>
      <c r="AA13" s="501">
        <f t="shared" si="28"/>
        <v>1659.5500000001812</v>
      </c>
      <c r="AB13" s="170">
        <f t="shared" si="29"/>
        <v>16</v>
      </c>
      <c r="AC13" s="170">
        <f t="shared" si="29"/>
        <v>0</v>
      </c>
      <c r="AD13" s="501">
        <f t="shared" si="4"/>
        <v>16</v>
      </c>
      <c r="AE13" s="501">
        <f t="shared" si="30"/>
        <v>0</v>
      </c>
      <c r="AF13" s="170">
        <f t="shared" si="31"/>
        <v>107</v>
      </c>
      <c r="AG13" s="170">
        <f t="shared" si="31"/>
        <v>60.299999999988358</v>
      </c>
      <c r="AH13" s="501">
        <f t="shared" si="5"/>
        <v>256</v>
      </c>
      <c r="AI13" s="501">
        <f t="shared" si="32"/>
        <v>88.700000000011642</v>
      </c>
      <c r="AJ13" s="170">
        <f t="shared" si="33"/>
        <v>153</v>
      </c>
      <c r="AK13" s="170">
        <f t="shared" si="33"/>
        <v>10.900000000001455</v>
      </c>
      <c r="AL13" s="501">
        <f t="shared" si="6"/>
        <v>332</v>
      </c>
      <c r="AM13" s="501">
        <f t="shared" si="34"/>
        <v>168.09999999999854</v>
      </c>
      <c r="AN13" s="170">
        <f t="shared" si="35"/>
        <v>7</v>
      </c>
      <c r="AO13" s="501">
        <f t="shared" si="7"/>
        <v>44.5</v>
      </c>
      <c r="AP13" s="170">
        <f t="shared" si="36"/>
        <v>21.19999999999709</v>
      </c>
      <c r="AQ13" s="501">
        <f t="shared" si="8"/>
        <v>27.800000000017462</v>
      </c>
      <c r="AR13" s="170">
        <f t="shared" si="37"/>
        <v>83.09</v>
      </c>
      <c r="AS13" s="501">
        <f t="shared" si="38"/>
        <v>208.08999999999992</v>
      </c>
      <c r="AT13" s="501">
        <f t="shared" si="39"/>
        <v>1212.0899999999999</v>
      </c>
      <c r="AU13" s="170">
        <f t="shared" si="62"/>
        <v>692</v>
      </c>
      <c r="AV13" s="501">
        <f t="shared" si="63"/>
        <v>14</v>
      </c>
      <c r="AW13" s="170">
        <f t="shared" si="64"/>
        <v>312</v>
      </c>
      <c r="AX13" s="501">
        <f t="shared" si="65"/>
        <v>17</v>
      </c>
      <c r="AY13" s="501"/>
      <c r="AZ13" s="170">
        <f t="shared" si="40"/>
        <v>0</v>
      </c>
      <c r="BA13" s="170">
        <v>0</v>
      </c>
      <c r="BB13" s="170">
        <f t="shared" si="41"/>
        <v>136</v>
      </c>
      <c r="BC13" s="170">
        <f t="shared" si="41"/>
        <v>954.80000000004657</v>
      </c>
      <c r="BD13" s="170">
        <f t="shared" si="42"/>
        <v>310</v>
      </c>
      <c r="BE13" s="90"/>
      <c r="BF13" s="90"/>
      <c r="BG13" s="501">
        <f t="shared" si="43"/>
        <v>1400.8000000000466</v>
      </c>
      <c r="BH13" s="501">
        <f>BL13-FC13</f>
        <v>4490.2000000000007</v>
      </c>
      <c r="BI13" s="90">
        <f t="shared" si="9"/>
        <v>-2941.7400000002453</v>
      </c>
      <c r="BJ13" s="90">
        <f t="shared" si="45"/>
        <v>4979.7400000002453</v>
      </c>
      <c r="BK13" s="92"/>
      <c r="BL13" s="93">
        <f t="shared" si="66"/>
        <v>6528.2000000000007</v>
      </c>
      <c r="BM13" s="93">
        <f t="shared" si="46"/>
        <v>52752.319999999992</v>
      </c>
      <c r="BN13" s="92"/>
      <c r="BO13" s="94">
        <f t="shared" si="47"/>
        <v>0.14168625731464388</v>
      </c>
      <c r="BP13" s="94">
        <f t="shared" si="47"/>
        <v>1.3645476473684984E-2</v>
      </c>
      <c r="BQ13" s="94">
        <f t="shared" si="48"/>
        <v>0.17985677723393939</v>
      </c>
      <c r="BR13" s="94">
        <f t="shared" si="67"/>
        <v>0.46608723688265546</v>
      </c>
      <c r="BS13" s="94">
        <f t="shared" si="10"/>
        <v>9.300431249371495E-2</v>
      </c>
      <c r="BT13" s="94">
        <f t="shared" si="10"/>
        <v>5.7788617085938507E-2</v>
      </c>
      <c r="BU13" s="95">
        <f t="shared" si="10"/>
        <v>0.80388180624459116</v>
      </c>
      <c r="BV13" s="94">
        <f t="shared" si="11"/>
        <v>0.11781481669746502</v>
      </c>
      <c r="BW13" s="94">
        <f t="shared" si="11"/>
        <v>1.1346473115784756E-2</v>
      </c>
      <c r="BX13" s="94">
        <f t="shared" si="11"/>
        <v>0.14955432970861116</v>
      </c>
      <c r="BY13" s="94">
        <f t="shared" si="49"/>
        <v>0.38756039872247106</v>
      </c>
      <c r="BZ13" s="95">
        <f t="shared" si="12"/>
        <v>0.66844300530016887</v>
      </c>
      <c r="CA13" s="96" t="e">
        <f>#REF!</f>
        <v>#REF!</v>
      </c>
      <c r="CB13" s="94">
        <f t="shared" si="50"/>
        <v>3.3467463656042286E-2</v>
      </c>
      <c r="CC13" s="95">
        <f t="shared" si="50"/>
        <v>8.3815675919916177E-2</v>
      </c>
      <c r="CD13" s="97">
        <f t="shared" si="13"/>
        <v>0.11007706586924716</v>
      </c>
      <c r="CE13" s="98">
        <f t="shared" si="13"/>
        <v>0.27567621418620331</v>
      </c>
      <c r="CF13" s="97" t="str">
        <f t="shared" si="51"/>
        <v>0,00</v>
      </c>
      <c r="CG13" s="94" t="str">
        <f t="shared" si="51"/>
        <v>0,00</v>
      </c>
      <c r="CH13" s="95" t="str">
        <f t="shared" si="52"/>
        <v xml:space="preserve">0,00 </v>
      </c>
      <c r="CI13" s="96" t="e">
        <f>#REF!</f>
        <v>#REF!</v>
      </c>
      <c r="CJ13" s="94">
        <f t="shared" si="53"/>
        <v>0.28411504800747728</v>
      </c>
      <c r="CK13" s="94">
        <f t="shared" si="53"/>
        <v>0.16011343359670627</v>
      </c>
      <c r="CL13" s="95">
        <f t="shared" si="68"/>
        <v>0.67975189055994556</v>
      </c>
      <c r="CM13" s="95" t="e">
        <f>#REF!</f>
        <v>#REF!</v>
      </c>
      <c r="CN13" s="94">
        <f t="shared" si="54"/>
        <v>0.60759421284382698</v>
      </c>
      <c r="CO13" s="94">
        <f t="shared" si="54"/>
        <v>4.328612366012155E-2</v>
      </c>
      <c r="CP13" s="95">
        <f t="shared" si="55"/>
        <v>1.3184397298310493</v>
      </c>
      <c r="CQ13" s="95" t="e">
        <f>#REF!</f>
        <v>#REF!</v>
      </c>
      <c r="CR13" s="97">
        <f t="shared" si="69"/>
        <v>1.3035777436074874E-2</v>
      </c>
      <c r="CS13" s="95">
        <f t="shared" si="69"/>
        <v>8.2870299415047421E-2</v>
      </c>
      <c r="CT13" s="96" t="e">
        <f>#REF!</f>
        <v>#REF!</v>
      </c>
      <c r="CU13" s="97">
        <f t="shared" si="70"/>
        <v>2.3581340441250362E-2</v>
      </c>
      <c r="CV13" s="95">
        <f t="shared" si="56"/>
        <v>3.0922701144682159E-2</v>
      </c>
      <c r="CW13" s="96" t="e">
        <f>#REF!</f>
        <v>#REF!</v>
      </c>
      <c r="CX13" s="97">
        <f t="shared" si="57"/>
        <v>0.27872770309280614</v>
      </c>
      <c r="CY13" s="98">
        <f t="shared" si="57"/>
        <v>5.6389997735538811E-3</v>
      </c>
      <c r="CZ13" s="97">
        <f t="shared" si="57"/>
        <v>0.12566913781062933</v>
      </c>
      <c r="DA13" s="98">
        <f t="shared" si="57"/>
        <v>6.847356867886855E-3</v>
      </c>
      <c r="DB13" s="94">
        <f t="shared" si="14"/>
        <v>0</v>
      </c>
      <c r="DC13" s="94">
        <f t="shared" si="15"/>
        <v>5.477885494309484E-2</v>
      </c>
      <c r="DD13" s="94">
        <f t="shared" si="15"/>
        <v>0.38457978455639341</v>
      </c>
      <c r="DE13" s="94">
        <f t="shared" si="15"/>
        <v>0.12486356641440736</v>
      </c>
      <c r="DF13" s="94">
        <f t="shared" si="15"/>
        <v>0</v>
      </c>
      <c r="DG13" s="94">
        <f t="shared" si="15"/>
        <v>0</v>
      </c>
      <c r="DH13" s="95">
        <f t="shared" si="15"/>
        <v>0.5642222059138956</v>
      </c>
      <c r="DI13" s="96" t="e">
        <f>#REF!</f>
        <v>#REF!</v>
      </c>
      <c r="DJ13" s="95">
        <f t="shared" si="58"/>
        <v>1.8085883416579742</v>
      </c>
      <c r="DK13" s="96" t="e">
        <f>#REF!</f>
        <v>#REF!</v>
      </c>
      <c r="DL13" s="95">
        <f t="shared" si="59"/>
        <v>-1.1848907995611271</v>
      </c>
      <c r="DM13" s="96">
        <f t="shared" si="16"/>
        <v>0</v>
      </c>
      <c r="DN13" s="94">
        <f t="shared" si="17"/>
        <v>2.0057680523113275</v>
      </c>
      <c r="DO13" s="100">
        <v>3.4</v>
      </c>
      <c r="DP13" s="94">
        <f t="shared" si="71"/>
        <v>2.6294655944081753</v>
      </c>
      <c r="DQ13" s="94">
        <f t="shared" si="72"/>
        <v>3.1214550114623068</v>
      </c>
      <c r="DR13" s="101">
        <f t="shared" si="18"/>
        <v>3.13</v>
      </c>
      <c r="DS13" s="116"/>
      <c r="DT13" s="134">
        <v>8</v>
      </c>
      <c r="DU13" s="135">
        <v>637577</v>
      </c>
      <c r="DV13" s="135">
        <v>29943</v>
      </c>
      <c r="DW13" s="135">
        <v>5155228</v>
      </c>
      <c r="DX13" s="136">
        <v>122581</v>
      </c>
      <c r="DY13" s="136">
        <v>87502.399999999994</v>
      </c>
      <c r="DZ13" s="136">
        <v>406532</v>
      </c>
      <c r="EA13" s="136">
        <v>243067</v>
      </c>
      <c r="EB13" s="136">
        <v>56265.8</v>
      </c>
      <c r="EC13" s="136">
        <v>424307</v>
      </c>
      <c r="ED13" s="183">
        <v>48556.4</v>
      </c>
      <c r="EE13" s="136">
        <v>41190.1</v>
      </c>
      <c r="EF13" s="136">
        <v>43522.6</v>
      </c>
      <c r="EG13" s="135">
        <v>95299.199999999997</v>
      </c>
      <c r="EH13" s="135">
        <v>187778.1</v>
      </c>
      <c r="EI13" s="135">
        <v>34909</v>
      </c>
      <c r="EJ13" s="136">
        <v>43450</v>
      </c>
      <c r="EK13" s="136"/>
      <c r="EL13" s="135">
        <v>721778.7</v>
      </c>
      <c r="EM13" s="135">
        <v>3713</v>
      </c>
      <c r="EN13" s="136">
        <v>48108.7</v>
      </c>
      <c r="EO13" s="135">
        <v>3130436.1</v>
      </c>
      <c r="EP13" s="136">
        <v>2839182</v>
      </c>
      <c r="EQ13" s="136">
        <v>1920</v>
      </c>
      <c r="ER13" s="136">
        <v>1193</v>
      </c>
      <c r="ES13" s="139">
        <v>422651</v>
      </c>
      <c r="ET13" s="136">
        <v>8434570</v>
      </c>
      <c r="EU13" s="136">
        <v>160677</v>
      </c>
      <c r="EV13" s="136">
        <v>462509</v>
      </c>
      <c r="EW13" s="136">
        <v>139450</v>
      </c>
      <c r="EX13" s="135">
        <v>221957.8</v>
      </c>
      <c r="EY13" s="135">
        <v>1717531.7</v>
      </c>
      <c r="EZ13" s="140">
        <v>831563.7</v>
      </c>
      <c r="FA13" s="140">
        <v>768263</v>
      </c>
      <c r="FB13" s="136">
        <v>32583.9</v>
      </c>
      <c r="FC13" s="135">
        <v>2038</v>
      </c>
      <c r="FD13" s="104">
        <f>(SUM(FE13:FM13))</f>
        <v>5528.2000000000007</v>
      </c>
      <c r="FE13" s="129">
        <v>994</v>
      </c>
      <c r="FF13" s="136">
        <v>0</v>
      </c>
      <c r="FG13" s="105">
        <f t="shared" si="74"/>
        <v>881</v>
      </c>
      <c r="FH13" s="136">
        <v>1494</v>
      </c>
      <c r="FI13" s="136">
        <v>272</v>
      </c>
      <c r="FJ13" s="105">
        <f t="shared" si="19"/>
        <v>0</v>
      </c>
      <c r="FK13" s="136">
        <v>634.6</v>
      </c>
      <c r="FL13" s="136">
        <v>848.6</v>
      </c>
      <c r="FM13" s="136">
        <v>404</v>
      </c>
      <c r="FN13" s="80">
        <v>1000</v>
      </c>
      <c r="FO13" s="104"/>
      <c r="FP13" s="516" t="s">
        <v>303</v>
      </c>
      <c r="FY13" s="119">
        <v>8</v>
      </c>
      <c r="FZ13" s="107">
        <v>8106</v>
      </c>
      <c r="GA13" s="107">
        <v>1522</v>
      </c>
      <c r="GB13" s="108">
        <f>GA13/FZ13/0.1</f>
        <v>1.8776215149272142</v>
      </c>
      <c r="GC13" s="109"/>
      <c r="GD13" s="110"/>
      <c r="GE13" s="110"/>
      <c r="GF13" s="111"/>
      <c r="GG13" s="111"/>
      <c r="GH13" s="111"/>
      <c r="GI13" s="112"/>
      <c r="GJ13" s="111">
        <f t="shared" si="60"/>
        <v>847.88120893561108</v>
      </c>
      <c r="GK13" s="113"/>
    </row>
    <row r="14" spans="1:194" s="454" customFormat="1" ht="15" customHeight="1">
      <c r="B14" s="351">
        <v>43017</v>
      </c>
      <c r="D14" s="86">
        <v>0</v>
      </c>
      <c r="E14" s="128">
        <v>4488</v>
      </c>
      <c r="F14" s="128">
        <v>2430</v>
      </c>
      <c r="G14" s="86">
        <v>2987.2190000000001</v>
      </c>
      <c r="H14" s="86">
        <v>5291.8850000000002</v>
      </c>
      <c r="I14" s="86">
        <v>1897.1469999999999</v>
      </c>
      <c r="J14" s="86">
        <v>8808.48</v>
      </c>
      <c r="K14" s="86">
        <v>5.3440000000000003</v>
      </c>
      <c r="L14" s="86">
        <v>613.08000000000004</v>
      </c>
      <c r="M14" s="115">
        <f>I14+J14</f>
        <v>10705.627</v>
      </c>
      <c r="N14" s="88">
        <f>SUM(D14:H14)</f>
        <v>15197.104000000001</v>
      </c>
      <c r="O14" s="88">
        <f>N14+L14+K14+((J14+I14)*0.5)</f>
        <v>21168.341500000002</v>
      </c>
      <c r="P14" s="89">
        <f t="shared" si="22"/>
        <v>190167.47750000001</v>
      </c>
      <c r="R14" s="170">
        <f t="shared" si="23"/>
        <v>164</v>
      </c>
      <c r="S14" s="170">
        <f t="shared" si="24"/>
        <v>0</v>
      </c>
      <c r="T14" s="170">
        <f t="shared" si="1"/>
        <v>93.2</v>
      </c>
      <c r="U14" s="170">
        <f t="shared" si="73"/>
        <v>3.3900000000001453</v>
      </c>
      <c r="V14" s="170">
        <f t="shared" si="25"/>
        <v>971.5</v>
      </c>
      <c r="W14" s="170">
        <f t="shared" si="2"/>
        <v>86.1</v>
      </c>
      <c r="X14" s="170">
        <f t="shared" si="26"/>
        <v>971.5</v>
      </c>
      <c r="Y14" s="170">
        <f t="shared" si="27"/>
        <v>49.9</v>
      </c>
      <c r="Z14" s="170">
        <f t="shared" si="3"/>
        <v>150.69999999999999</v>
      </c>
      <c r="AA14" s="501">
        <f t="shared" si="28"/>
        <v>1232.0900000000001</v>
      </c>
      <c r="AB14" s="170">
        <f t="shared" si="29"/>
        <v>0</v>
      </c>
      <c r="AC14" s="170">
        <f t="shared" si="29"/>
        <v>11</v>
      </c>
      <c r="AD14" s="501">
        <f t="shared" si="4"/>
        <v>53</v>
      </c>
      <c r="AE14" s="501">
        <f t="shared" si="30"/>
        <v>42</v>
      </c>
      <c r="AF14" s="170">
        <f t="shared" si="31"/>
        <v>84</v>
      </c>
      <c r="AG14" s="170">
        <f t="shared" si="31"/>
        <v>38.400000000008731</v>
      </c>
      <c r="AH14" s="501">
        <f t="shared" si="5"/>
        <v>181</v>
      </c>
      <c r="AI14" s="501">
        <f t="shared" si="32"/>
        <v>58.599999999991269</v>
      </c>
      <c r="AJ14" s="170">
        <f t="shared" si="33"/>
        <v>149</v>
      </c>
      <c r="AK14" s="170">
        <f t="shared" si="33"/>
        <v>9.1999999999970896</v>
      </c>
      <c r="AL14" s="501">
        <f t="shared" si="6"/>
        <v>283</v>
      </c>
      <c r="AM14" s="501">
        <f t="shared" si="34"/>
        <v>124.80000000000291</v>
      </c>
      <c r="AN14" s="170">
        <f t="shared" si="35"/>
        <v>0</v>
      </c>
      <c r="AO14" s="501">
        <f t="shared" si="7"/>
        <v>28.30000000000291</v>
      </c>
      <c r="AP14" s="170">
        <f t="shared" si="36"/>
        <v>35.100000000005821</v>
      </c>
      <c r="AQ14" s="501">
        <f t="shared" si="8"/>
        <v>42.600000000005821</v>
      </c>
      <c r="AR14" s="170">
        <f t="shared" si="37"/>
        <v>76.873999999999995</v>
      </c>
      <c r="AS14" s="501">
        <f t="shared" si="38"/>
        <v>215.87400000000002</v>
      </c>
      <c r="AT14" s="501">
        <f t="shared" si="39"/>
        <v>1144.874</v>
      </c>
      <c r="AU14" s="170">
        <f t="shared" si="62"/>
        <v>698</v>
      </c>
      <c r="AV14" s="501">
        <f t="shared" si="63"/>
        <v>44</v>
      </c>
      <c r="AW14" s="170">
        <f t="shared" si="64"/>
        <v>231</v>
      </c>
      <c r="AX14" s="501">
        <f t="shared" si="65"/>
        <v>4</v>
      </c>
      <c r="AY14" s="501" t="str">
        <f t="shared" si="65"/>
        <v/>
      </c>
      <c r="AZ14" s="170">
        <f t="shared" si="40"/>
        <v>764</v>
      </c>
      <c r="BA14" s="170">
        <v>87</v>
      </c>
      <c r="BB14" s="170">
        <f t="shared" si="41"/>
        <v>127</v>
      </c>
      <c r="BC14" s="170">
        <f>IF(EY14=0,"",(EY14-EY13))</f>
        <v>675.10000000009313</v>
      </c>
      <c r="BD14" s="170">
        <f t="shared" si="42"/>
        <v>54</v>
      </c>
      <c r="BE14" s="90"/>
      <c r="BF14" s="90"/>
      <c r="BG14" s="501">
        <f t="shared" si="43"/>
        <v>1620.1000000000931</v>
      </c>
      <c r="BH14" s="501">
        <f t="shared" si="44"/>
        <v>1793</v>
      </c>
      <c r="BI14" s="90">
        <f t="shared" si="9"/>
        <v>-1158.9640000001018</v>
      </c>
      <c r="BJ14" s="90">
        <f t="shared" si="45"/>
        <v>4632.9640000001018</v>
      </c>
      <c r="BK14" s="92"/>
      <c r="BL14" s="93">
        <f>FD14+FN14</f>
        <v>5267</v>
      </c>
      <c r="BM14" s="93">
        <f t="shared" si="46"/>
        <v>58019.319999999992</v>
      </c>
      <c r="BN14" s="92"/>
      <c r="BO14" s="94">
        <f t="shared" si="47"/>
        <v>0.10791529754616405</v>
      </c>
      <c r="BP14" s="94">
        <f t="shared" si="47"/>
        <v>0</v>
      </c>
      <c r="BQ14" s="94">
        <f t="shared" si="48"/>
        <v>6.1327473971356648E-2</v>
      </c>
      <c r="BR14" s="94">
        <f t="shared" si="67"/>
        <v>0.63926653393962418</v>
      </c>
      <c r="BS14" s="94">
        <f t="shared" si="10"/>
        <v>3.2835203338741376E-2</v>
      </c>
      <c r="BT14" s="94">
        <f t="shared" si="10"/>
        <v>9.9163630123212942E-2</v>
      </c>
      <c r="BU14" s="95">
        <f t="shared" si="10"/>
        <v>0.81073999361983695</v>
      </c>
      <c r="BV14" s="94">
        <f t="shared" si="11"/>
        <v>7.7474184739508276E-2</v>
      </c>
      <c r="BW14" s="94">
        <f t="shared" si="11"/>
        <v>0</v>
      </c>
      <c r="BX14" s="94">
        <f t="shared" si="11"/>
        <v>4.4028012303183976E-2</v>
      </c>
      <c r="BY14" s="94">
        <f t="shared" si="49"/>
        <v>0.45894006386848957</v>
      </c>
      <c r="BZ14" s="95">
        <f t="shared" si="12"/>
        <v>0.58204370899817548</v>
      </c>
      <c r="CA14" s="96" t="e">
        <f>#REF!</f>
        <v>#REF!</v>
      </c>
      <c r="CB14" s="94">
        <f t="shared" si="50"/>
        <v>3.6315551693079019E-2</v>
      </c>
      <c r="CC14" s="95">
        <f t="shared" si="50"/>
        <v>0.10197964729546716</v>
      </c>
      <c r="CD14" s="97">
        <f t="shared" si="13"/>
        <v>7.1807097333019348E-2</v>
      </c>
      <c r="CE14" s="98">
        <f t="shared" si="13"/>
        <v>0.20164535902474467</v>
      </c>
      <c r="CF14" s="97" t="str">
        <f t="shared" si="51"/>
        <v>0,00</v>
      </c>
      <c r="CG14" s="94" t="str">
        <f t="shared" si="51"/>
        <v>0,00</v>
      </c>
      <c r="CH14" s="95" t="str">
        <f t="shared" si="52"/>
        <v xml:space="preserve">0,00 </v>
      </c>
      <c r="CI14" s="96" t="e">
        <f>#REF!</f>
        <v>#REF!</v>
      </c>
      <c r="CJ14" s="94">
        <f t="shared" si="53"/>
        <v>0.18716577540106949</v>
      </c>
      <c r="CK14" s="94">
        <f t="shared" si="53"/>
        <v>8.556149732622266E-2</v>
      </c>
      <c r="CL14" s="95">
        <f t="shared" si="68"/>
        <v>0.40329768270944744</v>
      </c>
      <c r="CM14" s="95" t="e">
        <f>#REF!</f>
        <v>#REF!</v>
      </c>
      <c r="CN14" s="94">
        <f t="shared" si="54"/>
        <v>0.61316872427983538</v>
      </c>
      <c r="CO14" s="94">
        <f t="shared" si="54"/>
        <v>3.7860082304514771E-2</v>
      </c>
      <c r="CP14" s="95">
        <f t="shared" si="55"/>
        <v>1.1646090534979423</v>
      </c>
      <c r="CQ14" s="95" t="e">
        <f>#REF!</f>
        <v>#REF!</v>
      </c>
      <c r="CR14" s="97">
        <f t="shared" si="69"/>
        <v>0</v>
      </c>
      <c r="CS14" s="95">
        <f t="shared" si="69"/>
        <v>9.4736944295021261E-2</v>
      </c>
      <c r="CT14" s="96" t="e">
        <f>#REF!</f>
        <v>#REF!</v>
      </c>
      <c r="CU14" s="97">
        <f t="shared" si="70"/>
        <v>6.6327971979749781E-2</v>
      </c>
      <c r="CV14" s="95">
        <f t="shared" si="56"/>
        <v>8.0500615565164052E-2</v>
      </c>
      <c r="CW14" s="96" t="e">
        <f>#REF!</f>
        <v>#REF!</v>
      </c>
      <c r="CX14" s="97">
        <f t="shared" si="57"/>
        <v>0.32973768870839498</v>
      </c>
      <c r="CY14" s="98">
        <f t="shared" si="57"/>
        <v>2.0785756881331489E-2</v>
      </c>
      <c r="CZ14" s="97">
        <f t="shared" si="57"/>
        <v>0.10912522362699031</v>
      </c>
      <c r="DA14" s="98">
        <f t="shared" si="57"/>
        <v>1.8896142619392263E-3</v>
      </c>
      <c r="DB14" s="94">
        <f t="shared" si="14"/>
        <v>0.36091632403039225</v>
      </c>
      <c r="DC14" s="94">
        <f t="shared" si="15"/>
        <v>5.9995252816570435E-2</v>
      </c>
      <c r="DD14" s="94">
        <f t="shared" si="15"/>
        <v>0.31891964705883691</v>
      </c>
      <c r="DE14" s="94">
        <f t="shared" si="15"/>
        <v>2.5509792536179555E-2</v>
      </c>
      <c r="DF14" s="94">
        <f t="shared" si="15"/>
        <v>0</v>
      </c>
      <c r="DG14" s="94">
        <f t="shared" si="15"/>
        <v>0</v>
      </c>
      <c r="DH14" s="95">
        <f t="shared" si="15"/>
        <v>0.76534101644197916</v>
      </c>
      <c r="DI14" s="96" t="e">
        <f>#REF!</f>
        <v>#REF!</v>
      </c>
      <c r="DJ14" s="95">
        <f t="shared" si="58"/>
        <v>0.84701959291425821</v>
      </c>
      <c r="DK14" s="96" t="e">
        <f>#REF!</f>
        <v>#REF!</v>
      </c>
      <c r="DL14" s="95">
        <f t="shared" si="59"/>
        <v>-0.5474987258685815</v>
      </c>
      <c r="DM14" s="96">
        <f t="shared" si="16"/>
        <v>0</v>
      </c>
      <c r="DN14" s="94">
        <f t="shared" si="17"/>
        <v>2.1886287123627994</v>
      </c>
      <c r="DO14" s="100">
        <v>3.4</v>
      </c>
      <c r="DP14" s="94">
        <f t="shared" si="71"/>
        <v>2.4881495794084763</v>
      </c>
      <c r="DQ14" s="94">
        <f t="shared" si="72"/>
        <v>3.0509591210200488</v>
      </c>
      <c r="DR14" s="101">
        <f t="shared" si="18"/>
        <v>3.13</v>
      </c>
      <c r="DT14" s="142">
        <v>9</v>
      </c>
      <c r="DU14" s="135">
        <v>637577</v>
      </c>
      <c r="DV14" s="135">
        <v>29954</v>
      </c>
      <c r="DW14" s="135">
        <v>5155281</v>
      </c>
      <c r="DX14" s="136">
        <v>122665</v>
      </c>
      <c r="DY14" s="136">
        <v>87540.800000000003</v>
      </c>
      <c r="DZ14" s="136">
        <v>406629</v>
      </c>
      <c r="EA14" s="136">
        <v>243216</v>
      </c>
      <c r="EB14" s="136">
        <v>56275</v>
      </c>
      <c r="EC14" s="136">
        <v>424441</v>
      </c>
      <c r="ED14" s="183">
        <v>48556.4</v>
      </c>
      <c r="EE14" s="136">
        <v>41214.699999999997</v>
      </c>
      <c r="EF14" s="136">
        <v>43526.3</v>
      </c>
      <c r="EG14" s="135">
        <v>95334.3</v>
      </c>
      <c r="EH14" s="135">
        <v>187820.7</v>
      </c>
      <c r="EI14" s="135">
        <v>34953</v>
      </c>
      <c r="EJ14" s="136">
        <v>43454</v>
      </c>
      <c r="EK14" s="136"/>
      <c r="EL14" s="135">
        <v>721942.7</v>
      </c>
      <c r="EM14" s="136">
        <v>932</v>
      </c>
      <c r="EN14" s="136">
        <v>48142.6</v>
      </c>
      <c r="EO14" s="135">
        <v>3131407.6</v>
      </c>
      <c r="EP14" s="136">
        <v>2840043</v>
      </c>
      <c r="EQ14" s="136">
        <v>499</v>
      </c>
      <c r="ER14" s="136">
        <v>1507</v>
      </c>
      <c r="ES14" s="144">
        <v>423719</v>
      </c>
      <c r="ET14" s="136">
        <v>8511444</v>
      </c>
      <c r="EU14" s="136">
        <v>160908</v>
      </c>
      <c r="EV14" s="136">
        <v>463207</v>
      </c>
      <c r="EW14" s="136">
        <v>140214</v>
      </c>
      <c r="EX14" s="135">
        <v>222084.8</v>
      </c>
      <c r="EY14" s="135">
        <v>1718206.8</v>
      </c>
      <c r="EZ14" s="140">
        <v>831563.7</v>
      </c>
      <c r="FA14" s="140">
        <v>768317</v>
      </c>
      <c r="FB14" s="145">
        <v>32679.599999999999</v>
      </c>
      <c r="FC14" s="146">
        <v>3474</v>
      </c>
      <c r="FD14" s="77">
        <f t="shared" ref="FD14:FD29" si="75">SUM(FE14:FM14)</f>
        <v>4717</v>
      </c>
      <c r="FE14" s="129">
        <v>839</v>
      </c>
      <c r="FF14" s="136">
        <v>0</v>
      </c>
      <c r="FG14" s="105">
        <f t="shared" si="74"/>
        <v>780</v>
      </c>
      <c r="FH14" s="136">
        <v>1643</v>
      </c>
      <c r="FI14" s="136">
        <v>239</v>
      </c>
      <c r="FJ14" s="105">
        <f t="shared" si="19"/>
        <v>0</v>
      </c>
      <c r="FK14" s="136">
        <v>0</v>
      </c>
      <c r="FL14" s="136">
        <v>837</v>
      </c>
      <c r="FM14" s="136">
        <v>379</v>
      </c>
      <c r="FN14" s="80">
        <v>550</v>
      </c>
      <c r="FO14" s="303"/>
      <c r="FP14" s="484"/>
      <c r="FY14" s="454">
        <v>9</v>
      </c>
      <c r="FZ14" s="107"/>
      <c r="GA14" s="107">
        <v>660</v>
      </c>
      <c r="GB14" s="108"/>
      <c r="GC14" s="109"/>
      <c r="GD14" s="110"/>
      <c r="GE14" s="110"/>
      <c r="GF14" s="111"/>
      <c r="GG14" s="111"/>
      <c r="GH14" s="111"/>
      <c r="GI14" s="112"/>
      <c r="GJ14" s="111" t="e">
        <f t="shared" si="60"/>
        <v>#DIV/0!</v>
      </c>
      <c r="GK14" s="113"/>
    </row>
    <row r="15" spans="1:194" s="119" customFormat="1" ht="15" customHeight="1">
      <c r="A15" s="119" t="s">
        <v>125</v>
      </c>
      <c r="B15" s="351">
        <v>43018</v>
      </c>
      <c r="D15" s="128">
        <v>0</v>
      </c>
      <c r="E15" s="128">
        <v>4996.32</v>
      </c>
      <c r="F15" s="128">
        <v>2253.7440000000001</v>
      </c>
      <c r="G15" s="86">
        <v>1477.24</v>
      </c>
      <c r="H15" s="86">
        <v>5273.6639999999998</v>
      </c>
      <c r="I15" s="86">
        <v>1862.0519999999999</v>
      </c>
      <c r="J15" s="86">
        <v>6160.32</v>
      </c>
      <c r="K15" s="86">
        <v>0</v>
      </c>
      <c r="L15" s="86">
        <f>408.72+164</f>
        <v>572.72</v>
      </c>
      <c r="M15" s="115">
        <f t="shared" si="61"/>
        <v>8022.3719999999994</v>
      </c>
      <c r="N15" s="88">
        <f t="shared" si="20"/>
        <v>14000.968000000001</v>
      </c>
      <c r="O15" s="88">
        <f t="shared" si="21"/>
        <v>18584.874</v>
      </c>
      <c r="P15" s="89">
        <f t="shared" si="22"/>
        <v>208752.35150000002</v>
      </c>
      <c r="R15" s="170">
        <f t="shared" si="23"/>
        <v>112.10000000009313</v>
      </c>
      <c r="S15" s="170">
        <f t="shared" si="24"/>
        <v>19.430000000004657</v>
      </c>
      <c r="T15" s="170">
        <f t="shared" si="1"/>
        <v>997</v>
      </c>
      <c r="U15" s="170">
        <f t="shared" si="73"/>
        <v>1.3900000000001456</v>
      </c>
      <c r="V15" s="170">
        <f t="shared" si="25"/>
        <v>827</v>
      </c>
      <c r="W15" s="170">
        <f t="shared" si="2"/>
        <v>74.3</v>
      </c>
      <c r="X15" s="170">
        <f t="shared" si="26"/>
        <v>827</v>
      </c>
      <c r="Y15" s="170">
        <f t="shared" si="27"/>
        <v>2.6</v>
      </c>
      <c r="Z15" s="170">
        <f t="shared" si="3"/>
        <v>142.30000000000001</v>
      </c>
      <c r="AA15" s="501">
        <f t="shared" si="28"/>
        <v>1956.9200000000978</v>
      </c>
      <c r="AB15" s="170">
        <f t="shared" si="29"/>
        <v>35</v>
      </c>
      <c r="AC15" s="170">
        <f t="shared" si="29"/>
        <v>42</v>
      </c>
      <c r="AD15" s="501">
        <f t="shared" si="4"/>
        <v>205</v>
      </c>
      <c r="AE15" s="501">
        <f t="shared" si="30"/>
        <v>128</v>
      </c>
      <c r="AF15" s="170">
        <f t="shared" si="31"/>
        <v>75</v>
      </c>
      <c r="AG15" s="170">
        <f t="shared" si="31"/>
        <v>94.899999999994179</v>
      </c>
      <c r="AH15" s="501">
        <f t="shared" si="5"/>
        <v>224</v>
      </c>
      <c r="AI15" s="501">
        <f t="shared" si="32"/>
        <v>54.100000000005821</v>
      </c>
      <c r="AJ15" s="170">
        <f t="shared" si="33"/>
        <v>177</v>
      </c>
      <c r="AK15" s="170">
        <f t="shared" si="33"/>
        <v>19.5</v>
      </c>
      <c r="AL15" s="501">
        <f t="shared" si="6"/>
        <v>322</v>
      </c>
      <c r="AM15" s="501">
        <f t="shared" si="34"/>
        <v>125.5</v>
      </c>
      <c r="AN15" s="170">
        <f t="shared" si="35"/>
        <v>67.69999999999709</v>
      </c>
      <c r="AO15" s="501">
        <f t="shared" si="7"/>
        <v>19.400000000001455</v>
      </c>
      <c r="AP15" s="170">
        <f t="shared" si="36"/>
        <v>24.599999999991269</v>
      </c>
      <c r="AQ15" s="501">
        <f t="shared" si="8"/>
        <v>32</v>
      </c>
      <c r="AR15" s="170">
        <f t="shared" si="37"/>
        <v>67.896000000000001</v>
      </c>
      <c r="AS15" s="501">
        <f t="shared" si="38"/>
        <v>188.89599999999996</v>
      </c>
      <c r="AT15" s="501">
        <f t="shared" si="39"/>
        <v>855.89599999999996</v>
      </c>
      <c r="AU15" s="170">
        <f t="shared" si="62"/>
        <v>406</v>
      </c>
      <c r="AV15" s="501">
        <f t="shared" si="63"/>
        <v>19</v>
      </c>
      <c r="AW15" s="170">
        <f t="shared" si="64"/>
        <v>261</v>
      </c>
      <c r="AX15" s="501">
        <f t="shared" si="65"/>
        <v>33</v>
      </c>
      <c r="AY15" s="501" t="str">
        <f t="shared" si="65"/>
        <v/>
      </c>
      <c r="AZ15" s="170">
        <f t="shared" si="40"/>
        <v>262</v>
      </c>
      <c r="BA15" s="170">
        <v>145</v>
      </c>
      <c r="BB15" s="170">
        <f t="shared" si="41"/>
        <v>178.70000000001164</v>
      </c>
      <c r="BC15" s="170">
        <f t="shared" si="41"/>
        <v>309.80000000004657</v>
      </c>
      <c r="BD15" s="170">
        <f t="shared" si="42"/>
        <v>142</v>
      </c>
      <c r="BE15" s="90"/>
      <c r="BF15" s="90"/>
      <c r="BG15" s="501">
        <f t="shared" si="43"/>
        <v>892.50000000005821</v>
      </c>
      <c r="BH15" s="501">
        <f t="shared" si="44"/>
        <v>2328</v>
      </c>
      <c r="BI15" s="90">
        <f>IF(FC15=0,"",(FC15-BJ15))</f>
        <v>-2132.7160000001577</v>
      </c>
      <c r="BJ15" s="90">
        <f t="shared" si="45"/>
        <v>4559.7160000001577</v>
      </c>
      <c r="BK15" s="92"/>
      <c r="BL15" s="93">
        <f t="shared" si="66"/>
        <v>4755</v>
      </c>
      <c r="BM15" s="93">
        <f t="shared" si="46"/>
        <v>62774.319999999992</v>
      </c>
      <c r="BN15" s="92"/>
      <c r="BO15" s="94">
        <f t="shared" si="47"/>
        <v>8.0065892586921941E-2</v>
      </c>
      <c r="BP15" s="94">
        <f t="shared" si="47"/>
        <v>1.38776118908383E-2</v>
      </c>
      <c r="BQ15" s="94">
        <f t="shared" si="48"/>
        <v>0.712093620955351</v>
      </c>
      <c r="BR15" s="94">
        <f t="shared" si="67"/>
        <v>0.59067344486466933</v>
      </c>
      <c r="BS15" s="94">
        <f t="shared" si="10"/>
        <v>1.8570144578574851E-3</v>
      </c>
      <c r="BT15" s="94">
        <f t="shared" si="10"/>
        <v>0.10163582975120006</v>
      </c>
      <c r="BU15" s="95">
        <f t="shared" si="10"/>
        <v>1.3977033587964045</v>
      </c>
      <c r="BV15" s="94">
        <f t="shared" si="11"/>
        <v>6.0317869252217222E-2</v>
      </c>
      <c r="BW15" s="94">
        <f t="shared" si="11"/>
        <v>1.0454738622389721E-2</v>
      </c>
      <c r="BX15" s="94">
        <f t="shared" si="11"/>
        <v>0.53645776667627665</v>
      </c>
      <c r="BY15" s="94">
        <f t="shared" si="49"/>
        <v>0.44498552963017129</v>
      </c>
      <c r="BZ15" s="95">
        <f t="shared" si="12"/>
        <v>1.0529638242369024</v>
      </c>
      <c r="CA15" s="96" t="e">
        <f>#REF!</f>
        <v>#REF!</v>
      </c>
      <c r="CB15" s="94">
        <f t="shared" si="50"/>
        <v>3.6532935332249231E-2</v>
      </c>
      <c r="CC15" s="95">
        <f t="shared" si="50"/>
        <v>0.10163964522977124</v>
      </c>
      <c r="CD15" s="97">
        <f t="shared" si="13"/>
        <v>8.4633322912475273E-2</v>
      </c>
      <c r="CE15" s="98">
        <f t="shared" si="13"/>
        <v>0.23546153182624788</v>
      </c>
      <c r="CF15" s="97" t="str">
        <f t="shared" si="51"/>
        <v>0,00</v>
      </c>
      <c r="CG15" s="94" t="str">
        <f t="shared" si="51"/>
        <v>0,00</v>
      </c>
      <c r="CH15" s="95" t="str">
        <f t="shared" si="52"/>
        <v xml:space="preserve">0,00 </v>
      </c>
      <c r="CI15" s="96" t="e">
        <f>#REF!</f>
        <v>#REF!</v>
      </c>
      <c r="CJ15" s="94">
        <f t="shared" si="53"/>
        <v>0.15011048131424728</v>
      </c>
      <c r="CK15" s="94">
        <f t="shared" si="53"/>
        <v>0.18993979568961594</v>
      </c>
      <c r="CL15" s="95">
        <f t="shared" si="68"/>
        <v>0.44832997085855192</v>
      </c>
      <c r="CM15" s="95" t="e">
        <f>#REF!</f>
        <v>#REF!</v>
      </c>
      <c r="CN15" s="94">
        <f t="shared" si="54"/>
        <v>0.78535982791301928</v>
      </c>
      <c r="CO15" s="94">
        <f t="shared" si="54"/>
        <v>8.6522692905671633E-2</v>
      </c>
      <c r="CP15" s="95">
        <f t="shared" si="55"/>
        <v>1.4287336982372443</v>
      </c>
      <c r="CQ15" s="95" t="e">
        <f>#REF!</f>
        <v>#REF!</v>
      </c>
      <c r="CR15" s="97">
        <f t="shared" si="69"/>
        <v>0.45828707589827711</v>
      </c>
      <c r="CS15" s="95">
        <f t="shared" si="69"/>
        <v>0.13132598629878323</v>
      </c>
      <c r="CT15" s="96" t="e">
        <f>#REF!</f>
        <v>#REF!</v>
      </c>
      <c r="CU15" s="97">
        <f t="shared" si="70"/>
        <v>4.6646885353316535E-2</v>
      </c>
      <c r="CV15" s="95">
        <f t="shared" si="56"/>
        <v>6.0678875256368253E-2</v>
      </c>
      <c r="CW15" s="96" t="e">
        <f>#REF!</f>
        <v>#REF!</v>
      </c>
      <c r="CX15" s="97">
        <f t="shared" si="57"/>
        <v>0.21845722494540451</v>
      </c>
      <c r="CY15" s="98">
        <f t="shared" si="57"/>
        <v>1.0223367669858832E-2</v>
      </c>
      <c r="CZ15" s="97">
        <f t="shared" si="57"/>
        <v>0.14043678746490293</v>
      </c>
      <c r="DA15" s="98">
        <f t="shared" si="57"/>
        <v>1.7756375426596919E-2</v>
      </c>
      <c r="DB15" s="94">
        <f t="shared" si="14"/>
        <v>0.14097485944752708</v>
      </c>
      <c r="DC15" s="94">
        <f t="shared" si="15"/>
        <v>9.6153463294941705E-2</v>
      </c>
      <c r="DD15" s="94">
        <f t="shared" si="15"/>
        <v>0.16669470021698646</v>
      </c>
      <c r="DE15" s="94">
        <f t="shared" si="15"/>
        <v>7.6406221532629173E-2</v>
      </c>
      <c r="DF15" s="94">
        <f t="shared" si="15"/>
        <v>0</v>
      </c>
      <c r="DG15" s="94">
        <f t="shared" si="15"/>
        <v>0</v>
      </c>
      <c r="DH15" s="95">
        <f t="shared" si="15"/>
        <v>0.48022924449208437</v>
      </c>
      <c r="DI15" s="96" t="e">
        <f>#REF!</f>
        <v>#REF!</v>
      </c>
      <c r="DJ15" s="95">
        <f t="shared" si="58"/>
        <v>1.2526315755490192</v>
      </c>
      <c r="DK15" s="96" t="e">
        <f>#REF!</f>
        <v>#REF!</v>
      </c>
      <c r="DL15" s="95">
        <f t="shared" si="59"/>
        <v>-1.1475547264943295</v>
      </c>
      <c r="DM15" s="96">
        <f t="shared" si="16"/>
        <v>0</v>
      </c>
      <c r="DN15" s="94">
        <f t="shared" si="17"/>
        <v>2.4534554283231396</v>
      </c>
      <c r="DO15" s="100">
        <v>3.4</v>
      </c>
      <c r="DP15" s="94">
        <f t="shared" si="71"/>
        <v>2.5585322773778292</v>
      </c>
      <c r="DQ15" s="94">
        <f t="shared" si="72"/>
        <v>3.0071191796850245</v>
      </c>
      <c r="DR15" s="101">
        <f t="shared" si="18"/>
        <v>3.13</v>
      </c>
      <c r="DS15" s="147"/>
      <c r="DT15" s="134">
        <v>10</v>
      </c>
      <c r="DU15" s="135">
        <v>637612</v>
      </c>
      <c r="DV15" s="135">
        <v>29996</v>
      </c>
      <c r="DW15" s="355">
        <v>5155451</v>
      </c>
      <c r="DX15" s="104">
        <v>122740</v>
      </c>
      <c r="DY15" s="104">
        <v>87635.7</v>
      </c>
      <c r="DZ15" s="104">
        <v>406778</v>
      </c>
      <c r="EA15" s="104">
        <v>243393</v>
      </c>
      <c r="EB15" s="104">
        <v>56294.5</v>
      </c>
      <c r="EC15" s="104">
        <v>424586</v>
      </c>
      <c r="ED15" s="183">
        <v>48624.1</v>
      </c>
      <c r="EE15" s="104">
        <v>41226.6</v>
      </c>
      <c r="EF15" s="136">
        <v>43533.8</v>
      </c>
      <c r="EG15" s="135">
        <v>95358.9</v>
      </c>
      <c r="EH15" s="355">
        <v>187852.7</v>
      </c>
      <c r="EI15" s="355">
        <v>34972</v>
      </c>
      <c r="EJ15" s="104">
        <v>43487</v>
      </c>
      <c r="EK15" s="104"/>
      <c r="EL15" s="355">
        <v>722054.8</v>
      </c>
      <c r="EM15" s="104">
        <v>9970</v>
      </c>
      <c r="EN15" s="104">
        <v>48156.5</v>
      </c>
      <c r="EO15" s="355">
        <v>3132234.6</v>
      </c>
      <c r="EP15" s="303">
        <v>2840786</v>
      </c>
      <c r="EQ15" s="104">
        <v>26</v>
      </c>
      <c r="ER15" s="104">
        <v>1423</v>
      </c>
      <c r="ES15" s="105">
        <v>424507</v>
      </c>
      <c r="ET15" s="104">
        <v>8579340</v>
      </c>
      <c r="EU15" s="136">
        <v>161169</v>
      </c>
      <c r="EV15" s="136">
        <v>463613</v>
      </c>
      <c r="EW15" s="104">
        <v>140476</v>
      </c>
      <c r="EX15" s="355">
        <v>222263.5</v>
      </c>
      <c r="EY15" s="355">
        <v>1718516.6</v>
      </c>
      <c r="EZ15" s="385">
        <v>831758</v>
      </c>
      <c r="FA15" s="386">
        <v>768459</v>
      </c>
      <c r="FB15" s="387">
        <v>32824.800000000003</v>
      </c>
      <c r="FC15" s="452">
        <v>2427</v>
      </c>
      <c r="FD15" s="77">
        <f t="shared" si="75"/>
        <v>4570</v>
      </c>
      <c r="FE15" s="129">
        <v>750</v>
      </c>
      <c r="FF15" s="136">
        <v>0</v>
      </c>
      <c r="FG15" s="105">
        <f t="shared" si="74"/>
        <v>917</v>
      </c>
      <c r="FH15" s="136">
        <v>1176</v>
      </c>
      <c r="FI15" s="136">
        <v>532</v>
      </c>
      <c r="FJ15" s="105">
        <f t="shared" si="19"/>
        <v>0</v>
      </c>
      <c r="FK15" s="136">
        <v>0</v>
      </c>
      <c r="FL15" s="136">
        <v>832</v>
      </c>
      <c r="FM15" s="136">
        <v>363</v>
      </c>
      <c r="FN15" s="80">
        <v>185</v>
      </c>
      <c r="FO15" s="303">
        <v>1130631</v>
      </c>
      <c r="FP15" s="484" t="s">
        <v>310</v>
      </c>
      <c r="FY15" s="119">
        <v>10</v>
      </c>
      <c r="FZ15" s="107"/>
      <c r="GA15" s="107"/>
      <c r="GB15" s="108"/>
      <c r="GC15" s="109"/>
      <c r="GD15" s="110"/>
      <c r="GE15" s="110"/>
      <c r="GF15" s="111"/>
      <c r="GG15" s="111"/>
      <c r="GH15" s="111"/>
      <c r="GI15" s="112"/>
      <c r="GJ15" s="111" t="e">
        <f t="shared" si="60"/>
        <v>#DIV/0!</v>
      </c>
      <c r="GK15" s="113"/>
    </row>
    <row r="16" spans="1:194" s="454" customFormat="1" ht="15" customHeight="1">
      <c r="A16" s="454">
        <v>0</v>
      </c>
      <c r="B16" s="351">
        <v>43019</v>
      </c>
      <c r="D16" s="128">
        <v>5909.28</v>
      </c>
      <c r="E16" s="128">
        <v>689.28</v>
      </c>
      <c r="F16" s="128">
        <v>2830.4639999999999</v>
      </c>
      <c r="G16" s="86">
        <v>0</v>
      </c>
      <c r="H16" s="86">
        <v>8175.8159999999998</v>
      </c>
      <c r="I16" s="86">
        <v>2004.2809999999999</v>
      </c>
      <c r="J16" s="86">
        <v>5554.08</v>
      </c>
      <c r="K16" s="86">
        <v>7.8239999999999998</v>
      </c>
      <c r="L16" s="86">
        <v>0</v>
      </c>
      <c r="M16" s="115">
        <f t="shared" si="61"/>
        <v>7558.3609999999999</v>
      </c>
      <c r="N16" s="88">
        <f t="shared" si="20"/>
        <v>17604.84</v>
      </c>
      <c r="O16" s="88">
        <f>(N16+L16+((J16+I16)*0.5))</f>
        <v>21384.020499999999</v>
      </c>
      <c r="P16" s="89">
        <f t="shared" si="22"/>
        <v>230136.37200000003</v>
      </c>
      <c r="Q16" s="152"/>
      <c r="R16" s="170">
        <f t="shared" si="23"/>
        <v>331.39999999990687</v>
      </c>
      <c r="S16" s="170">
        <f t="shared" si="24"/>
        <v>0</v>
      </c>
      <c r="T16" s="170">
        <f t="shared" si="1"/>
        <v>575.9</v>
      </c>
      <c r="U16" s="170">
        <f t="shared" si="73"/>
        <v>5.55</v>
      </c>
      <c r="V16" s="170">
        <f t="shared" si="25"/>
        <v>972.6999999997206</v>
      </c>
      <c r="W16" s="170">
        <f t="shared" si="2"/>
        <v>86.3</v>
      </c>
      <c r="X16" s="170">
        <f t="shared" si="26"/>
        <v>972.6999999997206</v>
      </c>
      <c r="Y16" s="170">
        <f t="shared" si="27"/>
        <v>105.1</v>
      </c>
      <c r="Z16" s="170">
        <f t="shared" si="3"/>
        <v>127.6</v>
      </c>
      <c r="AA16" s="501">
        <f t="shared" si="28"/>
        <v>1885.5499999996273</v>
      </c>
      <c r="AB16" s="170">
        <f t="shared" si="29"/>
        <v>0</v>
      </c>
      <c r="AC16" s="170">
        <f t="shared" si="29"/>
        <v>0</v>
      </c>
      <c r="AD16" s="501">
        <f t="shared" si="4"/>
        <v>178</v>
      </c>
      <c r="AE16" s="501">
        <f t="shared" si="30"/>
        <v>178</v>
      </c>
      <c r="AF16" s="170">
        <f t="shared" si="31"/>
        <v>39</v>
      </c>
      <c r="AG16" s="170">
        <f t="shared" si="31"/>
        <v>96.900000000008731</v>
      </c>
      <c r="AH16" s="501">
        <f t="shared" si="5"/>
        <v>278</v>
      </c>
      <c r="AI16" s="501">
        <f t="shared" si="32"/>
        <v>142.09999999999127</v>
      </c>
      <c r="AJ16" s="170">
        <f t="shared" si="33"/>
        <v>281</v>
      </c>
      <c r="AK16" s="170">
        <f t="shared" si="33"/>
        <v>8.3000000000029104</v>
      </c>
      <c r="AL16" s="501">
        <f t="shared" si="6"/>
        <v>414</v>
      </c>
      <c r="AM16" s="501">
        <f t="shared" si="34"/>
        <v>124.69999999999709</v>
      </c>
      <c r="AN16" s="170">
        <f t="shared" si="35"/>
        <v>26</v>
      </c>
      <c r="AO16" s="501">
        <f t="shared" si="7"/>
        <v>8</v>
      </c>
      <c r="AP16" s="170">
        <f t="shared" si="36"/>
        <v>26.80000000000291</v>
      </c>
      <c r="AQ16" s="501">
        <f t="shared" si="8"/>
        <v>44.399999999994179</v>
      </c>
      <c r="AR16" s="170">
        <f t="shared" si="37"/>
        <v>94.597999999999999</v>
      </c>
      <c r="AS16" s="501">
        <f t="shared" si="38"/>
        <v>103.59799999999996</v>
      </c>
      <c r="AT16" s="501">
        <f t="shared" si="39"/>
        <v>825.59799999999996</v>
      </c>
      <c r="AU16" s="170">
        <f t="shared" si="62"/>
        <v>460</v>
      </c>
      <c r="AV16" s="501">
        <f t="shared" si="63"/>
        <v>41</v>
      </c>
      <c r="AW16" s="170">
        <f t="shared" si="64"/>
        <v>262</v>
      </c>
      <c r="AX16" s="501">
        <f t="shared" si="65"/>
        <v>20</v>
      </c>
      <c r="AY16" s="501" t="str">
        <f t="shared" si="65"/>
        <v/>
      </c>
      <c r="AZ16" s="170">
        <f t="shared" si="40"/>
        <v>536</v>
      </c>
      <c r="BA16" s="170">
        <v>0</v>
      </c>
      <c r="BB16" s="170">
        <f t="shared" si="41"/>
        <v>159.10000000000582</v>
      </c>
      <c r="BC16" s="170">
        <f t="shared" si="41"/>
        <v>1068</v>
      </c>
      <c r="BD16" s="170">
        <f t="shared" si="42"/>
        <v>275</v>
      </c>
      <c r="BE16" s="90"/>
      <c r="BF16" s="90"/>
      <c r="BG16" s="501">
        <f t="shared" si="43"/>
        <v>2038.1000000000058</v>
      </c>
      <c r="BH16" s="501">
        <f t="shared" si="44"/>
        <v>412</v>
      </c>
      <c r="BI16" s="90">
        <f>IF(FC16=0,"",(FC16-BJ16))</f>
        <v>-121.64799999962725</v>
      </c>
      <c r="BJ16" s="90">
        <f>IF(BH16=0,"",(AA16+AD16+AO16+BG16+AH16+AL16+AQ16+AT16+AX16+AV16))</f>
        <v>5732.6479999996272</v>
      </c>
      <c r="BK16" s="92"/>
      <c r="BL16" s="93">
        <f t="shared" si="66"/>
        <v>6023</v>
      </c>
      <c r="BM16" s="93">
        <f t="shared" si="46"/>
        <v>68797.319999999992</v>
      </c>
      <c r="BN16" s="92"/>
      <c r="BO16" s="94">
        <f t="shared" si="47"/>
        <v>0.1882436875313305</v>
      </c>
      <c r="BP16" s="94">
        <f t="shared" si="47"/>
        <v>0</v>
      </c>
      <c r="BQ16" s="94">
        <f t="shared" si="48"/>
        <v>0.327125949454809</v>
      </c>
      <c r="BR16" s="94">
        <f t="shared" si="67"/>
        <v>0.5525185119545083</v>
      </c>
      <c r="BS16" s="94">
        <f t="shared" si="10"/>
        <v>5.9699491730683153E-2</v>
      </c>
      <c r="BT16" s="94">
        <f t="shared" si="10"/>
        <v>7.248006798130513E-2</v>
      </c>
      <c r="BU16" s="95">
        <f t="shared" si="10"/>
        <v>1.0710406910824679</v>
      </c>
      <c r="BV16" s="94">
        <f t="shared" si="11"/>
        <v>0.15497553418446586</v>
      </c>
      <c r="BW16" s="94">
        <f t="shared" si="11"/>
        <v>0</v>
      </c>
      <c r="BX16" s="94">
        <f t="shared" si="11"/>
        <v>0.2693132472445956</v>
      </c>
      <c r="BY16" s="94">
        <f t="shared" si="49"/>
        <v>0.45487236602664155</v>
      </c>
      <c r="BZ16" s="95">
        <f t="shared" si="12"/>
        <v>0.88175654339633058</v>
      </c>
      <c r="CA16" s="96" t="e">
        <f>#REF!</f>
        <v>#REF!</v>
      </c>
      <c r="CB16" s="94">
        <f t="shared" si="50"/>
        <v>4.4237705439910138E-2</v>
      </c>
      <c r="CC16" s="95">
        <f t="shared" si="50"/>
        <v>4.8446455613901027E-2</v>
      </c>
      <c r="CD16" s="97">
        <f t="shared" si="13"/>
        <v>0.12515676348351185</v>
      </c>
      <c r="CE16" s="98">
        <f t="shared" si="13"/>
        <v>0.13706410688772336</v>
      </c>
      <c r="CF16" s="97">
        <f t="shared" si="51"/>
        <v>0</v>
      </c>
      <c r="CG16" s="94">
        <f t="shared" si="51"/>
        <v>0</v>
      </c>
      <c r="CH16" s="95">
        <f t="shared" si="52"/>
        <v>0.30122113015460428</v>
      </c>
      <c r="CI16" s="96" t="e">
        <f>#REF!</f>
        <v>#REF!</v>
      </c>
      <c r="CJ16" s="94">
        <f t="shared" si="53"/>
        <v>0.56580779944289694</v>
      </c>
      <c r="CK16" s="94">
        <f t="shared" si="53"/>
        <v>1.4058147632313245</v>
      </c>
      <c r="CL16" s="95">
        <f t="shared" si="68"/>
        <v>4.0331940575673171</v>
      </c>
      <c r="CM16" s="95" t="e">
        <f>#REF!</f>
        <v>#REF!</v>
      </c>
      <c r="CN16" s="94">
        <f t="shared" si="54"/>
        <v>0.9927700899923122</v>
      </c>
      <c r="CO16" s="94">
        <f t="shared" si="54"/>
        <v>2.9323814046046552E-2</v>
      </c>
      <c r="CP16" s="95">
        <f t="shared" si="55"/>
        <v>1.4626577126577125</v>
      </c>
      <c r="CQ16" s="95" t="e">
        <f>#REF!</f>
        <v>#REF!</v>
      </c>
      <c r="CR16" s="97" t="str">
        <f t="shared" si="69"/>
        <v xml:space="preserve">0,00 </v>
      </c>
      <c r="CS16" s="95" t="str">
        <f t="shared" si="69"/>
        <v xml:space="preserve">0,00 </v>
      </c>
      <c r="CT16" s="96" t="e">
        <f>#REF!</f>
        <v>#REF!</v>
      </c>
      <c r="CU16" s="97">
        <f t="shared" si="70"/>
        <v>3.2779602672079348E-2</v>
      </c>
      <c r="CV16" s="95">
        <f t="shared" si="56"/>
        <v>5.4306505919402032E-2</v>
      </c>
      <c r="CW16" s="96" t="e">
        <f>#REF!</f>
        <v>#REF!</v>
      </c>
      <c r="CX16" s="97">
        <f t="shared" si="57"/>
        <v>0.21511389778175721</v>
      </c>
      <c r="CY16" s="98">
        <f t="shared" si="57"/>
        <v>1.9173195237069663E-2</v>
      </c>
      <c r="CZ16" s="97">
        <f t="shared" si="57"/>
        <v>0.12252139395395736</v>
      </c>
      <c r="DA16" s="98">
        <f t="shared" si="57"/>
        <v>9.3527781644242251E-3</v>
      </c>
      <c r="DB16" s="94">
        <f t="shared" si="14"/>
        <v>0.25065445480656928</v>
      </c>
      <c r="DC16" s="94">
        <f t="shared" si="15"/>
        <v>7.4401350297997437E-2</v>
      </c>
      <c r="DD16" s="94">
        <f t="shared" si="15"/>
        <v>0.4994383539802536</v>
      </c>
      <c r="DE16" s="94">
        <f t="shared" si="15"/>
        <v>0.1286006997608331</v>
      </c>
      <c r="DF16" s="94">
        <f t="shared" si="15"/>
        <v>0</v>
      </c>
      <c r="DG16" s="94">
        <f t="shared" si="15"/>
        <v>0</v>
      </c>
      <c r="DH16" s="95">
        <f t="shared" si="15"/>
        <v>0.95309485884565337</v>
      </c>
      <c r="DI16" s="96" t="e">
        <f>#REF!</f>
        <v>#REF!</v>
      </c>
      <c r="DJ16" s="95">
        <f t="shared" si="58"/>
        <v>0.19266723018713905</v>
      </c>
      <c r="DK16" s="96" t="e">
        <f>#REF!</f>
        <v>#REF!</v>
      </c>
      <c r="DL16" s="95">
        <f t="shared" si="59"/>
        <v>-5.6887337907119598E-2</v>
      </c>
      <c r="DM16" s="96">
        <f t="shared" si="16"/>
        <v>0</v>
      </c>
      <c r="DN16" s="94">
        <f t="shared" si="17"/>
        <v>2.6808092519363362</v>
      </c>
      <c r="DO16" s="100">
        <v>3.4</v>
      </c>
      <c r="DP16" s="94">
        <f>IF($O16&lt;&gt;0,IF($O16&lt;&gt;0,BL16/$O16*10,0)," ")</f>
        <v>2.8165891442163553</v>
      </c>
      <c r="DQ16" s="94">
        <f>IF($P16&lt;&gt;0,IF($P16&lt;&gt;0,BM16/$P16*10,0)," ")</f>
        <v>2.9894153367465086</v>
      </c>
      <c r="DR16" s="101"/>
      <c r="DS16" s="153"/>
      <c r="DT16" s="142">
        <v>11</v>
      </c>
      <c r="DU16" s="135">
        <v>637612</v>
      </c>
      <c r="DV16" s="135">
        <v>29996</v>
      </c>
      <c r="DW16" s="330">
        <v>5155629</v>
      </c>
      <c r="DX16" s="330">
        <v>122779</v>
      </c>
      <c r="DY16" s="330">
        <v>87732.6</v>
      </c>
      <c r="DZ16" s="330">
        <v>407017</v>
      </c>
      <c r="EA16" s="330">
        <v>243674</v>
      </c>
      <c r="EB16" s="330">
        <v>56302.8</v>
      </c>
      <c r="EC16" s="330">
        <v>424719</v>
      </c>
      <c r="ED16" s="183">
        <v>48650.1</v>
      </c>
      <c r="EE16" s="330">
        <v>41234.6</v>
      </c>
      <c r="EF16" s="330">
        <v>43533.8</v>
      </c>
      <c r="EG16" s="135">
        <v>95385.7</v>
      </c>
      <c r="EH16" s="330">
        <v>187897.1</v>
      </c>
      <c r="EI16" s="330">
        <v>35013</v>
      </c>
      <c r="EJ16" s="330">
        <v>43507</v>
      </c>
      <c r="EK16" s="330"/>
      <c r="EL16" s="330">
        <v>722386.2</v>
      </c>
      <c r="EM16" s="330">
        <v>5759</v>
      </c>
      <c r="EN16" s="330">
        <v>48212</v>
      </c>
      <c r="EO16" s="330">
        <v>3133207.3</v>
      </c>
      <c r="EP16" s="303">
        <v>2841649</v>
      </c>
      <c r="EQ16" s="330">
        <v>1051</v>
      </c>
      <c r="ER16" s="330">
        <v>1276</v>
      </c>
      <c r="ES16" s="330">
        <v>425238</v>
      </c>
      <c r="ET16" s="105">
        <v>8673938</v>
      </c>
      <c r="EU16" s="136">
        <v>161431</v>
      </c>
      <c r="EV16" s="136">
        <v>464073</v>
      </c>
      <c r="EW16" s="330">
        <v>141012</v>
      </c>
      <c r="EX16" s="330">
        <v>222422.6</v>
      </c>
      <c r="EY16" s="330">
        <v>1719584.6</v>
      </c>
      <c r="EZ16" s="330">
        <v>831758</v>
      </c>
      <c r="FA16" s="385">
        <v>768734</v>
      </c>
      <c r="FB16" s="387">
        <v>32825</v>
      </c>
      <c r="FC16" s="378">
        <v>5611</v>
      </c>
      <c r="FD16" s="77">
        <f t="shared" si="75"/>
        <v>5473</v>
      </c>
      <c r="FE16" s="129">
        <v>892</v>
      </c>
      <c r="FF16" s="136">
        <v>0</v>
      </c>
      <c r="FG16" s="105">
        <f t="shared" si="74"/>
        <v>1246</v>
      </c>
      <c r="FH16" s="136">
        <v>1502</v>
      </c>
      <c r="FI16" s="136">
        <v>606</v>
      </c>
      <c r="FJ16" s="105">
        <f t="shared" si="19"/>
        <v>0</v>
      </c>
      <c r="FK16" s="136">
        <v>0</v>
      </c>
      <c r="FL16" s="136">
        <v>828</v>
      </c>
      <c r="FM16" s="136">
        <v>399</v>
      </c>
      <c r="FN16" s="80">
        <v>550</v>
      </c>
      <c r="FO16" s="303"/>
      <c r="FP16" s="484"/>
      <c r="FY16" s="454">
        <v>11</v>
      </c>
      <c r="FZ16" s="107"/>
      <c r="GA16" s="107"/>
      <c r="GB16" s="107"/>
      <c r="GC16" s="109"/>
      <c r="GD16" s="110"/>
      <c r="GE16" s="110"/>
      <c r="GF16" s="111"/>
      <c r="GG16" s="111"/>
      <c r="GH16" s="111"/>
      <c r="GI16" s="112"/>
      <c r="GJ16" s="111" t="e">
        <f t="shared" si="60"/>
        <v>#DIV/0!</v>
      </c>
      <c r="GK16" s="113"/>
    </row>
    <row r="17" spans="1:193" s="119" customFormat="1" ht="15" customHeight="1">
      <c r="A17" s="119" t="s">
        <v>126</v>
      </c>
      <c r="B17" s="351">
        <v>43020</v>
      </c>
      <c r="D17" s="154">
        <v>0</v>
      </c>
      <c r="E17" s="128">
        <v>3805.92</v>
      </c>
      <c r="F17" s="86">
        <v>508.03199999999998</v>
      </c>
      <c r="G17" s="86">
        <v>3293.2779999999998</v>
      </c>
      <c r="H17" s="86">
        <v>3897.37</v>
      </c>
      <c r="I17" s="86">
        <v>1810.1489999999999</v>
      </c>
      <c r="J17" s="86">
        <v>2835.2400000000002</v>
      </c>
      <c r="K17" s="86">
        <v>0</v>
      </c>
      <c r="L17" s="86">
        <v>0</v>
      </c>
      <c r="M17" s="115">
        <f t="shared" si="61"/>
        <v>4645.3890000000001</v>
      </c>
      <c r="N17" s="88">
        <f t="shared" si="20"/>
        <v>11504.599999999999</v>
      </c>
      <c r="O17" s="88">
        <f>(N17+L17+((J17+I17)*0.5))-84</f>
        <v>13743.294499999998</v>
      </c>
      <c r="P17" s="89">
        <f t="shared" si="22"/>
        <v>243879.66650000002</v>
      </c>
      <c r="Q17" s="155"/>
      <c r="R17" s="170">
        <f t="shared" si="23"/>
        <v>287.90000000002328</v>
      </c>
      <c r="S17" s="170">
        <f t="shared" si="24"/>
        <v>29.340000000002327</v>
      </c>
      <c r="T17" s="170">
        <f t="shared" si="1"/>
        <v>356.7</v>
      </c>
      <c r="U17" s="170">
        <f t="shared" si="73"/>
        <v>5.0099999999998541</v>
      </c>
      <c r="V17" s="170">
        <f t="shared" si="25"/>
        <v>862.20000000018626</v>
      </c>
      <c r="W17" s="170">
        <f t="shared" si="2"/>
        <v>76.7</v>
      </c>
      <c r="X17" s="170">
        <f t="shared" si="26"/>
        <v>862.20000000018626</v>
      </c>
      <c r="Y17" s="170" t="str">
        <f t="shared" si="27"/>
        <v>0</v>
      </c>
      <c r="Z17" s="170">
        <f t="shared" si="3"/>
        <v>133.1</v>
      </c>
      <c r="AA17" s="501">
        <f t="shared" si="28"/>
        <v>1541.1500000002115</v>
      </c>
      <c r="AB17" s="170">
        <f t="shared" si="29"/>
        <v>0</v>
      </c>
      <c r="AC17" s="170">
        <f t="shared" si="29"/>
        <v>0</v>
      </c>
      <c r="AD17" s="501">
        <f t="shared" si="4"/>
        <v>19</v>
      </c>
      <c r="AE17" s="501">
        <f t="shared" si="30"/>
        <v>19</v>
      </c>
      <c r="AF17" s="170">
        <f t="shared" si="31"/>
        <v>103</v>
      </c>
      <c r="AG17" s="170">
        <f t="shared" si="31"/>
        <v>112.19999999999709</v>
      </c>
      <c r="AH17" s="501">
        <f t="shared" si="5"/>
        <v>238</v>
      </c>
      <c r="AI17" s="501">
        <f t="shared" si="32"/>
        <v>22.80000000000291</v>
      </c>
      <c r="AJ17" s="170">
        <f t="shared" si="33"/>
        <v>89</v>
      </c>
      <c r="AK17" s="170">
        <f t="shared" si="33"/>
        <v>45.799999999995634</v>
      </c>
      <c r="AL17" s="501">
        <f t="shared" si="6"/>
        <v>319</v>
      </c>
      <c r="AM17" s="501">
        <f t="shared" si="34"/>
        <v>184.20000000000437</v>
      </c>
      <c r="AN17" s="170">
        <f t="shared" si="35"/>
        <v>0</v>
      </c>
      <c r="AO17" s="501">
        <f t="shared" si="7"/>
        <v>27.19999999999709</v>
      </c>
      <c r="AP17" s="170">
        <f t="shared" si="36"/>
        <v>22.30000000000291</v>
      </c>
      <c r="AQ17" s="501">
        <f t="shared" si="8"/>
        <v>55.399999999994179</v>
      </c>
      <c r="AR17" s="170">
        <f t="shared" si="37"/>
        <v>86.86</v>
      </c>
      <c r="AS17" s="501">
        <f t="shared" si="38"/>
        <v>156.86000000000001</v>
      </c>
      <c r="AT17" s="501">
        <f t="shared" si="39"/>
        <v>798.86</v>
      </c>
      <c r="AU17" s="170">
        <f t="shared" si="62"/>
        <v>426</v>
      </c>
      <c r="AV17" s="501">
        <f t="shared" si="63"/>
        <v>40</v>
      </c>
      <c r="AW17" s="170">
        <f t="shared" si="64"/>
        <v>216</v>
      </c>
      <c r="AX17" s="501">
        <f t="shared" si="65"/>
        <v>29</v>
      </c>
      <c r="AY17" s="501" t="str">
        <f t="shared" si="65"/>
        <v/>
      </c>
      <c r="AZ17" s="170">
        <f t="shared" si="40"/>
        <v>346</v>
      </c>
      <c r="BA17" s="170">
        <v>102</v>
      </c>
      <c r="BB17" s="170">
        <f t="shared" si="41"/>
        <v>141.39999999999418</v>
      </c>
      <c r="BC17" s="170">
        <f t="shared" si="41"/>
        <v>956.39999999990687</v>
      </c>
      <c r="BD17" s="170">
        <f t="shared" si="42"/>
        <v>281</v>
      </c>
      <c r="BE17" s="90"/>
      <c r="BF17" s="90"/>
      <c r="BG17" s="501">
        <f t="shared" si="43"/>
        <v>1724.799999999901</v>
      </c>
      <c r="BH17" s="501">
        <f t="shared" si="44"/>
        <v>3147</v>
      </c>
      <c r="BI17" s="90">
        <f t="shared" si="9"/>
        <v>-1786.4100000001035</v>
      </c>
      <c r="BJ17" s="90">
        <f t="shared" si="45"/>
        <v>4792.4100000001035</v>
      </c>
      <c r="BK17" s="92"/>
      <c r="BL17" s="93">
        <f t="shared" si="66"/>
        <v>6153</v>
      </c>
      <c r="BM17" s="93">
        <f t="shared" si="46"/>
        <v>74950.319999999992</v>
      </c>
      <c r="BN17" s="92"/>
      <c r="BO17" s="94">
        <f t="shared" si="47"/>
        <v>0.25024772699617831</v>
      </c>
      <c r="BP17" s="94">
        <f t="shared" si="47"/>
        <v>2.5502842341326368E-2</v>
      </c>
      <c r="BQ17" s="94">
        <f t="shared" si="48"/>
        <v>0.31004989308624381</v>
      </c>
      <c r="BR17" s="94">
        <f t="shared" si="67"/>
        <v>0.74943935469306755</v>
      </c>
      <c r="BS17" s="94">
        <f t="shared" si="10"/>
        <v>0</v>
      </c>
      <c r="BT17" s="94">
        <f t="shared" si="10"/>
        <v>0.11569285329346522</v>
      </c>
      <c r="BU17" s="95">
        <f t="shared" si="10"/>
        <v>1.3395945969440151</v>
      </c>
      <c r="BV17" s="94">
        <f t="shared" si="11"/>
        <v>0.20948397780461106</v>
      </c>
      <c r="BW17" s="94">
        <f t="shared" si="11"/>
        <v>2.1348592944728306E-2</v>
      </c>
      <c r="BX17" s="94">
        <f t="shared" si="11"/>
        <v>0.2595447547165638</v>
      </c>
      <c r="BY17" s="94">
        <f t="shared" si="49"/>
        <v>0.62736049205682554</v>
      </c>
      <c r="BZ17" s="95">
        <f t="shared" si="12"/>
        <v>1.1213832316554169</v>
      </c>
      <c r="CA17" s="96" t="e">
        <f>#REF!</f>
        <v>#REF!</v>
      </c>
      <c r="CB17" s="94">
        <f t="shared" si="50"/>
        <v>6.3201730851361743E-2</v>
      </c>
      <c r="CC17" s="95">
        <f t="shared" si="50"/>
        <v>0.11413566084900532</v>
      </c>
      <c r="CD17" s="97">
        <f t="shared" si="13"/>
        <v>0.18698111180785937</v>
      </c>
      <c r="CE17" s="98">
        <f t="shared" si="13"/>
        <v>0.33766816944716582</v>
      </c>
      <c r="CF17" s="97" t="str">
        <f>IF($D17&lt;&gt;0,IF($D17&lt;&gt;0,AB17/$D17*10,0),"0,00")</f>
        <v>0,00</v>
      </c>
      <c r="CG17" s="94" t="str">
        <f t="shared" si="51"/>
        <v>0,00</v>
      </c>
      <c r="CH17" s="95" t="str">
        <f t="shared" si="52"/>
        <v xml:space="preserve">0,00 </v>
      </c>
      <c r="CI17" s="96" t="e">
        <f>#REF!</f>
        <v>#REF!</v>
      </c>
      <c r="CJ17" s="94">
        <f t="shared" si="53"/>
        <v>0.27063101694202718</v>
      </c>
      <c r="CK17" s="94">
        <f t="shared" si="53"/>
        <v>0.2948038844747054</v>
      </c>
      <c r="CL17" s="95">
        <f t="shared" si="68"/>
        <v>0.62534157312817928</v>
      </c>
      <c r="CM17" s="95" t="e">
        <f>#REF!</f>
        <v>#REF!</v>
      </c>
      <c r="CN17" s="94">
        <f t="shared" si="54"/>
        <v>1.7518581506676745</v>
      </c>
      <c r="CO17" s="94">
        <f t="shared" si="54"/>
        <v>0.90151801461316683</v>
      </c>
      <c r="CP17" s="95">
        <f t="shared" si="55"/>
        <v>6.2791320231796419</v>
      </c>
      <c r="CQ17" s="95" t="e">
        <f>#REF!</f>
        <v>#REF!</v>
      </c>
      <c r="CR17" s="97">
        <f t="shared" si="69"/>
        <v>0</v>
      </c>
      <c r="CS17" s="95">
        <f t="shared" si="69"/>
        <v>8.2592480804830601E-2</v>
      </c>
      <c r="CT17" s="96" t="e">
        <f>#REF!</f>
        <v>#REF!</v>
      </c>
      <c r="CU17" s="97">
        <f t="shared" si="70"/>
        <v>5.7218072700315627E-2</v>
      </c>
      <c r="CV17" s="95">
        <f t="shared" si="56"/>
        <v>0.14214714025097486</v>
      </c>
      <c r="CW17" s="96" t="e">
        <f>#REF!</f>
        <v>#REF!</v>
      </c>
      <c r="CX17" s="97">
        <f t="shared" si="57"/>
        <v>0.30996934541423099</v>
      </c>
      <c r="CY17" s="98">
        <f t="shared" si="57"/>
        <v>2.9105102855796337E-2</v>
      </c>
      <c r="CZ17" s="97">
        <f t="shared" si="57"/>
        <v>0.1571675554213002</v>
      </c>
      <c r="DA17" s="98">
        <f t="shared" si="57"/>
        <v>2.1101199570452346E-2</v>
      </c>
      <c r="DB17" s="94">
        <f t="shared" si="14"/>
        <v>0.2517591397026383</v>
      </c>
      <c r="DC17" s="94">
        <f t="shared" si="15"/>
        <v>0.1028865385952358</v>
      </c>
      <c r="DD17" s="94">
        <f t="shared" si="15"/>
        <v>0.69590300928202264</v>
      </c>
      <c r="DE17" s="94">
        <f t="shared" si="15"/>
        <v>0.20446334756196924</v>
      </c>
      <c r="DF17" s="94">
        <f t="shared" si="15"/>
        <v>0</v>
      </c>
      <c r="DG17" s="94">
        <f t="shared" si="15"/>
        <v>0</v>
      </c>
      <c r="DH17" s="95">
        <f t="shared" si="15"/>
        <v>1.2550120351418659</v>
      </c>
      <c r="DI17" s="96" t="e">
        <f>#REF!</f>
        <v>#REF!</v>
      </c>
      <c r="DJ17" s="95">
        <f t="shared" si="58"/>
        <v>2.2898439671797766</v>
      </c>
      <c r="DK17" s="96" t="e">
        <f>#REF!</f>
        <v>#REF!</v>
      </c>
      <c r="DL17" s="95">
        <f t="shared" si="59"/>
        <v>-1.2998411698156538</v>
      </c>
      <c r="DM17" s="96">
        <f t="shared" si="16"/>
        <v>0</v>
      </c>
      <c r="DN17" s="94">
        <f t="shared" si="17"/>
        <v>3.4870896494287478</v>
      </c>
      <c r="DO17" s="100">
        <v>3.4</v>
      </c>
      <c r="DP17" s="94">
        <f>IF($O17&lt;&gt;0,IF($O17&lt;&gt;0,BL17/$O17*10,0)," ")</f>
        <v>4.477092446792871</v>
      </c>
      <c r="DQ17" s="94">
        <f>IF($P17&lt;&gt;0,IF($P17&lt;&gt;0,BM17/$P17*10,0)," ")</f>
        <v>3.073250061214102</v>
      </c>
      <c r="DR17" s="101">
        <f t="shared" si="18"/>
        <v>3.13</v>
      </c>
      <c r="DS17" s="147"/>
      <c r="DT17" s="134">
        <v>12</v>
      </c>
      <c r="DU17" s="135">
        <v>637612</v>
      </c>
      <c r="DV17" s="135">
        <v>29996</v>
      </c>
      <c r="DW17" s="330">
        <v>5155648</v>
      </c>
      <c r="DX17" s="330">
        <v>122882</v>
      </c>
      <c r="DY17" s="330">
        <v>87844.800000000003</v>
      </c>
      <c r="DZ17" s="330">
        <v>407152</v>
      </c>
      <c r="EA17" s="330">
        <v>243763</v>
      </c>
      <c r="EB17" s="330">
        <v>56348.6</v>
      </c>
      <c r="EC17" s="330">
        <v>424949</v>
      </c>
      <c r="ED17" s="183">
        <v>48650.1</v>
      </c>
      <c r="EE17" s="330">
        <v>41259.699999999997</v>
      </c>
      <c r="EF17" s="330">
        <v>43535.9</v>
      </c>
      <c r="EG17" s="330">
        <v>95408</v>
      </c>
      <c r="EH17" s="330">
        <v>187952.5</v>
      </c>
      <c r="EI17" s="330">
        <v>35053</v>
      </c>
      <c r="EJ17" s="330">
        <v>43536</v>
      </c>
      <c r="EK17" s="330"/>
      <c r="EL17" s="330">
        <v>722674.1</v>
      </c>
      <c r="EM17" s="330">
        <v>3567</v>
      </c>
      <c r="EN17" s="330">
        <v>48262.1</v>
      </c>
      <c r="EO17" s="330">
        <v>3134069.5</v>
      </c>
      <c r="EP17" s="330">
        <v>2842416</v>
      </c>
      <c r="EQ17" s="330">
        <v>0</v>
      </c>
      <c r="ER17" s="330">
        <v>1331</v>
      </c>
      <c r="ES17" s="330">
        <v>425950</v>
      </c>
      <c r="ET17" s="105">
        <v>8760798</v>
      </c>
      <c r="EU17" s="136">
        <v>161647</v>
      </c>
      <c r="EV17" s="136">
        <v>464499</v>
      </c>
      <c r="EW17" s="330">
        <v>141358</v>
      </c>
      <c r="EX17" s="330">
        <v>222564</v>
      </c>
      <c r="EY17" s="330">
        <v>1720541</v>
      </c>
      <c r="EZ17" s="330">
        <v>832051.4</v>
      </c>
      <c r="FA17" s="104">
        <v>769015</v>
      </c>
      <c r="FB17" s="104">
        <v>31910.3</v>
      </c>
      <c r="FC17" s="104">
        <v>3006</v>
      </c>
      <c r="FD17" s="77">
        <f t="shared" si="75"/>
        <v>5603</v>
      </c>
      <c r="FE17" s="129">
        <v>994</v>
      </c>
      <c r="FF17" s="136">
        <v>0</v>
      </c>
      <c r="FG17" s="105">
        <f t="shared" si="74"/>
        <v>1265</v>
      </c>
      <c r="FH17" s="136">
        <v>1643</v>
      </c>
      <c r="FI17" s="136">
        <v>418</v>
      </c>
      <c r="FJ17" s="105">
        <f t="shared" si="19"/>
        <v>0</v>
      </c>
      <c r="FK17" s="136">
        <v>0</v>
      </c>
      <c r="FL17" s="136">
        <v>823</v>
      </c>
      <c r="FM17" s="136">
        <v>460</v>
      </c>
      <c r="FN17" s="80">
        <v>550</v>
      </c>
      <c r="FO17" s="303"/>
      <c r="FP17" s="484"/>
      <c r="FY17" s="119">
        <v>12</v>
      </c>
      <c r="FZ17" s="107"/>
      <c r="GA17" s="107"/>
      <c r="GB17" s="107"/>
      <c r="GC17" s="109"/>
      <c r="GD17" s="110"/>
      <c r="GE17" s="110"/>
      <c r="GF17" s="111"/>
      <c r="GG17" s="111"/>
      <c r="GH17" s="111"/>
      <c r="GI17" s="112"/>
      <c r="GJ17" s="111" t="e">
        <f t="shared" si="60"/>
        <v>#DIV/0!</v>
      </c>
      <c r="GK17" s="113"/>
    </row>
    <row r="18" spans="1:193" s="119" customFormat="1" ht="15" customHeight="1">
      <c r="B18" s="351">
        <v>43021</v>
      </c>
      <c r="D18" s="154">
        <v>2028</v>
      </c>
      <c r="E18" s="128">
        <v>5335.4400000000005</v>
      </c>
      <c r="F18" s="128">
        <v>1118.4480000000001</v>
      </c>
      <c r="G18" s="86">
        <v>6911.7439999999997</v>
      </c>
      <c r="H18" s="86">
        <v>9527.6769999999997</v>
      </c>
      <c r="I18" s="86">
        <v>248.59399999999999</v>
      </c>
      <c r="J18" s="86">
        <v>8077.7999999999993</v>
      </c>
      <c r="K18" s="86">
        <v>4.68</v>
      </c>
      <c r="L18" s="86">
        <v>0</v>
      </c>
      <c r="M18" s="115">
        <f t="shared" si="61"/>
        <v>8326.3939999999984</v>
      </c>
      <c r="N18" s="88">
        <f t="shared" si="20"/>
        <v>24921.309000000001</v>
      </c>
      <c r="O18" s="88">
        <f>(N18+L18+((J18+I18)*0.5))</f>
        <v>29084.506000000001</v>
      </c>
      <c r="P18" s="89">
        <f t="shared" si="22"/>
        <v>272964.17250000004</v>
      </c>
      <c r="R18" s="170">
        <f t="shared" si="23"/>
        <v>275.70000000006985</v>
      </c>
      <c r="S18" s="170">
        <f t="shared" si="24"/>
        <v>16.840000000002327</v>
      </c>
      <c r="T18" s="170">
        <f t="shared" si="1"/>
        <v>376.3</v>
      </c>
      <c r="U18" s="170">
        <f t="shared" si="73"/>
        <v>5.8200000000004364</v>
      </c>
      <c r="V18" s="170">
        <f t="shared" si="25"/>
        <v>955.39999999990687</v>
      </c>
      <c r="W18" s="170">
        <f t="shared" si="2"/>
        <v>84.1</v>
      </c>
      <c r="X18" s="170">
        <f t="shared" si="26"/>
        <v>955.39999999990687</v>
      </c>
      <c r="Y18" s="170" t="str">
        <f t="shared" si="27"/>
        <v>0</v>
      </c>
      <c r="Z18" s="170">
        <f t="shared" si="3"/>
        <v>168.8</v>
      </c>
      <c r="AA18" s="501">
        <f t="shared" si="28"/>
        <v>1630.0599999999795</v>
      </c>
      <c r="AB18" s="170">
        <f t="shared" si="29"/>
        <v>286</v>
      </c>
      <c r="AC18" s="170">
        <f t="shared" si="29"/>
        <v>113</v>
      </c>
      <c r="AD18" s="501">
        <f t="shared" si="4"/>
        <v>459</v>
      </c>
      <c r="AE18" s="501">
        <f t="shared" si="30"/>
        <v>60</v>
      </c>
      <c r="AF18" s="170">
        <f t="shared" si="31"/>
        <v>94</v>
      </c>
      <c r="AG18" s="170">
        <f t="shared" si="31"/>
        <v>81.69999999999709</v>
      </c>
      <c r="AH18" s="501">
        <f t="shared" si="5"/>
        <v>227</v>
      </c>
      <c r="AI18" s="501">
        <f t="shared" si="32"/>
        <v>51.30000000000291</v>
      </c>
      <c r="AJ18" s="170">
        <f t="shared" si="33"/>
        <v>71</v>
      </c>
      <c r="AK18" s="170">
        <f t="shared" si="33"/>
        <v>5.4000000000014552</v>
      </c>
      <c r="AL18" s="501">
        <f t="shared" si="6"/>
        <v>160</v>
      </c>
      <c r="AM18" s="501">
        <f t="shared" si="34"/>
        <v>83.599999999998545</v>
      </c>
      <c r="AN18" s="170">
        <f t="shared" si="35"/>
        <v>0</v>
      </c>
      <c r="AO18" s="501">
        <f t="shared" si="7"/>
        <v>34.80000000000291</v>
      </c>
      <c r="AP18" s="170">
        <f t="shared" si="36"/>
        <v>11.899999999994179</v>
      </c>
      <c r="AQ18" s="501">
        <f>IF(AP18=0.1,0,(IF(AP18&gt;=(EH18-EH17),(AP18),(EH18-EH17))))</f>
        <v>13.100000000005821</v>
      </c>
      <c r="AR18" s="170">
        <f t="shared" si="37"/>
        <v>51.427999999999997</v>
      </c>
      <c r="AS18" s="501">
        <f t="shared" si="38"/>
        <v>47.427999999999997</v>
      </c>
      <c r="AT18" s="501">
        <f t="shared" si="39"/>
        <v>802.428</v>
      </c>
      <c r="AU18" s="170">
        <f t="shared" si="62"/>
        <v>622</v>
      </c>
      <c r="AV18" s="501">
        <f t="shared" si="63"/>
        <v>62</v>
      </c>
      <c r="AW18" s="170">
        <f t="shared" si="64"/>
        <v>133</v>
      </c>
      <c r="AX18" s="501">
        <f t="shared" si="65"/>
        <v>25</v>
      </c>
      <c r="AY18" s="501" t="str">
        <f t="shared" si="65"/>
        <v/>
      </c>
      <c r="AZ18" s="170">
        <f t="shared" si="40"/>
        <v>398</v>
      </c>
      <c r="BA18" s="170">
        <v>22</v>
      </c>
      <c r="BB18" s="170">
        <f t="shared" si="41"/>
        <v>176.10000000000582</v>
      </c>
      <c r="BC18" s="170">
        <f t="shared" si="41"/>
        <v>927</v>
      </c>
      <c r="BD18" s="170">
        <f t="shared" si="42"/>
        <v>291</v>
      </c>
      <c r="BE18" s="90"/>
      <c r="BF18" s="90"/>
      <c r="BG18" s="501">
        <f t="shared" si="43"/>
        <v>1792.1000000000058</v>
      </c>
      <c r="BH18" s="501">
        <f t="shared" si="44"/>
        <v>3835</v>
      </c>
      <c r="BI18" s="90">
        <f t="shared" si="9"/>
        <v>-2805.4879999999939</v>
      </c>
      <c r="BJ18" s="90">
        <f t="shared" si="45"/>
        <v>5205.4879999999939</v>
      </c>
      <c r="BK18" s="92"/>
      <c r="BL18" s="93">
        <f t="shared" si="66"/>
        <v>6235</v>
      </c>
      <c r="BM18" s="93">
        <f t="shared" si="46"/>
        <v>81185.319999999992</v>
      </c>
      <c r="BN18" s="92"/>
      <c r="BO18" s="94">
        <f t="shared" si="47"/>
        <v>0.11062821780351499</v>
      </c>
      <c r="BP18" s="94">
        <f t="shared" si="47"/>
        <v>6.7572694516176198E-3</v>
      </c>
      <c r="BQ18" s="94">
        <f t="shared" si="48"/>
        <v>0.15099527877929686</v>
      </c>
      <c r="BR18" s="94">
        <f t="shared" si="67"/>
        <v>0.38336670036068604</v>
      </c>
      <c r="BS18" s="94">
        <f t="shared" si="10"/>
        <v>0</v>
      </c>
      <c r="BT18" s="94">
        <f t="shared" si="10"/>
        <v>6.7733199728794338E-2</v>
      </c>
      <c r="BU18" s="95">
        <f t="shared" si="10"/>
        <v>0.65408281723884554</v>
      </c>
      <c r="BV18" s="94">
        <f t="shared" si="11"/>
        <v>9.4792739474436949E-2</v>
      </c>
      <c r="BW18" s="94">
        <f t="shared" si="11"/>
        <v>5.7900244205634187E-3</v>
      </c>
      <c r="BX18" s="94">
        <f t="shared" si="11"/>
        <v>0.12938160269938914</v>
      </c>
      <c r="BY18" s="94">
        <f t="shared" si="49"/>
        <v>0.32849105293378777</v>
      </c>
      <c r="BZ18" s="95">
        <f t="shared" si="12"/>
        <v>0.56045648497518896</v>
      </c>
      <c r="CA18" s="96" t="e">
        <f>#REF!</f>
        <v>#REF!</v>
      </c>
      <c r="CB18" s="94">
        <f t="shared" si="50"/>
        <v>1.7682266977475908E-2</v>
      </c>
      <c r="CC18" s="95">
        <f t="shared" si="50"/>
        <v>1.6306964264753199E-2</v>
      </c>
      <c r="CD18" s="97">
        <f t="shared" si="13"/>
        <v>6.1765032978261664E-2</v>
      </c>
      <c r="CE18" s="98">
        <f t="shared" si="13"/>
        <v>5.6961032591059231E-2</v>
      </c>
      <c r="CF18" s="97">
        <f t="shared" si="51"/>
        <v>1.4102564102564101</v>
      </c>
      <c r="CG18" s="94">
        <f t="shared" si="51"/>
        <v>0.55719921104536485</v>
      </c>
      <c r="CH18" s="95">
        <f t="shared" si="52"/>
        <v>2.2633136094674553</v>
      </c>
      <c r="CI18" s="96" t="e">
        <f>#REF!</f>
        <v>#REF!</v>
      </c>
      <c r="CJ18" s="94">
        <f t="shared" si="53"/>
        <v>0.17618040873854826</v>
      </c>
      <c r="CK18" s="94">
        <f t="shared" si="53"/>
        <v>0.15312701482913701</v>
      </c>
      <c r="CL18" s="95">
        <f t="shared" si="68"/>
        <v>0.42545694450691973</v>
      </c>
      <c r="CM18" s="95" t="e">
        <f>#REF!</f>
        <v>#REF!</v>
      </c>
      <c r="CN18" s="94">
        <f t="shared" si="54"/>
        <v>0.63480823426748489</v>
      </c>
      <c r="CO18" s="94">
        <f t="shared" si="54"/>
        <v>4.8281189648525943E-2</v>
      </c>
      <c r="CP18" s="95">
        <f t="shared" si="55"/>
        <v>1.4305537673633462</v>
      </c>
      <c r="CQ18" s="95" t="e">
        <f>#REF!</f>
        <v>#REF!</v>
      </c>
      <c r="CR18" s="97">
        <f t="shared" si="69"/>
        <v>0</v>
      </c>
      <c r="CS18" s="95">
        <f t="shared" si="69"/>
        <v>5.0349087003226552E-2</v>
      </c>
      <c r="CT18" s="96" t="e">
        <f>#REF!</f>
        <v>#REF!</v>
      </c>
      <c r="CU18" s="97">
        <f t="shared" si="70"/>
        <v>1.2489928027570813E-2</v>
      </c>
      <c r="CV18" s="95">
        <f t="shared" si="56"/>
        <v>1.3749416568179023E-2</v>
      </c>
      <c r="CW18" s="96" t="e">
        <f>#REF!</f>
        <v>#REF!</v>
      </c>
      <c r="CX18" s="97">
        <f t="shared" si="57"/>
        <v>0.21385957182838175</v>
      </c>
      <c r="CY18" s="98">
        <f t="shared" si="57"/>
        <v>2.1317192047202036E-2</v>
      </c>
      <c r="CZ18" s="97">
        <f t="shared" si="57"/>
        <v>4.5728815198030182E-2</v>
      </c>
      <c r="DA18" s="98">
        <f t="shared" si="57"/>
        <v>8.5956419545169509E-3</v>
      </c>
      <c r="DB18" s="94">
        <f t="shared" si="14"/>
        <v>0.13684261991590985</v>
      </c>
      <c r="DC18" s="94">
        <f t="shared" si="15"/>
        <v>6.05477019276194E-2</v>
      </c>
      <c r="DD18" s="94">
        <f t="shared" si="15"/>
        <v>0.31872640367348853</v>
      </c>
      <c r="DE18" s="94">
        <f t="shared" si="15"/>
        <v>0.10005327235057732</v>
      </c>
      <c r="DF18" s="94">
        <f t="shared" si="15"/>
        <v>0</v>
      </c>
      <c r="DG18" s="94">
        <f t="shared" si="15"/>
        <v>0</v>
      </c>
      <c r="DH18" s="95">
        <f t="shared" si="15"/>
        <v>0.61616999786759508</v>
      </c>
      <c r="DI18" s="96" t="e">
        <f>#REF!</f>
        <v>#REF!</v>
      </c>
      <c r="DJ18" s="95">
        <f t="shared" si="58"/>
        <v>1.3185714758229004</v>
      </c>
      <c r="DK18" s="96" t="e">
        <f>#REF!</f>
        <v>#REF!</v>
      </c>
      <c r="DL18" s="95">
        <f t="shared" si="59"/>
        <v>-0.96459881422775196</v>
      </c>
      <c r="DM18" s="96">
        <f t="shared" si="16"/>
        <v>0</v>
      </c>
      <c r="DN18" s="94">
        <f t="shared" si="17"/>
        <v>1.7897804418613794</v>
      </c>
      <c r="DO18" s="100">
        <v>3.4</v>
      </c>
      <c r="DP18" s="94">
        <f>IF($O18&lt;&gt;0,IF($O18&lt;&gt;0,BL18/$O18*10,0)," ")</f>
        <v>2.1437531034565276</v>
      </c>
      <c r="DQ18" s="94">
        <f t="shared" si="72"/>
        <v>2.9742115698352309</v>
      </c>
      <c r="DR18" s="101">
        <f t="shared" si="18"/>
        <v>3.13</v>
      </c>
      <c r="DS18" s="147"/>
      <c r="DT18" s="134">
        <v>13</v>
      </c>
      <c r="DU18" s="361">
        <v>637898</v>
      </c>
      <c r="DV18" s="361">
        <v>30109</v>
      </c>
      <c r="DW18" s="361">
        <v>5155821</v>
      </c>
      <c r="DX18" s="400">
        <v>122976</v>
      </c>
      <c r="DY18" s="361">
        <v>87926.5</v>
      </c>
      <c r="DZ18" s="361">
        <v>407285</v>
      </c>
      <c r="EA18" s="303">
        <v>243834</v>
      </c>
      <c r="EB18" s="303">
        <v>56354</v>
      </c>
      <c r="EC18" s="303">
        <v>425038</v>
      </c>
      <c r="ED18" s="303">
        <v>48650.1</v>
      </c>
      <c r="EE18" s="303">
        <v>41291.4</v>
      </c>
      <c r="EF18" s="330">
        <v>43539</v>
      </c>
      <c r="EG18" s="303">
        <v>95419.9</v>
      </c>
      <c r="EH18" s="361">
        <v>187965.6</v>
      </c>
      <c r="EI18" s="361">
        <v>35115</v>
      </c>
      <c r="EJ18" s="303">
        <v>43561</v>
      </c>
      <c r="EK18" s="303"/>
      <c r="EL18" s="361">
        <v>722949.8</v>
      </c>
      <c r="EM18" s="303">
        <v>3763</v>
      </c>
      <c r="EN18" s="303">
        <v>48320.3</v>
      </c>
      <c r="EO18" s="361">
        <v>3135024.9</v>
      </c>
      <c r="EP18" s="303">
        <v>2843257</v>
      </c>
      <c r="EQ18" s="303">
        <v>0</v>
      </c>
      <c r="ER18" s="303">
        <v>1688</v>
      </c>
      <c r="ES18" s="303">
        <v>426701</v>
      </c>
      <c r="ET18" s="303">
        <v>8812226</v>
      </c>
      <c r="EU18" s="136">
        <v>161780</v>
      </c>
      <c r="EV18" s="136">
        <v>465121</v>
      </c>
      <c r="EW18" s="303">
        <v>141756</v>
      </c>
      <c r="EX18" s="303">
        <v>222740.1</v>
      </c>
      <c r="EY18" s="303">
        <v>1721468</v>
      </c>
      <c r="EZ18" s="303">
        <v>832219.8</v>
      </c>
      <c r="FA18" s="383">
        <v>769306</v>
      </c>
      <c r="FB18" s="303">
        <v>31948.3</v>
      </c>
      <c r="FC18" s="303">
        <v>2400</v>
      </c>
      <c r="FD18" s="77">
        <f t="shared" si="75"/>
        <v>5235</v>
      </c>
      <c r="FE18" s="129">
        <v>996</v>
      </c>
      <c r="FF18" s="144">
        <v>0</v>
      </c>
      <c r="FG18" s="105">
        <f t="shared" si="74"/>
        <v>1237</v>
      </c>
      <c r="FH18" s="136">
        <v>1473</v>
      </c>
      <c r="FI18" s="136">
        <v>409</v>
      </c>
      <c r="FJ18" s="105">
        <f t="shared" si="19"/>
        <v>0</v>
      </c>
      <c r="FK18" s="136">
        <v>0</v>
      </c>
      <c r="FL18" s="136">
        <v>716</v>
      </c>
      <c r="FM18" s="136">
        <v>404</v>
      </c>
      <c r="FN18" s="80">
        <v>1000</v>
      </c>
      <c r="FO18" s="303"/>
      <c r="FP18" s="485"/>
      <c r="FY18" s="119">
        <v>13</v>
      </c>
      <c r="FZ18" s="107"/>
      <c r="GA18" s="107"/>
      <c r="GB18" s="107"/>
      <c r="GC18" s="109"/>
      <c r="GD18" s="110"/>
      <c r="GE18" s="110"/>
      <c r="GF18" s="111"/>
      <c r="GG18" s="111"/>
      <c r="GH18" s="111"/>
      <c r="GI18" s="112"/>
      <c r="GJ18" s="111" t="e">
        <f t="shared" si="60"/>
        <v>#DIV/0!</v>
      </c>
      <c r="GK18" s="113"/>
    </row>
    <row r="19" spans="1:193" s="119" customFormat="1" ht="15" customHeight="1">
      <c r="A19" s="119">
        <v>0</v>
      </c>
      <c r="B19" s="351">
        <v>43022</v>
      </c>
      <c r="D19" s="157">
        <v>4536.96</v>
      </c>
      <c r="E19" s="128">
        <v>4989.7199999999993</v>
      </c>
      <c r="F19" s="128">
        <v>2094.3359999999998</v>
      </c>
      <c r="G19" s="86">
        <v>5003.1139999999996</v>
      </c>
      <c r="H19" s="86">
        <v>7971.7710000000006</v>
      </c>
      <c r="I19" s="86">
        <v>1990.345</v>
      </c>
      <c r="J19" s="86">
        <v>5104.92</v>
      </c>
      <c r="K19" s="86">
        <v>0</v>
      </c>
      <c r="L19" s="86">
        <v>0</v>
      </c>
      <c r="M19" s="115">
        <f t="shared" si="61"/>
        <v>7095.2650000000003</v>
      </c>
      <c r="N19" s="88">
        <f t="shared" si="20"/>
        <v>24595.900999999998</v>
      </c>
      <c r="O19" s="88">
        <f t="shared" si="21"/>
        <v>28143.533499999998</v>
      </c>
      <c r="P19" s="89">
        <f t="shared" si="22"/>
        <v>301107.70600000006</v>
      </c>
      <c r="R19" s="170">
        <f t="shared" si="23"/>
        <v>302.69999999995343</v>
      </c>
      <c r="S19" s="170">
        <f t="shared" si="24"/>
        <v>37.93999999999069</v>
      </c>
      <c r="T19" s="170">
        <f t="shared" si="1"/>
        <v>178.6</v>
      </c>
      <c r="U19" s="170">
        <f t="shared" si="73"/>
        <v>4.25</v>
      </c>
      <c r="V19" s="170">
        <f t="shared" si="25"/>
        <v>1078.8999999999069</v>
      </c>
      <c r="W19" s="170">
        <f t="shared" si="2"/>
        <v>94.8</v>
      </c>
      <c r="X19" s="170">
        <f t="shared" si="26"/>
        <v>1078.8999999999069</v>
      </c>
      <c r="Y19" s="170">
        <f t="shared" si="27"/>
        <v>60.3</v>
      </c>
      <c r="Z19" s="170">
        <f t="shared" si="3"/>
        <v>211.4</v>
      </c>
      <c r="AA19" s="501">
        <f t="shared" si="28"/>
        <v>1602.3899999998509</v>
      </c>
      <c r="AB19" s="170">
        <f t="shared" si="29"/>
        <v>134</v>
      </c>
      <c r="AC19" s="170">
        <f t="shared" si="29"/>
        <v>20</v>
      </c>
      <c r="AD19" s="501">
        <f t="shared" si="4"/>
        <v>281</v>
      </c>
      <c r="AE19" s="501">
        <f t="shared" si="30"/>
        <v>127</v>
      </c>
      <c r="AF19" s="170">
        <f t="shared" si="31"/>
        <v>115</v>
      </c>
      <c r="AG19" s="170">
        <f t="shared" si="31"/>
        <v>64.399999999994179</v>
      </c>
      <c r="AH19" s="501">
        <f t="shared" si="5"/>
        <v>216</v>
      </c>
      <c r="AI19" s="501">
        <f t="shared" si="32"/>
        <v>36.600000000005821</v>
      </c>
      <c r="AJ19" s="170">
        <f t="shared" si="33"/>
        <v>125</v>
      </c>
      <c r="AK19" s="170">
        <f t="shared" si="33"/>
        <v>7.0999999999985448</v>
      </c>
      <c r="AL19" s="501">
        <f t="shared" si="6"/>
        <v>222</v>
      </c>
      <c r="AM19" s="501">
        <f t="shared" si="34"/>
        <v>89.900000000001455</v>
      </c>
      <c r="AN19" s="170">
        <f t="shared" si="35"/>
        <v>2.7000000000043656</v>
      </c>
      <c r="AO19" s="501">
        <f t="shared" si="7"/>
        <v>30.400000000001455</v>
      </c>
      <c r="AP19" s="170">
        <f t="shared" si="36"/>
        <v>33.900000000008731</v>
      </c>
      <c r="AQ19" s="501">
        <f>IF(AP19=0.1,0,(IF(AP19&gt;=(EH19-EH18),(AP19),(EH19-EH18))))</f>
        <v>33.900000000008731</v>
      </c>
      <c r="AR19" s="170">
        <f t="shared" si="37"/>
        <v>51.527999999999999</v>
      </c>
      <c r="AS19" s="501">
        <f t="shared" si="38"/>
        <v>-64.47199999999998</v>
      </c>
      <c r="AT19" s="501">
        <f t="shared" si="39"/>
        <v>680.52800000000002</v>
      </c>
      <c r="AU19" s="170">
        <f t="shared" si="62"/>
        <v>501</v>
      </c>
      <c r="AV19" s="501">
        <f t="shared" si="63"/>
        <v>8</v>
      </c>
      <c r="AW19" s="170">
        <f t="shared" si="64"/>
        <v>244</v>
      </c>
      <c r="AX19" s="501">
        <f t="shared" si="65"/>
        <v>73</v>
      </c>
      <c r="AY19" s="501" t="str">
        <f t="shared" si="65"/>
        <v/>
      </c>
      <c r="AZ19" s="170">
        <f t="shared" si="40"/>
        <v>553</v>
      </c>
      <c r="BA19" s="170">
        <v>106</v>
      </c>
      <c r="BB19" s="170">
        <f t="shared" si="41"/>
        <v>189.39999999999418</v>
      </c>
      <c r="BC19" s="170">
        <f t="shared" si="41"/>
        <v>1004.8000000000466</v>
      </c>
      <c r="BD19" s="170">
        <f t="shared" si="42"/>
        <v>206</v>
      </c>
      <c r="BE19" s="90"/>
      <c r="BF19" s="90"/>
      <c r="BG19" s="501">
        <f t="shared" si="43"/>
        <v>1953.2000000000407</v>
      </c>
      <c r="BH19" s="501">
        <f t="shared" si="44"/>
        <v>3830.8999999999996</v>
      </c>
      <c r="BI19" s="90">
        <f t="shared" si="9"/>
        <v>-2358.4179999999023</v>
      </c>
      <c r="BJ19" s="90">
        <f t="shared" si="45"/>
        <v>5100.4179999999023</v>
      </c>
      <c r="BK19" s="92"/>
      <c r="BL19" s="331">
        <f t="shared" si="66"/>
        <v>6572.9</v>
      </c>
      <c r="BM19" s="93">
        <f t="shared" si="46"/>
        <v>87758.219999999987</v>
      </c>
      <c r="BN19" s="92"/>
      <c r="BO19" s="94">
        <f t="shared" si="47"/>
        <v>0.1230692870328082</v>
      </c>
      <c r="BP19" s="94">
        <f t="shared" si="47"/>
        <v>1.5425334489673988E-2</v>
      </c>
      <c r="BQ19" s="94">
        <f t="shared" si="48"/>
        <v>7.2613725352041386E-2</v>
      </c>
      <c r="BR19" s="94">
        <f t="shared" si="67"/>
        <v>0.43865032632872725</v>
      </c>
      <c r="BS19" s="94">
        <f t="shared" si="10"/>
        <v>2.451628017204981E-2</v>
      </c>
      <c r="BT19" s="94">
        <f t="shared" si="10"/>
        <v>8.5949280735842945E-2</v>
      </c>
      <c r="BU19" s="95">
        <f t="shared" si="10"/>
        <v>0.65148660339779829</v>
      </c>
      <c r="BV19" s="94">
        <f t="shared" si="11"/>
        <v>0.10755579074672818</v>
      </c>
      <c r="BW19" s="94">
        <f t="shared" si="11"/>
        <v>1.3480894287844379E-2</v>
      </c>
      <c r="BX19" s="94">
        <f t="shared" si="11"/>
        <v>6.3460403790447997E-2</v>
      </c>
      <c r="BY19" s="94">
        <f t="shared" si="49"/>
        <v>0.38335626903420178</v>
      </c>
      <c r="BZ19" s="95">
        <f t="shared" si="12"/>
        <v>0.56936347385087627</v>
      </c>
      <c r="CA19" s="96" t="e">
        <f>#REF!</f>
        <v>#REF!</v>
      </c>
      <c r="CB19" s="94">
        <f t="shared" si="50"/>
        <v>1.8309001604222868E-2</v>
      </c>
      <c r="CC19" s="95">
        <f t="shared" si="50"/>
        <v>-2.2908281932686236E-2</v>
      </c>
      <c r="CD19" s="97">
        <f t="shared" si="13"/>
        <v>7.2623080321876629E-2</v>
      </c>
      <c r="CE19" s="98">
        <f t="shared" si="13"/>
        <v>-9.0866232621332643E-2</v>
      </c>
      <c r="CF19" s="97">
        <f t="shared" si="51"/>
        <v>0.29535195373113271</v>
      </c>
      <c r="CG19" s="94">
        <f t="shared" si="51"/>
        <v>4.4082381153900403E-2</v>
      </c>
      <c r="CH19" s="95">
        <f t="shared" si="52"/>
        <v>0.61935745521230068</v>
      </c>
      <c r="CI19" s="96" t="e">
        <f>#REF!</f>
        <v>#REF!</v>
      </c>
      <c r="CJ19" s="94">
        <f t="shared" si="53"/>
        <v>0.23047385424432634</v>
      </c>
      <c r="CK19" s="94">
        <f t="shared" si="53"/>
        <v>0.1290653583768111</v>
      </c>
      <c r="CL19" s="95">
        <f t="shared" si="68"/>
        <v>0.43289002188499565</v>
      </c>
      <c r="CM19" s="95" t="e">
        <f>#REF!</f>
        <v>#REF!</v>
      </c>
      <c r="CN19" s="94">
        <f t="shared" si="54"/>
        <v>0.59684787923236771</v>
      </c>
      <c r="CO19" s="94">
        <f t="shared" si="54"/>
        <v>3.3900959540391538E-2</v>
      </c>
      <c r="CP19" s="95">
        <f t="shared" si="55"/>
        <v>1.0600018335166852</v>
      </c>
      <c r="CQ19" s="95" t="e">
        <f>#REF!</f>
        <v>#REF!</v>
      </c>
      <c r="CR19" s="97">
        <f t="shared" si="69"/>
        <v>5.3966389732561879E-3</v>
      </c>
      <c r="CS19" s="95">
        <f t="shared" si="69"/>
        <v>6.0762157328418775E-2</v>
      </c>
      <c r="CT19" s="96" t="e">
        <f>#REF!</f>
        <v>#REF!</v>
      </c>
      <c r="CU19" s="97">
        <f t="shared" si="70"/>
        <v>4.2525054972111884E-2</v>
      </c>
      <c r="CV19" s="95">
        <f t="shared" si="56"/>
        <v>4.2525054972111884E-2</v>
      </c>
      <c r="CW19" s="96" t="e">
        <f>#REF!</f>
        <v>#REF!</v>
      </c>
      <c r="CX19" s="97">
        <f t="shared" si="57"/>
        <v>0.17801602631027125</v>
      </c>
      <c r="CY19" s="98">
        <f t="shared" si="57"/>
        <v>2.8425712784075252E-3</v>
      </c>
      <c r="CZ19" s="97">
        <f t="shared" si="57"/>
        <v>8.6698423991429518E-2</v>
      </c>
      <c r="DA19" s="98">
        <f t="shared" si="57"/>
        <v>2.5938462915468665E-2</v>
      </c>
      <c r="DB19" s="94">
        <f t="shared" si="14"/>
        <v>0.19649273961992014</v>
      </c>
      <c r="DC19" s="94">
        <f t="shared" si="15"/>
        <v>6.7297875016296083E-2</v>
      </c>
      <c r="DD19" s="94">
        <f t="shared" si="15"/>
        <v>0.35702695256800171</v>
      </c>
      <c r="DE19" s="94">
        <f t="shared" si="15"/>
        <v>7.3196210418993768E-2</v>
      </c>
      <c r="DF19" s="94">
        <f t="shared" si="15"/>
        <v>0</v>
      </c>
      <c r="DG19" s="94">
        <f t="shared" si="15"/>
        <v>0</v>
      </c>
      <c r="DH19" s="95">
        <f t="shared" si="15"/>
        <v>0.69401377762321159</v>
      </c>
      <c r="DI19" s="96" t="e">
        <f>#REF!</f>
        <v>#REF!</v>
      </c>
      <c r="DJ19" s="95">
        <f t="shared" si="58"/>
        <v>1.3612007888064235</v>
      </c>
      <c r="DK19" s="96" t="e">
        <f>#REF!</f>
        <v>#REF!</v>
      </c>
      <c r="DL19" s="95">
        <f t="shared" si="59"/>
        <v>-0.83799640865988012</v>
      </c>
      <c r="DM19" s="96">
        <f t="shared" si="16"/>
        <v>0</v>
      </c>
      <c r="DN19" s="94">
        <f t="shared" si="17"/>
        <v>1.8122877143340594</v>
      </c>
      <c r="DO19" s="100">
        <v>3.4</v>
      </c>
      <c r="DP19" s="94">
        <f>IF($O19&lt;&gt;0,IF($O19&lt;&gt;0,BL19/$O19*10,0)," ")</f>
        <v>2.3354920944806028</v>
      </c>
      <c r="DQ19" s="94">
        <f t="shared" si="72"/>
        <v>2.9145125897242883</v>
      </c>
      <c r="DR19" s="101">
        <f t="shared" si="18"/>
        <v>3.13</v>
      </c>
      <c r="DS19" s="147"/>
      <c r="DT19" s="103">
        <v>14</v>
      </c>
      <c r="DU19" s="361">
        <v>638032</v>
      </c>
      <c r="DV19" s="361">
        <v>30129</v>
      </c>
      <c r="DW19" s="361">
        <v>5155968</v>
      </c>
      <c r="DX19" s="360">
        <v>123091</v>
      </c>
      <c r="DY19" s="361">
        <v>87990.9</v>
      </c>
      <c r="DZ19" s="361">
        <v>407386</v>
      </c>
      <c r="EA19" s="361">
        <v>243959</v>
      </c>
      <c r="EB19" s="303">
        <v>56361.1</v>
      </c>
      <c r="EC19" s="361">
        <v>425135</v>
      </c>
      <c r="ED19" s="361">
        <v>48652.800000000003</v>
      </c>
      <c r="EE19" s="405">
        <v>41317.800000000003</v>
      </c>
      <c r="EF19" s="405">
        <v>43543</v>
      </c>
      <c r="EG19" s="361">
        <v>95453.8</v>
      </c>
      <c r="EH19" s="361">
        <v>187995.8</v>
      </c>
      <c r="EI19" s="361">
        <v>35123</v>
      </c>
      <c r="EJ19" s="303">
        <v>43634</v>
      </c>
      <c r="EK19" s="303"/>
      <c r="EL19" s="361">
        <v>723252.5</v>
      </c>
      <c r="EM19" s="303">
        <v>1786</v>
      </c>
      <c r="EN19" s="303">
        <v>48362.8</v>
      </c>
      <c r="EO19" s="361">
        <v>3136103.8</v>
      </c>
      <c r="EP19" s="303">
        <v>2844205</v>
      </c>
      <c r="EQ19" s="303">
        <v>603</v>
      </c>
      <c r="ER19" s="303">
        <v>2114</v>
      </c>
      <c r="ES19" s="303">
        <v>427330</v>
      </c>
      <c r="ET19" s="303">
        <v>8863754</v>
      </c>
      <c r="EU19" s="136">
        <v>162024</v>
      </c>
      <c r="EV19" s="136">
        <v>465622</v>
      </c>
      <c r="EW19" s="303">
        <v>142309</v>
      </c>
      <c r="EX19" s="303">
        <v>222929.5</v>
      </c>
      <c r="EY19" s="303">
        <v>1722472.8</v>
      </c>
      <c r="EZ19" s="303">
        <v>832599.2</v>
      </c>
      <c r="FA19" s="383">
        <v>769512</v>
      </c>
      <c r="FB19" s="303">
        <v>31997</v>
      </c>
      <c r="FC19" s="303">
        <v>2742</v>
      </c>
      <c r="FD19" s="77">
        <f t="shared" si="75"/>
        <v>5572.9</v>
      </c>
      <c r="FE19" s="136">
        <v>1002</v>
      </c>
      <c r="FF19" s="456">
        <v>225</v>
      </c>
      <c r="FG19" s="105">
        <f t="shared" si="74"/>
        <v>1251</v>
      </c>
      <c r="FH19" s="136">
        <v>1715</v>
      </c>
      <c r="FI19" s="136">
        <v>705</v>
      </c>
      <c r="FJ19" s="105">
        <f t="shared" si="19"/>
        <v>0</v>
      </c>
      <c r="FK19" s="136">
        <v>0</v>
      </c>
      <c r="FL19" s="136">
        <v>269.89999999999998</v>
      </c>
      <c r="FM19" s="136">
        <v>405</v>
      </c>
      <c r="FN19" s="80">
        <v>1000</v>
      </c>
      <c r="FO19" s="388"/>
      <c r="FP19" s="485"/>
      <c r="FY19" s="119">
        <v>14</v>
      </c>
      <c r="FZ19" s="107"/>
      <c r="GA19" s="107"/>
      <c r="GB19" s="107"/>
      <c r="GC19" s="109"/>
      <c r="GD19" s="110"/>
      <c r="GE19" s="110"/>
      <c r="GF19" s="111"/>
      <c r="GG19" s="111"/>
      <c r="GH19" s="111"/>
      <c r="GI19" s="112"/>
      <c r="GJ19" s="111" t="e">
        <f t="shared" si="60"/>
        <v>#DIV/0!</v>
      </c>
      <c r="GK19" s="113"/>
    </row>
    <row r="20" spans="1:193" s="119" customFormat="1" ht="15" customHeight="1">
      <c r="B20" s="351">
        <v>43023</v>
      </c>
      <c r="D20" s="159">
        <v>719.16</v>
      </c>
      <c r="E20" s="128">
        <v>4128</v>
      </c>
      <c r="F20" s="86">
        <v>2550.5279999999998</v>
      </c>
      <c r="G20" s="86">
        <v>6840.2390000000005</v>
      </c>
      <c r="H20" s="86">
        <v>7782.9309999999996</v>
      </c>
      <c r="I20" s="86">
        <v>1468.3000000000002</v>
      </c>
      <c r="J20" s="86">
        <v>0</v>
      </c>
      <c r="K20" s="86">
        <v>0</v>
      </c>
      <c r="L20" s="86">
        <v>0</v>
      </c>
      <c r="M20" s="115">
        <f t="shared" si="61"/>
        <v>1468.3000000000002</v>
      </c>
      <c r="N20" s="88">
        <f t="shared" si="20"/>
        <v>22020.858</v>
      </c>
      <c r="O20" s="88">
        <f>(N20+L20+((J20+I20)*0.5))</f>
        <v>22755.008000000002</v>
      </c>
      <c r="P20" s="89">
        <f t="shared" si="22"/>
        <v>323862.71400000004</v>
      </c>
      <c r="R20" s="170">
        <f t="shared" si="23"/>
        <v>244.80000000004657</v>
      </c>
      <c r="S20" s="170">
        <f t="shared" si="24"/>
        <v>165.78000000000466</v>
      </c>
      <c r="T20" s="170">
        <f t="shared" si="1"/>
        <v>822.3</v>
      </c>
      <c r="U20" s="170">
        <f t="shared" si="73"/>
        <v>4.4899999999994176</v>
      </c>
      <c r="V20" s="170">
        <f t="shared" si="25"/>
        <v>1072</v>
      </c>
      <c r="W20" s="170">
        <f t="shared" si="2"/>
        <v>95.1</v>
      </c>
      <c r="X20" s="170">
        <f t="shared" si="26"/>
        <v>1072</v>
      </c>
      <c r="Y20" s="170">
        <f t="shared" si="27"/>
        <v>81</v>
      </c>
      <c r="Z20" s="170">
        <f t="shared" si="3"/>
        <v>163.4</v>
      </c>
      <c r="AA20" s="501">
        <f t="shared" si="28"/>
        <v>2309.3700000000504</v>
      </c>
      <c r="AB20" s="170">
        <f t="shared" si="29"/>
        <v>26</v>
      </c>
      <c r="AC20" s="170">
        <f t="shared" si="29"/>
        <v>0</v>
      </c>
      <c r="AD20" s="501">
        <f t="shared" si="4"/>
        <v>69</v>
      </c>
      <c r="AE20" s="501">
        <f t="shared" si="30"/>
        <v>43</v>
      </c>
      <c r="AF20" s="170">
        <f t="shared" si="31"/>
        <v>55</v>
      </c>
      <c r="AG20" s="170">
        <f t="shared" si="31"/>
        <v>5.2000000000116415</v>
      </c>
      <c r="AH20" s="501">
        <f t="shared" si="5"/>
        <v>101</v>
      </c>
      <c r="AI20" s="501">
        <f t="shared" si="32"/>
        <v>40.799999999988358</v>
      </c>
      <c r="AJ20" s="170">
        <f t="shared" si="33"/>
        <v>136</v>
      </c>
      <c r="AK20" s="170">
        <f t="shared" si="33"/>
        <v>33.099999999998545</v>
      </c>
      <c r="AL20" s="501">
        <f t="shared" si="6"/>
        <v>270</v>
      </c>
      <c r="AM20" s="501">
        <f t="shared" si="34"/>
        <v>100.90000000000146</v>
      </c>
      <c r="AN20" s="170">
        <f t="shared" si="35"/>
        <v>0</v>
      </c>
      <c r="AO20" s="501">
        <f t="shared" si="7"/>
        <v>34.19999999999709</v>
      </c>
      <c r="AP20" s="170">
        <f t="shared" si="36"/>
        <v>42.19999999999709</v>
      </c>
      <c r="AQ20" s="501">
        <f t="shared" si="8"/>
        <v>42.19999999999709</v>
      </c>
      <c r="AR20" s="170">
        <f t="shared" si="37"/>
        <v>48.975999999999999</v>
      </c>
      <c r="AS20" s="501">
        <f t="shared" si="38"/>
        <v>41.975999999999999</v>
      </c>
      <c r="AT20" s="501">
        <f t="shared" si="39"/>
        <v>249.976</v>
      </c>
      <c r="AU20" s="170">
        <f t="shared" si="62"/>
        <v>2</v>
      </c>
      <c r="AV20" s="501">
        <f t="shared" si="63"/>
        <v>30</v>
      </c>
      <c r="AW20" s="170">
        <f t="shared" si="64"/>
        <v>206</v>
      </c>
      <c r="AX20" s="501">
        <f t="shared" si="65"/>
        <v>26</v>
      </c>
      <c r="AY20" s="501" t="str">
        <f t="shared" si="65"/>
        <v/>
      </c>
      <c r="AZ20" s="170">
        <f t="shared" si="40"/>
        <v>596</v>
      </c>
      <c r="BA20" s="170">
        <v>0</v>
      </c>
      <c r="BB20" s="170">
        <f t="shared" si="41"/>
        <v>151.39999999999418</v>
      </c>
      <c r="BC20" s="170">
        <f t="shared" si="41"/>
        <v>950.5999999998603</v>
      </c>
      <c r="BD20" s="170">
        <f t="shared" si="42"/>
        <v>79</v>
      </c>
      <c r="BE20" s="90"/>
      <c r="BF20" s="90"/>
      <c r="BG20" s="501">
        <f t="shared" si="43"/>
        <v>1776.9999999998545</v>
      </c>
      <c r="BH20" s="501">
        <f t="shared" si="44"/>
        <v>4122</v>
      </c>
      <c r="BI20" s="90">
        <f t="shared" si="9"/>
        <v>-3322.7459999998982</v>
      </c>
      <c r="BJ20" s="90">
        <f t="shared" si="45"/>
        <v>4908.7459999998982</v>
      </c>
      <c r="BK20" s="92"/>
      <c r="BL20" s="93">
        <f t="shared" si="66"/>
        <v>5708</v>
      </c>
      <c r="BM20" s="93">
        <f t="shared" si="46"/>
        <v>93466.219999999987</v>
      </c>
      <c r="BN20" s="92"/>
      <c r="BO20" s="94">
        <f t="shared" si="47"/>
        <v>0.11116733053727815</v>
      </c>
      <c r="BP20" s="94">
        <f t="shared" si="47"/>
        <v>7.5283170165306293E-2</v>
      </c>
      <c r="BQ20" s="94">
        <f t="shared" si="48"/>
        <v>0.37341869240517328</v>
      </c>
      <c r="BR20" s="94">
        <f t="shared" si="67"/>
        <v>0.4868111860128248</v>
      </c>
      <c r="BS20" s="94">
        <f t="shared" si="10"/>
        <v>3.6783307898357098E-2</v>
      </c>
      <c r="BT20" s="94">
        <f t="shared" si="10"/>
        <v>7.4202376673969742E-2</v>
      </c>
      <c r="BU20" s="95">
        <f t="shared" si="10"/>
        <v>1.0487193550769232</v>
      </c>
      <c r="BV20" s="94">
        <f t="shared" si="11"/>
        <v>0.10758071366094293</v>
      </c>
      <c r="BW20" s="94">
        <f t="shared" si="11"/>
        <v>7.285429211890615E-2</v>
      </c>
      <c r="BX20" s="94">
        <f t="shared" si="11"/>
        <v>0.3613710001771917</v>
      </c>
      <c r="BY20" s="94">
        <f t="shared" si="49"/>
        <v>0.47110508596613099</v>
      </c>
      <c r="BZ20" s="95">
        <f t="shared" si="12"/>
        <v>1.0148842839343544</v>
      </c>
      <c r="CA20" s="96" t="e">
        <f>#REF!</f>
        <v>#REF!</v>
      </c>
      <c r="CB20" s="94">
        <f t="shared" si="50"/>
        <v>2.1523174151378017E-2</v>
      </c>
      <c r="CC20" s="95">
        <f t="shared" si="50"/>
        <v>1.8446928254211115E-2</v>
      </c>
      <c r="CD20" s="97">
        <f t="shared" si="13"/>
        <v>0.33355581284478641</v>
      </c>
      <c r="CE20" s="98">
        <f t="shared" si="13"/>
        <v>0.28588163181911047</v>
      </c>
      <c r="CF20" s="97">
        <f t="shared" si="51"/>
        <v>0.36153289949385392</v>
      </c>
      <c r="CG20" s="94">
        <f t="shared" si="51"/>
        <v>0</v>
      </c>
      <c r="CH20" s="95">
        <f t="shared" si="52"/>
        <v>0.95945269481061246</v>
      </c>
      <c r="CI20" s="96" t="e">
        <f>#REF!</f>
        <v>#REF!</v>
      </c>
      <c r="CJ20" s="94">
        <f t="shared" si="53"/>
        <v>0.13323643410852712</v>
      </c>
      <c r="CK20" s="94">
        <f t="shared" si="53"/>
        <v>1.2596899224834403E-2</v>
      </c>
      <c r="CL20" s="95">
        <f t="shared" si="68"/>
        <v>0.24467054263565891</v>
      </c>
      <c r="CM20" s="95" t="e">
        <f>#REF!</f>
        <v>#REF!</v>
      </c>
      <c r="CN20" s="94">
        <f t="shared" si="54"/>
        <v>0.53322292482184086</v>
      </c>
      <c r="CO20" s="94">
        <f t="shared" si="54"/>
        <v>0.12977705008530999</v>
      </c>
      <c r="CP20" s="95">
        <f t="shared" si="55"/>
        <v>1.0586043360433606</v>
      </c>
      <c r="CQ20" s="95" t="e">
        <f>#REF!</f>
        <v>#REF!</v>
      </c>
      <c r="CR20" s="97">
        <f t="shared" si="69"/>
        <v>0</v>
      </c>
      <c r="CS20" s="95">
        <f t="shared" si="69"/>
        <v>4.9998252985015708E-2</v>
      </c>
      <c r="CT20" s="96" t="e">
        <f>#REF!</f>
        <v>#REF!</v>
      </c>
      <c r="CU20" s="97">
        <f t="shared" si="70"/>
        <v>5.4221218201725152E-2</v>
      </c>
      <c r="CV20" s="95">
        <f t="shared" si="56"/>
        <v>5.4221218201725152E-2</v>
      </c>
      <c r="CW20" s="96" t="e">
        <f>#REF!</f>
        <v>#REF!</v>
      </c>
      <c r="CX20" s="97">
        <f t="shared" si="57"/>
        <v>8.7892739919054298E-4</v>
      </c>
      <c r="CY20" s="98">
        <f t="shared" si="57"/>
        <v>1.3183910987858146E-2</v>
      </c>
      <c r="CZ20" s="97">
        <f t="shared" si="57"/>
        <v>9.0529522116625932E-2</v>
      </c>
      <c r="DA20" s="98">
        <f t="shared" si="57"/>
        <v>1.1426056189477059E-2</v>
      </c>
      <c r="DB20" s="94">
        <f t="shared" si="14"/>
        <v>0.26192036495878179</v>
      </c>
      <c r="DC20" s="94">
        <f t="shared" si="15"/>
        <v>6.6534804118721536E-2</v>
      </c>
      <c r="DD20" s="94">
        <f t="shared" si="15"/>
        <v>0.41775419283520365</v>
      </c>
      <c r="DE20" s="94">
        <f t="shared" si="15"/>
        <v>3.4717632268026447E-2</v>
      </c>
      <c r="DF20" s="94">
        <f t="shared" si="15"/>
        <v>0</v>
      </c>
      <c r="DG20" s="94">
        <f t="shared" si="15"/>
        <v>0</v>
      </c>
      <c r="DH20" s="95">
        <f t="shared" si="15"/>
        <v>0.78092699418073341</v>
      </c>
      <c r="DI20" s="96" t="e">
        <f>#REF!</f>
        <v>#REF!</v>
      </c>
      <c r="DJ20" s="95">
        <f t="shared" si="58"/>
        <v>1.811469369731709</v>
      </c>
      <c r="DK20" s="96" t="e">
        <f>#REF!</f>
        <v>#REF!</v>
      </c>
      <c r="DL20" s="95">
        <f t="shared" si="59"/>
        <v>-1.4602262499753451</v>
      </c>
      <c r="DM20" s="96">
        <f t="shared" si="16"/>
        <v>0</v>
      </c>
      <c r="DN20" s="94">
        <f t="shared" si="17"/>
        <v>2.1572156775334457</v>
      </c>
      <c r="DO20" s="100">
        <v>3.4</v>
      </c>
      <c r="DP20" s="94">
        <f>IF($O20&lt;&gt;0,IF($O20&lt;&gt;0,BL20/$O20*10,0)," ")</f>
        <v>2.5084587972898098</v>
      </c>
      <c r="DQ20" s="94">
        <f>IF($P20&lt;&gt;0,IF($P20&lt;&gt;0,BM20/$P20*10,0)," ")</f>
        <v>2.8859827315595203</v>
      </c>
      <c r="DR20" s="101">
        <f t="shared" si="18"/>
        <v>3.13</v>
      </c>
      <c r="DS20" s="147"/>
      <c r="DT20" s="103">
        <v>15</v>
      </c>
      <c r="DU20" s="135">
        <v>638058</v>
      </c>
      <c r="DV20" s="361">
        <v>30129</v>
      </c>
      <c r="DW20" s="135">
        <v>5156011</v>
      </c>
      <c r="DX20" s="517">
        <v>123146</v>
      </c>
      <c r="DY20" s="135">
        <v>87996.1</v>
      </c>
      <c r="DZ20" s="135">
        <v>407432</v>
      </c>
      <c r="EA20" s="135">
        <v>244095</v>
      </c>
      <c r="EB20" s="136">
        <v>56394.2</v>
      </c>
      <c r="EC20" s="135">
        <v>425269</v>
      </c>
      <c r="ED20" s="135">
        <v>48652.800000000003</v>
      </c>
      <c r="EE20" s="136">
        <v>41349</v>
      </c>
      <c r="EF20" s="136">
        <v>43546</v>
      </c>
      <c r="EG20" s="135">
        <v>95496</v>
      </c>
      <c r="EH20" s="135">
        <v>188029.7</v>
      </c>
      <c r="EI20" s="135">
        <v>35153</v>
      </c>
      <c r="EJ20" s="136">
        <v>43660</v>
      </c>
      <c r="EK20" s="136"/>
      <c r="EL20" s="135">
        <v>723497.3</v>
      </c>
      <c r="EM20" s="136">
        <v>8223</v>
      </c>
      <c r="EN20" s="136">
        <v>48407.7</v>
      </c>
      <c r="EO20" s="135">
        <v>3137175.8</v>
      </c>
      <c r="EP20" s="136">
        <v>2845156</v>
      </c>
      <c r="EQ20" s="136">
        <v>810</v>
      </c>
      <c r="ER20" s="136">
        <v>1634</v>
      </c>
      <c r="ES20" s="136">
        <v>427531</v>
      </c>
      <c r="ET20" s="136">
        <v>8912730</v>
      </c>
      <c r="EU20" s="136">
        <v>162230</v>
      </c>
      <c r="EV20" s="136">
        <v>465624</v>
      </c>
      <c r="EW20" s="136">
        <v>142905</v>
      </c>
      <c r="EX20" s="136">
        <v>223080.9</v>
      </c>
      <c r="EY20" s="136">
        <v>1723423.4</v>
      </c>
      <c r="EZ20" s="136">
        <v>834257</v>
      </c>
      <c r="FA20" s="145">
        <v>769591</v>
      </c>
      <c r="FB20" s="136">
        <v>32043.3</v>
      </c>
      <c r="FC20" s="136">
        <v>1586</v>
      </c>
      <c r="FD20" s="77">
        <f t="shared" si="75"/>
        <v>4708</v>
      </c>
      <c r="FE20" s="144">
        <v>64</v>
      </c>
      <c r="FF20" s="456">
        <v>275</v>
      </c>
      <c r="FG20" s="105">
        <f t="shared" si="74"/>
        <v>1123</v>
      </c>
      <c r="FH20" s="136">
        <v>1566</v>
      </c>
      <c r="FI20" s="136">
        <v>720</v>
      </c>
      <c r="FJ20" s="105">
        <f t="shared" si="19"/>
        <v>0</v>
      </c>
      <c r="FK20" s="455">
        <v>0</v>
      </c>
      <c r="FL20" s="136">
        <v>500</v>
      </c>
      <c r="FM20" s="455">
        <v>460</v>
      </c>
      <c r="FN20" s="80">
        <v>1000</v>
      </c>
      <c r="FO20" s="389"/>
      <c r="FP20" s="486"/>
      <c r="FY20" s="119">
        <v>15</v>
      </c>
      <c r="FZ20" s="107"/>
      <c r="GA20" s="107"/>
      <c r="GB20" s="107"/>
      <c r="GC20" s="109"/>
      <c r="GD20" s="110"/>
      <c r="GE20" s="110"/>
      <c r="GF20" s="111"/>
      <c r="GG20" s="111"/>
      <c r="GH20" s="111"/>
      <c r="GI20" s="112"/>
      <c r="GJ20" s="111" t="e">
        <f t="shared" si="60"/>
        <v>#DIV/0!</v>
      </c>
      <c r="GK20" s="113"/>
    </row>
    <row r="21" spans="1:193" s="119" customFormat="1" ht="15" customHeight="1">
      <c r="B21" s="351">
        <v>43024</v>
      </c>
      <c r="D21" s="159">
        <v>0</v>
      </c>
      <c r="E21" s="128">
        <v>5223.24</v>
      </c>
      <c r="F21" s="86">
        <v>2750.616</v>
      </c>
      <c r="G21" s="86">
        <v>0</v>
      </c>
      <c r="H21" s="86">
        <v>6625.3680000000004</v>
      </c>
      <c r="I21" s="86">
        <v>1976.3240000000001</v>
      </c>
      <c r="J21" s="86">
        <v>1990.8000000000002</v>
      </c>
      <c r="K21" s="86">
        <v>10.673</v>
      </c>
      <c r="L21" s="86">
        <v>136.27000000000001</v>
      </c>
      <c r="M21" s="115">
        <f t="shared" si="61"/>
        <v>3967.1240000000003</v>
      </c>
      <c r="N21" s="88">
        <f t="shared" si="20"/>
        <v>14599.224</v>
      </c>
      <c r="O21" s="88">
        <f>((N21+L21+((J21+I21)*0.5)))-1162</f>
        <v>15557.056</v>
      </c>
      <c r="P21" s="89">
        <f t="shared" si="22"/>
        <v>339419.77</v>
      </c>
      <c r="R21" s="170">
        <f t="shared" si="23"/>
        <v>29.099999999976717</v>
      </c>
      <c r="S21" s="170">
        <f t="shared" si="24"/>
        <v>5.9999999997671694E-2</v>
      </c>
      <c r="T21" s="170">
        <f t="shared" si="1"/>
        <v>398.3</v>
      </c>
      <c r="U21" s="170">
        <f t="shared" si="73"/>
        <v>1.180000000000291</v>
      </c>
      <c r="V21" s="170">
        <f t="shared" si="25"/>
        <v>902.20000000018626</v>
      </c>
      <c r="W21" s="170">
        <f t="shared" si="2"/>
        <v>79.8</v>
      </c>
      <c r="X21" s="170">
        <f t="shared" si="26"/>
        <v>902.20000000018626</v>
      </c>
      <c r="Y21" s="170">
        <f t="shared" si="27"/>
        <v>16.899999999999999</v>
      </c>
      <c r="Z21" s="170">
        <f t="shared" si="3"/>
        <v>151.1</v>
      </c>
      <c r="AA21" s="501">
        <f t="shared" si="28"/>
        <v>1330.8400000001609</v>
      </c>
      <c r="AB21" s="170">
        <f t="shared" si="29"/>
        <v>43</v>
      </c>
      <c r="AC21" s="170">
        <f t="shared" si="29"/>
        <v>50</v>
      </c>
      <c r="AD21" s="501">
        <f t="shared" si="4"/>
        <v>269</v>
      </c>
      <c r="AE21" s="501">
        <f t="shared" si="30"/>
        <v>176</v>
      </c>
      <c r="AF21" s="170">
        <f t="shared" si="31"/>
        <v>86</v>
      </c>
      <c r="AG21" s="170">
        <f t="shared" si="31"/>
        <v>100.19999999999709</v>
      </c>
      <c r="AH21" s="501">
        <f t="shared" si="5"/>
        <v>229</v>
      </c>
      <c r="AI21" s="501">
        <f t="shared" si="32"/>
        <v>42.80000000000291</v>
      </c>
      <c r="AJ21" s="170">
        <f t="shared" si="33"/>
        <v>148</v>
      </c>
      <c r="AK21" s="170">
        <f t="shared" si="33"/>
        <v>12</v>
      </c>
      <c r="AL21" s="501">
        <f t="shared" si="6"/>
        <v>286</v>
      </c>
      <c r="AM21" s="501">
        <f t="shared" si="34"/>
        <v>126</v>
      </c>
      <c r="AN21" s="170">
        <f t="shared" si="35"/>
        <v>2.5999999999985448</v>
      </c>
      <c r="AO21" s="501">
        <f t="shared" si="7"/>
        <v>20</v>
      </c>
      <c r="AP21" s="170">
        <f t="shared" si="36"/>
        <v>33.19999999999709</v>
      </c>
      <c r="AQ21" s="501">
        <f t="shared" si="8"/>
        <v>38</v>
      </c>
      <c r="AR21" s="170">
        <f t="shared" si="37"/>
        <v>76.605999999999995</v>
      </c>
      <c r="AS21" s="501">
        <f t="shared" si="38"/>
        <v>110.60599999999999</v>
      </c>
      <c r="AT21" s="501">
        <f t="shared" si="39"/>
        <v>593.60599999999999</v>
      </c>
      <c r="AU21" s="170">
        <f t="shared" si="62"/>
        <v>202</v>
      </c>
      <c r="AV21" s="501">
        <f t="shared" si="63"/>
        <v>20</v>
      </c>
      <c r="AW21" s="170">
        <f t="shared" si="64"/>
        <v>281</v>
      </c>
      <c r="AX21" s="501">
        <f t="shared" si="65"/>
        <v>65</v>
      </c>
      <c r="AY21" s="501" t="str">
        <f t="shared" si="65"/>
        <v/>
      </c>
      <c r="AZ21" s="170">
        <f t="shared" si="40"/>
        <v>306</v>
      </c>
      <c r="BA21" s="170">
        <v>120</v>
      </c>
      <c r="BB21" s="170">
        <f t="shared" si="41"/>
        <v>133.20000000001164</v>
      </c>
      <c r="BC21" s="170">
        <f t="shared" si="41"/>
        <v>227</v>
      </c>
      <c r="BD21" s="170">
        <f t="shared" si="42"/>
        <v>306</v>
      </c>
      <c r="BE21" s="90"/>
      <c r="BF21" s="90"/>
      <c r="BG21" s="501">
        <f t="shared" si="43"/>
        <v>972.20000000001164</v>
      </c>
      <c r="BH21" s="501">
        <f t="shared" si="44"/>
        <v>4164.5</v>
      </c>
      <c r="BI21" s="90">
        <f t="shared" si="9"/>
        <v>-1410.6460000001725</v>
      </c>
      <c r="BJ21" s="90">
        <f t="shared" si="45"/>
        <v>3823.6460000001725</v>
      </c>
      <c r="BK21" s="92"/>
      <c r="BL21" s="331">
        <f>FD21+FN21</f>
        <v>6577.5</v>
      </c>
      <c r="BM21" s="93">
        <f t="shared" si="46"/>
        <v>100043.71999999999</v>
      </c>
      <c r="BN21" s="92"/>
      <c r="BO21" s="94">
        <f t="shared" si="47"/>
        <v>1.9932566278849286E-2</v>
      </c>
      <c r="BP21" s="94">
        <f t="shared" si="47"/>
        <v>4.1098074800189167E-5</v>
      </c>
      <c r="BQ21" s="94">
        <f t="shared" si="48"/>
        <v>0.27282271989250934</v>
      </c>
      <c r="BR21" s="94">
        <f t="shared" si="67"/>
        <v>0.61797805143628615</v>
      </c>
      <c r="BS21" s="94">
        <f t="shared" si="10"/>
        <v>1.1575957735835821E-2</v>
      </c>
      <c r="BT21" s="94">
        <f t="shared" si="10"/>
        <v>0.10349865170915934</v>
      </c>
      <c r="BU21" s="95">
        <f t="shared" si="10"/>
        <v>0.91158269782021351</v>
      </c>
      <c r="BV21" s="94">
        <f t="shared" si="11"/>
        <v>1.8705338593610975E-2</v>
      </c>
      <c r="BW21" s="94">
        <f t="shared" si="11"/>
        <v>3.8567708438969236E-5</v>
      </c>
      <c r="BX21" s="94">
        <f t="shared" si="11"/>
        <v>0.25602530453062589</v>
      </c>
      <c r="BY21" s="94">
        <f t="shared" si="49"/>
        <v>0.57992977591659134</v>
      </c>
      <c r="BZ21" s="95">
        <f t="shared" si="12"/>
        <v>0.85545748501526309</v>
      </c>
      <c r="CA21" s="96" t="e">
        <f>#REF!</f>
        <v>#REF!</v>
      </c>
      <c r="CB21" s="94">
        <f t="shared" si="50"/>
        <v>4.9241964546505451E-2</v>
      </c>
      <c r="CC21" s="95">
        <f t="shared" si="50"/>
        <v>7.1096999329436097E-2</v>
      </c>
      <c r="CD21" s="97">
        <f t="shared" si="13"/>
        <v>0.19310210621094775</v>
      </c>
      <c r="CE21" s="98">
        <f t="shared" si="13"/>
        <v>0.27880651071153811</v>
      </c>
      <c r="CF21" s="97" t="str">
        <f t="shared" si="51"/>
        <v>0,00</v>
      </c>
      <c r="CG21" s="94" t="str">
        <f t="shared" si="51"/>
        <v>0,00</v>
      </c>
      <c r="CH21" s="95" t="str">
        <f t="shared" si="52"/>
        <v xml:space="preserve">0,00 </v>
      </c>
      <c r="CI21" s="96" t="e">
        <f>#REF!</f>
        <v>#REF!</v>
      </c>
      <c r="CJ21" s="94">
        <f t="shared" si="53"/>
        <v>0.1646487620710517</v>
      </c>
      <c r="CK21" s="94">
        <f t="shared" si="53"/>
        <v>0.19183495301766162</v>
      </c>
      <c r="CL21" s="95">
        <f t="shared" si="68"/>
        <v>0.43842519202640512</v>
      </c>
      <c r="CM21" s="95" t="e">
        <f>#REF!</f>
        <v>#REF!</v>
      </c>
      <c r="CN21" s="94">
        <f t="shared" si="54"/>
        <v>0.53806129245230883</v>
      </c>
      <c r="CO21" s="94">
        <f t="shared" si="54"/>
        <v>4.3626591279916929E-2</v>
      </c>
      <c r="CP21" s="95">
        <f t="shared" si="55"/>
        <v>1.0397670921713535</v>
      </c>
      <c r="CQ21" s="95" t="e">
        <f>#REF!</f>
        <v>#REF!</v>
      </c>
      <c r="CR21" s="97" t="str">
        <f t="shared" si="69"/>
        <v xml:space="preserve">0,00 </v>
      </c>
      <c r="CS21" s="95" t="str">
        <f t="shared" si="69"/>
        <v xml:space="preserve">0,00 </v>
      </c>
      <c r="CT21" s="96" t="e">
        <f>#REF!</f>
        <v>#REF!</v>
      </c>
      <c r="CU21" s="97">
        <f t="shared" si="70"/>
        <v>5.0110424054931116E-2</v>
      </c>
      <c r="CV21" s="95">
        <f t="shared" si="56"/>
        <v>5.7355304641191249E-2</v>
      </c>
      <c r="CW21" s="96" t="e">
        <f>#REF!</f>
        <v>#REF!</v>
      </c>
      <c r="CX21" s="97">
        <f t="shared" si="57"/>
        <v>0.12984461841623504</v>
      </c>
      <c r="CY21" s="98">
        <f t="shared" si="57"/>
        <v>1.2855902813488619E-2</v>
      </c>
      <c r="CZ21" s="97">
        <f t="shared" si="57"/>
        <v>0.1806254345295151</v>
      </c>
      <c r="DA21" s="98">
        <f t="shared" si="57"/>
        <v>4.178168414383801E-2</v>
      </c>
      <c r="DB21" s="94">
        <f t="shared" si="14"/>
        <v>0.19669531304637586</v>
      </c>
      <c r="DC21" s="94">
        <f t="shared" si="15"/>
        <v>8.5620312737841681E-2</v>
      </c>
      <c r="DD21" s="94">
        <f t="shared" si="15"/>
        <v>0.14591449693309583</v>
      </c>
      <c r="DE21" s="94">
        <f t="shared" si="15"/>
        <v>0.19669531304637586</v>
      </c>
      <c r="DF21" s="94">
        <f t="shared" si="15"/>
        <v>0</v>
      </c>
      <c r="DG21" s="94">
        <f t="shared" si="15"/>
        <v>0</v>
      </c>
      <c r="DH21" s="95">
        <f t="shared" si="15"/>
        <v>0.6249254357636892</v>
      </c>
      <c r="DI21" s="96" t="e">
        <f>#REF!</f>
        <v>#REF!</v>
      </c>
      <c r="DJ21" s="95">
        <f t="shared" si="58"/>
        <v>2.6769203633386676</v>
      </c>
      <c r="DK21" s="96" t="e">
        <f>#REF!</f>
        <v>#REF!</v>
      </c>
      <c r="DL21" s="95">
        <f t="shared" si="59"/>
        <v>-0.90675639401193409</v>
      </c>
      <c r="DM21" s="96">
        <f t="shared" si="16"/>
        <v>0</v>
      </c>
      <c r="DN21" s="94">
        <f t="shared" si="17"/>
        <v>2.457821068459336</v>
      </c>
      <c r="DO21" s="100">
        <v>3.4</v>
      </c>
      <c r="DP21" s="94">
        <f t="shared" si="71"/>
        <v>4.2279850377860697</v>
      </c>
      <c r="DQ21" s="94">
        <f t="shared" si="72"/>
        <v>2.947492422141468</v>
      </c>
      <c r="DR21" s="101">
        <f t="shared" si="18"/>
        <v>3.13</v>
      </c>
      <c r="DS21" s="147"/>
      <c r="DT21" s="103">
        <v>16</v>
      </c>
      <c r="DU21" s="135">
        <v>638101</v>
      </c>
      <c r="DV21" s="135">
        <v>30179</v>
      </c>
      <c r="DW21" s="518">
        <v>5156237</v>
      </c>
      <c r="DX21" s="517">
        <v>123232</v>
      </c>
      <c r="DY21" s="135">
        <v>88096.3</v>
      </c>
      <c r="DZ21" s="518">
        <v>407575</v>
      </c>
      <c r="EA21" s="135">
        <v>244243</v>
      </c>
      <c r="EB21" s="136">
        <v>56406.2</v>
      </c>
      <c r="EC21" s="518">
        <v>425407</v>
      </c>
      <c r="ED21" s="518">
        <v>48655.4</v>
      </c>
      <c r="EE21" s="136">
        <v>41356.400000000001</v>
      </c>
      <c r="EF21" s="519">
        <v>43558.6</v>
      </c>
      <c r="EG21" s="518">
        <v>95529.2</v>
      </c>
      <c r="EH21" s="518">
        <v>188067.7</v>
      </c>
      <c r="EI21" s="518">
        <v>35173</v>
      </c>
      <c r="EJ21" s="136">
        <v>43725</v>
      </c>
      <c r="EK21" s="136"/>
      <c r="EL21" s="518">
        <v>723526.4</v>
      </c>
      <c r="EM21" s="455">
        <v>3983</v>
      </c>
      <c r="EN21" s="455">
        <v>48419.5</v>
      </c>
      <c r="EO21" s="518">
        <v>3138078</v>
      </c>
      <c r="EP21" s="136">
        <v>2845954</v>
      </c>
      <c r="EQ21" s="136">
        <v>169</v>
      </c>
      <c r="ER21" s="136">
        <v>1511</v>
      </c>
      <c r="ES21" s="136">
        <v>428048</v>
      </c>
      <c r="ET21" s="136">
        <v>8989336</v>
      </c>
      <c r="EU21" s="136">
        <v>162511</v>
      </c>
      <c r="EV21" s="136">
        <v>465826</v>
      </c>
      <c r="EW21" s="136">
        <v>143211</v>
      </c>
      <c r="EX21" s="136">
        <v>223214.1</v>
      </c>
      <c r="EY21" s="136">
        <v>1723650.4</v>
      </c>
      <c r="EZ21" s="136">
        <v>834257.6</v>
      </c>
      <c r="FA21" s="136">
        <v>769897</v>
      </c>
      <c r="FB21" s="136">
        <v>32167.4</v>
      </c>
      <c r="FC21" s="136">
        <v>2413</v>
      </c>
      <c r="FD21" s="77">
        <f t="shared" si="75"/>
        <v>5577.5</v>
      </c>
      <c r="FE21" s="455">
        <v>1065</v>
      </c>
      <c r="FF21" s="456">
        <v>0</v>
      </c>
      <c r="FG21" s="105">
        <f t="shared" ref="FG21:FG29" si="76">FG54-FG53</f>
        <v>997</v>
      </c>
      <c r="FH21" s="136">
        <v>1636</v>
      </c>
      <c r="FI21" s="136">
        <v>663</v>
      </c>
      <c r="FJ21" s="105">
        <f t="shared" si="19"/>
        <v>0</v>
      </c>
      <c r="FK21" s="455">
        <v>0</v>
      </c>
      <c r="FL21" s="136">
        <v>918.5</v>
      </c>
      <c r="FM21" s="455">
        <v>298</v>
      </c>
      <c r="FN21" s="80">
        <v>1000</v>
      </c>
      <c r="FO21" s="104"/>
      <c r="FP21" s="484"/>
      <c r="FY21" s="119">
        <v>16</v>
      </c>
      <c r="FZ21" s="107"/>
      <c r="GA21" s="163"/>
      <c r="GB21" s="107"/>
      <c r="GC21" s="109"/>
      <c r="GD21" s="110"/>
      <c r="GE21" s="110"/>
      <c r="GF21" s="111"/>
      <c r="GG21" s="111"/>
      <c r="GH21" s="111"/>
      <c r="GI21" s="164"/>
      <c r="GJ21" s="111" t="e">
        <f t="shared" si="60"/>
        <v>#DIV/0!</v>
      </c>
      <c r="GK21" s="113"/>
    </row>
    <row r="22" spans="1:193" ht="15" customHeight="1">
      <c r="B22" s="351">
        <v>43025</v>
      </c>
      <c r="D22" s="329">
        <v>5808</v>
      </c>
      <c r="E22" s="329">
        <v>4646.88</v>
      </c>
      <c r="F22" s="329">
        <v>2125.44</v>
      </c>
      <c r="G22" s="329">
        <v>4342.4520000000002</v>
      </c>
      <c r="H22" s="329">
        <v>8185.9269999999997</v>
      </c>
      <c r="I22" s="329">
        <v>1561.1569999999999</v>
      </c>
      <c r="J22" s="329">
        <v>0</v>
      </c>
      <c r="K22" s="391">
        <v>1.4E-2</v>
      </c>
      <c r="L22" s="284">
        <f>136.24+40</f>
        <v>176.24</v>
      </c>
      <c r="M22" s="115">
        <f t="shared" si="61"/>
        <v>1561.1569999999999</v>
      </c>
      <c r="N22" s="88">
        <f t="shared" si="20"/>
        <v>25108.699000000001</v>
      </c>
      <c r="O22" s="88">
        <f>(N22+L22+((J22+I22)*0.5))-356</f>
        <v>25709.517500000002</v>
      </c>
      <c r="P22" s="89">
        <f t="shared" si="22"/>
        <v>365129.28750000003</v>
      </c>
      <c r="Q22" s="168"/>
      <c r="R22" s="170">
        <f t="shared" si="23"/>
        <v>1.6999999999534339</v>
      </c>
      <c r="S22" s="170">
        <f t="shared" si="24"/>
        <v>0</v>
      </c>
      <c r="T22" s="170">
        <f t="shared" si="1"/>
        <v>316.39999999999998</v>
      </c>
      <c r="U22" s="170">
        <f t="shared" si="73"/>
        <v>0</v>
      </c>
      <c r="V22" s="170">
        <f>IF(EO22=0,"",(EO22-EO21))</f>
        <v>1019.7999999998137</v>
      </c>
      <c r="W22" s="170">
        <f t="shared" si="2"/>
        <v>90.1</v>
      </c>
      <c r="X22" s="170">
        <f t="shared" si="26"/>
        <v>1019.7999999998137</v>
      </c>
      <c r="Y22" s="170">
        <f t="shared" si="27"/>
        <v>79.599999999999994</v>
      </c>
      <c r="Z22" s="170">
        <f t="shared" si="3"/>
        <v>183.2</v>
      </c>
      <c r="AA22" s="501">
        <f t="shared" si="28"/>
        <v>1337.8999999997673</v>
      </c>
      <c r="AB22" s="170">
        <f t="shared" si="29"/>
        <v>161</v>
      </c>
      <c r="AC22" s="170">
        <f t="shared" si="29"/>
        <v>21</v>
      </c>
      <c r="AD22" s="501">
        <f t="shared" si="4"/>
        <v>333</v>
      </c>
      <c r="AE22" s="501">
        <f t="shared" si="30"/>
        <v>151</v>
      </c>
      <c r="AF22" s="170">
        <f t="shared" si="31"/>
        <v>118</v>
      </c>
      <c r="AG22" s="170">
        <f t="shared" si="31"/>
        <v>88.599999999991269</v>
      </c>
      <c r="AH22" s="501">
        <f t="shared" si="5"/>
        <v>264</v>
      </c>
      <c r="AI22" s="501">
        <f t="shared" si="32"/>
        <v>57.400000000008731</v>
      </c>
      <c r="AJ22" s="170">
        <f t="shared" si="33"/>
        <v>107</v>
      </c>
      <c r="AK22" s="170">
        <f t="shared" si="33"/>
        <v>11.900000000001455</v>
      </c>
      <c r="AL22" s="501">
        <f t="shared" si="6"/>
        <v>253</v>
      </c>
      <c r="AM22" s="501">
        <f t="shared" si="34"/>
        <v>134.09999999999854</v>
      </c>
      <c r="AN22" s="170">
        <f t="shared" si="35"/>
        <v>0</v>
      </c>
      <c r="AO22" s="501">
        <f t="shared" si="7"/>
        <v>33.5</v>
      </c>
      <c r="AP22" s="170">
        <f t="shared" si="36"/>
        <v>19.80000000000291</v>
      </c>
      <c r="AQ22" s="501">
        <f t="shared" si="8"/>
        <v>25.099999999976717</v>
      </c>
      <c r="AR22" s="170">
        <f t="shared" si="37"/>
        <v>70.47</v>
      </c>
      <c r="AS22" s="501">
        <f t="shared" si="38"/>
        <v>134.47000000000003</v>
      </c>
      <c r="AT22" s="501">
        <f t="shared" si="39"/>
        <v>499.47</v>
      </c>
      <c r="AU22" s="170">
        <f t="shared" si="62"/>
        <v>149</v>
      </c>
      <c r="AV22" s="501">
        <f t="shared" si="63"/>
        <v>42</v>
      </c>
      <c r="AW22" s="170">
        <f t="shared" si="64"/>
        <v>216</v>
      </c>
      <c r="AX22" s="501">
        <f t="shared" si="65"/>
        <v>34</v>
      </c>
      <c r="AY22" s="501" t="str">
        <f t="shared" si="65"/>
        <v/>
      </c>
      <c r="AZ22" s="170">
        <f t="shared" si="40"/>
        <v>334</v>
      </c>
      <c r="BA22" s="170">
        <v>41</v>
      </c>
      <c r="BB22" s="170">
        <f>IF(EX22=0,"",(EX22-EX21))</f>
        <v>144.69999999998254</v>
      </c>
      <c r="BC22" s="170">
        <f t="shared" si="41"/>
        <v>0</v>
      </c>
      <c r="BD22" s="170">
        <f t="shared" si="42"/>
        <v>228</v>
      </c>
      <c r="BE22" s="90"/>
      <c r="BF22" s="90"/>
      <c r="BG22" s="501">
        <f t="shared" si="43"/>
        <v>706.69999999998254</v>
      </c>
      <c r="BH22" s="501">
        <f t="shared" si="44"/>
        <v>4788</v>
      </c>
      <c r="BI22" s="90">
        <f t="shared" si="9"/>
        <v>171.33000000027369</v>
      </c>
      <c r="BJ22" s="90">
        <f t="shared" si="45"/>
        <v>3528.6699999997263</v>
      </c>
      <c r="BK22" s="92"/>
      <c r="BL22" s="331">
        <f>FD22+FN22</f>
        <v>8488</v>
      </c>
      <c r="BM22" s="93">
        <f t="shared" si="46"/>
        <v>108531.71999999999</v>
      </c>
      <c r="BN22" s="92"/>
      <c r="BO22" s="94">
        <f t="shared" si="47"/>
        <v>6.7705618676357302E-4</v>
      </c>
      <c r="BP22" s="94">
        <f t="shared" si="47"/>
        <v>0</v>
      </c>
      <c r="BQ22" s="94">
        <f t="shared" si="48"/>
        <v>0.12601210441050728</v>
      </c>
      <c r="BR22" s="94">
        <f t="shared" si="67"/>
        <v>0.40615405840016389</v>
      </c>
      <c r="BS22" s="94">
        <f t="shared" ref="BS22:BU36" si="77">IF($N22&lt;&gt;0,IF($N22&lt;&gt;0,Y22/$N22*10,0)," ")</f>
        <v>3.1702160275209793E-2</v>
      </c>
      <c r="BT22" s="94">
        <f t="shared" si="77"/>
        <v>7.2962760834402438E-2</v>
      </c>
      <c r="BU22" s="95">
        <f t="shared" si="77"/>
        <v>0.53284321899743481</v>
      </c>
      <c r="BV22" s="94">
        <f t="shared" si="11"/>
        <v>6.6123372402980096E-4</v>
      </c>
      <c r="BW22" s="94">
        <f t="shared" si="11"/>
        <v>0</v>
      </c>
      <c r="BX22" s="94">
        <f t="shared" si="11"/>
        <v>0.12306726487574103</v>
      </c>
      <c r="BY22" s="94">
        <f t="shared" si="49"/>
        <v>0.3966624422258464</v>
      </c>
      <c r="BZ22" s="95">
        <f t="shared" si="12"/>
        <v>0.52039094082561732</v>
      </c>
      <c r="CA22" s="96" t="e">
        <f>#REF!</f>
        <v>#REF!</v>
      </c>
      <c r="CB22" s="94">
        <f t="shared" si="50"/>
        <v>2.7410082666856735E-2</v>
      </c>
      <c r="CC22" s="95">
        <f t="shared" si="50"/>
        <v>5.2303587572189961E-2</v>
      </c>
      <c r="CD22" s="97">
        <f t="shared" si="13"/>
        <v>0.45139598387606122</v>
      </c>
      <c r="CE22" s="98">
        <f t="shared" si="13"/>
        <v>0.86134834613046629</v>
      </c>
      <c r="CF22" s="97">
        <f t="shared" si="51"/>
        <v>0.27720385674931131</v>
      </c>
      <c r="CG22" s="94">
        <f t="shared" si="51"/>
        <v>3.6157024793388434E-2</v>
      </c>
      <c r="CH22" s="95">
        <f t="shared" si="52"/>
        <v>0.57334710743801653</v>
      </c>
      <c r="CI22" s="96" t="e">
        <f>#REF!</f>
        <v>#REF!</v>
      </c>
      <c r="CJ22" s="94">
        <f t="shared" si="53"/>
        <v>0.25393382226354022</v>
      </c>
      <c r="CK22" s="94">
        <f t="shared" si="53"/>
        <v>0.19066556485209704</v>
      </c>
      <c r="CL22" s="95">
        <f t="shared" si="68"/>
        <v>0.56812312777605611</v>
      </c>
      <c r="CM22" s="95" t="e">
        <f>#REF!</f>
        <v>#REF!</v>
      </c>
      <c r="CN22" s="94">
        <f t="shared" si="54"/>
        <v>0.5034251731406203</v>
      </c>
      <c r="CO22" s="94">
        <f t="shared" si="54"/>
        <v>5.5988407106300132E-2</v>
      </c>
      <c r="CP22" s="95">
        <f t="shared" si="55"/>
        <v>1.1903417645287564</v>
      </c>
      <c r="CQ22" s="95" t="e">
        <f>#REF!</f>
        <v>#REF!</v>
      </c>
      <c r="CR22" s="97">
        <f t="shared" si="69"/>
        <v>0</v>
      </c>
      <c r="CS22" s="95">
        <f t="shared" si="69"/>
        <v>7.7145354744278111E-2</v>
      </c>
      <c r="CT22" s="96" t="e">
        <f>#REF!</f>
        <v>#REF!</v>
      </c>
      <c r="CU22" s="97">
        <f t="shared" si="70"/>
        <v>2.4187853128916144E-2</v>
      </c>
      <c r="CV22" s="95">
        <f t="shared" si="56"/>
        <v>3.0662379471471851E-2</v>
      </c>
      <c r="CW22" s="96" t="e">
        <f>#REF!</f>
        <v>#REF!</v>
      </c>
      <c r="CX22" s="97">
        <f t="shared" si="57"/>
        <v>5.7955191107728871E-2</v>
      </c>
      <c r="CY22" s="98">
        <f t="shared" si="57"/>
        <v>1.633636259412492E-2</v>
      </c>
      <c r="CZ22" s="97">
        <f t="shared" si="57"/>
        <v>8.4015579055499584E-2</v>
      </c>
      <c r="DA22" s="98">
        <f t="shared" si="57"/>
        <v>1.3224674480958267E-2</v>
      </c>
      <c r="DB22" s="94">
        <f t="shared" si="14"/>
        <v>0.1299129787247077</v>
      </c>
      <c r="DC22" s="94">
        <f t="shared" si="15"/>
        <v>5.628265874689501E-2</v>
      </c>
      <c r="DD22" s="94">
        <f t="shared" si="15"/>
        <v>0</v>
      </c>
      <c r="DE22" s="94">
        <f t="shared" si="15"/>
        <v>8.868311122524955E-2</v>
      </c>
      <c r="DF22" s="94">
        <f t="shared" si="15"/>
        <v>0</v>
      </c>
      <c r="DG22" s="94">
        <f t="shared" si="15"/>
        <v>0</v>
      </c>
      <c r="DH22" s="95">
        <f t="shared" si="15"/>
        <v>0.27487874869685225</v>
      </c>
      <c r="DI22" s="96" t="e">
        <f>#REF!</f>
        <v>#REF!</v>
      </c>
      <c r="DJ22" s="95">
        <f t="shared" si="58"/>
        <v>1.8623453357302404</v>
      </c>
      <c r="DK22" s="96" t="e">
        <f>#REF!</f>
        <v>#REF!</v>
      </c>
      <c r="DL22" s="95">
        <f t="shared" si="59"/>
        <v>6.6640690553711746E-2</v>
      </c>
      <c r="DM22" s="96">
        <f t="shared" si="16"/>
        <v>0</v>
      </c>
      <c r="DN22" s="94">
        <f t="shared" si="17"/>
        <v>1.3725150617858644</v>
      </c>
      <c r="DO22" s="100">
        <v>3.4</v>
      </c>
      <c r="DP22" s="94">
        <f t="shared" si="71"/>
        <v>3.3015010880698163</v>
      </c>
      <c r="DQ22" s="94">
        <f t="shared" si="72"/>
        <v>2.972418913396532</v>
      </c>
      <c r="DR22" s="101">
        <f t="shared" si="18"/>
        <v>3.13</v>
      </c>
      <c r="DS22" s="116"/>
      <c r="DT22" s="103">
        <v>17</v>
      </c>
      <c r="DU22" s="135">
        <v>638262</v>
      </c>
      <c r="DV22" s="135">
        <v>30200</v>
      </c>
      <c r="DW22" s="518">
        <v>5156409</v>
      </c>
      <c r="DX22" s="517">
        <v>123350</v>
      </c>
      <c r="DY22" s="518">
        <v>88184.9</v>
      </c>
      <c r="DZ22" s="518">
        <v>407721</v>
      </c>
      <c r="EA22" s="455">
        <v>244350</v>
      </c>
      <c r="EB22" s="455">
        <v>56418.1</v>
      </c>
      <c r="EC22" s="518">
        <v>425553</v>
      </c>
      <c r="ED22" s="518">
        <v>48655.4</v>
      </c>
      <c r="EE22" s="455">
        <v>41384.800000000003</v>
      </c>
      <c r="EF22" s="136">
        <v>43563.7</v>
      </c>
      <c r="EG22" s="518">
        <v>95549</v>
      </c>
      <c r="EH22" s="518">
        <v>188092.79999999999</v>
      </c>
      <c r="EI22" s="518">
        <v>35215</v>
      </c>
      <c r="EJ22" s="136">
        <v>43759</v>
      </c>
      <c r="EK22" s="136"/>
      <c r="EL22" s="518">
        <v>723528.1</v>
      </c>
      <c r="EM22" s="455">
        <v>3164</v>
      </c>
      <c r="EN22" s="455">
        <v>48419.5</v>
      </c>
      <c r="EO22" s="518">
        <v>3139097.8</v>
      </c>
      <c r="EP22" s="136">
        <v>2846855</v>
      </c>
      <c r="EQ22" s="136">
        <v>796</v>
      </c>
      <c r="ER22" s="136">
        <v>1832</v>
      </c>
      <c r="ES22" s="136">
        <v>428477</v>
      </c>
      <c r="ET22" s="136">
        <v>9059806</v>
      </c>
      <c r="EU22" s="136">
        <v>162727</v>
      </c>
      <c r="EV22" s="136">
        <v>465975</v>
      </c>
      <c r="EW22" s="136">
        <v>143545</v>
      </c>
      <c r="EX22" s="136">
        <v>223358.8</v>
      </c>
      <c r="EY22" s="136">
        <v>1723650.4</v>
      </c>
      <c r="EZ22" s="136">
        <v>834257.6</v>
      </c>
      <c r="FA22" s="145">
        <v>770125</v>
      </c>
      <c r="FB22" s="136">
        <v>32211.8</v>
      </c>
      <c r="FC22" s="136">
        <v>3700</v>
      </c>
      <c r="FD22" s="77">
        <f t="shared" si="75"/>
        <v>4084</v>
      </c>
      <c r="FE22" s="456">
        <v>0</v>
      </c>
      <c r="FF22" s="456">
        <v>0</v>
      </c>
      <c r="FG22" s="105">
        <f t="shared" si="76"/>
        <v>1142</v>
      </c>
      <c r="FH22" s="136">
        <v>1152</v>
      </c>
      <c r="FI22" s="136">
        <v>451</v>
      </c>
      <c r="FJ22" s="105">
        <f t="shared" si="19"/>
        <v>0</v>
      </c>
      <c r="FK22" s="456">
        <v>0</v>
      </c>
      <c r="FL22" s="136">
        <v>917</v>
      </c>
      <c r="FM22" s="136">
        <v>422</v>
      </c>
      <c r="FN22" s="187">
        <v>4404</v>
      </c>
      <c r="FO22" s="455">
        <v>1140135</v>
      </c>
      <c r="FP22" s="484" t="s">
        <v>310</v>
      </c>
      <c r="FR22" s="64"/>
      <c r="FS22" s="64"/>
      <c r="FT22" s="64"/>
      <c r="FU22" s="64"/>
      <c r="FV22" s="64"/>
      <c r="FW22" s="64"/>
      <c r="FX22" s="64"/>
      <c r="FY22" s="64">
        <v>17</v>
      </c>
      <c r="FZ22" s="107"/>
      <c r="GA22" s="107"/>
      <c r="GB22" s="107"/>
      <c r="GC22" s="109"/>
      <c r="GD22" s="110"/>
      <c r="GE22" s="110"/>
      <c r="GF22" s="111"/>
      <c r="GG22" s="111"/>
      <c r="GH22" s="111"/>
      <c r="GI22" s="164"/>
      <c r="GJ22" s="111" t="e">
        <f t="shared" si="60"/>
        <v>#DIV/0!</v>
      </c>
      <c r="GK22" s="118"/>
    </row>
    <row r="23" spans="1:193" s="119" customFormat="1" ht="15" customHeight="1">
      <c r="B23" s="351">
        <v>43026</v>
      </c>
      <c r="D23" s="128">
        <v>4728</v>
      </c>
      <c r="E23" s="128">
        <v>0</v>
      </c>
      <c r="F23" s="86">
        <v>2724.6239999999998</v>
      </c>
      <c r="G23" s="86">
        <v>4405.2659999999996</v>
      </c>
      <c r="H23" s="86">
        <v>8123.7749999999996</v>
      </c>
      <c r="I23" s="86">
        <v>1755.4299999999998</v>
      </c>
      <c r="J23" s="86">
        <v>3292.08</v>
      </c>
      <c r="K23" s="391"/>
      <c r="L23" s="284">
        <v>0</v>
      </c>
      <c r="M23" s="115">
        <f>I23+J23</f>
        <v>5047.51</v>
      </c>
      <c r="N23" s="88">
        <f>SUM(D23:H23)</f>
        <v>19981.665000000001</v>
      </c>
      <c r="O23" s="88">
        <f t="shared" si="21"/>
        <v>22505.420000000002</v>
      </c>
      <c r="P23" s="89">
        <f t="shared" si="22"/>
        <v>387634.70750000002</v>
      </c>
      <c r="R23" s="170">
        <f t="shared" si="23"/>
        <v>124.40000000002328</v>
      </c>
      <c r="S23" s="170">
        <f t="shared" si="24"/>
        <v>158.19999999999999</v>
      </c>
      <c r="T23" s="170">
        <f t="shared" si="1"/>
        <v>387.9</v>
      </c>
      <c r="U23" s="170">
        <f>IF(FB23=0,"",((EN23-EN22)/10))</f>
        <v>0.59000000000014552</v>
      </c>
      <c r="V23" s="170">
        <f>IF(EO23=0,"",(EO23-EO22))</f>
        <v>1164.8000000002794</v>
      </c>
      <c r="W23" s="170">
        <f t="shared" si="2"/>
        <v>102.7</v>
      </c>
      <c r="X23" s="170">
        <f>IF(V23="","",V23)</f>
        <v>1164.8000000002794</v>
      </c>
      <c r="Y23" s="170">
        <f t="shared" si="27"/>
        <v>58.5</v>
      </c>
      <c r="Z23" s="170">
        <f t="shared" si="3"/>
        <v>177.6</v>
      </c>
      <c r="AA23" s="501">
        <f t="shared" si="28"/>
        <v>1835.8900000003027</v>
      </c>
      <c r="AB23" s="170">
        <f t="shared" si="29"/>
        <v>155</v>
      </c>
      <c r="AC23" s="170">
        <f t="shared" si="29"/>
        <v>77</v>
      </c>
      <c r="AD23" s="501">
        <f t="shared" si="4"/>
        <v>421</v>
      </c>
      <c r="AE23" s="501">
        <f t="shared" si="30"/>
        <v>189</v>
      </c>
      <c r="AF23" s="170">
        <f>IF(DX23=0,"",(DX23-DX22))</f>
        <v>54</v>
      </c>
      <c r="AG23" s="170">
        <f t="shared" si="31"/>
        <v>84.700000000011642</v>
      </c>
      <c r="AH23" s="501">
        <f t="shared" si="5"/>
        <v>314</v>
      </c>
      <c r="AI23" s="501">
        <f t="shared" si="32"/>
        <v>175.29999999998836</v>
      </c>
      <c r="AJ23" s="170">
        <f t="shared" si="33"/>
        <v>140</v>
      </c>
      <c r="AK23" s="170">
        <f t="shared" si="33"/>
        <v>38.30000000000291</v>
      </c>
      <c r="AL23" s="501">
        <f t="shared" si="6"/>
        <v>326</v>
      </c>
      <c r="AM23" s="501">
        <f t="shared" si="34"/>
        <v>147.69999999999709</v>
      </c>
      <c r="AN23" s="170">
        <f t="shared" si="35"/>
        <v>0</v>
      </c>
      <c r="AO23" s="501">
        <f>IF(AN23="","",(EE23-EE22)+(EF23-EF22))</f>
        <v>31.5</v>
      </c>
      <c r="AP23" s="170">
        <f t="shared" si="36"/>
        <v>16.399999999994179</v>
      </c>
      <c r="AQ23" s="501">
        <f>IF(AP23=0.1,0,(IF(AP23&gt;=(EH23-EH22),(AP23),(EH23-EH22))))</f>
        <v>109.30000000001746</v>
      </c>
      <c r="AR23" s="170">
        <f>IF(ET23=0,"",(ET23-ET22)/1000)</f>
        <v>80.981999999999999</v>
      </c>
      <c r="AS23" s="501">
        <f>IF(AR23="","",(ES23-ES22)+((ET23-ET22)/1000)-AW23-AU23)</f>
        <v>132.98199999999997</v>
      </c>
      <c r="AT23" s="501">
        <f t="shared" si="39"/>
        <v>916.98199999999997</v>
      </c>
      <c r="AU23" s="170">
        <f t="shared" si="62"/>
        <v>508</v>
      </c>
      <c r="AV23" s="501">
        <f t="shared" si="63"/>
        <v>44</v>
      </c>
      <c r="AW23" s="170">
        <f t="shared" si="64"/>
        <v>276</v>
      </c>
      <c r="AX23" s="501">
        <f>IF(EJ23=0,"",(EJ23-EJ22))</f>
        <v>30</v>
      </c>
      <c r="AY23" s="501" t="str">
        <f t="shared" si="65"/>
        <v/>
      </c>
      <c r="AZ23" s="170">
        <f t="shared" si="40"/>
        <v>299</v>
      </c>
      <c r="BA23" s="170">
        <v>112</v>
      </c>
      <c r="BB23" s="170">
        <f t="shared" si="41"/>
        <v>122.80000000001746</v>
      </c>
      <c r="BC23" s="170">
        <f t="shared" si="41"/>
        <v>114.70000000018626</v>
      </c>
      <c r="BD23" s="170">
        <f t="shared" si="42"/>
        <v>254</v>
      </c>
      <c r="BE23" s="90"/>
      <c r="BF23" s="90"/>
      <c r="BG23" s="501">
        <f t="shared" si="43"/>
        <v>790.50000000020373</v>
      </c>
      <c r="BH23" s="501">
        <f>BL23-FC23</f>
        <v>495</v>
      </c>
      <c r="BI23" s="90">
        <f>IF(FC23=0,"",(FC23-BJ23))</f>
        <v>81.827999999475651</v>
      </c>
      <c r="BJ23" s="90">
        <f t="shared" si="45"/>
        <v>4819.1720000005243</v>
      </c>
      <c r="BK23" s="92"/>
      <c r="BL23" s="331">
        <f t="shared" si="66"/>
        <v>5396</v>
      </c>
      <c r="BM23" s="93">
        <f>BL23+BM22</f>
        <v>113927.71999999999</v>
      </c>
      <c r="BN23" s="92"/>
      <c r="BO23" s="94">
        <f t="shared" si="47"/>
        <v>6.2257074172759511E-2</v>
      </c>
      <c r="BP23" s="94">
        <f t="shared" si="47"/>
        <v>7.9172581464057173E-2</v>
      </c>
      <c r="BQ23" s="94">
        <f t="shared" si="48"/>
        <v>0.19412796681357633</v>
      </c>
      <c r="BR23" s="94">
        <f t="shared" si="67"/>
        <v>0.58293440511602979</v>
      </c>
      <c r="BS23" s="94">
        <f t="shared" si="77"/>
        <v>2.9276839542650722E-2</v>
      </c>
      <c r="BT23" s="94">
        <f>IF($N23&lt;&gt;0,IF($N23&lt;&gt;0,Z23/$N23*10,0)," ")</f>
        <v>8.8881482098713979E-2</v>
      </c>
      <c r="BU23" s="95">
        <f t="shared" si="77"/>
        <v>0.91878729825582739</v>
      </c>
      <c r="BV23" s="94">
        <f t="shared" si="11"/>
        <v>5.5275573617387844E-2</v>
      </c>
      <c r="BW23" s="94">
        <f t="shared" si="11"/>
        <v>7.0294178024671389E-2</v>
      </c>
      <c r="BX23" s="94">
        <f t="shared" si="11"/>
        <v>0.17235848075707982</v>
      </c>
      <c r="BY23" s="94">
        <f t="shared" si="49"/>
        <v>0.51756421342071346</v>
      </c>
      <c r="BZ23" s="95">
        <f t="shared" si="12"/>
        <v>0.81575460489086749</v>
      </c>
      <c r="CA23" s="96" t="e">
        <f>#REF!</f>
        <v>#REF!</v>
      </c>
      <c r="CB23" s="94">
        <f t="shared" si="50"/>
        <v>3.5983332015132354E-2</v>
      </c>
      <c r="CC23" s="95">
        <f t="shared" si="50"/>
        <v>5.9088877257122932E-2</v>
      </c>
      <c r="CD23" s="97">
        <f t="shared" si="13"/>
        <v>0.16043950383456396</v>
      </c>
      <c r="CE23" s="98">
        <f t="shared" si="13"/>
        <v>0.26346059740347216</v>
      </c>
      <c r="CF23" s="97">
        <f t="shared" si="51"/>
        <v>0.32783417935702197</v>
      </c>
      <c r="CG23" s="94">
        <f t="shared" si="51"/>
        <v>0.1628595600676819</v>
      </c>
      <c r="CH23" s="95">
        <f t="shared" si="52"/>
        <v>0.89043993231810492</v>
      </c>
      <c r="CI23" s="96" t="e">
        <f>#REF!</f>
        <v>#REF!</v>
      </c>
      <c r="CJ23" s="94" t="str">
        <f t="shared" si="53"/>
        <v>0,00</v>
      </c>
      <c r="CK23" s="94" t="str">
        <f t="shared" si="53"/>
        <v>0,00</v>
      </c>
      <c r="CL23" s="95" t="str">
        <f t="shared" si="68"/>
        <v xml:space="preserve">0,00 </v>
      </c>
      <c r="CM23" s="95" t="e">
        <f>#REF!</f>
        <v>#REF!</v>
      </c>
      <c r="CN23" s="94">
        <f t="shared" si="54"/>
        <v>0.51383236732848281</v>
      </c>
      <c r="CO23" s="94">
        <f t="shared" si="54"/>
        <v>0.14056985477630277</v>
      </c>
      <c r="CP23" s="95">
        <f t="shared" si="55"/>
        <v>1.1964953696363243</v>
      </c>
      <c r="CQ23" s="95" t="e">
        <f>#REF!</f>
        <v>#REF!</v>
      </c>
      <c r="CR23" s="97">
        <f t="shared" si="69"/>
        <v>0</v>
      </c>
      <c r="CS23" s="95">
        <f t="shared" si="69"/>
        <v>7.1505330211614926E-2</v>
      </c>
      <c r="CT23" s="96" t="e">
        <f>#REF!</f>
        <v>#REF!</v>
      </c>
      <c r="CU23" s="97">
        <f t="shared" si="70"/>
        <v>2.0187659062436098E-2</v>
      </c>
      <c r="CV23" s="95">
        <f t="shared" si="56"/>
        <v>0.13454336192228056</v>
      </c>
      <c r="CW23" s="96" t="e">
        <f>#REF!</f>
        <v>#REF!</v>
      </c>
      <c r="CX23" s="99">
        <f t="shared" si="57"/>
        <v>0.22572340351790812</v>
      </c>
      <c r="CY23" s="95">
        <f t="shared" si="57"/>
        <v>1.9550845973992041E-2</v>
      </c>
      <c r="CZ23" s="99">
        <f t="shared" si="57"/>
        <v>0.12263712474595007</v>
      </c>
      <c r="DA23" s="95">
        <f t="shared" si="57"/>
        <v>1.3330122254994574E-2</v>
      </c>
      <c r="DB23" s="94">
        <f t="shared" si="14"/>
        <v>0.13285688514144592</v>
      </c>
      <c r="DC23" s="94">
        <f t="shared" si="15"/>
        <v>5.456463376378555E-2</v>
      </c>
      <c r="DD23" s="94">
        <f t="shared" si="15"/>
        <v>5.0965500755012015E-2</v>
      </c>
      <c r="DE23" s="94">
        <f t="shared" si="15"/>
        <v>0.11286170175895406</v>
      </c>
      <c r="DF23" s="94">
        <f t="shared" si="15"/>
        <v>0</v>
      </c>
      <c r="DG23" s="94">
        <f t="shared" si="15"/>
        <v>0</v>
      </c>
      <c r="DH23" s="95">
        <f t="shared" si="15"/>
        <v>0.35124872141919755</v>
      </c>
      <c r="DI23" s="96" t="e">
        <f>#REF!</f>
        <v>#REF!</v>
      </c>
      <c r="DJ23" s="95">
        <f t="shared" si="58"/>
        <v>0.21994701720741044</v>
      </c>
      <c r="DK23" s="96" t="e">
        <f>#REF!</f>
        <v>#REF!</v>
      </c>
      <c r="DL23" s="95">
        <f t="shared" si="59"/>
        <v>3.6359241462490213E-2</v>
      </c>
      <c r="DM23" s="96">
        <f t="shared" si="16"/>
        <v>0</v>
      </c>
      <c r="DN23" s="94">
        <f t="shared" si="17"/>
        <v>2.1413383975951232</v>
      </c>
      <c r="DO23" s="100">
        <v>3.4</v>
      </c>
      <c r="DP23" s="94">
        <f>IF($O23&lt;&gt;0,IF($O23&lt;&gt;0,BL23/$O23*10,0)," ")</f>
        <v>2.3976446562650238</v>
      </c>
      <c r="DQ23" s="94">
        <f>IF($P23&lt;&gt;0,IF($P23&lt;&gt;0,BM23/$P23*10,0)," ")</f>
        <v>2.9390484854868157</v>
      </c>
      <c r="DR23" s="101">
        <f t="shared" si="18"/>
        <v>3.13</v>
      </c>
      <c r="DS23" s="171"/>
      <c r="DT23" s="103">
        <v>18</v>
      </c>
      <c r="DU23" s="373">
        <v>638417</v>
      </c>
      <c r="DV23" s="135">
        <v>30277</v>
      </c>
      <c r="DW23" s="373">
        <v>5156675</v>
      </c>
      <c r="DX23" s="373">
        <v>123404</v>
      </c>
      <c r="DY23" s="373">
        <v>88269.6</v>
      </c>
      <c r="DZ23" s="373">
        <v>407981</v>
      </c>
      <c r="EA23" s="373">
        <v>244490</v>
      </c>
      <c r="EB23" s="373">
        <v>56456.4</v>
      </c>
      <c r="EC23" s="373">
        <v>425739</v>
      </c>
      <c r="ED23" s="373">
        <v>48655.4</v>
      </c>
      <c r="EE23" s="373">
        <v>41410.9</v>
      </c>
      <c r="EF23" s="373">
        <v>43569.1</v>
      </c>
      <c r="EG23" s="373">
        <v>95565.4</v>
      </c>
      <c r="EH23" s="373">
        <v>188202.1</v>
      </c>
      <c r="EI23" s="373">
        <v>35259</v>
      </c>
      <c r="EJ23" s="373">
        <v>43789</v>
      </c>
      <c r="EK23" s="330"/>
      <c r="EL23" s="373">
        <v>723652.5</v>
      </c>
      <c r="EM23" s="373">
        <v>3879</v>
      </c>
      <c r="EN23" s="373">
        <v>48425.4</v>
      </c>
      <c r="EO23" s="373">
        <v>3140262.6</v>
      </c>
      <c r="EP23" s="373">
        <v>2847882</v>
      </c>
      <c r="EQ23" s="373">
        <v>585</v>
      </c>
      <c r="ER23" s="373">
        <v>1776</v>
      </c>
      <c r="ES23" s="373">
        <v>429313</v>
      </c>
      <c r="ET23" s="373">
        <v>9140788</v>
      </c>
      <c r="EU23" s="373">
        <v>163003</v>
      </c>
      <c r="EV23" s="373">
        <v>466483</v>
      </c>
      <c r="EW23" s="373">
        <v>143844</v>
      </c>
      <c r="EX23" s="373">
        <v>223481.60000000001</v>
      </c>
      <c r="EY23" s="373">
        <v>1723765.1</v>
      </c>
      <c r="EZ23" s="521">
        <v>835839.6</v>
      </c>
      <c r="FA23" s="373">
        <v>770379</v>
      </c>
      <c r="FB23" s="136">
        <v>31923</v>
      </c>
      <c r="FC23" s="136">
        <v>4901</v>
      </c>
      <c r="FD23" s="77">
        <f t="shared" si="75"/>
        <v>4396</v>
      </c>
      <c r="FE23" s="105">
        <v>566</v>
      </c>
      <c r="FF23" s="513">
        <v>72</v>
      </c>
      <c r="FG23" s="123">
        <f t="shared" si="76"/>
        <v>505</v>
      </c>
      <c r="FH23" s="303">
        <v>1468</v>
      </c>
      <c r="FI23" s="496">
        <v>518</v>
      </c>
      <c r="FJ23" s="105">
        <v>0</v>
      </c>
      <c r="FK23" s="105">
        <v>0</v>
      </c>
      <c r="FL23" s="303">
        <v>916</v>
      </c>
      <c r="FM23" s="303">
        <v>351</v>
      </c>
      <c r="FN23" s="496">
        <v>1000</v>
      </c>
      <c r="FO23" s="104"/>
      <c r="FP23" s="487"/>
      <c r="FY23" s="119">
        <v>18</v>
      </c>
      <c r="FZ23" s="107"/>
      <c r="GA23" s="107"/>
      <c r="GB23" s="107"/>
      <c r="GC23" s="109"/>
      <c r="GD23" s="110"/>
      <c r="GE23" s="110"/>
      <c r="GF23" s="111"/>
      <c r="GG23" s="111"/>
      <c r="GH23" s="111"/>
      <c r="GI23" s="164"/>
      <c r="GJ23" s="111" t="e">
        <f t="shared" si="60"/>
        <v>#DIV/0!</v>
      </c>
    </row>
    <row r="24" spans="1:193" s="119" customFormat="1" ht="15" customHeight="1">
      <c r="B24" s="351">
        <v>43027</v>
      </c>
      <c r="D24" s="128">
        <v>5640</v>
      </c>
      <c r="E24" s="128">
        <v>4325.04</v>
      </c>
      <c r="F24" s="86">
        <v>2695.8240000000001</v>
      </c>
      <c r="G24" s="86">
        <v>5298.1409999999996</v>
      </c>
      <c r="H24" s="86">
        <v>2860.6469999999999</v>
      </c>
      <c r="I24" s="86">
        <v>1235.49</v>
      </c>
      <c r="J24" s="86">
        <v>5258.7240000000002</v>
      </c>
      <c r="K24" s="284">
        <v>18.902000000000001</v>
      </c>
      <c r="L24" s="284">
        <v>0</v>
      </c>
      <c r="M24" s="115">
        <f t="shared" si="61"/>
        <v>6494.2139999999999</v>
      </c>
      <c r="N24" s="88">
        <f t="shared" si="20"/>
        <v>20819.652000000002</v>
      </c>
      <c r="O24" s="88">
        <f>(N24+L24+((J24+I24)*0.5))-178</f>
        <v>23888.759000000002</v>
      </c>
      <c r="P24" s="89">
        <f t="shared" si="22"/>
        <v>411523.46650000004</v>
      </c>
      <c r="R24" s="170">
        <f t="shared" si="23"/>
        <v>346</v>
      </c>
      <c r="S24" s="170">
        <f t="shared" si="24"/>
        <v>39.080000000004659</v>
      </c>
      <c r="T24" s="170">
        <f t="shared" si="1"/>
        <v>728.6</v>
      </c>
      <c r="U24" s="170">
        <f>IF(FB24=0,"",((EN24-EN23)/10))</f>
        <v>5.8900000000001453</v>
      </c>
      <c r="V24" s="170">
        <f t="shared" si="25"/>
        <v>1267.6999999997206</v>
      </c>
      <c r="W24" s="170">
        <f t="shared" si="2"/>
        <v>111.5</v>
      </c>
      <c r="X24" s="170">
        <f t="shared" si="26"/>
        <v>1267.6999999997206</v>
      </c>
      <c r="Y24" s="170">
        <f t="shared" si="27"/>
        <v>93.5</v>
      </c>
      <c r="Z24" s="170">
        <f t="shared" si="3"/>
        <v>195.9</v>
      </c>
      <c r="AA24" s="501">
        <f t="shared" si="28"/>
        <v>2387.2699999997253</v>
      </c>
      <c r="AB24" s="170">
        <f t="shared" si="29"/>
        <v>184</v>
      </c>
      <c r="AC24" s="170">
        <f t="shared" si="29"/>
        <v>37</v>
      </c>
      <c r="AD24" s="501">
        <f t="shared" si="4"/>
        <v>392</v>
      </c>
      <c r="AE24" s="501">
        <f t="shared" si="30"/>
        <v>171</v>
      </c>
      <c r="AF24" s="170">
        <f t="shared" si="31"/>
        <v>102</v>
      </c>
      <c r="AG24" s="170">
        <f t="shared" si="31"/>
        <v>81.399999999994179</v>
      </c>
      <c r="AH24" s="501">
        <f t="shared" si="5"/>
        <v>230</v>
      </c>
      <c r="AI24" s="501">
        <f t="shared" si="32"/>
        <v>46.600000000005821</v>
      </c>
      <c r="AJ24" s="170">
        <f t="shared" si="33"/>
        <v>153</v>
      </c>
      <c r="AK24" s="170">
        <f t="shared" si="33"/>
        <v>10.5</v>
      </c>
      <c r="AL24" s="501">
        <f t="shared" si="6"/>
        <v>256</v>
      </c>
      <c r="AM24" s="501">
        <f t="shared" si="34"/>
        <v>92.5</v>
      </c>
      <c r="AN24" s="170">
        <f t="shared" si="35"/>
        <v>0</v>
      </c>
      <c r="AO24" s="501">
        <f t="shared" si="7"/>
        <v>40.19999999999709</v>
      </c>
      <c r="AP24" s="170">
        <f t="shared" si="36"/>
        <v>86.100000000005821</v>
      </c>
      <c r="AQ24" s="501">
        <f t="shared" si="8"/>
        <v>133.89999999999418</v>
      </c>
      <c r="AR24" s="170">
        <f t="shared" si="37"/>
        <v>62.718000000000004</v>
      </c>
      <c r="AS24" s="501">
        <f t="shared" si="38"/>
        <v>164.71799999999996</v>
      </c>
      <c r="AT24" s="501">
        <f t="shared" si="39"/>
        <v>712.71799999999996</v>
      </c>
      <c r="AU24" s="170">
        <f t="shared" si="62"/>
        <v>411</v>
      </c>
      <c r="AV24" s="501">
        <f t="shared" si="63"/>
        <v>11</v>
      </c>
      <c r="AW24" s="170">
        <f t="shared" si="64"/>
        <v>137</v>
      </c>
      <c r="AX24" s="501">
        <f t="shared" si="65"/>
        <v>26</v>
      </c>
      <c r="AY24" s="501" t="str">
        <f t="shared" si="65"/>
        <v/>
      </c>
      <c r="AZ24" s="170">
        <f t="shared" si="40"/>
        <v>439</v>
      </c>
      <c r="BA24" s="170">
        <v>0</v>
      </c>
      <c r="BB24" s="170">
        <f t="shared" si="41"/>
        <v>156.10000000000582</v>
      </c>
      <c r="BC24" s="170">
        <f t="shared" si="41"/>
        <v>1078.2999999998137</v>
      </c>
      <c r="BD24" s="170">
        <f t="shared" si="42"/>
        <v>277</v>
      </c>
      <c r="BE24" s="90"/>
      <c r="BF24" s="90"/>
      <c r="BG24" s="501">
        <f t="shared" si="43"/>
        <v>1950.3999999998196</v>
      </c>
      <c r="BH24" s="501">
        <f t="shared" si="44"/>
        <v>-54</v>
      </c>
      <c r="BI24" s="90">
        <f t="shared" si="9"/>
        <v>-33.487999999536441</v>
      </c>
      <c r="BJ24" s="90">
        <f t="shared" si="45"/>
        <v>6139.4879999995364</v>
      </c>
      <c r="BK24" s="92"/>
      <c r="BL24" s="331">
        <f t="shared" si="66"/>
        <v>6052</v>
      </c>
      <c r="BM24" s="93">
        <f t="shared" si="46"/>
        <v>119979.71999999999</v>
      </c>
      <c r="BN24" s="92"/>
      <c r="BO24" s="94">
        <f t="shared" si="47"/>
        <v>0.16618913707107111</v>
      </c>
      <c r="BP24" s="94">
        <f t="shared" si="47"/>
        <v>1.8770726811382178E-2</v>
      </c>
      <c r="BQ24" s="94">
        <f t="shared" si="48"/>
        <v>0.34995781869937115</v>
      </c>
      <c r="BR24" s="94">
        <f t="shared" si="67"/>
        <v>0.60889586434956766</v>
      </c>
      <c r="BS24" s="94">
        <f t="shared" si="77"/>
        <v>4.4909492243194071E-2</v>
      </c>
      <c r="BT24" s="94">
        <f t="shared" si="77"/>
        <v>9.4093791769430141E-2</v>
      </c>
      <c r="BU24" s="95">
        <f t="shared" si="77"/>
        <v>1.1466426047850007</v>
      </c>
      <c r="BV24" s="94">
        <f t="shared" si="11"/>
        <v>0.14483799681682918</v>
      </c>
      <c r="BW24" s="94">
        <f t="shared" si="11"/>
        <v>1.6359158715613758E-2</v>
      </c>
      <c r="BX24" s="94">
        <f t="shared" si="11"/>
        <v>0.30499700716977385</v>
      </c>
      <c r="BY24" s="94">
        <f t="shared" si="49"/>
        <v>0.53066800163194772</v>
      </c>
      <c r="BZ24" s="95">
        <f t="shared" si="12"/>
        <v>0.99932775913546834</v>
      </c>
      <c r="CA24" s="96" t="e">
        <f>#REF!</f>
        <v>#REF!</v>
      </c>
      <c r="CB24" s="94">
        <f t="shared" si="50"/>
        <v>2.6254189261149981E-2</v>
      </c>
      <c r="CC24" s="95">
        <f t="shared" si="50"/>
        <v>6.8952095837209432E-2</v>
      </c>
      <c r="CD24" s="97">
        <f t="shared" si="13"/>
        <v>9.6575197552775452E-2</v>
      </c>
      <c r="CE24" s="98">
        <f t="shared" si="13"/>
        <v>0.25363808460885329</v>
      </c>
      <c r="CF24" s="97">
        <f t="shared" si="51"/>
        <v>0.32624113475177302</v>
      </c>
      <c r="CG24" s="94">
        <f t="shared" si="51"/>
        <v>6.5602836879432622E-2</v>
      </c>
      <c r="CH24" s="95">
        <f t="shared" si="52"/>
        <v>0.69503546099290781</v>
      </c>
      <c r="CI24" s="96" t="e">
        <f>#REF!</f>
        <v>#REF!</v>
      </c>
      <c r="CJ24" s="94">
        <f t="shared" si="53"/>
        <v>0.23583596914710614</v>
      </c>
      <c r="CK24" s="94">
        <f t="shared" si="53"/>
        <v>0.18820635184875559</v>
      </c>
      <c r="CL24" s="95">
        <f t="shared" si="68"/>
        <v>0.53178698925327861</v>
      </c>
      <c r="CM24" s="95" t="e">
        <f>#REF!</f>
        <v>#REF!</v>
      </c>
      <c r="CN24" s="94">
        <f t="shared" si="54"/>
        <v>0.56754446877837716</v>
      </c>
      <c r="CO24" s="94">
        <f t="shared" si="54"/>
        <v>3.8949130210280791E-2</v>
      </c>
      <c r="CP24" s="95">
        <f t="shared" si="55"/>
        <v>0.94961688893636975</v>
      </c>
      <c r="CQ24" s="95" t="e">
        <f>#REF!</f>
        <v>#REF!</v>
      </c>
      <c r="CR24" s="97">
        <f t="shared" si="69"/>
        <v>0</v>
      </c>
      <c r="CS24" s="95">
        <f t="shared" si="69"/>
        <v>7.5875670353048541E-2</v>
      </c>
      <c r="CT24" s="96" t="e">
        <f>#REF!</f>
        <v>#REF!</v>
      </c>
      <c r="CU24" s="97">
        <f t="shared" si="70"/>
        <v>0.30098086202179375</v>
      </c>
      <c r="CV24" s="95">
        <f t="shared" si="56"/>
        <v>0.46807592827774336</v>
      </c>
      <c r="CW24" s="96" t="e">
        <f>#REF!</f>
        <v>#REF!</v>
      </c>
      <c r="CX24" s="99">
        <f t="shared" si="57"/>
        <v>0.17204744708588671</v>
      </c>
      <c r="CY24" s="95">
        <f t="shared" si="57"/>
        <v>4.6046761993789624E-3</v>
      </c>
      <c r="CZ24" s="99">
        <f t="shared" si="57"/>
        <v>5.73491490286289E-2</v>
      </c>
      <c r="DA24" s="95">
        <f t="shared" si="57"/>
        <v>1.0883780107623002E-2</v>
      </c>
      <c r="DB24" s="94">
        <f t="shared" si="14"/>
        <v>0.18376844104794227</v>
      </c>
      <c r="DC24" s="94">
        <f t="shared" si="15"/>
        <v>6.5344541338462084E-2</v>
      </c>
      <c r="DD24" s="94">
        <f t="shared" si="15"/>
        <v>0.45138384961722522</v>
      </c>
      <c r="DE24" s="94">
        <f t="shared" si="15"/>
        <v>0.11595411883890661</v>
      </c>
      <c r="DF24" s="94">
        <f t="shared" si="15"/>
        <v>0</v>
      </c>
      <c r="DG24" s="94">
        <f t="shared" si="15"/>
        <v>0</v>
      </c>
      <c r="DH24" s="95">
        <f t="shared" si="15"/>
        <v>0.81645095084253616</v>
      </c>
      <c r="DI24" s="96" t="e">
        <f>#REF!</f>
        <v>#REF!</v>
      </c>
      <c r="DJ24" s="95">
        <f t="shared" si="58"/>
        <v>-2.2604774069678542E-2</v>
      </c>
      <c r="DK24" s="96" t="e">
        <f>#REF!</f>
        <v>#REF!</v>
      </c>
      <c r="DL24" s="95">
        <f t="shared" si="59"/>
        <v>-1.4018308778424377E-2</v>
      </c>
      <c r="DM24" s="96">
        <f t="shared" si="16"/>
        <v>0</v>
      </c>
      <c r="DN24" s="94">
        <f t="shared" si="17"/>
        <v>2.5700322063609651</v>
      </c>
      <c r="DO24" s="100">
        <v>3.4</v>
      </c>
      <c r="DP24" s="94">
        <f>IF($O24&lt;&gt;0,IF($O24&lt;&gt;0,BL24/$O24*10,0)," ")</f>
        <v>2.533409123512862</v>
      </c>
      <c r="DQ24" s="94">
        <f t="shared" si="72"/>
        <v>2.9155012962061537</v>
      </c>
      <c r="DR24" s="101">
        <f t="shared" si="18"/>
        <v>3.13</v>
      </c>
      <c r="DT24" s="103">
        <v>19</v>
      </c>
      <c r="DU24" s="373">
        <v>638601</v>
      </c>
      <c r="DV24" s="373">
        <v>30314</v>
      </c>
      <c r="DW24" s="373">
        <v>5156883</v>
      </c>
      <c r="DX24" s="373">
        <v>123506</v>
      </c>
      <c r="DY24" s="373">
        <v>88351</v>
      </c>
      <c r="DZ24" s="373">
        <v>408109</v>
      </c>
      <c r="EA24" s="373">
        <v>244643</v>
      </c>
      <c r="EB24" s="373">
        <v>56466.9</v>
      </c>
      <c r="EC24" s="373">
        <v>425842</v>
      </c>
      <c r="ED24" s="373">
        <v>48655.4</v>
      </c>
      <c r="EE24" s="373">
        <v>41441.199999999997</v>
      </c>
      <c r="EF24" s="373">
        <v>43579</v>
      </c>
      <c r="EG24" s="373">
        <v>95651.5</v>
      </c>
      <c r="EH24" s="373">
        <v>188336</v>
      </c>
      <c r="EI24" s="373">
        <v>35270</v>
      </c>
      <c r="EJ24" s="373">
        <v>43815</v>
      </c>
      <c r="EK24" s="330"/>
      <c r="EL24" s="373">
        <v>723998.5</v>
      </c>
      <c r="EM24" s="373">
        <v>7286</v>
      </c>
      <c r="EN24" s="373">
        <v>48484.3</v>
      </c>
      <c r="EO24" s="373">
        <v>3141530.3</v>
      </c>
      <c r="EP24" s="373">
        <v>2848997</v>
      </c>
      <c r="EQ24" s="330">
        <v>935</v>
      </c>
      <c r="ER24" s="373">
        <v>1959</v>
      </c>
      <c r="ES24" s="373">
        <v>429963</v>
      </c>
      <c r="ET24" s="373">
        <v>9203506</v>
      </c>
      <c r="EU24" s="373">
        <v>163140</v>
      </c>
      <c r="EV24" s="373">
        <v>466894</v>
      </c>
      <c r="EW24" s="373">
        <v>144283</v>
      </c>
      <c r="EX24" s="373">
        <v>223637.7</v>
      </c>
      <c r="EY24" s="373">
        <v>1724843.4</v>
      </c>
      <c r="EZ24" s="521">
        <v>836230.4</v>
      </c>
      <c r="FA24" s="373">
        <v>770656</v>
      </c>
      <c r="FB24" s="136">
        <v>31923</v>
      </c>
      <c r="FC24" s="136">
        <v>6106</v>
      </c>
      <c r="FD24" s="303">
        <f t="shared" si="75"/>
        <v>5052</v>
      </c>
      <c r="FE24" s="513">
        <v>479</v>
      </c>
      <c r="FF24" s="513">
        <v>0</v>
      </c>
      <c r="FG24" s="105">
        <f t="shared" si="76"/>
        <v>1266</v>
      </c>
      <c r="FH24" s="303">
        <v>1448</v>
      </c>
      <c r="FI24" s="136">
        <v>538</v>
      </c>
      <c r="FJ24" s="303">
        <v>0</v>
      </c>
      <c r="FK24" s="105">
        <v>0</v>
      </c>
      <c r="FL24" s="303">
        <v>912</v>
      </c>
      <c r="FM24" s="303">
        <v>409</v>
      </c>
      <c r="FN24" s="80">
        <v>1000</v>
      </c>
      <c r="FO24" s="104"/>
      <c r="FP24" s="487"/>
      <c r="FY24" s="119">
        <v>19</v>
      </c>
      <c r="FZ24" s="107"/>
      <c r="GA24" s="107"/>
      <c r="GB24" s="107"/>
      <c r="GC24" s="109"/>
      <c r="GD24" s="110"/>
      <c r="GE24" s="110"/>
      <c r="GF24" s="111"/>
      <c r="GG24" s="111"/>
      <c r="GH24" s="111"/>
      <c r="GI24" s="164"/>
      <c r="GJ24" s="111" t="e">
        <f t="shared" si="60"/>
        <v>#DIV/0!</v>
      </c>
    </row>
    <row r="25" spans="1:193" ht="15" customHeight="1">
      <c r="B25" s="351">
        <v>43028</v>
      </c>
      <c r="D25" s="86">
        <v>5645.6399999999994</v>
      </c>
      <c r="E25" s="86">
        <v>3635.2799999999997</v>
      </c>
      <c r="F25" s="86">
        <v>2694.1679999999997</v>
      </c>
      <c r="G25" s="86">
        <v>3232.1689999999999</v>
      </c>
      <c r="H25" s="86">
        <v>7107.884</v>
      </c>
      <c r="I25" s="86">
        <v>1300.5609999999999</v>
      </c>
      <c r="J25" s="86">
        <v>6567.924</v>
      </c>
      <c r="K25" s="284">
        <v>0</v>
      </c>
      <c r="L25" s="284">
        <v>217.8</v>
      </c>
      <c r="M25" s="115">
        <f>I25+J25</f>
        <v>7868.4849999999997</v>
      </c>
      <c r="N25" s="88">
        <f>SUM(D25:H25)</f>
        <v>22315.140999999996</v>
      </c>
      <c r="O25" s="88">
        <f t="shared" si="21"/>
        <v>26467.183499999996</v>
      </c>
      <c r="P25" s="89">
        <f t="shared" si="22"/>
        <v>437990.65</v>
      </c>
      <c r="R25" s="170">
        <f t="shared" si="23"/>
        <v>341.5</v>
      </c>
      <c r="S25" s="170">
        <f t="shared" si="24"/>
        <v>67.759999999997675</v>
      </c>
      <c r="T25" s="170">
        <f t="shared" si="1"/>
        <v>408.5</v>
      </c>
      <c r="U25" s="170">
        <f t="shared" si="73"/>
        <v>6.569999999999709</v>
      </c>
      <c r="V25" s="170">
        <f t="shared" si="25"/>
        <v>1201.7000000001863</v>
      </c>
      <c r="W25" s="170">
        <f t="shared" si="2"/>
        <v>106.2</v>
      </c>
      <c r="X25" s="170">
        <f t="shared" si="26"/>
        <v>1201.7000000001863</v>
      </c>
      <c r="Y25" s="170">
        <f t="shared" si="27"/>
        <v>57.3</v>
      </c>
      <c r="Z25" s="170">
        <f t="shared" si="3"/>
        <v>172.9</v>
      </c>
      <c r="AA25" s="501">
        <f t="shared" si="28"/>
        <v>2026.0300000001837</v>
      </c>
      <c r="AB25" s="170">
        <f t="shared" si="29"/>
        <v>173</v>
      </c>
      <c r="AC25" s="170">
        <f t="shared" si="29"/>
        <v>0</v>
      </c>
      <c r="AD25" s="501">
        <f t="shared" si="4"/>
        <v>369</v>
      </c>
      <c r="AE25" s="501">
        <f t="shared" si="30"/>
        <v>196</v>
      </c>
      <c r="AF25" s="170">
        <f t="shared" si="31"/>
        <v>122</v>
      </c>
      <c r="AG25" s="170">
        <f t="shared" si="31"/>
        <v>57</v>
      </c>
      <c r="AH25" s="501">
        <f t="shared" si="5"/>
        <v>223</v>
      </c>
      <c r="AI25" s="501">
        <f t="shared" si="32"/>
        <v>44</v>
      </c>
      <c r="AJ25" s="170">
        <f t="shared" si="33"/>
        <v>112</v>
      </c>
      <c r="AK25" s="170">
        <f t="shared" si="33"/>
        <v>6.0999999999985448</v>
      </c>
      <c r="AL25" s="501">
        <f t="shared" si="6"/>
        <v>204</v>
      </c>
      <c r="AM25" s="501">
        <f t="shared" si="34"/>
        <v>85.900000000001455</v>
      </c>
      <c r="AN25" s="170">
        <f t="shared" si="35"/>
        <v>9.5999999999985448</v>
      </c>
      <c r="AO25" s="501">
        <f t="shared" si="7"/>
        <v>35.80000000000291</v>
      </c>
      <c r="AP25" s="170">
        <f t="shared" si="36"/>
        <v>26.5</v>
      </c>
      <c r="AQ25" s="501">
        <f t="shared" si="8"/>
        <v>37</v>
      </c>
      <c r="AR25" s="170">
        <f t="shared" si="37"/>
        <v>69.376000000000005</v>
      </c>
      <c r="AS25" s="501">
        <f t="shared" si="38"/>
        <v>142.37599999999998</v>
      </c>
      <c r="AT25" s="501">
        <f t="shared" si="39"/>
        <v>903.37599999999998</v>
      </c>
      <c r="AU25" s="170">
        <f t="shared" si="62"/>
        <v>502</v>
      </c>
      <c r="AV25" s="501">
        <f t="shared" si="63"/>
        <v>38</v>
      </c>
      <c r="AW25" s="170">
        <f>IF(EU25="","",(EU25-EU24))</f>
        <v>259</v>
      </c>
      <c r="AX25" s="501">
        <f t="shared" si="65"/>
        <v>4</v>
      </c>
      <c r="AY25" s="501" t="str">
        <f t="shared" si="65"/>
        <v/>
      </c>
      <c r="AZ25" s="170">
        <f t="shared" si="40"/>
        <v>308</v>
      </c>
      <c r="BA25" s="170">
        <v>119</v>
      </c>
      <c r="BB25" s="170">
        <f t="shared" si="41"/>
        <v>145.29999999998836</v>
      </c>
      <c r="BC25" s="170">
        <f t="shared" si="41"/>
        <v>1166.6000000000931</v>
      </c>
      <c r="BD25" s="170">
        <f t="shared" si="42"/>
        <v>306</v>
      </c>
      <c r="BE25" s="90"/>
      <c r="BF25" s="90"/>
      <c r="BG25" s="501">
        <f t="shared" si="43"/>
        <v>1925.9000000000815</v>
      </c>
      <c r="BH25" s="501">
        <f t="shared" si="44"/>
        <v>472</v>
      </c>
      <c r="BI25" s="90">
        <f t="shared" si="9"/>
        <v>518.89399999973193</v>
      </c>
      <c r="BJ25" s="90">
        <f t="shared" si="45"/>
        <v>5766.1060000002681</v>
      </c>
      <c r="BK25" s="92"/>
      <c r="BL25" s="331">
        <f>FD25+FN25</f>
        <v>6757</v>
      </c>
      <c r="BM25" s="93">
        <f t="shared" si="46"/>
        <v>126736.71999999999</v>
      </c>
      <c r="BN25" s="92"/>
      <c r="BO25" s="94">
        <f t="shared" si="47"/>
        <v>0.15303510741877008</v>
      </c>
      <c r="BP25" s="94">
        <f t="shared" si="47"/>
        <v>3.0365033319752578E-2</v>
      </c>
      <c r="BQ25" s="94">
        <f t="shared" si="48"/>
        <v>0.18305956480400465</v>
      </c>
      <c r="BR25" s="94">
        <f t="shared" si="67"/>
        <v>0.53851329014689464</v>
      </c>
      <c r="BS25" s="94">
        <f t="shared" si="77"/>
        <v>2.5677632957819989E-2</v>
      </c>
      <c r="BT25" s="94">
        <f t="shared" si="77"/>
        <v>7.7481025103090337E-2</v>
      </c>
      <c r="BU25" s="95">
        <f t="shared" si="77"/>
        <v>0.90791718501809338</v>
      </c>
      <c r="BV25" s="94">
        <f t="shared" si="11"/>
        <v>0.12902770708488875</v>
      </c>
      <c r="BW25" s="94">
        <f t="shared" si="11"/>
        <v>2.5601515174441467E-2</v>
      </c>
      <c r="BX25" s="94">
        <f t="shared" si="11"/>
        <v>0.15434207421428126</v>
      </c>
      <c r="BY25" s="94">
        <f t="shared" si="49"/>
        <v>0.45403395491635384</v>
      </c>
      <c r="BZ25" s="95">
        <f t="shared" si="12"/>
        <v>0.76548757067414597</v>
      </c>
      <c r="CA25" s="96" t="e">
        <f>#REF!</f>
        <v>#REF!</v>
      </c>
      <c r="CB25" s="94">
        <f t="shared" si="50"/>
        <v>2.6212082596548291E-2</v>
      </c>
      <c r="CC25" s="95">
        <f t="shared" si="50"/>
        <v>5.3793407976334168E-2</v>
      </c>
      <c r="CD25" s="97">
        <f t="shared" si="13"/>
        <v>8.8169450662992949E-2</v>
      </c>
      <c r="CE25" s="98">
        <f t="shared" si="13"/>
        <v>0.18094461640328471</v>
      </c>
      <c r="CF25" s="97">
        <f t="shared" si="51"/>
        <v>0.30643115749498734</v>
      </c>
      <c r="CG25" s="94">
        <f t="shared" si="51"/>
        <v>0</v>
      </c>
      <c r="CH25" s="95">
        <f t="shared" si="52"/>
        <v>0.65360171743150464</v>
      </c>
      <c r="CI25" s="96" t="e">
        <f>#REF!</f>
        <v>#REF!</v>
      </c>
      <c r="CJ25" s="94">
        <f t="shared" si="53"/>
        <v>0.3356000088026232</v>
      </c>
      <c r="CK25" s="94">
        <f t="shared" si="53"/>
        <v>0.15679672542417641</v>
      </c>
      <c r="CL25" s="95">
        <f t="shared" si="68"/>
        <v>0.61343280297528668</v>
      </c>
      <c r="CM25" s="95" t="e">
        <f>#REF!</f>
        <v>#REF!</v>
      </c>
      <c r="CN25" s="94">
        <f t="shared" si="54"/>
        <v>0.41571275436424165</v>
      </c>
      <c r="CO25" s="94">
        <f t="shared" si="54"/>
        <v>2.2641498228761332E-2</v>
      </c>
      <c r="CP25" s="95">
        <f t="shared" si="55"/>
        <v>0.75719108830629722</v>
      </c>
      <c r="CQ25" s="95" t="e">
        <f>#REF!</f>
        <v>#REF!</v>
      </c>
      <c r="CR25" s="97">
        <f t="shared" si="69"/>
        <v>2.9701417221681615E-2</v>
      </c>
      <c r="CS25" s="95">
        <f t="shared" si="69"/>
        <v>0.11076153505588016</v>
      </c>
      <c r="CT25" s="96" t="e">
        <f>#REF!</f>
        <v>#REF!</v>
      </c>
      <c r="CU25" s="97">
        <f t="shared" si="70"/>
        <v>3.7282544284628169E-2</v>
      </c>
      <c r="CV25" s="95">
        <f t="shared" si="56"/>
        <v>5.2054873152122344E-2</v>
      </c>
      <c r="CW25" s="96" t="e">
        <f>#REF!</f>
        <v>#REF!</v>
      </c>
      <c r="CX25" s="99">
        <f t="shared" si="57"/>
        <v>0.18966884028291112</v>
      </c>
      <c r="CY25" s="95">
        <f t="shared" si="57"/>
        <v>1.4357402252491281E-2</v>
      </c>
      <c r="CZ25" s="99">
        <f t="shared" si="57"/>
        <v>9.785703114198005E-2</v>
      </c>
      <c r="DA25" s="95">
        <f t="shared" si="57"/>
        <v>1.5113055002622399E-3</v>
      </c>
      <c r="DB25" s="94">
        <f t="shared" si="14"/>
        <v>0.11637052352019249</v>
      </c>
      <c r="DC25" s="94">
        <f t="shared" si="15"/>
        <v>5.4898172297021472E-2</v>
      </c>
      <c r="DD25" s="94">
        <f t="shared" si="15"/>
        <v>0.44077224915151753</v>
      </c>
      <c r="DE25" s="94">
        <f t="shared" si="15"/>
        <v>0.11561487077006136</v>
      </c>
      <c r="DF25" s="94">
        <f t="shared" si="15"/>
        <v>0</v>
      </c>
      <c r="DG25" s="94">
        <f t="shared" si="15"/>
        <v>0</v>
      </c>
      <c r="DH25" s="95">
        <f t="shared" si="15"/>
        <v>0.7276558157387929</v>
      </c>
      <c r="DI25" s="96" t="e">
        <f>#REF!</f>
        <v>#REF!</v>
      </c>
      <c r="DJ25" s="95">
        <f t="shared" si="58"/>
        <v>0.17833404903094432</v>
      </c>
      <c r="DK25" s="96" t="e">
        <f>#REF!</f>
        <v>#REF!</v>
      </c>
      <c r="DL25" s="95">
        <f t="shared" si="59"/>
        <v>0.19605183906316742</v>
      </c>
      <c r="DM25" s="96">
        <f t="shared" si="16"/>
        <v>0</v>
      </c>
      <c r="DN25" s="94">
        <f t="shared" si="17"/>
        <v>2.1785869282238775</v>
      </c>
      <c r="DO25" s="100">
        <v>3.4</v>
      </c>
      <c r="DP25" s="94">
        <f t="shared" si="71"/>
        <v>2.5529728163179892</v>
      </c>
      <c r="DQ25" s="94">
        <f t="shared" si="72"/>
        <v>2.8935941897389816</v>
      </c>
      <c r="DR25" s="101">
        <f t="shared" si="18"/>
        <v>3.13</v>
      </c>
      <c r="DS25" s="173"/>
      <c r="DT25" s="103">
        <v>20</v>
      </c>
      <c r="DU25" s="518">
        <v>638774</v>
      </c>
      <c r="DV25" s="373">
        <v>30314</v>
      </c>
      <c r="DW25" s="135">
        <v>5157079</v>
      </c>
      <c r="DX25" s="135">
        <v>123628</v>
      </c>
      <c r="DY25" s="183">
        <v>88408</v>
      </c>
      <c r="DZ25" s="183">
        <v>408210</v>
      </c>
      <c r="EA25" s="139">
        <v>244755</v>
      </c>
      <c r="EB25" s="455">
        <v>56473</v>
      </c>
      <c r="EC25" s="183">
        <v>425934</v>
      </c>
      <c r="ED25" s="135">
        <v>48665</v>
      </c>
      <c r="EE25" s="136">
        <v>41461</v>
      </c>
      <c r="EF25" s="136">
        <v>43595</v>
      </c>
      <c r="EG25" s="135">
        <v>95678</v>
      </c>
      <c r="EH25" s="135">
        <v>188373</v>
      </c>
      <c r="EI25" s="135">
        <v>35308</v>
      </c>
      <c r="EJ25" s="136">
        <v>43819</v>
      </c>
      <c r="EK25" s="136"/>
      <c r="EL25" s="135">
        <v>724340</v>
      </c>
      <c r="EM25" s="136">
        <v>4085</v>
      </c>
      <c r="EN25" s="136">
        <v>48550</v>
      </c>
      <c r="EO25" s="135">
        <v>3142732</v>
      </c>
      <c r="EP25" s="136">
        <v>2850059</v>
      </c>
      <c r="EQ25" s="136">
        <v>573</v>
      </c>
      <c r="ER25" s="136">
        <v>1729</v>
      </c>
      <c r="ES25" s="136">
        <v>430797</v>
      </c>
      <c r="ET25" s="136">
        <v>9272882</v>
      </c>
      <c r="EU25" s="136">
        <v>163399</v>
      </c>
      <c r="EV25" s="136">
        <v>467396</v>
      </c>
      <c r="EW25" s="136">
        <v>144591</v>
      </c>
      <c r="EX25" s="136">
        <v>223783</v>
      </c>
      <c r="EY25" s="136">
        <v>1726010</v>
      </c>
      <c r="EZ25" s="136">
        <v>836908</v>
      </c>
      <c r="FA25" s="145">
        <v>770962</v>
      </c>
      <c r="FB25" s="136">
        <v>32045</v>
      </c>
      <c r="FC25" s="136">
        <v>6285</v>
      </c>
      <c r="FD25" s="303">
        <f t="shared" si="75"/>
        <v>5757</v>
      </c>
      <c r="FE25" s="513">
        <v>908</v>
      </c>
      <c r="FF25" s="513">
        <v>122</v>
      </c>
      <c r="FG25" s="105">
        <f t="shared" si="76"/>
        <v>1257</v>
      </c>
      <c r="FH25" s="303">
        <v>1588</v>
      </c>
      <c r="FI25" s="303">
        <v>572</v>
      </c>
      <c r="FJ25" s="303">
        <v>0</v>
      </c>
      <c r="FK25" s="303">
        <v>181</v>
      </c>
      <c r="FL25" s="303">
        <v>901</v>
      </c>
      <c r="FM25" s="303">
        <v>228</v>
      </c>
      <c r="FN25" s="80">
        <v>1000</v>
      </c>
      <c r="FO25" s="333"/>
      <c r="FP25" s="487"/>
      <c r="FQ25" s="175"/>
      <c r="FR25" s="64"/>
      <c r="FS25" s="64"/>
      <c r="FT25" s="64"/>
      <c r="FU25" s="64"/>
      <c r="FV25" s="64"/>
      <c r="FW25" s="64"/>
      <c r="FX25" s="64"/>
      <c r="FY25" s="64">
        <v>20</v>
      </c>
      <c r="FZ25" s="107"/>
      <c r="GA25" s="107"/>
      <c r="GB25" s="107"/>
      <c r="GC25" s="109"/>
      <c r="GD25" s="110"/>
      <c r="GE25" s="110"/>
      <c r="GF25" s="111"/>
      <c r="GG25" s="111"/>
      <c r="GH25" s="111"/>
      <c r="GI25" s="164"/>
      <c r="GJ25" s="111" t="e">
        <f t="shared" si="60"/>
        <v>#DIV/0!</v>
      </c>
      <c r="GK25" s="118"/>
    </row>
    <row r="26" spans="1:193" s="119" customFormat="1" ht="15" customHeight="1">
      <c r="B26" s="351">
        <v>43029</v>
      </c>
      <c r="D26" s="86">
        <v>4293.24</v>
      </c>
      <c r="E26" s="86">
        <v>5221.2</v>
      </c>
      <c r="F26" s="86">
        <v>539.85599999999999</v>
      </c>
      <c r="G26" s="86">
        <v>4542.3100000000004</v>
      </c>
      <c r="H26" s="86">
        <v>8276.1190000000006</v>
      </c>
      <c r="I26" s="86">
        <v>2367.6869999999999</v>
      </c>
      <c r="J26" s="284">
        <v>7061.076</v>
      </c>
      <c r="K26" s="284">
        <v>0</v>
      </c>
      <c r="L26" s="284">
        <v>0</v>
      </c>
      <c r="M26" s="115">
        <f t="shared" si="61"/>
        <v>9428.762999999999</v>
      </c>
      <c r="N26" s="88">
        <f t="shared" si="20"/>
        <v>22872.724999999999</v>
      </c>
      <c r="O26" s="88">
        <f>(N26+L26+((J26+I26)*0.5))-356</f>
        <v>27231.106499999998</v>
      </c>
      <c r="P26" s="89">
        <f t="shared" si="22"/>
        <v>465221.75650000002</v>
      </c>
      <c r="R26" s="170">
        <f t="shared" si="23"/>
        <v>420.69999999995343</v>
      </c>
      <c r="S26" s="170">
        <f t="shared" si="24"/>
        <v>6.9999999995343384E-2</v>
      </c>
      <c r="T26" s="170">
        <f t="shared" si="1"/>
        <v>400.3</v>
      </c>
      <c r="U26" s="170">
        <f t="shared" si="73"/>
        <v>6.0099999999998541</v>
      </c>
      <c r="V26" s="170">
        <f t="shared" si="25"/>
        <v>1264.3999999999069</v>
      </c>
      <c r="W26" s="170">
        <f t="shared" si="2"/>
        <v>111.1</v>
      </c>
      <c r="X26" s="170">
        <f t="shared" si="26"/>
        <v>1264.3999999999069</v>
      </c>
      <c r="Y26" s="170">
        <f t="shared" si="27"/>
        <v>17.2</v>
      </c>
      <c r="Z26" s="170">
        <f t="shared" si="3"/>
        <v>196.8</v>
      </c>
      <c r="AA26" s="501">
        <f t="shared" si="28"/>
        <v>2091.4799999998554</v>
      </c>
      <c r="AB26" s="170">
        <f t="shared" si="29"/>
        <v>0</v>
      </c>
      <c r="AC26" s="170">
        <f t="shared" si="29"/>
        <v>45</v>
      </c>
      <c r="AD26" s="501">
        <f t="shared" si="4"/>
        <v>154</v>
      </c>
      <c r="AE26" s="501">
        <f t="shared" si="30"/>
        <v>109</v>
      </c>
      <c r="AF26" s="170">
        <f t="shared" si="31"/>
        <v>147</v>
      </c>
      <c r="AG26" s="170">
        <f t="shared" si="31"/>
        <v>77.69999999999709</v>
      </c>
      <c r="AH26" s="501">
        <f t="shared" si="5"/>
        <v>268</v>
      </c>
      <c r="AI26" s="501">
        <f t="shared" si="32"/>
        <v>43.30000000000291</v>
      </c>
      <c r="AJ26" s="170">
        <f t="shared" si="33"/>
        <v>54</v>
      </c>
      <c r="AK26" s="170">
        <f t="shared" si="33"/>
        <v>37.69999999999709</v>
      </c>
      <c r="AL26" s="501">
        <f t="shared" si="6"/>
        <v>277</v>
      </c>
      <c r="AM26" s="501">
        <f t="shared" si="34"/>
        <v>185.30000000000291</v>
      </c>
      <c r="AN26" s="170">
        <f t="shared" si="35"/>
        <v>8.0999999999985448</v>
      </c>
      <c r="AO26" s="501">
        <f t="shared" si="7"/>
        <v>37.69999999999709</v>
      </c>
      <c r="AP26" s="170">
        <f t="shared" si="36"/>
        <v>44</v>
      </c>
      <c r="AQ26" s="501">
        <f t="shared" si="8"/>
        <v>44</v>
      </c>
      <c r="AR26" s="170">
        <f t="shared" si="37"/>
        <v>92.531999999999996</v>
      </c>
      <c r="AS26" s="501">
        <f t="shared" si="38"/>
        <v>173.53199999999993</v>
      </c>
      <c r="AT26" s="501">
        <f t="shared" si="39"/>
        <v>1059.5319999999999</v>
      </c>
      <c r="AU26" s="170">
        <f t="shared" si="62"/>
        <v>581</v>
      </c>
      <c r="AV26" s="501">
        <f t="shared" si="63"/>
        <v>43</v>
      </c>
      <c r="AW26" s="170">
        <f t="shared" si="64"/>
        <v>305</v>
      </c>
      <c r="AX26" s="501">
        <f t="shared" si="65"/>
        <v>30</v>
      </c>
      <c r="AY26" s="501" t="str">
        <f t="shared" si="65"/>
        <v/>
      </c>
      <c r="AZ26" s="170">
        <f t="shared" si="40"/>
        <v>527</v>
      </c>
      <c r="BA26" s="170">
        <v>0</v>
      </c>
      <c r="BB26" s="170">
        <f t="shared" si="41"/>
        <v>166</v>
      </c>
      <c r="BC26" s="170">
        <f t="shared" si="41"/>
        <v>1157.8999999999069</v>
      </c>
      <c r="BD26" s="170">
        <f t="shared" si="42"/>
        <v>322</v>
      </c>
      <c r="BE26" s="90"/>
      <c r="BF26" s="90"/>
      <c r="BG26" s="501">
        <f t="shared" si="43"/>
        <v>2172.8999999999069</v>
      </c>
      <c r="BH26" s="501">
        <f t="shared" si="44"/>
        <v>463</v>
      </c>
      <c r="BI26" s="90">
        <f t="shared" si="9"/>
        <v>205.38800000024003</v>
      </c>
      <c r="BJ26" s="90">
        <f t="shared" si="45"/>
        <v>6177.61199999976</v>
      </c>
      <c r="BK26" s="92"/>
      <c r="BL26" s="331">
        <f t="shared" si="66"/>
        <v>6846</v>
      </c>
      <c r="BM26" s="93">
        <f t="shared" si="46"/>
        <v>133582.71999999997</v>
      </c>
      <c r="BN26" s="92"/>
      <c r="BO26" s="94">
        <f t="shared" si="47"/>
        <v>0.18393086088341176</v>
      </c>
      <c r="BP26" s="94">
        <f t="shared" si="47"/>
        <v>3.0604136584225708E-5</v>
      </c>
      <c r="BQ26" s="94">
        <f t="shared" si="48"/>
        <v>0.17501194107829304</v>
      </c>
      <c r="BR26" s="94">
        <f t="shared" si="67"/>
        <v>0.55279814713809006</v>
      </c>
      <c r="BS26" s="94">
        <f t="shared" si="77"/>
        <v>7.5198735611957043E-3</v>
      </c>
      <c r="BT26" s="94">
        <f t="shared" si="77"/>
        <v>8.6041344002518297E-2</v>
      </c>
      <c r="BU26" s="95">
        <f t="shared" si="77"/>
        <v>0.91439913696328512</v>
      </c>
      <c r="BV26" s="94">
        <f t="shared" si="11"/>
        <v>0.15449243680199096</v>
      </c>
      <c r="BW26" s="94">
        <f t="shared" si="11"/>
        <v>2.5705896304780489E-5</v>
      </c>
      <c r="BX26" s="94">
        <f t="shared" si="11"/>
        <v>0.14700100416411652</v>
      </c>
      <c r="BY26" s="94">
        <f t="shared" si="49"/>
        <v>0.46432193271320316</v>
      </c>
      <c r="BZ26" s="95">
        <f t="shared" si="12"/>
        <v>0.76804811438707254</v>
      </c>
      <c r="CA26" s="96" t="e">
        <f>#REF!</f>
        <v>#REF!</v>
      </c>
      <c r="CB26" s="94">
        <f t="shared" si="50"/>
        <v>3.3980257100459731E-2</v>
      </c>
      <c r="CC26" s="95">
        <f t="shared" si="50"/>
        <v>6.3725651397970165E-2</v>
      </c>
      <c r="CD26" s="97">
        <f t="shared" si="13"/>
        <v>9.8138006014150528E-2</v>
      </c>
      <c r="CE26" s="98">
        <f t="shared" si="13"/>
        <v>0.18404535144217746</v>
      </c>
      <c r="CF26" s="97">
        <f t="shared" si="51"/>
        <v>0</v>
      </c>
      <c r="CG26" s="94">
        <f t="shared" si="51"/>
        <v>0.10481594320373425</v>
      </c>
      <c r="CH26" s="95">
        <f t="shared" si="52"/>
        <v>0.35870345007500165</v>
      </c>
      <c r="CI26" s="96" t="e">
        <f>#REF!</f>
        <v>#REF!</v>
      </c>
      <c r="CJ26" s="94">
        <f t="shared" si="53"/>
        <v>0.28154447253504944</v>
      </c>
      <c r="CK26" s="94">
        <f t="shared" si="53"/>
        <v>0.14881636405423482</v>
      </c>
      <c r="CL26" s="95">
        <f t="shared" si="68"/>
        <v>0.51329196353328743</v>
      </c>
      <c r="CM26" s="95" t="e">
        <f>#REF!</f>
        <v>#REF!</v>
      </c>
      <c r="CN26" s="94">
        <f t="shared" si="54"/>
        <v>1.0002667377967458</v>
      </c>
      <c r="CO26" s="94">
        <f t="shared" si="54"/>
        <v>0.69833437064693349</v>
      </c>
      <c r="CP26" s="95">
        <f t="shared" si="55"/>
        <v>5.1309978957351587</v>
      </c>
      <c r="CQ26" s="95" t="e">
        <f>#REF!</f>
        <v>#REF!</v>
      </c>
      <c r="CR26" s="97">
        <f t="shared" si="69"/>
        <v>1.7832336410325458E-2</v>
      </c>
      <c r="CS26" s="95">
        <f t="shared" si="69"/>
        <v>8.2997417613498603E-2</v>
      </c>
      <c r="CT26" s="96" t="e">
        <f>#REF!</f>
        <v>#REF!</v>
      </c>
      <c r="CU26" s="97">
        <f t="shared" si="70"/>
        <v>5.3165016114437205E-2</v>
      </c>
      <c r="CV26" s="95">
        <f t="shared" si="56"/>
        <v>5.3165016114437205E-2</v>
      </c>
      <c r="CW26" s="96" t="e">
        <f>#REF!</f>
        <v>#REF!</v>
      </c>
      <c r="CX26" s="99">
        <f t="shared" si="57"/>
        <v>0.21335893934387132</v>
      </c>
      <c r="CY26" s="95">
        <f t="shared" si="57"/>
        <v>1.5790764873987034E-2</v>
      </c>
      <c r="CZ26" s="99">
        <f t="shared" si="57"/>
        <v>0.11200426247828013</v>
      </c>
      <c r="DA26" s="95">
        <f t="shared" si="57"/>
        <v>1.1016812702781653E-2</v>
      </c>
      <c r="DB26" s="94">
        <f t="shared" si="14"/>
        <v>0.19352867647886435</v>
      </c>
      <c r="DC26" s="94">
        <f t="shared" si="15"/>
        <v>6.0959696955391808E-2</v>
      </c>
      <c r="DD26" s="94">
        <f t="shared" si="15"/>
        <v>0.42521224761832832</v>
      </c>
      <c r="DE26" s="94">
        <f t="shared" si="15"/>
        <v>0.1182471230098564</v>
      </c>
      <c r="DF26" s="94">
        <f t="shared" si="15"/>
        <v>0</v>
      </c>
      <c r="DG26" s="94">
        <f t="shared" si="15"/>
        <v>0</v>
      </c>
      <c r="DH26" s="95">
        <f t="shared" si="15"/>
        <v>0.79794774406244096</v>
      </c>
      <c r="DI26" s="96" t="e">
        <f>#REF!</f>
        <v>#REF!</v>
      </c>
      <c r="DJ26" s="95">
        <f t="shared" si="58"/>
        <v>0.17002614271293018</v>
      </c>
      <c r="DK26" s="96" t="e">
        <f>#REF!</f>
        <v>#REF!</v>
      </c>
      <c r="DL26" s="95">
        <f t="shared" si="59"/>
        <v>7.5424037580052075E-2</v>
      </c>
      <c r="DM26" s="96">
        <f t="shared" si="16"/>
        <v>0</v>
      </c>
      <c r="DN26" s="94">
        <f t="shared" si="17"/>
        <v>2.2685864784817906</v>
      </c>
      <c r="DO26" s="100">
        <v>3.4</v>
      </c>
      <c r="DP26" s="94">
        <f>IF($O26&lt;&gt;0,IF($O26&lt;&gt;0,BL26/$O26*10,0)," ")</f>
        <v>2.5140366587747733</v>
      </c>
      <c r="DQ26" s="94">
        <f>IF($P26&lt;&gt;0,IF($P26&lt;&gt;0,BM26/$P26*10,0)," ")</f>
        <v>2.8713773191731624</v>
      </c>
      <c r="DR26" s="101">
        <f t="shared" si="18"/>
        <v>3.13</v>
      </c>
      <c r="DS26" s="173"/>
      <c r="DT26" s="103">
        <v>21</v>
      </c>
      <c r="DU26" s="518">
        <v>638774</v>
      </c>
      <c r="DV26" s="518">
        <v>30359</v>
      </c>
      <c r="DW26" s="135">
        <v>5157233</v>
      </c>
      <c r="DX26" s="183">
        <v>123775</v>
      </c>
      <c r="DY26" s="183">
        <v>88485.7</v>
      </c>
      <c r="DZ26" s="183">
        <v>408331</v>
      </c>
      <c r="EA26" s="139">
        <v>244809</v>
      </c>
      <c r="EB26" s="455">
        <v>56510.7</v>
      </c>
      <c r="EC26" s="139">
        <v>426157</v>
      </c>
      <c r="ED26" s="135">
        <v>48673.1</v>
      </c>
      <c r="EE26" s="136">
        <v>41486.5</v>
      </c>
      <c r="EF26" s="136">
        <v>43607.199999999997</v>
      </c>
      <c r="EG26" s="135">
        <v>95722</v>
      </c>
      <c r="EH26" s="135">
        <v>188413.8</v>
      </c>
      <c r="EI26" s="135">
        <v>35351</v>
      </c>
      <c r="EJ26" s="136">
        <v>43849</v>
      </c>
      <c r="EK26" s="136"/>
      <c r="EL26" s="135">
        <v>724760.7</v>
      </c>
      <c r="EM26" s="135">
        <v>4003</v>
      </c>
      <c r="EN26" s="136">
        <v>48610.1</v>
      </c>
      <c r="EO26" s="135">
        <v>3143996.4</v>
      </c>
      <c r="EP26" s="136">
        <v>2851170</v>
      </c>
      <c r="EQ26" s="136">
        <v>172</v>
      </c>
      <c r="ER26" s="136">
        <v>1968</v>
      </c>
      <c r="ES26" s="136">
        <v>431764</v>
      </c>
      <c r="ET26" s="136">
        <v>9365414</v>
      </c>
      <c r="EU26" s="136">
        <v>163704</v>
      </c>
      <c r="EV26" s="136">
        <v>467977</v>
      </c>
      <c r="EW26" s="136">
        <v>145118</v>
      </c>
      <c r="EX26" s="136">
        <v>223949</v>
      </c>
      <c r="EY26" s="136">
        <v>1727167.9</v>
      </c>
      <c r="EZ26" s="136">
        <v>836908.7</v>
      </c>
      <c r="FA26" s="145">
        <v>771284</v>
      </c>
      <c r="FB26" s="136">
        <v>32048</v>
      </c>
      <c r="FC26" s="136">
        <v>6383</v>
      </c>
      <c r="FD26" s="303">
        <f t="shared" si="75"/>
        <v>5846</v>
      </c>
      <c r="FE26" s="456">
        <v>890</v>
      </c>
      <c r="FF26" s="121">
        <v>262</v>
      </c>
      <c r="FG26" s="105">
        <f t="shared" si="76"/>
        <v>1213</v>
      </c>
      <c r="FH26" s="136">
        <v>1601</v>
      </c>
      <c r="FI26" s="121">
        <v>596</v>
      </c>
      <c r="FJ26" s="136">
        <v>0</v>
      </c>
      <c r="FK26" s="136">
        <v>173</v>
      </c>
      <c r="FL26" s="136">
        <v>905</v>
      </c>
      <c r="FM26" s="121">
        <v>206</v>
      </c>
      <c r="FN26" s="80">
        <v>1000</v>
      </c>
      <c r="FO26" s="333"/>
      <c r="FP26" s="487"/>
      <c r="FY26" s="119">
        <v>21</v>
      </c>
      <c r="FZ26" s="107"/>
      <c r="GA26" s="107"/>
      <c r="GB26" s="107"/>
      <c r="GC26" s="109"/>
      <c r="GD26" s="110"/>
      <c r="GE26" s="110"/>
      <c r="GF26" s="111"/>
      <c r="GG26" s="111"/>
      <c r="GH26" s="111"/>
      <c r="GI26" s="164"/>
      <c r="GJ26" s="111" t="e">
        <f t="shared" si="60"/>
        <v>#DIV/0!</v>
      </c>
      <c r="GK26" s="113"/>
    </row>
    <row r="27" spans="1:193" s="119" customFormat="1" ht="15" customHeight="1">
      <c r="B27" s="351">
        <v>43030</v>
      </c>
      <c r="D27" s="86">
        <v>0</v>
      </c>
      <c r="E27" s="86">
        <v>4935.4799999999996</v>
      </c>
      <c r="F27" s="86">
        <v>2477.9520000000002</v>
      </c>
      <c r="G27" s="86">
        <v>4298.0839999999998</v>
      </c>
      <c r="H27" s="86">
        <v>7015.0820000000003</v>
      </c>
      <c r="I27" s="86">
        <v>2125.5770000000002</v>
      </c>
      <c r="J27" s="86">
        <v>6611.3519999999999</v>
      </c>
      <c r="K27" s="284">
        <v>0</v>
      </c>
      <c r="L27" s="284">
        <v>0</v>
      </c>
      <c r="M27" s="115">
        <f t="shared" si="61"/>
        <v>8736.9290000000001</v>
      </c>
      <c r="N27" s="88">
        <f t="shared" si="20"/>
        <v>18726.597999999998</v>
      </c>
      <c r="O27" s="88">
        <f t="shared" si="21"/>
        <v>23095.0625</v>
      </c>
      <c r="P27" s="89">
        <f t="shared" si="22"/>
        <v>488316.81900000002</v>
      </c>
      <c r="R27" s="170">
        <f t="shared" si="23"/>
        <v>305.5</v>
      </c>
      <c r="S27" s="170">
        <f t="shared" si="24"/>
        <v>0</v>
      </c>
      <c r="T27" s="170">
        <f t="shared" si="1"/>
        <v>361.8</v>
      </c>
      <c r="U27" s="170">
        <f t="shared" si="73"/>
        <v>5.3200000000004364</v>
      </c>
      <c r="V27" s="170">
        <f t="shared" si="25"/>
        <v>1196</v>
      </c>
      <c r="W27" s="170">
        <f t="shared" si="2"/>
        <v>105.4</v>
      </c>
      <c r="X27" s="170">
        <f t="shared" si="26"/>
        <v>1196</v>
      </c>
      <c r="Y27" s="170">
        <f t="shared" si="27"/>
        <v>50.7</v>
      </c>
      <c r="Z27" s="170">
        <f t="shared" si="3"/>
        <v>185.6</v>
      </c>
      <c r="AA27" s="501">
        <f t="shared" si="28"/>
        <v>1868.6200000000003</v>
      </c>
      <c r="AB27" s="170">
        <f t="shared" si="29"/>
        <v>0</v>
      </c>
      <c r="AC27" s="170">
        <f t="shared" si="29"/>
        <v>1</v>
      </c>
      <c r="AD27" s="501">
        <f t="shared" si="4"/>
        <v>29</v>
      </c>
      <c r="AE27" s="501">
        <f t="shared" si="30"/>
        <v>28</v>
      </c>
      <c r="AF27" s="170">
        <f t="shared" si="31"/>
        <v>105</v>
      </c>
      <c r="AG27" s="170">
        <f t="shared" si="31"/>
        <v>90.5</v>
      </c>
      <c r="AH27" s="501">
        <f t="shared" si="5"/>
        <v>249</v>
      </c>
      <c r="AI27" s="501">
        <f t="shared" si="32"/>
        <v>53.5</v>
      </c>
      <c r="AJ27" s="170">
        <f t="shared" si="33"/>
        <v>130</v>
      </c>
      <c r="AK27" s="170">
        <f t="shared" si="33"/>
        <v>134.5</v>
      </c>
      <c r="AL27" s="501">
        <f t="shared" si="6"/>
        <v>353</v>
      </c>
      <c r="AM27" s="501">
        <f t="shared" si="34"/>
        <v>88.5</v>
      </c>
      <c r="AN27" s="170">
        <f t="shared" si="35"/>
        <v>3.7000000000043656</v>
      </c>
      <c r="AO27" s="501">
        <f t="shared" si="7"/>
        <v>38.200000000004366</v>
      </c>
      <c r="AP27" s="170">
        <f t="shared" si="36"/>
        <v>24.899999999994179</v>
      </c>
      <c r="AQ27" s="501">
        <f t="shared" si="8"/>
        <v>30.700000000011642</v>
      </c>
      <c r="AR27" s="170">
        <f t="shared" si="37"/>
        <v>129.37</v>
      </c>
      <c r="AS27" s="501">
        <f t="shared" si="38"/>
        <v>96.369999999999891</v>
      </c>
      <c r="AT27" s="501">
        <f t="shared" si="39"/>
        <v>1165.3699999999999</v>
      </c>
      <c r="AU27" s="170">
        <f>IF(EV27="","",(EV27-EV26))</f>
        <v>779</v>
      </c>
      <c r="AV27" s="501">
        <f t="shared" si="63"/>
        <v>23</v>
      </c>
      <c r="AW27" s="170">
        <f>IF(EU27="","",(EU27-EU26))</f>
        <v>290</v>
      </c>
      <c r="AX27" s="501">
        <f t="shared" si="65"/>
        <v>3</v>
      </c>
      <c r="AY27" s="501" t="str">
        <f t="shared" si="65"/>
        <v/>
      </c>
      <c r="AZ27" s="170">
        <f t="shared" si="40"/>
        <v>593</v>
      </c>
      <c r="BA27" s="170">
        <v>0</v>
      </c>
      <c r="BB27" s="170">
        <f t="shared" si="41"/>
        <v>134.5</v>
      </c>
      <c r="BC27" s="170">
        <f t="shared" si="41"/>
        <v>963.70000000018626</v>
      </c>
      <c r="BD27" s="170">
        <f t="shared" si="42"/>
        <v>272</v>
      </c>
      <c r="BE27" s="90"/>
      <c r="BF27" s="90"/>
      <c r="BG27" s="501">
        <f t="shared" si="43"/>
        <v>1963.2000000001863</v>
      </c>
      <c r="BH27" s="501">
        <f t="shared" si="44"/>
        <v>834</v>
      </c>
      <c r="BI27" s="90">
        <f t="shared" si="9"/>
        <v>484.90999999979704</v>
      </c>
      <c r="BJ27" s="90">
        <f t="shared" si="45"/>
        <v>5723.090000000203</v>
      </c>
      <c r="BK27" s="92"/>
      <c r="BL27" s="331">
        <f t="shared" si="66"/>
        <v>7042</v>
      </c>
      <c r="BM27" s="93">
        <f t="shared" si="46"/>
        <v>140624.71999999997</v>
      </c>
      <c r="BN27" s="92"/>
      <c r="BO27" s="94">
        <f t="shared" si="47"/>
        <v>0.16313694564276973</v>
      </c>
      <c r="BP27" s="94">
        <f t="shared" si="47"/>
        <v>0</v>
      </c>
      <c r="BQ27" s="94">
        <f t="shared" si="48"/>
        <v>0.1932011356253816</v>
      </c>
      <c r="BR27" s="94">
        <f t="shared" si="67"/>
        <v>0.63866378719722616</v>
      </c>
      <c r="BS27" s="94">
        <f t="shared" si="77"/>
        <v>2.707379097901285E-2</v>
      </c>
      <c r="BT27" s="94">
        <f t="shared" si="77"/>
        <v>9.9110366976425737E-2</v>
      </c>
      <c r="BU27" s="95">
        <f t="shared" si="77"/>
        <v>0.99784274751879676</v>
      </c>
      <c r="BV27" s="94">
        <f t="shared" si="11"/>
        <v>0.13227935624768283</v>
      </c>
      <c r="BW27" s="94">
        <f t="shared" si="11"/>
        <v>0</v>
      </c>
      <c r="BX27" s="94">
        <f t="shared" si="11"/>
        <v>0.15665686117974351</v>
      </c>
      <c r="BY27" s="94">
        <f t="shared" si="49"/>
        <v>0.51785960743773696</v>
      </c>
      <c r="BZ27" s="95">
        <f t="shared" si="12"/>
        <v>0.80909934753369928</v>
      </c>
      <c r="CA27" s="96" t="e">
        <f>#REF!</f>
        <v>#REF!</v>
      </c>
      <c r="CB27" s="94">
        <f t="shared" si="50"/>
        <v>5.6016302185802697E-2</v>
      </c>
      <c r="CC27" s="95">
        <f t="shared" si="50"/>
        <v>4.1727533753156063E-2</v>
      </c>
      <c r="CD27" s="97">
        <f t="shared" si="13"/>
        <v>0.14807262368733912</v>
      </c>
      <c r="CE27" s="98">
        <f t="shared" si="13"/>
        <v>0.11030191500926687</v>
      </c>
      <c r="CF27" s="97" t="str">
        <f t="shared" si="51"/>
        <v>0,00</v>
      </c>
      <c r="CG27" s="94" t="str">
        <f t="shared" si="51"/>
        <v>0,00</v>
      </c>
      <c r="CH27" s="95" t="str">
        <f t="shared" si="52"/>
        <v xml:space="preserve">0,00 </v>
      </c>
      <c r="CI27" s="96" t="e">
        <f>#REF!</f>
        <v>#REF!</v>
      </c>
      <c r="CJ27" s="94">
        <f t="shared" si="53"/>
        <v>0.21274526489824699</v>
      </c>
      <c r="CK27" s="94">
        <f t="shared" si="53"/>
        <v>0.18336615688848909</v>
      </c>
      <c r="CL27" s="95">
        <f t="shared" si="68"/>
        <v>0.50451019961584287</v>
      </c>
      <c r="CM27" s="95" t="e">
        <f>#REF!</f>
        <v>#REF!</v>
      </c>
      <c r="CN27" s="94">
        <f t="shared" si="54"/>
        <v>0.52462678857378997</v>
      </c>
      <c r="CO27" s="94">
        <f t="shared" si="54"/>
        <v>0.54278694663980576</v>
      </c>
      <c r="CP27" s="95">
        <f t="shared" si="55"/>
        <v>1.4245635105119065</v>
      </c>
      <c r="CQ27" s="95" t="e">
        <f>#REF!</f>
        <v>#REF!</v>
      </c>
      <c r="CR27" s="97">
        <f t="shared" si="69"/>
        <v>8.6084869444253889E-3</v>
      </c>
      <c r="CS27" s="95">
        <f t="shared" si="69"/>
        <v>8.8876811155864724E-2</v>
      </c>
      <c r="CT27" s="96" t="e">
        <f>#REF!</f>
        <v>#REF!</v>
      </c>
      <c r="CU27" s="97">
        <f t="shared" si="70"/>
        <v>3.5494952161634286E-2</v>
      </c>
      <c r="CV27" s="95">
        <f t="shared" si="56"/>
        <v>4.3762852665174323E-2</v>
      </c>
      <c r="CW27" s="96" t="e">
        <f>#REF!</f>
        <v>#REF!</v>
      </c>
      <c r="CX27" s="99">
        <f t="shared" ref="CX27:DA37" si="78">IF($O27&lt;&gt;0,IF($O27&lt;&gt;0,AU27/$O27*10,0)," ")</f>
        <v>0.33730153360702098</v>
      </c>
      <c r="CY27" s="95">
        <f t="shared" si="78"/>
        <v>9.9588386045718659E-3</v>
      </c>
      <c r="CZ27" s="99">
        <f t="shared" si="78"/>
        <v>0.12556796501416698</v>
      </c>
      <c r="DA27" s="95">
        <f t="shared" si="78"/>
        <v>1.2989789484224171E-3</v>
      </c>
      <c r="DB27" s="94">
        <f t="shared" si="14"/>
        <v>0.25676483880483114</v>
      </c>
      <c r="DC27" s="94">
        <f t="shared" si="15"/>
        <v>5.8237556187605038E-2</v>
      </c>
      <c r="DD27" s="94">
        <f t="shared" si="15"/>
        <v>0.41727533753164181</v>
      </c>
      <c r="DE27" s="94">
        <f t="shared" si="15"/>
        <v>0.11777409132363248</v>
      </c>
      <c r="DF27" s="94">
        <f t="shared" si="15"/>
        <v>0</v>
      </c>
      <c r="DG27" s="94">
        <f t="shared" si="15"/>
        <v>0</v>
      </c>
      <c r="DH27" s="95">
        <f t="shared" si="15"/>
        <v>0.8500518238477105</v>
      </c>
      <c r="DI27" s="96" t="e">
        <f>#REF!</f>
        <v>#REF!</v>
      </c>
      <c r="DJ27" s="95">
        <f t="shared" si="58"/>
        <v>0.36111614766143196</v>
      </c>
      <c r="DK27" s="96" t="e">
        <f>#REF!</f>
        <v>#REF!</v>
      </c>
      <c r="DL27" s="95">
        <f t="shared" si="59"/>
        <v>0.20996262729308354</v>
      </c>
      <c r="DM27" s="96">
        <f t="shared" si="16"/>
        <v>0</v>
      </c>
      <c r="DN27" s="94">
        <f t="shared" si="17"/>
        <v>2.4780578099757049</v>
      </c>
      <c r="DO27" s="100">
        <v>3.4</v>
      </c>
      <c r="DP27" s="94">
        <f t="shared" si="71"/>
        <v>3.0491365849302206</v>
      </c>
      <c r="DQ27" s="94">
        <f>IF($P27&lt;&gt;0,IF($P27&lt;&gt;0,BM27/$P27*10,0)," ")</f>
        <v>2.8797844868005655</v>
      </c>
      <c r="DR27" s="101">
        <f t="shared" si="18"/>
        <v>3.13</v>
      </c>
      <c r="DS27" s="173"/>
      <c r="DT27" s="103">
        <v>22</v>
      </c>
      <c r="DU27" s="518">
        <v>638774</v>
      </c>
      <c r="DV27" s="362">
        <v>30360</v>
      </c>
      <c r="DW27" s="361">
        <v>5157262</v>
      </c>
      <c r="DX27" s="364">
        <v>123880</v>
      </c>
      <c r="DY27" s="364">
        <v>88576.2</v>
      </c>
      <c r="DZ27" s="364">
        <v>408475</v>
      </c>
      <c r="EA27" s="381">
        <v>244939</v>
      </c>
      <c r="EB27" s="390">
        <v>56645.2</v>
      </c>
      <c r="EC27" s="381">
        <v>426380</v>
      </c>
      <c r="ED27" s="361">
        <v>48676.800000000003</v>
      </c>
      <c r="EE27" s="303">
        <v>41513.5</v>
      </c>
      <c r="EF27" s="303">
        <v>43618.400000000001</v>
      </c>
      <c r="EG27" s="361">
        <v>95746.9</v>
      </c>
      <c r="EH27" s="361">
        <v>188444.5</v>
      </c>
      <c r="EI27" s="361">
        <v>35374</v>
      </c>
      <c r="EJ27" s="303">
        <v>43852</v>
      </c>
      <c r="EK27" s="330"/>
      <c r="EL27" s="361">
        <v>725066.2</v>
      </c>
      <c r="EM27" s="361">
        <v>3618</v>
      </c>
      <c r="EN27" s="303">
        <v>48663.3</v>
      </c>
      <c r="EO27" s="361">
        <v>3145192.4</v>
      </c>
      <c r="EP27" s="303">
        <v>2852224</v>
      </c>
      <c r="EQ27" s="303">
        <v>507</v>
      </c>
      <c r="ER27" s="303">
        <v>1856</v>
      </c>
      <c r="ES27" s="303">
        <v>432800</v>
      </c>
      <c r="ET27" s="303">
        <v>9494784</v>
      </c>
      <c r="EU27" s="303">
        <v>163994</v>
      </c>
      <c r="EV27" s="136">
        <v>468756</v>
      </c>
      <c r="EW27" s="303">
        <v>145711</v>
      </c>
      <c r="EX27" s="303">
        <v>224083.5</v>
      </c>
      <c r="EY27" s="303">
        <v>1728131.6</v>
      </c>
      <c r="EZ27" s="303">
        <v>836908.7</v>
      </c>
      <c r="FA27" s="383">
        <v>771556</v>
      </c>
      <c r="FB27" s="104">
        <v>32048.2</v>
      </c>
      <c r="FC27" s="393">
        <v>6208</v>
      </c>
      <c r="FD27" s="303">
        <f t="shared" si="75"/>
        <v>6042</v>
      </c>
      <c r="FE27" s="136">
        <v>1105</v>
      </c>
      <c r="FF27" s="136">
        <v>136</v>
      </c>
      <c r="FG27" s="105">
        <f t="shared" si="76"/>
        <v>1221</v>
      </c>
      <c r="FH27" s="136">
        <v>1543</v>
      </c>
      <c r="FI27" s="136">
        <v>805</v>
      </c>
      <c r="FJ27" s="136">
        <v>0</v>
      </c>
      <c r="FK27" s="136">
        <v>0</v>
      </c>
      <c r="FL27" s="136">
        <v>827</v>
      </c>
      <c r="FM27" s="136">
        <v>405</v>
      </c>
      <c r="FN27" s="80">
        <v>1000</v>
      </c>
      <c r="FO27" s="333"/>
      <c r="FP27" s="487"/>
      <c r="FY27" s="119">
        <v>22</v>
      </c>
      <c r="FZ27" s="107"/>
      <c r="GA27" s="107"/>
      <c r="GB27" s="107"/>
      <c r="GC27" s="109"/>
      <c r="GD27" s="110"/>
      <c r="GE27" s="110"/>
      <c r="GF27" s="111"/>
      <c r="GG27" s="111"/>
      <c r="GH27" s="111"/>
      <c r="GI27" s="112"/>
      <c r="GJ27" s="111" t="e">
        <f t="shared" si="60"/>
        <v>#DIV/0!</v>
      </c>
      <c r="GK27" s="113"/>
    </row>
    <row r="28" spans="1:193" ht="15" customHeight="1">
      <c r="B28" s="351">
        <v>43031</v>
      </c>
      <c r="D28" s="86">
        <v>0</v>
      </c>
      <c r="E28" s="86">
        <v>5035.08</v>
      </c>
      <c r="F28" s="86">
        <v>2363.904</v>
      </c>
      <c r="G28" s="86">
        <v>4336.509</v>
      </c>
      <c r="H28" s="86">
        <v>6925.9120000000003</v>
      </c>
      <c r="I28" s="86">
        <v>1999.019</v>
      </c>
      <c r="J28" s="86">
        <v>8646.66</v>
      </c>
      <c r="K28" s="284">
        <v>14.891999999999999</v>
      </c>
      <c r="L28" s="284">
        <v>0</v>
      </c>
      <c r="M28" s="115">
        <f t="shared" si="61"/>
        <v>10645.679</v>
      </c>
      <c r="N28" s="88">
        <f t="shared" si="20"/>
        <v>18661.404999999999</v>
      </c>
      <c r="O28" s="88">
        <f t="shared" si="21"/>
        <v>23984.244500000001</v>
      </c>
      <c r="P28" s="89">
        <f t="shared" si="22"/>
        <v>512301.06350000005</v>
      </c>
      <c r="R28" s="170">
        <f t="shared" si="23"/>
        <v>157.80000000004657</v>
      </c>
      <c r="S28" s="170">
        <f t="shared" si="24"/>
        <v>3.0000000004656614E-2</v>
      </c>
      <c r="T28" s="170">
        <f t="shared" si="1"/>
        <v>348.5</v>
      </c>
      <c r="U28" s="170">
        <f t="shared" si="73"/>
        <v>2.3699999999997088</v>
      </c>
      <c r="V28" s="170">
        <f t="shared" si="25"/>
        <v>836.60000000009313</v>
      </c>
      <c r="W28" s="170">
        <f t="shared" si="2"/>
        <v>73.8</v>
      </c>
      <c r="X28" s="170">
        <f t="shared" si="26"/>
        <v>836.60000000009313</v>
      </c>
      <c r="Y28" s="170" t="str">
        <f t="shared" si="27"/>
        <v>0</v>
      </c>
      <c r="Z28" s="170">
        <f t="shared" si="3"/>
        <v>152.4</v>
      </c>
      <c r="AA28" s="501">
        <f t="shared" si="28"/>
        <v>1345.3000000001441</v>
      </c>
      <c r="AB28" s="170">
        <f t="shared" si="29"/>
        <v>179</v>
      </c>
      <c r="AC28" s="170">
        <f t="shared" si="29"/>
        <v>45</v>
      </c>
      <c r="AD28" s="501">
        <f t="shared" si="4"/>
        <v>405</v>
      </c>
      <c r="AE28" s="501">
        <f t="shared" si="30"/>
        <v>181</v>
      </c>
      <c r="AF28" s="170">
        <f t="shared" si="31"/>
        <v>110</v>
      </c>
      <c r="AG28" s="170">
        <f t="shared" si="31"/>
        <v>98.80000000000291</v>
      </c>
      <c r="AH28" s="501">
        <f t="shared" si="5"/>
        <v>249</v>
      </c>
      <c r="AI28" s="501">
        <f t="shared" si="32"/>
        <v>40.19999999999709</v>
      </c>
      <c r="AJ28" s="170">
        <f t="shared" si="33"/>
        <v>174</v>
      </c>
      <c r="AK28" s="170">
        <f t="shared" si="33"/>
        <v>10.80000000000291</v>
      </c>
      <c r="AL28" s="501">
        <f t="shared" si="6"/>
        <v>261</v>
      </c>
      <c r="AM28" s="501">
        <f t="shared" si="34"/>
        <v>76.19999999999709</v>
      </c>
      <c r="AN28" s="170">
        <f t="shared" si="35"/>
        <v>0</v>
      </c>
      <c r="AO28" s="501">
        <f t="shared" si="7"/>
        <v>27.099999999998545</v>
      </c>
      <c r="AP28" s="170">
        <f t="shared" si="36"/>
        <v>33.100000000005821</v>
      </c>
      <c r="AQ28" s="501">
        <f t="shared" si="8"/>
        <v>36.5</v>
      </c>
      <c r="AR28" s="170">
        <f t="shared" si="37"/>
        <v>82.207999999999998</v>
      </c>
      <c r="AS28" s="501">
        <f t="shared" si="38"/>
        <v>156.20799999999997</v>
      </c>
      <c r="AT28" s="501">
        <f t="shared" si="39"/>
        <v>807.20799999999997</v>
      </c>
      <c r="AU28" s="170">
        <f t="shared" si="62"/>
        <v>457</v>
      </c>
      <c r="AV28" s="501">
        <f t="shared" si="63"/>
        <v>52</v>
      </c>
      <c r="AW28" s="170">
        <f t="shared" si="64"/>
        <v>194</v>
      </c>
      <c r="AX28" s="501">
        <f t="shared" si="65"/>
        <v>20</v>
      </c>
      <c r="AY28" s="501" t="str">
        <f t="shared" si="65"/>
        <v/>
      </c>
      <c r="AZ28" s="170">
        <f t="shared" si="40"/>
        <v>293</v>
      </c>
      <c r="BA28" s="170">
        <v>117</v>
      </c>
      <c r="BB28" s="170">
        <f t="shared" si="41"/>
        <v>104.5</v>
      </c>
      <c r="BC28" s="170">
        <f t="shared" si="41"/>
        <v>511.39999999990687</v>
      </c>
      <c r="BD28" s="170">
        <f t="shared" si="42"/>
        <v>190</v>
      </c>
      <c r="BE28" s="90"/>
      <c r="BF28" s="90"/>
      <c r="BG28" s="501">
        <f t="shared" si="43"/>
        <v>1098.8999999999069</v>
      </c>
      <c r="BH28" s="501">
        <f t="shared" si="44"/>
        <v>1166</v>
      </c>
      <c r="BI28" s="90">
        <f t="shared" si="9"/>
        <v>1113.9919999999511</v>
      </c>
      <c r="BJ28" s="90">
        <f t="shared" si="45"/>
        <v>4302.0080000000489</v>
      </c>
      <c r="BK28" s="92"/>
      <c r="BL28" s="331">
        <f t="shared" si="66"/>
        <v>6582</v>
      </c>
      <c r="BM28" s="93">
        <f t="shared" si="46"/>
        <v>147206.71999999997</v>
      </c>
      <c r="BN28" s="92"/>
      <c r="BO28" s="94">
        <f t="shared" si="47"/>
        <v>8.4559549508757006E-2</v>
      </c>
      <c r="BP28" s="94">
        <f t="shared" si="47"/>
        <v>1.6075959985143998E-5</v>
      </c>
      <c r="BQ28" s="94">
        <f t="shared" si="48"/>
        <v>0.18674906846510217</v>
      </c>
      <c r="BR28" s="94">
        <f t="shared" si="67"/>
        <v>0.44830493738284616</v>
      </c>
      <c r="BS28" s="94">
        <f t="shared" si="77"/>
        <v>0</v>
      </c>
      <c r="BT28" s="94">
        <f t="shared" si="77"/>
        <v>8.1665876711855295E-2</v>
      </c>
      <c r="BU28" s="95">
        <f t="shared" si="77"/>
        <v>0.7208996321553196</v>
      </c>
      <c r="BV28" s="94">
        <f t="shared" si="11"/>
        <v>6.5793191859783842E-2</v>
      </c>
      <c r="BW28" s="94">
        <f t="shared" si="11"/>
        <v>1.2508211382124884E-5</v>
      </c>
      <c r="BX28" s="94">
        <f t="shared" si="11"/>
        <v>0.14530372219979662</v>
      </c>
      <c r="BY28" s="94">
        <f t="shared" si="49"/>
        <v>0.34881232135541862</v>
      </c>
      <c r="BZ28" s="95">
        <f t="shared" si="12"/>
        <v>0.56090989232541555</v>
      </c>
      <c r="CA28" s="96" t="e">
        <f>#REF!</f>
        <v>#REF!</v>
      </c>
      <c r="CB28" s="94">
        <f t="shared" si="50"/>
        <v>3.42758347047371E-2</v>
      </c>
      <c r="CC28" s="95">
        <f t="shared" si="50"/>
        <v>6.5129422775856025E-2</v>
      </c>
      <c r="CD28" s="97">
        <f t="shared" si="13"/>
        <v>7.7221941409279751E-2</v>
      </c>
      <c r="CE28" s="98">
        <f t="shared" si="13"/>
        <v>0.14673371233530522</v>
      </c>
      <c r="CF28" s="97" t="str">
        <f t="shared" si="51"/>
        <v>0,00</v>
      </c>
      <c r="CG28" s="94" t="str">
        <f t="shared" si="51"/>
        <v>0,00</v>
      </c>
      <c r="CH28" s="95" t="str">
        <f t="shared" si="52"/>
        <v xml:space="preserve">0,00 </v>
      </c>
      <c r="CI28" s="96" t="e">
        <f>#REF!</f>
        <v>#REF!</v>
      </c>
      <c r="CJ28" s="94">
        <f t="shared" si="53"/>
        <v>0.21846723388704847</v>
      </c>
      <c r="CK28" s="94">
        <f t="shared" si="53"/>
        <v>0.1962232973458275</v>
      </c>
      <c r="CL28" s="95">
        <f t="shared" si="68"/>
        <v>0.49453037488977336</v>
      </c>
      <c r="CM28" s="95" t="e">
        <f>#REF!</f>
        <v>#REF!</v>
      </c>
      <c r="CN28" s="94">
        <f t="shared" si="54"/>
        <v>0.7360705003248863</v>
      </c>
      <c r="CO28" s="94">
        <f t="shared" si="54"/>
        <v>4.5687134502936294E-2</v>
      </c>
      <c r="CP28" s="95">
        <f t="shared" si="55"/>
        <v>1.1041057504873295</v>
      </c>
      <c r="CQ28" s="95" t="e">
        <f>#REF!</f>
        <v>#REF!</v>
      </c>
      <c r="CR28" s="97">
        <f t="shared" si="69"/>
        <v>0</v>
      </c>
      <c r="CS28" s="95">
        <f t="shared" si="69"/>
        <v>6.2492664029980209E-2</v>
      </c>
      <c r="CT28" s="96" t="e">
        <f>#REF!</f>
        <v>#REF!</v>
      </c>
      <c r="CU28" s="97">
        <f t="shared" si="70"/>
        <v>4.7791539944495136E-2</v>
      </c>
      <c r="CV28" s="95">
        <f t="shared" si="56"/>
        <v>5.2700640724282946E-2</v>
      </c>
      <c r="CW28" s="96" t="e">
        <f>#REF!</f>
        <v>#REF!</v>
      </c>
      <c r="CX28" s="99">
        <f t="shared" si="78"/>
        <v>0.1905417533581264</v>
      </c>
      <c r="CY28" s="95">
        <f t="shared" si="78"/>
        <v>2.1680899725651147E-2</v>
      </c>
      <c r="CZ28" s="99">
        <f t="shared" si="78"/>
        <v>8.0886433591852352E-2</v>
      </c>
      <c r="DA28" s="95">
        <f t="shared" si="78"/>
        <v>8.3388075867889024E-3</v>
      </c>
      <c r="DB28" s="94">
        <f t="shared" si="14"/>
        <v>0.12216353114645742</v>
      </c>
      <c r="DC28" s="94">
        <f t="shared" si="15"/>
        <v>4.3570269640972013E-2</v>
      </c>
      <c r="DD28" s="94">
        <f t="shared" si="15"/>
        <v>0.2132233099941534</v>
      </c>
      <c r="DE28" s="94">
        <f t="shared" si="15"/>
        <v>7.9218672074494567E-2</v>
      </c>
      <c r="DF28" s="94">
        <f t="shared" si="15"/>
        <v>0</v>
      </c>
      <c r="DG28" s="94">
        <f t="shared" si="15"/>
        <v>0</v>
      </c>
      <c r="DH28" s="95">
        <f t="shared" si="15"/>
        <v>0.45817578285607735</v>
      </c>
      <c r="DI28" s="96" t="e">
        <f>#REF!</f>
        <v>#REF!</v>
      </c>
      <c r="DJ28" s="95">
        <f t="shared" si="58"/>
        <v>0.48615248230979297</v>
      </c>
      <c r="DK28" s="96" t="e">
        <f>#REF!</f>
        <v>#REF!</v>
      </c>
      <c r="DL28" s="95">
        <f t="shared" si="59"/>
        <v>0.46446824706108669</v>
      </c>
      <c r="DM28" s="96">
        <f t="shared" si="16"/>
        <v>0</v>
      </c>
      <c r="DN28" s="94">
        <f t="shared" si="17"/>
        <v>1.7936808474413479</v>
      </c>
      <c r="DO28" s="100">
        <v>3.4</v>
      </c>
      <c r="DP28" s="94">
        <f>IF($O28&lt;&gt;0,IF($O28&lt;&gt;0,BL28/$O28*10,0)," ")</f>
        <v>2.7443015768122274</v>
      </c>
      <c r="DQ28" s="94">
        <f t="shared" si="72"/>
        <v>2.8734416242335197</v>
      </c>
      <c r="DR28" s="101">
        <f t="shared" si="18"/>
        <v>3.13</v>
      </c>
      <c r="DS28" s="173"/>
      <c r="DT28" s="103">
        <v>23</v>
      </c>
      <c r="DU28" s="473">
        <v>638953</v>
      </c>
      <c r="DV28" s="361">
        <v>30405</v>
      </c>
      <c r="DW28" s="330">
        <v>5157488</v>
      </c>
      <c r="DX28" s="364">
        <v>123990</v>
      </c>
      <c r="DY28" s="330">
        <v>88675</v>
      </c>
      <c r="DZ28" s="330">
        <v>408614</v>
      </c>
      <c r="EA28" s="381">
        <v>245113</v>
      </c>
      <c r="EB28" s="475">
        <v>56656</v>
      </c>
      <c r="EC28" s="104">
        <v>426467</v>
      </c>
      <c r="ED28" s="361">
        <v>48676.800000000003</v>
      </c>
      <c r="EE28" s="303">
        <v>41537</v>
      </c>
      <c r="EF28" s="389">
        <v>43622</v>
      </c>
      <c r="EG28" s="330">
        <v>95780</v>
      </c>
      <c r="EH28" s="330">
        <v>188481</v>
      </c>
      <c r="EI28" s="330">
        <v>35426</v>
      </c>
      <c r="EJ28" s="104">
        <v>43872</v>
      </c>
      <c r="EK28" s="104"/>
      <c r="EL28" s="330">
        <v>725224</v>
      </c>
      <c r="EM28" s="330">
        <v>3485</v>
      </c>
      <c r="EN28" s="105">
        <v>48687</v>
      </c>
      <c r="EO28" s="330">
        <v>3146029</v>
      </c>
      <c r="EP28" s="105">
        <v>2852962</v>
      </c>
      <c r="EQ28" s="105">
        <v>0</v>
      </c>
      <c r="ER28" s="105">
        <v>1524</v>
      </c>
      <c r="ES28" s="104">
        <v>433525</v>
      </c>
      <c r="ET28" s="104">
        <v>9576992</v>
      </c>
      <c r="EU28" s="104">
        <v>164188</v>
      </c>
      <c r="EV28" s="104">
        <v>469213</v>
      </c>
      <c r="EW28" s="105">
        <v>146004</v>
      </c>
      <c r="EX28" s="330">
        <v>224188</v>
      </c>
      <c r="EY28" s="330">
        <v>1728643</v>
      </c>
      <c r="EZ28" s="388">
        <v>836909</v>
      </c>
      <c r="FA28" s="387">
        <v>771746</v>
      </c>
      <c r="FB28" s="386">
        <v>32168</v>
      </c>
      <c r="FC28" s="394">
        <v>5416</v>
      </c>
      <c r="FD28" s="383">
        <f t="shared" si="75"/>
        <v>5582</v>
      </c>
      <c r="FE28" s="121">
        <v>1069</v>
      </c>
      <c r="FF28" s="136">
        <v>110</v>
      </c>
      <c r="FG28" s="105">
        <f t="shared" si="76"/>
        <v>1197</v>
      </c>
      <c r="FH28" s="121">
        <v>1414</v>
      </c>
      <c r="FI28" s="136">
        <v>664</v>
      </c>
      <c r="FJ28" s="121">
        <v>0</v>
      </c>
      <c r="FK28" s="136">
        <v>0</v>
      </c>
      <c r="FL28" s="136">
        <v>623</v>
      </c>
      <c r="FM28" s="136">
        <v>505</v>
      </c>
      <c r="FN28" s="80">
        <v>1000</v>
      </c>
      <c r="FO28" s="475"/>
      <c r="FP28" s="487"/>
      <c r="FR28" s="64"/>
      <c r="FS28" s="64"/>
      <c r="FT28" s="64"/>
      <c r="FU28" s="64"/>
      <c r="FV28" s="64"/>
      <c r="FW28" s="64"/>
      <c r="FX28" s="64"/>
      <c r="FY28" s="64">
        <v>23</v>
      </c>
      <c r="FZ28" s="107"/>
      <c r="GA28" s="107"/>
      <c r="GB28" s="107"/>
      <c r="GC28" s="109"/>
      <c r="GD28" s="110"/>
      <c r="GE28" s="110"/>
      <c r="GF28" s="111"/>
      <c r="GG28" s="111"/>
      <c r="GH28" s="111"/>
      <c r="GI28" s="112"/>
      <c r="GJ28" s="111" t="e">
        <f t="shared" si="60"/>
        <v>#DIV/0!</v>
      </c>
      <c r="GK28" s="118"/>
    </row>
    <row r="29" spans="1:193" ht="15" customHeight="1">
      <c r="B29" s="351">
        <v>43032</v>
      </c>
      <c r="D29" s="86">
        <v>4992</v>
      </c>
      <c r="E29" s="86">
        <v>3258.72</v>
      </c>
      <c r="F29" s="86">
        <v>3162.24</v>
      </c>
      <c r="G29" s="86">
        <v>1883.1759999999999</v>
      </c>
      <c r="H29" s="86">
        <v>5030.1280000000006</v>
      </c>
      <c r="I29" s="86">
        <v>1410.9939999999999</v>
      </c>
      <c r="J29" s="86">
        <v>4041.4979999999996</v>
      </c>
      <c r="K29" s="284">
        <v>6.1710000000000003</v>
      </c>
      <c r="L29" s="284">
        <v>0</v>
      </c>
      <c r="M29" s="115">
        <f t="shared" si="61"/>
        <v>5452.4919999999993</v>
      </c>
      <c r="N29" s="88">
        <f t="shared" si="20"/>
        <v>18326.263999999999</v>
      </c>
      <c r="O29" s="88">
        <f t="shared" si="21"/>
        <v>21052.51</v>
      </c>
      <c r="P29" s="89">
        <f t="shared" si="22"/>
        <v>533353.57350000006</v>
      </c>
      <c r="R29" s="170">
        <f t="shared" si="23"/>
        <v>182.30000000004657</v>
      </c>
      <c r="S29" s="170">
        <f t="shared" si="24"/>
        <v>0</v>
      </c>
      <c r="T29" s="170">
        <f t="shared" si="1"/>
        <v>325.8</v>
      </c>
      <c r="U29" s="170">
        <f t="shared" si="73"/>
        <v>1.85</v>
      </c>
      <c r="V29" s="170">
        <f t="shared" si="25"/>
        <v>1006</v>
      </c>
      <c r="W29" s="170">
        <f t="shared" si="2"/>
        <v>88.7</v>
      </c>
      <c r="X29" s="170">
        <f t="shared" si="26"/>
        <v>1006</v>
      </c>
      <c r="Y29" s="170">
        <f t="shared" si="27"/>
        <v>48.8</v>
      </c>
      <c r="Z29" s="170">
        <f t="shared" si="3"/>
        <v>170.6</v>
      </c>
      <c r="AA29" s="501">
        <f t="shared" si="28"/>
        <v>1515.9500000000467</v>
      </c>
      <c r="AB29" s="170">
        <f t="shared" si="29"/>
        <v>148</v>
      </c>
      <c r="AC29" s="170">
        <f t="shared" si="29"/>
        <v>0</v>
      </c>
      <c r="AD29" s="501">
        <f t="shared" si="4"/>
        <v>319</v>
      </c>
      <c r="AE29" s="501">
        <f t="shared" si="30"/>
        <v>171</v>
      </c>
      <c r="AF29" s="170">
        <f t="shared" si="31"/>
        <v>78</v>
      </c>
      <c r="AG29" s="170">
        <f t="shared" si="31"/>
        <v>135.10000000000582</v>
      </c>
      <c r="AH29" s="501">
        <f t="shared" si="5"/>
        <v>275</v>
      </c>
      <c r="AI29" s="501">
        <f t="shared" si="32"/>
        <v>61.899999999994179</v>
      </c>
      <c r="AJ29" s="170">
        <f t="shared" si="33"/>
        <v>186</v>
      </c>
      <c r="AK29" s="170">
        <f t="shared" si="33"/>
        <v>7.5</v>
      </c>
      <c r="AL29" s="501">
        <f t="shared" si="6"/>
        <v>230</v>
      </c>
      <c r="AM29" s="501">
        <f t="shared" si="34"/>
        <v>36.5</v>
      </c>
      <c r="AN29" s="170">
        <f t="shared" si="35"/>
        <v>0.19999999999708962</v>
      </c>
      <c r="AO29" s="501">
        <f t="shared" si="7"/>
        <v>53.099999999998545</v>
      </c>
      <c r="AP29" s="170">
        <f t="shared" si="36"/>
        <v>69.899999999994179</v>
      </c>
      <c r="AQ29" s="501">
        <f t="shared" si="8"/>
        <v>115</v>
      </c>
      <c r="AR29" s="170">
        <f t="shared" si="37"/>
        <v>56.582000000000001</v>
      </c>
      <c r="AS29" s="501">
        <f t="shared" si="38"/>
        <v>60.581999999999994</v>
      </c>
      <c r="AT29" s="501">
        <f t="shared" si="39"/>
        <v>704.58199999999999</v>
      </c>
      <c r="AU29" s="170">
        <f t="shared" si="62"/>
        <v>362</v>
      </c>
      <c r="AV29" s="501">
        <f t="shared" si="63"/>
        <v>13</v>
      </c>
      <c r="AW29" s="170">
        <f t="shared" si="64"/>
        <v>282</v>
      </c>
      <c r="AX29" s="501">
        <f t="shared" si="65"/>
        <v>31</v>
      </c>
      <c r="AY29" s="501" t="str">
        <f t="shared" si="65"/>
        <v/>
      </c>
      <c r="AZ29" s="170">
        <f t="shared" si="40"/>
        <v>285</v>
      </c>
      <c r="BA29" s="170">
        <v>93</v>
      </c>
      <c r="BB29" s="170">
        <f t="shared" si="41"/>
        <v>123.20000000001164</v>
      </c>
      <c r="BC29" s="170">
        <f t="shared" si="41"/>
        <v>284.89999999990687</v>
      </c>
      <c r="BD29" s="170">
        <f t="shared" si="42"/>
        <v>22</v>
      </c>
      <c r="BE29" s="90"/>
      <c r="BF29" s="90"/>
      <c r="BG29" s="501">
        <f t="shared" si="43"/>
        <v>715.09999999991851</v>
      </c>
      <c r="BH29" s="501">
        <f t="shared" si="44"/>
        <v>2164.1400000000003</v>
      </c>
      <c r="BI29" s="90">
        <f t="shared" si="9"/>
        <v>163.26800000003641</v>
      </c>
      <c r="BJ29" s="90">
        <f t="shared" si="45"/>
        <v>3971.7319999999636</v>
      </c>
      <c r="BK29" s="92"/>
      <c r="BL29" s="331">
        <f>FD29+FN29</f>
        <v>6299.14</v>
      </c>
      <c r="BM29" s="93">
        <f t="shared" si="46"/>
        <v>153505.85999999999</v>
      </c>
      <c r="BN29" s="92"/>
      <c r="BO29" s="94">
        <f t="shared" si="47"/>
        <v>9.9474721088840895E-2</v>
      </c>
      <c r="BP29" s="94">
        <f t="shared" si="47"/>
        <v>0</v>
      </c>
      <c r="BQ29" s="94">
        <f t="shared" si="48"/>
        <v>0.17777764196783372</v>
      </c>
      <c r="BR29" s="94">
        <f t="shared" si="67"/>
        <v>0.5489389435839187</v>
      </c>
      <c r="BS29" s="94">
        <f t="shared" si="77"/>
        <v>2.6628449748404802E-2</v>
      </c>
      <c r="BT29" s="94">
        <f t="shared" si="77"/>
        <v>9.3090441128644674E-2</v>
      </c>
      <c r="BU29" s="95">
        <f t="shared" si="77"/>
        <v>0.82720078680523568</v>
      </c>
      <c r="BV29" s="94">
        <f t="shared" si="11"/>
        <v>8.6593000074597554E-2</v>
      </c>
      <c r="BW29" s="94">
        <f t="shared" si="11"/>
        <v>0</v>
      </c>
      <c r="BX29" s="94">
        <f t="shared" si="11"/>
        <v>0.15475589371528622</v>
      </c>
      <c r="BY29" s="94">
        <f t="shared" si="49"/>
        <v>0.47785275959968671</v>
      </c>
      <c r="BZ29" s="95">
        <f t="shared" si="12"/>
        <v>0.72008040846438104</v>
      </c>
      <c r="CA29" s="96" t="e">
        <f>#REF!</f>
        <v>#REF!</v>
      </c>
      <c r="CB29" s="94">
        <f t="shared" si="50"/>
        <v>2.6876605212395106E-2</v>
      </c>
      <c r="CC29" s="95">
        <f t="shared" si="50"/>
        <v>2.8776616184958467E-2</v>
      </c>
      <c r="CD29" s="97">
        <f t="shared" si="13"/>
        <v>0.10377273364179171</v>
      </c>
      <c r="CE29" s="98">
        <f t="shared" si="13"/>
        <v>0.11110882877040444</v>
      </c>
      <c r="CF29" s="97">
        <f t="shared" si="51"/>
        <v>0.29647435897435898</v>
      </c>
      <c r="CG29" s="94">
        <f t="shared" si="51"/>
        <v>0</v>
      </c>
      <c r="CH29" s="95">
        <f t="shared" si="52"/>
        <v>0.6390224358974359</v>
      </c>
      <c r="CI29" s="96" t="e">
        <f>#REF!</f>
        <v>#REF!</v>
      </c>
      <c r="CJ29" s="94">
        <f t="shared" si="53"/>
        <v>0.23935778465164237</v>
      </c>
      <c r="CK29" s="94">
        <f t="shared" si="53"/>
        <v>0.41457995777484968</v>
      </c>
      <c r="CL29" s="95">
        <f t="shared" si="68"/>
        <v>0.84388962537438017</v>
      </c>
      <c r="CM29" s="95" t="e">
        <f>#REF!</f>
        <v>#REF!</v>
      </c>
      <c r="CN29" s="94">
        <f t="shared" si="54"/>
        <v>0.5881906496660595</v>
      </c>
      <c r="CO29" s="94">
        <f t="shared" si="54"/>
        <v>2.37173649058895E-2</v>
      </c>
      <c r="CP29" s="95">
        <f t="shared" si="55"/>
        <v>0.7273325237806112</v>
      </c>
      <c r="CQ29" s="95" t="e">
        <f>#REF!</f>
        <v>#REF!</v>
      </c>
      <c r="CR29" s="97">
        <f t="shared" si="69"/>
        <v>1.0620356249075478E-3</v>
      </c>
      <c r="CS29" s="95">
        <f t="shared" si="69"/>
        <v>0.28197045841704943</v>
      </c>
      <c r="CT29" s="96" t="e">
        <f>#REF!</f>
        <v>#REF!</v>
      </c>
      <c r="CU29" s="97">
        <f t="shared" si="70"/>
        <v>0.1389626665563862</v>
      </c>
      <c r="CV29" s="95">
        <f t="shared" si="56"/>
        <v>0.2286224127894956</v>
      </c>
      <c r="CW29" s="96" t="e">
        <f>#REF!</f>
        <v>#REF!</v>
      </c>
      <c r="CX29" s="99">
        <f t="shared" si="78"/>
        <v>0.17195099301698469</v>
      </c>
      <c r="CY29" s="95">
        <f t="shared" si="78"/>
        <v>6.1750356608309418E-3</v>
      </c>
      <c r="CZ29" s="99">
        <f t="shared" si="78"/>
        <v>0.13395077356571736</v>
      </c>
      <c r="DA29" s="95">
        <f t="shared" si="78"/>
        <v>1.4725085037366092E-2</v>
      </c>
      <c r="DB29" s="94">
        <f t="shared" si="14"/>
        <v>0.13537578179513987</v>
      </c>
      <c r="DC29" s="94">
        <f t="shared" si="15"/>
        <v>5.852033795495723E-2</v>
      </c>
      <c r="DD29" s="94">
        <f t="shared" si="15"/>
        <v>0.13532828152078155</v>
      </c>
      <c r="DE29" s="94">
        <f t="shared" si="15"/>
        <v>1.0450060349098518E-2</v>
      </c>
      <c r="DF29" s="94">
        <f t="shared" si="15"/>
        <v>0</v>
      </c>
      <c r="DG29" s="94">
        <f t="shared" si="15"/>
        <v>0</v>
      </c>
      <c r="DH29" s="95">
        <f t="shared" si="15"/>
        <v>0.33967446161997716</v>
      </c>
      <c r="DI29" s="96" t="e">
        <f>#REF!</f>
        <v>#REF!</v>
      </c>
      <c r="DJ29" s="95">
        <f t="shared" si="58"/>
        <v>1.0279724365408214</v>
      </c>
      <c r="DK29" s="96" t="e">
        <f>#REF!</f>
        <v>#REF!</v>
      </c>
      <c r="DL29" s="95">
        <f t="shared" si="59"/>
        <v>7.7552747867136229E-2</v>
      </c>
      <c r="DM29" s="96">
        <f t="shared" si="16"/>
        <v>0</v>
      </c>
      <c r="DN29" s="94">
        <f t="shared" si="17"/>
        <v>1.8865835950202441</v>
      </c>
      <c r="DO29" s="100">
        <v>3.4</v>
      </c>
      <c r="DP29" s="94">
        <f t="shared" si="71"/>
        <v>2.9921087794282015</v>
      </c>
      <c r="DQ29" s="94">
        <f>IF($P29&lt;&gt;0,IF($P29&lt;&gt;0,BM29/$P29*10,0)," ")</f>
        <v>2.8781256492321967</v>
      </c>
      <c r="DR29" s="101">
        <f t="shared" si="18"/>
        <v>3.13</v>
      </c>
      <c r="DS29" s="178"/>
      <c r="DT29" s="103">
        <v>24</v>
      </c>
      <c r="DU29" s="330">
        <v>639101</v>
      </c>
      <c r="DV29" s="361">
        <v>30405</v>
      </c>
      <c r="DW29" s="330">
        <v>5157659</v>
      </c>
      <c r="DX29" s="330">
        <v>124068</v>
      </c>
      <c r="DY29" s="330">
        <v>88810.1</v>
      </c>
      <c r="DZ29" s="330">
        <v>408811</v>
      </c>
      <c r="EA29" s="330">
        <v>245299</v>
      </c>
      <c r="EB29" s="330">
        <v>56663.5</v>
      </c>
      <c r="EC29" s="330">
        <v>426511</v>
      </c>
      <c r="ED29" s="330">
        <v>48677</v>
      </c>
      <c r="EE29" s="330">
        <v>41554.1</v>
      </c>
      <c r="EF29" s="330">
        <v>43658</v>
      </c>
      <c r="EG29" s="330">
        <v>95849.9</v>
      </c>
      <c r="EH29" s="330">
        <v>188596</v>
      </c>
      <c r="EI29" s="330">
        <v>35439</v>
      </c>
      <c r="EJ29" s="330">
        <v>43903</v>
      </c>
      <c r="EK29" s="330"/>
      <c r="EL29" s="330">
        <v>725406.3</v>
      </c>
      <c r="EM29" s="330">
        <v>3258</v>
      </c>
      <c r="EN29" s="330">
        <v>48705.5</v>
      </c>
      <c r="EO29" s="330">
        <v>3147035</v>
      </c>
      <c r="EP29" s="330">
        <v>2853849</v>
      </c>
      <c r="EQ29" s="330">
        <v>488</v>
      </c>
      <c r="ER29" s="330">
        <v>1706</v>
      </c>
      <c r="ES29" s="330">
        <v>434173</v>
      </c>
      <c r="ET29" s="330">
        <v>9633574</v>
      </c>
      <c r="EU29" s="330">
        <v>164470</v>
      </c>
      <c r="EV29" s="330">
        <v>469575</v>
      </c>
      <c r="EW29" s="330">
        <v>146289</v>
      </c>
      <c r="EX29" s="330">
        <v>224311.2</v>
      </c>
      <c r="EY29" s="330">
        <v>1728927.9</v>
      </c>
      <c r="EZ29" s="388">
        <v>836909</v>
      </c>
      <c r="FA29" s="387">
        <v>771768</v>
      </c>
      <c r="FB29" s="387">
        <v>32265.3</v>
      </c>
      <c r="FC29" s="385">
        <v>4135</v>
      </c>
      <c r="FD29" s="383">
        <f t="shared" si="75"/>
        <v>5299.14</v>
      </c>
      <c r="FE29" s="136">
        <v>1038</v>
      </c>
      <c r="FF29" s="136">
        <v>98</v>
      </c>
      <c r="FG29" s="105">
        <f t="shared" si="76"/>
        <v>1184</v>
      </c>
      <c r="FH29" s="136">
        <v>799</v>
      </c>
      <c r="FI29" s="136">
        <v>651</v>
      </c>
      <c r="FJ29" s="136">
        <v>490.14</v>
      </c>
      <c r="FK29" s="136">
        <v>0</v>
      </c>
      <c r="FL29" s="136">
        <v>582</v>
      </c>
      <c r="FM29" s="136">
        <v>457</v>
      </c>
      <c r="FN29" s="80">
        <v>1000</v>
      </c>
      <c r="FO29" s="389"/>
      <c r="FP29" s="487"/>
      <c r="FR29" s="64"/>
      <c r="FS29" s="64"/>
      <c r="FT29" s="64"/>
      <c r="FU29" s="64"/>
      <c r="FV29" s="64"/>
      <c r="FW29" s="64"/>
      <c r="FX29" s="64"/>
      <c r="FY29" s="64">
        <v>24</v>
      </c>
      <c r="FZ29" s="107"/>
      <c r="GA29" s="107"/>
      <c r="GB29" s="107"/>
      <c r="GC29" s="109"/>
      <c r="GD29" s="110"/>
      <c r="GE29" s="110"/>
      <c r="GF29" s="111"/>
      <c r="GG29" s="111"/>
      <c r="GH29" s="111"/>
      <c r="GI29" s="179"/>
      <c r="GJ29" s="111" t="e">
        <f t="shared" si="60"/>
        <v>#DIV/0!</v>
      </c>
      <c r="GK29" s="113"/>
    </row>
    <row r="30" spans="1:193" ht="15" customHeight="1">
      <c r="B30" s="351">
        <v>43033</v>
      </c>
      <c r="D30" s="86">
        <v>5128.5599999999995</v>
      </c>
      <c r="E30" s="86">
        <v>0</v>
      </c>
      <c r="F30" s="86">
        <v>3234.1680000000001</v>
      </c>
      <c r="G30" s="86">
        <v>2248.4279999999999</v>
      </c>
      <c r="H30" s="86">
        <v>6167.598</v>
      </c>
      <c r="I30" s="86">
        <v>2483.4090000000001</v>
      </c>
      <c r="J30" s="86">
        <v>3876.15</v>
      </c>
      <c r="K30" s="284"/>
      <c r="L30" s="284">
        <v>158</v>
      </c>
      <c r="M30" s="115">
        <f t="shared" si="61"/>
        <v>6359.5590000000002</v>
      </c>
      <c r="N30" s="88">
        <f t="shared" si="20"/>
        <v>16778.754000000001</v>
      </c>
      <c r="O30" s="88">
        <f t="shared" si="21"/>
        <v>20116.533500000001</v>
      </c>
      <c r="P30" s="89">
        <f t="shared" si="22"/>
        <v>553470.10700000008</v>
      </c>
      <c r="R30" s="170">
        <f t="shared" si="23"/>
        <v>244.19999999995343</v>
      </c>
      <c r="S30" s="170">
        <f t="shared" si="24"/>
        <v>213.75999999999766</v>
      </c>
      <c r="T30" s="170">
        <f t="shared" si="1"/>
        <v>557.5</v>
      </c>
      <c r="U30" s="170">
        <f t="shared" si="73"/>
        <v>4.7599999999998541</v>
      </c>
      <c r="V30" s="170">
        <f t="shared" si="25"/>
        <v>1050.5</v>
      </c>
      <c r="W30" s="170">
        <f>IF(EP30=0,"",(EP30-EP29)/10)</f>
        <v>92.5</v>
      </c>
      <c r="X30" s="170">
        <f t="shared" si="26"/>
        <v>1050.5</v>
      </c>
      <c r="Y30" s="170" t="str">
        <f t="shared" si="27"/>
        <v>0</v>
      </c>
      <c r="Z30" s="170">
        <f t="shared" si="3"/>
        <v>179.3</v>
      </c>
      <c r="AA30" s="501">
        <f t="shared" si="28"/>
        <v>2070.7199999999511</v>
      </c>
      <c r="AB30" s="170">
        <f t="shared" si="29"/>
        <v>180</v>
      </c>
      <c r="AC30" s="170">
        <f t="shared" si="29"/>
        <v>51</v>
      </c>
      <c r="AD30" s="501">
        <f t="shared" si="4"/>
        <v>352</v>
      </c>
      <c r="AE30" s="501">
        <f t="shared" si="30"/>
        <v>121</v>
      </c>
      <c r="AF30" s="170">
        <f>IF(DX30=0,"",(DX30-DX29))</f>
        <v>35</v>
      </c>
      <c r="AG30" s="170">
        <f t="shared" si="31"/>
        <v>84</v>
      </c>
      <c r="AH30" s="501">
        <f t="shared" si="5"/>
        <v>262</v>
      </c>
      <c r="AI30" s="501">
        <f t="shared" si="32"/>
        <v>143</v>
      </c>
      <c r="AJ30" s="170">
        <f>IF(EA30=0,"",(EA30-EA29))</f>
        <v>179</v>
      </c>
      <c r="AK30" s="170">
        <f t="shared" si="33"/>
        <v>9.0999999999985448</v>
      </c>
      <c r="AL30" s="501">
        <f t="shared" si="6"/>
        <v>334</v>
      </c>
      <c r="AM30" s="501">
        <f t="shared" si="34"/>
        <v>145.90000000000146</v>
      </c>
      <c r="AN30" s="170">
        <f t="shared" si="35"/>
        <v>62.19999999999709</v>
      </c>
      <c r="AO30" s="501">
        <f t="shared" si="7"/>
        <v>22.200000000004366</v>
      </c>
      <c r="AP30" s="170">
        <f t="shared" si="36"/>
        <v>34.100000000005821</v>
      </c>
      <c r="AQ30" s="501">
        <f>IF(AP30=0.1,0,(IF(AP30&gt;=(EH30-EH29),(AP30),(EH30-EH29))))</f>
        <v>40</v>
      </c>
      <c r="AR30" s="170">
        <f t="shared" si="37"/>
        <v>51.828000000000003</v>
      </c>
      <c r="AS30" s="501">
        <f t="shared" si="38"/>
        <v>126.82799999999997</v>
      </c>
      <c r="AT30" s="501">
        <f t="shared" si="39"/>
        <v>677.82799999999997</v>
      </c>
      <c r="AU30" s="170">
        <f t="shared" si="62"/>
        <v>223</v>
      </c>
      <c r="AV30" s="501">
        <f t="shared" si="63"/>
        <v>15</v>
      </c>
      <c r="AW30" s="170">
        <f t="shared" si="64"/>
        <v>328</v>
      </c>
      <c r="AX30" s="501">
        <f t="shared" si="65"/>
        <v>40</v>
      </c>
      <c r="AY30" s="501" t="str">
        <f t="shared" si="65"/>
        <v/>
      </c>
      <c r="AZ30" s="170">
        <f t="shared" si="40"/>
        <v>317</v>
      </c>
      <c r="BA30" s="170">
        <v>56</v>
      </c>
      <c r="BB30" s="170">
        <f t="shared" si="41"/>
        <v>164.39999999999418</v>
      </c>
      <c r="BC30" s="170">
        <f t="shared" si="41"/>
        <v>1116.8000000000466</v>
      </c>
      <c r="BD30" s="170">
        <f t="shared" si="42"/>
        <v>173</v>
      </c>
      <c r="BE30" s="90"/>
      <c r="BF30" s="90"/>
      <c r="BG30" s="501">
        <f t="shared" si="43"/>
        <v>1771.2000000000407</v>
      </c>
      <c r="BH30" s="501">
        <f t="shared" si="44"/>
        <v>3590.8999999999996</v>
      </c>
      <c r="BI30" s="90">
        <f t="shared" si="9"/>
        <v>-224.94799999999668</v>
      </c>
      <c r="BJ30" s="90">
        <f t="shared" si="45"/>
        <v>5584.9479999999967</v>
      </c>
      <c r="BK30" s="92"/>
      <c r="BL30" s="331">
        <f t="shared" si="66"/>
        <v>8950.9</v>
      </c>
      <c r="BM30" s="93">
        <f t="shared" si="46"/>
        <v>162456.75999999998</v>
      </c>
      <c r="BN30" s="92"/>
      <c r="BO30" s="94">
        <f t="shared" si="47"/>
        <v>0.14554120049674335</v>
      </c>
      <c r="BP30" s="94">
        <f t="shared" si="47"/>
        <v>0.12739920973869553</v>
      </c>
      <c r="BQ30" s="94">
        <f t="shared" si="48"/>
        <v>0.33226543520454499</v>
      </c>
      <c r="BR30" s="94">
        <f t="shared" si="67"/>
        <v>0.62608939853340717</v>
      </c>
      <c r="BS30" s="94">
        <f t="shared" si="77"/>
        <v>0</v>
      </c>
      <c r="BT30" s="94">
        <f t="shared" si="77"/>
        <v>0.10686133189627788</v>
      </c>
      <c r="BU30" s="95">
        <f t="shared" si="77"/>
        <v>1.2341321649986352</v>
      </c>
      <c r="BV30" s="94">
        <f t="shared" si="11"/>
        <v>0.121392684281292</v>
      </c>
      <c r="BW30" s="94">
        <f t="shared" si="11"/>
        <v>0.10626085254698463</v>
      </c>
      <c r="BX30" s="94">
        <f t="shared" si="11"/>
        <v>0.27713522312380506</v>
      </c>
      <c r="BY30" s="94">
        <f t="shared" si="49"/>
        <v>0.52220726796691885</v>
      </c>
      <c r="BZ30" s="95">
        <f t="shared" si="12"/>
        <v>1.0293622407657617</v>
      </c>
      <c r="CA30" s="96" t="e">
        <f>#REF!</f>
        <v>#REF!</v>
      </c>
      <c r="CB30" s="94">
        <f t="shared" si="50"/>
        <v>2.576388223149878E-2</v>
      </c>
      <c r="CC30" s="95">
        <f t="shared" si="50"/>
        <v>6.3046647674163125E-2</v>
      </c>
      <c r="CD30" s="97">
        <f t="shared" si="13"/>
        <v>8.149621695466619E-2</v>
      </c>
      <c r="CE30" s="98">
        <f t="shared" si="13"/>
        <v>0.19942892266586404</v>
      </c>
      <c r="CF30" s="97">
        <f t="shared" si="51"/>
        <v>0.35097571248069637</v>
      </c>
      <c r="CG30" s="94">
        <f t="shared" si="51"/>
        <v>9.9443118536197306E-2</v>
      </c>
      <c r="CH30" s="95">
        <f t="shared" si="52"/>
        <v>0.68635250440669515</v>
      </c>
      <c r="CI30" s="96" t="e">
        <f>#REF!</f>
        <v>#REF!</v>
      </c>
      <c r="CJ30" s="94" t="str">
        <f t="shared" si="53"/>
        <v>0,00</v>
      </c>
      <c r="CK30" s="94" t="str">
        <f t="shared" si="53"/>
        <v>0,00</v>
      </c>
      <c r="CL30" s="95" t="str">
        <f t="shared" si="68"/>
        <v xml:space="preserve">0,00 </v>
      </c>
      <c r="CM30" s="95" t="e">
        <f>#REF!</f>
        <v>#REF!</v>
      </c>
      <c r="CN30" s="94">
        <f t="shared" si="54"/>
        <v>0.55346537347472369</v>
      </c>
      <c r="CO30" s="94">
        <f t="shared" si="54"/>
        <v>2.8137066472732845E-2</v>
      </c>
      <c r="CP30" s="95">
        <f t="shared" si="55"/>
        <v>1.0327230991092609</v>
      </c>
      <c r="CQ30" s="95" t="e">
        <f>#REF!</f>
        <v>#REF!</v>
      </c>
      <c r="CR30" s="97">
        <f t="shared" si="69"/>
        <v>0.27663772199953518</v>
      </c>
      <c r="CS30" s="95">
        <f t="shared" si="69"/>
        <v>9.873564997413467E-2</v>
      </c>
      <c r="CT30" s="96" t="e">
        <f>#REF!</f>
        <v>#REF!</v>
      </c>
      <c r="CU30" s="97">
        <f t="shared" si="70"/>
        <v>5.5288947171987894E-2</v>
      </c>
      <c r="CV30" s="95">
        <f t="shared" si="56"/>
        <v>6.4855069996455669E-2</v>
      </c>
      <c r="CW30" s="96" t="e">
        <f>#REF!</f>
        <v>#REF!</v>
      </c>
      <c r="CX30" s="99">
        <f t="shared" si="78"/>
        <v>0.11085408924952203</v>
      </c>
      <c r="CY30" s="95">
        <f t="shared" si="78"/>
        <v>7.4565530885328723E-3</v>
      </c>
      <c r="CZ30" s="99">
        <f t="shared" si="78"/>
        <v>0.16304996086925211</v>
      </c>
      <c r="DA30" s="95">
        <f t="shared" si="78"/>
        <v>1.9884141569420991E-2</v>
      </c>
      <c r="DB30" s="94">
        <f t="shared" si="14"/>
        <v>0.15758182193766138</v>
      </c>
      <c r="DC30" s="94">
        <f t="shared" si="15"/>
        <v>8.1723821850317388E-2</v>
      </c>
      <c r="DD30" s="94">
        <f t="shared" si="15"/>
        <v>0.55516523261825723</v>
      </c>
      <c r="DE30" s="94">
        <f t="shared" si="15"/>
        <v>8.5998912287745796E-2</v>
      </c>
      <c r="DF30" s="94">
        <f t="shared" si="15"/>
        <v>0</v>
      </c>
      <c r="DG30" s="94">
        <f t="shared" si="15"/>
        <v>0</v>
      </c>
      <c r="DH30" s="95">
        <f t="shared" si="15"/>
        <v>0.88046978869398174</v>
      </c>
      <c r="DI30" s="96" t="e">
        <f>#REF!</f>
        <v>#REF!</v>
      </c>
      <c r="DJ30" s="95">
        <f t="shared" si="58"/>
        <v>1.7850490990408456</v>
      </c>
      <c r="DK30" s="96" t="e">
        <f>#REF!</f>
        <v>#REF!</v>
      </c>
      <c r="DL30" s="95">
        <f t="shared" si="59"/>
        <v>-0.11182244694395119</v>
      </c>
      <c r="DM30" s="96">
        <f t="shared" si="16"/>
        <v>0</v>
      </c>
      <c r="DN30" s="94">
        <f t="shared" si="17"/>
        <v>2.7762974172463641</v>
      </c>
      <c r="DO30" s="100">
        <v>3.4</v>
      </c>
      <c r="DP30" s="94">
        <f>IF($O30&lt;&gt;0,IF($O30&lt;&gt;0,BL30/$O30*10,0)," ")</f>
        <v>4.4495240693432585</v>
      </c>
      <c r="DQ30" s="94">
        <f>IF($P30&lt;&gt;0,IF($P30&lt;&gt;0,BM30/$P30*10,0)," ")</f>
        <v>2.9352400056539989</v>
      </c>
      <c r="DR30" s="101">
        <f t="shared" si="18"/>
        <v>3.13</v>
      </c>
      <c r="DT30" s="103">
        <v>25</v>
      </c>
      <c r="DU30" s="330">
        <v>639281</v>
      </c>
      <c r="DV30" s="330">
        <v>30456</v>
      </c>
      <c r="DW30" s="330">
        <v>5157831</v>
      </c>
      <c r="DX30" s="330">
        <v>124103</v>
      </c>
      <c r="DY30" s="330">
        <v>88894.1</v>
      </c>
      <c r="DZ30" s="330">
        <v>409038</v>
      </c>
      <c r="EA30" s="330">
        <v>245478</v>
      </c>
      <c r="EB30" s="330">
        <v>56672.6</v>
      </c>
      <c r="EC30" s="330">
        <v>426666</v>
      </c>
      <c r="ED30" s="330">
        <v>48739.199999999997</v>
      </c>
      <c r="EE30" s="330">
        <v>41559.9</v>
      </c>
      <c r="EF30" s="330">
        <v>43674.400000000001</v>
      </c>
      <c r="EG30" s="330">
        <v>95884</v>
      </c>
      <c r="EH30" s="330">
        <v>188636</v>
      </c>
      <c r="EI30" s="330">
        <v>35454</v>
      </c>
      <c r="EJ30" s="330">
        <v>43943</v>
      </c>
      <c r="EK30" s="330"/>
      <c r="EL30" s="330">
        <v>725650.5</v>
      </c>
      <c r="EM30" s="330">
        <v>5575</v>
      </c>
      <c r="EN30" s="330">
        <v>48753.1</v>
      </c>
      <c r="EO30" s="330">
        <v>3148085.5</v>
      </c>
      <c r="EP30" s="330">
        <v>2854774</v>
      </c>
      <c r="EQ30" s="330">
        <v>0</v>
      </c>
      <c r="ER30" s="330">
        <v>1793</v>
      </c>
      <c r="ES30" s="330">
        <v>434799</v>
      </c>
      <c r="ET30" s="104">
        <v>9685402</v>
      </c>
      <c r="EU30" s="330">
        <v>164798</v>
      </c>
      <c r="EV30" s="136">
        <v>469798</v>
      </c>
      <c r="EW30" s="330">
        <v>146606</v>
      </c>
      <c r="EX30" s="330">
        <v>224475.6</v>
      </c>
      <c r="EY30" s="330">
        <v>1730044.7</v>
      </c>
      <c r="EZ30" s="330">
        <v>839046.6</v>
      </c>
      <c r="FA30" s="385">
        <v>771941</v>
      </c>
      <c r="FB30" s="387">
        <v>32325.200000000001</v>
      </c>
      <c r="FC30" s="378">
        <v>5360</v>
      </c>
      <c r="FD30" s="383">
        <f t="shared" ref="FD30:FD36" si="79">SUM(FE30:FM30)</f>
        <v>4839.8999999999996</v>
      </c>
      <c r="FE30" s="136">
        <v>847</v>
      </c>
      <c r="FF30" s="136">
        <v>71</v>
      </c>
      <c r="FG30" s="105">
        <v>920</v>
      </c>
      <c r="FH30" s="136">
        <v>902.96</v>
      </c>
      <c r="FI30" s="136">
        <v>521</v>
      </c>
      <c r="FJ30" s="136">
        <v>321.94</v>
      </c>
      <c r="FK30" s="136">
        <v>0</v>
      </c>
      <c r="FL30" s="136">
        <v>690</v>
      </c>
      <c r="FM30" s="136">
        <v>566</v>
      </c>
      <c r="FN30" s="80">
        <v>4111</v>
      </c>
      <c r="FO30" s="104">
        <v>1151246</v>
      </c>
      <c r="FP30" s="484" t="s">
        <v>310</v>
      </c>
      <c r="FR30" s="64"/>
      <c r="FS30" s="64"/>
      <c r="FT30" s="64"/>
      <c r="FU30" s="64"/>
      <c r="FV30" s="64"/>
      <c r="FW30" s="64"/>
      <c r="FX30" s="64"/>
      <c r="FY30" s="64">
        <v>25</v>
      </c>
      <c r="FZ30" s="107"/>
      <c r="GA30" s="107"/>
      <c r="GB30" s="180"/>
      <c r="GC30" s="109"/>
      <c r="GD30" s="110"/>
      <c r="GE30" s="110"/>
      <c r="GF30" s="111"/>
      <c r="GG30" s="111"/>
      <c r="GH30" s="111"/>
      <c r="GI30" s="164"/>
      <c r="GJ30" s="111" t="e">
        <f t="shared" si="60"/>
        <v>#DIV/0!</v>
      </c>
    </row>
    <row r="31" spans="1:193" ht="15" customHeight="1">
      <c r="B31" s="351">
        <v>43034</v>
      </c>
      <c r="D31" s="86">
        <v>6140.88</v>
      </c>
      <c r="E31" s="86">
        <v>3450.36</v>
      </c>
      <c r="F31" s="86">
        <v>2974.0320000000002</v>
      </c>
      <c r="G31" s="86">
        <v>3396.4549999999999</v>
      </c>
      <c r="H31" s="86">
        <v>6624.63</v>
      </c>
      <c r="I31" s="86">
        <v>1180.0889999999999</v>
      </c>
      <c r="J31" s="86">
        <v>0</v>
      </c>
      <c r="K31" s="284">
        <v>0</v>
      </c>
      <c r="L31" s="284">
        <v>0</v>
      </c>
      <c r="M31" s="115">
        <f t="shared" si="61"/>
        <v>1180.0889999999999</v>
      </c>
      <c r="N31" s="88">
        <f t="shared" si="20"/>
        <v>22586.357</v>
      </c>
      <c r="O31" s="88">
        <f t="shared" si="21"/>
        <v>23176.4015</v>
      </c>
      <c r="P31" s="89">
        <f t="shared" si="22"/>
        <v>576646.50850000011</v>
      </c>
      <c r="R31" s="170">
        <f t="shared" si="23"/>
        <v>231.5</v>
      </c>
      <c r="S31" s="170">
        <f t="shared" si="24"/>
        <v>109.95</v>
      </c>
      <c r="T31" s="170">
        <f t="shared" si="1"/>
        <v>346.4</v>
      </c>
      <c r="U31" s="170">
        <f t="shared" si="73"/>
        <v>5.95</v>
      </c>
      <c r="V31" s="170">
        <f t="shared" si="25"/>
        <v>787.5</v>
      </c>
      <c r="W31" s="170">
        <f t="shared" si="2"/>
        <v>70.099999999999994</v>
      </c>
      <c r="X31" s="170">
        <f t="shared" si="26"/>
        <v>787.5</v>
      </c>
      <c r="Y31" s="170">
        <f t="shared" si="27"/>
        <v>35.799999999999997</v>
      </c>
      <c r="Z31" s="170">
        <f t="shared" si="3"/>
        <v>303.10000000000002</v>
      </c>
      <c r="AA31" s="501">
        <f t="shared" si="28"/>
        <v>1481.3</v>
      </c>
      <c r="AB31" s="170">
        <f t="shared" si="29"/>
        <v>202</v>
      </c>
      <c r="AC31" s="170">
        <f t="shared" si="29"/>
        <v>33</v>
      </c>
      <c r="AD31" s="501">
        <f t="shared" si="4"/>
        <v>401</v>
      </c>
      <c r="AE31" s="501">
        <f t="shared" si="30"/>
        <v>166</v>
      </c>
      <c r="AF31" s="170">
        <f>IF(DX31=0,"",(DX31-DX30))</f>
        <v>92</v>
      </c>
      <c r="AG31" s="170">
        <f t="shared" si="31"/>
        <v>104.39999999999418</v>
      </c>
      <c r="AH31" s="501">
        <f t="shared" si="5"/>
        <v>265</v>
      </c>
      <c r="AI31" s="501">
        <f t="shared" si="32"/>
        <v>68.600000000005821</v>
      </c>
      <c r="AJ31" s="170">
        <f t="shared" si="33"/>
        <v>168</v>
      </c>
      <c r="AK31" s="170">
        <f t="shared" si="33"/>
        <v>13.80000000000291</v>
      </c>
      <c r="AL31" s="501">
        <f t="shared" si="6"/>
        <v>265</v>
      </c>
      <c r="AM31" s="501">
        <f t="shared" si="34"/>
        <v>83.19999999999709</v>
      </c>
      <c r="AN31" s="170">
        <f t="shared" si="35"/>
        <v>0.60000000000582077</v>
      </c>
      <c r="AO31" s="501">
        <f t="shared" si="7"/>
        <v>23.599999999998545</v>
      </c>
      <c r="AP31" s="170">
        <f t="shared" si="36"/>
        <v>35</v>
      </c>
      <c r="AQ31" s="501">
        <f t="shared" si="8"/>
        <v>43</v>
      </c>
      <c r="AR31" s="170">
        <f t="shared" si="37"/>
        <v>95.605999999999995</v>
      </c>
      <c r="AS31" s="501">
        <f t="shared" si="38"/>
        <v>-185.39400000000001</v>
      </c>
      <c r="AT31" s="501">
        <f t="shared" si="39"/>
        <v>331.60599999999999</v>
      </c>
      <c r="AU31" s="170">
        <f t="shared" si="62"/>
        <v>241</v>
      </c>
      <c r="AV31" s="501">
        <f t="shared" si="63"/>
        <v>0</v>
      </c>
      <c r="AW31" s="170">
        <f t="shared" si="64"/>
        <v>276</v>
      </c>
      <c r="AX31" s="501">
        <f t="shared" si="65"/>
        <v>66</v>
      </c>
      <c r="AY31" s="501" t="str">
        <f t="shared" si="65"/>
        <v/>
      </c>
      <c r="AZ31" s="170">
        <f t="shared" si="40"/>
        <v>303</v>
      </c>
      <c r="BA31" s="170">
        <v>57</v>
      </c>
      <c r="BB31" s="170">
        <f t="shared" si="41"/>
        <v>136.39999999999418</v>
      </c>
      <c r="BC31" s="170">
        <f t="shared" si="41"/>
        <v>942.30000000004657</v>
      </c>
      <c r="BD31" s="170">
        <f t="shared" si="42"/>
        <v>270</v>
      </c>
      <c r="BE31" s="90"/>
      <c r="BF31" s="90"/>
      <c r="BG31" s="501">
        <f t="shared" si="43"/>
        <v>1651.7000000000407</v>
      </c>
      <c r="BH31" s="501">
        <f t="shared" si="44"/>
        <v>1630</v>
      </c>
      <c r="BI31" s="90">
        <f t="shared" si="9"/>
        <v>225.79399999996076</v>
      </c>
      <c r="BJ31" s="90">
        <f t="shared" si="45"/>
        <v>4528.2060000000392</v>
      </c>
      <c r="BK31" s="92"/>
      <c r="BL31" s="331">
        <f t="shared" si="66"/>
        <v>6384</v>
      </c>
      <c r="BM31" s="93">
        <f t="shared" si="46"/>
        <v>168840.75999999998</v>
      </c>
      <c r="BN31" s="92"/>
      <c r="BO31" s="94">
        <f t="shared" si="47"/>
        <v>0.10249550204134292</v>
      </c>
      <c r="BP31" s="94">
        <f t="shared" si="47"/>
        <v>4.8679829155272802E-2</v>
      </c>
      <c r="BQ31" s="94">
        <f t="shared" si="48"/>
        <v>0.1533669196851887</v>
      </c>
      <c r="BR31" s="94">
        <f t="shared" si="67"/>
        <v>0.34866180500024857</v>
      </c>
      <c r="BS31" s="94">
        <f t="shared" si="77"/>
        <v>1.58502763415986E-2</v>
      </c>
      <c r="BT31" s="94">
        <f t="shared" si="77"/>
        <v>0.13419605472454016</v>
      </c>
      <c r="BU31" s="95">
        <f t="shared" si="77"/>
        <v>0.65583838951983264</v>
      </c>
      <c r="BV31" s="94">
        <f t="shared" si="11"/>
        <v>9.9886084558899274E-2</v>
      </c>
      <c r="BW31" s="94">
        <f t="shared" si="11"/>
        <v>4.7440496748384346E-2</v>
      </c>
      <c r="BX31" s="94">
        <f t="shared" si="11"/>
        <v>0.14946237447603761</v>
      </c>
      <c r="BY31" s="94">
        <f t="shared" si="49"/>
        <v>0.33978527684722759</v>
      </c>
      <c r="BZ31" s="95">
        <f t="shared" si="12"/>
        <v>0.6391414991667278</v>
      </c>
      <c r="CA31" s="96" t="e">
        <f>#REF!</f>
        <v>#REF!</v>
      </c>
      <c r="CB31" s="94">
        <f t="shared" si="50"/>
        <v>4.1251442766039412E-2</v>
      </c>
      <c r="CC31" s="95">
        <f t="shared" si="50"/>
        <v>-7.9992573480399884E-2</v>
      </c>
      <c r="CD31" s="97">
        <f t="shared" si="13"/>
        <v>0.81015923375270849</v>
      </c>
      <c r="CE31" s="98">
        <f t="shared" si="13"/>
        <v>-1.5710171012525327</v>
      </c>
      <c r="CF31" s="97">
        <f t="shared" si="51"/>
        <v>0.3289430830760412</v>
      </c>
      <c r="CG31" s="94">
        <f t="shared" si="51"/>
        <v>5.3738226443115641E-2</v>
      </c>
      <c r="CH31" s="95">
        <f t="shared" si="52"/>
        <v>0.65300087283907193</v>
      </c>
      <c r="CI31" s="96" t="e">
        <f>#REF!</f>
        <v>#REF!</v>
      </c>
      <c r="CJ31" s="94">
        <f t="shared" si="53"/>
        <v>0.26663884348299888</v>
      </c>
      <c r="CK31" s="94">
        <f t="shared" si="53"/>
        <v>0.30257712238721229</v>
      </c>
      <c r="CL31" s="95">
        <f t="shared" si="68"/>
        <v>0.76803579916298592</v>
      </c>
      <c r="CM31" s="95" t="e">
        <f>#REF!</f>
        <v>#REF!</v>
      </c>
      <c r="CN31" s="94">
        <f t="shared" si="54"/>
        <v>0.56488968511434978</v>
      </c>
      <c r="CO31" s="94">
        <f t="shared" si="54"/>
        <v>4.6401652705831374E-2</v>
      </c>
      <c r="CP31" s="95">
        <f t="shared" si="55"/>
        <v>0.89104622949584933</v>
      </c>
      <c r="CQ31" s="95" t="e">
        <f>#REF!</f>
        <v>#REF!</v>
      </c>
      <c r="CR31" s="97">
        <f t="shared" si="69"/>
        <v>1.7665477682048513E-3</v>
      </c>
      <c r="CS31" s="98">
        <f t="shared" si="69"/>
        <v>6.9484212215379107E-2</v>
      </c>
      <c r="CT31" s="96" t="e">
        <f>#REF!</f>
        <v>#REF!</v>
      </c>
      <c r="CU31" s="97">
        <f t="shared" si="70"/>
        <v>5.2833139360235967E-2</v>
      </c>
      <c r="CV31" s="95">
        <f t="shared" si="56"/>
        <v>6.4909285499718472E-2</v>
      </c>
      <c r="CW31" s="96" t="e">
        <f>#REF!</f>
        <v>#REF!</v>
      </c>
      <c r="CX31" s="99">
        <f t="shared" si="78"/>
        <v>0.10398508154943725</v>
      </c>
      <c r="CY31" s="95">
        <f t="shared" si="78"/>
        <v>0</v>
      </c>
      <c r="CZ31" s="99">
        <f t="shared" si="78"/>
        <v>0.11908664940931403</v>
      </c>
      <c r="DA31" s="95">
        <f t="shared" si="78"/>
        <v>2.847724225005336E-2</v>
      </c>
      <c r="DB31" s="94">
        <f t="shared" si="14"/>
        <v>0.1307364303297904</v>
      </c>
      <c r="DC31" s="94">
        <f t="shared" si="15"/>
        <v>5.8852967316774425E-2</v>
      </c>
      <c r="DD31" s="94">
        <f t="shared" si="15"/>
        <v>0.40657735412464546</v>
      </c>
      <c r="DE31" s="94">
        <f t="shared" si="15"/>
        <v>0.11649780920476374</v>
      </c>
      <c r="DF31" s="94">
        <f t="shared" si="15"/>
        <v>0</v>
      </c>
      <c r="DG31" s="94">
        <f t="shared" si="15"/>
        <v>0</v>
      </c>
      <c r="DH31" s="95">
        <f t="shared" si="15"/>
        <v>0.71266456097597408</v>
      </c>
      <c r="DI31" s="96" t="e">
        <f>#REF!</f>
        <v>#REF!</v>
      </c>
      <c r="DJ31" s="95">
        <f t="shared" si="58"/>
        <v>0.7033015889028329</v>
      </c>
      <c r="DK31" s="96" t="e">
        <f>#REF!</f>
        <v>#REF!</v>
      </c>
      <c r="DL31" s="95">
        <f t="shared" si="59"/>
        <v>9.7424097524354991E-2</v>
      </c>
      <c r="DM31" s="96">
        <f t="shared" si="16"/>
        <v>0</v>
      </c>
      <c r="DN31" s="94">
        <f t="shared" si="17"/>
        <v>1.9538002912143368</v>
      </c>
      <c r="DO31" s="100">
        <v>3.4</v>
      </c>
      <c r="DP31" s="94">
        <f t="shared" si="71"/>
        <v>2.7545259776415247</v>
      </c>
      <c r="DQ31" s="94">
        <f t="shared" si="72"/>
        <v>2.9279768022734842</v>
      </c>
      <c r="DR31" s="101">
        <f t="shared" si="18"/>
        <v>3.13</v>
      </c>
      <c r="DT31" s="182">
        <v>26</v>
      </c>
      <c r="DU31" s="183">
        <v>639483</v>
      </c>
      <c r="DV31" s="135">
        <v>30489</v>
      </c>
      <c r="DW31" s="135">
        <v>5158030</v>
      </c>
      <c r="DX31" s="135">
        <v>124195</v>
      </c>
      <c r="DY31" s="135">
        <v>88998.5</v>
      </c>
      <c r="DZ31" s="135">
        <v>409211</v>
      </c>
      <c r="EA31" s="136">
        <v>245646</v>
      </c>
      <c r="EB31" s="136">
        <v>56686.400000000001</v>
      </c>
      <c r="EC31" s="136">
        <v>426763</v>
      </c>
      <c r="ED31" s="136">
        <v>48739.8</v>
      </c>
      <c r="EE31" s="136">
        <v>41579</v>
      </c>
      <c r="EF31" s="136">
        <v>43678.9</v>
      </c>
      <c r="EG31" s="135">
        <v>95919</v>
      </c>
      <c r="EH31" s="135">
        <v>188679</v>
      </c>
      <c r="EI31" s="330">
        <v>35454</v>
      </c>
      <c r="EJ31" s="136">
        <v>44009</v>
      </c>
      <c r="EK31" s="136"/>
      <c r="EL31" s="135">
        <v>725882</v>
      </c>
      <c r="EM31" s="135">
        <v>3464</v>
      </c>
      <c r="EN31" s="136">
        <v>48812.6</v>
      </c>
      <c r="EO31" s="135">
        <v>3148873</v>
      </c>
      <c r="EP31" s="139">
        <v>2855475</v>
      </c>
      <c r="EQ31" s="139">
        <v>358</v>
      </c>
      <c r="ER31" s="139">
        <v>3031</v>
      </c>
      <c r="ES31" s="373">
        <v>435035</v>
      </c>
      <c r="ET31" s="136">
        <v>9781008</v>
      </c>
      <c r="EU31" s="136">
        <v>165074</v>
      </c>
      <c r="EV31" s="136">
        <v>470039</v>
      </c>
      <c r="EW31" s="136">
        <v>146909</v>
      </c>
      <c r="EX31" s="135">
        <v>224612</v>
      </c>
      <c r="EY31" s="135">
        <v>1730987</v>
      </c>
      <c r="EZ31" s="136">
        <v>840146.1</v>
      </c>
      <c r="FA31" s="145">
        <v>772211</v>
      </c>
      <c r="FB31" s="145">
        <v>32389.8</v>
      </c>
      <c r="FC31" s="140">
        <v>4754</v>
      </c>
      <c r="FD31" s="383">
        <f>SUM(FE31:FM31)</f>
        <v>4984</v>
      </c>
      <c r="FE31" s="136">
        <v>960</v>
      </c>
      <c r="FF31" s="547">
        <v>86</v>
      </c>
      <c r="FG31" s="105">
        <v>642</v>
      </c>
      <c r="FH31" s="303">
        <v>1201</v>
      </c>
      <c r="FI31" s="303">
        <v>528</v>
      </c>
      <c r="FJ31" s="105">
        <v>350</v>
      </c>
      <c r="FK31" s="303">
        <v>0</v>
      </c>
      <c r="FL31" s="303">
        <v>967</v>
      </c>
      <c r="FM31" s="303">
        <v>250</v>
      </c>
      <c r="FN31" s="80">
        <v>1400</v>
      </c>
      <c r="FO31" s="104">
        <v>0</v>
      </c>
      <c r="FP31" s="465"/>
      <c r="FQ31" s="185"/>
      <c r="FR31" s="64"/>
      <c r="FS31" s="64"/>
      <c r="FT31" s="64"/>
      <c r="FU31" s="64"/>
      <c r="FV31" s="64"/>
      <c r="FW31" s="64"/>
      <c r="FX31" s="64"/>
      <c r="FY31" s="64">
        <v>26</v>
      </c>
      <c r="FZ31" s="107"/>
      <c r="GA31" s="107"/>
      <c r="GB31" s="180"/>
      <c r="GC31" s="109"/>
      <c r="GD31" s="110"/>
      <c r="GE31" s="110"/>
      <c r="GF31" s="111"/>
      <c r="GG31" s="111"/>
      <c r="GH31" s="111"/>
      <c r="GI31" s="112"/>
      <c r="GJ31" s="111" t="e">
        <f t="shared" si="60"/>
        <v>#DIV/0!</v>
      </c>
      <c r="GK31" s="118"/>
    </row>
    <row r="32" spans="1:193" s="119" customFormat="1" ht="15" customHeight="1">
      <c r="B32" s="351">
        <v>43035</v>
      </c>
      <c r="D32" s="86">
        <v>4901.76</v>
      </c>
      <c r="E32" s="86">
        <v>2688</v>
      </c>
      <c r="F32" s="86">
        <v>673.27200000000005</v>
      </c>
      <c r="G32" s="86">
        <v>5001.6450000000004</v>
      </c>
      <c r="H32" s="86">
        <f>6948.275+986</f>
        <v>7934.2749999999996</v>
      </c>
      <c r="I32" s="86">
        <v>1769.423</v>
      </c>
      <c r="J32" s="86">
        <f>1089.6+1066</f>
        <v>2155.6</v>
      </c>
      <c r="K32" s="284">
        <v>13.411</v>
      </c>
      <c r="L32" s="284">
        <v>0</v>
      </c>
      <c r="M32" s="115">
        <f t="shared" si="61"/>
        <v>3925.0230000000001</v>
      </c>
      <c r="N32" s="88">
        <f t="shared" si="20"/>
        <v>21198.952000000001</v>
      </c>
      <c r="O32" s="88">
        <f>(N32+L32+((J32+I32)*0.5))-534</f>
        <v>22627.463500000002</v>
      </c>
      <c r="P32" s="89">
        <f t="shared" si="22"/>
        <v>599273.97200000007</v>
      </c>
      <c r="R32" s="170">
        <f t="shared" si="23"/>
        <v>104.30000000004657</v>
      </c>
      <c r="S32" s="170">
        <f t="shared" si="24"/>
        <v>185.58000000000465</v>
      </c>
      <c r="T32" s="170">
        <f t="shared" si="1"/>
        <v>312.2</v>
      </c>
      <c r="U32" s="170">
        <f t="shared" si="73"/>
        <v>3.7400000000001454</v>
      </c>
      <c r="V32" s="170">
        <f t="shared" si="25"/>
        <v>1070.7999999998137</v>
      </c>
      <c r="W32" s="170">
        <f t="shared" si="2"/>
        <v>94.6</v>
      </c>
      <c r="X32" s="170">
        <f t="shared" si="26"/>
        <v>1070.7999999998137</v>
      </c>
      <c r="Y32" s="170">
        <f t="shared" si="27"/>
        <v>89.1</v>
      </c>
      <c r="Z32" s="170">
        <f t="shared" si="3"/>
        <v>150.1</v>
      </c>
      <c r="AA32" s="501">
        <f t="shared" si="28"/>
        <v>1676.6199999998651</v>
      </c>
      <c r="AB32" s="170">
        <f t="shared" si="29"/>
        <v>170</v>
      </c>
      <c r="AC32" s="170">
        <f t="shared" si="29"/>
        <v>33</v>
      </c>
      <c r="AD32" s="501">
        <f t="shared" si="4"/>
        <v>394</v>
      </c>
      <c r="AE32" s="501">
        <f t="shared" si="30"/>
        <v>191</v>
      </c>
      <c r="AF32" s="170">
        <f>IF(DX32=0,"",(DX32-DX31))</f>
        <v>85</v>
      </c>
      <c r="AG32" s="170">
        <f t="shared" si="31"/>
        <v>66.100000000005821</v>
      </c>
      <c r="AH32" s="501">
        <f t="shared" si="5"/>
        <v>231</v>
      </c>
      <c r="AI32" s="501">
        <f t="shared" si="32"/>
        <v>79.899999999994179</v>
      </c>
      <c r="AJ32" s="170">
        <f>IF(EA32=0,"",(EA32-EA31))</f>
        <v>56</v>
      </c>
      <c r="AK32" s="170">
        <f t="shared" si="33"/>
        <v>42.799999999995634</v>
      </c>
      <c r="AL32" s="501">
        <f t="shared" si="6"/>
        <v>262</v>
      </c>
      <c r="AM32" s="501">
        <f t="shared" si="34"/>
        <v>163.20000000000437</v>
      </c>
      <c r="AN32" s="170">
        <f t="shared" si="35"/>
        <v>17.099999999998545</v>
      </c>
      <c r="AO32" s="501">
        <f t="shared" si="7"/>
        <v>40.80000000000291</v>
      </c>
      <c r="AP32" s="170">
        <f t="shared" si="36"/>
        <v>29.69999999999709</v>
      </c>
      <c r="AQ32" s="501">
        <f t="shared" si="8"/>
        <v>34.5</v>
      </c>
      <c r="AR32" s="170">
        <f t="shared" si="37"/>
        <v>85.352000000000004</v>
      </c>
      <c r="AS32" s="501">
        <f t="shared" si="38"/>
        <v>119.35199999999998</v>
      </c>
      <c r="AT32" s="501">
        <f t="shared" si="39"/>
        <v>522.35199999999998</v>
      </c>
      <c r="AU32" s="170">
        <f t="shared" si="62"/>
        <v>142</v>
      </c>
      <c r="AV32" s="501">
        <f t="shared" si="63"/>
        <v>0</v>
      </c>
      <c r="AW32" s="170">
        <f t="shared" si="64"/>
        <v>261</v>
      </c>
      <c r="AX32" s="501">
        <f t="shared" si="65"/>
        <v>60</v>
      </c>
      <c r="AY32" s="501" t="str">
        <f t="shared" si="65"/>
        <v/>
      </c>
      <c r="AZ32" s="170">
        <f t="shared" si="40"/>
        <v>323</v>
      </c>
      <c r="BA32" s="170">
        <v>52</v>
      </c>
      <c r="BB32" s="170">
        <f t="shared" si="41"/>
        <v>132.89999999999418</v>
      </c>
      <c r="BC32" s="170">
        <f t="shared" si="41"/>
        <v>470.60000000009313</v>
      </c>
      <c r="BD32" s="170">
        <f t="shared" si="42"/>
        <v>242</v>
      </c>
      <c r="BE32" s="90"/>
      <c r="BF32" s="90"/>
      <c r="BG32" s="501">
        <f t="shared" si="43"/>
        <v>1168.5000000000873</v>
      </c>
      <c r="BH32" s="501">
        <f t="shared" si="44"/>
        <v>1227</v>
      </c>
      <c r="BI32" s="90">
        <f t="shared" si="9"/>
        <v>440.22800000004463</v>
      </c>
      <c r="BJ32" s="90">
        <f t="shared" si="45"/>
        <v>4389.7719999999554</v>
      </c>
      <c r="BK32" s="92"/>
      <c r="BL32" s="331">
        <f>FD32+FN32</f>
        <v>6057</v>
      </c>
      <c r="BM32" s="93">
        <f t="shared" si="46"/>
        <v>174897.75999999998</v>
      </c>
      <c r="BN32" s="92"/>
      <c r="BO32" s="94">
        <f t="shared" si="47"/>
        <v>4.9200545385473096E-2</v>
      </c>
      <c r="BP32" s="94">
        <f t="shared" si="47"/>
        <v>8.7542063400117429E-2</v>
      </c>
      <c r="BQ32" s="94">
        <f t="shared" si="48"/>
        <v>0.14727143115376645</v>
      </c>
      <c r="BR32" s="94">
        <f t="shared" si="67"/>
        <v>0.5051193096714468</v>
      </c>
      <c r="BS32" s="94">
        <f t="shared" si="77"/>
        <v>4.2030379614992279E-2</v>
      </c>
      <c r="BT32" s="94">
        <f t="shared" si="77"/>
        <v>7.0805386983281052E-2</v>
      </c>
      <c r="BU32" s="95">
        <f t="shared" si="77"/>
        <v>0.79089758776748265</v>
      </c>
      <c r="BV32" s="94">
        <f t="shared" si="11"/>
        <v>4.609442856909108E-2</v>
      </c>
      <c r="BW32" s="94">
        <f t="shared" si="11"/>
        <v>8.2015379231527491E-2</v>
      </c>
      <c r="BX32" s="94">
        <f t="shared" si="11"/>
        <v>0.13797392712621101</v>
      </c>
      <c r="BY32" s="94">
        <f t="shared" si="49"/>
        <v>0.47323024076464149</v>
      </c>
      <c r="BZ32" s="95">
        <f t="shared" si="12"/>
        <v>0.74096683439567368</v>
      </c>
      <c r="CA32" s="96" t="e">
        <f>#REF!</f>
        <v>#REF!</v>
      </c>
      <c r="CB32" s="94">
        <f t="shared" si="50"/>
        <v>3.7720533722217689E-2</v>
      </c>
      <c r="CC32" s="95">
        <f t="shared" si="50"/>
        <v>5.2746521942240658E-2</v>
      </c>
      <c r="CD32" s="97">
        <f t="shared" si="13"/>
        <v>0.21745605057600936</v>
      </c>
      <c r="CE32" s="98">
        <f t="shared" si="13"/>
        <v>0.30407974679384037</v>
      </c>
      <c r="CF32" s="97">
        <f t="shared" si="51"/>
        <v>0.3468142055098577</v>
      </c>
      <c r="CG32" s="94">
        <f t="shared" si="51"/>
        <v>6.7322757540148839E-2</v>
      </c>
      <c r="CH32" s="95">
        <f t="shared" si="52"/>
        <v>0.80379292335814079</v>
      </c>
      <c r="CI32" s="96" t="e">
        <f>#REF!</f>
        <v>#REF!</v>
      </c>
      <c r="CJ32" s="94">
        <f t="shared" si="53"/>
        <v>0.31622023809523808</v>
      </c>
      <c r="CK32" s="94">
        <f t="shared" si="53"/>
        <v>0.24590773809525973</v>
      </c>
      <c r="CL32" s="95">
        <f t="shared" si="68"/>
        <v>0.859375</v>
      </c>
      <c r="CM32" s="95" t="e">
        <f>#REF!</f>
        <v>#REF!</v>
      </c>
      <c r="CN32" s="94">
        <f t="shared" si="54"/>
        <v>0.83175893249682131</v>
      </c>
      <c r="CO32" s="94">
        <f t="shared" si="54"/>
        <v>0.63570146983679154</v>
      </c>
      <c r="CP32" s="95">
        <f t="shared" si="55"/>
        <v>3.8914435770387001</v>
      </c>
      <c r="CQ32" s="95" t="e">
        <f>#REF!</f>
        <v>#REF!</v>
      </c>
      <c r="CR32" s="97">
        <f t="shared" si="69"/>
        <v>3.4188751900621782E-2</v>
      </c>
      <c r="CS32" s="95">
        <f t="shared" si="69"/>
        <v>8.1573162429566498E-2</v>
      </c>
      <c r="CT32" s="96" t="e">
        <f>#REF!</f>
        <v>#REF!</v>
      </c>
      <c r="CU32" s="97">
        <f t="shared" si="70"/>
        <v>3.7432531642774033E-2</v>
      </c>
      <c r="CV32" s="95">
        <f t="shared" si="56"/>
        <v>4.3482233726458944E-2</v>
      </c>
      <c r="CW32" s="96" t="e">
        <f>#REF!</f>
        <v>#REF!</v>
      </c>
      <c r="CX32" s="99">
        <f t="shared" si="78"/>
        <v>6.2755597860095977E-2</v>
      </c>
      <c r="CY32" s="95">
        <f t="shared" si="78"/>
        <v>0</v>
      </c>
      <c r="CZ32" s="99">
        <f t="shared" si="78"/>
        <v>0.11534655663017643</v>
      </c>
      <c r="DA32" s="95">
        <f t="shared" si="78"/>
        <v>2.6516449800040556E-2</v>
      </c>
      <c r="DB32" s="94">
        <f t="shared" si="14"/>
        <v>0.14274688809021832</v>
      </c>
      <c r="DC32" s="94">
        <f t="shared" si="15"/>
        <v>5.8733936307087259E-2</v>
      </c>
      <c r="DD32" s="94">
        <f t="shared" si="15"/>
        <v>0.20797735459835925</v>
      </c>
      <c r="DE32" s="94">
        <f t="shared" si="15"/>
        <v>0.10694968086016357</v>
      </c>
      <c r="DF32" s="94">
        <f t="shared" si="15"/>
        <v>0</v>
      </c>
      <c r="DG32" s="94">
        <f t="shared" si="15"/>
        <v>0</v>
      </c>
      <c r="DH32" s="95">
        <f t="shared" si="15"/>
        <v>0.51640785985582838</v>
      </c>
      <c r="DI32" s="96" t="e">
        <f>#REF!</f>
        <v>#REF!</v>
      </c>
      <c r="DJ32" s="95">
        <f t="shared" si="58"/>
        <v>0.54226139841082932</v>
      </c>
      <c r="DK32" s="96" t="e">
        <f>#REF!</f>
        <v>#REF!</v>
      </c>
      <c r="DL32" s="95">
        <f t="shared" si="59"/>
        <v>0.19455472770955728</v>
      </c>
      <c r="DM32" s="96">
        <f t="shared" si="16"/>
        <v>0</v>
      </c>
      <c r="DN32" s="94">
        <f>IF($O32&lt;&gt;0,BJ32/$O32*10,"")</f>
        <v>1.9400194811937075</v>
      </c>
      <c r="DO32" s="100">
        <v>3.4</v>
      </c>
      <c r="DP32" s="94">
        <f t="shared" si="71"/>
        <v>2.6768356073140942</v>
      </c>
      <c r="DQ32" s="94">
        <f t="shared" si="72"/>
        <v>2.9184941808218556</v>
      </c>
      <c r="DR32" s="101"/>
      <c r="DS32" s="173"/>
      <c r="DT32" s="134">
        <v>27</v>
      </c>
      <c r="DU32" s="135">
        <v>639653</v>
      </c>
      <c r="DV32" s="135">
        <v>30522</v>
      </c>
      <c r="DW32" s="135">
        <v>5158254</v>
      </c>
      <c r="DX32" s="135">
        <v>124280</v>
      </c>
      <c r="DY32" s="135">
        <v>89064.6</v>
      </c>
      <c r="DZ32" s="137">
        <v>409357</v>
      </c>
      <c r="EA32" s="136">
        <v>245702</v>
      </c>
      <c r="EB32" s="136">
        <v>56729.2</v>
      </c>
      <c r="EC32" s="136">
        <v>426969</v>
      </c>
      <c r="ED32" s="136">
        <v>48756.9</v>
      </c>
      <c r="EE32" s="136">
        <v>41602.800000000003</v>
      </c>
      <c r="EF32" s="535">
        <v>43695.9</v>
      </c>
      <c r="EG32" s="135">
        <v>95948.7</v>
      </c>
      <c r="EH32" s="135">
        <v>188713.5</v>
      </c>
      <c r="EI32" s="330">
        <v>35454</v>
      </c>
      <c r="EJ32" s="136">
        <v>44069</v>
      </c>
      <c r="EK32" s="136"/>
      <c r="EL32" s="135">
        <v>725986.3</v>
      </c>
      <c r="EM32" s="135">
        <v>3122</v>
      </c>
      <c r="EN32" s="136">
        <v>48850</v>
      </c>
      <c r="EO32" s="135">
        <v>3149943.8</v>
      </c>
      <c r="EP32" s="144">
        <v>2856421</v>
      </c>
      <c r="EQ32" s="136">
        <v>891</v>
      </c>
      <c r="ER32" s="136">
        <v>1501</v>
      </c>
      <c r="ES32" s="136">
        <v>435472</v>
      </c>
      <c r="ET32" s="136">
        <v>9866360</v>
      </c>
      <c r="EU32" s="136">
        <v>165335</v>
      </c>
      <c r="EV32" s="136">
        <v>470181</v>
      </c>
      <c r="EW32" s="136">
        <v>147232</v>
      </c>
      <c r="EX32" s="135">
        <v>224744.9</v>
      </c>
      <c r="EY32" s="135">
        <v>1731457.6</v>
      </c>
      <c r="EZ32" s="136">
        <v>842001.9</v>
      </c>
      <c r="FA32" s="145">
        <v>772453</v>
      </c>
      <c r="FB32" s="145">
        <v>32444.400000000001</v>
      </c>
      <c r="FC32" s="140">
        <v>4830</v>
      </c>
      <c r="FD32" s="383">
        <f t="shared" si="79"/>
        <v>4657</v>
      </c>
      <c r="FE32" s="136">
        <v>1002</v>
      </c>
      <c r="FF32" s="136">
        <v>101</v>
      </c>
      <c r="FG32" s="105">
        <v>605</v>
      </c>
      <c r="FH32" s="136">
        <v>912</v>
      </c>
      <c r="FI32" s="136">
        <v>569</v>
      </c>
      <c r="FJ32" s="136">
        <v>453</v>
      </c>
      <c r="FK32" s="136">
        <v>0</v>
      </c>
      <c r="FL32" s="136">
        <v>607</v>
      </c>
      <c r="FM32" s="136">
        <v>408</v>
      </c>
      <c r="FN32" s="80">
        <v>1400</v>
      </c>
      <c r="FO32" s="104"/>
      <c r="FP32" s="488"/>
      <c r="FQ32" s="186"/>
      <c r="FY32" s="119">
        <v>27</v>
      </c>
      <c r="FZ32" s="107"/>
      <c r="GA32" s="107"/>
      <c r="GB32" s="180"/>
      <c r="GC32" s="109"/>
      <c r="GD32" s="110"/>
      <c r="GE32" s="110"/>
      <c r="GF32" s="111"/>
      <c r="GG32" s="111"/>
      <c r="GH32" s="111"/>
      <c r="GI32" s="164"/>
      <c r="GJ32" s="111" t="e">
        <f t="shared" si="60"/>
        <v>#DIV/0!</v>
      </c>
    </row>
    <row r="33" spans="1:193" s="119" customFormat="1" ht="15" customHeight="1">
      <c r="A33" s="119">
        <v>0</v>
      </c>
      <c r="B33" s="351">
        <v>43036</v>
      </c>
      <c r="D33" s="86">
        <v>4246.08</v>
      </c>
      <c r="E33" s="86">
        <v>3152.16</v>
      </c>
      <c r="F33" s="86">
        <v>2471.9760000000001</v>
      </c>
      <c r="G33" s="86">
        <v>5218.0739999999996</v>
      </c>
      <c r="H33" s="86">
        <v>7599.4830000000002</v>
      </c>
      <c r="I33" s="86">
        <v>1569.547</v>
      </c>
      <c r="J33" s="86">
        <v>5898.72</v>
      </c>
      <c r="K33" s="284">
        <v>0</v>
      </c>
      <c r="L33" s="284">
        <v>0</v>
      </c>
      <c r="M33" s="115">
        <f t="shared" si="61"/>
        <v>7468.2669999999998</v>
      </c>
      <c r="N33" s="88">
        <f t="shared" si="20"/>
        <v>22687.773000000001</v>
      </c>
      <c r="O33" s="88">
        <f t="shared" si="21"/>
        <v>26421.906500000001</v>
      </c>
      <c r="P33" s="89">
        <f t="shared" si="22"/>
        <v>625695.87850000011</v>
      </c>
      <c r="R33" s="170">
        <f t="shared" si="23"/>
        <v>276.69999999995343</v>
      </c>
      <c r="S33" s="170">
        <f t="shared" si="24"/>
        <v>81.709999999997677</v>
      </c>
      <c r="T33" s="170">
        <f t="shared" si="1"/>
        <v>347.6</v>
      </c>
      <c r="U33" s="170">
        <f t="shared" si="73"/>
        <v>5.6</v>
      </c>
      <c r="V33" s="170">
        <f t="shared" si="25"/>
        <v>1167.2000000001863</v>
      </c>
      <c r="W33" s="170">
        <f t="shared" si="2"/>
        <v>102.9</v>
      </c>
      <c r="X33" s="170">
        <f t="shared" si="26"/>
        <v>1167.2000000001863</v>
      </c>
      <c r="Y33" s="170" t="str">
        <f t="shared" si="27"/>
        <v>0</v>
      </c>
      <c r="Z33" s="170">
        <f t="shared" si="3"/>
        <v>197.9</v>
      </c>
      <c r="AA33" s="501">
        <f t="shared" si="28"/>
        <v>1878.8100000001373</v>
      </c>
      <c r="AB33" s="170">
        <f>IF(DU33=0,"",(DU33-DU32))</f>
        <v>0</v>
      </c>
      <c r="AC33" s="170">
        <f t="shared" si="29"/>
        <v>0</v>
      </c>
      <c r="AD33" s="501">
        <f t="shared" si="4"/>
        <v>139</v>
      </c>
      <c r="AE33" s="501">
        <f t="shared" si="30"/>
        <v>139</v>
      </c>
      <c r="AF33" s="170">
        <f t="shared" si="31"/>
        <v>95</v>
      </c>
      <c r="AG33" s="170">
        <f t="shared" si="31"/>
        <v>273.39999999999418</v>
      </c>
      <c r="AH33" s="501">
        <f t="shared" si="5"/>
        <v>458</v>
      </c>
      <c r="AI33" s="501">
        <f t="shared" si="32"/>
        <v>89.600000000005821</v>
      </c>
      <c r="AJ33" s="170">
        <f>IF(EA33=0,"",(EA33-EA32))</f>
        <v>124</v>
      </c>
      <c r="AK33" s="170">
        <f t="shared" si="33"/>
        <v>36.80000000000291</v>
      </c>
      <c r="AL33" s="501">
        <f t="shared" si="6"/>
        <v>231</v>
      </c>
      <c r="AM33" s="501">
        <f t="shared" si="34"/>
        <v>70.19999999999709</v>
      </c>
      <c r="AN33" s="170">
        <f t="shared" si="35"/>
        <v>9.9999999998544808E-2</v>
      </c>
      <c r="AO33" s="501">
        <f t="shared" si="7"/>
        <v>37.299999999995634</v>
      </c>
      <c r="AP33" s="170">
        <f t="shared" si="36"/>
        <v>27.30000000000291</v>
      </c>
      <c r="AQ33" s="501">
        <f t="shared" si="8"/>
        <v>35.5</v>
      </c>
      <c r="AR33" s="170">
        <f t="shared" si="37"/>
        <v>81.792000000000002</v>
      </c>
      <c r="AS33" s="501">
        <f t="shared" si="38"/>
        <v>77.79200000000003</v>
      </c>
      <c r="AT33" s="501">
        <f t="shared" si="39"/>
        <v>889.79200000000003</v>
      </c>
      <c r="AU33" s="170">
        <f t="shared" si="62"/>
        <v>524</v>
      </c>
      <c r="AV33" s="501">
        <f t="shared" si="63"/>
        <v>0</v>
      </c>
      <c r="AW33" s="170">
        <f t="shared" si="64"/>
        <v>288</v>
      </c>
      <c r="AX33" s="501">
        <f t="shared" si="65"/>
        <v>48</v>
      </c>
      <c r="AY33" s="501" t="str">
        <f t="shared" si="65"/>
        <v/>
      </c>
      <c r="AZ33" s="170">
        <f t="shared" si="40"/>
        <v>441</v>
      </c>
      <c r="BA33" s="170">
        <v>38</v>
      </c>
      <c r="BB33" s="170">
        <f t="shared" si="41"/>
        <v>163.10000000000582</v>
      </c>
      <c r="BC33" s="170">
        <f t="shared" si="41"/>
        <v>1152.3999999999069</v>
      </c>
      <c r="BD33" s="170">
        <f t="shared" si="42"/>
        <v>237</v>
      </c>
      <c r="BE33" s="90"/>
      <c r="BF33" s="90"/>
      <c r="BG33" s="501">
        <f t="shared" si="43"/>
        <v>1993.4999999999127</v>
      </c>
      <c r="BH33" s="501">
        <f>BL33-FC33</f>
        <v>926</v>
      </c>
      <c r="BI33" s="90">
        <f t="shared" si="9"/>
        <v>950.09799999995357</v>
      </c>
      <c r="BJ33" s="90">
        <f t="shared" si="45"/>
        <v>5710.9020000000464</v>
      </c>
      <c r="BK33" s="92"/>
      <c r="BL33" s="331">
        <f t="shared" si="66"/>
        <v>7587</v>
      </c>
      <c r="BM33" s="93">
        <f t="shared" si="46"/>
        <v>182484.75999999998</v>
      </c>
      <c r="BN33" s="92"/>
      <c r="BO33" s="94">
        <f t="shared" si="47"/>
        <v>0.12195996495555267</v>
      </c>
      <c r="BP33" s="94">
        <f t="shared" si="47"/>
        <v>3.6014993626742334E-2</v>
      </c>
      <c r="BQ33" s="94">
        <f t="shared" si="48"/>
        <v>0.15321027762398717</v>
      </c>
      <c r="BR33" s="94">
        <f t="shared" si="67"/>
        <v>0.51446212900675015</v>
      </c>
      <c r="BS33" s="94">
        <f t="shared" si="77"/>
        <v>0</v>
      </c>
      <c r="BT33" s="94">
        <f t="shared" si="77"/>
        <v>8.7227600522977733E-2</v>
      </c>
      <c r="BU33" s="95">
        <f t="shared" si="77"/>
        <v>0.82811565507118634</v>
      </c>
      <c r="BV33" s="94">
        <f t="shared" si="11"/>
        <v>0.10472370720105055</v>
      </c>
      <c r="BW33" s="94">
        <f t="shared" si="11"/>
        <v>3.0925096188648488E-2</v>
      </c>
      <c r="BX33" s="94">
        <f t="shared" si="11"/>
        <v>0.13155750134836031</v>
      </c>
      <c r="BY33" s="94">
        <f t="shared" si="49"/>
        <v>0.4417546477958304</v>
      </c>
      <c r="BZ33" s="95">
        <f t="shared" si="12"/>
        <v>0.71108040595031896</v>
      </c>
      <c r="CA33" s="96" t="e">
        <f>#REF!</f>
        <v>#REF!</v>
      </c>
      <c r="CB33" s="94">
        <f t="shared" si="50"/>
        <v>3.0956131042247086E-2</v>
      </c>
      <c r="CC33" s="95">
        <f t="shared" si="50"/>
        <v>2.944223574479761E-2</v>
      </c>
      <c r="CD33" s="97">
        <f t="shared" si="13"/>
        <v>0.10951938381421018</v>
      </c>
      <c r="CE33" s="98">
        <f t="shared" si="13"/>
        <v>0.10416338890936817</v>
      </c>
      <c r="CF33" s="97">
        <f t="shared" si="51"/>
        <v>0</v>
      </c>
      <c r="CG33" s="94">
        <f t="shared" si="51"/>
        <v>0</v>
      </c>
      <c r="CH33" s="95">
        <f t="shared" si="52"/>
        <v>0.32736076569447581</v>
      </c>
      <c r="CI33" s="96" t="e">
        <f>#REF!</f>
        <v>#REF!</v>
      </c>
      <c r="CJ33" s="94">
        <f t="shared" si="53"/>
        <v>0.30138064057662051</v>
      </c>
      <c r="CK33" s="94">
        <f t="shared" si="53"/>
        <v>0.86734175930153989</v>
      </c>
      <c r="CL33" s="95">
        <f t="shared" si="68"/>
        <v>1.4529719303588651</v>
      </c>
      <c r="CM33" s="95" t="e">
        <f>#REF!</f>
        <v>#REF!</v>
      </c>
      <c r="CN33" s="94">
        <f t="shared" si="54"/>
        <v>0.5016229931034929</v>
      </c>
      <c r="CO33" s="94">
        <f t="shared" si="54"/>
        <v>0.14886875924362902</v>
      </c>
      <c r="CP33" s="95">
        <f t="shared" si="55"/>
        <v>0.93447509199118428</v>
      </c>
      <c r="CQ33" s="95" t="e">
        <f>#REF!</f>
        <v>#REF!</v>
      </c>
      <c r="CR33" s="97">
        <f t="shared" si="69"/>
        <v>1.9164159036177871E-4</v>
      </c>
      <c r="CS33" s="95">
        <f t="shared" si="69"/>
        <v>7.1482313205975298E-2</v>
      </c>
      <c r="CT33" s="96" t="e">
        <f>#REF!</f>
        <v>#REF!</v>
      </c>
      <c r="CU33" s="97">
        <f t="shared" si="70"/>
        <v>3.5923496374691423E-2</v>
      </c>
      <c r="CV33" s="95">
        <f t="shared" si="56"/>
        <v>4.6713704076974706E-2</v>
      </c>
      <c r="CW33" s="96" t="e">
        <f>#REF!</f>
        <v>#REF!</v>
      </c>
      <c r="CX33" s="99">
        <f t="shared" si="78"/>
        <v>0.19832028396588264</v>
      </c>
      <c r="CY33" s="95">
        <f t="shared" si="78"/>
        <v>0</v>
      </c>
      <c r="CZ33" s="99">
        <f t="shared" si="78"/>
        <v>0.10900046141636296</v>
      </c>
      <c r="DA33" s="95">
        <f t="shared" si="78"/>
        <v>1.816674356939383E-2</v>
      </c>
      <c r="DB33" s="94">
        <f t="shared" si="14"/>
        <v>0.1669069565438058</v>
      </c>
      <c r="DC33" s="94">
        <f t="shared" si="15"/>
        <v>6.1729080753504979E-2</v>
      </c>
      <c r="DD33" s="94">
        <f t="shared" si="15"/>
        <v>0.43615323519516158</v>
      </c>
      <c r="DE33" s="94">
        <f t="shared" si="15"/>
        <v>8.9698296373882033E-2</v>
      </c>
      <c r="DF33" s="94">
        <f t="shared" si="15"/>
        <v>0</v>
      </c>
      <c r="DG33" s="94">
        <f t="shared" si="15"/>
        <v>0</v>
      </c>
      <c r="DH33" s="95">
        <f t="shared" si="15"/>
        <v>0.75448756886635437</v>
      </c>
      <c r="DI33" s="96" t="e">
        <f>#REF!</f>
        <v>#REF!</v>
      </c>
      <c r="DJ33" s="95">
        <f t="shared" si="58"/>
        <v>0.3504667613595559</v>
      </c>
      <c r="DK33" s="96" t="e">
        <f>#REF!</f>
        <v>#REF!</v>
      </c>
      <c r="DL33" s="95">
        <f t="shared" si="59"/>
        <v>0.35958722357902273</v>
      </c>
      <c r="DM33" s="96">
        <f t="shared" si="16"/>
        <v>0</v>
      </c>
      <c r="DN33" s="94">
        <f t="shared" si="17"/>
        <v>2.1614269204987333</v>
      </c>
      <c r="DO33" s="100">
        <v>3.4</v>
      </c>
      <c r="DP33" s="94">
        <f t="shared" si="71"/>
        <v>2.8714809054373118</v>
      </c>
      <c r="DQ33" s="94">
        <f t="shared" si="72"/>
        <v>2.916508902655333</v>
      </c>
      <c r="DR33" s="101">
        <f t="shared" si="18"/>
        <v>3.13</v>
      </c>
      <c r="DT33" s="134">
        <v>28</v>
      </c>
      <c r="DU33" s="135">
        <v>639653</v>
      </c>
      <c r="DV33" s="135">
        <v>30522</v>
      </c>
      <c r="DW33" s="135">
        <v>5158393</v>
      </c>
      <c r="DX33" s="135">
        <v>124375</v>
      </c>
      <c r="DY33" s="135">
        <v>89338</v>
      </c>
      <c r="DZ33" s="135">
        <v>409720</v>
      </c>
      <c r="EA33" s="136">
        <v>245826</v>
      </c>
      <c r="EB33" s="136">
        <v>56766</v>
      </c>
      <c r="EC33" s="136">
        <v>427076</v>
      </c>
      <c r="ED33" s="135">
        <v>48757</v>
      </c>
      <c r="EE33" s="136">
        <v>41635</v>
      </c>
      <c r="EF33" s="136">
        <v>43701</v>
      </c>
      <c r="EG33" s="135">
        <v>95976</v>
      </c>
      <c r="EH33" s="135">
        <v>188749</v>
      </c>
      <c r="EI33" s="330">
        <v>35454</v>
      </c>
      <c r="EJ33" s="136">
        <v>44117</v>
      </c>
      <c r="EK33" s="136"/>
      <c r="EL33" s="135">
        <v>726263</v>
      </c>
      <c r="EM33" s="135">
        <v>3476</v>
      </c>
      <c r="EN33" s="136">
        <v>48906</v>
      </c>
      <c r="EO33" s="135">
        <v>3151111</v>
      </c>
      <c r="EP33" s="136">
        <v>2857450</v>
      </c>
      <c r="EQ33" s="136">
        <v>0</v>
      </c>
      <c r="ER33" s="136">
        <v>1979</v>
      </c>
      <c r="ES33" s="136">
        <v>436280</v>
      </c>
      <c r="ET33" s="136">
        <v>9948152</v>
      </c>
      <c r="EU33" s="136">
        <v>165623</v>
      </c>
      <c r="EV33" s="136">
        <v>470705</v>
      </c>
      <c r="EW33" s="136">
        <v>147673</v>
      </c>
      <c r="EX33" s="135">
        <v>224908</v>
      </c>
      <c r="EY33" s="135">
        <v>1732610</v>
      </c>
      <c r="EZ33" s="140">
        <v>842819</v>
      </c>
      <c r="FA33" s="145">
        <v>772690</v>
      </c>
      <c r="FB33" s="145">
        <v>32486</v>
      </c>
      <c r="FC33" s="145">
        <v>6661</v>
      </c>
      <c r="FD33" s="383">
        <f>SUM(FE33:FM33)</f>
        <v>6187</v>
      </c>
      <c r="FE33" s="136">
        <v>983</v>
      </c>
      <c r="FF33" s="136">
        <v>86</v>
      </c>
      <c r="FG33" s="105">
        <v>1102</v>
      </c>
      <c r="FH33" s="136">
        <v>1235</v>
      </c>
      <c r="FI33" s="136">
        <v>576</v>
      </c>
      <c r="FJ33" s="136">
        <v>723</v>
      </c>
      <c r="FK33" s="136">
        <v>0</v>
      </c>
      <c r="FL33" s="136">
        <v>887</v>
      </c>
      <c r="FM33" s="136">
        <v>595</v>
      </c>
      <c r="FN33" s="80">
        <v>1400</v>
      </c>
      <c r="FO33" s="104"/>
      <c r="FP33" s="488"/>
      <c r="FY33" s="119">
        <v>28</v>
      </c>
      <c r="FZ33" s="107"/>
      <c r="GA33" s="107"/>
      <c r="GB33" s="180"/>
      <c r="GC33" s="109"/>
      <c r="GD33" s="110"/>
      <c r="GE33" s="110"/>
      <c r="GF33" s="111"/>
      <c r="GG33" s="111"/>
      <c r="GH33" s="111"/>
      <c r="GI33" s="164"/>
      <c r="GJ33" s="111" t="e">
        <f t="shared" si="60"/>
        <v>#DIV/0!</v>
      </c>
      <c r="GK33" s="113"/>
    </row>
    <row r="34" spans="1:193" s="119" customFormat="1" ht="15" customHeight="1">
      <c r="B34" s="351">
        <v>43037</v>
      </c>
      <c r="D34" s="86">
        <v>0</v>
      </c>
      <c r="E34" s="86">
        <v>4236</v>
      </c>
      <c r="F34" s="86">
        <v>3127.4639999999999</v>
      </c>
      <c r="G34" s="86">
        <v>3992.7280000000001</v>
      </c>
      <c r="H34" s="86">
        <v>7156.1310000000003</v>
      </c>
      <c r="I34" s="86">
        <v>2622.85</v>
      </c>
      <c r="J34" s="86">
        <v>4634.5200000000004</v>
      </c>
      <c r="K34" s="284">
        <v>0</v>
      </c>
      <c r="L34" s="284">
        <v>0</v>
      </c>
      <c r="M34" s="115">
        <f t="shared" si="61"/>
        <v>7257.3700000000008</v>
      </c>
      <c r="N34" s="88">
        <f t="shared" si="20"/>
        <v>18512.323</v>
      </c>
      <c r="O34" s="88">
        <f t="shared" si="21"/>
        <v>22141.008000000002</v>
      </c>
      <c r="P34" s="89">
        <f t="shared" si="22"/>
        <v>647836.88650000014</v>
      </c>
      <c r="R34" s="170">
        <f t="shared" si="23"/>
        <v>181.19999999995343</v>
      </c>
      <c r="S34" s="170">
        <f t="shared" si="24"/>
        <v>1.35</v>
      </c>
      <c r="T34" s="170">
        <f t="shared" si="1"/>
        <v>319.89999999999998</v>
      </c>
      <c r="U34" s="170">
        <f t="shared" si="73"/>
        <v>4.5</v>
      </c>
      <c r="V34" s="170">
        <f t="shared" si="25"/>
        <v>1037</v>
      </c>
      <c r="W34" s="170">
        <f t="shared" si="2"/>
        <v>91.1</v>
      </c>
      <c r="X34" s="170">
        <f t="shared" si="26"/>
        <v>1037</v>
      </c>
      <c r="Y34" s="170" t="str">
        <f t="shared" si="27"/>
        <v>0</v>
      </c>
      <c r="Z34" s="170">
        <f t="shared" si="3"/>
        <v>194.9</v>
      </c>
      <c r="AA34" s="501">
        <f t="shared" si="28"/>
        <v>1543.9499999999534</v>
      </c>
      <c r="AB34" s="170">
        <f t="shared" si="29"/>
        <v>136</v>
      </c>
      <c r="AC34" s="170">
        <f t="shared" si="29"/>
        <v>23</v>
      </c>
      <c r="AD34" s="501">
        <f t="shared" si="4"/>
        <v>138</v>
      </c>
      <c r="AE34" s="501">
        <f t="shared" si="30"/>
        <v>-21</v>
      </c>
      <c r="AF34" s="170">
        <f t="shared" si="31"/>
        <v>111</v>
      </c>
      <c r="AG34" s="170">
        <f t="shared" si="31"/>
        <v>109.19999999999709</v>
      </c>
      <c r="AH34" s="501">
        <f t="shared" si="5"/>
        <v>277</v>
      </c>
      <c r="AI34" s="501">
        <f t="shared" si="32"/>
        <v>56.80000000000291</v>
      </c>
      <c r="AJ34" s="170">
        <f>IF(EA34=0,"",(EA34-EA33))</f>
        <v>146</v>
      </c>
      <c r="AK34" s="170">
        <f t="shared" si="33"/>
        <v>20.19999999999709</v>
      </c>
      <c r="AL34" s="501">
        <f t="shared" si="6"/>
        <v>246</v>
      </c>
      <c r="AM34" s="501">
        <f t="shared" si="34"/>
        <v>79.80000000000291</v>
      </c>
      <c r="AN34" s="170">
        <f t="shared" si="35"/>
        <v>0</v>
      </c>
      <c r="AO34" s="501">
        <f t="shared" si="7"/>
        <v>37.400000000001455</v>
      </c>
      <c r="AP34" s="170">
        <f t="shared" si="36"/>
        <v>18</v>
      </c>
      <c r="AQ34" s="501">
        <f t="shared" si="8"/>
        <v>24.700000000011642</v>
      </c>
      <c r="AR34" s="170">
        <v>82</v>
      </c>
      <c r="AS34" s="501">
        <f>IF(AR34="","",(ES34-ES33)+((ET33-ET32)/1000)-AW34-AU34)</f>
        <v>47.79200000000003</v>
      </c>
      <c r="AT34" s="501">
        <f>IF(AR34="","",ES34-ES33+((ET33-ET32)/1000))</f>
        <v>872.79200000000003</v>
      </c>
      <c r="AU34" s="170">
        <f t="shared" si="62"/>
        <v>466</v>
      </c>
      <c r="AV34" s="501">
        <f t="shared" si="63"/>
        <v>39</v>
      </c>
      <c r="AW34" s="170">
        <f t="shared" si="64"/>
        <v>359</v>
      </c>
      <c r="AX34" s="501">
        <f t="shared" si="65"/>
        <v>30</v>
      </c>
      <c r="AY34" s="501" t="str">
        <f t="shared" si="65"/>
        <v/>
      </c>
      <c r="AZ34" s="170">
        <f t="shared" si="40"/>
        <v>412</v>
      </c>
      <c r="BA34" s="170">
        <v>0</v>
      </c>
      <c r="BB34" s="170">
        <f t="shared" si="41"/>
        <v>107.5</v>
      </c>
      <c r="BC34" s="170">
        <f t="shared" si="41"/>
        <v>0</v>
      </c>
      <c r="BD34" s="170">
        <f t="shared" si="42"/>
        <v>213</v>
      </c>
      <c r="BE34" s="90"/>
      <c r="BF34" s="90"/>
      <c r="BG34" s="501">
        <f t="shared" si="43"/>
        <v>732.5</v>
      </c>
      <c r="BH34" s="501">
        <f t="shared" si="44"/>
        <v>1168</v>
      </c>
      <c r="BI34" s="90">
        <f>IF(FC34=0,"",(FC34-BJ34))</f>
        <v>1969.6580000000336</v>
      </c>
      <c r="BJ34" s="90">
        <f>IF(BH34=0,"",(AA34+AD34+AO34+BG34+AH34+AL34+AQ34+AT34+AX34+AV34))</f>
        <v>3941.3419999999664</v>
      </c>
      <c r="BK34" s="92"/>
      <c r="BL34" s="331">
        <f t="shared" si="66"/>
        <v>7079</v>
      </c>
      <c r="BM34" s="93">
        <f t="shared" si="46"/>
        <v>189563.75999999998</v>
      </c>
      <c r="BN34" s="92"/>
      <c r="BO34" s="94">
        <f t="shared" si="47"/>
        <v>9.7880746786858375E-2</v>
      </c>
      <c r="BP34" s="94">
        <f t="shared" si="47"/>
        <v>7.2924397440558917E-4</v>
      </c>
      <c r="BQ34" s="94">
        <f t="shared" si="48"/>
        <v>0.17280381289803554</v>
      </c>
      <c r="BR34" s="94">
        <f t="shared" si="67"/>
        <v>0.56016740848784885</v>
      </c>
      <c r="BS34" s="94">
        <f>IF($N34&lt;&gt;0,IF($N34&lt;&gt;0,Y34/$N34*10,0)," ")</f>
        <v>0</v>
      </c>
      <c r="BT34" s="94">
        <f t="shared" si="77"/>
        <v>0.10528122267529581</v>
      </c>
      <c r="BU34" s="95">
        <f t="shared" si="77"/>
        <v>0.83401202539516706</v>
      </c>
      <c r="BV34" s="94">
        <f t="shared" si="11"/>
        <v>8.1839092420703446E-2</v>
      </c>
      <c r="BW34" s="94">
        <f t="shared" si="11"/>
        <v>6.097283375716227E-4</v>
      </c>
      <c r="BX34" s="94">
        <f t="shared" si="11"/>
        <v>0.1444830334734534</v>
      </c>
      <c r="BY34" s="94">
        <f t="shared" si="49"/>
        <v>0.46836169337909095</v>
      </c>
      <c r="BZ34" s="95">
        <f t="shared" si="12"/>
        <v>0.6973259754027249</v>
      </c>
      <c r="CA34" s="96" t="e">
        <f>#REF!</f>
        <v>#REF!</v>
      </c>
      <c r="CB34" s="94">
        <f t="shared" si="50"/>
        <v>3.7035350874720784E-2</v>
      </c>
      <c r="CC34" s="95">
        <f t="shared" si="50"/>
        <v>2.1585286451276303E-2</v>
      </c>
      <c r="CD34" s="97">
        <f t="shared" si="13"/>
        <v>0.11298858953036704</v>
      </c>
      <c r="CE34" s="98">
        <f t="shared" si="13"/>
        <v>6.585305696140617E-2</v>
      </c>
      <c r="CF34" s="97" t="str">
        <f t="shared" si="51"/>
        <v>0,00</v>
      </c>
      <c r="CG34" s="94" t="str">
        <f t="shared" si="51"/>
        <v>0,00</v>
      </c>
      <c r="CH34" s="95" t="str">
        <f t="shared" si="52"/>
        <v xml:space="preserve">0,00 </v>
      </c>
      <c r="CI34" s="96" t="e">
        <f>#REF!</f>
        <v>#REF!</v>
      </c>
      <c r="CJ34" s="94">
        <f t="shared" si="53"/>
        <v>0.26203966005665724</v>
      </c>
      <c r="CK34" s="94">
        <f t="shared" si="53"/>
        <v>0.25779036827194779</v>
      </c>
      <c r="CL34" s="95">
        <f t="shared" si="68"/>
        <v>0.65391879131255892</v>
      </c>
      <c r="CM34" s="95" t="e">
        <f>#REF!</f>
        <v>#REF!</v>
      </c>
      <c r="CN34" s="94">
        <f t="shared" si="54"/>
        <v>0.46683191237373156</v>
      </c>
      <c r="CO34" s="94">
        <f t="shared" si="54"/>
        <v>6.4589072807863135E-2</v>
      </c>
      <c r="CP34" s="95">
        <f t="shared" si="55"/>
        <v>0.78657979756121887</v>
      </c>
      <c r="CQ34" s="95" t="e">
        <f>#REF!</f>
        <v>#REF!</v>
      </c>
      <c r="CR34" s="97">
        <f t="shared" si="69"/>
        <v>0</v>
      </c>
      <c r="CS34" s="95">
        <f t="shared" si="69"/>
        <v>9.3670292591935767E-2</v>
      </c>
      <c r="CT34" s="96" t="e">
        <f>#REF!</f>
        <v>#REF!</v>
      </c>
      <c r="CU34" s="97">
        <f t="shared" si="70"/>
        <v>2.5153256696949788E-2</v>
      </c>
      <c r="CV34" s="95">
        <f t="shared" si="56"/>
        <v>3.4515857800830704E-2</v>
      </c>
      <c r="CW34" s="96" t="e">
        <f>#REF!</f>
        <v>#REF!</v>
      </c>
      <c r="CX34" s="99">
        <f t="shared" si="78"/>
        <v>0.21046918911731571</v>
      </c>
      <c r="CY34" s="95">
        <f t="shared" si="78"/>
        <v>1.7614374196513544E-2</v>
      </c>
      <c r="CZ34" s="99">
        <f t="shared" si="78"/>
        <v>0.1621425727320093</v>
      </c>
      <c r="DA34" s="95">
        <f t="shared" si="78"/>
        <v>1.3549518612702725E-2</v>
      </c>
      <c r="DB34" s="94">
        <f t="shared" si="14"/>
        <v>0.18608005561445079</v>
      </c>
      <c r="DC34" s="94">
        <f t="shared" si="15"/>
        <v>4.855244169551811E-2</v>
      </c>
      <c r="DD34" s="94">
        <f t="shared" si="15"/>
        <v>0</v>
      </c>
      <c r="DE34" s="94">
        <f t="shared" si="15"/>
        <v>9.6201582150189369E-2</v>
      </c>
      <c r="DF34" s="94">
        <f t="shared" si="15"/>
        <v>0</v>
      </c>
      <c r="DG34" s="94">
        <f t="shared" si="15"/>
        <v>0</v>
      </c>
      <c r="DH34" s="95">
        <f t="shared" si="15"/>
        <v>0.33083407946015825</v>
      </c>
      <c r="DI34" s="96" t="e">
        <f>#REF!</f>
        <v>#REF!</v>
      </c>
      <c r="DJ34" s="95">
        <f t="shared" si="58"/>
        <v>0.52752792465455955</v>
      </c>
      <c r="DK34" s="96" t="e">
        <f>#REF!</f>
        <v>#REF!</v>
      </c>
      <c r="DL34" s="95">
        <f t="shared" si="59"/>
        <v>0.88959725772197595</v>
      </c>
      <c r="DM34" s="96">
        <f t="shared" si="16"/>
        <v>0</v>
      </c>
      <c r="DN34" s="94">
        <f t="shared" si="17"/>
        <v>1.7801095596008845</v>
      </c>
      <c r="DO34" s="100">
        <v>3.4</v>
      </c>
      <c r="DP34" s="94">
        <f>IF($O34&lt;&gt;0,IF($O34&lt;&gt;0,BL34/$O34*10,0)," ")</f>
        <v>3.1972347419774199</v>
      </c>
      <c r="DQ34" s="94">
        <f t="shared" si="72"/>
        <v>2.9261032205828243</v>
      </c>
      <c r="DR34" s="101">
        <f t="shared" si="18"/>
        <v>3.13</v>
      </c>
      <c r="DT34" s="134">
        <v>29</v>
      </c>
      <c r="DU34" s="135">
        <v>639789</v>
      </c>
      <c r="DV34" s="135">
        <v>30545</v>
      </c>
      <c r="DW34" s="136">
        <v>5158395</v>
      </c>
      <c r="DX34" s="135">
        <v>124486</v>
      </c>
      <c r="DY34" s="135">
        <v>89447.2</v>
      </c>
      <c r="DZ34" s="135">
        <v>409886</v>
      </c>
      <c r="EA34" s="136">
        <v>245972</v>
      </c>
      <c r="EB34" s="136">
        <v>56786.2</v>
      </c>
      <c r="EC34" s="136">
        <v>427176</v>
      </c>
      <c r="ED34" s="136">
        <v>48757</v>
      </c>
      <c r="EE34" s="136">
        <v>41669.1</v>
      </c>
      <c r="EF34" s="136">
        <v>43704.3</v>
      </c>
      <c r="EG34" s="135">
        <v>95994</v>
      </c>
      <c r="EH34" s="135">
        <v>188773.7</v>
      </c>
      <c r="EI34" s="135">
        <v>35493</v>
      </c>
      <c r="EJ34" s="136">
        <v>44147</v>
      </c>
      <c r="EK34" s="136"/>
      <c r="EL34" s="135">
        <v>726444.2</v>
      </c>
      <c r="EM34" s="135">
        <v>3199</v>
      </c>
      <c r="EN34" s="136">
        <v>48951</v>
      </c>
      <c r="EO34" s="135">
        <v>3152148</v>
      </c>
      <c r="EP34" s="136">
        <v>2858361</v>
      </c>
      <c r="EQ34" s="136">
        <v>0</v>
      </c>
      <c r="ER34" s="136">
        <v>1949</v>
      </c>
      <c r="ES34" s="136">
        <v>437071</v>
      </c>
      <c r="ET34" s="136">
        <v>63179.8</v>
      </c>
      <c r="EU34" s="136">
        <v>165982</v>
      </c>
      <c r="EV34" s="136">
        <v>471171</v>
      </c>
      <c r="EW34" s="136">
        <v>148085</v>
      </c>
      <c r="EX34" s="135">
        <v>225015.5</v>
      </c>
      <c r="EY34" s="135">
        <v>1732610</v>
      </c>
      <c r="EZ34" s="140">
        <v>842832.5</v>
      </c>
      <c r="FA34" s="140">
        <v>772903</v>
      </c>
      <c r="FB34" s="145">
        <v>32486.7</v>
      </c>
      <c r="FC34" s="140">
        <v>5911</v>
      </c>
      <c r="FD34" s="383">
        <f>SUM(FE34:FM34)</f>
        <v>5679</v>
      </c>
      <c r="FE34" s="136">
        <v>957</v>
      </c>
      <c r="FF34" s="371">
        <v>83</v>
      </c>
      <c r="FG34" s="105">
        <v>1089</v>
      </c>
      <c r="FH34" s="136">
        <v>1221</v>
      </c>
      <c r="FI34" s="371">
        <v>578</v>
      </c>
      <c r="FJ34" s="136">
        <v>653</v>
      </c>
      <c r="FK34" s="371">
        <v>0</v>
      </c>
      <c r="FL34" s="371">
        <v>536</v>
      </c>
      <c r="FM34" s="371">
        <v>562</v>
      </c>
      <c r="FN34" s="80">
        <v>1400</v>
      </c>
      <c r="FO34" s="104"/>
      <c r="FP34" s="488"/>
      <c r="FY34" s="119">
        <v>29</v>
      </c>
      <c r="FZ34" s="190"/>
      <c r="GA34" s="191"/>
      <c r="GB34" s="107"/>
      <c r="GC34" s="109"/>
      <c r="GD34" s="110"/>
      <c r="GE34" s="110"/>
      <c r="GF34" s="111"/>
      <c r="GG34" s="111"/>
      <c r="GH34" s="111"/>
      <c r="GI34" s="112"/>
      <c r="GJ34" s="111" t="e">
        <f t="shared" si="60"/>
        <v>#DIV/0!</v>
      </c>
      <c r="GK34" s="113"/>
    </row>
    <row r="35" spans="1:193" s="119" customFormat="1" ht="15" customHeight="1">
      <c r="B35" s="351">
        <v>43038</v>
      </c>
      <c r="D35" s="86">
        <v>0</v>
      </c>
      <c r="E35" s="86">
        <v>5076</v>
      </c>
      <c r="F35" s="86">
        <v>2450.5920000000001</v>
      </c>
      <c r="G35" s="86">
        <v>4643.8690000000006</v>
      </c>
      <c r="H35" s="86">
        <v>9281.905999999999</v>
      </c>
      <c r="I35" s="86">
        <v>1958.2080000000001</v>
      </c>
      <c r="J35" s="86">
        <v>6567</v>
      </c>
      <c r="K35" s="284">
        <v>0</v>
      </c>
      <c r="L35" s="284">
        <v>136.27000000000001</v>
      </c>
      <c r="M35" s="115">
        <f t="shared" si="61"/>
        <v>8525.2080000000005</v>
      </c>
      <c r="N35" s="88">
        <f t="shared" si="20"/>
        <v>21452.366999999998</v>
      </c>
      <c r="O35" s="88">
        <f t="shared" si="21"/>
        <v>25851.240999999998</v>
      </c>
      <c r="P35" s="89">
        <f t="shared" si="22"/>
        <v>673688.12750000018</v>
      </c>
      <c r="R35" s="170">
        <f t="shared" si="23"/>
        <v>222.40000000002328</v>
      </c>
      <c r="S35" s="170">
        <f t="shared" si="24"/>
        <v>59.79000000000233</v>
      </c>
      <c r="T35" s="170">
        <f t="shared" si="1"/>
        <v>365</v>
      </c>
      <c r="U35" s="170">
        <f t="shared" si="73"/>
        <v>5.1300000000002912</v>
      </c>
      <c r="V35" s="170">
        <f t="shared" si="25"/>
        <v>1102.1000000000931</v>
      </c>
      <c r="W35" s="170">
        <f t="shared" si="2"/>
        <v>97.2</v>
      </c>
      <c r="X35" s="170">
        <f t="shared" si="26"/>
        <v>1102.1000000000931</v>
      </c>
      <c r="Y35" s="170">
        <f t="shared" si="27"/>
        <v>90.9</v>
      </c>
      <c r="Z35" s="170">
        <f t="shared" si="3"/>
        <v>175.5</v>
      </c>
      <c r="AA35" s="501">
        <f t="shared" si="28"/>
        <v>1754.4200000001192</v>
      </c>
      <c r="AB35" s="170">
        <f t="shared" si="29"/>
        <v>22</v>
      </c>
      <c r="AC35" s="170">
        <f t="shared" si="29"/>
        <v>0</v>
      </c>
      <c r="AD35" s="501">
        <f t="shared" si="4"/>
        <v>230</v>
      </c>
      <c r="AE35" s="501">
        <f t="shared" si="30"/>
        <v>208</v>
      </c>
      <c r="AF35" s="170">
        <f t="shared" si="31"/>
        <v>137</v>
      </c>
      <c r="AG35" s="170">
        <f t="shared" si="31"/>
        <v>216.90000000000873</v>
      </c>
      <c r="AH35" s="501">
        <f t="shared" si="5"/>
        <v>412</v>
      </c>
      <c r="AI35" s="501">
        <f t="shared" si="32"/>
        <v>58.099999999991269</v>
      </c>
      <c r="AJ35" s="170">
        <f t="shared" si="33"/>
        <v>140</v>
      </c>
      <c r="AK35" s="170">
        <f t="shared" si="33"/>
        <v>13.30000000000291</v>
      </c>
      <c r="AL35" s="501">
        <f t="shared" si="6"/>
        <v>246</v>
      </c>
      <c r="AM35" s="501">
        <f t="shared" si="34"/>
        <v>92.69999999999709</v>
      </c>
      <c r="AN35" s="170">
        <f t="shared" si="35"/>
        <v>0.69999999999708962</v>
      </c>
      <c r="AO35" s="501">
        <f t="shared" si="7"/>
        <v>38</v>
      </c>
      <c r="AP35" s="170">
        <f t="shared" si="36"/>
        <v>25.80000000000291</v>
      </c>
      <c r="AQ35" s="501">
        <f t="shared" si="8"/>
        <v>30.299999999988358</v>
      </c>
      <c r="AR35" s="170">
        <f t="shared" si="37"/>
        <v>73.903199999999998</v>
      </c>
      <c r="AS35" s="501">
        <f>IF(AR35="","",(ES35-ES34)+((ET35-ET34)/1000)-AW35-AU35)</f>
        <v>174.90319999999997</v>
      </c>
      <c r="AT35" s="501">
        <f t="shared" si="39"/>
        <v>1159.9032</v>
      </c>
      <c r="AU35" s="170">
        <f t="shared" si="62"/>
        <v>712</v>
      </c>
      <c r="AV35" s="501">
        <f t="shared" si="63"/>
        <v>13</v>
      </c>
      <c r="AW35" s="170">
        <f t="shared" si="64"/>
        <v>273</v>
      </c>
      <c r="AX35" s="501">
        <f t="shared" si="65"/>
        <v>4</v>
      </c>
      <c r="AY35" s="501" t="str">
        <f t="shared" si="65"/>
        <v/>
      </c>
      <c r="AZ35" s="170">
        <f t="shared" si="40"/>
        <v>268</v>
      </c>
      <c r="BA35" s="170">
        <v>164</v>
      </c>
      <c r="BB35" s="170">
        <f t="shared" si="41"/>
        <v>153.60000000000582</v>
      </c>
      <c r="BC35" s="170">
        <f t="shared" si="41"/>
        <v>2131.3999999999069</v>
      </c>
      <c r="BD35" s="170">
        <f t="shared" si="42"/>
        <v>92</v>
      </c>
      <c r="BE35" s="90"/>
      <c r="BF35" s="90"/>
      <c r="BG35" s="501">
        <f t="shared" si="43"/>
        <v>2644.9999999999127</v>
      </c>
      <c r="BH35" s="501">
        <f t="shared" si="44"/>
        <v>-171</v>
      </c>
      <c r="BI35" s="90">
        <f t="shared" si="9"/>
        <v>-701.62320000002001</v>
      </c>
      <c r="BJ35" s="90">
        <f t="shared" si="45"/>
        <v>6532.62320000002</v>
      </c>
      <c r="BK35" s="92"/>
      <c r="BL35" s="331">
        <f t="shared" si="66"/>
        <v>5660</v>
      </c>
      <c r="BM35" s="93">
        <f t="shared" si="46"/>
        <v>195223.75999999998</v>
      </c>
      <c r="BN35" s="92"/>
      <c r="BO35" s="94">
        <f t="shared" si="47"/>
        <v>0.10367154356441101</v>
      </c>
      <c r="BP35" s="94">
        <f t="shared" si="47"/>
        <v>2.7871050313469994E-2</v>
      </c>
      <c r="BQ35" s="94">
        <f t="shared" si="48"/>
        <v>0.17014439478869631</v>
      </c>
      <c r="BR35" s="94">
        <f t="shared" si="67"/>
        <v>0.51374284245654256</v>
      </c>
      <c r="BS35" s="94">
        <f t="shared" si="77"/>
        <v>4.2372946537787656E-2</v>
      </c>
      <c r="BT35" s="94">
        <f t="shared" si="77"/>
        <v>8.180915420661973E-2</v>
      </c>
      <c r="BU35" s="95">
        <f t="shared" si="77"/>
        <v>0.81782117563069812</v>
      </c>
      <c r="BV35" s="94">
        <f t="shared" si="11"/>
        <v>8.6030686109043394E-2</v>
      </c>
      <c r="BW35" s="94">
        <f t="shared" si="11"/>
        <v>2.3128483464295715E-2</v>
      </c>
      <c r="BX35" s="94">
        <f t="shared" si="11"/>
        <v>0.1411924479757084</v>
      </c>
      <c r="BY35" s="94">
        <f t="shared" si="49"/>
        <v>0.42632382716175726</v>
      </c>
      <c r="BZ35" s="95">
        <f t="shared" si="12"/>
        <v>0.67865987555495666</v>
      </c>
      <c r="CA35" s="96" t="e">
        <f>#REF!</f>
        <v>#REF!</v>
      </c>
      <c r="CB35" s="94">
        <f t="shared" si="50"/>
        <v>2.8587873208872253E-2</v>
      </c>
      <c r="CC35" s="95">
        <f t="shared" si="50"/>
        <v>6.7657564292561423E-2</v>
      </c>
      <c r="CD35" s="97">
        <f t="shared" si="13"/>
        <v>8.6687855592496962E-2</v>
      </c>
      <c r="CE35" s="98">
        <f t="shared" si="13"/>
        <v>0.20516003832399157</v>
      </c>
      <c r="CF35" s="97" t="str">
        <f t="shared" si="51"/>
        <v>0,00</v>
      </c>
      <c r="CG35" s="94" t="str">
        <f t="shared" si="51"/>
        <v>0,00</v>
      </c>
      <c r="CH35" s="95" t="str">
        <f t="shared" si="52"/>
        <v xml:space="preserve">0,00 </v>
      </c>
      <c r="CI35" s="96" t="e">
        <f>#REF!</f>
        <v>#REF!</v>
      </c>
      <c r="CJ35" s="94">
        <f t="shared" si="53"/>
        <v>0.26989755713159969</v>
      </c>
      <c r="CK35" s="94">
        <f t="shared" si="53"/>
        <v>0.42730496453902428</v>
      </c>
      <c r="CL35" s="95">
        <f t="shared" si="68"/>
        <v>0.81166272655634364</v>
      </c>
      <c r="CM35" s="95" t="e">
        <f>#REF!</f>
        <v>#REF!</v>
      </c>
      <c r="CN35" s="94">
        <f t="shared" si="54"/>
        <v>0.57129052898238464</v>
      </c>
      <c r="CO35" s="94">
        <f t="shared" si="54"/>
        <v>5.4272600253338417E-2</v>
      </c>
      <c r="CP35" s="95">
        <f t="shared" si="55"/>
        <v>1.0038390723547617</v>
      </c>
      <c r="CQ35" s="95" t="e">
        <f>#REF!</f>
        <v>#REF!</v>
      </c>
      <c r="CR35" s="97">
        <f t="shared" si="69"/>
        <v>1.5073637951395474E-3</v>
      </c>
      <c r="CS35" s="95">
        <f t="shared" si="69"/>
        <v>8.1828320307915647E-2</v>
      </c>
      <c r="CT35" s="96" t="e">
        <f>#REF!</f>
        <v>#REF!</v>
      </c>
      <c r="CU35" s="97">
        <f t="shared" si="70"/>
        <v>2.7796015171887015E-2</v>
      </c>
      <c r="CV35" s="95">
        <f t="shared" si="56"/>
        <v>3.2644157353013875E-2</v>
      </c>
      <c r="CW35" s="96" t="e">
        <f>#REF!</f>
        <v>#REF!</v>
      </c>
      <c r="CX35" s="99">
        <f t="shared" si="78"/>
        <v>0.27542198070877916</v>
      </c>
      <c r="CY35" s="95">
        <f t="shared" si="78"/>
        <v>5.0287721196827662E-3</v>
      </c>
      <c r="CZ35" s="99">
        <f t="shared" si="78"/>
        <v>0.10560421451333807</v>
      </c>
      <c r="DA35" s="95">
        <f t="shared" si="78"/>
        <v>1.547314498363928E-3</v>
      </c>
      <c r="DB35" s="94">
        <f t="shared" si="14"/>
        <v>0.10367007139038317</v>
      </c>
      <c r="DC35" s="94">
        <f t="shared" si="15"/>
        <v>5.9416876737177077E-2</v>
      </c>
      <c r="DD35" s="94">
        <f t="shared" si="15"/>
        <v>0.82448653045318288</v>
      </c>
      <c r="DE35" s="94">
        <f t="shared" si="15"/>
        <v>3.558823346237034E-2</v>
      </c>
      <c r="DF35" s="94">
        <f t="shared" si="15"/>
        <v>0</v>
      </c>
      <c r="DG35" s="94">
        <f t="shared" si="15"/>
        <v>0</v>
      </c>
      <c r="DH35" s="95">
        <f t="shared" si="15"/>
        <v>1.0231617120431133</v>
      </c>
      <c r="DI35" s="96" t="e">
        <f>#REF!</f>
        <v>#REF!</v>
      </c>
      <c r="DJ35" s="95">
        <f t="shared" si="58"/>
        <v>-6.6147694805057916E-2</v>
      </c>
      <c r="DK35" s="96" t="e">
        <f>#REF!</f>
        <v>#REF!</v>
      </c>
      <c r="DL35" s="95">
        <f t="shared" si="59"/>
        <v>-0.27140793743713121</v>
      </c>
      <c r="DM35" s="96">
        <f t="shared" si="16"/>
        <v>0</v>
      </c>
      <c r="DN35" s="94">
        <f t="shared" si="17"/>
        <v>2.527005647427147</v>
      </c>
      <c r="DO35" s="100">
        <v>3.4</v>
      </c>
      <c r="DP35" s="94">
        <f>IF($O35&lt;&gt;0,IF($O35&lt;&gt;0,BL35/$O35*10,0)," ")</f>
        <v>2.1894500151849576</v>
      </c>
      <c r="DQ35" s="94">
        <f>IF($P35&lt;&gt;0,IF($P35&lt;&gt;0,BM35/$P35*10,0)," ")</f>
        <v>2.8978358387353342</v>
      </c>
      <c r="DR35" s="101">
        <f t="shared" si="18"/>
        <v>3.13</v>
      </c>
      <c r="DS35" s="173"/>
      <c r="DT35" s="134">
        <v>30</v>
      </c>
      <c r="DU35" s="361">
        <v>639811</v>
      </c>
      <c r="DV35" s="361">
        <v>30545</v>
      </c>
      <c r="DW35" s="361">
        <v>5158603</v>
      </c>
      <c r="DX35" s="361">
        <v>124623</v>
      </c>
      <c r="DY35" s="361">
        <v>89664.1</v>
      </c>
      <c r="DZ35" s="361">
        <v>410161</v>
      </c>
      <c r="EA35" s="303">
        <v>246112</v>
      </c>
      <c r="EB35" s="303">
        <v>56799.5</v>
      </c>
      <c r="EC35" s="303">
        <v>427282</v>
      </c>
      <c r="ED35" s="361">
        <v>48757.7</v>
      </c>
      <c r="EE35" s="303">
        <v>41701.5</v>
      </c>
      <c r="EF35" s="303">
        <v>43709.9</v>
      </c>
      <c r="EG35" s="361">
        <v>96019.8</v>
      </c>
      <c r="EH35" s="361">
        <v>188804</v>
      </c>
      <c r="EI35" s="361">
        <v>35506</v>
      </c>
      <c r="EJ35" s="303">
        <v>44151</v>
      </c>
      <c r="EK35" s="303"/>
      <c r="EL35" s="361">
        <v>726666.6</v>
      </c>
      <c r="EM35" s="361">
        <v>3650</v>
      </c>
      <c r="EN35" s="303">
        <v>49002.3</v>
      </c>
      <c r="EO35" s="361">
        <v>3153250.1</v>
      </c>
      <c r="EP35" s="303">
        <v>2859333</v>
      </c>
      <c r="EQ35" s="303">
        <v>909</v>
      </c>
      <c r="ER35" s="303">
        <v>1755</v>
      </c>
      <c r="ES35" s="303">
        <v>438157</v>
      </c>
      <c r="ET35" s="303">
        <v>137083</v>
      </c>
      <c r="EU35" s="303">
        <v>166255</v>
      </c>
      <c r="EV35" s="136">
        <v>471883</v>
      </c>
      <c r="EW35" s="303">
        <v>148353</v>
      </c>
      <c r="EX35" s="361">
        <v>225169.1</v>
      </c>
      <c r="EY35" s="476">
        <v>1734741.4</v>
      </c>
      <c r="EZ35" s="477">
        <v>843430.40000000002</v>
      </c>
      <c r="FA35" s="383">
        <v>772995</v>
      </c>
      <c r="FB35" s="383">
        <v>31975.5</v>
      </c>
      <c r="FC35" s="382">
        <v>5831</v>
      </c>
      <c r="FD35" s="104">
        <f>SUM(FE35:FM35)</f>
        <v>4260</v>
      </c>
      <c r="FE35" s="136">
        <v>577</v>
      </c>
      <c r="FF35" s="371">
        <v>88</v>
      </c>
      <c r="FG35" s="401">
        <v>793</v>
      </c>
      <c r="FH35" s="136">
        <v>623</v>
      </c>
      <c r="FI35" s="371">
        <v>479</v>
      </c>
      <c r="FJ35" s="136">
        <v>650</v>
      </c>
      <c r="FK35" s="371">
        <v>0</v>
      </c>
      <c r="FL35" s="371">
        <v>387</v>
      </c>
      <c r="FM35" s="371">
        <v>663</v>
      </c>
      <c r="FN35" s="187">
        <v>1400</v>
      </c>
      <c r="FO35" s="303"/>
      <c r="FP35" s="488"/>
      <c r="FY35" s="119">
        <v>30</v>
      </c>
      <c r="FZ35" s="190"/>
      <c r="GA35" s="192"/>
      <c r="GB35" s="190"/>
      <c r="GC35" s="109"/>
      <c r="GD35" s="110"/>
      <c r="GE35" s="110"/>
      <c r="GF35" s="111"/>
      <c r="GG35" s="111"/>
      <c r="GH35" s="111"/>
      <c r="GI35" s="112"/>
      <c r="GJ35" s="111" t="e">
        <f t="shared" si="60"/>
        <v>#DIV/0!</v>
      </c>
      <c r="GK35" s="113"/>
    </row>
    <row r="36" spans="1:193" s="119" customFormat="1" ht="15" customHeight="1">
      <c r="B36" s="351">
        <v>43039</v>
      </c>
      <c r="D36" s="86">
        <v>2098.08</v>
      </c>
      <c r="E36" s="86">
        <v>3360</v>
      </c>
      <c r="F36" s="86">
        <v>1410.048</v>
      </c>
      <c r="G36" s="86">
        <v>6147.7330000000002</v>
      </c>
      <c r="H36" s="86">
        <v>10574.331</v>
      </c>
      <c r="I36" s="86">
        <v>2899.5149999999999</v>
      </c>
      <c r="J36" s="86">
        <v>9625.08</v>
      </c>
      <c r="K36" s="284">
        <v>0</v>
      </c>
      <c r="L36" s="284">
        <v>0</v>
      </c>
      <c r="M36" s="115">
        <f t="shared" si="61"/>
        <v>12524.594999999999</v>
      </c>
      <c r="N36" s="88">
        <f t="shared" si="20"/>
        <v>23590.192000000003</v>
      </c>
      <c r="O36" s="88">
        <f>(N36+L36+((J36+I36)*0.5))-1068</f>
        <v>28784.489500000003</v>
      </c>
      <c r="P36" s="89">
        <f t="shared" si="22"/>
        <v>702472.6170000002</v>
      </c>
      <c r="R36" s="170">
        <f t="shared" si="23"/>
        <v>266.70000000006985</v>
      </c>
      <c r="S36" s="170">
        <f t="shared" si="24"/>
        <v>21.569999999995343</v>
      </c>
      <c r="T36" s="170">
        <f t="shared" si="1"/>
        <v>328.8</v>
      </c>
      <c r="U36" s="170">
        <f>IF(FB36=0,"",((EN36-EN35)/10))</f>
        <v>6.6899999999994177</v>
      </c>
      <c r="V36" s="170">
        <f t="shared" si="25"/>
        <v>1188.6999999997206</v>
      </c>
      <c r="W36" s="170">
        <f t="shared" si="2"/>
        <v>104.6</v>
      </c>
      <c r="X36" s="170">
        <f t="shared" si="26"/>
        <v>1188.6999999997206</v>
      </c>
      <c r="Y36" s="170">
        <f t="shared" si="27"/>
        <v>122.6</v>
      </c>
      <c r="Z36" s="170">
        <f t="shared" si="3"/>
        <v>178.6</v>
      </c>
      <c r="AA36" s="501">
        <f t="shared" si="28"/>
        <v>1812.4599999997852</v>
      </c>
      <c r="AB36" s="170">
        <f t="shared" si="29"/>
        <v>111</v>
      </c>
      <c r="AC36" s="170">
        <f t="shared" si="29"/>
        <v>114</v>
      </c>
      <c r="AD36" s="501">
        <f t="shared" si="4"/>
        <v>312</v>
      </c>
      <c r="AE36" s="501">
        <f t="shared" si="30"/>
        <v>87</v>
      </c>
      <c r="AF36" s="170">
        <f t="shared" si="31"/>
        <v>116</v>
      </c>
      <c r="AG36" s="170">
        <f t="shared" si="31"/>
        <v>372.19999999999709</v>
      </c>
      <c r="AH36" s="501">
        <f t="shared" si="5"/>
        <v>543</v>
      </c>
      <c r="AI36" s="501">
        <f t="shared" si="32"/>
        <v>54.80000000000291</v>
      </c>
      <c r="AJ36" s="170">
        <f>IF(EA36=0,"",(EA36-EA35))</f>
        <v>135</v>
      </c>
      <c r="AK36" s="170">
        <f>IF(EB36=0,"",(EB36-EB35))</f>
        <v>40.400000000001455</v>
      </c>
      <c r="AL36" s="501">
        <f t="shared" si="6"/>
        <v>275</v>
      </c>
      <c r="AM36" s="501">
        <f t="shared" si="34"/>
        <v>99.599999999998545</v>
      </c>
      <c r="AN36" s="170">
        <f t="shared" si="35"/>
        <v>0</v>
      </c>
      <c r="AO36" s="501">
        <f t="shared" si="7"/>
        <v>40.19999999999709</v>
      </c>
      <c r="AP36" s="170">
        <f t="shared" si="36"/>
        <v>21.30000000000291</v>
      </c>
      <c r="AQ36" s="501">
        <f t="shared" si="8"/>
        <v>30.100000000005821</v>
      </c>
      <c r="AR36" s="170">
        <f t="shared" si="37"/>
        <v>86.914000000000001</v>
      </c>
      <c r="AS36" s="501">
        <f t="shared" si="38"/>
        <v>99.913999999999987</v>
      </c>
      <c r="AT36" s="501">
        <f t="shared" si="39"/>
        <v>1021.914</v>
      </c>
      <c r="AU36" s="170">
        <f t="shared" si="62"/>
        <v>600</v>
      </c>
      <c r="AV36" s="501">
        <f t="shared" si="63"/>
        <v>13</v>
      </c>
      <c r="AW36" s="170">
        <f t="shared" si="64"/>
        <v>322</v>
      </c>
      <c r="AX36" s="501">
        <f t="shared" si="65"/>
        <v>24</v>
      </c>
      <c r="AY36" s="501" t="str">
        <f t="shared" si="65"/>
        <v/>
      </c>
      <c r="AZ36" s="170">
        <f t="shared" si="40"/>
        <v>368</v>
      </c>
      <c r="BA36" s="170">
        <v>44</v>
      </c>
      <c r="BB36" s="170">
        <f t="shared" si="41"/>
        <v>197.29999999998836</v>
      </c>
      <c r="BC36" s="170">
        <f t="shared" si="41"/>
        <v>1374.7000000001863</v>
      </c>
      <c r="BD36" s="170">
        <f t="shared" si="42"/>
        <v>145</v>
      </c>
      <c r="BE36" s="90"/>
      <c r="BF36" s="90"/>
      <c r="BG36" s="501">
        <f t="shared" si="43"/>
        <v>2085.0000000001746</v>
      </c>
      <c r="BH36" s="501">
        <f t="shared" si="44"/>
        <v>2498</v>
      </c>
      <c r="BI36" s="90">
        <f t="shared" si="9"/>
        <v>439.32600000003731</v>
      </c>
      <c r="BJ36" s="90">
        <f t="shared" si="45"/>
        <v>6156.6739999999627</v>
      </c>
      <c r="BK36" s="92"/>
      <c r="BL36" s="331">
        <f>((FD36+FN36)+777)-451</f>
        <v>9094</v>
      </c>
      <c r="BM36" s="93">
        <f t="shared" si="46"/>
        <v>204317.75999999998</v>
      </c>
      <c r="BN36" s="92"/>
      <c r="BO36" s="94">
        <f>IF($N36&lt;&gt;0,IF($N36&lt;&gt;0,R36/$N36*10,0)," ")</f>
        <v>0.1130554596588573</v>
      </c>
      <c r="BP36" s="94">
        <f>IF($N36&lt;&gt;0,IF($N36&lt;&gt;0,S36/$N36*10,0)," ")</f>
        <v>9.1436305393340338E-3</v>
      </c>
      <c r="BQ36" s="94">
        <f t="shared" si="48"/>
        <v>0.13937995926442651</v>
      </c>
      <c r="BR36" s="94">
        <f t="shared" si="67"/>
        <v>0.50389585637951584</v>
      </c>
      <c r="BS36" s="94">
        <f t="shared" si="77"/>
        <v>5.1970751234241754E-2</v>
      </c>
      <c r="BT36" s="94">
        <f t="shared" si="77"/>
        <v>7.5709430427696373E-2</v>
      </c>
      <c r="BU36" s="95">
        <f t="shared" si="77"/>
        <v>0.76831083019578017</v>
      </c>
      <c r="BV36" s="94">
        <f>IF($O36&lt;&gt;0,IF($O36&lt;&gt;0,R36/$O36*10,0)," ")</f>
        <v>9.2654066350584333E-2</v>
      </c>
      <c r="BW36" s="94">
        <f>IF($O36&lt;&gt;0,IF($O36&lt;&gt;0,S36/$O36*10,0)," ")</f>
        <v>7.4936190895431168E-3</v>
      </c>
      <c r="BX36" s="94">
        <f>IF($O36&lt;&gt;0,IF($O36&lt;&gt;0,T36/$O36*10,0)," ")</f>
        <v>0.11422818528707969</v>
      </c>
      <c r="BY36" s="94">
        <f t="shared" si="49"/>
        <v>0.41296546183308913</v>
      </c>
      <c r="BZ36" s="95">
        <f t="shared" si="12"/>
        <v>0.62966550092881968</v>
      </c>
      <c r="CA36" s="96" t="e">
        <f>#REF!</f>
        <v>#REF!</v>
      </c>
      <c r="CB36" s="94">
        <f t="shared" si="50"/>
        <v>3.0194733868738576E-2</v>
      </c>
      <c r="CC36" s="95">
        <f t="shared" si="50"/>
        <v>3.4711055063179071E-2</v>
      </c>
      <c r="CD36" s="97">
        <f>IFERROR(AR36*10/($I36+$J36),"")</f>
        <v>6.93946590688162E-2</v>
      </c>
      <c r="CE36" s="98">
        <f>IFERROR(AS36*10/($I36+$J36),"")</f>
        <v>7.9774236212827629E-2</v>
      </c>
      <c r="CF36" s="97">
        <f t="shared" si="51"/>
        <v>0.52905513612445665</v>
      </c>
      <c r="CG36" s="94">
        <f t="shared" si="51"/>
        <v>0.54335392358727985</v>
      </c>
      <c r="CH36" s="95">
        <f t="shared" si="52"/>
        <v>1.4870738961336081</v>
      </c>
      <c r="CI36" s="96" t="e">
        <f>#REF!</f>
        <v>#REF!</v>
      </c>
      <c r="CJ36" s="94">
        <f t="shared" si="53"/>
        <v>0.34523809523809523</v>
      </c>
      <c r="CK36" s="94">
        <f t="shared" si="53"/>
        <v>1.1077380952380866</v>
      </c>
      <c r="CL36" s="95">
        <f t="shared" si="68"/>
        <v>1.6160714285714286</v>
      </c>
      <c r="CM36" s="95" t="e">
        <f>#REF!</f>
        <v>#REF!</v>
      </c>
      <c r="CN36" s="94">
        <f t="shared" si="54"/>
        <v>0.95741421568627461</v>
      </c>
      <c r="CO36" s="94">
        <f t="shared" si="54"/>
        <v>0.2865150689905695</v>
      </c>
      <c r="CP36" s="95">
        <f t="shared" si="55"/>
        <v>1.9502882171387073</v>
      </c>
      <c r="CQ36" s="95" t="e">
        <f>#REF!</f>
        <v>#REF!</v>
      </c>
      <c r="CR36" s="97">
        <f t="shared" si="69"/>
        <v>0</v>
      </c>
      <c r="CS36" s="95">
        <f t="shared" si="69"/>
        <v>6.538995756646733E-2</v>
      </c>
      <c r="CT36" s="96" t="e">
        <f>#REF!</f>
        <v>#REF!</v>
      </c>
      <c r="CU36" s="97">
        <f t="shared" si="70"/>
        <v>2.0143118273868024E-2</v>
      </c>
      <c r="CV36" s="95">
        <f t="shared" si="56"/>
        <v>2.8465157748519335E-2</v>
      </c>
      <c r="CW36" s="96" t="e">
        <f>#REF!</f>
        <v>#REF!</v>
      </c>
      <c r="CX36" s="99">
        <f t="shared" si="78"/>
        <v>0.2084455935895615</v>
      </c>
      <c r="CY36" s="95">
        <f t="shared" si="78"/>
        <v>4.5163211944404986E-3</v>
      </c>
      <c r="CZ36" s="99">
        <f t="shared" si="78"/>
        <v>0.11186580189306466</v>
      </c>
      <c r="DA36" s="95">
        <f t="shared" si="78"/>
        <v>8.3378237435824589E-3</v>
      </c>
      <c r="DB36" s="94">
        <f t="shared" si="14"/>
        <v>0.12784663073493105</v>
      </c>
      <c r="DC36" s="94">
        <f t="shared" ref="DC36:DH36" si="80">IF($O36&lt;&gt;0,IF($O36&lt;&gt;0,BB36/$O36*10,0)," ")</f>
        <v>6.8543859358696752E-2</v>
      </c>
      <c r="DD36" s="94">
        <f t="shared" si="80"/>
        <v>0.47758359584601495</v>
      </c>
      <c r="DE36" s="94">
        <f t="shared" si="80"/>
        <v>5.0374351784144018E-2</v>
      </c>
      <c r="DF36" s="94">
        <f t="shared" si="80"/>
        <v>0</v>
      </c>
      <c r="DG36" s="94">
        <f t="shared" si="80"/>
        <v>0</v>
      </c>
      <c r="DH36" s="95">
        <f t="shared" si="80"/>
        <v>0.72434843772378676</v>
      </c>
      <c r="DI36" s="96" t="e">
        <f>#REF!</f>
        <v>#REF!</v>
      </c>
      <c r="DJ36" s="95">
        <f t="shared" si="58"/>
        <v>0.86782848797787426</v>
      </c>
      <c r="DK36" s="96" t="e">
        <f>#REF!</f>
        <v>#REF!</v>
      </c>
      <c r="DL36" s="95">
        <f t="shared" si="59"/>
        <v>0.15262594808222577</v>
      </c>
      <c r="DM36" s="96">
        <f t="shared" si="16"/>
        <v>0</v>
      </c>
      <c r="DN36" s="94">
        <f t="shared" si="17"/>
        <v>2.1388859441123533</v>
      </c>
      <c r="DO36" s="100">
        <v>3.4</v>
      </c>
      <c r="DP36" s="94">
        <f>IF($O36&lt;&gt;0,IF($O36&lt;&gt;0,BL36/$O36*10,0)," ")</f>
        <v>3.1593403801724533</v>
      </c>
      <c r="DQ36" s="94">
        <f>IF($P36&lt;&gt;0,IF($P36&lt;&gt;0,BM36/$P36*10,0)," ")</f>
        <v>2.9085512382328194</v>
      </c>
      <c r="DR36" s="101"/>
      <c r="DS36" s="173"/>
      <c r="DT36" s="134">
        <v>31</v>
      </c>
      <c r="DU36" s="361">
        <v>639922</v>
      </c>
      <c r="DV36" s="361">
        <v>30659</v>
      </c>
      <c r="DW36" s="361">
        <v>5158804</v>
      </c>
      <c r="DX36" s="361">
        <v>124739</v>
      </c>
      <c r="DY36" s="361">
        <v>90036.3</v>
      </c>
      <c r="DZ36" s="361">
        <v>410588</v>
      </c>
      <c r="EA36" s="303">
        <v>246247</v>
      </c>
      <c r="EB36" s="303">
        <v>56839.9</v>
      </c>
      <c r="EC36" s="303">
        <v>427422</v>
      </c>
      <c r="ED36" s="361">
        <v>48757.7</v>
      </c>
      <c r="EE36" s="303">
        <v>41734.699999999997</v>
      </c>
      <c r="EF36" s="303">
        <v>43716.9</v>
      </c>
      <c r="EG36" s="361">
        <v>96041.1</v>
      </c>
      <c r="EH36" s="361">
        <v>188834.1</v>
      </c>
      <c r="EI36" s="361">
        <v>35519</v>
      </c>
      <c r="EJ36" s="303">
        <v>44175</v>
      </c>
      <c r="EK36" s="303"/>
      <c r="EL36" s="361">
        <v>726933.3</v>
      </c>
      <c r="EM36" s="361">
        <v>3288</v>
      </c>
      <c r="EN36" s="303">
        <v>49069.2</v>
      </c>
      <c r="EO36" s="361">
        <v>3154438.8</v>
      </c>
      <c r="EP36" s="303">
        <v>2860379</v>
      </c>
      <c r="EQ36" s="303">
        <v>1226</v>
      </c>
      <c r="ER36" s="303">
        <v>1786</v>
      </c>
      <c r="ES36" s="303">
        <v>439092</v>
      </c>
      <c r="ET36" s="303">
        <v>223997</v>
      </c>
      <c r="EU36" s="303">
        <v>166577</v>
      </c>
      <c r="EV36" s="303">
        <v>472483</v>
      </c>
      <c r="EW36" s="303">
        <v>148721</v>
      </c>
      <c r="EX36" s="361">
        <v>225366.39999999999</v>
      </c>
      <c r="EY36" s="361">
        <v>1736116.1</v>
      </c>
      <c r="EZ36" s="361">
        <v>843646.1</v>
      </c>
      <c r="FA36" s="361">
        <v>773140</v>
      </c>
      <c r="FB36" s="303">
        <v>32033.200000000001</v>
      </c>
      <c r="FC36" s="361">
        <v>6596</v>
      </c>
      <c r="FD36" s="104">
        <f t="shared" si="79"/>
        <v>4646</v>
      </c>
      <c r="FE36" s="105">
        <v>957</v>
      </c>
      <c r="FF36" s="105">
        <v>86</v>
      </c>
      <c r="FG36" s="105">
        <v>1036</v>
      </c>
      <c r="FH36" s="105">
        <v>0</v>
      </c>
      <c r="FI36" s="105">
        <v>690</v>
      </c>
      <c r="FJ36" s="104">
        <v>665</v>
      </c>
      <c r="FK36" s="267">
        <v>0</v>
      </c>
      <c r="FL36" s="267">
        <v>529</v>
      </c>
      <c r="FM36" s="267">
        <v>683</v>
      </c>
      <c r="FN36" s="80">
        <v>4122</v>
      </c>
      <c r="FO36" s="389">
        <v>1162368</v>
      </c>
      <c r="FP36" s="486"/>
      <c r="FY36" s="119">
        <v>31</v>
      </c>
      <c r="FZ36" s="190"/>
      <c r="GA36" s="192"/>
      <c r="GB36" s="190"/>
      <c r="GC36" s="109"/>
      <c r="GD36" s="110"/>
      <c r="GE36" s="110"/>
      <c r="GF36" s="111"/>
      <c r="GG36" s="111"/>
      <c r="GH36" s="111"/>
      <c r="GI36" s="164"/>
      <c r="GJ36" s="111" t="e">
        <f t="shared" si="60"/>
        <v>#DIV/0!</v>
      </c>
    </row>
    <row r="37" spans="1:193" s="10" customFormat="1" ht="15" customHeight="1">
      <c r="A37" s="64" t="s">
        <v>127</v>
      </c>
      <c r="B37" s="351"/>
      <c r="C37" s="194"/>
      <c r="D37" s="195">
        <f>SUM(D6:D36)</f>
        <v>79725.48</v>
      </c>
      <c r="E37" s="196">
        <f t="shared" ref="E37:M37" si="81">SUM(E6:E36)</f>
        <v>111255.48</v>
      </c>
      <c r="F37" s="196">
        <f t="shared" si="81"/>
        <v>65349.071999999986</v>
      </c>
      <c r="G37" s="196">
        <f t="shared" si="81"/>
        <v>120714.51200000002</v>
      </c>
      <c r="H37" s="196">
        <f t="shared" si="81"/>
        <v>216704.26099999997</v>
      </c>
      <c r="I37" s="195">
        <f t="shared" si="81"/>
        <v>57981.335999999996</v>
      </c>
      <c r="J37" s="195">
        <f t="shared" si="81"/>
        <v>159363.68799999999</v>
      </c>
      <c r="K37" s="195">
        <f t="shared" si="81"/>
        <v>138.673</v>
      </c>
      <c r="L37" s="195">
        <f t="shared" si="81"/>
        <v>3783.9560000000006</v>
      </c>
      <c r="M37" s="458">
        <f t="shared" si="81"/>
        <v>217345.024</v>
      </c>
      <c r="N37" s="199">
        <f>SUM(N6:N36)</f>
        <v>593748.80500000005</v>
      </c>
      <c r="O37" s="199">
        <f>SUM(O6:O36)</f>
        <v>702472.6170000002</v>
      </c>
      <c r="P37" s="200">
        <f>P36</f>
        <v>702472.6170000002</v>
      </c>
      <c r="Q37" s="201">
        <f>SUM(Q6:Q33)</f>
        <v>0</v>
      </c>
      <c r="R37" s="196">
        <f>SUM(R6:R36)</f>
        <v>7127.3000000000466</v>
      </c>
      <c r="S37" s="196">
        <f t="shared" ref="S37:Z37" si="82">SUM(S6:S36)</f>
        <v>1676.6000000000001</v>
      </c>
      <c r="T37" s="196">
        <f t="shared" si="82"/>
        <v>13140.199999999997</v>
      </c>
      <c r="U37" s="483">
        <f t="shared" si="82"/>
        <v>133.20999999999984</v>
      </c>
      <c r="V37" s="483">
        <f t="shared" si="82"/>
        <v>31649.299999999814</v>
      </c>
      <c r="W37" s="483">
        <f t="shared" si="82"/>
        <v>2799.3999999999992</v>
      </c>
      <c r="X37" s="196">
        <f t="shared" si="82"/>
        <v>31649.299999999814</v>
      </c>
      <c r="Y37" s="196">
        <f t="shared" si="82"/>
        <v>1632.6999999999998</v>
      </c>
      <c r="Z37" s="196">
        <f t="shared" si="82"/>
        <v>5134.6000000000004</v>
      </c>
      <c r="AA37" s="502">
        <f>SUM(R37:V37)</f>
        <v>53726.609999999855</v>
      </c>
      <c r="AB37" s="196">
        <f t="shared" ref="AB37:AZ37" si="83">SUM(AB6:AB36)</f>
        <v>2873</v>
      </c>
      <c r="AC37" s="196">
        <f t="shared" si="83"/>
        <v>882</v>
      </c>
      <c r="AD37" s="502">
        <f t="shared" si="83"/>
        <v>7471</v>
      </c>
      <c r="AE37" s="502">
        <f>SUM(AE6:AE36)</f>
        <v>3716</v>
      </c>
      <c r="AF37" s="196">
        <f>SUM(AF6:AF36)</f>
        <v>2601</v>
      </c>
      <c r="AG37" s="196">
        <f>SUM(AG6:AG36)</f>
        <v>2729.1999999999971</v>
      </c>
      <c r="AH37" s="502">
        <f t="shared" si="83"/>
        <v>7412</v>
      </c>
      <c r="AI37" s="502">
        <f t="shared" si="83"/>
        <v>2081.8000000000029</v>
      </c>
      <c r="AJ37" s="196">
        <f t="shared" si="83"/>
        <v>4040</v>
      </c>
      <c r="AK37" s="196">
        <f t="shared" si="83"/>
        <v>701</v>
      </c>
      <c r="AL37" s="502">
        <f t="shared" si="83"/>
        <v>8210</v>
      </c>
      <c r="AM37" s="502">
        <f t="shared" si="83"/>
        <v>3469</v>
      </c>
      <c r="AN37" s="196">
        <f t="shared" si="83"/>
        <v>340.39999999999418</v>
      </c>
      <c r="AO37" s="502">
        <f t="shared" si="83"/>
        <v>1140.9999999999927</v>
      </c>
      <c r="AP37" s="196">
        <f>SUM(AP6:AP36)</f>
        <v>1026.2000000000116</v>
      </c>
      <c r="AQ37" s="502">
        <f t="shared" si="83"/>
        <v>1458.9000000000233</v>
      </c>
      <c r="AR37" s="196">
        <f t="shared" si="83"/>
        <v>2443.0202000000004</v>
      </c>
      <c r="AS37" s="502">
        <f t="shared" si="83"/>
        <v>3372.8121999999994</v>
      </c>
      <c r="AT37" s="502">
        <f t="shared" si="83"/>
        <v>25851.8122</v>
      </c>
      <c r="AU37" s="204">
        <f t="shared" si="83"/>
        <v>14284</v>
      </c>
      <c r="AV37" s="502">
        <f t="shared" si="83"/>
        <v>832</v>
      </c>
      <c r="AW37" s="365">
        <f>SUM(AW6:AW36)</f>
        <v>8195</v>
      </c>
      <c r="AX37" s="502">
        <f t="shared" si="83"/>
        <v>970</v>
      </c>
      <c r="AY37" s="502">
        <f t="shared" si="83"/>
        <v>0</v>
      </c>
      <c r="AZ37" s="196">
        <f t="shared" si="83"/>
        <v>11485</v>
      </c>
      <c r="BA37" s="483">
        <f>SUM(BA6:BA36)</f>
        <v>1885</v>
      </c>
      <c r="BB37" s="483">
        <f>SUM(BB6:BB35)</f>
        <v>4187.6000000000058</v>
      </c>
      <c r="BC37" s="483">
        <f t="shared" ref="BC37:BJ37" si="84">SUM(BC6:BC36)</f>
        <v>25085.100000000093</v>
      </c>
      <c r="BD37" s="483">
        <f t="shared" si="84"/>
        <v>6930</v>
      </c>
      <c r="BE37" s="196">
        <f t="shared" si="84"/>
        <v>0</v>
      </c>
      <c r="BF37" s="196">
        <f t="shared" si="84"/>
        <v>0</v>
      </c>
      <c r="BG37" s="502">
        <f t="shared" si="84"/>
        <v>47885.000000000087</v>
      </c>
      <c r="BH37" s="502">
        <f t="shared" si="84"/>
        <v>75377.760000000009</v>
      </c>
      <c r="BI37" s="196">
        <f t="shared" si="84"/>
        <v>-26018.32219999997</v>
      </c>
      <c r="BJ37" s="196">
        <f t="shared" si="84"/>
        <v>154958.3222</v>
      </c>
      <c r="BK37" s="205"/>
      <c r="BL37" s="196">
        <f>SUM(BL6:BL36)</f>
        <v>204317.75999999998</v>
      </c>
      <c r="BM37" s="196">
        <f>BM36</f>
        <v>204317.75999999998</v>
      </c>
      <c r="BN37" s="205"/>
      <c r="BO37" s="94">
        <f>IF($N37&lt;&gt;0,IF($N37&lt;&gt;0,R37/$N37*10,0)," ")</f>
        <v>0.12003897843634474</v>
      </c>
      <c r="BP37" s="206">
        <f>S37/$N$37/0.1</f>
        <v>2.8237530515956153E-2</v>
      </c>
      <c r="BQ37" s="94">
        <f>IF($N37&lt;&gt;0,IF($N37&lt;&gt;0,T37/$N37*10,0)," ")</f>
        <v>0.22130907699258437</v>
      </c>
      <c r="BR37" s="94">
        <f>IF($N37&lt;&gt;0,IF($N37&lt;&gt;0,(V37)/$N37*10,0)," ")</f>
        <v>0.53304191492225084</v>
      </c>
      <c r="BS37" s="206">
        <f>IF($N37&lt;&gt;0,IF($N37&lt;&gt;0,Y37/$N37*10,0)," ")</f>
        <v>2.7498160606824293E-2</v>
      </c>
      <c r="BT37" s="206">
        <f>IF($N37&lt;&gt;0,IF($N37&lt;&gt;0,Z37/$N37*10,0)," ")</f>
        <v>8.6477647731855234E-2</v>
      </c>
      <c r="BU37" s="207">
        <f>IF($N37&lt;&gt;0,IF($N37&lt;&gt;0,AA37/$N37*10,0)," ")</f>
        <v>0.90487104222466352</v>
      </c>
      <c r="BV37" s="206">
        <f>R37/$O$37/0.1</f>
        <v>0.10146018261093363</v>
      </c>
      <c r="BW37" s="206">
        <f>S37/$O$37/0.1</f>
        <v>2.3867122495964843E-2</v>
      </c>
      <c r="BX37" s="206">
        <f>(T37+U37)/$O$37/0.1</f>
        <v>0.18895270333363032</v>
      </c>
      <c r="BY37" s="206">
        <f>(V37)/$O$37/0.1</f>
        <v>0.45054140523174024</v>
      </c>
      <c r="BZ37" s="198">
        <f>AA37/$O$37/0.1</f>
        <v>0.76482141367226897</v>
      </c>
      <c r="CA37" s="208" t="e">
        <f>#REF!</f>
        <v>#REF!</v>
      </c>
      <c r="CB37" s="209">
        <f>IF($O37&lt;&gt;0,IF($O37&lt;&gt;0,AR37/$O37*10,0)," ")</f>
        <v>3.4777443858712002E-2</v>
      </c>
      <c r="CC37" s="210">
        <f>IF($O37&lt;&gt;0,IF($O37&lt;&gt;0,AS37/$O37*10,0)," ")</f>
        <v>4.8013433098702533E-2</v>
      </c>
      <c r="CD37" s="211">
        <f>IFERROR(AR37*10/($I37+$J37),"")</f>
        <v>0.11240285859960616</v>
      </c>
      <c r="CE37" s="212">
        <f>IFERROR(AS37*10/(($I37+$J37)),"")</f>
        <v>0.15518239791861993</v>
      </c>
      <c r="CF37" s="206">
        <f>AB37/$D$37/0.1</f>
        <v>0.36036158076439301</v>
      </c>
      <c r="CG37" s="206">
        <f>AC37/$D$37/0.1</f>
        <v>0.11062962556010951</v>
      </c>
      <c r="CH37" s="198">
        <f>AD37/$D$37/0.1</f>
        <v>0.93709062648478247</v>
      </c>
      <c r="CI37" s="208" t="e">
        <f>#REF!</f>
        <v>#REF!</v>
      </c>
      <c r="CJ37" s="206">
        <f>AF37/$E$37/0.1</f>
        <v>0.23378623686671435</v>
      </c>
      <c r="CK37" s="206">
        <f>AG37/$E$37/0.1</f>
        <v>0.24530926476610385</v>
      </c>
      <c r="CL37" s="198">
        <f>AH37/$E$37/0.1</f>
        <v>0.66621437433913366</v>
      </c>
      <c r="CM37" s="95" t="e">
        <f>#REF!</f>
        <v>#REF!</v>
      </c>
      <c r="CN37" s="206">
        <f>AJ37/$F$37/0.1</f>
        <v>0.61821841938321642</v>
      </c>
      <c r="CO37" s="206">
        <f>AK37/$F$37/0.1</f>
        <v>0.10727007722466206</v>
      </c>
      <c r="CP37" s="198">
        <f>AL37/$F$37/0.1</f>
        <v>1.2563300057267839</v>
      </c>
      <c r="CQ37" s="213" t="e">
        <f>#REF!</f>
        <v>#REF!</v>
      </c>
      <c r="CR37" s="214">
        <f>AN37/$G$37/0.1</f>
        <v>2.8198763707879142E-2</v>
      </c>
      <c r="CS37" s="198">
        <f>AO37/$G$37/0.1</f>
        <v>9.4520532875118815E-2</v>
      </c>
      <c r="CT37" s="208" t="e">
        <f>#REF!</f>
        <v>#REF!</v>
      </c>
      <c r="CU37" s="214">
        <f>AP37/$H$37/0.1</f>
        <v>4.7354860271991227E-2</v>
      </c>
      <c r="CV37" s="198">
        <f>AQ37/$H$37/0.1</f>
        <v>6.7322164929651443E-2</v>
      </c>
      <c r="CW37" s="96" t="e">
        <f>#REF!</f>
        <v>#REF!</v>
      </c>
      <c r="CX37" s="99">
        <f t="shared" si="78"/>
        <v>0.20333888687365015</v>
      </c>
      <c r="CY37" s="95">
        <f t="shared" si="78"/>
        <v>1.1843878036885811E-2</v>
      </c>
      <c r="CZ37" s="99">
        <f>IF($O37&lt;&gt;0,IF($O37&lt;&gt;0,AW37/$O37*10,0)," ")</f>
        <v>0.11665935157725868</v>
      </c>
      <c r="DA37" s="198">
        <f>IF($O37&lt;&gt;0,IF($O37&lt;&gt;0,AX37/$O37*10,0)," ")</f>
        <v>1.3808367422811581E-2</v>
      </c>
      <c r="DB37" s="206">
        <f>AZ37/$O$37/0.1</f>
        <v>0.16349391737215566</v>
      </c>
      <c r="DC37" s="206">
        <f t="shared" ref="DC37:DH37" si="85">BB37/$O$37/0.1</f>
        <v>5.9612288061614289E-2</v>
      </c>
      <c r="DD37" s="215">
        <f t="shared" si="85"/>
        <v>0.35709719344120833</v>
      </c>
      <c r="DE37" s="215">
        <f t="shared" si="85"/>
        <v>9.865153220627243E-2</v>
      </c>
      <c r="DF37" s="215">
        <f t="shared" si="85"/>
        <v>0</v>
      </c>
      <c r="DG37" s="215">
        <f t="shared" si="85"/>
        <v>0</v>
      </c>
      <c r="DH37" s="216">
        <f t="shared" si="85"/>
        <v>0.681663581485911</v>
      </c>
      <c r="DI37" s="217" t="e">
        <f>#REF!</f>
        <v>#REF!</v>
      </c>
      <c r="DJ37" s="216">
        <f>BH37/$O$37/0.1</f>
        <v>1.0730348511221752</v>
      </c>
      <c r="DK37" s="217" t="e">
        <f>#REF!</f>
        <v>#REF!</v>
      </c>
      <c r="DL37" s="213">
        <f>BI37/$O$37/0.1</f>
        <v>-0.37038201305432467</v>
      </c>
      <c r="DM37" s="96">
        <f t="shared" si="16"/>
        <v>0</v>
      </c>
      <c r="DN37" s="206">
        <f>BJ37/$O$37/0.1</f>
        <v>2.2058984001649695</v>
      </c>
      <c r="DO37" s="100">
        <v>3.4</v>
      </c>
      <c r="DP37" s="206">
        <f>BL37/$O$37/0.1</f>
        <v>2.9085512382328194</v>
      </c>
      <c r="DQ37" s="218" t="str">
        <f>IF($Q37&lt;&gt;0,IF($Q37&lt;&gt;0,BM37/$Q37*10,0)," ")</f>
        <v xml:space="preserve"> </v>
      </c>
      <c r="DR37" s="101" t="e">
        <f>#REF!</f>
        <v>#REF!</v>
      </c>
      <c r="DS37" s="64"/>
      <c r="DT37" s="64"/>
      <c r="DU37" s="219"/>
      <c r="DV37" s="219"/>
      <c r="DW37" s="219"/>
      <c r="DX37" s="219"/>
      <c r="DY37" s="219"/>
      <c r="DZ37" s="219"/>
      <c r="EA37" s="219"/>
      <c r="EB37" s="545"/>
      <c r="EC37" s="219"/>
      <c r="ED37" s="219"/>
      <c r="EE37" s="219"/>
      <c r="EF37" s="219"/>
      <c r="EG37" s="219"/>
      <c r="EH37" s="219"/>
      <c r="EI37" s="219"/>
      <c r="EJ37" s="545"/>
      <c r="EK37" s="545"/>
      <c r="EL37" s="219"/>
      <c r="EM37" s="219"/>
      <c r="EN37" s="545"/>
      <c r="EO37" s="219"/>
      <c r="EP37" s="545"/>
      <c r="EQ37" s="545"/>
      <c r="ER37" s="545"/>
      <c r="ES37" s="545"/>
      <c r="ET37" s="545"/>
      <c r="EU37" s="472"/>
      <c r="EV37" s="472"/>
      <c r="EW37" s="545"/>
      <c r="EX37" s="219"/>
      <c r="EY37" s="219"/>
      <c r="EZ37" s="219"/>
      <c r="FA37" s="219"/>
      <c r="FB37" s="219"/>
      <c r="FC37" s="219"/>
      <c r="FD37" s="545"/>
      <c r="FE37" s="574" t="s">
        <v>129</v>
      </c>
      <c r="FF37" s="575"/>
      <c r="FG37" s="575"/>
      <c r="FH37" s="575"/>
      <c r="FI37" s="575"/>
      <c r="FJ37" s="575"/>
      <c r="FK37" s="575"/>
      <c r="FL37" s="575"/>
      <c r="FM37" s="576"/>
      <c r="FN37" s="545">
        <f>SUM(FN6:FN36)</f>
        <v>39672</v>
      </c>
      <c r="FO37" s="545">
        <f>FO36-FO5</f>
        <v>39672</v>
      </c>
      <c r="FP37" s="64"/>
      <c r="FQ37" s="64"/>
      <c r="FR37" s="64"/>
      <c r="FS37" s="64"/>
      <c r="FT37" s="64"/>
      <c r="FU37" s="64"/>
      <c r="FV37" s="64"/>
      <c r="FW37" s="64"/>
      <c r="FX37" s="64"/>
      <c r="FY37" s="64"/>
      <c r="FZ37" s="221">
        <f>SUM(FZ6:FZ36)</f>
        <v>38276</v>
      </c>
      <c r="GA37" s="221">
        <f t="shared" ref="GA37:GI37" si="86">SUM(GA6:GA36)</f>
        <v>6040</v>
      </c>
      <c r="GB37" s="221">
        <f t="shared" si="86"/>
        <v>6.4779304812053722</v>
      </c>
      <c r="GC37" s="221">
        <f t="shared" si="86"/>
        <v>0</v>
      </c>
      <c r="GD37" s="221">
        <f t="shared" si="86"/>
        <v>0</v>
      </c>
      <c r="GE37" s="221">
        <f t="shared" si="86"/>
        <v>0</v>
      </c>
      <c r="GF37" s="221">
        <f t="shared" si="86"/>
        <v>0</v>
      </c>
      <c r="GG37" s="221">
        <f t="shared" si="86"/>
        <v>0</v>
      </c>
      <c r="GH37" s="221">
        <f t="shared" si="86"/>
        <v>0</v>
      </c>
      <c r="GI37" s="221">
        <f t="shared" si="86"/>
        <v>0</v>
      </c>
      <c r="GJ37" s="111">
        <f t="shared" si="60"/>
        <v>464.96331023292277</v>
      </c>
      <c r="GK37" s="222"/>
    </row>
    <row r="38" spans="1:193" s="10" customFormat="1">
      <c r="A38" s="64"/>
      <c r="B38" s="351"/>
      <c r="C38" s="64"/>
      <c r="D38" s="478">
        <v>79725.48000000001</v>
      </c>
      <c r="E38" s="478">
        <v>111255.48</v>
      </c>
      <c r="F38" s="479">
        <v>65349.071999999993</v>
      </c>
      <c r="G38" s="479">
        <v>120714.51200000002</v>
      </c>
      <c r="H38" s="478">
        <v>216704.74999999997</v>
      </c>
      <c r="I38" s="478">
        <v>57981.335999999996</v>
      </c>
      <c r="J38" s="478">
        <v>159364.00799999997</v>
      </c>
      <c r="K38" s="478">
        <v>138.67300000000003</v>
      </c>
      <c r="L38" s="478">
        <v>3784.386</v>
      </c>
      <c r="M38" s="480"/>
      <c r="N38" s="481"/>
      <c r="O38" s="227"/>
      <c r="P38" s="102"/>
      <c r="Q38" s="64"/>
      <c r="R38" s="228"/>
      <c r="S38" s="228"/>
      <c r="T38" s="228"/>
      <c r="U38" s="228"/>
      <c r="V38" s="229"/>
      <c r="W38" s="229"/>
      <c r="X38" s="229"/>
      <c r="Y38" s="229"/>
      <c r="Z38" s="229"/>
      <c r="AA38" s="230"/>
      <c r="AB38" s="152"/>
      <c r="AC38" s="152"/>
      <c r="AD38" s="153"/>
      <c r="AE38" s="231"/>
      <c r="AF38" s="152"/>
      <c r="AG38" s="152"/>
      <c r="AH38" s="152"/>
      <c r="AI38" s="231"/>
      <c r="AJ38" s="152"/>
      <c r="AK38" s="152"/>
      <c r="AL38" s="152"/>
      <c r="AM38" s="231"/>
      <c r="AN38" s="152"/>
      <c r="AO38" s="231"/>
      <c r="AP38" s="152"/>
      <c r="AQ38" s="231"/>
      <c r="AR38" s="232"/>
      <c r="AS38" s="230"/>
      <c r="AT38" s="230"/>
      <c r="AU38" s="232"/>
      <c r="AV38" s="152"/>
      <c r="AW38" s="232"/>
      <c r="AX38" s="152"/>
      <c r="AY38" s="152"/>
      <c r="AZ38" s="152"/>
      <c r="BA38" s="152"/>
      <c r="BB38" s="152"/>
      <c r="BC38" s="395"/>
      <c r="BD38" s="228"/>
      <c r="BE38" s="228"/>
      <c r="BF38" s="228"/>
      <c r="BG38" s="152"/>
      <c r="BH38" s="152"/>
      <c r="BI38" s="233"/>
      <c r="BJ38" s="233"/>
      <c r="BK38" s="234"/>
      <c r="BL38" s="235"/>
      <c r="BM38" s="233"/>
      <c r="BN38" s="234"/>
      <c r="BO38" s="178"/>
      <c r="BP38" s="178"/>
      <c r="BQ38" s="178"/>
      <c r="BR38" s="178"/>
      <c r="BS38" s="178"/>
      <c r="BT38" s="178"/>
      <c r="BU38" s="178"/>
      <c r="BV38" s="178"/>
      <c r="BW38" s="178"/>
      <c r="BX38" s="178"/>
      <c r="BY38" s="178"/>
      <c r="BZ38" s="64"/>
      <c r="CA38" s="236"/>
      <c r="CB38" s="236"/>
      <c r="CC38" s="236"/>
      <c r="CD38" s="236"/>
      <c r="CE38" s="236"/>
      <c r="CF38" s="237"/>
      <c r="CG38" s="237"/>
      <c r="CH38" s="64"/>
      <c r="CI38" s="236"/>
      <c r="CJ38" s="236"/>
      <c r="CK38" s="236"/>
      <c r="CL38" s="236"/>
      <c r="CM38" s="236"/>
      <c r="CN38" s="236"/>
      <c r="CO38" s="236"/>
      <c r="CP38" s="236"/>
      <c r="CQ38" s="236"/>
      <c r="CR38" s="64"/>
      <c r="CS38" s="238"/>
      <c r="CT38" s="236"/>
      <c r="CU38" s="236"/>
      <c r="CV38" s="239"/>
      <c r="CW38" s="236"/>
      <c r="CX38" s="236"/>
      <c r="CY38" s="236"/>
      <c r="CZ38" s="236"/>
      <c r="DA38" s="236"/>
      <c r="DB38" s="64"/>
      <c r="DC38" s="64"/>
      <c r="DD38" s="64"/>
      <c r="DE38" s="64"/>
      <c r="DF38" s="64"/>
      <c r="DG38" s="64"/>
      <c r="DH38" s="240"/>
      <c r="DI38" s="236"/>
      <c r="DJ38" s="241"/>
      <c r="DK38" s="242"/>
      <c r="DL38" s="243"/>
      <c r="DM38" s="242"/>
      <c r="DN38" s="64"/>
      <c r="DO38" s="100"/>
      <c r="DP38" s="240"/>
      <c r="DQ38" s="244"/>
      <c r="DR38" s="245"/>
      <c r="DS38" s="64"/>
      <c r="DT38" s="64"/>
      <c r="DU38" s="246"/>
      <c r="DV38" s="246"/>
      <c r="DW38" s="246"/>
      <c r="DX38" s="219"/>
      <c r="DY38" s="219"/>
      <c r="DZ38" s="219"/>
      <c r="EA38" s="246"/>
      <c r="EB38" s="246"/>
      <c r="EC38" s="9"/>
      <c r="ED38" s="9"/>
      <c r="EE38" s="246"/>
      <c r="EF38" s="246"/>
      <c r="EG38" s="9"/>
      <c r="EH38" s="9"/>
      <c r="EI38" s="9"/>
      <c r="EJ38" s="64"/>
      <c r="EK38" s="64"/>
      <c r="EL38" s="460"/>
      <c r="EM38" s="9"/>
      <c r="EN38" s="64"/>
      <c r="EO38" s="9"/>
      <c r="EP38" s="545"/>
      <c r="EQ38" s="64"/>
      <c r="ER38" s="64"/>
      <c r="ES38" s="247"/>
      <c r="ET38" s="175"/>
      <c r="EU38" s="545"/>
      <c r="EV38" s="545"/>
      <c r="EW38" s="246"/>
      <c r="EX38" s="64"/>
      <c r="EY38" s="64"/>
      <c r="EZ38" s="64"/>
      <c r="FA38" s="64"/>
      <c r="FB38" s="64"/>
      <c r="FC38" s="454"/>
      <c r="FD38" s="542" t="s">
        <v>53</v>
      </c>
      <c r="FE38" s="267">
        <v>473361</v>
      </c>
      <c r="FF38" s="303"/>
      <c r="FG38" s="371">
        <v>990488</v>
      </c>
      <c r="FH38" s="303"/>
      <c r="FI38" s="303"/>
      <c r="FJ38" s="136">
        <v>0</v>
      </c>
      <c r="FK38" s="303"/>
      <c r="FL38" s="303"/>
      <c r="FM38" s="303"/>
      <c r="FN38" s="152"/>
      <c r="FO38" s="152"/>
      <c r="FP38" s="545"/>
      <c r="FQ38" s="9"/>
      <c r="FR38" s="64"/>
      <c r="FS38" s="64"/>
      <c r="FT38" s="64"/>
      <c r="FU38" s="64"/>
      <c r="FV38" s="64"/>
      <c r="FW38" s="64"/>
      <c r="FX38" s="64"/>
      <c r="FY38" s="64"/>
      <c r="FZ38" s="9"/>
      <c r="GA38" s="64"/>
      <c r="GB38" s="64"/>
      <c r="GC38" s="64"/>
      <c r="GD38" s="64"/>
      <c r="GE38" s="64"/>
      <c r="GF38" s="64"/>
      <c r="GG38" s="64"/>
      <c r="GH38" s="64"/>
      <c r="GI38" s="64"/>
      <c r="GJ38" s="64"/>
    </row>
    <row r="39" spans="1:193" s="10" customFormat="1">
      <c r="A39" s="64"/>
      <c r="B39" s="64"/>
      <c r="C39" s="64"/>
      <c r="D39" s="482"/>
      <c r="E39" s="482"/>
      <c r="F39" s="482"/>
      <c r="G39" s="482"/>
      <c r="H39" s="482"/>
      <c r="I39" s="482"/>
      <c r="J39" s="482"/>
      <c r="K39" s="482"/>
      <c r="L39" s="482"/>
      <c r="M39" s="254"/>
      <c r="N39" s="481"/>
      <c r="O39" s="256"/>
      <c r="P39" s="257"/>
      <c r="Q39" s="64"/>
      <c r="R39" s="258"/>
      <c r="S39" s="258"/>
      <c r="T39" s="258"/>
      <c r="U39" s="258"/>
      <c r="V39" s="258"/>
      <c r="W39" s="258"/>
      <c r="X39" s="258"/>
      <c r="Y39" s="258"/>
      <c r="Z39" s="258"/>
      <c r="AA39" s="258"/>
      <c r="AB39" s="152"/>
      <c r="AD39" s="231"/>
      <c r="AE39" s="152"/>
      <c r="AF39" s="152"/>
      <c r="AG39" s="152"/>
      <c r="AH39" s="152"/>
      <c r="AI39" s="152"/>
      <c r="AJ39" s="152"/>
      <c r="AK39" s="152"/>
      <c r="AL39" s="152"/>
      <c r="AM39" s="152"/>
      <c r="AN39" s="152"/>
      <c r="AO39" s="152"/>
      <c r="AP39" s="152"/>
      <c r="AQ39" s="152"/>
      <c r="AR39" s="258"/>
      <c r="AS39" s="258"/>
      <c r="AT39" s="258"/>
      <c r="AU39" s="258"/>
      <c r="AV39" s="152"/>
      <c r="AW39" s="258"/>
      <c r="AX39" s="152"/>
      <c r="AY39" s="152"/>
      <c r="AZ39" s="152"/>
      <c r="BA39" s="152"/>
      <c r="BB39" s="152"/>
      <c r="BC39" s="231"/>
      <c r="BD39" s="231"/>
      <c r="BE39" s="231"/>
      <c r="BF39" s="231"/>
      <c r="BG39" s="152"/>
      <c r="BH39" s="231"/>
      <c r="BI39" s="116"/>
      <c r="BJ39" s="116"/>
      <c r="BK39" s="259"/>
      <c r="BL39" s="260"/>
      <c r="BM39" s="165"/>
      <c r="BN39" s="259"/>
      <c r="BO39" s="64"/>
      <c r="BP39" s="64"/>
      <c r="BQ39" s="64"/>
      <c r="BR39" s="116"/>
      <c r="BS39" s="116"/>
      <c r="BT39" s="116"/>
      <c r="BU39" s="116"/>
      <c r="BV39" s="64"/>
      <c r="BW39" s="64"/>
      <c r="BX39" s="64"/>
      <c r="BY39" s="116"/>
      <c r="BZ39" s="243"/>
      <c r="CA39" s="243"/>
      <c r="CB39" s="243"/>
      <c r="CC39" s="243"/>
      <c r="CD39" s="243"/>
      <c r="CE39" s="243"/>
      <c r="CF39" s="454"/>
      <c r="CG39" s="237"/>
      <c r="CH39" s="243"/>
      <c r="CI39" s="243"/>
      <c r="CJ39" s="243"/>
      <c r="CK39" s="243"/>
      <c r="CL39" s="243"/>
      <c r="CM39" s="243"/>
      <c r="CN39" s="243"/>
      <c r="CO39" s="243"/>
      <c r="CP39" s="243"/>
      <c r="CQ39" s="243"/>
      <c r="CR39" s="243"/>
      <c r="CS39" s="243"/>
      <c r="CT39" s="243"/>
      <c r="CU39" s="243"/>
      <c r="CV39" s="243"/>
      <c r="CW39" s="243"/>
      <c r="CX39" s="243"/>
      <c r="CY39" s="116"/>
      <c r="CZ39" s="243"/>
      <c r="DA39" s="243"/>
      <c r="DB39" s="243"/>
      <c r="DC39" s="243"/>
      <c r="DD39" s="116"/>
      <c r="DE39" s="116"/>
      <c r="DF39" s="116"/>
      <c r="DG39" s="116"/>
      <c r="DH39" s="243"/>
      <c r="DI39" s="243"/>
      <c r="DJ39" s="64"/>
      <c r="DK39" s="64"/>
      <c r="DL39" s="74"/>
      <c r="DM39" s="64"/>
      <c r="DN39" s="74"/>
      <c r="DO39" s="261"/>
      <c r="DP39" s="262"/>
      <c r="DQ39" s="263"/>
      <c r="DR39" s="244"/>
      <c r="DS39" s="64"/>
      <c r="DT39" s="64"/>
      <c r="DU39" s="246"/>
      <c r="DV39" s="246"/>
      <c r="DW39" s="246"/>
      <c r="DX39" s="219"/>
      <c r="DY39" s="219"/>
      <c r="DZ39" s="219"/>
      <c r="EA39" s="246"/>
      <c r="EB39" s="246"/>
      <c r="EC39" s="9"/>
      <c r="ED39" s="9"/>
      <c r="EE39" s="246"/>
      <c r="EF39" s="246"/>
      <c r="EG39" s="9"/>
      <c r="EH39" s="9"/>
      <c r="EI39" s="9"/>
      <c r="EJ39" s="64"/>
      <c r="EK39" s="64"/>
      <c r="EL39" s="9"/>
      <c r="EM39" s="9"/>
      <c r="EN39" s="64"/>
      <c r="EO39" s="9"/>
      <c r="EP39" s="545"/>
      <c r="EQ39" s="64"/>
      <c r="ER39" s="64"/>
      <c r="ES39" s="257"/>
      <c r="ET39" s="366"/>
      <c r="EU39" s="64"/>
      <c r="EV39" s="64"/>
      <c r="EW39" s="246"/>
      <c r="EX39" s="64"/>
      <c r="EY39" s="64"/>
      <c r="EZ39" s="64"/>
      <c r="FA39" s="64"/>
      <c r="FB39" s="64"/>
      <c r="FC39" s="152"/>
      <c r="FD39" s="542">
        <v>1</v>
      </c>
      <c r="FE39" s="136">
        <v>473889</v>
      </c>
      <c r="FF39" s="108"/>
      <c r="FG39" s="549">
        <v>990965</v>
      </c>
      <c r="FH39" s="108"/>
      <c r="FI39" s="108"/>
      <c r="FJ39" s="136">
        <v>0</v>
      </c>
      <c r="FK39" s="108"/>
      <c r="FL39" s="108"/>
      <c r="FM39" s="108"/>
      <c r="FN39" s="492"/>
      <c r="FO39" s="152"/>
      <c r="FP39" s="465"/>
      <c r="FQ39" s="9"/>
      <c r="FR39" s="9"/>
      <c r="FS39" s="9"/>
      <c r="FT39" s="9"/>
      <c r="FU39" s="9"/>
      <c r="FV39" s="9"/>
      <c r="FW39" s="9"/>
      <c r="FX39" s="9"/>
      <c r="FY39" s="9"/>
      <c r="FZ39" s="246"/>
      <c r="GA39" s="64"/>
      <c r="GB39" s="64"/>
      <c r="GC39" s="64"/>
      <c r="GD39" s="64"/>
      <c r="GE39" s="64"/>
      <c r="GF39" s="64"/>
      <c r="GG39" s="64"/>
      <c r="GH39" s="64"/>
      <c r="GI39" s="64"/>
      <c r="GJ39" s="64"/>
    </row>
    <row r="40" spans="1:193">
      <c r="D40" s="524">
        <f>D38-D37</f>
        <v>0</v>
      </c>
      <c r="E40" s="524">
        <f t="shared" ref="E40:L40" si="87">E38-E37</f>
        <v>0</v>
      </c>
      <c r="F40" s="524">
        <f t="shared" si="87"/>
        <v>0</v>
      </c>
      <c r="G40" s="524">
        <f t="shared" si="87"/>
        <v>0</v>
      </c>
      <c r="H40" s="524">
        <f t="shared" si="87"/>
        <v>0.48900000000139698</v>
      </c>
      <c r="I40" s="524">
        <f t="shared" si="87"/>
        <v>0</v>
      </c>
      <c r="J40" s="524">
        <f t="shared" si="87"/>
        <v>0.31999999997788109</v>
      </c>
      <c r="K40" s="524">
        <f t="shared" si="87"/>
        <v>0</v>
      </c>
      <c r="L40" s="524">
        <f t="shared" si="87"/>
        <v>0.42999999999938154</v>
      </c>
      <c r="M40" s="152"/>
      <c r="N40" s="454"/>
      <c r="O40" s="454"/>
      <c r="P40" s="557"/>
      <c r="R40" s="260"/>
      <c r="AB40" s="152"/>
      <c r="BA40" s="454"/>
      <c r="FC40" s="545"/>
      <c r="FD40" s="542">
        <v>2</v>
      </c>
      <c r="FE40" s="551"/>
      <c r="FF40" s="551"/>
      <c r="FG40" s="491">
        <v>991576</v>
      </c>
      <c r="FH40" s="551"/>
      <c r="FI40" s="551"/>
      <c r="FJ40" s="136">
        <v>0</v>
      </c>
      <c r="FK40" s="551"/>
      <c r="FL40" s="551"/>
      <c r="FM40" s="551"/>
      <c r="FN40" s="492"/>
      <c r="FO40" s="152"/>
    </row>
    <row r="41" spans="1:193">
      <c r="B41" s="545"/>
      <c r="D41" s="396"/>
      <c r="E41" s="396"/>
      <c r="F41" s="500"/>
      <c r="G41" s="500"/>
      <c r="H41" s="454"/>
      <c r="I41" s="454"/>
      <c r="J41" s="454"/>
      <c r="K41" s="454"/>
      <c r="L41" s="454"/>
      <c r="M41" s="152"/>
      <c r="N41" s="454"/>
      <c r="O41" s="454"/>
      <c r="BA41" s="454"/>
      <c r="CH41" s="178"/>
      <c r="CP41" s="178"/>
      <c r="FC41" s="545"/>
      <c r="FD41" s="542">
        <v>3</v>
      </c>
      <c r="FE41" s="552"/>
      <c r="FF41" s="552"/>
      <c r="FG41" s="136">
        <v>992357</v>
      </c>
      <c r="FH41" s="552"/>
      <c r="FI41" s="552"/>
      <c r="FJ41" s="136">
        <v>0</v>
      </c>
      <c r="FK41" s="552"/>
      <c r="FL41" s="552"/>
      <c r="FM41" s="552"/>
      <c r="FN41" s="492"/>
      <c r="FO41" s="152"/>
    </row>
    <row r="42" spans="1:193">
      <c r="D42" s="396"/>
      <c r="E42" s="524"/>
      <c r="F42" s="500"/>
      <c r="G42" s="503"/>
      <c r="H42" s="396"/>
      <c r="I42" s="454"/>
      <c r="J42" s="152"/>
      <c r="K42" s="454"/>
      <c r="L42" s="454"/>
      <c r="M42" s="396"/>
      <c r="N42" s="464"/>
      <c r="O42" s="454"/>
      <c r="BV42" s="454"/>
      <c r="FC42" s="545"/>
      <c r="FD42" s="542">
        <v>4</v>
      </c>
      <c r="FE42" s="367"/>
      <c r="FF42" s="267"/>
      <c r="FG42" s="136">
        <v>992931</v>
      </c>
      <c r="FH42" s="303"/>
      <c r="FI42" s="303"/>
      <c r="FJ42" s="136">
        <v>0</v>
      </c>
      <c r="FK42" s="303"/>
      <c r="FL42" s="303"/>
      <c r="FM42" s="303"/>
      <c r="FN42" s="264"/>
      <c r="FO42" s="152"/>
    </row>
    <row r="43" spans="1:193">
      <c r="D43" s="396"/>
      <c r="E43" s="524"/>
      <c r="F43" s="500"/>
      <c r="G43" s="503"/>
      <c r="H43" s="396"/>
      <c r="I43" s="454"/>
      <c r="J43" s="152"/>
      <c r="K43" s="454"/>
      <c r="L43" s="454"/>
      <c r="M43" s="454"/>
      <c r="N43" s="464"/>
      <c r="O43" s="454"/>
      <c r="FC43" s="545"/>
      <c r="FD43" s="542">
        <v>5</v>
      </c>
      <c r="FE43" s="129"/>
      <c r="FF43" s="129"/>
      <c r="FG43" s="303">
        <v>994602</v>
      </c>
      <c r="FH43" s="136"/>
      <c r="FI43" s="136"/>
      <c r="FJ43" s="136">
        <v>0</v>
      </c>
      <c r="FK43" s="136"/>
      <c r="FL43" s="136"/>
      <c r="FM43" s="136"/>
      <c r="FN43" s="397"/>
    </row>
    <row r="44" spans="1:193">
      <c r="B44" s="545"/>
      <c r="D44" s="396"/>
      <c r="E44" s="524"/>
      <c r="F44" s="500"/>
      <c r="G44" s="503"/>
      <c r="H44" s="396"/>
      <c r="I44" s="454"/>
      <c r="J44" s="152"/>
      <c r="K44" s="454"/>
      <c r="L44" s="454"/>
      <c r="M44" s="396"/>
      <c r="N44" s="464"/>
      <c r="O44" s="454"/>
      <c r="FC44" s="545"/>
      <c r="FD44" s="542">
        <v>6</v>
      </c>
      <c r="FE44" s="129"/>
      <c r="FF44" s="129"/>
      <c r="FG44" s="136">
        <v>995241</v>
      </c>
      <c r="FH44" s="136"/>
      <c r="FI44" s="136"/>
      <c r="FJ44" s="136">
        <v>0</v>
      </c>
      <c r="FK44" s="136"/>
      <c r="FL44" s="136"/>
      <c r="FM44" s="136"/>
      <c r="FN44" s="152"/>
      <c r="FO44" s="152"/>
    </row>
    <row r="45" spans="1:193">
      <c r="B45" s="545"/>
      <c r="D45" s="396"/>
      <c r="E45" s="396"/>
      <c r="F45" s="152"/>
      <c r="G45" s="503"/>
      <c r="H45" s="396"/>
      <c r="I45" s="152"/>
      <c r="J45" s="464"/>
      <c r="K45" s="454"/>
      <c r="L45" s="152"/>
      <c r="M45" s="396"/>
      <c r="N45" s="464"/>
      <c r="O45" s="454"/>
      <c r="FC45" s="545"/>
      <c r="FD45" s="542">
        <v>7</v>
      </c>
      <c r="FE45" s="129"/>
      <c r="FF45" s="129"/>
      <c r="FG45" s="136">
        <v>996167</v>
      </c>
      <c r="FH45" s="136"/>
      <c r="FI45" s="136"/>
      <c r="FJ45" s="136">
        <v>0</v>
      </c>
      <c r="FK45" s="136"/>
      <c r="FL45" s="136"/>
      <c r="FM45" s="136"/>
      <c r="FN45" s="231"/>
    </row>
    <row r="46" spans="1:193">
      <c r="B46" s="545"/>
      <c r="D46" s="396"/>
      <c r="E46" s="396"/>
      <c r="F46" s="152"/>
      <c r="G46" s="503"/>
      <c r="H46" s="396"/>
      <c r="I46" s="152"/>
      <c r="J46" s="464"/>
      <c r="K46" s="454"/>
      <c r="L46" s="152"/>
      <c r="M46" s="396"/>
      <c r="N46" s="464"/>
      <c r="O46" s="454"/>
      <c r="FC46" s="545"/>
      <c r="FD46" s="542">
        <v>8</v>
      </c>
      <c r="FE46" s="129"/>
      <c r="FF46" s="136"/>
      <c r="FG46" s="136">
        <v>997048</v>
      </c>
      <c r="FH46" s="136"/>
      <c r="FI46" s="136"/>
      <c r="FJ46" s="136">
        <v>0</v>
      </c>
      <c r="FK46" s="136"/>
      <c r="FL46" s="136"/>
      <c r="FM46" s="136"/>
    </row>
    <row r="47" spans="1:193">
      <c r="B47" s="545"/>
      <c r="C47" s="545"/>
      <c r="D47" s="396"/>
      <c r="E47" s="396"/>
      <c r="F47" s="454"/>
      <c r="G47" s="503"/>
      <c r="H47" s="396"/>
      <c r="I47" s="454"/>
      <c r="J47" s="464"/>
      <c r="K47" s="152"/>
      <c r="L47" s="454"/>
      <c r="M47" s="396"/>
      <c r="N47" s="464"/>
      <c r="O47" s="454"/>
      <c r="FC47" s="545"/>
      <c r="FD47" s="542">
        <v>9</v>
      </c>
      <c r="FE47" s="129"/>
      <c r="FF47" s="136"/>
      <c r="FG47" s="136">
        <v>997828</v>
      </c>
      <c r="FH47" s="136"/>
      <c r="FI47" s="136"/>
      <c r="FJ47" s="136">
        <v>0</v>
      </c>
      <c r="FK47" s="136"/>
      <c r="FL47" s="136"/>
      <c r="FM47" s="136"/>
    </row>
    <row r="48" spans="1:193">
      <c r="B48" s="545"/>
      <c r="D48" s="396"/>
      <c r="E48" s="396"/>
      <c r="F48" s="454"/>
      <c r="G48" s="454"/>
      <c r="H48" s="454"/>
      <c r="I48" s="454"/>
      <c r="J48" s="464"/>
      <c r="K48" s="152"/>
      <c r="L48" s="454"/>
      <c r="M48" s="396"/>
      <c r="N48" s="464"/>
      <c r="O48" s="454"/>
      <c r="FC48" s="545"/>
      <c r="FD48" s="542">
        <v>10</v>
      </c>
      <c r="FE48" s="129"/>
      <c r="FF48" s="136"/>
      <c r="FG48" s="136">
        <v>998745</v>
      </c>
      <c r="FH48" s="136"/>
      <c r="FI48" s="136"/>
      <c r="FJ48" s="136">
        <v>0</v>
      </c>
      <c r="FK48" s="136"/>
      <c r="FL48" s="136"/>
      <c r="FM48" s="136"/>
    </row>
    <row r="49" spans="2:169">
      <c r="B49" s="545"/>
      <c r="C49" s="545"/>
      <c r="D49" s="396"/>
      <c r="E49" s="396"/>
      <c r="F49" s="454"/>
      <c r="G49" s="454"/>
      <c r="H49" s="454"/>
      <c r="I49" s="454"/>
      <c r="J49" s="464"/>
      <c r="K49" s="454"/>
      <c r="L49" s="454"/>
      <c r="M49" s="396"/>
      <c r="N49" s="464"/>
      <c r="O49" s="454"/>
      <c r="FC49" s="545"/>
      <c r="FD49" s="542">
        <v>11</v>
      </c>
      <c r="FE49" s="129"/>
      <c r="FF49" s="136"/>
      <c r="FG49" s="136">
        <v>999991</v>
      </c>
      <c r="FH49" s="136"/>
      <c r="FI49" s="136"/>
      <c r="FJ49" s="136">
        <v>0</v>
      </c>
      <c r="FK49" s="136"/>
      <c r="FL49" s="136"/>
      <c r="FM49" s="136"/>
    </row>
    <row r="50" spans="2:169">
      <c r="B50" s="545"/>
      <c r="C50" s="545"/>
      <c r="D50" s="396"/>
      <c r="E50" s="396"/>
      <c r="F50" s="454"/>
      <c r="G50" s="454"/>
      <c r="H50" s="454"/>
      <c r="I50" s="454"/>
      <c r="J50" s="464"/>
      <c r="K50" s="454"/>
      <c r="L50" s="454"/>
      <c r="M50" s="396"/>
      <c r="N50" s="464"/>
      <c r="O50" s="454"/>
      <c r="FC50" s="545"/>
      <c r="FD50" s="542">
        <v>12</v>
      </c>
      <c r="FE50" s="129"/>
      <c r="FF50" s="136"/>
      <c r="FG50" s="136">
        <v>1001256</v>
      </c>
      <c r="FH50" s="136"/>
      <c r="FI50" s="136"/>
      <c r="FJ50" s="136">
        <v>0</v>
      </c>
      <c r="FK50" s="136"/>
      <c r="FL50" s="136"/>
      <c r="FM50" s="136"/>
    </row>
    <row r="51" spans="2:169">
      <c r="B51" s="545"/>
      <c r="C51" s="545"/>
      <c r="D51" s="396"/>
      <c r="E51" s="396"/>
      <c r="F51" s="454"/>
      <c r="G51" s="454"/>
      <c r="H51" s="454"/>
      <c r="I51" s="454"/>
      <c r="J51" s="464"/>
      <c r="K51" s="454"/>
      <c r="L51" s="454"/>
      <c r="M51" s="396"/>
      <c r="N51" s="464"/>
      <c r="O51" s="454"/>
      <c r="FC51" s="545"/>
      <c r="FD51" s="542">
        <v>13</v>
      </c>
      <c r="FE51" s="129"/>
      <c r="FF51" s="144"/>
      <c r="FG51" s="136">
        <v>1002493</v>
      </c>
      <c r="FH51" s="136"/>
      <c r="FI51" s="136"/>
      <c r="FJ51" s="136">
        <v>0</v>
      </c>
      <c r="FK51" s="136"/>
      <c r="FL51" s="136"/>
      <c r="FM51" s="136"/>
    </row>
    <row r="52" spans="2:169">
      <c r="B52" s="545"/>
      <c r="C52" s="545"/>
      <c r="D52" s="396"/>
      <c r="E52" s="396"/>
      <c r="F52" s="454"/>
      <c r="G52" s="454"/>
      <c r="H52" s="454"/>
      <c r="I52" s="454"/>
      <c r="J52" s="464"/>
      <c r="K52" s="463"/>
      <c r="L52" s="454"/>
      <c r="M52" s="454"/>
      <c r="N52" s="454"/>
      <c r="O52" s="454"/>
      <c r="FC52" s="545"/>
      <c r="FD52" s="542">
        <v>14</v>
      </c>
      <c r="FE52" s="136"/>
      <c r="FF52" s="456"/>
      <c r="FG52" s="455">
        <v>1003744</v>
      </c>
      <c r="FH52" s="136"/>
      <c r="FI52" s="136"/>
      <c r="FJ52" s="136">
        <v>0</v>
      </c>
      <c r="FK52" s="136"/>
      <c r="FL52" s="136"/>
      <c r="FM52" s="136"/>
    </row>
    <row r="53" spans="2:169">
      <c r="C53" s="545"/>
      <c r="D53" s="454"/>
      <c r="E53" s="454"/>
      <c r="F53" s="454"/>
      <c r="G53" s="454"/>
      <c r="H53" s="454"/>
      <c r="I53" s="454"/>
      <c r="J53" s="464"/>
      <c r="K53" s="454"/>
      <c r="L53" s="454"/>
      <c r="M53" s="454"/>
      <c r="N53" s="454"/>
      <c r="O53" s="454"/>
      <c r="FC53" s="545"/>
      <c r="FD53" s="542">
        <v>15</v>
      </c>
      <c r="FE53" s="144"/>
      <c r="FF53" s="456"/>
      <c r="FG53" s="136">
        <v>1004867</v>
      </c>
      <c r="FH53" s="136"/>
      <c r="FI53" s="136"/>
      <c r="FJ53" s="455">
        <v>0</v>
      </c>
      <c r="FK53" s="455"/>
      <c r="FL53" s="136"/>
      <c r="FM53" s="455"/>
    </row>
    <row r="54" spans="2:169">
      <c r="B54" s="545"/>
      <c r="C54" s="545"/>
      <c r="D54" s="454"/>
      <c r="E54" s="454"/>
      <c r="F54" s="454"/>
      <c r="G54" s="454"/>
      <c r="H54" s="454"/>
      <c r="I54" s="454"/>
      <c r="J54" s="464"/>
      <c r="K54" s="454"/>
      <c r="L54" s="454"/>
      <c r="M54" s="454"/>
      <c r="N54" s="454"/>
      <c r="O54" s="454"/>
      <c r="FC54" s="545"/>
      <c r="FD54" s="542">
        <v>16</v>
      </c>
      <c r="FE54" s="455"/>
      <c r="FF54" s="456"/>
      <c r="FG54" s="136">
        <v>1005864</v>
      </c>
      <c r="FH54" s="136"/>
      <c r="FI54" s="136"/>
      <c r="FJ54" s="455">
        <v>0</v>
      </c>
      <c r="FK54" s="455"/>
      <c r="FL54" s="136"/>
      <c r="FM54" s="455"/>
    </row>
    <row r="55" spans="2:169">
      <c r="B55" s="545"/>
      <c r="C55" s="545"/>
      <c r="D55" s="454"/>
      <c r="E55" s="454"/>
      <c r="F55" s="454"/>
      <c r="G55" s="454"/>
      <c r="H55" s="454"/>
      <c r="I55" s="454"/>
      <c r="J55" s="454"/>
      <c r="K55" s="454"/>
      <c r="L55" s="454"/>
      <c r="M55" s="454"/>
      <c r="N55" s="454"/>
      <c r="O55" s="454"/>
      <c r="FC55" s="545"/>
      <c r="FD55" s="542">
        <v>17</v>
      </c>
      <c r="FE55" s="456"/>
      <c r="FF55" s="456"/>
      <c r="FG55" s="136">
        <v>1007006</v>
      </c>
      <c r="FH55" s="136"/>
      <c r="FI55" s="136"/>
      <c r="FJ55" s="136">
        <v>0</v>
      </c>
      <c r="FK55" s="456"/>
      <c r="FL55" s="136"/>
      <c r="FM55" s="136"/>
    </row>
    <row r="56" spans="2:169">
      <c r="B56" s="545"/>
      <c r="C56" s="545"/>
      <c r="D56" s="454"/>
      <c r="E56" s="454"/>
      <c r="F56" s="454"/>
      <c r="G56" s="454"/>
      <c r="H56" s="454"/>
      <c r="I56" s="454"/>
      <c r="J56" s="454"/>
      <c r="K56" s="454"/>
      <c r="L56" s="454"/>
      <c r="M56" s="454"/>
      <c r="N56" s="454"/>
      <c r="O56" s="454"/>
      <c r="FC56" s="545"/>
      <c r="FD56" s="542">
        <v>18</v>
      </c>
      <c r="FE56" s="513"/>
      <c r="FF56" s="267"/>
      <c r="FG56" s="136">
        <v>1007511</v>
      </c>
      <c r="FH56" s="267"/>
      <c r="FI56" s="267"/>
      <c r="FJ56" s="303">
        <v>0</v>
      </c>
      <c r="FK56" s="267"/>
      <c r="FL56" s="267"/>
      <c r="FM56" s="267"/>
    </row>
    <row r="57" spans="2:169">
      <c r="B57" s="545"/>
      <c r="C57" s="545"/>
      <c r="D57" s="454"/>
      <c r="E57" s="454"/>
      <c r="F57" s="454"/>
      <c r="G57" s="454"/>
      <c r="H57" s="454"/>
      <c r="I57" s="454"/>
      <c r="J57" s="454"/>
      <c r="K57" s="454"/>
      <c r="L57" s="454"/>
      <c r="M57" s="454"/>
      <c r="N57" s="454"/>
      <c r="O57" s="454"/>
      <c r="FC57" s="545"/>
      <c r="FD57" s="542">
        <v>19</v>
      </c>
      <c r="FE57" s="558"/>
      <c r="FF57" s="558"/>
      <c r="FG57" s="303">
        <v>1008777</v>
      </c>
      <c r="FH57" s="558"/>
      <c r="FI57" s="558"/>
      <c r="FJ57" s="558">
        <v>0</v>
      </c>
      <c r="FK57" s="558"/>
      <c r="FL57" s="558"/>
      <c r="FM57" s="558"/>
    </row>
    <row r="58" spans="2:169">
      <c r="C58" s="545"/>
      <c r="E58" s="454"/>
      <c r="FC58" s="545"/>
      <c r="FD58" s="542">
        <v>20</v>
      </c>
      <c r="FE58" s="559"/>
      <c r="FF58" s="559"/>
      <c r="FG58" s="303">
        <v>1010034</v>
      </c>
      <c r="FH58" s="559"/>
      <c r="FI58" s="559"/>
      <c r="FJ58" s="303">
        <v>0</v>
      </c>
      <c r="FK58" s="559"/>
      <c r="FL58" s="559"/>
      <c r="FM58" s="559"/>
    </row>
    <row r="59" spans="2:169">
      <c r="FC59" s="545"/>
      <c r="FD59" s="542">
        <v>21</v>
      </c>
      <c r="FE59" s="559"/>
      <c r="FF59" s="559"/>
      <c r="FG59" s="121">
        <v>1011247</v>
      </c>
      <c r="FH59" s="559"/>
      <c r="FI59" s="559"/>
      <c r="FJ59" s="559">
        <v>0</v>
      </c>
      <c r="FK59" s="559"/>
      <c r="FL59" s="559"/>
      <c r="FM59" s="559"/>
    </row>
    <row r="60" spans="2:169">
      <c r="FC60" s="545"/>
      <c r="FD60" s="542">
        <v>22</v>
      </c>
      <c r="FE60" s="559"/>
      <c r="FF60" s="559"/>
      <c r="FG60" s="136">
        <v>1012468</v>
      </c>
      <c r="FH60" s="559"/>
      <c r="FI60" s="559"/>
      <c r="FJ60" s="559">
        <v>0</v>
      </c>
      <c r="FK60" s="559"/>
      <c r="FL60" s="559"/>
      <c r="FM60" s="559"/>
    </row>
    <row r="61" spans="2:169">
      <c r="FC61" s="545"/>
      <c r="FD61" s="542">
        <v>23</v>
      </c>
      <c r="FE61" s="559"/>
      <c r="FF61" s="559"/>
      <c r="FG61" s="136">
        <v>1013665</v>
      </c>
      <c r="FH61" s="559"/>
      <c r="FI61" s="559"/>
      <c r="FJ61" s="559">
        <v>0</v>
      </c>
      <c r="FK61" s="559"/>
      <c r="FL61" s="559"/>
      <c r="FM61" s="559"/>
    </row>
    <row r="62" spans="2:169">
      <c r="FD62" s="542">
        <v>24</v>
      </c>
      <c r="FG62" s="136">
        <v>1014849</v>
      </c>
    </row>
    <row r="63" spans="2:169">
      <c r="FD63" s="542">
        <v>25</v>
      </c>
      <c r="FE63" s="136"/>
      <c r="FF63" s="136"/>
      <c r="FG63" s="136">
        <v>1015404</v>
      </c>
      <c r="FH63" s="136"/>
      <c r="FI63" s="136"/>
      <c r="FJ63" s="136"/>
      <c r="FK63" s="136"/>
      <c r="FL63" s="136"/>
      <c r="FM63" s="136"/>
    </row>
    <row r="64" spans="2:169">
      <c r="FD64" s="542">
        <v>26</v>
      </c>
      <c r="FE64" s="303"/>
      <c r="FF64" s="303"/>
      <c r="FG64" s="105">
        <v>1015404</v>
      </c>
      <c r="FH64" s="303"/>
      <c r="FI64" s="303"/>
      <c r="FJ64" s="303"/>
      <c r="FK64" s="303"/>
      <c r="FL64" s="303"/>
      <c r="FM64" s="303"/>
    </row>
    <row r="65" spans="160:170">
      <c r="FD65" s="542">
        <v>27</v>
      </c>
      <c r="FE65" s="136"/>
      <c r="FF65" s="136"/>
      <c r="FG65" s="136">
        <v>1015404</v>
      </c>
      <c r="FH65" s="136"/>
      <c r="FI65" s="136"/>
      <c r="FJ65" s="136"/>
      <c r="FK65" s="136"/>
      <c r="FL65" s="136"/>
      <c r="FM65" s="136"/>
    </row>
    <row r="66" spans="160:170">
      <c r="FD66" s="542">
        <v>28</v>
      </c>
      <c r="FE66" s="136"/>
      <c r="FF66" s="136"/>
      <c r="FG66" s="136">
        <v>1015404</v>
      </c>
      <c r="FH66" s="136"/>
      <c r="FI66" s="136"/>
      <c r="FJ66" s="136"/>
      <c r="FK66" s="136"/>
      <c r="FL66" s="136"/>
      <c r="FM66" s="136"/>
    </row>
    <row r="67" spans="160:170">
      <c r="FD67" s="542">
        <v>29</v>
      </c>
      <c r="FE67" s="136"/>
      <c r="FF67" s="371"/>
      <c r="FG67" s="371">
        <v>1015404</v>
      </c>
      <c r="FH67" s="136"/>
      <c r="FI67" s="371"/>
      <c r="FJ67" s="136"/>
      <c r="FK67" s="371"/>
      <c r="FL67" s="371"/>
      <c r="FM67" s="371"/>
    </row>
    <row r="68" spans="160:170">
      <c r="FD68" s="542">
        <v>30</v>
      </c>
      <c r="FE68" s="136"/>
      <c r="FF68" s="371"/>
      <c r="FG68" s="371">
        <v>1015404</v>
      </c>
      <c r="FH68" s="136"/>
      <c r="FI68" s="371"/>
      <c r="FJ68" s="136"/>
      <c r="FK68" s="371"/>
      <c r="FL68" s="371"/>
      <c r="FM68" s="371"/>
    </row>
    <row r="69" spans="160:170">
      <c r="FD69" s="542">
        <v>31</v>
      </c>
      <c r="FE69" s="267"/>
      <c r="FF69" s="267"/>
      <c r="FG69" s="371">
        <v>1015404</v>
      </c>
      <c r="FH69" s="267"/>
      <c r="FI69" s="267"/>
      <c r="FJ69" s="267"/>
      <c r="FK69" s="267"/>
      <c r="FL69" s="267"/>
      <c r="FM69" s="267"/>
    </row>
    <row r="70" spans="160:170">
      <c r="FE70" s="544"/>
      <c r="FF70" s="544"/>
      <c r="FG70" s="544"/>
      <c r="FH70" s="544"/>
      <c r="FI70" s="544"/>
      <c r="FJ70" s="544"/>
      <c r="FK70" s="544"/>
      <c r="FL70" s="544"/>
      <c r="FM70" s="544"/>
    </row>
    <row r="72" spans="160:170">
      <c r="FD72" s="152"/>
      <c r="FE72" s="152"/>
      <c r="FF72" s="152"/>
      <c r="FG72" s="152"/>
      <c r="FH72" s="152"/>
      <c r="FI72" s="152"/>
      <c r="FJ72" s="152"/>
      <c r="FK72" s="152"/>
      <c r="FL72" s="152"/>
      <c r="FM72"/>
      <c r="FN72" s="152"/>
    </row>
    <row r="73" spans="160:170">
      <c r="FD73" s="152"/>
      <c r="FE73" s="152"/>
      <c r="FF73" s="152"/>
      <c r="FG73" s="152"/>
      <c r="FH73" s="152"/>
      <c r="FI73" s="152"/>
      <c r="FJ73" s="152"/>
      <c r="FK73" s="152"/>
      <c r="FL73" s="152"/>
      <c r="FM73" s="152"/>
      <c r="FN73" s="152"/>
    </row>
    <row r="74" spans="160:170">
      <c r="FD74" s="402"/>
      <c r="FE74" s="152"/>
      <c r="FF74" s="152"/>
      <c r="FG74" s="152"/>
      <c r="FH74" s="152"/>
      <c r="FI74" s="152"/>
      <c r="FJ74" s="152"/>
      <c r="FK74" s="152"/>
      <c r="FL74" s="152"/>
      <c r="FM74" s="152"/>
      <c r="FN74" s="152"/>
    </row>
    <row r="75" spans="160:170">
      <c r="FD75" s="152"/>
      <c r="FE75" s="152"/>
      <c r="FF75" s="152"/>
      <c r="FG75" s="152"/>
      <c r="FH75" s="152"/>
      <c r="FI75" s="152"/>
      <c r="FJ75" s="152"/>
      <c r="FK75" s="152"/>
      <c r="FL75" s="152"/>
      <c r="FM75" s="152"/>
      <c r="FN75" s="152"/>
    </row>
    <row r="76" spans="160:170">
      <c r="FD76" s="152"/>
      <c r="FE76"/>
      <c r="FF76" s="152"/>
      <c r="FG76" s="152"/>
      <c r="FH76" s="152"/>
      <c r="FI76" s="152"/>
      <c r="FJ76" s="152"/>
      <c r="FK76" s="152"/>
      <c r="FL76" s="152"/>
      <c r="FM76" s="152"/>
      <c r="FN76" s="152"/>
    </row>
    <row r="77" spans="160:170" ht="53.25" customHeight="1">
      <c r="FD77" s="152"/>
      <c r="FE77" s="10"/>
      <c r="FF77" s="152"/>
      <c r="FG77" s="152"/>
      <c r="FH77" s="152"/>
      <c r="FI77" s="152"/>
      <c r="FJ77" s="152"/>
      <c r="FK77" s="152"/>
      <c r="FL77" s="402"/>
      <c r="FM77" s="152"/>
      <c r="FN77" s="152"/>
    </row>
    <row r="78" spans="160:170">
      <c r="FD78" s="152"/>
      <c r="FE78"/>
      <c r="FF78" s="152"/>
      <c r="FG78" s="152"/>
      <c r="FH78" s="152"/>
      <c r="FI78" s="152"/>
      <c r="FJ78" s="152"/>
      <c r="FK78" s="152"/>
      <c r="FL78" s="152"/>
      <c r="FM78" s="152"/>
      <c r="FN78" s="152"/>
    </row>
    <row r="79" spans="160:170">
      <c r="FD79" s="402"/>
      <c r="FF79" s="152"/>
      <c r="FG79" s="152"/>
      <c r="FH79" s="152"/>
      <c r="FI79" s="335">
        <f>FI77/4</f>
        <v>0</v>
      </c>
      <c r="FJ79" s="152"/>
      <c r="FK79" s="152"/>
      <c r="FL79" s="152"/>
      <c r="FM79" s="152"/>
      <c r="FN79" s="152"/>
    </row>
    <row r="80" spans="160:170">
      <c r="FD80" s="152"/>
      <c r="FE80"/>
      <c r="FF80" s="152"/>
      <c r="FG80" s="152"/>
      <c r="FH80" s="152"/>
      <c r="FI80" s="152"/>
      <c r="FJ80" s="152"/>
      <c r="FK80" s="152"/>
      <c r="FL80" s="152"/>
      <c r="FM80" s="152"/>
      <c r="FN80" s="152"/>
    </row>
    <row r="81" spans="160:170">
      <c r="FD81" s="152"/>
      <c r="FE81"/>
      <c r="FF81" s="152"/>
      <c r="FG81" s="152"/>
      <c r="FH81" s="152"/>
      <c r="FI81" s="152"/>
      <c r="FJ81" s="152"/>
      <c r="FK81" s="152"/>
      <c r="FL81" s="152"/>
      <c r="FM81" s="152"/>
      <c r="FN81" s="152"/>
    </row>
    <row r="82" spans="160:170">
      <c r="FD82" s="152"/>
      <c r="FE82"/>
      <c r="FF82" s="152"/>
      <c r="FG82" s="152"/>
      <c r="FH82" s="152"/>
      <c r="FI82" s="152"/>
      <c r="FJ82" s="152"/>
      <c r="FK82" s="152"/>
      <c r="FL82" s="152"/>
      <c r="FM82" s="152"/>
      <c r="FN82" s="152"/>
    </row>
    <row r="83" spans="160:170">
      <c r="FD83" s="152"/>
      <c r="FE83"/>
      <c r="FF83" s="152"/>
      <c r="FG83" s="152"/>
      <c r="FH83" s="152"/>
      <c r="FI83" s="152"/>
      <c r="FJ83" s="152"/>
      <c r="FK83" s="152"/>
      <c r="FL83" s="152"/>
      <c r="FM83" s="152"/>
      <c r="FN83" s="402"/>
    </row>
    <row r="84" spans="160:170">
      <c r="FD84" s="152"/>
      <c r="FF84" s="152"/>
      <c r="FG84" s="152"/>
      <c r="FH84" s="152"/>
      <c r="FI84" s="152"/>
      <c r="FJ84" s="152"/>
      <c r="FK84" s="152"/>
      <c r="FL84" s="152"/>
      <c r="FM84" s="152"/>
      <c r="FN84" s="152"/>
    </row>
    <row r="85" spans="160:170">
      <c r="FE85"/>
    </row>
    <row r="87" spans="160:170">
      <c r="FE87"/>
    </row>
    <row r="89" spans="160:170">
      <c r="FE89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 count="8">
    <mergeCell ref="FE37:FM37"/>
    <mergeCell ref="FC3:FC4"/>
    <mergeCell ref="B4:B5"/>
    <mergeCell ref="CF4:CH4"/>
    <mergeCell ref="CJ4:CL4"/>
    <mergeCell ref="CN4:CP4"/>
    <mergeCell ref="CR4:CT4"/>
    <mergeCell ref="CU4:CW4"/>
  </mergeCells>
  <conditionalFormatting sqref="DR39 DQ38:DQ39">
    <cfRule type="cellIs" dxfId="335" priority="111" stopIfTrue="1" operator="lessThanOrEqual">
      <formula>0.145</formula>
    </cfRule>
    <cfRule type="cellIs" dxfId="334" priority="112" stopIfTrue="1" operator="greaterThan">
      <formula>0.15</formula>
    </cfRule>
  </conditionalFormatting>
  <conditionalFormatting sqref="D6:F7 E10:F21 N15:N36 G15:M21 N6:N9 H9:L9 G9:G14 D10:D15 G6:M8 H10:N14 D23:J36 L23:M36 K24:K36">
    <cfRule type="expression" dxfId="333" priority="110" stopIfTrue="1">
      <formula>OR($B6=TODAY(),$B6=TODAY()-1)</formula>
    </cfRule>
  </conditionalFormatting>
  <conditionalFormatting sqref="G15:G21 G10:G13 G6 I7:M8 H17">
    <cfRule type="expression" dxfId="332" priority="109" stopIfTrue="1">
      <formula>OR($B6=TODAY(),$B6=TODAY()-1)</formula>
    </cfRule>
  </conditionalFormatting>
  <conditionalFormatting sqref="D6:F7">
    <cfRule type="expression" dxfId="331" priority="108" stopIfTrue="1">
      <formula>OR($B6=TODAY(),$B6=TODAY()-1)</formula>
    </cfRule>
  </conditionalFormatting>
  <conditionalFormatting sqref="I7:M8">
    <cfRule type="expression" dxfId="330" priority="107" stopIfTrue="1">
      <formula>OR($B7=TODAY(),$B7=TODAY()-1)</formula>
    </cfRule>
  </conditionalFormatting>
  <conditionalFormatting sqref="I7:M8">
    <cfRule type="expression" dxfId="329" priority="106" stopIfTrue="1">
      <formula>OR($B7=TODAY(),$B7=TODAY()-1)</formula>
    </cfRule>
  </conditionalFormatting>
  <conditionalFormatting sqref="D6:F6">
    <cfRule type="expression" dxfId="328" priority="105" stopIfTrue="1">
      <formula>OR($B6=TODAY(),$B6=TODAY()-1)</formula>
    </cfRule>
  </conditionalFormatting>
  <conditionalFormatting sqref="D6:F7 G6:L21">
    <cfRule type="expression" dxfId="327" priority="104" stopIfTrue="1">
      <formula>OR($B6=TODAY(),$B6=TODAY()-1)</formula>
    </cfRule>
  </conditionalFormatting>
  <conditionalFormatting sqref="G15:G21 G10:G13 G6 I7:M8 H17">
    <cfRule type="expression" dxfId="326" priority="103" stopIfTrue="1">
      <formula>OR($B6=TODAY(),$B6=TODAY()-1)</formula>
    </cfRule>
  </conditionalFormatting>
  <conditionalFormatting sqref="D6:F7 G6:L21">
    <cfRule type="expression" dxfId="325" priority="102" stopIfTrue="1">
      <formula>OR($B6=TODAY(),$B6=TODAY()-1)</formula>
    </cfRule>
  </conditionalFormatting>
  <conditionalFormatting sqref="G15:G21 G10:G13 G6 I7:M8 H17">
    <cfRule type="expression" dxfId="324" priority="101" stopIfTrue="1">
      <formula>OR($B6=TODAY(),$B6=TODAY()-1)</formula>
    </cfRule>
  </conditionalFormatting>
  <conditionalFormatting sqref="D6:F7 G6:L21">
    <cfRule type="expression" dxfId="323" priority="100" stopIfTrue="1">
      <formula>OR($B6=TODAY(),$B6=TODAY()-1)</formula>
    </cfRule>
  </conditionalFormatting>
  <conditionalFormatting sqref="G15:G21 G10:G13 G6 I7:M8 H17">
    <cfRule type="expression" dxfId="322" priority="99" stopIfTrue="1">
      <formula>OR($B6=TODAY(),$B6=TODAY()-1)</formula>
    </cfRule>
  </conditionalFormatting>
  <conditionalFormatting sqref="D6:F7 G6:L21">
    <cfRule type="expression" dxfId="321" priority="98" stopIfTrue="1">
      <formula>OR($B6=TODAY(),$B6=TODAY()-1)</formula>
    </cfRule>
  </conditionalFormatting>
  <conditionalFormatting sqref="G15:G21 G10:G13 G6 I7:M8 H17">
    <cfRule type="expression" dxfId="320" priority="97" stopIfTrue="1">
      <formula>OR($B6=TODAY(),$B6=TODAY()-1)</formula>
    </cfRule>
  </conditionalFormatting>
  <conditionalFormatting sqref="D6:F7 G6:L21">
    <cfRule type="expression" dxfId="319" priority="96" stopIfTrue="1">
      <formula>OR($B6=TODAY(),$B6=TODAY()-1)</formula>
    </cfRule>
  </conditionalFormatting>
  <conditionalFormatting sqref="G15:G21 G10:G13 G6 I7:M8 H17">
    <cfRule type="expression" dxfId="318" priority="95" stopIfTrue="1">
      <formula>OR($B6=TODAY(),$B6=TODAY()-1)</formula>
    </cfRule>
  </conditionalFormatting>
  <conditionalFormatting sqref="D6:F7 G6:L21">
    <cfRule type="expression" dxfId="317" priority="94" stopIfTrue="1">
      <formula>OR($B6=TODAY(),$B6=TODAY()-1)</formula>
    </cfRule>
  </conditionalFormatting>
  <conditionalFormatting sqref="G15:G21 G10:G13 G6 I7:M8 H17">
    <cfRule type="expression" dxfId="316" priority="93" stopIfTrue="1">
      <formula>OR($B6=TODAY(),$B6=TODAY()-1)</formula>
    </cfRule>
  </conditionalFormatting>
  <conditionalFormatting sqref="D6:F7 G6:L21">
    <cfRule type="expression" dxfId="315" priority="92" stopIfTrue="1">
      <formula>OR($B6=TODAY(),$B6=TODAY()-1)</formula>
    </cfRule>
  </conditionalFormatting>
  <conditionalFormatting sqref="D6:F7 G6:L21">
    <cfRule type="expression" dxfId="314" priority="91" stopIfTrue="1">
      <formula>OR($B6=TODAY(),$B6=TODAY()-1)</formula>
    </cfRule>
  </conditionalFormatting>
  <conditionalFormatting sqref="G15:G21 G10:G13 G6 I7:M8 H17">
    <cfRule type="expression" dxfId="313" priority="90" stopIfTrue="1">
      <formula>OR($B6=TODAY(),$B6=TODAY()-1)</formula>
    </cfRule>
  </conditionalFormatting>
  <conditionalFormatting sqref="D6:F7 G6:L21">
    <cfRule type="expression" dxfId="312" priority="89" stopIfTrue="1">
      <formula>OR($B6=TODAY(),$B6=TODAY()-1)</formula>
    </cfRule>
  </conditionalFormatting>
  <conditionalFormatting sqref="G15:G21 G10:G13 G6 I7:M8 H17">
    <cfRule type="expression" dxfId="311" priority="88" stopIfTrue="1">
      <formula>OR($B6=TODAY(),$B6=TODAY()-1)</formula>
    </cfRule>
  </conditionalFormatting>
  <conditionalFormatting sqref="D6:F7">
    <cfRule type="expression" dxfId="310" priority="87" stopIfTrue="1">
      <formula>OR($B6=TODAY(),$B6=TODAY()-1)</formula>
    </cfRule>
  </conditionalFormatting>
  <conditionalFormatting sqref="G15:G21 G10:G13 G6 I7:M8 H17">
    <cfRule type="expression" dxfId="309" priority="86" stopIfTrue="1">
      <formula>OR($B6=TODAY(),$B6=TODAY()-1)</formula>
    </cfRule>
  </conditionalFormatting>
  <conditionalFormatting sqref="D29 D30:F31">
    <cfRule type="expression" dxfId="308" priority="85" stopIfTrue="1">
      <formula>OR($B29=TODAY(),$B29=TODAY()-1)</formula>
    </cfRule>
  </conditionalFormatting>
  <conditionalFormatting sqref="D29 D30:F31">
    <cfRule type="expression" dxfId="307" priority="84" stopIfTrue="1">
      <formula>OR($B29=TODAY(),$B29=TODAY()-1)</formula>
    </cfRule>
  </conditionalFormatting>
  <conditionalFormatting sqref="D29 D30:F31">
    <cfRule type="expression" dxfId="306" priority="83" stopIfTrue="1">
      <formula>OR($B29=TODAY(),$B29=TODAY()-1)</formula>
    </cfRule>
  </conditionalFormatting>
  <conditionalFormatting sqref="D29 D30:F31">
    <cfRule type="expression" dxfId="305" priority="82" stopIfTrue="1">
      <formula>OR($B29=TODAY(),$B29=TODAY()-1)</formula>
    </cfRule>
  </conditionalFormatting>
  <conditionalFormatting sqref="D29 D30:F31">
    <cfRule type="expression" dxfId="304" priority="81" stopIfTrue="1">
      <formula>OR($B29=TODAY(),$B29=TODAY()-1)</formula>
    </cfRule>
  </conditionalFormatting>
  <conditionalFormatting sqref="D29 D30:F31">
    <cfRule type="expression" dxfId="303" priority="80" stopIfTrue="1">
      <formula>OR($B29=TODAY(),$B29=TODAY()-1)</formula>
    </cfRule>
  </conditionalFormatting>
  <conditionalFormatting sqref="D29 D30:F31">
    <cfRule type="expression" dxfId="302" priority="79" stopIfTrue="1">
      <formula>OR($B29=TODAY(),$B29=TODAY()-1)</formula>
    </cfRule>
  </conditionalFormatting>
  <conditionalFormatting sqref="D29 D30:F31">
    <cfRule type="expression" dxfId="301" priority="78" stopIfTrue="1">
      <formula>OR($B29=TODAY(),$B29=TODAY()-1)</formula>
    </cfRule>
  </conditionalFormatting>
  <conditionalFormatting sqref="D29 D30:F31">
    <cfRule type="expression" dxfId="300" priority="77" stopIfTrue="1">
      <formula>OR($B29=TODAY(),$B29=TODAY()-1)</formula>
    </cfRule>
  </conditionalFormatting>
  <conditionalFormatting sqref="D29 D30:F31">
    <cfRule type="expression" dxfId="299" priority="76" stopIfTrue="1">
      <formula>OR($B29=TODAY(),$B29=TODAY()-1)</formula>
    </cfRule>
  </conditionalFormatting>
  <conditionalFormatting sqref="D29 D30:F31">
    <cfRule type="expression" dxfId="298" priority="75" stopIfTrue="1">
      <formula>OR($B29=TODAY(),$B29=TODAY()-1)</formula>
    </cfRule>
  </conditionalFormatting>
  <conditionalFormatting sqref="DP6:DQ37">
    <cfRule type="cellIs" dxfId="297" priority="73" stopIfTrue="1" operator="lessThanOrEqual">
      <formula>$D$2</formula>
    </cfRule>
    <cfRule type="cellIs" dxfId="296" priority="74" stopIfTrue="1" operator="greaterThan">
      <formula>$D$2</formula>
    </cfRule>
  </conditionalFormatting>
  <conditionalFormatting sqref="BZ6:BZ37 DH6:DH37 DJ6:DJ37 CS6:CS37">
    <cfRule type="cellIs" dxfId="295" priority="71" stopIfTrue="1" operator="lessThanOrEqual">
      <formula>#REF!</formula>
    </cfRule>
    <cfRule type="cellIs" dxfId="294" priority="72" stopIfTrue="1" operator="greaterThan">
      <formula>#REF!</formula>
    </cfRule>
  </conditionalFormatting>
  <conditionalFormatting sqref="DL6:DL37">
    <cfRule type="cellIs" dxfId="293" priority="69" stopIfTrue="1" operator="greaterThan">
      <formula>$D$3</formula>
    </cfRule>
    <cfRule type="cellIs" dxfId="292" priority="70" stopIfTrue="1" operator="lessThanOrEqual">
      <formula>$D$3</formula>
    </cfRule>
  </conditionalFormatting>
  <conditionalFormatting sqref="E20:F20">
    <cfRule type="expression" dxfId="291" priority="68" stopIfTrue="1">
      <formula>OR($B20=TODAY(),$B20=TODAY()-1)</formula>
    </cfRule>
  </conditionalFormatting>
  <conditionalFormatting sqref="E20:F20">
    <cfRule type="expression" dxfId="290" priority="67" stopIfTrue="1">
      <formula>OR($B20=TODAY(),$B20=TODAY()-1)</formula>
    </cfRule>
  </conditionalFormatting>
  <conditionalFormatting sqref="E20:F20">
    <cfRule type="expression" dxfId="289" priority="66" stopIfTrue="1">
      <formula>OR($B20=TODAY(),$B20=TODAY()-1)</formula>
    </cfRule>
  </conditionalFormatting>
  <conditionalFormatting sqref="E20:F20">
    <cfRule type="expression" dxfId="288" priority="65" stopIfTrue="1">
      <formula>OR($B20=TODAY(),$B20=TODAY()-1)</formula>
    </cfRule>
  </conditionalFormatting>
  <conditionalFormatting sqref="E20:F20">
    <cfRule type="expression" dxfId="287" priority="64" stopIfTrue="1">
      <formula>OR($B20=TODAY(),$B20=TODAY()-1)</formula>
    </cfRule>
  </conditionalFormatting>
  <conditionalFormatting sqref="E20:F20">
    <cfRule type="expression" dxfId="286" priority="63" stopIfTrue="1">
      <formula>OR($B20=TODAY(),$B20=TODAY()-1)</formula>
    </cfRule>
  </conditionalFormatting>
  <conditionalFormatting sqref="E20:F20">
    <cfRule type="expression" dxfId="285" priority="62" stopIfTrue="1">
      <formula>OR($B20=TODAY(),$B20=TODAY()-1)</formula>
    </cfRule>
  </conditionalFormatting>
  <conditionalFormatting sqref="E20:F20">
    <cfRule type="expression" dxfId="284" priority="61" stopIfTrue="1">
      <formula>OR($B20=TODAY(),$B20=TODAY()-1)</formula>
    </cfRule>
  </conditionalFormatting>
  <conditionalFormatting sqref="E20:F20">
    <cfRule type="expression" dxfId="283" priority="60" stopIfTrue="1">
      <formula>OR($B20=TODAY(),$B20=TODAY()-1)</formula>
    </cfRule>
  </conditionalFormatting>
  <conditionalFormatting sqref="E20:F20">
    <cfRule type="expression" dxfId="282" priority="59" stopIfTrue="1">
      <formula>OR($B20=TODAY(),$B20=TODAY()-1)</formula>
    </cfRule>
  </conditionalFormatting>
  <conditionalFormatting sqref="D34:F34">
    <cfRule type="expression" dxfId="281" priority="58" stopIfTrue="1">
      <formula>OR($B34=TODAY(),$B34=TODAY()-1)</formula>
    </cfRule>
  </conditionalFormatting>
  <conditionalFormatting sqref="D34:F34">
    <cfRule type="expression" dxfId="280" priority="57" stopIfTrue="1">
      <formula>OR($B34=TODAY(),$B34=TODAY()-1)</formula>
    </cfRule>
  </conditionalFormatting>
  <conditionalFormatting sqref="CH37">
    <cfRule type="cellIs" dxfId="279" priority="55" stopIfTrue="1" operator="lessThanOrEqual">
      <formula>#REF!</formula>
    </cfRule>
    <cfRule type="cellIs" dxfId="278" priority="56" stopIfTrue="1" operator="greaterThan">
      <formula>#REF!</formula>
    </cfRule>
  </conditionalFormatting>
  <conditionalFormatting sqref="CP6:CP37 CV6:CV37 CL6:CL37">
    <cfRule type="cellIs" dxfId="277" priority="53" operator="greaterThan">
      <formula>#REF!</formula>
    </cfRule>
    <cfRule type="cellIs" dxfId="276" priority="54" operator="lessThanOrEqual">
      <formula>#REF!</formula>
    </cfRule>
  </conditionalFormatting>
  <conditionalFormatting sqref="G14">
    <cfRule type="expression" dxfId="275" priority="52" stopIfTrue="1">
      <formula>OR($B15=TODAY(),$B15=TODAY()-1)</formula>
    </cfRule>
  </conditionalFormatting>
  <conditionalFormatting sqref="I16:M18">
    <cfRule type="expression" dxfId="274" priority="51" stopIfTrue="1">
      <formula>OR($B16=TODAY(),$B16=TODAY()-1)</formula>
    </cfRule>
  </conditionalFormatting>
  <conditionalFormatting sqref="I16:M18">
    <cfRule type="expression" dxfId="273" priority="50" stopIfTrue="1">
      <formula>OR($B16=TODAY(),$B16=TODAY()-1)</formula>
    </cfRule>
  </conditionalFormatting>
  <conditionalFormatting sqref="I16:M18">
    <cfRule type="expression" dxfId="272" priority="49" stopIfTrue="1">
      <formula>OR($B16=TODAY(),$B16=TODAY()-1)</formula>
    </cfRule>
  </conditionalFormatting>
  <conditionalFormatting sqref="I16:M18">
    <cfRule type="expression" dxfId="271" priority="48" stopIfTrue="1">
      <formula>OR($B16=TODAY(),$B16=TODAY()-1)</formula>
    </cfRule>
  </conditionalFormatting>
  <conditionalFormatting sqref="D16">
    <cfRule type="expression" dxfId="270" priority="47" stopIfTrue="1">
      <formula>OR($B16=TODAY(),$B16=TODAY()-1)</formula>
    </cfRule>
  </conditionalFormatting>
  <conditionalFormatting sqref="G6:L21">
    <cfRule type="expression" dxfId="269" priority="46" stopIfTrue="1">
      <formula>OR($B6=TODAY(),$B6=TODAY()-1)</formula>
    </cfRule>
  </conditionalFormatting>
  <conditionalFormatting sqref="G6:L21">
    <cfRule type="expression" dxfId="268" priority="45" stopIfTrue="1">
      <formula>OR($B6=TODAY(),$B6=TODAY()-1)</formula>
    </cfRule>
  </conditionalFormatting>
  <conditionalFormatting sqref="G6:L21">
    <cfRule type="expression" dxfId="267" priority="44" stopIfTrue="1">
      <formula>OR($B6=TODAY(),$B6=TODAY()-1)</formula>
    </cfRule>
  </conditionalFormatting>
  <conditionalFormatting sqref="G15">
    <cfRule type="expression" dxfId="266" priority="43" stopIfTrue="1">
      <formula>OR($B16=TODAY(),$B16=TODAY()-1)</formula>
    </cfRule>
  </conditionalFormatting>
  <conditionalFormatting sqref="D6:J6">
    <cfRule type="expression" dxfId="265" priority="42" stopIfTrue="1">
      <formula>OR($B6=TODAY(),$B6=TODAY()-1)</formula>
    </cfRule>
  </conditionalFormatting>
  <conditionalFormatting sqref="G6">
    <cfRule type="expression" dxfId="264" priority="41" stopIfTrue="1">
      <formula>OR($B6=TODAY(),$B6=TODAY()-1)</formula>
    </cfRule>
  </conditionalFormatting>
  <conditionalFormatting sqref="D6:F6">
    <cfRule type="expression" dxfId="263" priority="40" stopIfTrue="1">
      <formula>OR($B6=TODAY(),$B6=TODAY()-1)</formula>
    </cfRule>
  </conditionalFormatting>
  <conditionalFormatting sqref="D6:F6">
    <cfRule type="expression" dxfId="262" priority="39" stopIfTrue="1">
      <formula>OR($B6=TODAY(),$B6=TODAY()-1)</formula>
    </cfRule>
  </conditionalFormatting>
  <conditionalFormatting sqref="D6:J6">
    <cfRule type="expression" dxfId="261" priority="38" stopIfTrue="1">
      <formula>OR($B6=TODAY(),$B6=TODAY()-1)</formula>
    </cfRule>
  </conditionalFormatting>
  <conditionalFormatting sqref="G6">
    <cfRule type="expression" dxfId="260" priority="37" stopIfTrue="1">
      <formula>OR($B6=TODAY(),$B6=TODAY()-1)</formula>
    </cfRule>
  </conditionalFormatting>
  <conditionalFormatting sqref="D6:J6">
    <cfRule type="expression" dxfId="259" priority="36" stopIfTrue="1">
      <formula>OR($B6=TODAY(),$B6=TODAY()-1)</formula>
    </cfRule>
  </conditionalFormatting>
  <conditionalFormatting sqref="G6">
    <cfRule type="expression" dxfId="258" priority="35" stopIfTrue="1">
      <formula>OR($B6=TODAY(),$B6=TODAY()-1)</formula>
    </cfRule>
  </conditionalFormatting>
  <conditionalFormatting sqref="D6:J6">
    <cfRule type="expression" dxfId="257" priority="34" stopIfTrue="1">
      <formula>OR($B6=TODAY(),$B6=TODAY()-1)</formula>
    </cfRule>
  </conditionalFormatting>
  <conditionalFormatting sqref="G6">
    <cfRule type="expression" dxfId="256" priority="33" stopIfTrue="1">
      <formula>OR($B6=TODAY(),$B6=TODAY()-1)</formula>
    </cfRule>
  </conditionalFormatting>
  <conditionalFormatting sqref="D6:J6">
    <cfRule type="expression" dxfId="255" priority="32" stopIfTrue="1">
      <formula>OR($B6=TODAY(),$B6=TODAY()-1)</formula>
    </cfRule>
  </conditionalFormatting>
  <conditionalFormatting sqref="G6">
    <cfRule type="expression" dxfId="254" priority="31" stopIfTrue="1">
      <formula>OR($B6=TODAY(),$B6=TODAY()-1)</formula>
    </cfRule>
  </conditionalFormatting>
  <conditionalFormatting sqref="D6:J6">
    <cfRule type="expression" dxfId="253" priority="30" stopIfTrue="1">
      <formula>OR($B6=TODAY(),$B6=TODAY()-1)</formula>
    </cfRule>
  </conditionalFormatting>
  <conditionalFormatting sqref="G6">
    <cfRule type="expression" dxfId="252" priority="29" stopIfTrue="1">
      <formula>OR($B6=TODAY(),$B6=TODAY()-1)</formula>
    </cfRule>
  </conditionalFormatting>
  <conditionalFormatting sqref="D6:J6">
    <cfRule type="expression" dxfId="251" priority="28" stopIfTrue="1">
      <formula>OR($B6=TODAY(),$B6=TODAY()-1)</formula>
    </cfRule>
  </conditionalFormatting>
  <conditionalFormatting sqref="G6">
    <cfRule type="expression" dxfId="250" priority="27" stopIfTrue="1">
      <formula>OR($B6=TODAY(),$B6=TODAY()-1)</formula>
    </cfRule>
  </conditionalFormatting>
  <conditionalFormatting sqref="D6:J6">
    <cfRule type="expression" dxfId="249" priority="26" stopIfTrue="1">
      <formula>OR($B6=TODAY(),$B6=TODAY()-1)</formula>
    </cfRule>
  </conditionalFormatting>
  <conditionalFormatting sqref="D6:J6">
    <cfRule type="expression" dxfId="248" priority="25" stopIfTrue="1">
      <formula>OR($B6=TODAY(),$B6=TODAY()-1)</formula>
    </cfRule>
  </conditionalFormatting>
  <conditionalFormatting sqref="G6">
    <cfRule type="expression" dxfId="247" priority="24" stopIfTrue="1">
      <formula>OR($B6=TODAY(),$B6=TODAY()-1)</formula>
    </cfRule>
  </conditionalFormatting>
  <conditionalFormatting sqref="D6:J6">
    <cfRule type="expression" dxfId="246" priority="23" stopIfTrue="1">
      <formula>OR($B6=TODAY(),$B6=TODAY()-1)</formula>
    </cfRule>
  </conditionalFormatting>
  <conditionalFormatting sqref="G6">
    <cfRule type="expression" dxfId="245" priority="22" stopIfTrue="1">
      <formula>OR($B6=TODAY(),$B6=TODAY()-1)</formula>
    </cfRule>
  </conditionalFormatting>
  <conditionalFormatting sqref="D6:F6">
    <cfRule type="expression" dxfId="244" priority="21" stopIfTrue="1">
      <formula>OR($B6=TODAY(),$B6=TODAY()-1)</formula>
    </cfRule>
  </conditionalFormatting>
  <conditionalFormatting sqref="G6">
    <cfRule type="expression" dxfId="243" priority="20" stopIfTrue="1">
      <formula>OR($B6=TODAY(),$B6=TODAY()-1)</formula>
    </cfRule>
  </conditionalFormatting>
  <conditionalFormatting sqref="G6:J6">
    <cfRule type="expression" dxfId="242" priority="19" stopIfTrue="1">
      <formula>OR($B6=TODAY(),$B6=TODAY()-1)</formula>
    </cfRule>
  </conditionalFormatting>
  <conditionalFormatting sqref="G6:J6">
    <cfRule type="expression" dxfId="241" priority="18" stopIfTrue="1">
      <formula>OR($B6=TODAY(),$B6=TODAY()-1)</formula>
    </cfRule>
  </conditionalFormatting>
  <conditionalFormatting sqref="G6:J6">
    <cfRule type="expression" dxfId="240" priority="17" stopIfTrue="1">
      <formula>OR($B6=TODAY(),$B6=TODAY()-1)</formula>
    </cfRule>
  </conditionalFormatting>
  <conditionalFormatting sqref="K13">
    <cfRule type="expression" dxfId="239" priority="16" stopIfTrue="1">
      <formula>OR($B13=TODAY(),$B13=TODAY()-1)</formula>
    </cfRule>
  </conditionalFormatting>
  <conditionalFormatting sqref="K13">
    <cfRule type="expression" dxfId="238" priority="15" stopIfTrue="1">
      <formula>OR($B13=TODAY(),$B13=TODAY()-1)</formula>
    </cfRule>
  </conditionalFormatting>
  <conditionalFormatting sqref="K13">
    <cfRule type="expression" dxfId="237" priority="14" stopIfTrue="1">
      <formula>OR($B13=TODAY(),$B13=TODAY()-1)</formula>
    </cfRule>
  </conditionalFormatting>
  <conditionalFormatting sqref="K13">
    <cfRule type="expression" dxfId="236" priority="13" stopIfTrue="1">
      <formula>OR($B13=TODAY(),$B13=TODAY()-1)</formula>
    </cfRule>
  </conditionalFormatting>
  <conditionalFormatting sqref="K13">
    <cfRule type="expression" dxfId="235" priority="12" stopIfTrue="1">
      <formula>OR($B13=TODAY(),$B13=TODAY()-1)</formula>
    </cfRule>
  </conditionalFormatting>
  <conditionalFormatting sqref="K13">
    <cfRule type="expression" dxfId="234" priority="11" stopIfTrue="1">
      <formula>OR($B13=TODAY(),$B13=TODAY()-1)</formula>
    </cfRule>
  </conditionalFormatting>
  <conditionalFormatting sqref="K13">
    <cfRule type="expression" dxfId="233" priority="10" stopIfTrue="1">
      <formula>OR($B13=TODAY(),$B13=TODAY()-1)</formula>
    </cfRule>
  </conditionalFormatting>
  <conditionalFormatting sqref="K13">
    <cfRule type="expression" dxfId="232" priority="9" stopIfTrue="1">
      <formula>OR($B13=TODAY(),$B13=TODAY()-1)</formula>
    </cfRule>
  </conditionalFormatting>
  <conditionalFormatting sqref="K13">
    <cfRule type="expression" dxfId="231" priority="8" stopIfTrue="1">
      <formula>OR($B13=TODAY(),$B13=TODAY()-1)</formula>
    </cfRule>
  </conditionalFormatting>
  <conditionalFormatting sqref="K13">
    <cfRule type="expression" dxfId="230" priority="7" stopIfTrue="1">
      <formula>OR($B13=TODAY(),$B13=TODAY()-1)</formula>
    </cfRule>
  </conditionalFormatting>
  <conditionalFormatting sqref="K13">
    <cfRule type="expression" dxfId="229" priority="6" stopIfTrue="1">
      <formula>OR($B13=TODAY(),$B13=TODAY()-1)</formula>
    </cfRule>
  </conditionalFormatting>
  <conditionalFormatting sqref="K13">
    <cfRule type="expression" dxfId="228" priority="5" stopIfTrue="1">
      <formula>OR($B13=TODAY(),$B13=TODAY()-1)</formula>
    </cfRule>
  </conditionalFormatting>
  <conditionalFormatting sqref="K13">
    <cfRule type="expression" dxfId="227" priority="4" stopIfTrue="1">
      <formula>OR($B13=TODAY(),$B13=TODAY()-1)</formula>
    </cfRule>
  </conditionalFormatting>
  <conditionalFormatting sqref="K13">
    <cfRule type="expression" dxfId="226" priority="3" stopIfTrue="1">
      <formula>OR($B13=TODAY(),$B13=TODAY()-1)</formula>
    </cfRule>
  </conditionalFormatting>
  <conditionalFormatting sqref="K13">
    <cfRule type="expression" dxfId="225" priority="2" stopIfTrue="1">
      <formula>OR($B13=TODAY(),$B13=TODAY()-1)</formula>
    </cfRule>
  </conditionalFormatting>
  <conditionalFormatting sqref="K13">
    <cfRule type="expression" dxfId="224" priority="1" stopIfTrue="1">
      <formula>OR($B13=TODAY(),$B13=TODAY()-1)</formula>
    </cfRule>
  </conditionalFormatting>
  <hyperlinks>
    <hyperlink ref="BA5" r:id="rId1" xr:uid="{00000000-0004-0000-1D00-000000000000}"/>
  </hyperlinks>
  <pageMargins left="0.7" right="0.7" top="0.75" bottom="0.75" header="0.3" footer="0.3"/>
  <pageSetup orientation="portrait"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GL89"/>
  <sheetViews>
    <sheetView showGridLines="0" zoomScale="80" zoomScaleNormal="80" workbookViewId="0">
      <pane xSplit="3" ySplit="5" topLeftCell="D26" activePane="bottomRight" state="frozen"/>
      <selection activeCell="FD6" sqref="FD6:FD36"/>
      <selection pane="topRight" activeCell="FD6" sqref="FD6:FD36"/>
      <selection pane="bottomLeft" activeCell="FD6" sqref="FD6:FD36"/>
      <selection pane="bottomRight" activeCell="FD6" sqref="FD6:FD36"/>
    </sheetView>
  </sheetViews>
  <sheetFormatPr defaultRowHeight="15" outlineLevelCol="2"/>
  <cols>
    <col min="1" max="1" width="0.7109375" style="64" customWidth="1"/>
    <col min="2" max="2" width="6.5703125" style="64" customWidth="1"/>
    <col min="3" max="3" width="6.85546875" style="64" bestFit="1" customWidth="1"/>
    <col min="4" max="4" width="13.85546875" style="64" customWidth="1" outlineLevel="1"/>
    <col min="5" max="5" width="12" style="64" customWidth="1" outlineLevel="1"/>
    <col min="6" max="6" width="10" style="64" customWidth="1" outlineLevel="1"/>
    <col min="7" max="7" width="9.85546875" style="64" customWidth="1" outlineLevel="1"/>
    <col min="8" max="8" width="10.85546875" style="64" bestFit="1" customWidth="1" outlineLevel="1"/>
    <col min="9" max="9" width="10.7109375" style="64" customWidth="1" outlineLevel="1"/>
    <col min="10" max="11" width="9.28515625" style="64" customWidth="1" outlineLevel="1"/>
    <col min="12" max="12" width="10.5703125" style="64" customWidth="1" outlineLevel="1"/>
    <col min="13" max="13" width="10.85546875" style="64" customWidth="1" outlineLevel="1"/>
    <col min="14" max="14" width="14.28515625" style="64" customWidth="1" outlineLevel="1"/>
    <col min="15" max="15" width="11" style="64" customWidth="1"/>
    <col min="16" max="16" width="11.85546875" style="64" customWidth="1" outlineLevel="1"/>
    <col min="17" max="17" width="1.42578125" style="64" customWidth="1"/>
    <col min="18" max="18" width="12.28515625" style="64" customWidth="1" outlineLevel="2"/>
    <col min="19" max="19" width="12.85546875" style="64" customWidth="1" outlineLevel="2"/>
    <col min="20" max="20" width="12.5703125" style="64" customWidth="1" outlineLevel="2"/>
    <col min="21" max="21" width="14.140625" style="64" customWidth="1" outlineLevel="2"/>
    <col min="22" max="22" width="9.42578125" style="64" customWidth="1" outlineLevel="2"/>
    <col min="23" max="23" width="10.7109375" style="64" customWidth="1" outlineLevel="2"/>
    <col min="24" max="24" width="11.5703125" style="64" customWidth="1" outlineLevel="2"/>
    <col min="25" max="26" width="10.7109375" style="64" customWidth="1" outlineLevel="2"/>
    <col min="27" max="27" width="11" style="64" customWidth="1" outlineLevel="1"/>
    <col min="28" max="29" width="12" style="64" customWidth="1" outlineLevel="2"/>
    <col min="30" max="31" width="10.85546875" style="64" customWidth="1" outlineLevel="1"/>
    <col min="32" max="32" width="12" style="64" customWidth="1" outlineLevel="2"/>
    <col min="33" max="33" width="8.140625" style="64" customWidth="1" outlineLevel="2"/>
    <col min="34" max="34" width="9.5703125" style="64" customWidth="1" outlineLevel="1"/>
    <col min="35" max="35" width="10.85546875" style="64" customWidth="1" outlineLevel="1"/>
    <col min="36" max="36" width="12" style="64" customWidth="1" outlineLevel="2"/>
    <col min="37" max="37" width="8.140625" style="64" customWidth="1" outlineLevel="2"/>
    <col min="38" max="38" width="9.5703125" style="64" customWidth="1" outlineLevel="1"/>
    <col min="39" max="39" width="10.85546875" style="64" customWidth="1" outlineLevel="1"/>
    <col min="40" max="40" width="9.5703125" style="64" customWidth="1" outlineLevel="2"/>
    <col min="41" max="41" width="9.5703125" style="64" customWidth="1" outlineLevel="1"/>
    <col min="42" max="42" width="9.5703125" style="64" customWidth="1" outlineLevel="2"/>
    <col min="43" max="43" width="9.5703125" style="64" customWidth="1" outlineLevel="1"/>
    <col min="44" max="44" width="11.28515625" style="64" customWidth="1" outlineLevel="2"/>
    <col min="45" max="45" width="9.140625" style="64" customWidth="1" outlineLevel="1"/>
    <col min="46" max="46" width="13.5703125" style="64" customWidth="1" outlineLevel="1"/>
    <col min="47" max="47" width="11.28515625" style="64" customWidth="1" outlineLevel="2"/>
    <col min="48" max="48" width="9.5703125" style="64" customWidth="1" outlineLevel="1"/>
    <col min="49" max="49" width="11.28515625" style="64" customWidth="1" outlineLevel="2"/>
    <col min="50" max="51" width="9.5703125" style="64" customWidth="1" outlineLevel="1"/>
    <col min="52" max="52" width="13.85546875" style="64" customWidth="1" outlineLevel="2"/>
    <col min="53" max="53" width="10.28515625" style="64" customWidth="1" outlineLevel="2"/>
    <col min="54" max="54" width="13.85546875" style="64" customWidth="1" outlineLevel="2"/>
    <col min="55" max="55" width="14.85546875" style="64" customWidth="1" outlineLevel="2"/>
    <col min="56" max="56" width="15.28515625" style="64" customWidth="1" outlineLevel="2"/>
    <col min="57" max="58" width="13.7109375" style="64" customWidth="1" outlineLevel="2"/>
    <col min="59" max="60" width="9.5703125" style="64" customWidth="1" outlineLevel="1"/>
    <col min="61" max="61" width="17" style="64" customWidth="1" outlineLevel="1"/>
    <col min="62" max="62" width="19.140625" style="64" customWidth="1" outlineLevel="1"/>
    <col min="63" max="63" width="2.28515625" style="261" customWidth="1"/>
    <col min="64" max="64" width="19.28515625" style="64" customWidth="1"/>
    <col min="65" max="65" width="14.28515625" style="64" customWidth="1"/>
    <col min="66" max="66" width="0.85546875" style="64" customWidth="1"/>
    <col min="67" max="67" width="12.28515625" style="64" customWidth="1" outlineLevel="2"/>
    <col min="68" max="68" width="12.42578125" style="64" customWidth="1" outlineLevel="2"/>
    <col min="69" max="69" width="12.5703125" style="64" customWidth="1" outlineLevel="2"/>
    <col min="70" max="72" width="9.42578125" style="64" customWidth="1" outlineLevel="2"/>
    <col min="73" max="73" width="21.42578125" style="64" customWidth="1" outlineLevel="1"/>
    <col min="74" max="74" width="12.28515625" style="64" customWidth="1" outlineLevel="2"/>
    <col min="75" max="75" width="12.42578125" style="64" customWidth="1" outlineLevel="2"/>
    <col min="76" max="76" width="12.5703125" style="64" customWidth="1" outlineLevel="2"/>
    <col min="77" max="77" width="9.42578125" style="64" customWidth="1" outlineLevel="2"/>
    <col min="78" max="78" width="13.7109375" style="64" customWidth="1" outlineLevel="1"/>
    <col min="79" max="79" width="0.42578125" style="64" customWidth="1" outlineLevel="1"/>
    <col min="80" max="80" width="11.7109375" style="64" customWidth="1" outlineLevel="2"/>
    <col min="81" max="81" width="9.7109375" style="64" customWidth="1" outlineLevel="1"/>
    <col min="82" max="82" width="11.42578125" style="64" customWidth="1" outlineLevel="1"/>
    <col min="83" max="83" width="12.85546875" style="64" customWidth="1" outlineLevel="1"/>
    <col min="84" max="84" width="13.7109375" style="64" customWidth="1" outlineLevel="2"/>
    <col min="85" max="85" width="11" style="64" customWidth="1" outlineLevel="2"/>
    <col min="86" max="86" width="8.7109375" style="64" customWidth="1" outlineLevel="1"/>
    <col min="87" max="87" width="0.140625" style="64" customWidth="1" outlineLevel="1"/>
    <col min="88" max="89" width="11.7109375" style="64" customWidth="1" outlineLevel="2"/>
    <col min="90" max="90" width="10.28515625" style="64" customWidth="1" outlineLevel="1"/>
    <col min="91" max="91" width="0.5703125" style="64" customWidth="1" outlineLevel="1"/>
    <col min="92" max="93" width="11.7109375" style="64" customWidth="1" outlineLevel="2"/>
    <col min="94" max="94" width="8.7109375" style="64" customWidth="1" outlineLevel="1"/>
    <col min="95" max="95" width="0.28515625" style="64" customWidth="1" outlineLevel="1"/>
    <col min="96" max="96" width="14.42578125" style="64" customWidth="1" outlineLevel="2"/>
    <col min="97" max="97" width="6.7109375" style="64" customWidth="1" outlineLevel="1"/>
    <col min="98" max="98" width="0.28515625" style="64" customWidth="1" outlineLevel="1"/>
    <col min="99" max="99" width="11" style="64" customWidth="1" outlineLevel="2"/>
    <col min="100" max="100" width="7.28515625" style="64" customWidth="1" outlineLevel="1"/>
    <col min="101" max="101" width="0.42578125" style="64" customWidth="1" outlineLevel="1"/>
    <col min="102" max="104" width="8.140625" style="64" customWidth="1" outlineLevel="1"/>
    <col min="105" max="105" width="8.42578125" style="64" customWidth="1" outlineLevel="1"/>
    <col min="106" max="106" width="10.42578125" style="64" customWidth="1" outlineLevel="2"/>
    <col min="107" max="107" width="9.7109375" style="64" customWidth="1" outlineLevel="2"/>
    <col min="108" max="108" width="18.28515625" style="64" customWidth="1" outlineLevel="2"/>
    <col min="109" max="109" width="14.85546875" style="64" customWidth="1" outlineLevel="2"/>
    <col min="110" max="110" width="17" style="64" customWidth="1" outlineLevel="2"/>
    <col min="111" max="111" width="14.85546875" style="64" customWidth="1" outlineLevel="2"/>
    <col min="112" max="112" width="11" style="64" customWidth="1" outlineLevel="1"/>
    <col min="113" max="113" width="0.28515625" style="64" customWidth="1" outlineLevel="1"/>
    <col min="114" max="114" width="9.85546875" style="64" customWidth="1" outlineLevel="1"/>
    <col min="115" max="115" width="0.42578125" style="64" customWidth="1" outlineLevel="1"/>
    <col min="116" max="116" width="9.85546875" style="64" customWidth="1" outlineLevel="1"/>
    <col min="117" max="117" width="0.42578125" style="64" customWidth="1" outlineLevel="1"/>
    <col min="118" max="118" width="13.140625" style="64" customWidth="1" outlineLevel="2"/>
    <col min="119" max="119" width="1.7109375" style="261" customWidth="1"/>
    <col min="120" max="120" width="16.42578125" style="64" customWidth="1"/>
    <col min="121" max="121" width="15.140625" style="64" customWidth="1"/>
    <col min="122" max="122" width="3.42578125" style="64" customWidth="1"/>
    <col min="123" max="123" width="8.42578125" style="64" customWidth="1"/>
    <col min="124" max="124" width="9.140625" style="64" customWidth="1"/>
    <col min="125" max="131" width="15.7109375" style="219" customWidth="1" outlineLevel="1"/>
    <col min="132" max="132" width="15.7109375" style="565" customWidth="1" outlineLevel="1"/>
    <col min="133" max="139" width="15.7109375" style="219" customWidth="1" outlineLevel="1"/>
    <col min="140" max="141" width="15.7109375" style="565" customWidth="1" outlineLevel="1"/>
    <col min="142" max="143" width="15.7109375" style="219" customWidth="1" outlineLevel="1"/>
    <col min="144" max="144" width="15.7109375" style="565" customWidth="1" outlineLevel="1"/>
    <col min="145" max="145" width="15.7109375" style="219" customWidth="1" outlineLevel="1"/>
    <col min="146" max="153" width="15.7109375" style="565" customWidth="1" outlineLevel="1"/>
    <col min="154" max="159" width="15.7109375" style="219" customWidth="1" outlineLevel="1"/>
    <col min="160" max="160" width="20.5703125" style="565" customWidth="1"/>
    <col min="161" max="162" width="11.85546875" style="565" customWidth="1" outlineLevel="1"/>
    <col min="163" max="169" width="10.7109375" style="565" customWidth="1" outlineLevel="1"/>
    <col min="170" max="170" width="15.5703125" style="565" customWidth="1"/>
    <col min="171" max="171" width="21.85546875" style="565" customWidth="1"/>
    <col min="172" max="172" width="79" style="64" customWidth="1"/>
    <col min="173" max="173" width="9.140625" style="9"/>
    <col min="174" max="178" width="9.140625" style="9" hidden="1" customWidth="1"/>
    <col min="179" max="179" width="5.85546875" style="9" customWidth="1"/>
    <col min="180" max="181" width="9.140625" style="9"/>
    <col min="182" max="182" width="12.28515625" style="9" customWidth="1"/>
    <col min="183" max="183" width="12" style="64" customWidth="1"/>
    <col min="184" max="184" width="9.28515625" style="64" bestFit="1" customWidth="1"/>
    <col min="185" max="185" width="9.140625" style="64"/>
    <col min="186" max="187" width="13.5703125" style="64" customWidth="1"/>
    <col min="188" max="188" width="9.7109375" style="64" bestFit="1" customWidth="1"/>
    <col min="189" max="189" width="9.140625" style="64"/>
    <col min="190" max="190" width="10.85546875" style="64" customWidth="1"/>
    <col min="191" max="191" width="15" style="64" customWidth="1"/>
    <col min="192" max="192" width="13.7109375" style="64" customWidth="1"/>
    <col min="193" max="194" width="9.140625" style="10"/>
    <col min="195" max="16384" width="9.140625" style="64"/>
  </cols>
  <sheetData>
    <row r="1" spans="1:194" s="4" customFormat="1">
      <c r="A1" s="1"/>
      <c r="B1" s="2"/>
      <c r="C1" s="1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AA1" s="5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5"/>
      <c r="AS1" s="5"/>
      <c r="AT1" s="5"/>
      <c r="AU1" s="5"/>
      <c r="AV1" s="6"/>
      <c r="AW1" s="5"/>
      <c r="AX1" s="6"/>
      <c r="AY1" s="6"/>
      <c r="AZ1" s="374"/>
      <c r="BA1" s="6"/>
      <c r="BB1" s="374"/>
      <c r="BD1" s="5"/>
      <c r="BE1" s="5"/>
      <c r="BF1" s="5"/>
      <c r="BG1" s="6"/>
      <c r="BH1" s="462"/>
      <c r="BJ1" s="4" t="s">
        <v>299</v>
      </c>
      <c r="BK1" s="7"/>
      <c r="CF1" s="22"/>
      <c r="CK1" s="22"/>
      <c r="CO1" s="22"/>
      <c r="DO1" s="7"/>
      <c r="DU1" s="8"/>
      <c r="DV1" s="8"/>
      <c r="DW1" s="8"/>
      <c r="DX1" s="8"/>
      <c r="DY1" s="8"/>
      <c r="DZ1" s="8"/>
      <c r="EA1" s="8"/>
      <c r="EB1" s="3"/>
      <c r="EC1" s="8"/>
      <c r="ED1" s="8"/>
      <c r="EE1" s="8"/>
      <c r="EF1" s="8"/>
      <c r="EG1" s="8"/>
      <c r="EH1" s="8"/>
      <c r="EI1" s="8"/>
      <c r="EJ1" s="3"/>
      <c r="EK1" s="3"/>
      <c r="EL1" s="8"/>
      <c r="EM1" s="8"/>
      <c r="EN1" s="3"/>
      <c r="EO1" s="8"/>
      <c r="EP1" s="3"/>
      <c r="EQ1" s="3"/>
      <c r="ER1" s="3"/>
      <c r="ES1" s="3"/>
      <c r="ET1" s="3"/>
      <c r="EU1" s="3"/>
      <c r="EV1" s="3"/>
      <c r="EW1" s="3"/>
      <c r="EX1" s="8"/>
      <c r="EY1" s="8"/>
      <c r="EZ1" s="8"/>
      <c r="FA1" s="8"/>
      <c r="FB1" s="8"/>
      <c r="FC1" s="8"/>
      <c r="FD1" s="3"/>
      <c r="FE1" s="3"/>
      <c r="FF1" s="3"/>
      <c r="FG1" s="3"/>
      <c r="FH1" s="3"/>
      <c r="FI1" s="3"/>
      <c r="FJ1" s="3"/>
      <c r="FK1" s="3"/>
      <c r="FL1" s="3"/>
      <c r="FM1" s="3"/>
      <c r="FN1" s="339"/>
      <c r="FO1" s="339"/>
      <c r="FP1" s="453"/>
      <c r="FQ1" s="23"/>
      <c r="FR1" s="23"/>
      <c r="FS1" s="23"/>
      <c r="FT1" s="23"/>
      <c r="FU1" s="23"/>
      <c r="FV1" s="23"/>
      <c r="FW1" s="23"/>
      <c r="FX1" s="9"/>
      <c r="FY1" s="9"/>
      <c r="FZ1" s="9"/>
      <c r="GK1" s="10"/>
      <c r="GL1" s="10"/>
    </row>
    <row r="2" spans="1:194" s="4" customFormat="1" ht="13.5" customHeight="1">
      <c r="B2" s="11"/>
      <c r="C2" s="12"/>
      <c r="D2" s="490">
        <v>3.07</v>
      </c>
      <c r="E2" s="14"/>
      <c r="F2" s="14"/>
      <c r="G2" s="3"/>
      <c r="H2" s="12"/>
      <c r="I2" s="12"/>
      <c r="J2" s="12"/>
      <c r="K2" s="336"/>
      <c r="L2" s="12"/>
      <c r="M2" s="12"/>
      <c r="N2" s="12"/>
      <c r="R2" s="15"/>
      <c r="S2" s="15"/>
      <c r="T2" s="15"/>
      <c r="U2" s="15"/>
      <c r="V2" s="16"/>
      <c r="W2" s="16"/>
      <c r="X2" s="16"/>
      <c r="Y2" s="16"/>
      <c r="Z2" s="16"/>
      <c r="AA2" s="17"/>
      <c r="AB2" s="17"/>
      <c r="AC2" s="17"/>
      <c r="AD2" s="17"/>
      <c r="AE2" s="17"/>
      <c r="AF2" s="5"/>
      <c r="AG2" s="5"/>
      <c r="AH2" s="5"/>
      <c r="AI2" s="17"/>
      <c r="AJ2" s="5"/>
      <c r="AK2" s="5"/>
      <c r="AL2" s="5"/>
      <c r="AM2" s="17"/>
      <c r="AN2" s="5"/>
      <c r="AO2" s="5"/>
      <c r="AP2" s="5"/>
      <c r="AQ2" s="5"/>
      <c r="AR2" s="17"/>
      <c r="AS2" s="17"/>
      <c r="AT2" s="17"/>
      <c r="AU2" s="17"/>
      <c r="AV2" s="5"/>
      <c r="AW2" s="17"/>
      <c r="AX2" s="5"/>
      <c r="AY2" s="5"/>
      <c r="AZ2" s="5"/>
      <c r="BA2" s="5"/>
      <c r="BB2" s="5"/>
      <c r="BC2" s="6"/>
      <c r="BD2" s="18"/>
      <c r="BE2" s="18"/>
      <c r="BF2" s="18"/>
      <c r="BG2" s="5"/>
      <c r="BH2" s="5"/>
      <c r="BI2" s="19"/>
      <c r="BJ2" s="19"/>
      <c r="BK2" s="20"/>
      <c r="BL2" s="19"/>
      <c r="BM2" s="19"/>
      <c r="BN2" s="19"/>
      <c r="CG2" s="21"/>
      <c r="CK2" s="22"/>
      <c r="CO2" s="22"/>
      <c r="CU2" s="22"/>
      <c r="DO2" s="7"/>
      <c r="DU2" s="8" t="s">
        <v>3</v>
      </c>
      <c r="DV2" s="8"/>
      <c r="DW2" s="8"/>
      <c r="DX2" s="8"/>
      <c r="DY2" s="8"/>
      <c r="DZ2" s="8"/>
      <c r="EA2" s="3"/>
      <c r="EB2" s="3"/>
      <c r="EC2" s="8"/>
      <c r="ED2" s="3"/>
      <c r="EE2" s="8"/>
      <c r="EF2" s="8"/>
      <c r="EG2" s="8"/>
      <c r="EH2" s="8"/>
      <c r="EI2" s="8"/>
      <c r="EJ2" s="9"/>
      <c r="EK2" s="9"/>
      <c r="EL2" s="8"/>
      <c r="EM2" s="8"/>
      <c r="EN2" s="9"/>
      <c r="EO2" s="8"/>
      <c r="EP2" s="104"/>
      <c r="EQ2" s="246"/>
      <c r="ER2" s="246"/>
      <c r="ES2" s="246"/>
      <c r="ET2" s="246"/>
      <c r="EU2" s="9"/>
      <c r="EV2" s="9"/>
      <c r="EW2" s="3"/>
      <c r="EX2" s="8"/>
      <c r="EY2" s="8"/>
      <c r="EZ2" s="8"/>
      <c r="FC2" s="9"/>
      <c r="FD2" s="246"/>
      <c r="FE2" s="9"/>
      <c r="FF2" s="9"/>
      <c r="FG2" s="246"/>
      <c r="FH2" s="9"/>
      <c r="FI2" s="9"/>
      <c r="FJ2" s="9"/>
      <c r="FK2" s="246"/>
      <c r="FL2" s="246"/>
      <c r="FM2" s="9"/>
      <c r="FN2" s="23"/>
      <c r="FO2" s="23"/>
      <c r="FP2" s="23"/>
      <c r="FQ2" s="23"/>
      <c r="FR2" s="23"/>
      <c r="FS2" s="16"/>
      <c r="FT2" s="16"/>
      <c r="FU2" s="16"/>
      <c r="FV2" s="16"/>
      <c r="FW2" s="16"/>
      <c r="GK2" s="10"/>
      <c r="GL2" s="10"/>
    </row>
    <row r="3" spans="1:194" s="16" customFormat="1" ht="30" customHeight="1">
      <c r="D3" s="337"/>
      <c r="E3" s="338"/>
      <c r="F3" s="338"/>
      <c r="G3" s="28"/>
      <c r="H3" s="339"/>
      <c r="I3" s="339"/>
      <c r="J3" s="339"/>
      <c r="K3" s="339"/>
      <c r="L3" s="339"/>
      <c r="M3" s="339"/>
      <c r="N3" s="339"/>
      <c r="P3" s="340"/>
      <c r="R3" s="27" t="s">
        <v>211</v>
      </c>
      <c r="S3" s="27" t="s">
        <v>212</v>
      </c>
      <c r="T3" s="27" t="s">
        <v>213</v>
      </c>
      <c r="U3" s="27"/>
      <c r="V3" s="27" t="s">
        <v>214</v>
      </c>
      <c r="W3" s="27"/>
      <c r="X3" s="27">
        <v>1402</v>
      </c>
      <c r="Y3" s="27" t="s">
        <v>215</v>
      </c>
      <c r="Z3" s="27" t="s">
        <v>216</v>
      </c>
      <c r="AA3" s="27" t="s">
        <v>217</v>
      </c>
      <c r="AB3" s="27" t="s">
        <v>218</v>
      </c>
      <c r="AC3" s="27" t="s">
        <v>219</v>
      </c>
      <c r="AD3" s="28" t="s">
        <v>220</v>
      </c>
      <c r="AE3" s="28" t="s">
        <v>221</v>
      </c>
      <c r="AF3" s="27" t="s">
        <v>222</v>
      </c>
      <c r="AG3" s="27" t="s">
        <v>223</v>
      </c>
      <c r="AH3" s="28" t="s">
        <v>224</v>
      </c>
      <c r="AI3" s="28" t="s">
        <v>225</v>
      </c>
      <c r="AJ3" s="27" t="s">
        <v>226</v>
      </c>
      <c r="AK3" s="27" t="s">
        <v>227</v>
      </c>
      <c r="AL3" s="27" t="s">
        <v>228</v>
      </c>
      <c r="AM3" s="28" t="s">
        <v>229</v>
      </c>
      <c r="AN3" s="27" t="s">
        <v>230</v>
      </c>
      <c r="AO3" s="27" t="s">
        <v>231</v>
      </c>
      <c r="AP3" s="27" t="s">
        <v>232</v>
      </c>
      <c r="AQ3" s="27" t="s">
        <v>233</v>
      </c>
      <c r="AR3" s="27" t="s">
        <v>234</v>
      </c>
      <c r="AS3" s="27" t="s">
        <v>235</v>
      </c>
      <c r="AT3" s="27" t="s">
        <v>236</v>
      </c>
      <c r="AU3" s="27" t="s">
        <v>237</v>
      </c>
      <c r="AV3" s="27">
        <v>32</v>
      </c>
      <c r="AW3" s="27" t="s">
        <v>238</v>
      </c>
      <c r="AX3" s="27" t="s">
        <v>239</v>
      </c>
      <c r="AY3" s="341" t="s">
        <v>199</v>
      </c>
      <c r="AZ3" s="27" t="s">
        <v>240</v>
      </c>
      <c r="BA3" s="27" t="s">
        <v>241</v>
      </c>
      <c r="BB3" s="27" t="s">
        <v>242</v>
      </c>
      <c r="BC3" s="29" t="s">
        <v>243</v>
      </c>
      <c r="BD3" s="27"/>
      <c r="BE3" s="27"/>
      <c r="BF3" s="27"/>
      <c r="BG3" s="27" t="s">
        <v>298</v>
      </c>
      <c r="BH3" s="27"/>
      <c r="BI3" s="342" t="s">
        <v>244</v>
      </c>
      <c r="BJ3" s="342" t="s">
        <v>245</v>
      </c>
      <c r="BK3" s="343"/>
      <c r="BL3" s="342">
        <v>6932</v>
      </c>
      <c r="BM3" s="342"/>
      <c r="BN3" s="342"/>
      <c r="BO3" s="459" t="s">
        <v>4</v>
      </c>
      <c r="BY3" s="375"/>
      <c r="CC3" s="16">
        <f>COLUMN(CC2)-3</f>
        <v>78</v>
      </c>
      <c r="CD3" s="16">
        <f>COLUMN(CD2)-3</f>
        <v>79</v>
      </c>
      <c r="CE3" s="16">
        <f>COLUMN(CE2)-3</f>
        <v>80</v>
      </c>
      <c r="CF3" s="16">
        <f>COLUMN(CF2)-3</f>
        <v>81</v>
      </c>
      <c r="CG3" s="16">
        <f>COLUMN(CG2)-2</f>
        <v>83</v>
      </c>
      <c r="CH3" s="16">
        <f>COLUMN(CH2)-2</f>
        <v>84</v>
      </c>
      <c r="CI3" s="16">
        <f t="shared" ref="CI3:CX3" si="0">COLUMN(CI2)-2</f>
        <v>85</v>
      </c>
      <c r="CJ3" s="16">
        <f t="shared" si="0"/>
        <v>86</v>
      </c>
      <c r="CK3" s="16">
        <f t="shared" si="0"/>
        <v>87</v>
      </c>
      <c r="CL3" s="16">
        <f t="shared" si="0"/>
        <v>88</v>
      </c>
      <c r="CM3" s="16">
        <f t="shared" si="0"/>
        <v>89</v>
      </c>
      <c r="CN3" s="16">
        <f t="shared" si="0"/>
        <v>90</v>
      </c>
      <c r="CO3" s="16">
        <f t="shared" si="0"/>
        <v>91</v>
      </c>
      <c r="CP3" s="16">
        <f t="shared" si="0"/>
        <v>92</v>
      </c>
      <c r="CQ3" s="16">
        <f t="shared" si="0"/>
        <v>93</v>
      </c>
      <c r="CR3" s="16">
        <f t="shared" si="0"/>
        <v>94</v>
      </c>
      <c r="CS3" s="16">
        <f t="shared" si="0"/>
        <v>95</v>
      </c>
      <c r="CT3" s="16">
        <f t="shared" si="0"/>
        <v>96</v>
      </c>
      <c r="CU3" s="16">
        <f t="shared" si="0"/>
        <v>97</v>
      </c>
      <c r="CV3" s="16">
        <f t="shared" si="0"/>
        <v>98</v>
      </c>
      <c r="CW3" s="16">
        <f t="shared" si="0"/>
        <v>99</v>
      </c>
      <c r="CX3" s="16">
        <f t="shared" si="0"/>
        <v>100</v>
      </c>
      <c r="CY3" s="16">
        <f>COLUMN(CY2)-3</f>
        <v>100</v>
      </c>
      <c r="CZ3" s="16">
        <f>COLUMN(CZ2)-2</f>
        <v>102</v>
      </c>
      <c r="DA3" s="16">
        <f>COLUMN(DA2)-3</f>
        <v>102</v>
      </c>
      <c r="DB3" s="16">
        <f>COLUMN(DB2)-2</f>
        <v>104</v>
      </c>
      <c r="DC3" s="16">
        <f>COLUMN(DC2)-2</f>
        <v>105</v>
      </c>
      <c r="DO3" s="345"/>
      <c r="DU3" s="346" t="s">
        <v>5</v>
      </c>
      <c r="DV3" s="347" t="s">
        <v>6</v>
      </c>
      <c r="DW3" s="347" t="s">
        <v>7</v>
      </c>
      <c r="DX3" s="347" t="s">
        <v>8</v>
      </c>
      <c r="DY3" s="347" t="s">
        <v>9</v>
      </c>
      <c r="DZ3" s="347" t="s">
        <v>10</v>
      </c>
      <c r="EA3" s="347" t="s">
        <v>11</v>
      </c>
      <c r="EB3" s="347" t="s">
        <v>12</v>
      </c>
      <c r="EC3" s="347" t="s">
        <v>13</v>
      </c>
      <c r="ED3" s="347" t="s">
        <v>14</v>
      </c>
      <c r="EE3" s="348" t="s">
        <v>200</v>
      </c>
      <c r="EF3" s="348" t="s">
        <v>201</v>
      </c>
      <c r="EG3" s="347" t="s">
        <v>17</v>
      </c>
      <c r="EH3" s="347" t="s">
        <v>18</v>
      </c>
      <c r="EI3" s="347" t="s">
        <v>19</v>
      </c>
      <c r="EJ3" s="347" t="s">
        <v>20</v>
      </c>
      <c r="EK3" s="347" t="s">
        <v>21</v>
      </c>
      <c r="EL3" s="347" t="s">
        <v>22</v>
      </c>
      <c r="EM3" s="347" t="s">
        <v>23</v>
      </c>
      <c r="EN3" s="347" t="s">
        <v>24</v>
      </c>
      <c r="EO3" s="348" t="s">
        <v>25</v>
      </c>
      <c r="EP3" s="348" t="s">
        <v>26</v>
      </c>
      <c r="EQ3" s="347" t="s">
        <v>27</v>
      </c>
      <c r="ER3" s="347" t="s">
        <v>28</v>
      </c>
      <c r="ES3" s="347" t="s">
        <v>29</v>
      </c>
      <c r="ET3" s="347" t="s">
        <v>30</v>
      </c>
      <c r="EU3" s="347" t="s">
        <v>31</v>
      </c>
      <c r="EV3" s="347" t="s">
        <v>32</v>
      </c>
      <c r="EW3" s="347" t="s">
        <v>33</v>
      </c>
      <c r="EX3" s="347" t="s">
        <v>34</v>
      </c>
      <c r="EY3" s="348" t="s">
        <v>35</v>
      </c>
      <c r="EZ3" s="347" t="s">
        <v>36</v>
      </c>
      <c r="FA3" s="348" t="s">
        <v>37</v>
      </c>
      <c r="FB3" s="560" t="s">
        <v>38</v>
      </c>
      <c r="FC3" s="577" t="s">
        <v>39</v>
      </c>
      <c r="FD3" s="37" t="s">
        <v>40</v>
      </c>
      <c r="FE3" s="38" t="s">
        <v>41</v>
      </c>
      <c r="FF3" s="38" t="s">
        <v>42</v>
      </c>
      <c r="FG3" s="38" t="s">
        <v>43</v>
      </c>
      <c r="FH3" s="38" t="s">
        <v>44</v>
      </c>
      <c r="FI3" s="38" t="s">
        <v>45</v>
      </c>
      <c r="FJ3" s="38" t="s">
        <v>46</v>
      </c>
      <c r="FK3" s="38" t="s">
        <v>47</v>
      </c>
      <c r="FL3" s="38" t="s">
        <v>48</v>
      </c>
      <c r="FM3" s="39" t="s">
        <v>49</v>
      </c>
      <c r="FN3" s="38" t="s">
        <v>50</v>
      </c>
      <c r="FO3" s="40" t="s">
        <v>51</v>
      </c>
      <c r="FP3" s="41" t="s">
        <v>52</v>
      </c>
      <c r="FQ3" s="23"/>
      <c r="GK3" s="222"/>
      <c r="GL3" s="222"/>
    </row>
    <row r="4" spans="1:194" s="4" customFormat="1" ht="26.25" customHeight="1">
      <c r="B4" s="579" t="s">
        <v>53</v>
      </c>
      <c r="C4" s="42"/>
      <c r="D4" s="43" t="s">
        <v>54</v>
      </c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2"/>
      <c r="R4" s="45" t="s">
        <v>55</v>
      </c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7"/>
      <c r="BL4" s="48" t="s">
        <v>55</v>
      </c>
      <c r="BM4" s="48"/>
      <c r="BN4" s="47"/>
      <c r="BO4" s="32" t="s">
        <v>56</v>
      </c>
      <c r="BP4" s="32"/>
      <c r="BQ4" s="32"/>
      <c r="BR4" s="32"/>
      <c r="BS4" s="32"/>
      <c r="BT4" s="32"/>
      <c r="BU4" s="32"/>
      <c r="BV4" s="32" t="s">
        <v>57</v>
      </c>
      <c r="BW4" s="32"/>
      <c r="BX4" s="32"/>
      <c r="BY4" s="32"/>
      <c r="BZ4" s="32"/>
      <c r="CA4" s="32"/>
      <c r="CB4" s="32"/>
      <c r="CC4" s="32"/>
      <c r="CD4" s="32"/>
      <c r="CE4" s="32"/>
      <c r="CF4" s="581" t="s">
        <v>56</v>
      </c>
      <c r="CG4" s="581"/>
      <c r="CH4" s="581"/>
      <c r="CI4" s="49"/>
      <c r="CJ4" s="581" t="s">
        <v>56</v>
      </c>
      <c r="CK4" s="581"/>
      <c r="CL4" s="581"/>
      <c r="CM4" s="49"/>
      <c r="CN4" s="581" t="s">
        <v>56</v>
      </c>
      <c r="CO4" s="581"/>
      <c r="CP4" s="581"/>
      <c r="CQ4" s="49"/>
      <c r="CR4" s="581" t="s">
        <v>56</v>
      </c>
      <c r="CS4" s="581"/>
      <c r="CT4" s="581"/>
      <c r="CU4" s="581" t="s">
        <v>56</v>
      </c>
      <c r="CV4" s="581"/>
      <c r="CW4" s="581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50"/>
      <c r="DP4" s="32" t="s">
        <v>58</v>
      </c>
      <c r="DQ4" s="51"/>
      <c r="DR4" s="52"/>
      <c r="DS4" s="53"/>
      <c r="DT4" s="33" t="s">
        <v>53</v>
      </c>
      <c r="DU4" s="347"/>
      <c r="DV4" s="347"/>
      <c r="DW4" s="347"/>
      <c r="DX4" s="347"/>
      <c r="DY4" s="347"/>
      <c r="DZ4" s="347"/>
      <c r="EA4" s="347"/>
      <c r="EB4" s="347"/>
      <c r="EC4" s="347"/>
      <c r="ED4" s="347"/>
      <c r="EE4" s="347"/>
      <c r="EF4" s="347"/>
      <c r="EG4" s="347"/>
      <c r="EH4" s="347"/>
      <c r="EI4" s="347"/>
      <c r="EJ4" s="347"/>
      <c r="EK4" s="347"/>
      <c r="EL4" s="347"/>
      <c r="EM4" s="347"/>
      <c r="EN4" s="347"/>
      <c r="EO4" s="347"/>
      <c r="EP4" s="347"/>
      <c r="EQ4" s="347"/>
      <c r="ER4" s="347"/>
      <c r="ES4" s="347"/>
      <c r="ET4" s="347"/>
      <c r="EU4" s="347"/>
      <c r="EV4" s="347"/>
      <c r="EW4" s="347"/>
      <c r="EX4" s="347"/>
      <c r="EY4" s="347"/>
      <c r="EZ4" s="347"/>
      <c r="FA4" s="347"/>
      <c r="FB4" s="561"/>
      <c r="FC4" s="578"/>
      <c r="FD4" s="55"/>
      <c r="FE4" s="561"/>
      <c r="FF4" s="561"/>
      <c r="FG4" s="561"/>
      <c r="FH4" s="561"/>
      <c r="FI4" s="561"/>
      <c r="FJ4" s="561"/>
      <c r="FK4" s="561"/>
      <c r="FL4" s="561"/>
      <c r="FM4" s="56"/>
      <c r="FN4" s="349"/>
      <c r="FO4" s="58"/>
      <c r="FP4" s="350"/>
      <c r="FZ4" s="60"/>
      <c r="GA4" s="60"/>
      <c r="GB4" s="60"/>
      <c r="GC4" s="60"/>
      <c r="GD4" s="61" t="s">
        <v>59</v>
      </c>
      <c r="GE4" s="61"/>
      <c r="GF4" s="61"/>
      <c r="GG4" s="62"/>
      <c r="GH4" s="34" t="s">
        <v>60</v>
      </c>
      <c r="GI4" s="63" t="s">
        <v>61</v>
      </c>
      <c r="GJ4" s="63"/>
    </row>
    <row r="5" spans="1:194" ht="36" customHeight="1">
      <c r="B5" s="580"/>
      <c r="C5" s="65"/>
      <c r="D5" s="66" t="s">
        <v>62</v>
      </c>
      <c r="E5" s="66" t="s">
        <v>63</v>
      </c>
      <c r="F5" s="66" t="s">
        <v>64</v>
      </c>
      <c r="G5" s="66" t="s">
        <v>65</v>
      </c>
      <c r="H5" s="66" t="s">
        <v>66</v>
      </c>
      <c r="I5" s="66" t="s">
        <v>19</v>
      </c>
      <c r="J5" s="66" t="s">
        <v>20</v>
      </c>
      <c r="K5" s="66" t="s">
        <v>21</v>
      </c>
      <c r="L5" s="67" t="s">
        <v>67</v>
      </c>
      <c r="M5" s="67" t="s">
        <v>68</v>
      </c>
      <c r="N5" s="66" t="s">
        <v>69</v>
      </c>
      <c r="O5" s="66" t="s">
        <v>70</v>
      </c>
      <c r="P5" s="66" t="s">
        <v>71</v>
      </c>
      <c r="Q5" s="65"/>
      <c r="R5" s="66" t="s">
        <v>22</v>
      </c>
      <c r="S5" s="66" t="s">
        <v>72</v>
      </c>
      <c r="T5" s="66" t="s">
        <v>23</v>
      </c>
      <c r="U5" s="66" t="s">
        <v>73</v>
      </c>
      <c r="V5" s="66" t="s">
        <v>74</v>
      </c>
      <c r="W5" s="66" t="s">
        <v>75</v>
      </c>
      <c r="X5" s="66" t="s">
        <v>76</v>
      </c>
      <c r="Y5" s="66" t="s">
        <v>27</v>
      </c>
      <c r="Z5" s="66" t="s">
        <v>28</v>
      </c>
      <c r="AA5" s="67" t="s">
        <v>77</v>
      </c>
      <c r="AB5" s="67" t="s">
        <v>78</v>
      </c>
      <c r="AC5" s="66" t="s">
        <v>6</v>
      </c>
      <c r="AD5" s="67" t="s">
        <v>79</v>
      </c>
      <c r="AE5" s="67" t="s">
        <v>80</v>
      </c>
      <c r="AF5" s="67" t="s">
        <v>8</v>
      </c>
      <c r="AG5" s="66" t="s">
        <v>9</v>
      </c>
      <c r="AH5" s="67" t="s">
        <v>81</v>
      </c>
      <c r="AI5" s="67" t="s">
        <v>82</v>
      </c>
      <c r="AJ5" s="67" t="s">
        <v>11</v>
      </c>
      <c r="AK5" s="66" t="s">
        <v>12</v>
      </c>
      <c r="AL5" s="67" t="s">
        <v>83</v>
      </c>
      <c r="AM5" s="67" t="s">
        <v>84</v>
      </c>
      <c r="AN5" s="66" t="s">
        <v>14</v>
      </c>
      <c r="AO5" s="66" t="s">
        <v>65</v>
      </c>
      <c r="AP5" s="66" t="s">
        <v>17</v>
      </c>
      <c r="AQ5" s="66" t="s">
        <v>66</v>
      </c>
      <c r="AR5" s="67" t="s">
        <v>85</v>
      </c>
      <c r="AS5" s="66" t="s">
        <v>86</v>
      </c>
      <c r="AT5" s="67" t="s">
        <v>87</v>
      </c>
      <c r="AU5" s="67" t="s">
        <v>88</v>
      </c>
      <c r="AV5" s="66">
        <v>561</v>
      </c>
      <c r="AW5" s="67" t="s">
        <v>89</v>
      </c>
      <c r="AX5" s="66">
        <v>562</v>
      </c>
      <c r="AY5" s="66" t="s">
        <v>21</v>
      </c>
      <c r="AZ5" s="66" t="s">
        <v>33</v>
      </c>
      <c r="BA5" s="66" t="s">
        <v>90</v>
      </c>
      <c r="BB5" s="66" t="s">
        <v>34</v>
      </c>
      <c r="BC5" s="67" t="s">
        <v>91</v>
      </c>
      <c r="BD5" s="67" t="s">
        <v>92</v>
      </c>
      <c r="BE5" s="67" t="s">
        <v>93</v>
      </c>
      <c r="BF5" s="67" t="s">
        <v>94</v>
      </c>
      <c r="BG5" s="66" t="s">
        <v>95</v>
      </c>
      <c r="BH5" s="66" t="s">
        <v>96</v>
      </c>
      <c r="BI5" s="66" t="s">
        <v>97</v>
      </c>
      <c r="BJ5" s="66" t="s">
        <v>98</v>
      </c>
      <c r="BK5" s="69"/>
      <c r="BL5" s="66" t="s">
        <v>99</v>
      </c>
      <c r="BM5" s="70" t="s">
        <v>71</v>
      </c>
      <c r="BN5" s="69"/>
      <c r="BO5" s="67" t="s">
        <v>22</v>
      </c>
      <c r="BP5" s="67" t="s">
        <v>72</v>
      </c>
      <c r="BQ5" s="67" t="s">
        <v>23</v>
      </c>
      <c r="BR5" s="67" t="s">
        <v>74</v>
      </c>
      <c r="BS5" s="67" t="s">
        <v>27</v>
      </c>
      <c r="BT5" s="67" t="s">
        <v>28</v>
      </c>
      <c r="BU5" s="67" t="s">
        <v>101</v>
      </c>
      <c r="BV5" s="67" t="s">
        <v>22</v>
      </c>
      <c r="BW5" s="67" t="s">
        <v>100</v>
      </c>
      <c r="BX5" s="67" t="s">
        <v>23</v>
      </c>
      <c r="BY5" s="67" t="s">
        <v>74</v>
      </c>
      <c r="BZ5" s="67" t="s">
        <v>102</v>
      </c>
      <c r="CA5" s="71" t="s">
        <v>1</v>
      </c>
      <c r="CB5" s="66" t="s">
        <v>103</v>
      </c>
      <c r="CC5" s="66" t="s">
        <v>86</v>
      </c>
      <c r="CD5" s="67" t="s">
        <v>104</v>
      </c>
      <c r="CE5" s="67" t="s">
        <v>204</v>
      </c>
      <c r="CF5" s="66" t="s">
        <v>78</v>
      </c>
      <c r="CG5" s="66" t="s">
        <v>6</v>
      </c>
      <c r="CH5" s="67" t="s">
        <v>106</v>
      </c>
      <c r="CI5" s="71" t="s">
        <v>1</v>
      </c>
      <c r="CJ5" s="66" t="s">
        <v>8</v>
      </c>
      <c r="CK5" s="66" t="s">
        <v>9</v>
      </c>
      <c r="CL5" s="67" t="s">
        <v>107</v>
      </c>
      <c r="CM5" s="71" t="s">
        <v>1</v>
      </c>
      <c r="CN5" s="66" t="s">
        <v>11</v>
      </c>
      <c r="CO5" s="66" t="s">
        <v>12</v>
      </c>
      <c r="CP5" s="67" t="s">
        <v>205</v>
      </c>
      <c r="CQ5" s="71" t="s">
        <v>1</v>
      </c>
      <c r="CR5" s="66" t="s">
        <v>109</v>
      </c>
      <c r="CS5" s="67" t="s">
        <v>206</v>
      </c>
      <c r="CT5" s="71" t="s">
        <v>1</v>
      </c>
      <c r="CU5" s="66" t="s">
        <v>17</v>
      </c>
      <c r="CV5" s="67" t="s">
        <v>207</v>
      </c>
      <c r="CW5" s="71" t="s">
        <v>1</v>
      </c>
      <c r="CX5" s="67" t="s">
        <v>110</v>
      </c>
      <c r="CY5" s="66" t="s">
        <v>19</v>
      </c>
      <c r="CZ5" s="67" t="s">
        <v>111</v>
      </c>
      <c r="DA5" s="66" t="s">
        <v>112</v>
      </c>
      <c r="DB5" s="66" t="s">
        <v>33</v>
      </c>
      <c r="DC5" s="66" t="s">
        <v>34</v>
      </c>
      <c r="DD5" s="66" t="s">
        <v>91</v>
      </c>
      <c r="DE5" s="66" t="s">
        <v>92</v>
      </c>
      <c r="DF5" s="66" t="s">
        <v>113</v>
      </c>
      <c r="DG5" s="66" t="s">
        <v>114</v>
      </c>
      <c r="DH5" s="67" t="s">
        <v>115</v>
      </c>
      <c r="DI5" s="71" t="s">
        <v>1</v>
      </c>
      <c r="DJ5" s="66" t="s">
        <v>96</v>
      </c>
      <c r="DK5" s="71" t="s">
        <v>1</v>
      </c>
      <c r="DL5" s="66" t="s">
        <v>97</v>
      </c>
      <c r="DM5" s="71" t="s">
        <v>1</v>
      </c>
      <c r="DN5" s="67" t="s">
        <v>98</v>
      </c>
      <c r="DO5" s="69"/>
      <c r="DP5" s="66" t="s">
        <v>116</v>
      </c>
      <c r="DQ5" s="72" t="s">
        <v>71</v>
      </c>
      <c r="DR5" s="73" t="s">
        <v>1</v>
      </c>
      <c r="DS5" s="74"/>
      <c r="DT5" s="563"/>
      <c r="DU5" s="361">
        <v>639922</v>
      </c>
      <c r="DV5" s="361">
        <v>30659</v>
      </c>
      <c r="DW5" s="361">
        <v>5158804</v>
      </c>
      <c r="DX5" s="361">
        <v>124739</v>
      </c>
      <c r="DY5" s="361">
        <v>90036.3</v>
      </c>
      <c r="DZ5" s="361">
        <v>410588</v>
      </c>
      <c r="EA5" s="303">
        <v>246247</v>
      </c>
      <c r="EB5" s="303">
        <v>56839.9</v>
      </c>
      <c r="EC5" s="303">
        <v>427422</v>
      </c>
      <c r="ED5" s="361">
        <v>48757.7</v>
      </c>
      <c r="EE5" s="303">
        <v>41734.699999999997</v>
      </c>
      <c r="EF5" s="303">
        <v>43716.9</v>
      </c>
      <c r="EG5" s="361">
        <v>96041.1</v>
      </c>
      <c r="EH5" s="361">
        <v>188834.1</v>
      </c>
      <c r="EI5" s="361">
        <v>35519</v>
      </c>
      <c r="EJ5" s="303">
        <v>44175</v>
      </c>
      <c r="EK5" s="303"/>
      <c r="EL5" s="361">
        <v>726933.3</v>
      </c>
      <c r="EM5" s="361">
        <v>3288</v>
      </c>
      <c r="EN5" s="303">
        <v>49069.2</v>
      </c>
      <c r="EO5" s="361">
        <v>3154438.8</v>
      </c>
      <c r="EP5" s="303">
        <v>2860379</v>
      </c>
      <c r="EQ5" s="303">
        <v>1226</v>
      </c>
      <c r="ER5" s="303">
        <v>1786</v>
      </c>
      <c r="ES5" s="303">
        <v>439092</v>
      </c>
      <c r="ET5" s="303">
        <v>223997</v>
      </c>
      <c r="EU5" s="303">
        <v>166577</v>
      </c>
      <c r="EV5" s="303">
        <v>472483</v>
      </c>
      <c r="EW5" s="303">
        <v>148721</v>
      </c>
      <c r="EX5" s="361">
        <v>225366.39999999999</v>
      </c>
      <c r="EY5" s="361">
        <v>1736116.1</v>
      </c>
      <c r="EZ5" s="361">
        <v>843646.1</v>
      </c>
      <c r="FA5" s="361">
        <v>773140</v>
      </c>
      <c r="FB5" s="303">
        <v>32033.200000000001</v>
      </c>
      <c r="FC5" s="361">
        <v>6596</v>
      </c>
      <c r="FD5" s="78">
        <v>2337</v>
      </c>
      <c r="FE5" s="77"/>
      <c r="FF5" s="267"/>
      <c r="FG5" s="267"/>
      <c r="FH5" s="104"/>
      <c r="FI5" s="267"/>
      <c r="FJ5" s="104"/>
      <c r="FK5" s="267"/>
      <c r="FL5" s="267"/>
      <c r="FM5" s="267"/>
      <c r="FN5" s="80"/>
      <c r="FO5" s="389">
        <v>1162368</v>
      </c>
      <c r="FP5" s="81"/>
      <c r="FQ5" s="64"/>
      <c r="FR5" s="64"/>
      <c r="FS5" s="64"/>
      <c r="FT5" s="64"/>
      <c r="FU5" s="64"/>
      <c r="FV5" s="64"/>
      <c r="FW5" s="64"/>
      <c r="FX5" s="64"/>
      <c r="FY5" s="64"/>
      <c r="FZ5" s="82" t="s">
        <v>117</v>
      </c>
      <c r="GA5" s="82" t="s">
        <v>118</v>
      </c>
      <c r="GB5" s="82" t="s">
        <v>119</v>
      </c>
      <c r="GC5" s="70" t="s">
        <v>120</v>
      </c>
      <c r="GD5" s="70" t="s">
        <v>121</v>
      </c>
      <c r="GE5" s="70" t="s">
        <v>122</v>
      </c>
      <c r="GF5" s="70" t="s">
        <v>74</v>
      </c>
      <c r="GG5" s="70" t="s">
        <v>120</v>
      </c>
      <c r="GH5" s="70" t="s">
        <v>120</v>
      </c>
      <c r="GI5" s="83" t="s">
        <v>123</v>
      </c>
      <c r="GJ5" s="70" t="s">
        <v>124</v>
      </c>
      <c r="GK5" s="64"/>
      <c r="GL5" s="64"/>
    </row>
    <row r="6" spans="1:194" ht="15" customHeight="1">
      <c r="A6" s="4"/>
      <c r="B6" s="351">
        <v>43040</v>
      </c>
      <c r="C6" s="53"/>
      <c r="D6" s="86">
        <v>3030</v>
      </c>
      <c r="E6" s="86">
        <v>0</v>
      </c>
      <c r="F6" s="86">
        <v>1777.8240000000001</v>
      </c>
      <c r="G6" s="86">
        <v>3479.27</v>
      </c>
      <c r="H6" s="86">
        <v>1914.0609999999999</v>
      </c>
      <c r="I6" s="86">
        <v>1251.8150000000001</v>
      </c>
      <c r="J6" s="86">
        <v>5093.5200000000004</v>
      </c>
      <c r="K6" s="86">
        <v>11.178000000000001</v>
      </c>
      <c r="L6" s="86">
        <v>0</v>
      </c>
      <c r="M6" s="87">
        <f>I6+J6</f>
        <v>6345.3350000000009</v>
      </c>
      <c r="N6" s="88">
        <f>SUM(D6:H6)</f>
        <v>10201.155000000001</v>
      </c>
      <c r="O6" s="88">
        <f>N6+L6+((J6+I6)*0.5)</f>
        <v>13373.822500000002</v>
      </c>
      <c r="P6" s="89">
        <f>O6</f>
        <v>13373.822500000002</v>
      </c>
      <c r="Q6" s="74"/>
      <c r="R6" s="170">
        <f>IF(EL6=0,"",(EL6-EL5))</f>
        <v>213.39999999990687</v>
      </c>
      <c r="S6" s="170">
        <f>IF(EZ6=0,"",((EZ6-EZ5)/10))</f>
        <v>23.059999999997672</v>
      </c>
      <c r="T6" s="170">
        <f t="shared" ref="T6:T36" si="1">IF(EM6=0,"",((EM6/10)))</f>
        <v>710.5</v>
      </c>
      <c r="U6" s="170">
        <f>IF(FB6=0,"",((EN6-EN5)/10))</f>
        <v>5.9700000000004367</v>
      </c>
      <c r="V6" s="170">
        <f>IF(EO6=0,"",(EO6-EO5))</f>
        <v>1011.2000000001863</v>
      </c>
      <c r="W6" s="170">
        <f t="shared" ref="W6:W36" si="2">IF(EP6=0,"",(EP6-EP5)/10)</f>
        <v>89.1</v>
      </c>
      <c r="X6" s="170">
        <f>IF(V6="","",V6)</f>
        <v>1011.2000000001863</v>
      </c>
      <c r="Y6" s="170">
        <f>IF(EQ6=0,"0",(EQ6/10))</f>
        <v>122.6</v>
      </c>
      <c r="Z6" s="170">
        <f t="shared" ref="Z6:Z36" si="3">IF(ER6=0,"",(ER6/10))</f>
        <v>345.3</v>
      </c>
      <c r="AA6" s="501">
        <f>IF(SUM(R6:V6)=0,"",SUM(R6:V6))</f>
        <v>1964.1300000000913</v>
      </c>
      <c r="AB6" s="170">
        <f>IF(DU6=0,"",(DU6-DU5))</f>
        <v>0</v>
      </c>
      <c r="AC6" s="170">
        <f>IF(DV6=0,"",(DV6-DV5))</f>
        <v>0</v>
      </c>
      <c r="AD6" s="501">
        <f t="shared" ref="AD6:AD35" si="4">DW6-DW5+AB6</f>
        <v>116</v>
      </c>
      <c r="AE6" s="501">
        <f>IF(AB6="","",(AD6-AC6-AB6))</f>
        <v>116</v>
      </c>
      <c r="AF6" s="170">
        <f>IF(DX6=0,"",(DX6-DX5))</f>
        <v>92</v>
      </c>
      <c r="AG6" s="170">
        <f>IF(DY6=0,"",(DY6-DY5))</f>
        <v>168.39999999999418</v>
      </c>
      <c r="AH6" s="501">
        <f t="shared" ref="AH6:AH28" si="5">DZ6-DZ5+AF6</f>
        <v>352</v>
      </c>
      <c r="AI6" s="501">
        <f>IF(AF6="","",(AH6-AG6-AF6))</f>
        <v>91.600000000005821</v>
      </c>
      <c r="AJ6" s="170">
        <f>IF(EA6=0,"",(EA6-EA5))</f>
        <v>207</v>
      </c>
      <c r="AK6" s="170">
        <f>IF(EB6=0,"",(EB6-EB5))</f>
        <v>11</v>
      </c>
      <c r="AL6" s="501">
        <f t="shared" ref="AL6:AL35" si="6">EC6-EC5+AJ6</f>
        <v>292</v>
      </c>
      <c r="AM6" s="501">
        <f>IF(AJ6="","",(AL6-AK6-AJ6))</f>
        <v>74</v>
      </c>
      <c r="AN6" s="170">
        <f>IF(ED6=0,"",(ED6-ED5))</f>
        <v>0.70000000000436557</v>
      </c>
      <c r="AO6" s="501">
        <f t="shared" ref="AO6:AO36" si="7">IF(AN6="","",(EE6-EE5)+(EF6-EF5))</f>
        <v>40</v>
      </c>
      <c r="AP6" s="170">
        <f>IF(EG6=0,"",(EG6-EG5))</f>
        <v>60.299999999988358</v>
      </c>
      <c r="AQ6" s="501">
        <f t="shared" ref="AQ6:AQ36" si="8">IF(AP6=0.1,0,(IF(AP6&gt;=(EH6-EH5),(AP6),(EH6-EH5))))</f>
        <v>96.399999999994179</v>
      </c>
      <c r="AR6" s="170">
        <f>IF(ET6=0,"",(ET6-ET5)/1000)</f>
        <v>95.087999999999994</v>
      </c>
      <c r="AS6" s="501">
        <f>IF(AR6="","",(ES6-ES5)+((ET6-ET5)/1000)-AW6-AU6)</f>
        <v>245.08799999999997</v>
      </c>
      <c r="AT6" s="501">
        <f>IF(AR6="","",ES6-ES5+((ET6-ET5)/1000))</f>
        <v>951.08799999999997</v>
      </c>
      <c r="AU6" s="170">
        <f>IF(EV6="","",(EV6-EV5))</f>
        <v>465</v>
      </c>
      <c r="AV6" s="501">
        <f>IF(EI6=0,"",(EI6-EI5))</f>
        <v>41</v>
      </c>
      <c r="AW6" s="170">
        <f>IF(EU6="","",(EU6-EU5))</f>
        <v>241</v>
      </c>
      <c r="AX6" s="501">
        <f>IF(EJ6=0,"",(EJ6-EJ5))</f>
        <v>22</v>
      </c>
      <c r="AY6" s="501"/>
      <c r="AZ6" s="170">
        <f>IF(EW6=0,"",EW6-EW5)</f>
        <v>200</v>
      </c>
      <c r="BA6" s="170">
        <v>143</v>
      </c>
      <c r="BB6" s="170">
        <f>IF(EX6=0,"",(EX6-EX5))</f>
        <v>139.70000000001164</v>
      </c>
      <c r="BC6" s="170">
        <f>IF(EY6=0,"",(EY6-EY5))</f>
        <v>1159.2999999998137</v>
      </c>
      <c r="BD6" s="170">
        <f>IF(FA6=0,"",(FA6-FA5))</f>
        <v>0</v>
      </c>
      <c r="BE6" s="90"/>
      <c r="BF6" s="90"/>
      <c r="BG6" s="501">
        <f>IFERROR(SUM(BB6:BC6)+AZ6+BD6,"")</f>
        <v>1498.9999999998254</v>
      </c>
      <c r="BH6" s="501">
        <f>BL6-FC6</f>
        <v>7339</v>
      </c>
      <c r="BI6" s="90" t="str">
        <f t="shared" ref="BI6:BI36" si="9">IF(FC6=0,"",(FC6-BJ6))</f>
        <v/>
      </c>
      <c r="BJ6" s="90">
        <f>IF(BH6=0,"",(AA6+AD6+AO6+BG6+AH6+AL6+AQ6+AT6+AX6+AV6))</f>
        <v>5373.6179999999104</v>
      </c>
      <c r="BK6" s="92"/>
      <c r="BL6" s="93">
        <f>FD6+FN6</f>
        <v>7339</v>
      </c>
      <c r="BM6" s="93">
        <f>BL6</f>
        <v>7339</v>
      </c>
      <c r="BN6" s="92"/>
      <c r="BO6" s="94">
        <f>IF($N6&lt;&gt;0,IF($N6&lt;&gt;0,R6/$N6*10,0)," ")</f>
        <v>0.20919199835695748</v>
      </c>
      <c r="BP6" s="94">
        <f>IF($N6&lt;&gt;0,IF($N6&lt;&gt;0,S6/$N6*10,0)," ")</f>
        <v>2.2605283421335793E-2</v>
      </c>
      <c r="BQ6" s="94">
        <f>IF($N6&lt;&gt;0,IF($N6&lt;&gt;0,T6/$N6*10,0)," ")</f>
        <v>0.69648976022813103</v>
      </c>
      <c r="BR6" s="94">
        <f>IF($N6&lt;&gt;0,IF($N6&lt;&gt;0,(V6)/$N6*10,0)," ")</f>
        <v>0.99126030336779136</v>
      </c>
      <c r="BS6" s="94">
        <f t="shared" ref="BS6:BU21" si="10">IF($N6&lt;&gt;0,IF($N6&lt;&gt;0,Y6/$N6*10,0)," ")</f>
        <v>0.12018246953408707</v>
      </c>
      <c r="BT6" s="94">
        <f t="shared" si="10"/>
        <v>0.3384910826274084</v>
      </c>
      <c r="BU6" s="95">
        <f>IF($N6&lt;&gt;0,IF($N6&lt;&gt;0,AA6/$N6*10,0)," ")</f>
        <v>1.9253996238662106</v>
      </c>
      <c r="BV6" s="94">
        <f t="shared" ref="BV6:BX35" si="11">IF($O6&lt;&gt;0,IF($O6&lt;&gt;0,R6/$O6*10,0)," ")</f>
        <v>0.15956544959371699</v>
      </c>
      <c r="BW6" s="94">
        <f t="shared" si="11"/>
        <v>1.7242639492185324E-2</v>
      </c>
      <c r="BX6" s="94">
        <f t="shared" si="11"/>
        <v>0.53126172416300566</v>
      </c>
      <c r="BY6" s="94">
        <f>IF($O6&lt;&gt;0,IF($O6&lt;&gt;0,(V6)/$O6*10,0)," ")</f>
        <v>0.75610394859075336</v>
      </c>
      <c r="BZ6" s="95">
        <f t="shared" ref="BZ6:BZ36" si="12">IF($O6&lt;&gt;0,IF($O6&lt;&gt;0,AA6/$O6*10,0)," ")</f>
        <v>1.468637706235514</v>
      </c>
      <c r="CA6" s="96" t="e">
        <f>#REF!</f>
        <v>#REF!</v>
      </c>
      <c r="CB6" s="94">
        <f>IF($O6&lt;&gt;0,IF($O6&lt;&gt;0,AR6/$O6*10,0)," ")</f>
        <v>7.1100091241677515E-2</v>
      </c>
      <c r="CC6" s="95">
        <f>IF($O6&lt;&gt;0,IF($O6&lt;&gt;0,AS6/$O6*10,0)," ")</f>
        <v>0.18325949817264281</v>
      </c>
      <c r="CD6" s="97">
        <f t="shared" ref="CD6:CE35" si="13">IFERROR(AR6*10/($I6+$J6),"")</f>
        <v>0.14985497219610938</v>
      </c>
      <c r="CE6" s="98">
        <f>IFERROR(AS6*10/($I6+$J6),"")</f>
        <v>0.38624911056705424</v>
      </c>
      <c r="CF6" s="94">
        <f>IF($D6&lt;&gt;0,IF($D6&lt;&gt;0,AB6/$D6*10,0),"0,00")</f>
        <v>0</v>
      </c>
      <c r="CG6" s="94">
        <f>IF($D6&lt;&gt;0,IF($D6&lt;&gt;0,AC6/$D6*10,0),"0,00")</f>
        <v>0</v>
      </c>
      <c r="CH6" s="95">
        <f>IF($D6&lt;&gt;0,IF($O6&lt;&gt;0,AD6/$D6*10,0),"0,00 ")</f>
        <v>0.38283828382838281</v>
      </c>
      <c r="CI6" s="96" t="e">
        <f>#REF!</f>
        <v>#REF!</v>
      </c>
      <c r="CJ6" s="94" t="str">
        <f>IF($E6&lt;&gt;0,IF($E6&lt;&gt;0,AF6/$E6*10,0),"0,00")</f>
        <v>0,00</v>
      </c>
      <c r="CK6" s="94" t="str">
        <f>IF($E6&lt;&gt;0,IF($E6&lt;&gt;0,AG6/$E6*10,0),"0,00")</f>
        <v>0,00</v>
      </c>
      <c r="CL6" s="95" t="str">
        <f>IF($E6&lt;&gt;0,IF($E6&lt;&gt;0,AH6/$E6*10,0),"0,00 ")</f>
        <v xml:space="preserve">0,00 </v>
      </c>
      <c r="CM6" s="95" t="e">
        <f>#REF!</f>
        <v>#REF!</v>
      </c>
      <c r="CN6" s="94">
        <f>IF($F6&lt;&gt;0,IF($F6&lt;&gt;0,AJ6/$F6*10,0),"0,00")</f>
        <v>1.164344727037097</v>
      </c>
      <c r="CO6" s="94">
        <f>IF($F6&lt;&gt;0,IF($F6&lt;&gt;0,AK6/$F6*10,0),"0,00")</f>
        <v>6.187339129182641E-2</v>
      </c>
      <c r="CP6" s="95">
        <f>IF($F6&lt;&gt;0,IF($F6&lt;&gt;0,AL6/$F6*10,0),"0,00 ")</f>
        <v>1.642457296110301</v>
      </c>
      <c r="CQ6" s="95" t="e">
        <f>#REF!</f>
        <v>#REF!</v>
      </c>
      <c r="CR6" s="97">
        <f>IF($G6&lt;&gt;0,IF($G6&lt;&gt;0,AN6/$G6*10,0),"0,00 ")</f>
        <v>2.0119162927981029E-3</v>
      </c>
      <c r="CS6" s="95">
        <f>IF($G6&lt;&gt;0,IF($G6&lt;&gt;0,AO6/$G6*10,0),"0,00 ")</f>
        <v>0.11496664530203175</v>
      </c>
      <c r="CT6" s="96" t="e">
        <f>#REF!</f>
        <v>#REF!</v>
      </c>
      <c r="CU6" s="97">
        <f>IF($H6&lt;&gt;0,IF($H6&lt;&gt;0,AP6/$H6*10,0),"0,00 ")</f>
        <v>0.31503698157994109</v>
      </c>
      <c r="CV6" s="95">
        <f>IF($H6&lt;&gt;0,IF($H6&lt;&gt;0,AQ6/$H6*10,0),"0,00 ")</f>
        <v>0.50364121101675541</v>
      </c>
      <c r="CW6" s="96" t="e">
        <f>#REF!</f>
        <v>#REF!</v>
      </c>
      <c r="CX6" s="97">
        <f>IF($O6&lt;&gt;0,IF($O6&lt;&gt;0,AU6/$O6*10,0)," ")</f>
        <v>0.34769416148599247</v>
      </c>
      <c r="CY6" s="98">
        <f>IF($O6&lt;&gt;0,IF($O6&lt;&gt;0,AV6/$O6*10,0)," ")</f>
        <v>3.0656904561130516E-2</v>
      </c>
      <c r="CZ6" s="97">
        <f>IF($O6&lt;&gt;0,IF($O6&lt;&gt;0,AW6/$O6*10,0)," ")</f>
        <v>0.18020278046908425</v>
      </c>
      <c r="DA6" s="98">
        <f>IF($O6&lt;&gt;0,IF($O6&lt;&gt;0,AX6/$O6*10,0)," ")</f>
        <v>1.6450046349874913E-2</v>
      </c>
      <c r="DB6" s="94">
        <f t="shared" ref="DB6:DB36" si="14">IF($O6&lt;&gt;0,IF($O6&lt;&gt;0,AZ6/$O6*10,0)," ")</f>
        <v>0.14954587590795373</v>
      </c>
      <c r="DC6" s="94">
        <f t="shared" ref="DC6:DH35" si="15">IF($O6&lt;&gt;0,IF($O6&lt;&gt;0,BB6/$O6*10,0)," ")</f>
        <v>0.1044577943217144</v>
      </c>
      <c r="DD6" s="94">
        <f t="shared" si="15"/>
        <v>0.86684266970031454</v>
      </c>
      <c r="DE6" s="94">
        <f t="shared" si="15"/>
        <v>0</v>
      </c>
      <c r="DF6" s="94">
        <f t="shared" si="15"/>
        <v>0</v>
      </c>
      <c r="DG6" s="94">
        <f t="shared" si="15"/>
        <v>0</v>
      </c>
      <c r="DH6" s="95">
        <f>IF($O6&lt;&gt;0,IF($O6&lt;&gt;0,BG6/$O6*10,0)," ")</f>
        <v>1.1208463399299826</v>
      </c>
      <c r="DI6" s="96" t="e">
        <f>#REF!</f>
        <v>#REF!</v>
      </c>
      <c r="DJ6" s="95">
        <f>IF($O6&lt;&gt;0,IF($O6&lt;&gt;0,BH6/$O6*10,0)," ")</f>
        <v>5.4875859164423622</v>
      </c>
      <c r="DK6" s="96" t="e">
        <f>#REF!</f>
        <v>#REF!</v>
      </c>
      <c r="DL6" s="95"/>
      <c r="DM6" s="96">
        <f t="shared" ref="DM6:DM37" si="16">$D$3</f>
        <v>0</v>
      </c>
      <c r="DN6" s="94">
        <f t="shared" ref="DN6:DN36" si="17">IF($O6&lt;&gt;0,BJ6/$O6*10,"")</f>
        <v>4.018012053023666</v>
      </c>
      <c r="DO6" s="100">
        <v>3.4</v>
      </c>
      <c r="DP6" s="94">
        <f>IF($O6&lt;&gt;0,IF($O6&lt;&gt;0,BL6/$O6*10,0)," ")</f>
        <v>5.4875859164423622</v>
      </c>
      <c r="DQ6" s="94">
        <f>IF($P6&lt;&gt;0,IF($P6&lt;&gt;0,BM6/$P6*10,0)," ")</f>
        <v>5.4875859164423622</v>
      </c>
      <c r="DR6" s="101">
        <f t="shared" ref="DR6:DR35" si="18">$D$2</f>
        <v>3.07</v>
      </c>
      <c r="DS6" s="102"/>
      <c r="DT6" s="103">
        <v>1</v>
      </c>
      <c r="DU6" s="548">
        <v>639922</v>
      </c>
      <c r="DV6" s="548">
        <v>30659</v>
      </c>
      <c r="DW6" s="548">
        <v>5158920</v>
      </c>
      <c r="DX6" s="548">
        <v>124831</v>
      </c>
      <c r="DY6" s="548">
        <v>90204.7</v>
      </c>
      <c r="DZ6" s="548">
        <v>410848</v>
      </c>
      <c r="EA6" s="549">
        <v>246454</v>
      </c>
      <c r="EB6" s="549">
        <v>56850.9</v>
      </c>
      <c r="EC6" s="549">
        <v>427507</v>
      </c>
      <c r="ED6" s="548">
        <v>48758.400000000001</v>
      </c>
      <c r="EE6" s="549">
        <v>41766</v>
      </c>
      <c r="EF6" s="549">
        <v>43725.599999999999</v>
      </c>
      <c r="EG6" s="548">
        <v>96101.4</v>
      </c>
      <c r="EH6" s="548">
        <v>188930.5</v>
      </c>
      <c r="EI6" s="548">
        <v>35560</v>
      </c>
      <c r="EJ6" s="549">
        <v>44197</v>
      </c>
      <c r="EK6" s="549"/>
      <c r="EL6" s="548">
        <v>727146.7</v>
      </c>
      <c r="EM6" s="548">
        <v>7105</v>
      </c>
      <c r="EN6" s="549">
        <v>49128.9</v>
      </c>
      <c r="EO6" s="548">
        <v>3155450</v>
      </c>
      <c r="EP6" s="549">
        <v>2861270</v>
      </c>
      <c r="EQ6" s="549">
        <v>1226</v>
      </c>
      <c r="ER6" s="549">
        <v>3453</v>
      </c>
      <c r="ES6" s="549">
        <v>439948</v>
      </c>
      <c r="ET6" s="549">
        <v>319085</v>
      </c>
      <c r="EU6" s="549">
        <v>166818</v>
      </c>
      <c r="EV6" s="549">
        <v>472948</v>
      </c>
      <c r="EW6" s="549">
        <v>148921</v>
      </c>
      <c r="EX6" s="548">
        <v>225506.1</v>
      </c>
      <c r="EY6" s="548">
        <v>1737275.4</v>
      </c>
      <c r="EZ6" s="548">
        <v>843876.7</v>
      </c>
      <c r="FA6" s="548">
        <v>773140</v>
      </c>
      <c r="FB6" s="549">
        <v>32171.7</v>
      </c>
      <c r="FC6" s="548"/>
      <c r="FD6" s="303">
        <f>SUM(FE6:FM6)</f>
        <v>5839</v>
      </c>
      <c r="FE6" s="303">
        <v>955</v>
      </c>
      <c r="FF6" s="549">
        <v>85</v>
      </c>
      <c r="FG6" s="105">
        <v>1080</v>
      </c>
      <c r="FH6" s="549">
        <v>1322</v>
      </c>
      <c r="FI6" s="549">
        <v>671</v>
      </c>
      <c r="FJ6" s="105">
        <v>704</v>
      </c>
      <c r="FK6" s="550">
        <v>0</v>
      </c>
      <c r="FL6" s="549">
        <v>470</v>
      </c>
      <c r="FM6" s="550">
        <v>552</v>
      </c>
      <c r="FN6" s="187">
        <v>1500</v>
      </c>
      <c r="FO6" s="77"/>
      <c r="FP6" s="484"/>
      <c r="FR6" s="64"/>
      <c r="FS6" s="64"/>
      <c r="FT6" s="64"/>
      <c r="FU6" s="64"/>
      <c r="FV6" s="64"/>
      <c r="FW6" s="64"/>
      <c r="FX6" s="64"/>
      <c r="FY6" s="64">
        <v>1</v>
      </c>
      <c r="FZ6" s="107">
        <v>8054</v>
      </c>
      <c r="GA6" s="107">
        <v>1246</v>
      </c>
      <c r="GB6" s="108">
        <f>GA6/FZ6/0.1</f>
        <v>1.5470573628010924</v>
      </c>
      <c r="GC6" s="109"/>
      <c r="GD6" s="110"/>
      <c r="GE6" s="110"/>
      <c r="GF6" s="111"/>
      <c r="GG6" s="111"/>
      <c r="GH6" s="111"/>
      <c r="GI6" s="112"/>
      <c r="GJ6" s="111">
        <f>(SUM(ER5+ES5)/(GB6+GI6))</f>
        <v>284978.4439807384</v>
      </c>
      <c r="GK6" s="113"/>
    </row>
    <row r="7" spans="1:194" ht="15" customHeight="1">
      <c r="B7" s="351">
        <v>43041</v>
      </c>
      <c r="D7" s="86">
        <v>0</v>
      </c>
      <c r="E7" s="86">
        <v>2878.08</v>
      </c>
      <c r="F7" s="86">
        <v>3134.0879999999997</v>
      </c>
      <c r="G7" s="86">
        <v>4406.8</v>
      </c>
      <c r="H7" s="86">
        <v>6371.3099999999995</v>
      </c>
      <c r="I7" s="86">
        <v>2102.8530000000001</v>
      </c>
      <c r="J7" s="86">
        <v>6280.68</v>
      </c>
      <c r="K7" s="86">
        <v>0</v>
      </c>
      <c r="L7" s="86">
        <v>0</v>
      </c>
      <c r="M7" s="87">
        <f>I7+J7</f>
        <v>8383.5329999999994</v>
      </c>
      <c r="N7" s="88">
        <f t="shared" ref="N7:N36" si="19">SUM(D7:H7)</f>
        <v>16790.277999999998</v>
      </c>
      <c r="O7" s="88">
        <f>N7+L7+((J7+I7)*0.5)</f>
        <v>20982.044499999996</v>
      </c>
      <c r="P7" s="89">
        <f t="shared" ref="P7:P36" si="20">P6+O7</f>
        <v>34355.866999999998</v>
      </c>
      <c r="R7" s="170">
        <f t="shared" ref="R7:R36" si="21">IF(EL7=0,"",(EL7-EL6))</f>
        <v>189.70000000006985</v>
      </c>
      <c r="S7" s="170">
        <f t="shared" ref="S7:S36" si="22">IF(EZ7=0,"",((EZ7-EZ6)/10))</f>
        <v>49.590000000002327</v>
      </c>
      <c r="T7" s="170">
        <f t="shared" si="1"/>
        <v>717.8</v>
      </c>
      <c r="U7" s="170">
        <f>IF(FB7=0,"",((EN7-EN6)/10))</f>
        <v>5.0099999999998541</v>
      </c>
      <c r="V7" s="170">
        <f t="shared" ref="V7:V36" si="23">IF(EO7=0,"",(EO7-EO6))</f>
        <v>1126.5</v>
      </c>
      <c r="W7" s="170">
        <f t="shared" si="2"/>
        <v>99.2</v>
      </c>
      <c r="X7" s="170">
        <f t="shared" ref="X7:X36" si="24">IF(V7="","",V7)</f>
        <v>1126.5</v>
      </c>
      <c r="Y7" s="170" t="str">
        <f t="shared" ref="Y7:Y36" si="25">IF(EQ7=0,"0",(EQ7/10))</f>
        <v>0</v>
      </c>
      <c r="Z7" s="170">
        <f t="shared" si="3"/>
        <v>175.5</v>
      </c>
      <c r="AA7" s="501">
        <f t="shared" ref="AA7:AA36" si="26">IF(SUM(R7:V7)=0,"",SUM(R7:V7))</f>
        <v>2088.6000000000722</v>
      </c>
      <c r="AB7" s="170">
        <f t="shared" ref="AB7:AC36" si="27">IF(DU7=0,"",(DU7-DU6))</f>
        <v>156</v>
      </c>
      <c r="AC7" s="170">
        <f t="shared" si="27"/>
        <v>0</v>
      </c>
      <c r="AD7" s="501">
        <f t="shared" si="4"/>
        <v>167</v>
      </c>
      <c r="AE7" s="501">
        <f t="shared" ref="AE7:AE36" si="28">IF(AB7="","",(AD7-AC7-AB7))</f>
        <v>11</v>
      </c>
      <c r="AF7" s="170">
        <f>IF(DX7=0,"",(DX7-DX6))</f>
        <v>52</v>
      </c>
      <c r="AG7" s="170">
        <f t="shared" ref="AF7:AG36" si="29">IF(DY7=0,"",(DY7-DY6))</f>
        <v>117.60000000000582</v>
      </c>
      <c r="AH7" s="501">
        <f t="shared" si="5"/>
        <v>320</v>
      </c>
      <c r="AI7" s="501">
        <f t="shared" ref="AI7:AI36" si="30">IF(AF7="","",(AH7-AG7-AF7))</f>
        <v>150.39999999999418</v>
      </c>
      <c r="AJ7" s="170">
        <f t="shared" ref="AJ7:AK35" si="31">IF(EA7=0,"",(EA7-EA6))</f>
        <v>164</v>
      </c>
      <c r="AK7" s="170">
        <f t="shared" si="31"/>
        <v>8.0999999999985448</v>
      </c>
      <c r="AL7" s="501">
        <f t="shared" si="6"/>
        <v>254</v>
      </c>
      <c r="AM7" s="501">
        <f t="shared" ref="AM7:AM36" si="32">IF(AJ7="","",(AL7-AK7-AJ7))</f>
        <v>81.900000000001455</v>
      </c>
      <c r="AN7" s="170">
        <f t="shared" ref="AN7:AN36" si="33">IF(ED7=0,"",(ED7-ED6))</f>
        <v>1</v>
      </c>
      <c r="AO7" s="501">
        <f t="shared" si="7"/>
        <v>27.900000000001455</v>
      </c>
      <c r="AP7" s="170">
        <f t="shared" ref="AP7:AP36" si="34">IF(EG7=0,"",(EG7-EG6))</f>
        <v>38.600000000005821</v>
      </c>
      <c r="AQ7" s="501">
        <f t="shared" si="8"/>
        <v>44.100000000005821</v>
      </c>
      <c r="AR7" s="170">
        <f t="shared" ref="AR7:AR36" si="35">IF(ET7=0,"",(ET7-ET6)/1000)</f>
        <v>95.781999999999996</v>
      </c>
      <c r="AS7" s="501">
        <f t="shared" ref="AS7:AS36" si="36">IF(AR7="","",(ES7-ES6)+((ET7-ET6)/1000)-AW7-AU7)</f>
        <v>161.78200000000004</v>
      </c>
      <c r="AT7" s="501">
        <f t="shared" ref="AT7:AT36" si="37">IF(AR7="","",ES7-ES6+((ET7-ET6)/1000))</f>
        <v>935.78200000000004</v>
      </c>
      <c r="AU7" s="170">
        <f>IF(EV7="","",(EV7-EV6))</f>
        <v>530</v>
      </c>
      <c r="AV7" s="501">
        <f>IF(EI7=0,"",(EI7-EI6))</f>
        <v>48</v>
      </c>
      <c r="AW7" s="170">
        <f>IF(EU7="","",(EU7-EU6))</f>
        <v>244</v>
      </c>
      <c r="AX7" s="501">
        <f>IF(EJ7=0,"",(EJ7-EJ6))</f>
        <v>47</v>
      </c>
      <c r="AY7" s="501"/>
      <c r="AZ7" s="170">
        <f t="shared" ref="AZ7:AZ36" si="38">IF(EW7=0,"",EW7-EW6)</f>
        <v>331</v>
      </c>
      <c r="BA7" s="170">
        <v>33.6</v>
      </c>
      <c r="BB7" s="170">
        <f t="shared" ref="BB7:BC36" si="39">IF(EX7=0,"",(EX7-EX6))</f>
        <v>113.60000000000582</v>
      </c>
      <c r="BC7" s="170">
        <f t="shared" si="39"/>
        <v>997.10000000009313</v>
      </c>
      <c r="BD7" s="170">
        <f t="shared" ref="BD7:BD36" si="40">IF(FA7=0,"",(FA7-FA6))</f>
        <v>246</v>
      </c>
      <c r="BE7" s="90"/>
      <c r="BF7" s="90"/>
      <c r="BG7" s="501">
        <f t="shared" ref="BG7:BG36" si="41">IFERROR(SUM(BB7:BC7)+AZ7+BD7,"")</f>
        <v>1687.700000000099</v>
      </c>
      <c r="BH7" s="501">
        <f t="shared" ref="BH7:BH36" si="42">BL7-FC7</f>
        <v>604</v>
      </c>
      <c r="BI7" s="90">
        <f t="shared" si="9"/>
        <v>939.9179999998214</v>
      </c>
      <c r="BJ7" s="90">
        <f t="shared" ref="BJ7:BJ36" si="43">IF(BH7=0,"",(AA7+AD7+AO7+BG7+AH7+AL7+AQ7+AT7+AX7+AV7))</f>
        <v>5620.0820000001786</v>
      </c>
      <c r="BK7" s="92"/>
      <c r="BL7" s="93">
        <f>FD7+FN7</f>
        <v>7164</v>
      </c>
      <c r="BM7" s="93">
        <f t="shared" ref="BM7:BM36" si="44">BL7+BM6</f>
        <v>14503</v>
      </c>
      <c r="BN7" s="92"/>
      <c r="BO7" s="94">
        <f t="shared" ref="BO7:BP35" si="45">IF($N7&lt;&gt;0,IF($N7&lt;&gt;0,R7/$N7*10,0)," ")</f>
        <v>0.11298204830204113</v>
      </c>
      <c r="BP7" s="94">
        <f>IF($N7&lt;&gt;0,IF($N7&lt;&gt;0,S7/$N7*10,0)," ")</f>
        <v>2.9534948736407062E-2</v>
      </c>
      <c r="BQ7" s="94">
        <f t="shared" ref="BQ7:BQ36" si="46">IF($N7&lt;&gt;0,IF($N7&lt;&gt;0,T7/$N7*10,0)," ")</f>
        <v>0.42750930032248424</v>
      </c>
      <c r="BR7" s="94">
        <f>IF($N7&lt;&gt;0,IF($N7&lt;&gt;0,(V7)/$N7*10,0)," ")</f>
        <v>0.67092397159832617</v>
      </c>
      <c r="BS7" s="94">
        <f t="shared" si="10"/>
        <v>0</v>
      </c>
      <c r="BT7" s="94">
        <f t="shared" si="10"/>
        <v>0.10452477320506547</v>
      </c>
      <c r="BU7" s="95">
        <f t="shared" si="10"/>
        <v>1.2439341385533178</v>
      </c>
      <c r="BV7" s="94">
        <f t="shared" si="11"/>
        <v>9.0410636580276954E-2</v>
      </c>
      <c r="BW7" s="94">
        <f t="shared" si="11"/>
        <v>2.363449376918552E-2</v>
      </c>
      <c r="BX7" s="94">
        <f t="shared" si="11"/>
        <v>0.34210202918976751</v>
      </c>
      <c r="BY7" s="94">
        <f t="shared" ref="BY7:BY36" si="47">IF($O7&lt;&gt;0,IF($O7&lt;&gt;0,(V7)/$O7*10,0)," ")</f>
        <v>0.53688762312938576</v>
      </c>
      <c r="BZ7" s="95">
        <f t="shared" si="12"/>
        <v>0.99542253854245355</v>
      </c>
      <c r="CA7" s="96" t="e">
        <f>#REF!</f>
        <v>#REF!</v>
      </c>
      <c r="CB7" s="94">
        <f t="shared" ref="CB7:CC36" si="48">IF($O7&lt;&gt;0,IF($O7&lt;&gt;0,AR7/$O7*10,0)," ")</f>
        <v>4.564950760637268E-2</v>
      </c>
      <c r="CC7" s="95">
        <f t="shared" si="48"/>
        <v>7.7104974207828067E-2</v>
      </c>
      <c r="CD7" s="97">
        <f t="shared" si="13"/>
        <v>0.11425016159654885</v>
      </c>
      <c r="CE7" s="98">
        <f>IFERROR(AS7*10/($I7+$J7),"")</f>
        <v>0.19297592077230452</v>
      </c>
      <c r="CF7" s="97" t="str">
        <f t="shared" ref="CF7:CG36" si="49">IF($D7&lt;&gt;0,IF($D7&lt;&gt;0,AB7/$D7*10,0),"0,00")</f>
        <v>0,00</v>
      </c>
      <c r="CG7" s="94" t="str">
        <f t="shared" si="49"/>
        <v>0,00</v>
      </c>
      <c r="CH7" s="95" t="str">
        <f t="shared" ref="CH7:CH36" si="50">IF($D7&lt;&gt;0,IF($O7&lt;&gt;0,AD7/$D7*10,0),"0,00 ")</f>
        <v xml:space="preserve">0,00 </v>
      </c>
      <c r="CI7" s="96" t="e">
        <f>#REF!</f>
        <v>#REF!</v>
      </c>
      <c r="CJ7" s="94">
        <f t="shared" ref="CJ7:CK36" si="51">IF($E7&lt;&gt;0,IF($E7&lt;&gt;0,AF7/$E7*10,0),"0,00")</f>
        <v>0.18067600622637314</v>
      </c>
      <c r="CK7" s="94">
        <f t="shared" si="51"/>
        <v>0.40860573715812565</v>
      </c>
      <c r="CL7" s="95">
        <f>IF($E7&lt;&gt;0,IF($E7&lt;&gt;0,AH7/$E7*10,0),"0,00 ")</f>
        <v>1.1118523460084502</v>
      </c>
      <c r="CM7" s="95" t="e">
        <f>#REF!</f>
        <v>#REF!</v>
      </c>
      <c r="CN7" s="94">
        <f t="shared" ref="CN7:CO36" si="52">IF($F7&lt;&gt;0,IF($F7&lt;&gt;0,AJ7/$F7*10,0),"0,00")</f>
        <v>0.52327822320241169</v>
      </c>
      <c r="CO7" s="94">
        <f t="shared" si="52"/>
        <v>2.5844839072797398E-2</v>
      </c>
      <c r="CP7" s="95">
        <f t="shared" ref="CP7:CP36" si="53">IF($F7&lt;&gt;0,IF($F7&lt;&gt;0,AL7/$F7*10,0),"0,00 ")</f>
        <v>0.81044310178910106</v>
      </c>
      <c r="CQ7" s="95" t="e">
        <f>#REF!</f>
        <v>#REF!</v>
      </c>
      <c r="CR7" s="97">
        <f>IF($G7&lt;&gt;0,IF($G7&lt;&gt;0,AN7/$G7*10,0),"0,00 ")</f>
        <v>2.2692202959063265E-3</v>
      </c>
      <c r="CS7" s="95">
        <f>IF($G7&lt;&gt;0,IF($G7&lt;&gt;0,AO7/$G7*10,0),"0,00 ")</f>
        <v>6.3311246255789821E-2</v>
      </c>
      <c r="CT7" s="96" t="e">
        <f>#REF!</f>
        <v>#REF!</v>
      </c>
      <c r="CU7" s="97">
        <f>IF($H7&lt;&gt;0,IF($H7&lt;&gt;0,AP7/$H7*10,0),"0,00 ")</f>
        <v>6.0584087102975408E-2</v>
      </c>
      <c r="CV7" s="95">
        <f t="shared" ref="CV7:CV36" si="54">IF($H7&lt;&gt;0,IF($H7&lt;&gt;0,AQ7/$H7*10,0),"0,00 ")</f>
        <v>6.9216534747180439E-2</v>
      </c>
      <c r="CW7" s="96" t="e">
        <f>#REF!</f>
        <v>#REF!</v>
      </c>
      <c r="CX7" s="97">
        <f t="shared" ref="CX7:DA26" si="55">IF($O7&lt;&gt;0,IF($O7&lt;&gt;0,AU7/$O7*10,0)," ")</f>
        <v>0.25259692876926276</v>
      </c>
      <c r="CY7" s="98">
        <f t="shared" si="55"/>
        <v>2.2876702982876626E-2</v>
      </c>
      <c r="CZ7" s="97">
        <f t="shared" si="55"/>
        <v>0.11628990682962284</v>
      </c>
      <c r="DA7" s="98">
        <f t="shared" si="55"/>
        <v>2.2400105004066695E-2</v>
      </c>
      <c r="DB7" s="94">
        <f t="shared" si="14"/>
        <v>0.15775393098608673</v>
      </c>
      <c r="DC7" s="94">
        <f t="shared" si="15"/>
        <v>5.4141530392810791E-2</v>
      </c>
      <c r="DD7" s="94">
        <f t="shared" si="15"/>
        <v>0.47521584467142525</v>
      </c>
      <c r="DE7" s="94">
        <f t="shared" si="15"/>
        <v>0.1172431027872427</v>
      </c>
      <c r="DF7" s="94">
        <f t="shared" si="15"/>
        <v>0</v>
      </c>
      <c r="DG7" s="94">
        <f t="shared" si="15"/>
        <v>0</v>
      </c>
      <c r="DH7" s="95">
        <f t="shared" si="15"/>
        <v>0.80435440883756548</v>
      </c>
      <c r="DI7" s="96" t="e">
        <f>#REF!</f>
        <v>#REF!</v>
      </c>
      <c r="DJ7" s="95">
        <f t="shared" ref="DJ7:DJ36" si="56">IF($O7&lt;&gt;0,IF($O7&lt;&gt;0,BH7/$O7*10,0)," ")</f>
        <v>0.28786517920119753</v>
      </c>
      <c r="DK7" s="96" t="e">
        <f>#REF!</f>
        <v>#REF!</v>
      </c>
      <c r="DL7" s="95">
        <f t="shared" ref="DL7:DL36" si="57">IF($O7&lt;&gt;0,BI7/$O7*10," ")</f>
        <v>0.44796301904698638</v>
      </c>
      <c r="DM7" s="96">
        <f t="shared" si="16"/>
        <v>0</v>
      </c>
      <c r="DN7" s="94">
        <f t="shared" si="17"/>
        <v>2.6785197219461527</v>
      </c>
      <c r="DO7" s="100">
        <v>3.4</v>
      </c>
      <c r="DP7" s="94">
        <f>IF($O7&lt;&gt;0,IF($O7&lt;&gt;0,BL7/$O7*10,0)," ")</f>
        <v>3.4143479201943361</v>
      </c>
      <c r="DQ7" s="94">
        <f>IF($P7&lt;&gt;0,IF($P7&lt;&gt;0,BM7/$P7*10,0)," ")</f>
        <v>4.2214041636614787</v>
      </c>
      <c r="DR7" s="101">
        <f t="shared" si="18"/>
        <v>3.07</v>
      </c>
      <c r="DS7" s="116"/>
      <c r="DT7" s="103">
        <v>2</v>
      </c>
      <c r="DU7" s="120">
        <v>640078</v>
      </c>
      <c r="DV7" s="120">
        <v>30659</v>
      </c>
      <c r="DW7" s="120">
        <v>5158931</v>
      </c>
      <c r="DX7" s="120">
        <v>124883</v>
      </c>
      <c r="DY7" s="553">
        <v>90322.3</v>
      </c>
      <c r="DZ7" s="553">
        <v>411116</v>
      </c>
      <c r="EA7" s="553">
        <v>246618</v>
      </c>
      <c r="EB7" s="553">
        <v>56859</v>
      </c>
      <c r="EC7" s="553">
        <v>427597</v>
      </c>
      <c r="ED7" s="553">
        <v>48759.4</v>
      </c>
      <c r="EE7" s="553">
        <v>41792.5</v>
      </c>
      <c r="EF7" s="553">
        <v>43727</v>
      </c>
      <c r="EG7" s="553">
        <v>96140</v>
      </c>
      <c r="EH7" s="553">
        <v>188974.6</v>
      </c>
      <c r="EI7" s="553">
        <v>35608</v>
      </c>
      <c r="EJ7" s="553">
        <v>44244</v>
      </c>
      <c r="EK7" s="553"/>
      <c r="EL7" s="553">
        <v>727336.4</v>
      </c>
      <c r="EM7" s="553">
        <v>7178</v>
      </c>
      <c r="EN7" s="553">
        <v>49179</v>
      </c>
      <c r="EO7" s="553">
        <v>3156576.5</v>
      </c>
      <c r="EP7" s="553">
        <v>2862262</v>
      </c>
      <c r="EQ7" s="553">
        <v>0</v>
      </c>
      <c r="ER7" s="553">
        <v>1755</v>
      </c>
      <c r="ES7" s="553">
        <v>440788</v>
      </c>
      <c r="ET7" s="553">
        <v>414867</v>
      </c>
      <c r="EU7" s="553">
        <v>167062</v>
      </c>
      <c r="EV7" s="553">
        <v>473478</v>
      </c>
      <c r="EW7" s="553">
        <v>149252</v>
      </c>
      <c r="EX7" s="553">
        <v>225619.7</v>
      </c>
      <c r="EY7" s="553">
        <v>1738272.5</v>
      </c>
      <c r="EZ7" s="553">
        <v>844372.6</v>
      </c>
      <c r="FA7" s="553">
        <v>773386</v>
      </c>
      <c r="FB7" s="553">
        <v>32217.200000000001</v>
      </c>
      <c r="FC7" s="135">
        <v>6560</v>
      </c>
      <c r="FD7" s="303">
        <f>SUM(FE7:FM7)</f>
        <v>5664</v>
      </c>
      <c r="FE7" s="493">
        <v>942</v>
      </c>
      <c r="FF7" s="494">
        <v>86</v>
      </c>
      <c r="FG7" s="105">
        <v>1075</v>
      </c>
      <c r="FH7" s="303">
        <v>1253</v>
      </c>
      <c r="FI7" s="303">
        <v>688</v>
      </c>
      <c r="FJ7" s="105">
        <v>632</v>
      </c>
      <c r="FK7" s="303">
        <v>0</v>
      </c>
      <c r="FL7" s="303">
        <v>409</v>
      </c>
      <c r="FM7" s="303">
        <v>579</v>
      </c>
      <c r="FN7" s="80">
        <v>1500</v>
      </c>
      <c r="FO7" s="77"/>
      <c r="FP7" s="353"/>
      <c r="FR7" s="64"/>
      <c r="FS7" s="64"/>
      <c r="FT7" s="64"/>
      <c r="FU7" s="64"/>
      <c r="FV7" s="64"/>
      <c r="FW7" s="64"/>
      <c r="FX7" s="64"/>
      <c r="FY7" s="64">
        <v>2</v>
      </c>
      <c r="FZ7" s="107"/>
      <c r="GA7" s="107">
        <v>83</v>
      </c>
      <c r="GB7" s="108"/>
      <c r="GC7" s="109"/>
      <c r="GD7" s="110"/>
      <c r="GE7" s="110"/>
      <c r="GF7" s="111"/>
      <c r="GG7" s="111"/>
      <c r="GH7" s="111"/>
      <c r="GI7" s="112"/>
      <c r="GJ7" s="111" t="e">
        <f t="shared" ref="GJ7:GJ37" si="58">(SUM(EQ6+ER6)/(GB7+GI7))</f>
        <v>#DIV/0!</v>
      </c>
      <c r="GK7" s="118"/>
    </row>
    <row r="8" spans="1:194" s="119" customFormat="1" ht="15" customHeight="1">
      <c r="B8" s="351">
        <v>43042</v>
      </c>
      <c r="D8" s="86">
        <v>4104</v>
      </c>
      <c r="E8" s="86">
        <v>5313.12</v>
      </c>
      <c r="F8" s="86">
        <v>1030.32</v>
      </c>
      <c r="G8" s="86">
        <v>4949.9489999999996</v>
      </c>
      <c r="H8" s="86">
        <v>7189.5619999999999</v>
      </c>
      <c r="I8" s="86">
        <v>2292.663</v>
      </c>
      <c r="J8" s="86">
        <v>7512</v>
      </c>
      <c r="K8" s="86">
        <v>7.7869999999999999</v>
      </c>
      <c r="L8" s="86">
        <v>0</v>
      </c>
      <c r="M8" s="115">
        <f t="shared" ref="M8:M36" si="59">I8+J8</f>
        <v>9804.6630000000005</v>
      </c>
      <c r="N8" s="88">
        <f t="shared" si="19"/>
        <v>22586.951000000001</v>
      </c>
      <c r="O8" s="88">
        <f>N8+L8+((J8+I8)*0.5)</f>
        <v>27489.282500000001</v>
      </c>
      <c r="P8" s="89">
        <f>(P7+O8)</f>
        <v>61845.1495</v>
      </c>
      <c r="R8" s="170">
        <f t="shared" si="21"/>
        <v>146.09999999997672</v>
      </c>
      <c r="S8" s="170">
        <f t="shared" si="22"/>
        <v>57.690000000002328</v>
      </c>
      <c r="T8" s="170">
        <f t="shared" si="1"/>
        <v>527.29999999999995</v>
      </c>
      <c r="U8" s="170">
        <f>IF(FB8=0,"",((EN8-EN7)/10))</f>
        <v>2.9800000000002909</v>
      </c>
      <c r="V8" s="170">
        <f t="shared" si="23"/>
        <v>1193.7000000001863</v>
      </c>
      <c r="W8" s="170">
        <f t="shared" si="2"/>
        <v>105.1</v>
      </c>
      <c r="X8" s="170">
        <f t="shared" si="24"/>
        <v>1193.7000000001863</v>
      </c>
      <c r="Y8" s="170">
        <f t="shared" si="25"/>
        <v>112</v>
      </c>
      <c r="Z8" s="170">
        <f t="shared" si="3"/>
        <v>206.3</v>
      </c>
      <c r="AA8" s="501">
        <f t="shared" si="26"/>
        <v>1927.7700000001655</v>
      </c>
      <c r="AB8" s="170">
        <f t="shared" si="27"/>
        <v>150</v>
      </c>
      <c r="AC8" s="170">
        <f t="shared" si="27"/>
        <v>42</v>
      </c>
      <c r="AD8" s="501">
        <f t="shared" si="4"/>
        <v>319</v>
      </c>
      <c r="AE8" s="501">
        <f t="shared" si="28"/>
        <v>127</v>
      </c>
      <c r="AF8" s="170">
        <f t="shared" si="29"/>
        <v>120</v>
      </c>
      <c r="AG8" s="170">
        <f t="shared" si="29"/>
        <v>149.39999999999418</v>
      </c>
      <c r="AH8" s="501">
        <f t="shared" si="5"/>
        <v>316</v>
      </c>
      <c r="AI8" s="501">
        <f t="shared" si="30"/>
        <v>46.600000000005821</v>
      </c>
      <c r="AJ8" s="170">
        <f t="shared" si="31"/>
        <v>50</v>
      </c>
      <c r="AK8" s="170">
        <f t="shared" si="31"/>
        <v>20.69999999999709</v>
      </c>
      <c r="AL8" s="501">
        <f t="shared" si="6"/>
        <v>251</v>
      </c>
      <c r="AM8" s="501">
        <f t="shared" si="32"/>
        <v>180.30000000000291</v>
      </c>
      <c r="AN8" s="170">
        <f t="shared" si="33"/>
        <v>-0.40000000000145519</v>
      </c>
      <c r="AO8" s="501">
        <f t="shared" si="7"/>
        <v>43.400000000001455</v>
      </c>
      <c r="AP8" s="170">
        <f t="shared" si="34"/>
        <v>29.19999999999709</v>
      </c>
      <c r="AQ8" s="501">
        <f t="shared" si="8"/>
        <v>31.299999999988358</v>
      </c>
      <c r="AR8" s="170">
        <f t="shared" si="35"/>
        <v>101.322</v>
      </c>
      <c r="AS8" s="501">
        <f t="shared" si="36"/>
        <v>95.322000000000116</v>
      </c>
      <c r="AT8" s="501">
        <f t="shared" si="37"/>
        <v>1250.3220000000001</v>
      </c>
      <c r="AU8" s="170">
        <f t="shared" ref="AU8:AU36" si="60">IF(EV8="","",(EV8-EV7))</f>
        <v>795</v>
      </c>
      <c r="AV8" s="501">
        <f t="shared" ref="AV8:AV36" si="61">IF(EI8=0,"",(EI8-EI7))</f>
        <v>17</v>
      </c>
      <c r="AW8" s="170">
        <f t="shared" ref="AW8:AW36" si="62">IF(EU8="","",(EU8-EU7))</f>
        <v>360</v>
      </c>
      <c r="AX8" s="501">
        <f t="shared" ref="AX8:AY36" si="63">IF(EJ8=0,"",(EJ8-EJ7))</f>
        <v>17</v>
      </c>
      <c r="AY8" s="501"/>
      <c r="AZ8" s="170">
        <f t="shared" si="38"/>
        <v>303</v>
      </c>
      <c r="BA8" s="170">
        <v>160</v>
      </c>
      <c r="BB8" s="170">
        <f t="shared" si="39"/>
        <v>194.19999999998254</v>
      </c>
      <c r="BC8" s="170">
        <f t="shared" si="39"/>
        <v>465.5</v>
      </c>
      <c r="BD8" s="170">
        <f t="shared" si="40"/>
        <v>313</v>
      </c>
      <c r="BE8" s="90"/>
      <c r="BF8" s="90"/>
      <c r="BG8" s="501">
        <f>IFERROR(SUM(BB8:BC8)+AZ8+BD8,"")</f>
        <v>1275.6999999999825</v>
      </c>
      <c r="BH8" s="501">
        <f t="shared" si="42"/>
        <v>853</v>
      </c>
      <c r="BI8" s="90">
        <f t="shared" si="9"/>
        <v>1272.5079999998616</v>
      </c>
      <c r="BJ8" s="90">
        <f t="shared" si="43"/>
        <v>5448.4920000001384</v>
      </c>
      <c r="BK8" s="92"/>
      <c r="BL8" s="93">
        <f t="shared" ref="BL8:BL34" si="64">FD8+FN8</f>
        <v>7574</v>
      </c>
      <c r="BM8" s="93">
        <f t="shared" si="44"/>
        <v>22077</v>
      </c>
      <c r="BN8" s="92" t="s">
        <v>125</v>
      </c>
      <c r="BO8" s="94">
        <f t="shared" si="45"/>
        <v>6.4683365187260866E-2</v>
      </c>
      <c r="BP8" s="94">
        <f t="shared" si="45"/>
        <v>2.5541295945611393E-2</v>
      </c>
      <c r="BQ8" s="94">
        <f t="shared" si="46"/>
        <v>0.23345337757185552</v>
      </c>
      <c r="BR8" s="94">
        <f t="shared" ref="BR8:BR36" si="65">IF($N8&lt;&gt;0,IF($N8&lt;&gt;0,(V8)/$N8*10,0)," ")</f>
        <v>0.528490985790949</v>
      </c>
      <c r="BS8" s="94">
        <f t="shared" si="10"/>
        <v>4.9586152641850595E-2</v>
      </c>
      <c r="BT8" s="94">
        <f t="shared" si="10"/>
        <v>9.1335922232265873E-2</v>
      </c>
      <c r="BU8" s="95">
        <f t="shared" si="10"/>
        <v>0.85348837034275471</v>
      </c>
      <c r="BV8" s="94">
        <f t="shared" si="11"/>
        <v>5.3147985946878286E-2</v>
      </c>
      <c r="BW8" s="94">
        <f t="shared" si="11"/>
        <v>2.0986360775332103E-2</v>
      </c>
      <c r="BX8" s="94">
        <f t="shared" si="11"/>
        <v>0.1918202121135755</v>
      </c>
      <c r="BY8" s="94">
        <f t="shared" si="47"/>
        <v>0.43424196320882008</v>
      </c>
      <c r="BZ8" s="95">
        <f t="shared" si="12"/>
        <v>0.70128058089554191</v>
      </c>
      <c r="CA8" s="96" t="e">
        <f>#REF!</f>
        <v>#REF!</v>
      </c>
      <c r="CB8" s="94">
        <f t="shared" si="48"/>
        <v>3.6858728488093497E-2</v>
      </c>
      <c r="CC8" s="95">
        <f t="shared" si="48"/>
        <v>3.4676059660705985E-2</v>
      </c>
      <c r="CD8" s="97">
        <f t="shared" si="13"/>
        <v>0.10334062476191175</v>
      </c>
      <c r="CE8" s="98">
        <f t="shared" si="13"/>
        <v>9.7221087558032451E-2</v>
      </c>
      <c r="CF8" s="97">
        <f t="shared" si="49"/>
        <v>0.36549707602339176</v>
      </c>
      <c r="CG8" s="94">
        <f t="shared" si="49"/>
        <v>0.1023391812865497</v>
      </c>
      <c r="CH8" s="95">
        <f t="shared" si="50"/>
        <v>0.77729044834307992</v>
      </c>
      <c r="CI8" s="96" t="e">
        <f>#REF!</f>
        <v>#REF!</v>
      </c>
      <c r="CJ8" s="94">
        <f t="shared" si="51"/>
        <v>0.22585599421808655</v>
      </c>
      <c r="CK8" s="94">
        <f t="shared" si="51"/>
        <v>0.28119071280150681</v>
      </c>
      <c r="CL8" s="95">
        <f t="shared" ref="CL8:CL36" si="66">IF($E8&lt;&gt;0,IF($E8&lt;&gt;0,AH8/$E8*10,0),"0,00 ")</f>
        <v>0.5947541181076279</v>
      </c>
      <c r="CM8" s="95" t="e">
        <f>#REF!</f>
        <v>#REF!</v>
      </c>
      <c r="CN8" s="94">
        <f t="shared" si="52"/>
        <v>0.48528612469912258</v>
      </c>
      <c r="CO8" s="94">
        <f t="shared" si="52"/>
        <v>0.20090845562540854</v>
      </c>
      <c r="CP8" s="95">
        <f t="shared" si="53"/>
        <v>2.4361363459895955</v>
      </c>
      <c r="CQ8" s="95" t="e">
        <f>#REF!</f>
        <v>#REF!</v>
      </c>
      <c r="CR8" s="97">
        <f t="shared" ref="CR8:CS36" si="67">IF($G8&lt;&gt;0,IF($G8&lt;&gt;0,AN8/$G8*10,0),"0,00 ")</f>
        <v>-8.0808913385058156E-4</v>
      </c>
      <c r="CS8" s="95">
        <f t="shared" si="67"/>
        <v>8.7677671022472065E-2</v>
      </c>
      <c r="CT8" s="96" t="e">
        <f>#REF!</f>
        <v>#REF!</v>
      </c>
      <c r="CU8" s="97">
        <f t="shared" ref="CU8:CU36" si="68">IF($H8&lt;&gt;0,IF($H8&lt;&gt;0,AP8/$H8*10,0),"0,00 ")</f>
        <v>4.0614435204810936E-2</v>
      </c>
      <c r="CV8" s="95">
        <f t="shared" si="54"/>
        <v>4.3535336366788906E-2</v>
      </c>
      <c r="CW8" s="96" t="e">
        <f>#REF!</f>
        <v>#REF!</v>
      </c>
      <c r="CX8" s="97">
        <f t="shared" si="55"/>
        <v>0.28920361962884988</v>
      </c>
      <c r="CY8" s="98">
        <f t="shared" si="55"/>
        <v>6.1842283442647148E-3</v>
      </c>
      <c r="CZ8" s="97">
        <f t="shared" si="55"/>
        <v>0.13096012964325279</v>
      </c>
      <c r="DA8" s="98">
        <f t="shared" si="55"/>
        <v>6.1842283442647148E-3</v>
      </c>
      <c r="DB8" s="94">
        <f t="shared" si="14"/>
        <v>0.11022477578307108</v>
      </c>
      <c r="DC8" s="94">
        <f t="shared" si="15"/>
        <v>7.0645714379770561E-2</v>
      </c>
      <c r="DD8" s="94">
        <f t="shared" si="15"/>
        <v>0.1693387231914838</v>
      </c>
      <c r="DE8" s="94">
        <f t="shared" si="15"/>
        <v>0.11386255716205032</v>
      </c>
      <c r="DF8" s="94">
        <f t="shared" si="15"/>
        <v>0</v>
      </c>
      <c r="DG8" s="94">
        <f t="shared" si="15"/>
        <v>0</v>
      </c>
      <c r="DH8" s="95">
        <f t="shared" si="15"/>
        <v>0.46407177051637577</v>
      </c>
      <c r="DI8" s="96" t="e">
        <f>#REF!</f>
        <v>#REF!</v>
      </c>
      <c r="DJ8" s="95">
        <f t="shared" si="56"/>
        <v>0.3103027516269295</v>
      </c>
      <c r="DK8" s="96" t="e">
        <f>#REF!</f>
        <v>#REF!</v>
      </c>
      <c r="DL8" s="95">
        <f t="shared" si="57"/>
        <v>0.46291059070016161</v>
      </c>
      <c r="DM8" s="96">
        <f t="shared" si="16"/>
        <v>0</v>
      </c>
      <c r="DN8" s="94">
        <f t="shared" si="17"/>
        <v>1.9820422741117882</v>
      </c>
      <c r="DO8" s="100">
        <v>3.4</v>
      </c>
      <c r="DP8" s="94">
        <f>IF($O8&lt;&gt;0,IF($O8&lt;&gt;0,BL8/$O8*10,0)," ")</f>
        <v>2.7552556164388791</v>
      </c>
      <c r="DQ8" s="94">
        <f>IF($P8&lt;&gt;0,IF($P8&lt;&gt;0,BM8/$P8*10,0)," ")</f>
        <v>3.569722149349805</v>
      </c>
      <c r="DR8" s="101">
        <f t="shared" si="18"/>
        <v>3.07</v>
      </c>
      <c r="DS8" s="116"/>
      <c r="DT8" s="103">
        <v>3</v>
      </c>
      <c r="DU8" s="120">
        <v>640228</v>
      </c>
      <c r="DV8" s="135">
        <v>30701</v>
      </c>
      <c r="DW8" s="136">
        <v>5159100</v>
      </c>
      <c r="DX8" s="135">
        <v>125003</v>
      </c>
      <c r="DY8" s="136">
        <v>90471.7</v>
      </c>
      <c r="DZ8" s="136">
        <v>411312</v>
      </c>
      <c r="EA8" s="135">
        <v>246668</v>
      </c>
      <c r="EB8" s="519">
        <v>56879.7</v>
      </c>
      <c r="EC8" s="136">
        <v>427798</v>
      </c>
      <c r="ED8" s="135">
        <v>48759</v>
      </c>
      <c r="EE8" s="556">
        <v>41826.400000000001</v>
      </c>
      <c r="EF8" s="556">
        <v>43736.5</v>
      </c>
      <c r="EG8" s="135">
        <v>96169.2</v>
      </c>
      <c r="EH8" s="135">
        <v>189005.9</v>
      </c>
      <c r="EI8" s="135">
        <v>35625</v>
      </c>
      <c r="EJ8" s="136">
        <v>44261</v>
      </c>
      <c r="EK8" s="136"/>
      <c r="EL8" s="135">
        <v>727482.5</v>
      </c>
      <c r="EM8" s="136">
        <v>5273</v>
      </c>
      <c r="EN8" s="136">
        <v>49208.800000000003</v>
      </c>
      <c r="EO8" s="135">
        <v>3157770.2</v>
      </c>
      <c r="EP8" s="136">
        <v>2863313</v>
      </c>
      <c r="EQ8" s="136">
        <v>1120</v>
      </c>
      <c r="ER8" s="136">
        <v>2063</v>
      </c>
      <c r="ES8" s="144">
        <v>441937</v>
      </c>
      <c r="ET8" s="136">
        <v>516189</v>
      </c>
      <c r="EU8" s="136">
        <v>167422</v>
      </c>
      <c r="EV8" s="136">
        <v>474273</v>
      </c>
      <c r="EW8" s="136">
        <v>149555</v>
      </c>
      <c r="EX8" s="135">
        <v>225813.9</v>
      </c>
      <c r="EY8" s="135">
        <v>1738738</v>
      </c>
      <c r="EZ8" s="146">
        <v>844949.5</v>
      </c>
      <c r="FA8" s="146">
        <v>773699</v>
      </c>
      <c r="FB8" s="125">
        <v>32377.5</v>
      </c>
      <c r="FC8" s="136">
        <v>6721</v>
      </c>
      <c r="FD8" s="303">
        <f>SUM(FE8:FM8)</f>
        <v>6074</v>
      </c>
      <c r="FE8" s="367">
        <v>940</v>
      </c>
      <c r="FF8" s="495">
        <v>84</v>
      </c>
      <c r="FG8" s="105">
        <v>1214</v>
      </c>
      <c r="FH8" s="303">
        <v>1306</v>
      </c>
      <c r="FI8" s="136">
        <v>632</v>
      </c>
      <c r="FJ8" s="105">
        <v>553</v>
      </c>
      <c r="FK8" s="136">
        <v>325</v>
      </c>
      <c r="FL8" s="303">
        <v>412</v>
      </c>
      <c r="FM8" s="303">
        <v>608</v>
      </c>
      <c r="FN8" s="80">
        <v>1500</v>
      </c>
      <c r="FO8" s="77"/>
      <c r="FP8" s="398"/>
      <c r="FY8" s="119">
        <v>3</v>
      </c>
      <c r="FZ8" s="107"/>
      <c r="GA8" s="107">
        <v>0</v>
      </c>
      <c r="GB8" s="108"/>
      <c r="GC8" s="109"/>
      <c r="GD8" s="110"/>
      <c r="GE8" s="110"/>
      <c r="GF8" s="111"/>
      <c r="GG8" s="111"/>
      <c r="GH8" s="111"/>
      <c r="GI8" s="112"/>
      <c r="GJ8" s="111" t="e">
        <f t="shared" si="58"/>
        <v>#DIV/0!</v>
      </c>
      <c r="GK8" s="113"/>
    </row>
    <row r="9" spans="1:194" s="119" customFormat="1" ht="15" customHeight="1">
      <c r="B9" s="351">
        <v>43043</v>
      </c>
      <c r="D9" s="86">
        <v>4377.72</v>
      </c>
      <c r="E9" s="86">
        <v>3771.48</v>
      </c>
      <c r="F9" s="152">
        <v>2343.1680000000001</v>
      </c>
      <c r="G9" s="86">
        <v>4611.9830000000002</v>
      </c>
      <c r="H9" s="86">
        <v>8858.6470000000008</v>
      </c>
      <c r="I9" s="86">
        <v>1953.4580000000001</v>
      </c>
      <c r="J9" s="86">
        <v>1616.16</v>
      </c>
      <c r="K9" s="86">
        <v>0</v>
      </c>
      <c r="L9" s="86">
        <v>0</v>
      </c>
      <c r="M9" s="115">
        <f t="shared" si="59"/>
        <v>3569.6180000000004</v>
      </c>
      <c r="N9" s="88">
        <f t="shared" si="19"/>
        <v>23962.998</v>
      </c>
      <c r="O9" s="88">
        <f>N9+L9+((J9+I9)*0.5)</f>
        <v>25747.807000000001</v>
      </c>
      <c r="P9" s="89">
        <f t="shared" si="20"/>
        <v>87592.9565</v>
      </c>
      <c r="R9" s="170">
        <f t="shared" si="21"/>
        <v>134.90000000002328</v>
      </c>
      <c r="S9" s="170">
        <f t="shared" si="22"/>
        <v>159.11999999999534</v>
      </c>
      <c r="T9" s="170">
        <f t="shared" si="1"/>
        <v>446.8</v>
      </c>
      <c r="U9" s="170">
        <f>IF(FB9=0,"",((EN9-EN8)/10))</f>
        <v>6.3799999999995638</v>
      </c>
      <c r="V9" s="170">
        <f>IF(EO9=0,"",(EO9-EO8))</f>
        <v>1199.1999999997206</v>
      </c>
      <c r="W9" s="170">
        <f t="shared" si="2"/>
        <v>105.8</v>
      </c>
      <c r="X9" s="170">
        <f t="shared" si="24"/>
        <v>1199.1999999997206</v>
      </c>
      <c r="Y9" s="170">
        <f t="shared" si="25"/>
        <v>155</v>
      </c>
      <c r="Z9" s="170">
        <f t="shared" si="3"/>
        <v>154.4</v>
      </c>
      <c r="AA9" s="501">
        <f t="shared" si="26"/>
        <v>1946.3999999997386</v>
      </c>
      <c r="AB9" s="170">
        <f t="shared" si="27"/>
        <v>0</v>
      </c>
      <c r="AC9" s="170">
        <f t="shared" si="27"/>
        <v>24</v>
      </c>
      <c r="AD9" s="501">
        <f t="shared" si="4"/>
        <v>126</v>
      </c>
      <c r="AE9" s="501">
        <f t="shared" si="28"/>
        <v>102</v>
      </c>
      <c r="AF9" s="170">
        <f t="shared" si="29"/>
        <v>102</v>
      </c>
      <c r="AG9" s="170">
        <f t="shared" si="29"/>
        <v>44</v>
      </c>
      <c r="AH9" s="501">
        <f t="shared" si="5"/>
        <v>228</v>
      </c>
      <c r="AI9" s="501">
        <f t="shared" si="30"/>
        <v>82</v>
      </c>
      <c r="AJ9" s="170">
        <f t="shared" si="31"/>
        <v>150</v>
      </c>
      <c r="AK9" s="170">
        <f t="shared" si="31"/>
        <v>9.9000000000014552</v>
      </c>
      <c r="AL9" s="501">
        <f t="shared" si="6"/>
        <v>233</v>
      </c>
      <c r="AM9" s="501">
        <f t="shared" si="32"/>
        <v>73.099999999998545</v>
      </c>
      <c r="AN9" s="170">
        <f t="shared" si="33"/>
        <v>0.40000000000145519</v>
      </c>
      <c r="AO9" s="501">
        <f t="shared" si="7"/>
        <v>36.69999999999709</v>
      </c>
      <c r="AP9" s="170">
        <f t="shared" si="34"/>
        <v>16.600000000005821</v>
      </c>
      <c r="AQ9" s="501">
        <f t="shared" si="8"/>
        <v>20</v>
      </c>
      <c r="AR9" s="170">
        <f t="shared" si="35"/>
        <v>106.756</v>
      </c>
      <c r="AS9" s="501">
        <f t="shared" si="36"/>
        <v>62.755999999999972</v>
      </c>
      <c r="AT9" s="501">
        <f t="shared" si="37"/>
        <v>354.75599999999997</v>
      </c>
      <c r="AU9" s="170">
        <f t="shared" si="60"/>
        <v>3</v>
      </c>
      <c r="AV9" s="501">
        <f t="shared" si="61"/>
        <v>47</v>
      </c>
      <c r="AW9" s="170">
        <f t="shared" si="62"/>
        <v>289</v>
      </c>
      <c r="AX9" s="501">
        <f t="shared" si="63"/>
        <v>28</v>
      </c>
      <c r="AY9" s="501"/>
      <c r="AZ9" s="170">
        <f t="shared" si="38"/>
        <v>348</v>
      </c>
      <c r="BA9" s="170">
        <v>93.7</v>
      </c>
      <c r="BB9" s="170">
        <f t="shared" si="39"/>
        <v>153.5</v>
      </c>
      <c r="BC9" s="170">
        <f t="shared" si="39"/>
        <v>331.10000000009313</v>
      </c>
      <c r="BD9" s="170">
        <f t="shared" si="40"/>
        <v>357</v>
      </c>
      <c r="BE9" s="90"/>
      <c r="BF9" s="90"/>
      <c r="BG9" s="501">
        <f>IFERROR(SUM(BB9:BC9)+AZ9+BD9,"")</f>
        <v>1189.6000000000931</v>
      </c>
      <c r="BH9" s="501">
        <f t="shared" si="42"/>
        <v>968</v>
      </c>
      <c r="BI9" s="90">
        <f t="shared" si="9"/>
        <v>2084.5440000001709</v>
      </c>
      <c r="BJ9" s="90">
        <f t="shared" si="43"/>
        <v>4209.4559999998291</v>
      </c>
      <c r="BK9" s="92"/>
      <c r="BL9" s="93">
        <f t="shared" si="64"/>
        <v>7262</v>
      </c>
      <c r="BM9" s="93">
        <f t="shared" si="44"/>
        <v>29339</v>
      </c>
      <c r="BN9" s="92"/>
      <c r="BO9" s="94">
        <f t="shared" si="45"/>
        <v>5.6295126344384494E-2</v>
      </c>
      <c r="BP9" s="94">
        <f t="shared" si="45"/>
        <v>6.6402375862984808E-2</v>
      </c>
      <c r="BQ9" s="94">
        <f t="shared" si="46"/>
        <v>0.18645413232517899</v>
      </c>
      <c r="BR9" s="94">
        <f t="shared" si="65"/>
        <v>0.50043821728805415</v>
      </c>
      <c r="BS9" s="94">
        <f t="shared" si="10"/>
        <v>6.4683058438681176E-2</v>
      </c>
      <c r="BT9" s="94">
        <f t="shared" si="10"/>
        <v>6.4432672406015301E-2</v>
      </c>
      <c r="BU9" s="95">
        <f t="shared" si="10"/>
        <v>0.81225228996794918</v>
      </c>
      <c r="BV9" s="94">
        <f t="shared" si="11"/>
        <v>5.2392811550911224E-2</v>
      </c>
      <c r="BW9" s="94">
        <f t="shared" si="11"/>
        <v>6.1799437909409269E-2</v>
      </c>
      <c r="BX9" s="94">
        <f t="shared" si="11"/>
        <v>0.17352934174160928</v>
      </c>
      <c r="BY9" s="94">
        <f t="shared" si="47"/>
        <v>0.46574840334934953</v>
      </c>
      <c r="BZ9" s="95">
        <f t="shared" si="12"/>
        <v>0.75594787548304154</v>
      </c>
      <c r="CA9" s="96" t="e">
        <f>#REF!</f>
        <v>#REF!</v>
      </c>
      <c r="CB9" s="94">
        <f t="shared" si="48"/>
        <v>4.1462171904582013E-2</v>
      </c>
      <c r="CC9" s="95">
        <f t="shared" si="48"/>
        <v>2.4373337892427096E-2</v>
      </c>
      <c r="CD9" s="97">
        <f t="shared" si="13"/>
        <v>0.29906841572403542</v>
      </c>
      <c r="CE9" s="98">
        <f t="shared" si="13"/>
        <v>0.1758059265725351</v>
      </c>
      <c r="CF9" s="97">
        <f t="shared" si="49"/>
        <v>0</v>
      </c>
      <c r="CG9" s="94">
        <f t="shared" si="49"/>
        <v>5.482305857843809E-2</v>
      </c>
      <c r="CH9" s="95">
        <f t="shared" si="50"/>
        <v>0.28782105753679998</v>
      </c>
      <c r="CI9" s="96" t="e">
        <f>#REF!</f>
        <v>#REF!</v>
      </c>
      <c r="CJ9" s="94">
        <f t="shared" si="51"/>
        <v>0.27045085748830699</v>
      </c>
      <c r="CK9" s="94">
        <f t="shared" si="51"/>
        <v>0.11666507577926968</v>
      </c>
      <c r="CL9" s="95">
        <f t="shared" si="66"/>
        <v>0.60453721085621559</v>
      </c>
      <c r="CM9" s="95" t="e">
        <f>#REF!</f>
        <v>#REF!</v>
      </c>
      <c r="CN9" s="94">
        <f t="shared" si="52"/>
        <v>0.64015896427400854</v>
      </c>
      <c r="CO9" s="94">
        <f t="shared" si="52"/>
        <v>4.2250491642090771E-2</v>
      </c>
      <c r="CP9" s="95">
        <f t="shared" si="53"/>
        <v>0.99438025783895989</v>
      </c>
      <c r="CQ9" s="95" t="e">
        <f>#REF!</f>
        <v>#REF!</v>
      </c>
      <c r="CR9" s="97">
        <f t="shared" si="67"/>
        <v>8.6730588556257733E-4</v>
      </c>
      <c r="CS9" s="95">
        <f t="shared" si="67"/>
        <v>7.9575315000070659E-2</v>
      </c>
      <c r="CT9" s="96" t="e">
        <f>#REF!</f>
        <v>#REF!</v>
      </c>
      <c r="CU9" s="97">
        <f t="shared" si="68"/>
        <v>1.8738753220447567E-2</v>
      </c>
      <c r="CV9" s="95">
        <f t="shared" si="54"/>
        <v>2.2576811108965054E-2</v>
      </c>
      <c r="CW9" s="96" t="e">
        <f>#REF!</f>
        <v>#REF!</v>
      </c>
      <c r="CX9" s="97">
        <f t="shared" si="55"/>
        <v>1.1651477735560157E-3</v>
      </c>
      <c r="CY9" s="98">
        <f t="shared" si="55"/>
        <v>1.8253981785710915E-2</v>
      </c>
      <c r="CZ9" s="97">
        <f t="shared" si="55"/>
        <v>0.11224256885256285</v>
      </c>
      <c r="DA9" s="98">
        <f t="shared" si="55"/>
        <v>1.087471255318948E-2</v>
      </c>
      <c r="DB9" s="94">
        <f t="shared" si="14"/>
        <v>0.13515714173249785</v>
      </c>
      <c r="DC9" s="94">
        <f t="shared" si="15"/>
        <v>5.9616727746949476E-2</v>
      </c>
      <c r="DD9" s="94">
        <f t="shared" si="15"/>
        <v>0.12859347594150178</v>
      </c>
      <c r="DE9" s="94">
        <f t="shared" si="15"/>
        <v>0.13865258505316588</v>
      </c>
      <c r="DF9" s="94">
        <f t="shared" si="15"/>
        <v>0</v>
      </c>
      <c r="DG9" s="94">
        <f t="shared" si="15"/>
        <v>0</v>
      </c>
      <c r="DH9" s="95">
        <f t="shared" si="15"/>
        <v>0.46201993047411494</v>
      </c>
      <c r="DI9" s="96" t="e">
        <f>#REF!</f>
        <v>#REF!</v>
      </c>
      <c r="DJ9" s="95">
        <f t="shared" si="56"/>
        <v>0.37595434826740776</v>
      </c>
      <c r="DK9" s="96" t="e">
        <f>#REF!</f>
        <v>#REF!</v>
      </c>
      <c r="DL9" s="95">
        <f t="shared" si="57"/>
        <v>0.80960060015991675</v>
      </c>
      <c r="DM9" s="96">
        <f t="shared" si="16"/>
        <v>0</v>
      </c>
      <c r="DN9" s="94">
        <f t="shared" si="17"/>
        <v>1.6348794287606045</v>
      </c>
      <c r="DO9" s="100">
        <v>3.4</v>
      </c>
      <c r="DP9" s="94">
        <f t="shared" ref="DP9:DP33" si="69">IF($O9&lt;&gt;0,IF($O9&lt;&gt;0,BL9/$O9*10,0)," ")</f>
        <v>2.8204343771879294</v>
      </c>
      <c r="DQ9" s="94">
        <f t="shared" ref="DQ9:DQ34" si="70">IF($P9&lt;&gt;0,IF($P9&lt;&gt;0,BM9/$P9*10,0)," ")</f>
        <v>3.3494702282369015</v>
      </c>
      <c r="DR9" s="101">
        <f t="shared" si="18"/>
        <v>3.07</v>
      </c>
      <c r="DS9" s="116"/>
      <c r="DT9" s="103">
        <v>4</v>
      </c>
      <c r="DU9" s="120">
        <v>640228</v>
      </c>
      <c r="DV9" s="355">
        <v>30725</v>
      </c>
      <c r="DW9" s="104">
        <v>5159226</v>
      </c>
      <c r="DX9" s="104">
        <v>125105</v>
      </c>
      <c r="DY9" s="104">
        <v>90515.7</v>
      </c>
      <c r="DZ9" s="104">
        <v>411438</v>
      </c>
      <c r="EA9" s="355">
        <v>246818</v>
      </c>
      <c r="EB9" s="104">
        <v>56889.599999999999</v>
      </c>
      <c r="EC9" s="104">
        <v>427881</v>
      </c>
      <c r="ED9" s="104">
        <v>48759.4</v>
      </c>
      <c r="EE9" s="104">
        <v>41861.599999999999</v>
      </c>
      <c r="EF9" s="104">
        <v>43738</v>
      </c>
      <c r="EG9" s="355">
        <v>96185.8</v>
      </c>
      <c r="EH9" s="355">
        <v>189025.9</v>
      </c>
      <c r="EI9" s="355">
        <v>35672</v>
      </c>
      <c r="EJ9" s="104">
        <v>44289</v>
      </c>
      <c r="EK9" s="104"/>
      <c r="EL9" s="355">
        <v>727617.4</v>
      </c>
      <c r="EM9" s="104">
        <v>4468</v>
      </c>
      <c r="EN9" s="104">
        <v>49272.6</v>
      </c>
      <c r="EO9" s="355">
        <v>3158969.4</v>
      </c>
      <c r="EP9" s="104">
        <v>2864371</v>
      </c>
      <c r="EQ9" s="104">
        <v>1550</v>
      </c>
      <c r="ER9" s="104">
        <v>1544</v>
      </c>
      <c r="ES9" s="80">
        <v>442185</v>
      </c>
      <c r="ET9" s="104">
        <v>622945</v>
      </c>
      <c r="EU9" s="104">
        <v>167711</v>
      </c>
      <c r="EV9" s="136">
        <v>474276</v>
      </c>
      <c r="EW9" s="104">
        <v>149903</v>
      </c>
      <c r="EX9" s="355">
        <v>225967.4</v>
      </c>
      <c r="EY9" s="355">
        <v>1739069.1</v>
      </c>
      <c r="EZ9" s="377">
        <v>846540.7</v>
      </c>
      <c r="FA9" s="378">
        <v>774056</v>
      </c>
      <c r="FB9" s="379">
        <v>32475.599999999999</v>
      </c>
      <c r="FC9" s="104">
        <v>6294</v>
      </c>
      <c r="FD9" s="104">
        <f>SUM(FE9:FM9)</f>
        <v>5762</v>
      </c>
      <c r="FE9" s="367">
        <v>894</v>
      </c>
      <c r="FF9" s="495">
        <v>83</v>
      </c>
      <c r="FG9" s="136">
        <v>719</v>
      </c>
      <c r="FH9" s="303">
        <v>1959</v>
      </c>
      <c r="FI9" s="136">
        <v>659</v>
      </c>
      <c r="FJ9" s="303">
        <v>0</v>
      </c>
      <c r="FK9" s="136">
        <v>698</v>
      </c>
      <c r="FL9" s="136">
        <v>300</v>
      </c>
      <c r="FM9" s="136">
        <v>450</v>
      </c>
      <c r="FN9" s="80">
        <v>1500</v>
      </c>
      <c r="FO9" s="77"/>
      <c r="FP9" s="484"/>
      <c r="FY9" s="119">
        <v>4</v>
      </c>
      <c r="FZ9" s="107"/>
      <c r="GA9" s="107">
        <v>0</v>
      </c>
      <c r="GB9" s="108"/>
      <c r="GC9" s="109"/>
      <c r="GD9" s="110"/>
      <c r="GE9" s="110"/>
      <c r="GF9" s="111"/>
      <c r="GG9" s="111"/>
      <c r="GH9" s="111"/>
      <c r="GI9" s="112"/>
      <c r="GJ9" s="111" t="e">
        <f t="shared" si="58"/>
        <v>#DIV/0!</v>
      </c>
      <c r="GK9" s="113"/>
    </row>
    <row r="10" spans="1:194" s="119" customFormat="1" ht="15" customHeight="1">
      <c r="B10" s="351">
        <v>43044</v>
      </c>
      <c r="D10" s="128">
        <v>0</v>
      </c>
      <c r="E10" s="128">
        <v>2079.48</v>
      </c>
      <c r="F10" s="128">
        <v>3193.3440000000001</v>
      </c>
      <c r="G10" s="86">
        <v>6114.4</v>
      </c>
      <c r="H10" s="86">
        <v>8927.3829999999998</v>
      </c>
      <c r="I10" s="86">
        <v>1961.962</v>
      </c>
      <c r="J10" s="86">
        <v>0</v>
      </c>
      <c r="K10" s="86">
        <v>0</v>
      </c>
      <c r="L10" s="86">
        <v>0</v>
      </c>
      <c r="M10" s="115">
        <f t="shared" si="59"/>
        <v>1961.962</v>
      </c>
      <c r="N10" s="88">
        <f t="shared" si="19"/>
        <v>20314.607</v>
      </c>
      <c r="O10" s="88">
        <f>(N10+L10+((J10+I10)*0.5))</f>
        <v>21295.588</v>
      </c>
      <c r="P10" s="89">
        <f t="shared" si="20"/>
        <v>108888.5445</v>
      </c>
      <c r="R10" s="170">
        <f t="shared" si="21"/>
        <v>266.59999999997672</v>
      </c>
      <c r="S10" s="170">
        <f t="shared" si="22"/>
        <v>-6.9999999995343384E-2</v>
      </c>
      <c r="T10" s="170">
        <f t="shared" si="1"/>
        <v>435.5</v>
      </c>
      <c r="U10" s="170">
        <f>IF(FB10=0,"",((EN10-EN9)/10))</f>
        <v>6.2400000000001459</v>
      </c>
      <c r="V10" s="170">
        <f t="shared" si="23"/>
        <v>1033.6000000000931</v>
      </c>
      <c r="W10" s="170">
        <f t="shared" si="2"/>
        <v>90.9</v>
      </c>
      <c r="X10" s="170">
        <f t="shared" si="24"/>
        <v>1033.6000000000931</v>
      </c>
      <c r="Y10" s="170">
        <f t="shared" si="25"/>
        <v>39.1</v>
      </c>
      <c r="Z10" s="170">
        <f t="shared" si="3"/>
        <v>165.8</v>
      </c>
      <c r="AA10" s="501">
        <f t="shared" si="26"/>
        <v>1741.8700000000745</v>
      </c>
      <c r="AB10" s="170">
        <f t="shared" si="27"/>
        <v>143</v>
      </c>
      <c r="AC10" s="170">
        <f t="shared" si="27"/>
        <v>0</v>
      </c>
      <c r="AD10" s="501">
        <f t="shared" si="4"/>
        <v>145</v>
      </c>
      <c r="AE10" s="501">
        <f t="shared" si="28"/>
        <v>2</v>
      </c>
      <c r="AF10" s="170">
        <f t="shared" si="29"/>
        <v>91</v>
      </c>
      <c r="AG10" s="170">
        <f t="shared" si="29"/>
        <v>59.30000000000291</v>
      </c>
      <c r="AH10" s="501">
        <f t="shared" si="5"/>
        <v>223</v>
      </c>
      <c r="AI10" s="501">
        <f t="shared" si="30"/>
        <v>72.69999999999709</v>
      </c>
      <c r="AJ10" s="170">
        <f t="shared" si="31"/>
        <v>133</v>
      </c>
      <c r="AK10" s="170">
        <f t="shared" si="31"/>
        <v>9.4000000000014552</v>
      </c>
      <c r="AL10" s="501">
        <f t="shared" si="6"/>
        <v>238</v>
      </c>
      <c r="AM10" s="501">
        <f t="shared" si="32"/>
        <v>95.599999999998545</v>
      </c>
      <c r="AN10" s="170">
        <f t="shared" si="33"/>
        <v>-0.40000000000145519</v>
      </c>
      <c r="AO10" s="501">
        <f t="shared" si="7"/>
        <v>28.400000000001455</v>
      </c>
      <c r="AP10" s="170">
        <f t="shared" si="34"/>
        <v>24.19999999999709</v>
      </c>
      <c r="AQ10" s="501">
        <f t="shared" si="8"/>
        <v>28.100000000005821</v>
      </c>
      <c r="AR10" s="170">
        <f t="shared" si="35"/>
        <v>85.033000000000001</v>
      </c>
      <c r="AS10" s="501">
        <f t="shared" si="36"/>
        <v>134.03300000000002</v>
      </c>
      <c r="AT10" s="501">
        <f t="shared" si="37"/>
        <v>350.03300000000002</v>
      </c>
      <c r="AU10" s="170">
        <f t="shared" si="60"/>
        <v>4</v>
      </c>
      <c r="AV10" s="501">
        <f t="shared" si="61"/>
        <v>42</v>
      </c>
      <c r="AW10" s="170">
        <f t="shared" si="62"/>
        <v>212</v>
      </c>
      <c r="AX10" s="501">
        <f t="shared" si="63"/>
        <v>26</v>
      </c>
      <c r="AY10" s="501"/>
      <c r="AZ10" s="170">
        <f t="shared" si="38"/>
        <v>391</v>
      </c>
      <c r="BA10" s="170">
        <v>0</v>
      </c>
      <c r="BB10" s="170">
        <f t="shared" si="39"/>
        <v>118.60000000000582</v>
      </c>
      <c r="BC10" s="170">
        <f t="shared" si="39"/>
        <v>1121.8999999999069</v>
      </c>
      <c r="BD10" s="170">
        <f t="shared" si="40"/>
        <v>314</v>
      </c>
      <c r="BE10" s="90"/>
      <c r="BF10" s="90"/>
      <c r="BG10" s="501">
        <f t="shared" si="41"/>
        <v>1945.4999999999127</v>
      </c>
      <c r="BH10" s="501">
        <f t="shared" si="42"/>
        <v>98</v>
      </c>
      <c r="BI10" s="90">
        <f t="shared" si="9"/>
        <v>2018.0970000000052</v>
      </c>
      <c r="BJ10" s="90">
        <f t="shared" si="43"/>
        <v>4767.9029999999948</v>
      </c>
      <c r="BK10" s="92"/>
      <c r="BL10" s="93">
        <f t="shared" si="64"/>
        <v>6884</v>
      </c>
      <c r="BM10" s="93">
        <f t="shared" si="44"/>
        <v>36223</v>
      </c>
      <c r="BN10" s="92"/>
      <c r="BO10" s="94">
        <f t="shared" si="45"/>
        <v>0.13123561779953544</v>
      </c>
      <c r="BP10" s="94">
        <f t="shared" si="45"/>
        <v>-3.4457964161129664E-5</v>
      </c>
      <c r="BQ10" s="94">
        <f t="shared" si="46"/>
        <v>0.21437776275957493</v>
      </c>
      <c r="BR10" s="94">
        <f t="shared" si="65"/>
        <v>0.50879645370451576</v>
      </c>
      <c r="BS10" s="94">
        <f t="shared" si="10"/>
        <v>1.9247234268425673E-2</v>
      </c>
      <c r="BT10" s="94">
        <f t="shared" si="10"/>
        <v>8.1616149404219338E-2</v>
      </c>
      <c r="BU10" s="95">
        <f t="shared" si="10"/>
        <v>0.85744705767631846</v>
      </c>
      <c r="BV10" s="94">
        <f t="shared" si="11"/>
        <v>0.12519025067538719</v>
      </c>
      <c r="BW10" s="94">
        <f t="shared" si="11"/>
        <v>-3.2870658464722074E-5</v>
      </c>
      <c r="BX10" s="94">
        <f t="shared" si="11"/>
        <v>0.20450245374769649</v>
      </c>
      <c r="BY10" s="94">
        <f t="shared" si="47"/>
        <v>0.48535875130571327</v>
      </c>
      <c r="BZ10" s="95">
        <f t="shared" si="12"/>
        <v>0.81794876948223949</v>
      </c>
      <c r="CA10" s="96" t="e">
        <f>#REF!</f>
        <v>#REF!</v>
      </c>
      <c r="CB10" s="94">
        <f t="shared" si="48"/>
        <v>3.9929867163095011E-2</v>
      </c>
      <c r="CC10" s="95">
        <f t="shared" si="48"/>
        <v>6.2939328089931121E-2</v>
      </c>
      <c r="CD10" s="97">
        <f t="shared" si="13"/>
        <v>0.43340798649515133</v>
      </c>
      <c r="CE10" s="98">
        <f t="shared" si="13"/>
        <v>0.68315798165305963</v>
      </c>
      <c r="CF10" s="97" t="str">
        <f t="shared" si="49"/>
        <v>0,00</v>
      </c>
      <c r="CG10" s="94" t="str">
        <f t="shared" si="49"/>
        <v>0,00</v>
      </c>
      <c r="CH10" s="95" t="str">
        <f t="shared" si="50"/>
        <v xml:space="preserve">0,00 </v>
      </c>
      <c r="CI10" s="96" t="e">
        <f>#REF!</f>
        <v>#REF!</v>
      </c>
      <c r="CJ10" s="94">
        <f t="shared" si="51"/>
        <v>0.43760940235058765</v>
      </c>
      <c r="CK10" s="94">
        <f t="shared" si="51"/>
        <v>0.28516744570759472</v>
      </c>
      <c r="CL10" s="95">
        <f t="shared" si="66"/>
        <v>1.0723834804855059</v>
      </c>
      <c r="CM10" s="95" t="e">
        <f>#REF!</f>
        <v>#REF!</v>
      </c>
      <c r="CN10" s="94">
        <f t="shared" si="52"/>
        <v>0.41649130190796857</v>
      </c>
      <c r="CO10" s="94">
        <f t="shared" si="52"/>
        <v>2.9436227352898574E-2</v>
      </c>
      <c r="CP10" s="95">
        <f t="shared" si="53"/>
        <v>0.74530022446689115</v>
      </c>
      <c r="CQ10" s="95" t="e">
        <f>#REF!</f>
        <v>#REF!</v>
      </c>
      <c r="CR10" s="97">
        <f t="shared" si="67"/>
        <v>-6.5419337956537887E-4</v>
      </c>
      <c r="CS10" s="95">
        <f t="shared" si="67"/>
        <v>4.6447729948975301E-2</v>
      </c>
      <c r="CT10" s="96" t="e">
        <f>#REF!</f>
        <v>#REF!</v>
      </c>
      <c r="CU10" s="97">
        <f t="shared" si="68"/>
        <v>2.7107608131069421E-2</v>
      </c>
      <c r="CV10" s="95">
        <f t="shared" si="54"/>
        <v>3.1476189606747938E-2</v>
      </c>
      <c r="CW10" s="96" t="e">
        <f>#REF!</f>
        <v>#REF!</v>
      </c>
      <c r="CX10" s="97">
        <f t="shared" si="55"/>
        <v>1.8783233409662133E-3</v>
      </c>
      <c r="CY10" s="98">
        <f t="shared" si="55"/>
        <v>1.9722395080145238E-2</v>
      </c>
      <c r="CZ10" s="97">
        <f t="shared" si="55"/>
        <v>9.9551137071209314E-2</v>
      </c>
      <c r="DA10" s="98">
        <f t="shared" si="55"/>
        <v>1.2209101716280386E-2</v>
      </c>
      <c r="DB10" s="94">
        <f t="shared" si="14"/>
        <v>0.18360610657944737</v>
      </c>
      <c r="DC10" s="94">
        <f t="shared" si="15"/>
        <v>5.5692287059650958E-2</v>
      </c>
      <c r="DD10" s="94">
        <f t="shared" si="15"/>
        <v>0.52682273905745491</v>
      </c>
      <c r="DE10" s="94">
        <f t="shared" si="15"/>
        <v>0.14744838226584775</v>
      </c>
      <c r="DF10" s="94">
        <f t="shared" si="15"/>
        <v>0</v>
      </c>
      <c r="DG10" s="94">
        <f t="shared" si="15"/>
        <v>0</v>
      </c>
      <c r="DH10" s="95">
        <f t="shared" si="15"/>
        <v>0.91356951496240102</v>
      </c>
      <c r="DI10" s="96" t="e">
        <f>#REF!</f>
        <v>#REF!</v>
      </c>
      <c r="DJ10" s="95">
        <f t="shared" si="56"/>
        <v>4.6018921853672221E-2</v>
      </c>
      <c r="DK10" s="96" t="e">
        <f>#REF!</f>
        <v>#REF!</v>
      </c>
      <c r="DL10" s="95">
        <f t="shared" si="57"/>
        <v>0.94765967485847546</v>
      </c>
      <c r="DM10" s="96">
        <f t="shared" si="16"/>
        <v>0</v>
      </c>
      <c r="DN10" s="94">
        <f t="shared" si="17"/>
        <v>2.2389158730907055</v>
      </c>
      <c r="DO10" s="100">
        <v>3.4</v>
      </c>
      <c r="DP10" s="94">
        <f>IF($O10&lt;&gt;0,IF($O10&lt;&gt;0,BL10/$O10*10,0)," ")</f>
        <v>3.2325944698028533</v>
      </c>
      <c r="DQ10" s="94">
        <f>IF($P10&lt;&gt;0,IF($P10&lt;&gt;0,BM10/$P10*10,0)," ")</f>
        <v>3.3266125620771798</v>
      </c>
      <c r="DR10" s="101">
        <f t="shared" si="18"/>
        <v>3.07</v>
      </c>
      <c r="DS10" s="116"/>
      <c r="DT10" s="103">
        <v>5</v>
      </c>
      <c r="DU10" s="183">
        <v>640371</v>
      </c>
      <c r="DV10" s="135">
        <v>30725</v>
      </c>
      <c r="DW10" s="135">
        <v>5159228</v>
      </c>
      <c r="DX10" s="129">
        <v>125196</v>
      </c>
      <c r="DY10" s="135">
        <v>90575</v>
      </c>
      <c r="DZ10" s="135">
        <v>411570</v>
      </c>
      <c r="EA10" s="135">
        <v>246951</v>
      </c>
      <c r="EB10" s="136">
        <v>56899</v>
      </c>
      <c r="EC10" s="135">
        <v>427986</v>
      </c>
      <c r="ED10" s="135">
        <v>48759</v>
      </c>
      <c r="EE10" s="136">
        <v>41888</v>
      </c>
      <c r="EF10" s="136">
        <v>43740</v>
      </c>
      <c r="EG10" s="135">
        <v>96210</v>
      </c>
      <c r="EH10" s="135">
        <v>189054</v>
      </c>
      <c r="EI10" s="135">
        <v>35714</v>
      </c>
      <c r="EJ10" s="136">
        <v>44315</v>
      </c>
      <c r="EK10" s="136"/>
      <c r="EL10" s="135">
        <v>727884</v>
      </c>
      <c r="EM10" s="136">
        <v>4355</v>
      </c>
      <c r="EN10" s="136">
        <v>49335</v>
      </c>
      <c r="EO10" s="135">
        <v>3160003</v>
      </c>
      <c r="EP10" s="136">
        <v>2865280</v>
      </c>
      <c r="EQ10" s="136">
        <v>391</v>
      </c>
      <c r="ER10" s="136">
        <v>1658</v>
      </c>
      <c r="ES10" s="144">
        <v>442450</v>
      </c>
      <c r="ET10" s="136">
        <v>707978</v>
      </c>
      <c r="EU10" s="136">
        <v>167923</v>
      </c>
      <c r="EV10" s="136">
        <v>474280</v>
      </c>
      <c r="EW10" s="136">
        <v>150294</v>
      </c>
      <c r="EX10" s="135">
        <v>226086</v>
      </c>
      <c r="EY10" s="135">
        <v>1740191</v>
      </c>
      <c r="EZ10" s="135">
        <v>846540</v>
      </c>
      <c r="FA10" s="130">
        <v>774370</v>
      </c>
      <c r="FB10" s="136">
        <v>32475</v>
      </c>
      <c r="FC10" s="136">
        <v>6786</v>
      </c>
      <c r="FD10" s="104">
        <f>(SUM(FE10:FM10))</f>
        <v>5384</v>
      </c>
      <c r="FE10" s="129">
        <v>983</v>
      </c>
      <c r="FF10" s="129">
        <v>84</v>
      </c>
      <c r="FG10" s="105">
        <v>0</v>
      </c>
      <c r="FH10" s="136">
        <v>1497</v>
      </c>
      <c r="FI10" s="136">
        <v>618</v>
      </c>
      <c r="FJ10" s="105">
        <v>518</v>
      </c>
      <c r="FK10" s="136">
        <v>727</v>
      </c>
      <c r="FL10" s="136">
        <v>386</v>
      </c>
      <c r="FM10" s="136">
        <v>571</v>
      </c>
      <c r="FN10" s="80">
        <v>1500</v>
      </c>
      <c r="FO10" s="77"/>
      <c r="FP10" s="484"/>
      <c r="FY10" s="119">
        <v>5</v>
      </c>
      <c r="FZ10" s="107">
        <v>3949</v>
      </c>
      <c r="GA10" s="107">
        <v>188</v>
      </c>
      <c r="GB10" s="108">
        <f>GA10/FZ10/0.1</f>
        <v>0.4760698911116738</v>
      </c>
      <c r="GC10" s="109"/>
      <c r="GD10" s="110"/>
      <c r="GE10" s="110"/>
      <c r="GF10" s="111"/>
      <c r="GG10" s="111"/>
      <c r="GH10" s="111"/>
      <c r="GI10" s="112"/>
      <c r="GJ10" s="111">
        <f t="shared" si="58"/>
        <v>6499.0457446808514</v>
      </c>
      <c r="GK10" s="113"/>
    </row>
    <row r="11" spans="1:194" s="119" customFormat="1" ht="15.75" customHeight="1">
      <c r="B11" s="351">
        <v>43045</v>
      </c>
      <c r="D11" s="128">
        <v>0</v>
      </c>
      <c r="E11" s="128">
        <v>5725.8</v>
      </c>
      <c r="F11" s="128">
        <v>2151.6480000000001</v>
      </c>
      <c r="G11" s="86">
        <v>979.54399999999998</v>
      </c>
      <c r="H11" s="86">
        <v>8455.7070000000003</v>
      </c>
      <c r="I11" s="86">
        <v>1824.654</v>
      </c>
      <c r="J11" s="86">
        <v>4944.3599999999997</v>
      </c>
      <c r="K11" s="86">
        <v>0</v>
      </c>
      <c r="L11" s="86">
        <v>0</v>
      </c>
      <c r="M11" s="115">
        <f t="shared" si="59"/>
        <v>6769.0139999999992</v>
      </c>
      <c r="N11" s="88">
        <f t="shared" si="19"/>
        <v>17312.699000000001</v>
      </c>
      <c r="O11" s="88">
        <f>N11+L11+K11+((J11+I11)*0.5)</f>
        <v>20697.205999999998</v>
      </c>
      <c r="P11" s="89">
        <f t="shared" si="20"/>
        <v>129585.75049999999</v>
      </c>
      <c r="R11" s="170">
        <f t="shared" si="21"/>
        <v>324.30000000004657</v>
      </c>
      <c r="S11" s="170">
        <f t="shared" si="22"/>
        <v>8.8699999999953434</v>
      </c>
      <c r="T11" s="170">
        <f t="shared" si="1"/>
        <v>389.2</v>
      </c>
      <c r="U11" s="170">
        <f t="shared" ref="U11:U35" si="71">IF(FB11=0,"",((EN11-EN10)/10))</f>
        <v>0.45</v>
      </c>
      <c r="V11" s="170">
        <f t="shared" si="23"/>
        <v>1101.8999999999069</v>
      </c>
      <c r="W11" s="170">
        <f t="shared" si="2"/>
        <v>97.1</v>
      </c>
      <c r="X11" s="170">
        <f t="shared" si="24"/>
        <v>1101.8999999999069</v>
      </c>
      <c r="Y11" s="170">
        <f t="shared" si="25"/>
        <v>142</v>
      </c>
      <c r="Z11" s="170">
        <f t="shared" si="3"/>
        <v>148.80000000000001</v>
      </c>
      <c r="AA11" s="501">
        <f t="shared" si="26"/>
        <v>1824.7199999999489</v>
      </c>
      <c r="AB11" s="170">
        <f t="shared" si="27"/>
        <v>9</v>
      </c>
      <c r="AC11" s="170">
        <f t="shared" si="27"/>
        <v>0</v>
      </c>
      <c r="AD11" s="501">
        <f t="shared" si="4"/>
        <v>131</v>
      </c>
      <c r="AE11" s="501">
        <f t="shared" si="28"/>
        <v>122</v>
      </c>
      <c r="AF11" s="170">
        <f t="shared" si="29"/>
        <v>133</v>
      </c>
      <c r="AG11" s="170">
        <f>IF(DY11=0,"",(DY11-DY10))</f>
        <v>36.600000000005821</v>
      </c>
      <c r="AH11" s="501">
        <f t="shared" si="5"/>
        <v>225</v>
      </c>
      <c r="AI11" s="501">
        <f t="shared" si="30"/>
        <v>55.399999999994179</v>
      </c>
      <c r="AJ11" s="170">
        <f t="shared" si="31"/>
        <v>146</v>
      </c>
      <c r="AK11" s="170">
        <f t="shared" si="31"/>
        <v>27.099999999998545</v>
      </c>
      <c r="AL11" s="501">
        <f t="shared" si="6"/>
        <v>257</v>
      </c>
      <c r="AM11" s="501">
        <f t="shared" si="32"/>
        <v>83.900000000001455</v>
      </c>
      <c r="AN11" s="170">
        <f t="shared" si="33"/>
        <v>0.40000000000145519</v>
      </c>
      <c r="AO11" s="501">
        <f t="shared" si="7"/>
        <v>17.900000000001455</v>
      </c>
      <c r="AP11" s="170">
        <f t="shared" si="34"/>
        <v>15.399999999994179</v>
      </c>
      <c r="AQ11" s="501">
        <f t="shared" si="8"/>
        <v>31.799999999988358</v>
      </c>
      <c r="AR11" s="170">
        <f t="shared" si="35"/>
        <v>78.457999999999998</v>
      </c>
      <c r="AS11" s="501">
        <f t="shared" si="36"/>
        <v>76.45799999999997</v>
      </c>
      <c r="AT11" s="501">
        <f t="shared" si="37"/>
        <v>848.45799999999997</v>
      </c>
      <c r="AU11" s="170">
        <f t="shared" si="60"/>
        <v>471</v>
      </c>
      <c r="AV11" s="501">
        <f t="shared" si="61"/>
        <v>12</v>
      </c>
      <c r="AW11" s="170">
        <f t="shared" si="62"/>
        <v>301</v>
      </c>
      <c r="AX11" s="501">
        <f t="shared" si="63"/>
        <v>19</v>
      </c>
      <c r="AY11" s="501"/>
      <c r="AZ11" s="170">
        <f t="shared" si="38"/>
        <v>358</v>
      </c>
      <c r="BA11" s="170">
        <v>104.4</v>
      </c>
      <c r="BB11" s="170">
        <f t="shared" si="39"/>
        <v>113.79999999998836</v>
      </c>
      <c r="BC11" s="170">
        <f t="shared" si="39"/>
        <v>1145.6000000000931</v>
      </c>
      <c r="BD11" s="170">
        <f t="shared" si="40"/>
        <v>289</v>
      </c>
      <c r="BE11" s="90"/>
      <c r="BF11" s="90"/>
      <c r="BG11" s="501">
        <f t="shared" si="41"/>
        <v>1906.4000000000815</v>
      </c>
      <c r="BH11" s="501">
        <f t="shared" si="42"/>
        <v>7488</v>
      </c>
      <c r="BI11" s="90" t="str">
        <f t="shared" si="9"/>
        <v/>
      </c>
      <c r="BJ11" s="90">
        <f t="shared" si="43"/>
        <v>5273.2780000000193</v>
      </c>
      <c r="BK11" s="92"/>
      <c r="BL11" s="93">
        <f t="shared" si="64"/>
        <v>7488</v>
      </c>
      <c r="BM11" s="93">
        <f t="shared" si="44"/>
        <v>43711</v>
      </c>
      <c r="BN11" s="92"/>
      <c r="BO11" s="94">
        <f t="shared" si="45"/>
        <v>0.18731914648319511</v>
      </c>
      <c r="BP11" s="94">
        <f t="shared" si="45"/>
        <v>5.1234068125341654E-3</v>
      </c>
      <c r="BQ11" s="94">
        <f t="shared" si="46"/>
        <v>0.22480608020736687</v>
      </c>
      <c r="BR11" s="94">
        <f t="shared" si="65"/>
        <v>0.63646921834654824</v>
      </c>
      <c r="BS11" s="94">
        <f t="shared" si="10"/>
        <v>8.2020717855719669E-2</v>
      </c>
      <c r="BT11" s="94">
        <f t="shared" si="10"/>
        <v>8.5948470541768213E-2</v>
      </c>
      <c r="BU11" s="95">
        <f t="shared" si="10"/>
        <v>1.0539777766597507</v>
      </c>
      <c r="BV11" s="94">
        <f t="shared" si="11"/>
        <v>0.15668781573708382</v>
      </c>
      <c r="BW11" s="94">
        <f t="shared" si="11"/>
        <v>4.2856026074221537E-3</v>
      </c>
      <c r="BX11" s="94">
        <f t="shared" si="11"/>
        <v>0.18804470516455216</v>
      </c>
      <c r="BY11" s="94">
        <f t="shared" si="47"/>
        <v>0.53239070046454917</v>
      </c>
      <c r="BZ11" s="95">
        <f t="shared" si="12"/>
        <v>0.88162624462449135</v>
      </c>
      <c r="CA11" s="96" t="e">
        <f>#REF!</f>
        <v>#REF!</v>
      </c>
      <c r="CB11" s="94">
        <f t="shared" si="48"/>
        <v>3.7907532060124448E-2</v>
      </c>
      <c r="CC11" s="95">
        <f t="shared" si="48"/>
        <v>3.6941218056195595E-2</v>
      </c>
      <c r="CD11" s="97">
        <f t="shared" si="13"/>
        <v>0.11590757531303673</v>
      </c>
      <c r="CE11" s="98">
        <f t="shared" si="13"/>
        <v>0.11295293524285809</v>
      </c>
      <c r="CF11" s="97" t="str">
        <f t="shared" si="49"/>
        <v>0,00</v>
      </c>
      <c r="CG11" s="94" t="str">
        <f t="shared" si="49"/>
        <v>0,00</v>
      </c>
      <c r="CH11" s="95" t="str">
        <f t="shared" si="50"/>
        <v xml:space="preserve">0,00 </v>
      </c>
      <c r="CI11" s="96" t="e">
        <f>#REF!</f>
        <v>#REF!</v>
      </c>
      <c r="CJ11" s="94">
        <f t="shared" si="51"/>
        <v>0.23228195186698802</v>
      </c>
      <c r="CK11" s="94">
        <f t="shared" si="51"/>
        <v>6.3921198784459496E-2</v>
      </c>
      <c r="CL11" s="95">
        <f t="shared" si="66"/>
        <v>0.39295818924866394</v>
      </c>
      <c r="CM11" s="95" t="e">
        <f>#REF!</f>
        <v>#REF!</v>
      </c>
      <c r="CN11" s="94">
        <f t="shared" si="52"/>
        <v>0.67854965124406963</v>
      </c>
      <c r="CO11" s="94">
        <f t="shared" si="52"/>
        <v>0.12594996951173493</v>
      </c>
      <c r="CP11" s="95">
        <f t="shared" si="53"/>
        <v>1.1944332902036021</v>
      </c>
      <c r="CQ11" s="95" t="e">
        <f>#REF!</f>
        <v>#REF!</v>
      </c>
      <c r="CR11" s="97">
        <f t="shared" si="67"/>
        <v>4.0835327458639452E-3</v>
      </c>
      <c r="CS11" s="95">
        <f t="shared" si="67"/>
        <v>0.18273809037676159</v>
      </c>
      <c r="CT11" s="96" t="e">
        <f>#REF!</f>
        <v>#REF!</v>
      </c>
      <c r="CU11" s="97">
        <f t="shared" si="68"/>
        <v>1.8212551593845647E-2</v>
      </c>
      <c r="CV11" s="95">
        <f t="shared" si="54"/>
        <v>3.7607736408071329E-2</v>
      </c>
      <c r="CW11" s="96" t="e">
        <f>#REF!</f>
        <v>#REF!</v>
      </c>
      <c r="CX11" s="97">
        <f t="shared" si="55"/>
        <v>0.22756694792524174</v>
      </c>
      <c r="CY11" s="98">
        <f t="shared" si="55"/>
        <v>5.7978840235730373E-3</v>
      </c>
      <c r="CZ11" s="97">
        <f t="shared" si="55"/>
        <v>0.14543025759129036</v>
      </c>
      <c r="DA11" s="98">
        <f t="shared" si="55"/>
        <v>9.1799830373239764E-3</v>
      </c>
      <c r="DB11" s="94">
        <f t="shared" si="14"/>
        <v>0.1729702067032623</v>
      </c>
      <c r="DC11" s="94">
        <f t="shared" si="15"/>
        <v>5.4983266823545346E-2</v>
      </c>
      <c r="DD11" s="94">
        <f t="shared" si="15"/>
        <v>0.55350466145048438</v>
      </c>
      <c r="DE11" s="94">
        <f t="shared" si="15"/>
        <v>0.13963237356771732</v>
      </c>
      <c r="DF11" s="94">
        <f t="shared" si="15"/>
        <v>0</v>
      </c>
      <c r="DG11" s="94">
        <f t="shared" si="15"/>
        <v>0</v>
      </c>
      <c r="DH11" s="95">
        <f t="shared" si="15"/>
        <v>0.92109050854500929</v>
      </c>
      <c r="DI11" s="96" t="e">
        <f>#REF!</f>
        <v>#REF!</v>
      </c>
      <c r="DJ11" s="95">
        <f t="shared" si="56"/>
        <v>3.6178796307095751</v>
      </c>
      <c r="DK11" s="96" t="e">
        <f>#REF!</f>
        <v>#REF!</v>
      </c>
      <c r="DL11" s="95" t="e">
        <f t="shared" si="57"/>
        <v>#VALUE!</v>
      </c>
      <c r="DM11" s="96">
        <f t="shared" si="16"/>
        <v>0</v>
      </c>
      <c r="DN11" s="94">
        <f t="shared" si="17"/>
        <v>2.5478211890049405</v>
      </c>
      <c r="DO11" s="100">
        <v>3.4</v>
      </c>
      <c r="DP11" s="94">
        <f>IF($O11&lt;&gt;0,IF($O11&lt;&gt;0,BL11/$O11*10,0)," ")</f>
        <v>3.6178796307095751</v>
      </c>
      <c r="DQ11" s="94">
        <f t="shared" si="70"/>
        <v>3.3731332211561331</v>
      </c>
      <c r="DR11" s="101">
        <f t="shared" si="18"/>
        <v>3.07</v>
      </c>
      <c r="DS11" s="116"/>
      <c r="DT11" s="103">
        <v>6</v>
      </c>
      <c r="DU11" s="183">
        <v>640380</v>
      </c>
      <c r="DV11" s="135">
        <v>30725</v>
      </c>
      <c r="DW11" s="135">
        <v>5159350</v>
      </c>
      <c r="DX11" s="129">
        <v>125329</v>
      </c>
      <c r="DY11" s="135">
        <v>90611.6</v>
      </c>
      <c r="DZ11" s="135">
        <v>411662</v>
      </c>
      <c r="EA11" s="135">
        <v>247097</v>
      </c>
      <c r="EB11" s="136">
        <v>56926.1</v>
      </c>
      <c r="EC11" s="135">
        <v>428097</v>
      </c>
      <c r="ED11" s="135">
        <v>48759.4</v>
      </c>
      <c r="EE11" s="136">
        <v>41902.800000000003</v>
      </c>
      <c r="EF11" s="136">
        <v>43743.1</v>
      </c>
      <c r="EG11" s="135">
        <v>96225.4</v>
      </c>
      <c r="EH11" s="135">
        <v>189085.8</v>
      </c>
      <c r="EI11" s="135">
        <v>35726</v>
      </c>
      <c r="EJ11" s="136">
        <v>44334</v>
      </c>
      <c r="EK11" s="136"/>
      <c r="EL11" s="135">
        <v>728208.3</v>
      </c>
      <c r="EM11" s="136">
        <v>3892</v>
      </c>
      <c r="EN11" s="136">
        <v>49339.5</v>
      </c>
      <c r="EO11" s="135">
        <v>3161104.9</v>
      </c>
      <c r="EP11" s="136">
        <v>2866251</v>
      </c>
      <c r="EQ11" s="136">
        <v>1420</v>
      </c>
      <c r="ER11" s="136">
        <v>1488</v>
      </c>
      <c r="ES11" s="144">
        <v>443220</v>
      </c>
      <c r="ET11" s="136">
        <v>786436</v>
      </c>
      <c r="EU11" s="136">
        <v>168224</v>
      </c>
      <c r="EV11" s="136">
        <v>474751</v>
      </c>
      <c r="EW11" s="136">
        <v>150652</v>
      </c>
      <c r="EX11" s="135">
        <v>226199.8</v>
      </c>
      <c r="EY11" s="135">
        <v>1741336.6</v>
      </c>
      <c r="EZ11" s="135">
        <v>846628.7</v>
      </c>
      <c r="FA11" s="130">
        <v>774659</v>
      </c>
      <c r="FB11" s="136">
        <v>32584.400000000001</v>
      </c>
      <c r="FC11" s="136"/>
      <c r="FD11" s="104">
        <f>(SUM(FE11:FM11))</f>
        <v>5988</v>
      </c>
      <c r="FE11" s="129">
        <v>927</v>
      </c>
      <c r="FF11" s="129">
        <v>82</v>
      </c>
      <c r="FG11" s="105">
        <v>0</v>
      </c>
      <c r="FH11" s="136">
        <v>1910</v>
      </c>
      <c r="FI11" s="136">
        <v>576</v>
      </c>
      <c r="FJ11" s="105">
        <v>720</v>
      </c>
      <c r="FK11" s="136">
        <v>699</v>
      </c>
      <c r="FL11" s="136">
        <v>356</v>
      </c>
      <c r="FM11" s="136">
        <v>718</v>
      </c>
      <c r="FN11" s="80">
        <v>1500</v>
      </c>
      <c r="FO11" s="104">
        <v>1170583</v>
      </c>
      <c r="FP11" s="484"/>
      <c r="FY11" s="119">
        <v>6</v>
      </c>
      <c r="FZ11" s="107">
        <v>9080</v>
      </c>
      <c r="GA11" s="107">
        <v>1148</v>
      </c>
      <c r="GB11" s="108">
        <f>GA11/FZ11/0.1</f>
        <v>1.2643171806167399</v>
      </c>
      <c r="GC11" s="109"/>
      <c r="GD11" s="110"/>
      <c r="GE11" s="110"/>
      <c r="GF11" s="111"/>
      <c r="GG11" s="111"/>
      <c r="GH11" s="111"/>
      <c r="GI11" s="112"/>
      <c r="GJ11" s="111">
        <f t="shared" si="58"/>
        <v>1620.6376306620211</v>
      </c>
      <c r="GK11" s="113"/>
    </row>
    <row r="12" spans="1:194" s="119" customFormat="1" ht="15" customHeight="1">
      <c r="B12" s="351">
        <v>43046</v>
      </c>
      <c r="D12" s="128">
        <v>3419.16</v>
      </c>
      <c r="E12" s="128">
        <v>5196</v>
      </c>
      <c r="F12" s="128">
        <v>2243.808</v>
      </c>
      <c r="G12" s="86">
        <v>1263.5160000000001</v>
      </c>
      <c r="H12" s="86">
        <v>5566.2259999999997</v>
      </c>
      <c r="I12" s="86">
        <v>2903.7240000000002</v>
      </c>
      <c r="J12" s="86">
        <v>5674.32</v>
      </c>
      <c r="K12" s="86">
        <v>11.502000000000001</v>
      </c>
      <c r="L12" s="86">
        <v>413.44</v>
      </c>
      <c r="M12" s="115">
        <f t="shared" si="59"/>
        <v>8578.0439999999999</v>
      </c>
      <c r="N12" s="88">
        <f t="shared" si="19"/>
        <v>17688.71</v>
      </c>
      <c r="O12" s="88">
        <f>N12+L12+K12+((J12+I12)*0.5)</f>
        <v>22402.673999999999</v>
      </c>
      <c r="P12" s="89">
        <f t="shared" si="20"/>
        <v>151988.42449999999</v>
      </c>
      <c r="R12" s="170">
        <f t="shared" si="21"/>
        <v>255.19999999995343</v>
      </c>
      <c r="S12" s="170">
        <f t="shared" si="22"/>
        <v>8.8699999999953434</v>
      </c>
      <c r="T12" s="170">
        <f t="shared" si="1"/>
        <v>445.4</v>
      </c>
      <c r="U12" s="170">
        <f t="shared" si="71"/>
        <v>11.540000000000145</v>
      </c>
      <c r="V12" s="170">
        <f t="shared" si="23"/>
        <v>1060.2000000001863</v>
      </c>
      <c r="W12" s="170">
        <f t="shared" si="2"/>
        <v>93.5</v>
      </c>
      <c r="X12" s="170">
        <f t="shared" si="24"/>
        <v>1060.2000000001863</v>
      </c>
      <c r="Y12" s="170">
        <f t="shared" si="25"/>
        <v>93.9</v>
      </c>
      <c r="Z12" s="170">
        <f t="shared" si="3"/>
        <v>162.30000000000001</v>
      </c>
      <c r="AA12" s="501">
        <f t="shared" si="26"/>
        <v>1781.2100000001351</v>
      </c>
      <c r="AB12" s="170">
        <f t="shared" si="27"/>
        <v>197</v>
      </c>
      <c r="AC12" s="170">
        <f t="shared" si="27"/>
        <v>43</v>
      </c>
      <c r="AD12" s="501">
        <f t="shared" si="4"/>
        <v>337</v>
      </c>
      <c r="AE12" s="501">
        <f t="shared" si="28"/>
        <v>97</v>
      </c>
      <c r="AF12" s="170">
        <f t="shared" si="29"/>
        <v>152</v>
      </c>
      <c r="AG12" s="170">
        <f t="shared" si="29"/>
        <v>80.5</v>
      </c>
      <c r="AH12" s="501">
        <f t="shared" si="5"/>
        <v>284</v>
      </c>
      <c r="AI12" s="501">
        <f t="shared" si="30"/>
        <v>51.5</v>
      </c>
      <c r="AJ12" s="170">
        <f t="shared" si="31"/>
        <v>113</v>
      </c>
      <c r="AK12" s="170">
        <f t="shared" si="31"/>
        <v>15.30000000000291</v>
      </c>
      <c r="AL12" s="501">
        <f t="shared" si="6"/>
        <v>204</v>
      </c>
      <c r="AM12" s="501">
        <f t="shared" si="32"/>
        <v>75.69999999999709</v>
      </c>
      <c r="AN12" s="170">
        <f t="shared" si="33"/>
        <v>11.400000000001455</v>
      </c>
      <c r="AO12" s="501">
        <f t="shared" si="7"/>
        <v>18.299999999995634</v>
      </c>
      <c r="AP12" s="170">
        <f t="shared" si="34"/>
        <v>22.80000000000291</v>
      </c>
      <c r="AQ12" s="501">
        <f t="shared" si="8"/>
        <v>71.400000000023283</v>
      </c>
      <c r="AR12" s="170">
        <f t="shared" si="35"/>
        <v>133.77799999999999</v>
      </c>
      <c r="AS12" s="501">
        <f t="shared" si="36"/>
        <v>234.77800000000002</v>
      </c>
      <c r="AT12" s="501">
        <f t="shared" si="37"/>
        <v>1049.778</v>
      </c>
      <c r="AU12" s="170">
        <f t="shared" si="60"/>
        <v>514</v>
      </c>
      <c r="AV12" s="501">
        <f t="shared" si="61"/>
        <v>24</v>
      </c>
      <c r="AW12" s="170">
        <f t="shared" si="62"/>
        <v>301</v>
      </c>
      <c r="AX12" s="501">
        <f t="shared" si="63"/>
        <v>43</v>
      </c>
      <c r="AY12" s="501"/>
      <c r="AZ12" s="170">
        <f t="shared" si="38"/>
        <v>348</v>
      </c>
      <c r="BA12" s="170">
        <v>34</v>
      </c>
      <c r="BB12" s="170">
        <f t="shared" si="39"/>
        <v>139.20000000001164</v>
      </c>
      <c r="BC12" s="170">
        <f t="shared" si="39"/>
        <v>959.39999999990687</v>
      </c>
      <c r="BD12" s="170">
        <f t="shared" si="40"/>
        <v>59</v>
      </c>
      <c r="BE12" s="90"/>
      <c r="BF12" s="90"/>
      <c r="BG12" s="501">
        <f t="shared" si="41"/>
        <v>1505.5999999999185</v>
      </c>
      <c r="BH12" s="501">
        <f t="shared" si="42"/>
        <v>7283</v>
      </c>
      <c r="BI12" s="90" t="str">
        <f t="shared" si="9"/>
        <v/>
      </c>
      <c r="BJ12" s="90">
        <f t="shared" si="43"/>
        <v>5318.2880000000732</v>
      </c>
      <c r="BK12" s="92"/>
      <c r="BL12" s="93">
        <f>FD12+FN12</f>
        <v>7283</v>
      </c>
      <c r="BM12" s="93">
        <f t="shared" si="44"/>
        <v>50994</v>
      </c>
      <c r="BN12" s="92"/>
      <c r="BO12" s="94">
        <f t="shared" si="45"/>
        <v>0.14427281582430457</v>
      </c>
      <c r="BP12" s="94">
        <f t="shared" si="45"/>
        <v>5.0144979481236019E-3</v>
      </c>
      <c r="BQ12" s="94">
        <f t="shared" si="46"/>
        <v>0.25179902887208844</v>
      </c>
      <c r="BR12" s="94">
        <f t="shared" si="65"/>
        <v>0.5993653579035364</v>
      </c>
      <c r="BS12" s="94">
        <f t="shared" si="10"/>
        <v>5.3084707703388218E-2</v>
      </c>
      <c r="BT12" s="94">
        <f t="shared" si="10"/>
        <v>9.1753440471351519E-2</v>
      </c>
      <c r="BU12" s="95">
        <f t="shared" si="10"/>
        <v>1.006975635871771</v>
      </c>
      <c r="BV12" s="94">
        <f t="shared" si="11"/>
        <v>0.11391497282866923</v>
      </c>
      <c r="BW12" s="94">
        <f t="shared" si="11"/>
        <v>3.9593487813085818E-3</v>
      </c>
      <c r="BX12" s="94">
        <f t="shared" si="11"/>
        <v>0.19881555210775284</v>
      </c>
      <c r="BY12" s="94">
        <f t="shared" si="47"/>
        <v>0.47324707755877105</v>
      </c>
      <c r="BZ12" s="95">
        <f t="shared" si="12"/>
        <v>0.79508812206977386</v>
      </c>
      <c r="CA12" s="96" t="e">
        <f>#REF!</f>
        <v>#REF!</v>
      </c>
      <c r="CB12" s="94">
        <f t="shared" si="48"/>
        <v>5.9715192927415721E-2</v>
      </c>
      <c r="CC12" s="95">
        <f t="shared" si="48"/>
        <v>0.10479909675068254</v>
      </c>
      <c r="CD12" s="97">
        <f t="shared" si="13"/>
        <v>0.15595396806078402</v>
      </c>
      <c r="CE12" s="98">
        <f t="shared" si="13"/>
        <v>0.27369642776371866</v>
      </c>
      <c r="CF12" s="97">
        <f t="shared" si="49"/>
        <v>0.57616490600030423</v>
      </c>
      <c r="CG12" s="94">
        <f t="shared" si="49"/>
        <v>0.1257618830355994</v>
      </c>
      <c r="CH12" s="95">
        <f t="shared" si="50"/>
        <v>0.9856221996045812</v>
      </c>
      <c r="CI12" s="96" t="e">
        <f>#REF!</f>
        <v>#REF!</v>
      </c>
      <c r="CJ12" s="94">
        <f t="shared" si="51"/>
        <v>0.29253271747498077</v>
      </c>
      <c r="CK12" s="94">
        <f t="shared" si="51"/>
        <v>0.15492686682063125</v>
      </c>
      <c r="CL12" s="95">
        <f t="shared" si="66"/>
        <v>0.54657428791377982</v>
      </c>
      <c r="CM12" s="95" t="e">
        <f>#REF!</f>
        <v>#REF!</v>
      </c>
      <c r="CN12" s="94">
        <f t="shared" si="52"/>
        <v>0.50360815185613028</v>
      </c>
      <c r="CO12" s="94">
        <f t="shared" si="52"/>
        <v>6.818765241947132E-2</v>
      </c>
      <c r="CP12" s="95">
        <f t="shared" si="53"/>
        <v>0.90916869892611141</v>
      </c>
      <c r="CQ12" s="95" t="e">
        <f>#REF!</f>
        <v>#REF!</v>
      </c>
      <c r="CR12" s="97">
        <f t="shared" si="67"/>
        <v>9.0224421376551261E-2</v>
      </c>
      <c r="CS12" s="95">
        <f t="shared" si="67"/>
        <v>0.14483393957809504</v>
      </c>
      <c r="CT12" s="96" t="e">
        <f>#REF!</f>
        <v>#REF!</v>
      </c>
      <c r="CU12" s="97">
        <f t="shared" si="68"/>
        <v>4.0961326399616027E-2</v>
      </c>
      <c r="CV12" s="95">
        <f t="shared" si="54"/>
        <v>0.12827362740934933</v>
      </c>
      <c r="CW12" s="96" t="e">
        <f>#REF!</f>
        <v>#REF!</v>
      </c>
      <c r="CX12" s="97">
        <f t="shared" si="55"/>
        <v>0.22943689668474399</v>
      </c>
      <c r="CY12" s="98">
        <f t="shared" si="55"/>
        <v>1.0713006849093104E-2</v>
      </c>
      <c r="CZ12" s="97">
        <f t="shared" si="55"/>
        <v>0.1343589608990427</v>
      </c>
      <c r="DA12" s="98">
        <f t="shared" si="55"/>
        <v>1.9194137271291812E-2</v>
      </c>
      <c r="DB12" s="94">
        <f t="shared" si="14"/>
        <v>0.15533859931185001</v>
      </c>
      <c r="DC12" s="94">
        <f t="shared" si="15"/>
        <v>6.2135439724745202E-2</v>
      </c>
      <c r="DD12" s="94">
        <f t="shared" si="15"/>
        <v>0.42825244879245528</v>
      </c>
      <c r="DE12" s="94">
        <f t="shared" si="15"/>
        <v>2.6336141837353881E-2</v>
      </c>
      <c r="DF12" s="94">
        <f t="shared" si="15"/>
        <v>0</v>
      </c>
      <c r="DG12" s="94">
        <f t="shared" si="15"/>
        <v>0</v>
      </c>
      <c r="DH12" s="95">
        <f t="shared" si="15"/>
        <v>0.6720626296664044</v>
      </c>
      <c r="DI12" s="96" t="e">
        <f>#REF!</f>
        <v>#REF!</v>
      </c>
      <c r="DJ12" s="95">
        <f t="shared" si="56"/>
        <v>3.2509512034143784</v>
      </c>
      <c r="DK12" s="96" t="e">
        <f>#REF!</f>
        <v>#REF!</v>
      </c>
      <c r="DL12" s="95" t="e">
        <f t="shared" si="57"/>
        <v>#VALUE!</v>
      </c>
      <c r="DM12" s="96">
        <f t="shared" si="16"/>
        <v>0</v>
      </c>
      <c r="DN12" s="94">
        <f t="shared" si="17"/>
        <v>2.3739523237271021</v>
      </c>
      <c r="DO12" s="100">
        <v>3.4</v>
      </c>
      <c r="DP12" s="94">
        <f>IF($O12&lt;&gt;0,IF($O12&lt;&gt;0,BL12/$O12*10,0)," ")</f>
        <v>3.2509512034143784</v>
      </c>
      <c r="DQ12" s="94">
        <f t="shared" si="70"/>
        <v>3.3551239291910684</v>
      </c>
      <c r="DR12" s="101">
        <f t="shared" si="18"/>
        <v>3.07</v>
      </c>
      <c r="DS12" s="116"/>
      <c r="DT12" s="134">
        <v>7</v>
      </c>
      <c r="DU12" s="183">
        <v>640577</v>
      </c>
      <c r="DV12" s="135">
        <v>30768</v>
      </c>
      <c r="DW12" s="135">
        <v>5159490</v>
      </c>
      <c r="DX12" s="136">
        <v>125481</v>
      </c>
      <c r="DY12" s="136">
        <v>90692.1</v>
      </c>
      <c r="DZ12" s="136">
        <v>411794</v>
      </c>
      <c r="EA12" s="136">
        <v>247210</v>
      </c>
      <c r="EB12" s="136">
        <v>56941.4</v>
      </c>
      <c r="EC12" s="136">
        <v>428188</v>
      </c>
      <c r="ED12" s="183">
        <v>48770.8</v>
      </c>
      <c r="EE12" s="136">
        <v>41911</v>
      </c>
      <c r="EF12" s="136">
        <v>43753.2</v>
      </c>
      <c r="EG12" s="135">
        <v>96248.2</v>
      </c>
      <c r="EH12" s="135">
        <v>189157.2</v>
      </c>
      <c r="EI12" s="135">
        <v>35750</v>
      </c>
      <c r="EJ12" s="136">
        <v>44377</v>
      </c>
      <c r="EK12" s="136"/>
      <c r="EL12" s="135">
        <v>728463.5</v>
      </c>
      <c r="EM12" s="136">
        <v>4454</v>
      </c>
      <c r="EN12" s="136">
        <v>49454.9</v>
      </c>
      <c r="EO12" s="135">
        <v>3162165.1</v>
      </c>
      <c r="EP12" s="136">
        <v>2867186</v>
      </c>
      <c r="EQ12" s="136">
        <v>939</v>
      </c>
      <c r="ER12" s="136">
        <v>1623</v>
      </c>
      <c r="ES12" s="136">
        <v>444136</v>
      </c>
      <c r="ET12" s="136">
        <v>920214</v>
      </c>
      <c r="EU12" s="136">
        <v>168525</v>
      </c>
      <c r="EV12" s="136">
        <v>475265</v>
      </c>
      <c r="EW12" s="136">
        <v>151000</v>
      </c>
      <c r="EX12" s="135">
        <v>226339</v>
      </c>
      <c r="EY12" s="135">
        <v>1742296</v>
      </c>
      <c r="EZ12" s="135">
        <v>846717.39999999991</v>
      </c>
      <c r="FA12" s="135">
        <v>774718</v>
      </c>
      <c r="FB12" s="136">
        <v>32641.200000000001</v>
      </c>
      <c r="FC12" s="136"/>
      <c r="FD12" s="104">
        <f>(SUM(FE12:FM12))</f>
        <v>6283</v>
      </c>
      <c r="FE12" s="129">
        <v>1142</v>
      </c>
      <c r="FF12" s="129">
        <v>84</v>
      </c>
      <c r="FG12" s="105">
        <v>383</v>
      </c>
      <c r="FH12" s="136">
        <v>1580</v>
      </c>
      <c r="FI12" s="136">
        <v>517</v>
      </c>
      <c r="FJ12" s="105">
        <v>702</v>
      </c>
      <c r="FK12" s="136">
        <v>774</v>
      </c>
      <c r="FL12" s="136">
        <v>415</v>
      </c>
      <c r="FM12" s="136">
        <v>686</v>
      </c>
      <c r="FN12" s="80">
        <v>1000</v>
      </c>
      <c r="FO12" s="104"/>
      <c r="FP12" s="484"/>
      <c r="FY12" s="119">
        <v>7</v>
      </c>
      <c r="FZ12" s="107">
        <v>9087</v>
      </c>
      <c r="GA12" s="107">
        <v>1193</v>
      </c>
      <c r="GB12" s="108">
        <f>GA12/FZ12/0.1</f>
        <v>1.312864531748652</v>
      </c>
      <c r="GC12" s="109"/>
      <c r="GD12" s="110"/>
      <c r="GE12" s="110"/>
      <c r="GF12" s="111"/>
      <c r="GG12" s="111"/>
      <c r="GH12" s="111"/>
      <c r="GI12" s="112"/>
      <c r="GJ12" s="111">
        <f t="shared" si="58"/>
        <v>2215.0038558256492</v>
      </c>
      <c r="GK12" s="113"/>
    </row>
    <row r="13" spans="1:194" s="119" customFormat="1" ht="15" customHeight="1">
      <c r="B13" s="351">
        <v>43047</v>
      </c>
      <c r="D13" s="128">
        <v>6288</v>
      </c>
      <c r="E13" s="128">
        <v>3087</v>
      </c>
      <c r="F13" s="128">
        <v>2902.1760000000004</v>
      </c>
      <c r="G13" s="86">
        <v>0</v>
      </c>
      <c r="H13" s="86">
        <v>8010.3119999999999</v>
      </c>
      <c r="I13" s="86">
        <v>1257.588</v>
      </c>
      <c r="J13" s="86">
        <v>5397</v>
      </c>
      <c r="K13" s="86">
        <v>0</v>
      </c>
      <c r="L13" s="86">
        <v>204.40799999999999</v>
      </c>
      <c r="M13" s="115">
        <f t="shared" si="59"/>
        <v>6654.5879999999997</v>
      </c>
      <c r="N13" s="88">
        <f t="shared" si="19"/>
        <v>20287.487999999998</v>
      </c>
      <c r="O13" s="88">
        <f>N13+L13+K13+((J13+I13)*0.5)</f>
        <v>23819.189999999995</v>
      </c>
      <c r="P13" s="89">
        <f t="shared" si="20"/>
        <v>175807.6145</v>
      </c>
      <c r="R13" s="170">
        <f t="shared" si="21"/>
        <v>262.40000000002328</v>
      </c>
      <c r="S13" s="170">
        <f t="shared" si="22"/>
        <v>38.550000000011643</v>
      </c>
      <c r="T13" s="170">
        <f t="shared" si="1"/>
        <v>445.4</v>
      </c>
      <c r="U13" s="170">
        <f t="shared" si="71"/>
        <v>5.4699999999997093</v>
      </c>
      <c r="V13" s="170">
        <f t="shared" si="23"/>
        <v>865</v>
      </c>
      <c r="W13" s="170">
        <f t="shared" si="2"/>
        <v>232.4</v>
      </c>
      <c r="X13" s="170">
        <f t="shared" si="24"/>
        <v>865</v>
      </c>
      <c r="Y13" s="170" t="str">
        <f t="shared" si="25"/>
        <v>0</v>
      </c>
      <c r="Z13" s="170">
        <f t="shared" si="3"/>
        <v>158.6</v>
      </c>
      <c r="AA13" s="501">
        <f t="shared" si="26"/>
        <v>1616.8200000000347</v>
      </c>
      <c r="AB13" s="170">
        <f t="shared" si="27"/>
        <v>214</v>
      </c>
      <c r="AC13" s="170">
        <f t="shared" si="27"/>
        <v>18</v>
      </c>
      <c r="AD13" s="501">
        <f t="shared" si="4"/>
        <v>347</v>
      </c>
      <c r="AE13" s="501">
        <f t="shared" si="28"/>
        <v>115</v>
      </c>
      <c r="AF13" s="170">
        <f t="shared" si="29"/>
        <v>36</v>
      </c>
      <c r="AG13" s="170">
        <f t="shared" si="29"/>
        <v>39.299999999988358</v>
      </c>
      <c r="AH13" s="501">
        <f t="shared" si="5"/>
        <v>150</v>
      </c>
      <c r="AI13" s="501">
        <f t="shared" si="30"/>
        <v>74.700000000011642</v>
      </c>
      <c r="AJ13" s="170">
        <f t="shared" si="31"/>
        <v>157</v>
      </c>
      <c r="AK13" s="170">
        <f t="shared" si="31"/>
        <v>8.4000000000014552</v>
      </c>
      <c r="AL13" s="501">
        <f t="shared" si="6"/>
        <v>266</v>
      </c>
      <c r="AM13" s="501">
        <f t="shared" si="32"/>
        <v>100.59999999999854</v>
      </c>
      <c r="AN13" s="170">
        <f t="shared" si="33"/>
        <v>79.599999999998545</v>
      </c>
      <c r="AO13" s="501">
        <f t="shared" si="7"/>
        <v>0.80000000000291038</v>
      </c>
      <c r="AP13" s="170">
        <f t="shared" si="34"/>
        <v>18.80000000000291</v>
      </c>
      <c r="AQ13" s="501">
        <f t="shared" si="8"/>
        <v>23.399999999994179</v>
      </c>
      <c r="AR13" s="170">
        <f t="shared" si="35"/>
        <v>109.54600000000001</v>
      </c>
      <c r="AS13" s="501">
        <f t="shared" si="36"/>
        <v>164.54600000000005</v>
      </c>
      <c r="AT13" s="501">
        <f t="shared" si="37"/>
        <v>851.54600000000005</v>
      </c>
      <c r="AU13" s="170">
        <f t="shared" si="60"/>
        <v>474</v>
      </c>
      <c r="AV13" s="501">
        <f t="shared" si="61"/>
        <v>25</v>
      </c>
      <c r="AW13" s="170">
        <f t="shared" si="62"/>
        <v>213</v>
      </c>
      <c r="AX13" s="501">
        <f t="shared" si="63"/>
        <v>9</v>
      </c>
      <c r="AY13" s="501"/>
      <c r="AZ13" s="170">
        <f t="shared" si="38"/>
        <v>376</v>
      </c>
      <c r="BA13" s="170">
        <v>27</v>
      </c>
      <c r="BB13" s="170">
        <f t="shared" si="39"/>
        <v>132.79999999998836</v>
      </c>
      <c r="BC13" s="170">
        <f t="shared" si="39"/>
        <v>997</v>
      </c>
      <c r="BD13" s="170">
        <f t="shared" si="40"/>
        <v>232</v>
      </c>
      <c r="BE13" s="90"/>
      <c r="BF13" s="90"/>
      <c r="BG13" s="501">
        <f t="shared" si="41"/>
        <v>1737.7999999999884</v>
      </c>
      <c r="BH13" s="501">
        <f>BL13-FC13</f>
        <v>-179</v>
      </c>
      <c r="BI13" s="90">
        <f t="shared" si="9"/>
        <v>2118.63399999998</v>
      </c>
      <c r="BJ13" s="90">
        <f t="shared" si="43"/>
        <v>5027.36600000002</v>
      </c>
      <c r="BK13" s="92"/>
      <c r="BL13" s="93">
        <f t="shared" si="64"/>
        <v>6967</v>
      </c>
      <c r="BM13" s="93">
        <f t="shared" si="44"/>
        <v>57961</v>
      </c>
      <c r="BN13" s="92"/>
      <c r="BO13" s="94">
        <f t="shared" si="45"/>
        <v>0.12934080355341349</v>
      </c>
      <c r="BP13" s="94">
        <f t="shared" si="45"/>
        <v>1.9001859668388538E-2</v>
      </c>
      <c r="BQ13" s="94">
        <f t="shared" si="46"/>
        <v>0.21954418408035536</v>
      </c>
      <c r="BR13" s="94">
        <f t="shared" si="65"/>
        <v>0.42637117025035337</v>
      </c>
      <c r="BS13" s="94">
        <f t="shared" si="10"/>
        <v>0</v>
      </c>
      <c r="BT13" s="94">
        <f t="shared" si="10"/>
        <v>7.8176263123359582E-2</v>
      </c>
      <c r="BU13" s="95">
        <f t="shared" si="10"/>
        <v>0.79695426067536546</v>
      </c>
      <c r="BV13" s="94">
        <f t="shared" si="11"/>
        <v>0.11016327591325453</v>
      </c>
      <c r="BW13" s="94">
        <f t="shared" si="11"/>
        <v>1.6184429445338676E-2</v>
      </c>
      <c r="BX13" s="94">
        <f t="shared" si="11"/>
        <v>0.18699208495335068</v>
      </c>
      <c r="BY13" s="94">
        <f t="shared" si="47"/>
        <v>0.36315256732071921</v>
      </c>
      <c r="BZ13" s="95">
        <f t="shared" si="12"/>
        <v>0.67878882531271434</v>
      </c>
      <c r="CA13" s="96" t="e">
        <f>#REF!</f>
        <v>#REF!</v>
      </c>
      <c r="CB13" s="94">
        <f t="shared" si="48"/>
        <v>4.5990648716434109E-2</v>
      </c>
      <c r="CC13" s="95">
        <f t="shared" si="48"/>
        <v>6.9081274384225524E-2</v>
      </c>
      <c r="CD13" s="97">
        <f t="shared" si="13"/>
        <v>0.16461725353996373</v>
      </c>
      <c r="CE13" s="98">
        <f t="shared" si="13"/>
        <v>0.24726699834760626</v>
      </c>
      <c r="CF13" s="97">
        <f t="shared" si="49"/>
        <v>0.34033078880407125</v>
      </c>
      <c r="CG13" s="94">
        <f t="shared" si="49"/>
        <v>2.8625954198473282E-2</v>
      </c>
      <c r="CH13" s="95">
        <f t="shared" si="50"/>
        <v>0.55184478371501267</v>
      </c>
      <c r="CI13" s="96" t="e">
        <f>#REF!</f>
        <v>#REF!</v>
      </c>
      <c r="CJ13" s="94">
        <f t="shared" si="51"/>
        <v>0.11661807580174927</v>
      </c>
      <c r="CK13" s="94">
        <f t="shared" si="51"/>
        <v>0.12730806608353856</v>
      </c>
      <c r="CL13" s="95">
        <f t="shared" si="66"/>
        <v>0.48590864917395532</v>
      </c>
      <c r="CM13" s="95" t="e">
        <f>#REF!</f>
        <v>#REF!</v>
      </c>
      <c r="CN13" s="94">
        <f t="shared" si="52"/>
        <v>0.5409733937569603</v>
      </c>
      <c r="CO13" s="94">
        <f t="shared" si="52"/>
        <v>2.8943799411205434E-2</v>
      </c>
      <c r="CP13" s="95">
        <f t="shared" si="53"/>
        <v>0.91655364802134665</v>
      </c>
      <c r="CQ13" s="95" t="e">
        <f>#REF!</f>
        <v>#REF!</v>
      </c>
      <c r="CR13" s="97" t="str">
        <f t="shared" si="67"/>
        <v xml:space="preserve">0,00 </v>
      </c>
      <c r="CS13" s="95" t="str">
        <f t="shared" si="67"/>
        <v xml:space="preserve">0,00 </v>
      </c>
      <c r="CT13" s="96" t="e">
        <f>#REF!</f>
        <v>#REF!</v>
      </c>
      <c r="CU13" s="97">
        <f t="shared" si="68"/>
        <v>2.346974749548196E-2</v>
      </c>
      <c r="CV13" s="95">
        <f t="shared" si="54"/>
        <v>2.9212345286917886E-2</v>
      </c>
      <c r="CW13" s="96" t="e">
        <f>#REF!</f>
        <v>#REF!</v>
      </c>
      <c r="CX13" s="97">
        <f t="shared" si="55"/>
        <v>0.19899921030060219</v>
      </c>
      <c r="CY13" s="98">
        <f t="shared" si="55"/>
        <v>1.0495738939905179E-2</v>
      </c>
      <c r="CZ13" s="97">
        <f t="shared" si="55"/>
        <v>8.9423695767992126E-2</v>
      </c>
      <c r="DA13" s="98">
        <f t="shared" si="55"/>
        <v>3.7784660183658647E-3</v>
      </c>
      <c r="DB13" s="94">
        <f t="shared" si="14"/>
        <v>0.15785591365617388</v>
      </c>
      <c r="DC13" s="94">
        <f t="shared" si="15"/>
        <v>5.5753365248771426E-2</v>
      </c>
      <c r="DD13" s="94">
        <f t="shared" si="15"/>
        <v>0.41857006892341853</v>
      </c>
      <c r="DE13" s="94">
        <f t="shared" si="15"/>
        <v>9.7400457362320073E-2</v>
      </c>
      <c r="DF13" s="94">
        <f t="shared" si="15"/>
        <v>0</v>
      </c>
      <c r="DG13" s="94">
        <f t="shared" si="15"/>
        <v>0</v>
      </c>
      <c r="DH13" s="95">
        <f t="shared" si="15"/>
        <v>0.72957980519068388</v>
      </c>
      <c r="DI13" s="96" t="e">
        <f>#REF!</f>
        <v>#REF!</v>
      </c>
      <c r="DJ13" s="95">
        <f t="shared" si="56"/>
        <v>-7.5149490809721081E-2</v>
      </c>
      <c r="DK13" s="96" t="e">
        <f>#REF!</f>
        <v>#REF!</v>
      </c>
      <c r="DL13" s="95">
        <f t="shared" si="57"/>
        <v>0.88946517492827437</v>
      </c>
      <c r="DM13" s="96">
        <f t="shared" si="16"/>
        <v>0</v>
      </c>
      <c r="DN13" s="94">
        <f t="shared" si="17"/>
        <v>2.1106368436542224</v>
      </c>
      <c r="DO13" s="100">
        <v>3.4</v>
      </c>
      <c r="DP13" s="94">
        <f t="shared" si="69"/>
        <v>2.9249525277727755</v>
      </c>
      <c r="DQ13" s="94">
        <f t="shared" si="70"/>
        <v>3.2968424129320066</v>
      </c>
      <c r="DR13" s="101">
        <f t="shared" si="18"/>
        <v>3.07</v>
      </c>
      <c r="DS13" s="116"/>
      <c r="DT13" s="134">
        <v>8</v>
      </c>
      <c r="DU13" s="135">
        <v>640791</v>
      </c>
      <c r="DV13" s="135">
        <v>30786</v>
      </c>
      <c r="DW13" s="135">
        <v>5159623</v>
      </c>
      <c r="DX13" s="136">
        <v>125517</v>
      </c>
      <c r="DY13" s="136">
        <v>90731.4</v>
      </c>
      <c r="DZ13" s="136">
        <v>411908</v>
      </c>
      <c r="EA13" s="136">
        <v>247367</v>
      </c>
      <c r="EB13" s="136">
        <v>56949.8</v>
      </c>
      <c r="EC13" s="136">
        <v>428297</v>
      </c>
      <c r="ED13" s="183">
        <v>48850.400000000001</v>
      </c>
      <c r="EE13" s="136">
        <v>41911.300000000003</v>
      </c>
      <c r="EF13" s="136">
        <v>43753.7</v>
      </c>
      <c r="EG13" s="135">
        <v>96267</v>
      </c>
      <c r="EH13" s="135">
        <v>189180.6</v>
      </c>
      <c r="EI13" s="135">
        <v>35775</v>
      </c>
      <c r="EJ13" s="136">
        <v>44386</v>
      </c>
      <c r="EK13" s="136"/>
      <c r="EL13" s="135">
        <v>728725.9</v>
      </c>
      <c r="EM13" s="135">
        <v>4454</v>
      </c>
      <c r="EN13" s="136">
        <v>49509.599999999999</v>
      </c>
      <c r="EO13" s="135">
        <v>3163030.1</v>
      </c>
      <c r="EP13" s="136">
        <v>2869510</v>
      </c>
      <c r="EQ13" s="136">
        <v>0</v>
      </c>
      <c r="ER13" s="136">
        <v>1586</v>
      </c>
      <c r="ES13" s="139">
        <v>444878</v>
      </c>
      <c r="ET13" s="136">
        <v>1029760</v>
      </c>
      <c r="EU13" s="136">
        <v>168738</v>
      </c>
      <c r="EV13" s="136">
        <v>475739</v>
      </c>
      <c r="EW13" s="136">
        <v>151376</v>
      </c>
      <c r="EX13" s="135">
        <v>226471.8</v>
      </c>
      <c r="EY13" s="135">
        <v>1743293</v>
      </c>
      <c r="EZ13" s="140">
        <v>847102.9</v>
      </c>
      <c r="FA13" s="140">
        <v>774950</v>
      </c>
      <c r="FB13" s="136">
        <v>31806.400000000001</v>
      </c>
      <c r="FC13" s="135">
        <v>7146</v>
      </c>
      <c r="FD13" s="104">
        <f>(SUM(FE13:FM13))</f>
        <v>5467</v>
      </c>
      <c r="FE13" s="129">
        <v>745</v>
      </c>
      <c r="FF13" s="136">
        <v>81</v>
      </c>
      <c r="FG13" s="105">
        <v>656</v>
      </c>
      <c r="FH13" s="136">
        <v>1691</v>
      </c>
      <c r="FI13" s="136">
        <v>233</v>
      </c>
      <c r="FJ13" s="105">
        <v>528</v>
      </c>
      <c r="FK13" s="136">
        <v>611</v>
      </c>
      <c r="FL13" s="136">
        <v>318</v>
      </c>
      <c r="FM13" s="136">
        <v>604</v>
      </c>
      <c r="FN13" s="80">
        <v>1500</v>
      </c>
      <c r="FO13" s="104"/>
      <c r="FP13" s="516"/>
      <c r="FY13" s="119">
        <v>8</v>
      </c>
      <c r="FZ13" s="107">
        <v>8106</v>
      </c>
      <c r="GA13" s="107">
        <v>1522</v>
      </c>
      <c r="GB13" s="108">
        <f>GA13/FZ13/0.1</f>
        <v>1.8776215149272142</v>
      </c>
      <c r="GC13" s="109"/>
      <c r="GD13" s="110"/>
      <c r="GE13" s="110"/>
      <c r="GF13" s="111"/>
      <c r="GG13" s="111"/>
      <c r="GH13" s="111"/>
      <c r="GI13" s="112"/>
      <c r="GJ13" s="111">
        <f t="shared" si="58"/>
        <v>1364.4922470433642</v>
      </c>
      <c r="GK13" s="113"/>
    </row>
    <row r="14" spans="1:194" s="454" customFormat="1" ht="15" customHeight="1">
      <c r="B14" s="351">
        <v>43048</v>
      </c>
      <c r="D14" s="86">
        <v>5863.56</v>
      </c>
      <c r="E14" s="128">
        <v>0</v>
      </c>
      <c r="F14" s="128">
        <v>3297.0239999999999</v>
      </c>
      <c r="G14" s="86">
        <v>3054.5050000000001</v>
      </c>
      <c r="H14" s="86">
        <v>7286.0540000000001</v>
      </c>
      <c r="I14" s="86">
        <v>1363.4140000000002</v>
      </c>
      <c r="J14" s="86">
        <v>4753.6499999999996</v>
      </c>
      <c r="K14" s="86">
        <v>0</v>
      </c>
      <c r="L14" s="86">
        <v>408.81599999999997</v>
      </c>
      <c r="M14" s="115">
        <f>I14+J14</f>
        <v>6117.0640000000003</v>
      </c>
      <c r="N14" s="88">
        <f>SUM(D14:H14)</f>
        <v>19501.143</v>
      </c>
      <c r="O14" s="88">
        <f>N14+L14+K14+((J14+I14)*0.5)</f>
        <v>22968.490999999998</v>
      </c>
      <c r="P14" s="89">
        <f t="shared" si="20"/>
        <v>198776.10550000001</v>
      </c>
      <c r="R14" s="170">
        <f t="shared" si="21"/>
        <v>285</v>
      </c>
      <c r="S14" s="170">
        <f t="shared" si="22"/>
        <v>40.5</v>
      </c>
      <c r="T14" s="170">
        <f t="shared" si="1"/>
        <v>272.8</v>
      </c>
      <c r="U14" s="170">
        <f t="shared" si="71"/>
        <v>0.64000000000014556</v>
      </c>
      <c r="V14" s="170">
        <f t="shared" si="23"/>
        <v>1146.1999999997206</v>
      </c>
      <c r="W14" s="170">
        <f t="shared" si="2"/>
        <v>-54.6</v>
      </c>
      <c r="X14" s="170">
        <f t="shared" si="24"/>
        <v>1146.1999999997206</v>
      </c>
      <c r="Y14" s="170" t="str">
        <f t="shared" si="25"/>
        <v>0</v>
      </c>
      <c r="Z14" s="170">
        <f t="shared" si="3"/>
        <v>169.9</v>
      </c>
      <c r="AA14" s="501">
        <f t="shared" si="26"/>
        <v>1745.1399999997207</v>
      </c>
      <c r="AB14" s="170">
        <f t="shared" si="27"/>
        <v>187</v>
      </c>
      <c r="AC14" s="170">
        <f t="shared" si="27"/>
        <v>12</v>
      </c>
      <c r="AD14" s="501">
        <f t="shared" si="4"/>
        <v>316</v>
      </c>
      <c r="AE14" s="501">
        <f t="shared" si="28"/>
        <v>117</v>
      </c>
      <c r="AF14" s="170">
        <f t="shared" si="29"/>
        <v>0</v>
      </c>
      <c r="AG14" s="170">
        <f t="shared" si="29"/>
        <v>49.80000000000291</v>
      </c>
      <c r="AH14" s="501">
        <f t="shared" si="5"/>
        <v>173</v>
      </c>
      <c r="AI14" s="501">
        <f t="shared" si="30"/>
        <v>123.19999999999709</v>
      </c>
      <c r="AJ14" s="170">
        <f t="shared" si="31"/>
        <v>145</v>
      </c>
      <c r="AK14" s="170">
        <f t="shared" si="31"/>
        <v>8.1999999999970896</v>
      </c>
      <c r="AL14" s="501">
        <f t="shared" si="6"/>
        <v>261</v>
      </c>
      <c r="AM14" s="501">
        <f t="shared" si="32"/>
        <v>107.80000000000291</v>
      </c>
      <c r="AN14" s="170">
        <f t="shared" si="33"/>
        <v>127.79999999999563</v>
      </c>
      <c r="AO14" s="501">
        <f t="shared" si="7"/>
        <v>95.400000000001455</v>
      </c>
      <c r="AP14" s="170">
        <f t="shared" si="34"/>
        <v>23.69999999999709</v>
      </c>
      <c r="AQ14" s="501">
        <f t="shared" si="8"/>
        <v>32.399999999994179</v>
      </c>
      <c r="AR14" s="170">
        <f t="shared" si="35"/>
        <v>67.397999999999996</v>
      </c>
      <c r="AS14" s="501">
        <f t="shared" si="36"/>
        <v>110.39800000000002</v>
      </c>
      <c r="AT14" s="501">
        <f t="shared" si="37"/>
        <v>843.39800000000002</v>
      </c>
      <c r="AU14" s="170">
        <f t="shared" si="60"/>
        <v>452</v>
      </c>
      <c r="AV14" s="501">
        <f t="shared" si="61"/>
        <v>38</v>
      </c>
      <c r="AW14" s="170">
        <f t="shared" si="62"/>
        <v>281</v>
      </c>
      <c r="AX14" s="501">
        <f t="shared" si="63"/>
        <v>31</v>
      </c>
      <c r="AY14" s="501" t="str">
        <f t="shared" si="63"/>
        <v/>
      </c>
      <c r="AZ14" s="170">
        <f t="shared" si="38"/>
        <v>376</v>
      </c>
      <c r="BA14" s="170">
        <v>94</v>
      </c>
      <c r="BB14" s="170">
        <f t="shared" si="39"/>
        <v>162.60000000000582</v>
      </c>
      <c r="BC14" s="170">
        <f>IF(EY14=0,"",(EY14-EY13))</f>
        <v>1028.3000000000466</v>
      </c>
      <c r="BD14" s="170">
        <f t="shared" si="40"/>
        <v>338</v>
      </c>
      <c r="BE14" s="90"/>
      <c r="BF14" s="90"/>
      <c r="BG14" s="501">
        <f t="shared" si="41"/>
        <v>1904.9000000000524</v>
      </c>
      <c r="BH14" s="501">
        <f t="shared" si="42"/>
        <v>285</v>
      </c>
      <c r="BI14" s="90">
        <f t="shared" si="9"/>
        <v>1971.7620000002307</v>
      </c>
      <c r="BJ14" s="90">
        <f t="shared" si="43"/>
        <v>5440.2379999997693</v>
      </c>
      <c r="BK14" s="92"/>
      <c r="BL14" s="93">
        <f>FD14+FN14</f>
        <v>7697</v>
      </c>
      <c r="BM14" s="93">
        <f t="shared" si="44"/>
        <v>65658</v>
      </c>
      <c r="BN14" s="92"/>
      <c r="BO14" s="94">
        <f t="shared" si="45"/>
        <v>0.14614527979206143</v>
      </c>
      <c r="BP14" s="94">
        <f t="shared" si="45"/>
        <v>2.0768013444135043E-2</v>
      </c>
      <c r="BQ14" s="94">
        <f t="shared" si="46"/>
        <v>0.13988923623605037</v>
      </c>
      <c r="BR14" s="94">
        <f t="shared" si="65"/>
        <v>0.58776041999164896</v>
      </c>
      <c r="BS14" s="94">
        <f t="shared" si="10"/>
        <v>0</v>
      </c>
      <c r="BT14" s="94">
        <f t="shared" si="10"/>
        <v>8.7123098374285043E-2</v>
      </c>
      <c r="BU14" s="95">
        <f t="shared" si="10"/>
        <v>0.8948911353553588</v>
      </c>
      <c r="BV14" s="94">
        <f t="shared" si="11"/>
        <v>0.12408303183696309</v>
      </c>
      <c r="BW14" s="94">
        <f t="shared" si="11"/>
        <v>1.7632851892621072E-2</v>
      </c>
      <c r="BX14" s="94">
        <f t="shared" si="11"/>
        <v>0.11877140731622292</v>
      </c>
      <c r="BY14" s="94">
        <f t="shared" si="47"/>
        <v>0.49903147751400856</v>
      </c>
      <c r="BZ14" s="95">
        <f t="shared" si="12"/>
        <v>0.759797411157625</v>
      </c>
      <c r="CA14" s="96" t="e">
        <f>#REF!</f>
        <v>#REF!</v>
      </c>
      <c r="CB14" s="94">
        <f t="shared" si="48"/>
        <v>2.9343677823675925E-2</v>
      </c>
      <c r="CC14" s="95">
        <f t="shared" si="48"/>
        <v>4.8064977363989667E-2</v>
      </c>
      <c r="CD14" s="97">
        <f t="shared" si="13"/>
        <v>0.11018030872326985</v>
      </c>
      <c r="CE14" s="98">
        <f t="shared" si="13"/>
        <v>0.18047546993132657</v>
      </c>
      <c r="CF14" s="97">
        <f t="shared" si="49"/>
        <v>0.31891888204435531</v>
      </c>
      <c r="CG14" s="94">
        <f t="shared" si="49"/>
        <v>2.0465382804985364E-2</v>
      </c>
      <c r="CH14" s="95">
        <f t="shared" si="50"/>
        <v>0.53892174719794794</v>
      </c>
      <c r="CI14" s="96" t="e">
        <f>#REF!</f>
        <v>#REF!</v>
      </c>
      <c r="CJ14" s="94" t="str">
        <f t="shared" si="51"/>
        <v>0,00</v>
      </c>
      <c r="CK14" s="94" t="str">
        <f t="shared" si="51"/>
        <v>0,00</v>
      </c>
      <c r="CL14" s="95" t="str">
        <f t="shared" si="66"/>
        <v xml:space="preserve">0,00 </v>
      </c>
      <c r="CM14" s="95" t="e">
        <f>#REF!</f>
        <v>#REF!</v>
      </c>
      <c r="CN14" s="94">
        <f t="shared" si="52"/>
        <v>0.43979055050857985</v>
      </c>
      <c r="CO14" s="94">
        <f t="shared" si="52"/>
        <v>2.4870913890821206E-2</v>
      </c>
      <c r="CP14" s="95">
        <f t="shared" si="53"/>
        <v>0.79162299091544375</v>
      </c>
      <c r="CQ14" s="95" t="e">
        <f>#REF!</f>
        <v>#REF!</v>
      </c>
      <c r="CR14" s="97">
        <f t="shared" si="67"/>
        <v>0.41839839843115539</v>
      </c>
      <c r="CS14" s="95">
        <f t="shared" si="67"/>
        <v>0.31232556502608916</v>
      </c>
      <c r="CT14" s="96" t="e">
        <f>#REF!</f>
        <v>#REF!</v>
      </c>
      <c r="CU14" s="97">
        <f t="shared" si="68"/>
        <v>3.2527895071868929E-2</v>
      </c>
      <c r="CV14" s="95">
        <f t="shared" si="54"/>
        <v>4.4468514781792971E-2</v>
      </c>
      <c r="CW14" s="96" t="e">
        <f>#REF!</f>
        <v>#REF!</v>
      </c>
      <c r="CX14" s="97">
        <f t="shared" si="55"/>
        <v>0.19679133470283269</v>
      </c>
      <c r="CY14" s="98">
        <f t="shared" si="55"/>
        <v>1.654440424492841E-2</v>
      </c>
      <c r="CZ14" s="97">
        <f t="shared" si="55"/>
        <v>0.12234151560065484</v>
      </c>
      <c r="DA14" s="98">
        <f t="shared" si="55"/>
        <v>1.3496750831388968E-2</v>
      </c>
      <c r="DB14" s="94">
        <f t="shared" si="14"/>
        <v>0.16370252621297587</v>
      </c>
      <c r="DC14" s="94">
        <f t="shared" si="15"/>
        <v>7.0792635005933052E-2</v>
      </c>
      <c r="DD14" s="94">
        <f t="shared" si="15"/>
        <v>0.44770028644896465</v>
      </c>
      <c r="DE14" s="94">
        <f t="shared" si="15"/>
        <v>0.14715812196804745</v>
      </c>
      <c r="DF14" s="94">
        <f t="shared" si="15"/>
        <v>0</v>
      </c>
      <c r="DG14" s="94">
        <f t="shared" si="15"/>
        <v>0</v>
      </c>
      <c r="DH14" s="95">
        <f t="shared" si="15"/>
        <v>0.829353569635921</v>
      </c>
      <c r="DI14" s="96" t="e">
        <f>#REF!</f>
        <v>#REF!</v>
      </c>
      <c r="DJ14" s="95">
        <f t="shared" si="56"/>
        <v>0.12408303183696309</v>
      </c>
      <c r="DK14" s="96" t="e">
        <f>#REF!</f>
        <v>#REF!</v>
      </c>
      <c r="DL14" s="95">
        <f t="shared" si="57"/>
        <v>0.85846388428400933</v>
      </c>
      <c r="DM14" s="96">
        <f t="shared" si="16"/>
        <v>0</v>
      </c>
      <c r="DN14" s="94">
        <f t="shared" si="17"/>
        <v>2.3685657015951853</v>
      </c>
      <c r="DO14" s="100">
        <v>3.4</v>
      </c>
      <c r="DP14" s="94">
        <f t="shared" si="69"/>
        <v>3.3511126177161579</v>
      </c>
      <c r="DQ14" s="94">
        <f t="shared" si="70"/>
        <v>3.3031133110714861</v>
      </c>
      <c r="DR14" s="101">
        <f t="shared" si="18"/>
        <v>3.07</v>
      </c>
      <c r="DT14" s="142">
        <v>9</v>
      </c>
      <c r="DU14" s="135">
        <v>640978</v>
      </c>
      <c r="DV14" s="135">
        <v>30798</v>
      </c>
      <c r="DW14" s="135">
        <v>5159752</v>
      </c>
      <c r="DX14" s="136">
        <v>125517</v>
      </c>
      <c r="DY14" s="136">
        <v>90781.2</v>
      </c>
      <c r="DZ14" s="136">
        <v>412081</v>
      </c>
      <c r="EA14" s="136">
        <v>247512</v>
      </c>
      <c r="EB14" s="136">
        <v>56958</v>
      </c>
      <c r="EC14" s="136">
        <v>428413</v>
      </c>
      <c r="ED14" s="183">
        <v>48978.2</v>
      </c>
      <c r="EE14" s="136">
        <v>41941.9</v>
      </c>
      <c r="EF14" s="136">
        <v>43818.5</v>
      </c>
      <c r="EG14" s="135">
        <v>96290.7</v>
      </c>
      <c r="EH14" s="135">
        <v>189213</v>
      </c>
      <c r="EI14" s="135">
        <v>35813</v>
      </c>
      <c r="EJ14" s="136">
        <v>44417</v>
      </c>
      <c r="EK14" s="136"/>
      <c r="EL14" s="135">
        <v>729010.9</v>
      </c>
      <c r="EM14" s="136">
        <v>2728</v>
      </c>
      <c r="EN14" s="136">
        <v>49516</v>
      </c>
      <c r="EO14" s="135">
        <v>3164176.3</v>
      </c>
      <c r="EP14" s="136">
        <v>2868964</v>
      </c>
      <c r="EQ14" s="136">
        <v>0</v>
      </c>
      <c r="ER14" s="136">
        <v>1699</v>
      </c>
      <c r="ES14" s="144">
        <v>445654</v>
      </c>
      <c r="ET14" s="136">
        <v>1097158</v>
      </c>
      <c r="EU14" s="136">
        <v>169019</v>
      </c>
      <c r="EV14" s="136">
        <v>476191</v>
      </c>
      <c r="EW14" s="136">
        <v>151752</v>
      </c>
      <c r="EX14" s="135">
        <v>226634.4</v>
      </c>
      <c r="EY14" s="135">
        <v>1744321.3</v>
      </c>
      <c r="EZ14" s="140">
        <v>847507.9</v>
      </c>
      <c r="FA14" s="140">
        <v>775288</v>
      </c>
      <c r="FB14" s="145">
        <v>31904</v>
      </c>
      <c r="FC14" s="146">
        <v>7412</v>
      </c>
      <c r="FD14" s="77">
        <f t="shared" ref="FD14:FD29" si="72">SUM(FE14:FM14)</f>
        <v>6197</v>
      </c>
      <c r="FE14" s="129">
        <v>853</v>
      </c>
      <c r="FF14" s="136">
        <v>79</v>
      </c>
      <c r="FG14" s="105">
        <v>804</v>
      </c>
      <c r="FH14" s="136">
        <v>1592</v>
      </c>
      <c r="FI14" s="136">
        <v>446</v>
      </c>
      <c r="FJ14" s="105">
        <v>655</v>
      </c>
      <c r="FK14" s="136">
        <v>780</v>
      </c>
      <c r="FL14" s="136">
        <v>303</v>
      </c>
      <c r="FM14" s="136">
        <v>685</v>
      </c>
      <c r="FN14" s="80">
        <v>1500</v>
      </c>
      <c r="FO14" s="303"/>
      <c r="FP14" s="484"/>
      <c r="FY14" s="454">
        <v>9</v>
      </c>
      <c r="FZ14" s="107"/>
      <c r="GA14" s="107">
        <v>660</v>
      </c>
      <c r="GB14" s="108"/>
      <c r="GC14" s="109"/>
      <c r="GD14" s="110"/>
      <c r="GE14" s="110"/>
      <c r="GF14" s="111"/>
      <c r="GG14" s="111"/>
      <c r="GH14" s="111"/>
      <c r="GI14" s="112"/>
      <c r="GJ14" s="111" t="e">
        <f t="shared" si="58"/>
        <v>#DIV/0!</v>
      </c>
      <c r="GK14" s="113"/>
    </row>
    <row r="15" spans="1:194" s="119" customFormat="1" ht="15" customHeight="1">
      <c r="A15" s="119" t="s">
        <v>125</v>
      </c>
      <c r="B15" s="351">
        <v>43049</v>
      </c>
      <c r="D15" s="128">
        <v>5904</v>
      </c>
      <c r="E15" s="128">
        <v>3792</v>
      </c>
      <c r="F15" s="128">
        <v>409.536</v>
      </c>
      <c r="G15" s="86">
        <v>6063.4709999999995</v>
      </c>
      <c r="H15" s="86">
        <v>6676.5659999999998</v>
      </c>
      <c r="I15" s="86">
        <v>2084.3109999999997</v>
      </c>
      <c r="J15" s="86">
        <v>2742.8339999999998</v>
      </c>
      <c r="K15" s="86">
        <v>0</v>
      </c>
      <c r="L15" s="86">
        <v>0</v>
      </c>
      <c r="M15" s="115">
        <f>I15+J15</f>
        <v>4827.1449999999995</v>
      </c>
      <c r="N15" s="88">
        <f>SUM(D15:H15)</f>
        <v>22845.573</v>
      </c>
      <c r="O15" s="88">
        <f>(N15+L15+((J15+I15)*0.5))-1958</f>
        <v>23301.145499999999</v>
      </c>
      <c r="P15" s="89">
        <f t="shared" si="20"/>
        <v>222077.25099999999</v>
      </c>
      <c r="R15" s="170">
        <f t="shared" si="21"/>
        <v>92</v>
      </c>
      <c r="S15" s="170">
        <f t="shared" si="22"/>
        <v>105.86999999999534</v>
      </c>
      <c r="T15" s="170">
        <f t="shared" si="1"/>
        <v>246.4</v>
      </c>
      <c r="U15" s="170">
        <f t="shared" si="71"/>
        <v>6.3599999999998547</v>
      </c>
      <c r="V15" s="170">
        <f t="shared" si="23"/>
        <v>983.20000000018626</v>
      </c>
      <c r="W15" s="170">
        <f t="shared" si="2"/>
        <v>51.7</v>
      </c>
      <c r="X15" s="170">
        <f t="shared" si="24"/>
        <v>983.20000000018626</v>
      </c>
      <c r="Y15" s="170">
        <f t="shared" si="25"/>
        <v>65.900000000000006</v>
      </c>
      <c r="Z15" s="170">
        <f t="shared" si="3"/>
        <v>176.2</v>
      </c>
      <c r="AA15" s="501">
        <f t="shared" si="26"/>
        <v>1433.8300000001814</v>
      </c>
      <c r="AB15" s="170">
        <f t="shared" si="27"/>
        <v>177</v>
      </c>
      <c r="AC15" s="170">
        <f t="shared" si="27"/>
        <v>23</v>
      </c>
      <c r="AD15" s="501">
        <f t="shared" si="4"/>
        <v>337</v>
      </c>
      <c r="AE15" s="501">
        <f t="shared" si="28"/>
        <v>137</v>
      </c>
      <c r="AF15" s="170">
        <f t="shared" si="29"/>
        <v>95</v>
      </c>
      <c r="AG15" s="170">
        <f t="shared" si="29"/>
        <v>83.80000000000291</v>
      </c>
      <c r="AH15" s="501">
        <f t="shared" si="5"/>
        <v>159</v>
      </c>
      <c r="AI15" s="501">
        <f t="shared" si="30"/>
        <v>-19.80000000000291</v>
      </c>
      <c r="AJ15" s="170">
        <f t="shared" si="31"/>
        <v>39</v>
      </c>
      <c r="AK15" s="170">
        <f t="shared" si="31"/>
        <v>37</v>
      </c>
      <c r="AL15" s="501">
        <f t="shared" si="6"/>
        <v>239</v>
      </c>
      <c r="AM15" s="501">
        <f t="shared" si="32"/>
        <v>163</v>
      </c>
      <c r="AN15" s="170">
        <f t="shared" si="33"/>
        <v>13.30000000000291</v>
      </c>
      <c r="AO15" s="501">
        <f t="shared" si="7"/>
        <v>36.5</v>
      </c>
      <c r="AP15" s="170">
        <f t="shared" si="34"/>
        <v>22.5</v>
      </c>
      <c r="AQ15" s="501">
        <f t="shared" si="8"/>
        <v>32.200000000011642</v>
      </c>
      <c r="AR15" s="170">
        <f t="shared" si="35"/>
        <v>82.355999999999995</v>
      </c>
      <c r="AS15" s="501">
        <f t="shared" si="36"/>
        <v>74.355999999999995</v>
      </c>
      <c r="AT15" s="501">
        <f t="shared" si="37"/>
        <v>636.35599999999999</v>
      </c>
      <c r="AU15" s="170">
        <f t="shared" si="60"/>
        <v>311</v>
      </c>
      <c r="AV15" s="501">
        <f t="shared" si="61"/>
        <v>34</v>
      </c>
      <c r="AW15" s="170">
        <f t="shared" si="62"/>
        <v>251</v>
      </c>
      <c r="AX15" s="501">
        <f t="shared" si="63"/>
        <v>27</v>
      </c>
      <c r="AY15" s="501" t="str">
        <f t="shared" si="63"/>
        <v/>
      </c>
      <c r="AZ15" s="170">
        <f t="shared" si="38"/>
        <v>230</v>
      </c>
      <c r="BA15" s="170">
        <v>38.5</v>
      </c>
      <c r="BB15" s="170">
        <f t="shared" si="39"/>
        <v>146.60000000000582</v>
      </c>
      <c r="BC15" s="170">
        <f t="shared" si="39"/>
        <v>336.80000000004657</v>
      </c>
      <c r="BD15" s="170">
        <f t="shared" si="40"/>
        <v>158</v>
      </c>
      <c r="BE15" s="90"/>
      <c r="BF15" s="90"/>
      <c r="BG15" s="501">
        <f t="shared" si="41"/>
        <v>871.40000000005239</v>
      </c>
      <c r="BH15" s="501">
        <f t="shared" si="42"/>
        <v>7534</v>
      </c>
      <c r="BI15" s="90" t="str">
        <f>IF(FC15=0,"",(FC15-BJ15))</f>
        <v/>
      </c>
      <c r="BJ15" s="90">
        <f t="shared" si="43"/>
        <v>3806.2860000002456</v>
      </c>
      <c r="BK15" s="92"/>
      <c r="BL15" s="93">
        <f t="shared" si="64"/>
        <v>7534</v>
      </c>
      <c r="BM15" s="93">
        <f t="shared" si="44"/>
        <v>73192</v>
      </c>
      <c r="BN15" s="92"/>
      <c r="BO15" s="94">
        <f t="shared" si="45"/>
        <v>4.0270384113368488E-2</v>
      </c>
      <c r="BP15" s="94">
        <f t="shared" si="45"/>
        <v>4.6341582240023195E-2</v>
      </c>
      <c r="BQ15" s="94">
        <f t="shared" si="46"/>
        <v>0.10785459397319561</v>
      </c>
      <c r="BR15" s="94">
        <f t="shared" si="65"/>
        <v>0.43036784413338475</v>
      </c>
      <c r="BS15" s="94">
        <f t="shared" si="10"/>
        <v>2.8845851229032431E-2</v>
      </c>
      <c r="BT15" s="94">
        <f t="shared" si="10"/>
        <v>7.7126540008429639E-2</v>
      </c>
      <c r="BU15" s="95">
        <f t="shared" si="10"/>
        <v>0.62761831362259168</v>
      </c>
      <c r="BV15" s="94">
        <f t="shared" si="11"/>
        <v>3.9483037432644676E-2</v>
      </c>
      <c r="BW15" s="94">
        <f t="shared" si="11"/>
        <v>4.5435534489064219E-2</v>
      </c>
      <c r="BX15" s="94">
        <f t="shared" si="11"/>
        <v>0.10574587416743096</v>
      </c>
      <c r="BY15" s="94">
        <f t="shared" si="47"/>
        <v>0.42195350438895218</v>
      </c>
      <c r="BZ15" s="95">
        <f t="shared" si="12"/>
        <v>0.61534743002234871</v>
      </c>
      <c r="CA15" s="96" t="e">
        <f>#REF!</f>
        <v>#REF!</v>
      </c>
      <c r="CB15" s="94">
        <f t="shared" si="48"/>
        <v>3.5344185117422655E-2</v>
      </c>
      <c r="CC15" s="95">
        <f t="shared" si="48"/>
        <v>3.1910877514583991E-2</v>
      </c>
      <c r="CD15" s="97">
        <f t="shared" si="13"/>
        <v>0.17061016397891507</v>
      </c>
      <c r="CE15" s="98">
        <f t="shared" si="13"/>
        <v>0.15403722075885437</v>
      </c>
      <c r="CF15" s="97">
        <f t="shared" si="49"/>
        <v>0.29979674796747968</v>
      </c>
      <c r="CG15" s="94">
        <f t="shared" si="49"/>
        <v>3.8956639566395661E-2</v>
      </c>
      <c r="CH15" s="95">
        <f t="shared" si="50"/>
        <v>0.57079945799457987</v>
      </c>
      <c r="CI15" s="96" t="e">
        <f>#REF!</f>
        <v>#REF!</v>
      </c>
      <c r="CJ15" s="94">
        <f t="shared" si="51"/>
        <v>0.25052742616033752</v>
      </c>
      <c r="CK15" s="94">
        <f t="shared" si="51"/>
        <v>0.22099156118144228</v>
      </c>
      <c r="CL15" s="95">
        <f t="shared" si="66"/>
        <v>0.41930379746835444</v>
      </c>
      <c r="CM15" s="95" t="e">
        <f>#REF!</f>
        <v>#REF!</v>
      </c>
      <c r="CN15" s="94">
        <f t="shared" si="52"/>
        <v>0.95229723394280363</v>
      </c>
      <c r="CO15" s="94">
        <f t="shared" si="52"/>
        <v>0.90346147835599311</v>
      </c>
      <c r="CP15" s="95">
        <f t="shared" si="53"/>
        <v>5.8358727926238476</v>
      </c>
      <c r="CQ15" s="95" t="e">
        <f>#REF!</f>
        <v>#REF!</v>
      </c>
      <c r="CR15" s="97">
        <f t="shared" si="67"/>
        <v>2.1934631170830887E-2</v>
      </c>
      <c r="CS15" s="95">
        <f t="shared" si="67"/>
        <v>6.0196544190612933E-2</v>
      </c>
      <c r="CT15" s="96" t="e">
        <f>#REF!</f>
        <v>#REF!</v>
      </c>
      <c r="CU15" s="97">
        <f t="shared" si="68"/>
        <v>3.3699958930983383E-2</v>
      </c>
      <c r="CV15" s="95">
        <f t="shared" si="54"/>
        <v>4.8228385670135883E-2</v>
      </c>
      <c r="CW15" s="96" t="e">
        <f>#REF!</f>
        <v>#REF!</v>
      </c>
      <c r="CX15" s="97">
        <f t="shared" si="55"/>
        <v>0.1334698330603532</v>
      </c>
      <c r="CY15" s="98">
        <f t="shared" si="55"/>
        <v>1.4591557312064338E-2</v>
      </c>
      <c r="CZ15" s="97">
        <f t="shared" si="55"/>
        <v>0.10772002603906319</v>
      </c>
      <c r="DA15" s="98">
        <f t="shared" si="55"/>
        <v>1.1587413159580503E-2</v>
      </c>
      <c r="DB15" s="94">
        <f t="shared" si="14"/>
        <v>9.8707593581611686E-2</v>
      </c>
      <c r="DC15" s="94">
        <f t="shared" si="15"/>
        <v>6.2915361822021079E-2</v>
      </c>
      <c r="DD15" s="94">
        <f t="shared" si="15"/>
        <v>0.1445422500795279</v>
      </c>
      <c r="DE15" s="94">
        <f t="shared" si="15"/>
        <v>6.7807825156063678E-2</v>
      </c>
      <c r="DF15" s="94">
        <f t="shared" si="15"/>
        <v>0</v>
      </c>
      <c r="DG15" s="94">
        <f t="shared" si="15"/>
        <v>0</v>
      </c>
      <c r="DH15" s="95">
        <f t="shared" si="15"/>
        <v>0.37397303063922438</v>
      </c>
      <c r="DI15" s="96" t="e">
        <f>#REF!</f>
        <v>#REF!</v>
      </c>
      <c r="DJ15" s="95">
        <f t="shared" si="56"/>
        <v>3.2333174349733151</v>
      </c>
      <c r="DK15" s="96" t="e">
        <f>#REF!</f>
        <v>#REF!</v>
      </c>
      <c r="DL15" s="95" t="e">
        <f t="shared" si="57"/>
        <v>#VALUE!</v>
      </c>
      <c r="DM15" s="96">
        <f t="shared" si="16"/>
        <v>0</v>
      </c>
      <c r="DN15" s="94">
        <f t="shared" si="17"/>
        <v>1.6335188327974028</v>
      </c>
      <c r="DO15" s="100">
        <v>3.4</v>
      </c>
      <c r="DP15" s="94">
        <f t="shared" si="69"/>
        <v>3.2333174349733151</v>
      </c>
      <c r="DQ15" s="94">
        <f t="shared" si="70"/>
        <v>3.2957900762199186</v>
      </c>
      <c r="DR15" s="101">
        <f t="shared" si="18"/>
        <v>3.07</v>
      </c>
      <c r="DS15" s="147"/>
      <c r="DT15" s="134">
        <v>10</v>
      </c>
      <c r="DU15" s="135">
        <v>641155</v>
      </c>
      <c r="DV15" s="135">
        <v>30821</v>
      </c>
      <c r="DW15" s="355">
        <v>5159912</v>
      </c>
      <c r="DX15" s="104">
        <v>125612</v>
      </c>
      <c r="DY15" s="104">
        <v>90865</v>
      </c>
      <c r="DZ15" s="104">
        <v>412145</v>
      </c>
      <c r="EA15" s="104">
        <v>247551</v>
      </c>
      <c r="EB15" s="104">
        <v>56995</v>
      </c>
      <c r="EC15" s="104">
        <v>428613</v>
      </c>
      <c r="ED15" s="183">
        <v>48991.5</v>
      </c>
      <c r="EE15" s="104">
        <v>41966.9</v>
      </c>
      <c r="EF15" s="136">
        <v>43830</v>
      </c>
      <c r="EG15" s="135">
        <v>96313.2</v>
      </c>
      <c r="EH15" s="355">
        <v>189245.2</v>
      </c>
      <c r="EI15" s="355">
        <v>35847</v>
      </c>
      <c r="EJ15" s="104">
        <v>44444</v>
      </c>
      <c r="EK15" s="104"/>
      <c r="EL15" s="355">
        <v>729102.9</v>
      </c>
      <c r="EM15" s="104">
        <v>2464</v>
      </c>
      <c r="EN15" s="104">
        <v>49579.6</v>
      </c>
      <c r="EO15" s="355">
        <v>3165159.5</v>
      </c>
      <c r="EP15" s="303">
        <v>2869481</v>
      </c>
      <c r="EQ15" s="104">
        <v>659</v>
      </c>
      <c r="ER15" s="104">
        <v>1762</v>
      </c>
      <c r="ES15" s="105">
        <v>446208</v>
      </c>
      <c r="ET15" s="104">
        <v>1179514</v>
      </c>
      <c r="EU15" s="136">
        <v>169270</v>
      </c>
      <c r="EV15" s="136">
        <v>476502</v>
      </c>
      <c r="EW15" s="104">
        <v>151982</v>
      </c>
      <c r="EX15" s="355">
        <v>226781</v>
      </c>
      <c r="EY15" s="355">
        <v>1744658.1</v>
      </c>
      <c r="EZ15" s="385">
        <v>848566.6</v>
      </c>
      <c r="FA15" s="386">
        <v>775446</v>
      </c>
      <c r="FB15" s="387">
        <v>31806.400000000001</v>
      </c>
      <c r="FC15" s="452"/>
      <c r="FD15" s="77">
        <f t="shared" si="72"/>
        <v>6034</v>
      </c>
      <c r="FE15" s="129">
        <v>829</v>
      </c>
      <c r="FF15" s="136">
        <v>79</v>
      </c>
      <c r="FG15" s="105">
        <v>586</v>
      </c>
      <c r="FH15" s="136">
        <v>1713</v>
      </c>
      <c r="FI15" s="136">
        <v>335</v>
      </c>
      <c r="FJ15" s="105">
        <v>613</v>
      </c>
      <c r="FK15" s="136">
        <v>778</v>
      </c>
      <c r="FL15" s="136">
        <v>249</v>
      </c>
      <c r="FM15" s="136">
        <v>852</v>
      </c>
      <c r="FN15" s="80">
        <v>1500</v>
      </c>
      <c r="FO15" s="303"/>
      <c r="FP15" s="484"/>
      <c r="FY15" s="119">
        <v>10</v>
      </c>
      <c r="FZ15" s="107"/>
      <c r="GA15" s="107"/>
      <c r="GB15" s="108"/>
      <c r="GC15" s="109"/>
      <c r="GD15" s="110"/>
      <c r="GE15" s="110"/>
      <c r="GF15" s="111"/>
      <c r="GG15" s="111"/>
      <c r="GH15" s="111"/>
      <c r="GI15" s="112"/>
      <c r="GJ15" s="111" t="e">
        <f t="shared" si="58"/>
        <v>#DIV/0!</v>
      </c>
      <c r="GK15" s="113"/>
    </row>
    <row r="16" spans="1:194" s="454" customFormat="1" ht="15" customHeight="1">
      <c r="A16" s="454">
        <v>0</v>
      </c>
      <c r="B16" s="351">
        <v>43050</v>
      </c>
      <c r="D16" s="128">
        <v>5529.48</v>
      </c>
      <c r="E16" s="128">
        <v>2371.56</v>
      </c>
      <c r="F16" s="128">
        <v>1130.1120000000001</v>
      </c>
      <c r="G16" s="86">
        <v>5141.4790000000003</v>
      </c>
      <c r="H16" s="86">
        <v>6803.991</v>
      </c>
      <c r="I16" s="86">
        <v>930.10199999999998</v>
      </c>
      <c r="J16" s="86">
        <v>7226.6040000000003</v>
      </c>
      <c r="K16" s="86">
        <v>0</v>
      </c>
      <c r="L16" s="86">
        <v>0</v>
      </c>
      <c r="M16" s="115">
        <f t="shared" si="59"/>
        <v>8156.7060000000001</v>
      </c>
      <c r="N16" s="88">
        <f t="shared" si="19"/>
        <v>20976.621999999996</v>
      </c>
      <c r="O16" s="88">
        <f>(N16+L16+((J16+I16)*0.5))</f>
        <v>25054.974999999995</v>
      </c>
      <c r="P16" s="89">
        <f t="shared" si="20"/>
        <v>247132.226</v>
      </c>
      <c r="Q16" s="152"/>
      <c r="R16" s="170">
        <f t="shared" si="21"/>
        <v>240.59999999997672</v>
      </c>
      <c r="S16" s="170">
        <f t="shared" si="22"/>
        <v>89.940000000002328</v>
      </c>
      <c r="T16" s="170">
        <f t="shared" si="1"/>
        <v>411.8</v>
      </c>
      <c r="U16" s="170">
        <f t="shared" si="71"/>
        <v>4.3300000000002914</v>
      </c>
      <c r="V16" s="170">
        <f t="shared" si="23"/>
        <v>964.60000000009313</v>
      </c>
      <c r="W16" s="170">
        <f t="shared" si="2"/>
        <v>120.8</v>
      </c>
      <c r="X16" s="170">
        <f t="shared" si="24"/>
        <v>964.60000000009313</v>
      </c>
      <c r="Y16" s="170">
        <f t="shared" si="25"/>
        <v>198.9</v>
      </c>
      <c r="Z16" s="170">
        <f t="shared" si="3"/>
        <v>107.9</v>
      </c>
      <c r="AA16" s="501">
        <f t="shared" si="26"/>
        <v>1711.2700000000723</v>
      </c>
      <c r="AB16" s="170">
        <f t="shared" si="27"/>
        <v>192</v>
      </c>
      <c r="AC16" s="170">
        <f t="shared" si="27"/>
        <v>62</v>
      </c>
      <c r="AD16" s="501">
        <f t="shared" si="4"/>
        <v>420</v>
      </c>
      <c r="AE16" s="501">
        <f t="shared" si="28"/>
        <v>166</v>
      </c>
      <c r="AF16" s="170">
        <f t="shared" si="29"/>
        <v>51</v>
      </c>
      <c r="AG16" s="170">
        <f t="shared" si="29"/>
        <v>47.30000000000291</v>
      </c>
      <c r="AH16" s="501">
        <f t="shared" si="5"/>
        <v>181</v>
      </c>
      <c r="AI16" s="501">
        <f t="shared" si="30"/>
        <v>82.69999999999709</v>
      </c>
      <c r="AJ16" s="170">
        <f t="shared" si="31"/>
        <v>97</v>
      </c>
      <c r="AK16" s="170">
        <f t="shared" si="31"/>
        <v>23.099999999998545</v>
      </c>
      <c r="AL16" s="501">
        <f t="shared" si="6"/>
        <v>207</v>
      </c>
      <c r="AM16" s="501">
        <f t="shared" si="32"/>
        <v>86.900000000001455</v>
      </c>
      <c r="AN16" s="170">
        <f t="shared" si="33"/>
        <v>0.19999999999708962</v>
      </c>
      <c r="AO16" s="501">
        <f t="shared" si="7"/>
        <v>32.200000000004366</v>
      </c>
      <c r="AP16" s="170">
        <f t="shared" si="34"/>
        <v>20.80000000000291</v>
      </c>
      <c r="AQ16" s="501">
        <f t="shared" si="8"/>
        <v>28.799999999988358</v>
      </c>
      <c r="AR16" s="170">
        <f t="shared" si="35"/>
        <v>80.406999999999996</v>
      </c>
      <c r="AS16" s="501">
        <f t="shared" si="36"/>
        <v>43.407000000000039</v>
      </c>
      <c r="AT16" s="501">
        <f t="shared" si="37"/>
        <v>948.40700000000004</v>
      </c>
      <c r="AU16" s="170">
        <f t="shared" si="60"/>
        <v>647</v>
      </c>
      <c r="AV16" s="501">
        <f t="shared" si="61"/>
        <v>76</v>
      </c>
      <c r="AW16" s="170">
        <f t="shared" si="62"/>
        <v>258</v>
      </c>
      <c r="AX16" s="501">
        <f t="shared" si="63"/>
        <v>3</v>
      </c>
      <c r="AY16" s="501" t="str">
        <f t="shared" si="63"/>
        <v/>
      </c>
      <c r="AZ16" s="170">
        <f t="shared" si="38"/>
        <v>312</v>
      </c>
      <c r="BA16" s="170">
        <v>49</v>
      </c>
      <c r="BB16" s="170">
        <f t="shared" si="39"/>
        <v>170.29999999998836</v>
      </c>
      <c r="BC16" s="170">
        <f t="shared" si="39"/>
        <v>808.79999999981374</v>
      </c>
      <c r="BD16" s="170">
        <f t="shared" si="40"/>
        <v>298</v>
      </c>
      <c r="BE16" s="90"/>
      <c r="BF16" s="90"/>
      <c r="BG16" s="501">
        <f t="shared" si="41"/>
        <v>1589.0999999998021</v>
      </c>
      <c r="BH16" s="501">
        <f t="shared" si="42"/>
        <v>249</v>
      </c>
      <c r="BI16" s="90">
        <f>IF(FC16=0,"",(FC16-BJ16))</f>
        <v>2246.2230000001327</v>
      </c>
      <c r="BJ16" s="90">
        <f>IF(BH16=0,"",(AA16+AD16+AO16+BG16+AH16+AL16+AQ16+AT16+AX16+AV16))</f>
        <v>5196.7769999998673</v>
      </c>
      <c r="BK16" s="92"/>
      <c r="BL16" s="93">
        <f t="shared" si="64"/>
        <v>7692</v>
      </c>
      <c r="BM16" s="93">
        <f t="shared" si="44"/>
        <v>80884</v>
      </c>
      <c r="BN16" s="92"/>
      <c r="BO16" s="94">
        <f t="shared" si="45"/>
        <v>0.11469911599683531</v>
      </c>
      <c r="BP16" s="94">
        <f t="shared" si="45"/>
        <v>4.2876302962413272E-2</v>
      </c>
      <c r="BQ16" s="94">
        <f t="shared" si="46"/>
        <v>0.19631378207606548</v>
      </c>
      <c r="BR16" s="94">
        <f t="shared" si="65"/>
        <v>0.45984525058424242</v>
      </c>
      <c r="BS16" s="94">
        <f t="shared" si="10"/>
        <v>9.4819842775447846E-2</v>
      </c>
      <c r="BT16" s="94">
        <f t="shared" si="10"/>
        <v>5.1438215361844258E-2</v>
      </c>
      <c r="BU16" s="95">
        <f t="shared" si="10"/>
        <v>0.81579865433055554</v>
      </c>
      <c r="BV16" s="94">
        <f t="shared" si="11"/>
        <v>9.6028832597109662E-2</v>
      </c>
      <c r="BW16" s="94">
        <f t="shared" si="11"/>
        <v>3.5897062359871577E-2</v>
      </c>
      <c r="BX16" s="94">
        <f t="shared" si="11"/>
        <v>0.16435857549249203</v>
      </c>
      <c r="BY16" s="94">
        <f t="shared" si="47"/>
        <v>0.38499339951450495</v>
      </c>
      <c r="BZ16" s="95">
        <f t="shared" si="12"/>
        <v>0.68300606965286237</v>
      </c>
      <c r="CA16" s="96" t="e">
        <f>#REF!</f>
        <v>#REF!</v>
      </c>
      <c r="CB16" s="94">
        <f t="shared" si="48"/>
        <v>3.2092229188015561E-2</v>
      </c>
      <c r="CC16" s="95">
        <f t="shared" si="48"/>
        <v>1.7324702978151064E-2</v>
      </c>
      <c r="CD16" s="97">
        <f t="shared" si="13"/>
        <v>9.857778372789211E-2</v>
      </c>
      <c r="CE16" s="98">
        <f t="shared" si="13"/>
        <v>5.3216335123516818E-2</v>
      </c>
      <c r="CF16" s="97">
        <f t="shared" si="49"/>
        <v>0.34722975759022551</v>
      </c>
      <c r="CG16" s="94">
        <f t="shared" si="49"/>
        <v>0.11212627588851032</v>
      </c>
      <c r="CH16" s="95">
        <f t="shared" si="50"/>
        <v>0.75956509472861822</v>
      </c>
      <c r="CI16" s="96" t="e">
        <f>#REF!</f>
        <v>#REF!</v>
      </c>
      <c r="CJ16" s="94">
        <f t="shared" si="51"/>
        <v>0.21504832262308354</v>
      </c>
      <c r="CK16" s="94">
        <f t="shared" si="51"/>
        <v>0.19944677764847996</v>
      </c>
      <c r="CL16" s="95">
        <f t="shared" si="66"/>
        <v>0.76321071362310045</v>
      </c>
      <c r="CM16" s="95" t="e">
        <f>#REF!</f>
        <v>#REF!</v>
      </c>
      <c r="CN16" s="94">
        <f t="shared" si="52"/>
        <v>0.85832200702231276</v>
      </c>
      <c r="CO16" s="94">
        <f t="shared" si="52"/>
        <v>0.20440451919808428</v>
      </c>
      <c r="CP16" s="95">
        <f t="shared" si="53"/>
        <v>1.8316768603465849</v>
      </c>
      <c r="CQ16" s="95" t="e">
        <f>#REF!</f>
        <v>#REF!</v>
      </c>
      <c r="CR16" s="97">
        <f t="shared" si="67"/>
        <v>3.8899312823623242E-4</v>
      </c>
      <c r="CS16" s="95">
        <f t="shared" si="67"/>
        <v>6.2627893646953259E-2</v>
      </c>
      <c r="CT16" s="96" t="e">
        <f>#REF!</f>
        <v>#REF!</v>
      </c>
      <c r="CU16" s="97">
        <f t="shared" si="68"/>
        <v>3.0570293229375097E-2</v>
      </c>
      <c r="CV16" s="95">
        <f t="shared" si="54"/>
        <v>4.2328098317573261E-2</v>
      </c>
      <c r="CW16" s="96" t="e">
        <f>#REF!</f>
        <v>#REF!</v>
      </c>
      <c r="CX16" s="97">
        <f t="shared" si="55"/>
        <v>0.25823214750763079</v>
      </c>
      <c r="CY16" s="98">
        <f t="shared" si="55"/>
        <v>3.03332970797217E-2</v>
      </c>
      <c r="CZ16" s="97">
        <f t="shared" si="55"/>
        <v>0.10297356113905524</v>
      </c>
      <c r="DA16" s="98">
        <f t="shared" si="55"/>
        <v>1.1973669899890144E-3</v>
      </c>
      <c r="DB16" s="94">
        <f t="shared" si="14"/>
        <v>0.1245261669588575</v>
      </c>
      <c r="DC16" s="94">
        <f t="shared" si="15"/>
        <v>6.797053279837173E-2</v>
      </c>
      <c r="DD16" s="94">
        <f t="shared" si="15"/>
        <v>0.32281014050096396</v>
      </c>
      <c r="DE16" s="94">
        <f t="shared" si="15"/>
        <v>0.11893845433890876</v>
      </c>
      <c r="DF16" s="94">
        <f t="shared" si="15"/>
        <v>0</v>
      </c>
      <c r="DG16" s="94">
        <f t="shared" si="15"/>
        <v>0</v>
      </c>
      <c r="DH16" s="95">
        <f t="shared" si="15"/>
        <v>0.63424529459710199</v>
      </c>
      <c r="DI16" s="96" t="e">
        <f>#REF!</f>
        <v>#REF!</v>
      </c>
      <c r="DJ16" s="95">
        <f t="shared" si="56"/>
        <v>9.9381460169088193E-2</v>
      </c>
      <c r="DK16" s="96" t="e">
        <f>#REF!</f>
        <v>#REF!</v>
      </c>
      <c r="DL16" s="95">
        <f t="shared" si="57"/>
        <v>0.8965177574514176</v>
      </c>
      <c r="DM16" s="96">
        <f t="shared" si="16"/>
        <v>0</v>
      </c>
      <c r="DN16" s="94">
        <f t="shared" si="17"/>
        <v>2.0741497447113271</v>
      </c>
      <c r="DO16" s="100">
        <v>3.4</v>
      </c>
      <c r="DP16" s="94">
        <f>IF($O16&lt;&gt;0,IF($O16&lt;&gt;0,BL16/$O16*10,0)," ")</f>
        <v>3.0700489623318328</v>
      </c>
      <c r="DQ16" s="94">
        <f>IF($P16&lt;&gt;0,IF($P16&lt;&gt;0,BM16/$P16*10,0)," ")</f>
        <v>3.2729037936153254</v>
      </c>
      <c r="DR16" s="101"/>
      <c r="DS16" s="153"/>
      <c r="DT16" s="142">
        <v>11</v>
      </c>
      <c r="DU16" s="135">
        <v>641347</v>
      </c>
      <c r="DV16" s="135">
        <v>30883</v>
      </c>
      <c r="DW16" s="330">
        <v>5160140</v>
      </c>
      <c r="DX16" s="330">
        <v>125663</v>
      </c>
      <c r="DY16" s="330">
        <v>90912.3</v>
      </c>
      <c r="DZ16" s="330">
        <v>412275</v>
      </c>
      <c r="EA16" s="330">
        <v>247648</v>
      </c>
      <c r="EB16" s="330">
        <v>57018.1</v>
      </c>
      <c r="EC16" s="330">
        <v>428723</v>
      </c>
      <c r="ED16" s="183">
        <v>48991.7</v>
      </c>
      <c r="EE16" s="330">
        <v>41994.8</v>
      </c>
      <c r="EF16" s="330">
        <v>43834.3</v>
      </c>
      <c r="EG16" s="135">
        <v>96334</v>
      </c>
      <c r="EH16" s="330">
        <v>189274</v>
      </c>
      <c r="EI16" s="330">
        <v>35923</v>
      </c>
      <c r="EJ16" s="330">
        <v>44447</v>
      </c>
      <c r="EK16" s="330"/>
      <c r="EL16" s="330">
        <v>729343.5</v>
      </c>
      <c r="EM16" s="330">
        <v>4118</v>
      </c>
      <c r="EN16" s="330">
        <v>49622.9</v>
      </c>
      <c r="EO16" s="330">
        <v>3166124.1</v>
      </c>
      <c r="EP16" s="303">
        <v>2870689</v>
      </c>
      <c r="EQ16" s="330">
        <v>1989</v>
      </c>
      <c r="ER16" s="330">
        <v>1079</v>
      </c>
      <c r="ES16" s="330">
        <v>447076</v>
      </c>
      <c r="ET16" s="105">
        <v>1259921</v>
      </c>
      <c r="EU16" s="136">
        <v>169528</v>
      </c>
      <c r="EV16" s="136">
        <v>477149</v>
      </c>
      <c r="EW16" s="330">
        <v>152294</v>
      </c>
      <c r="EX16" s="330">
        <v>226951.3</v>
      </c>
      <c r="EY16" s="330">
        <v>1745466.9</v>
      </c>
      <c r="EZ16" s="330">
        <v>849466</v>
      </c>
      <c r="FA16" s="385">
        <v>775744</v>
      </c>
      <c r="FB16" s="387">
        <v>31810.6</v>
      </c>
      <c r="FC16" s="378">
        <v>7443</v>
      </c>
      <c r="FD16" s="77">
        <f t="shared" si="72"/>
        <v>6192</v>
      </c>
      <c r="FE16" s="129">
        <v>808</v>
      </c>
      <c r="FF16" s="136">
        <v>73</v>
      </c>
      <c r="FG16" s="105">
        <v>990</v>
      </c>
      <c r="FH16" s="136">
        <v>1480</v>
      </c>
      <c r="FI16" s="136">
        <v>595</v>
      </c>
      <c r="FJ16" s="105">
        <v>596</v>
      </c>
      <c r="FK16" s="136">
        <v>777</v>
      </c>
      <c r="FL16" s="136">
        <v>232</v>
      </c>
      <c r="FM16" s="136">
        <v>641</v>
      </c>
      <c r="FN16" s="80">
        <v>1500</v>
      </c>
      <c r="FO16" s="303"/>
      <c r="FP16" s="484"/>
      <c r="FY16" s="454">
        <v>11</v>
      </c>
      <c r="FZ16" s="107"/>
      <c r="GA16" s="107"/>
      <c r="GB16" s="107"/>
      <c r="GC16" s="109"/>
      <c r="GD16" s="110"/>
      <c r="GE16" s="110"/>
      <c r="GF16" s="111"/>
      <c r="GG16" s="111"/>
      <c r="GH16" s="111"/>
      <c r="GI16" s="112"/>
      <c r="GJ16" s="111" t="e">
        <f t="shared" si="58"/>
        <v>#DIV/0!</v>
      </c>
      <c r="GK16" s="113"/>
    </row>
    <row r="17" spans="1:193" s="119" customFormat="1" ht="15" customHeight="1">
      <c r="A17" s="119" t="s">
        <v>126</v>
      </c>
      <c r="B17" s="351">
        <v>43051</v>
      </c>
      <c r="D17" s="154">
        <v>4416</v>
      </c>
      <c r="E17" s="128">
        <v>0</v>
      </c>
      <c r="F17" s="86">
        <v>3265.92</v>
      </c>
      <c r="G17" s="86">
        <v>5160.9050000000007</v>
      </c>
      <c r="H17" s="86">
        <v>7837.3639999999996</v>
      </c>
      <c r="I17" s="86">
        <v>2447.7739999999999</v>
      </c>
      <c r="J17" s="86">
        <v>9293.4599999999991</v>
      </c>
      <c r="K17" s="86">
        <v>0</v>
      </c>
      <c r="L17" s="86">
        <v>0</v>
      </c>
      <c r="M17" s="115">
        <f t="shared" si="59"/>
        <v>11741.233999999999</v>
      </c>
      <c r="N17" s="88">
        <f t="shared" si="19"/>
        <v>20680.188999999998</v>
      </c>
      <c r="O17" s="88">
        <f>(N17+L17+((J17+I17)*0.5))</f>
        <v>26550.805999999997</v>
      </c>
      <c r="P17" s="89">
        <f t="shared" si="20"/>
        <v>273683.03200000001</v>
      </c>
      <c r="Q17" s="155"/>
      <c r="R17" s="170">
        <f t="shared" si="21"/>
        <v>330</v>
      </c>
      <c r="S17" s="170">
        <f t="shared" si="22"/>
        <v>0</v>
      </c>
      <c r="T17" s="170">
        <f t="shared" si="1"/>
        <v>580.20000000000005</v>
      </c>
      <c r="U17" s="170">
        <f t="shared" si="71"/>
        <v>6.8299999999995631</v>
      </c>
      <c r="V17" s="170">
        <f t="shared" si="23"/>
        <v>1165.5</v>
      </c>
      <c r="W17" s="170">
        <f t="shared" si="2"/>
        <v>103.4</v>
      </c>
      <c r="X17" s="170">
        <f t="shared" si="24"/>
        <v>1165.5</v>
      </c>
      <c r="Y17" s="170">
        <f t="shared" si="25"/>
        <v>298</v>
      </c>
      <c r="Z17" s="170">
        <f t="shared" si="3"/>
        <v>131.30000000000001</v>
      </c>
      <c r="AA17" s="501">
        <f t="shared" si="26"/>
        <v>2082.5299999999997</v>
      </c>
      <c r="AB17" s="170">
        <f t="shared" si="27"/>
        <v>134</v>
      </c>
      <c r="AC17" s="170">
        <f t="shared" si="27"/>
        <v>67</v>
      </c>
      <c r="AD17" s="501">
        <f t="shared" si="4"/>
        <v>404</v>
      </c>
      <c r="AE17" s="501">
        <f t="shared" si="28"/>
        <v>203</v>
      </c>
      <c r="AF17" s="170">
        <f t="shared" si="29"/>
        <v>0</v>
      </c>
      <c r="AG17" s="170">
        <f t="shared" si="29"/>
        <v>0</v>
      </c>
      <c r="AH17" s="501">
        <f t="shared" si="5"/>
        <v>6</v>
      </c>
      <c r="AI17" s="501">
        <f t="shared" si="30"/>
        <v>6</v>
      </c>
      <c r="AJ17" s="170">
        <f t="shared" si="31"/>
        <v>167</v>
      </c>
      <c r="AK17" s="170">
        <f t="shared" si="31"/>
        <v>19.30000000000291</v>
      </c>
      <c r="AL17" s="501">
        <f t="shared" si="6"/>
        <v>271</v>
      </c>
      <c r="AM17" s="501">
        <f t="shared" si="32"/>
        <v>84.69999999999709</v>
      </c>
      <c r="AN17" s="170">
        <f t="shared" si="33"/>
        <v>24.5</v>
      </c>
      <c r="AO17" s="501">
        <f t="shared" si="7"/>
        <v>57.899999999994179</v>
      </c>
      <c r="AP17" s="170">
        <f t="shared" si="34"/>
        <v>26.5</v>
      </c>
      <c r="AQ17" s="501">
        <f t="shared" si="8"/>
        <v>34.100000000005821</v>
      </c>
      <c r="AR17" s="170">
        <f t="shared" si="35"/>
        <v>64.688000000000002</v>
      </c>
      <c r="AS17" s="501">
        <f t="shared" si="36"/>
        <v>120.6880000000001</v>
      </c>
      <c r="AT17" s="501">
        <f t="shared" si="37"/>
        <v>1108.6880000000001</v>
      </c>
      <c r="AU17" s="170">
        <f t="shared" si="60"/>
        <v>693</v>
      </c>
      <c r="AV17" s="501">
        <f t="shared" si="61"/>
        <v>24</v>
      </c>
      <c r="AW17" s="170">
        <f t="shared" si="62"/>
        <v>295</v>
      </c>
      <c r="AX17" s="501">
        <f t="shared" si="63"/>
        <v>40</v>
      </c>
      <c r="AY17" s="501" t="str">
        <f t="shared" si="63"/>
        <v/>
      </c>
      <c r="AZ17" s="170">
        <f t="shared" si="38"/>
        <v>469</v>
      </c>
      <c r="BA17" s="170">
        <v>0</v>
      </c>
      <c r="BB17" s="170">
        <f t="shared" si="39"/>
        <v>149.90000000002328</v>
      </c>
      <c r="BC17" s="170">
        <f t="shared" si="39"/>
        <v>0</v>
      </c>
      <c r="BD17" s="170">
        <f t="shared" si="40"/>
        <v>299</v>
      </c>
      <c r="BE17" s="90"/>
      <c r="BF17" s="90"/>
      <c r="BG17" s="501">
        <f t="shared" si="41"/>
        <v>917.90000000002328</v>
      </c>
      <c r="BH17" s="501">
        <f t="shared" si="42"/>
        <v>-898</v>
      </c>
      <c r="BI17" s="90">
        <f t="shared" si="9"/>
        <v>2838.8819999999769</v>
      </c>
      <c r="BJ17" s="90">
        <f t="shared" si="43"/>
        <v>4946.1180000000231</v>
      </c>
      <c r="BK17" s="92"/>
      <c r="BL17" s="93">
        <f t="shared" si="64"/>
        <v>6887</v>
      </c>
      <c r="BM17" s="93">
        <f t="shared" si="44"/>
        <v>87771</v>
      </c>
      <c r="BN17" s="92"/>
      <c r="BO17" s="94">
        <f t="shared" si="45"/>
        <v>0.15957300970508539</v>
      </c>
      <c r="BP17" s="94">
        <f t="shared" si="45"/>
        <v>0</v>
      </c>
      <c r="BQ17" s="94">
        <f t="shared" si="46"/>
        <v>0.28055836433603198</v>
      </c>
      <c r="BR17" s="94">
        <f t="shared" si="65"/>
        <v>0.56358285700386979</v>
      </c>
      <c r="BS17" s="94">
        <f t="shared" si="10"/>
        <v>0.14409926330944076</v>
      </c>
      <c r="BT17" s="94">
        <f t="shared" si="10"/>
        <v>6.3490715679629439E-2</v>
      </c>
      <c r="BU17" s="95">
        <f t="shared" si="10"/>
        <v>1.0070169087913075</v>
      </c>
      <c r="BV17" s="94">
        <f t="shared" si="11"/>
        <v>0.12429001213748465</v>
      </c>
      <c r="BW17" s="94">
        <f t="shared" si="11"/>
        <v>0</v>
      </c>
      <c r="BX17" s="94">
        <f t="shared" si="11"/>
        <v>0.21852443952172301</v>
      </c>
      <c r="BY17" s="94">
        <f t="shared" si="47"/>
        <v>0.43896972468557083</v>
      </c>
      <c r="BZ17" s="95">
        <f t="shared" si="12"/>
        <v>0.78435660295962384</v>
      </c>
      <c r="CA17" s="96" t="e">
        <f>#REF!</f>
        <v>#REF!</v>
      </c>
      <c r="CB17" s="94">
        <f t="shared" si="48"/>
        <v>2.4363855470150329E-2</v>
      </c>
      <c r="CC17" s="95">
        <f t="shared" si="48"/>
        <v>4.5455493893481094E-2</v>
      </c>
      <c r="CD17" s="97">
        <f t="shared" si="13"/>
        <v>5.5094720026872823E-2</v>
      </c>
      <c r="CE17" s="98">
        <f t="shared" si="13"/>
        <v>0.10278987711172448</v>
      </c>
      <c r="CF17" s="97">
        <f>IF($D17&lt;&gt;0,IF($D17&lt;&gt;0,AB17/$D17*10,0),"0,00")</f>
        <v>0.30344202898550726</v>
      </c>
      <c r="CG17" s="94">
        <f t="shared" si="49"/>
        <v>0.15172101449275363</v>
      </c>
      <c r="CH17" s="95">
        <f t="shared" si="50"/>
        <v>0.91485507246376818</v>
      </c>
      <c r="CI17" s="96" t="e">
        <f>#REF!</f>
        <v>#REF!</v>
      </c>
      <c r="CJ17" s="94" t="str">
        <f t="shared" si="51"/>
        <v>0,00</v>
      </c>
      <c r="CK17" s="94" t="str">
        <f t="shared" si="51"/>
        <v>0,00</v>
      </c>
      <c r="CL17" s="95" t="str">
        <f t="shared" si="66"/>
        <v xml:space="preserve">0,00 </v>
      </c>
      <c r="CM17" s="95" t="e">
        <f>#REF!</f>
        <v>#REF!</v>
      </c>
      <c r="CN17" s="94">
        <f t="shared" si="52"/>
        <v>0.51134136782284934</v>
      </c>
      <c r="CO17" s="94">
        <f t="shared" si="52"/>
        <v>5.9095140113667538E-2</v>
      </c>
      <c r="CP17" s="95">
        <f t="shared" si="53"/>
        <v>0.82978150107779736</v>
      </c>
      <c r="CQ17" s="95" t="e">
        <f>#REF!</f>
        <v>#REF!</v>
      </c>
      <c r="CR17" s="97">
        <f t="shared" si="67"/>
        <v>4.7472294103456658E-2</v>
      </c>
      <c r="CS17" s="95">
        <f t="shared" si="67"/>
        <v>0.11218962565672913</v>
      </c>
      <c r="CT17" s="96" t="e">
        <f>#REF!</f>
        <v>#REF!</v>
      </c>
      <c r="CU17" s="97">
        <f t="shared" si="68"/>
        <v>3.3812388961390591E-2</v>
      </c>
      <c r="CV17" s="95">
        <f t="shared" si="54"/>
        <v>4.3509526927683624E-2</v>
      </c>
      <c r="CW17" s="96" t="e">
        <f>#REF!</f>
        <v>#REF!</v>
      </c>
      <c r="CX17" s="97">
        <f t="shared" si="55"/>
        <v>0.26100902548871774</v>
      </c>
      <c r="CY17" s="98">
        <f t="shared" si="55"/>
        <v>9.0392736099988834E-3</v>
      </c>
      <c r="CZ17" s="97">
        <f t="shared" si="55"/>
        <v>0.11110773812290295</v>
      </c>
      <c r="DA17" s="98">
        <f t="shared" si="55"/>
        <v>1.5065456016664806E-2</v>
      </c>
      <c r="DB17" s="94">
        <f t="shared" si="14"/>
        <v>0.17664247179539486</v>
      </c>
      <c r="DC17" s="94">
        <f t="shared" si="15"/>
        <v>5.6457796422460134E-2</v>
      </c>
      <c r="DD17" s="94">
        <f t="shared" si="15"/>
        <v>0</v>
      </c>
      <c r="DE17" s="94">
        <f t="shared" si="15"/>
        <v>0.11261428372456943</v>
      </c>
      <c r="DF17" s="94">
        <f t="shared" si="15"/>
        <v>0</v>
      </c>
      <c r="DG17" s="94">
        <f t="shared" si="15"/>
        <v>0</v>
      </c>
      <c r="DH17" s="95">
        <f t="shared" si="15"/>
        <v>0.3457145519424244</v>
      </c>
      <c r="DI17" s="96" t="e">
        <f>#REF!</f>
        <v>#REF!</v>
      </c>
      <c r="DJ17" s="95">
        <f t="shared" si="56"/>
        <v>-0.3382194875741249</v>
      </c>
      <c r="DK17" s="96" t="e">
        <f>#REF!</f>
        <v>#REF!</v>
      </c>
      <c r="DL17" s="95">
        <f t="shared" si="57"/>
        <v>1.0692262976875269</v>
      </c>
      <c r="DM17" s="96">
        <f t="shared" si="16"/>
        <v>0</v>
      </c>
      <c r="DN17" s="94">
        <f t="shared" si="17"/>
        <v>1.8628880795558611</v>
      </c>
      <c r="DO17" s="100">
        <v>3.4</v>
      </c>
      <c r="DP17" s="94">
        <f>IF($O17&lt;&gt;0,IF($O17&lt;&gt;0,BL17/$O17*10,0)," ")</f>
        <v>2.5938948896692633</v>
      </c>
      <c r="DQ17" s="94">
        <f>IF($P17&lt;&gt;0,IF($P17&lt;&gt;0,BM17/$P17*10,0)," ")</f>
        <v>3.2070311176616895</v>
      </c>
      <c r="DR17" s="101">
        <f t="shared" si="18"/>
        <v>3.07</v>
      </c>
      <c r="DS17" s="147"/>
      <c r="DT17" s="134">
        <v>12</v>
      </c>
      <c r="DU17" s="135">
        <v>641481</v>
      </c>
      <c r="DV17" s="135">
        <v>30950</v>
      </c>
      <c r="DW17" s="330">
        <v>5160410</v>
      </c>
      <c r="DX17" s="330">
        <v>125663</v>
      </c>
      <c r="DY17" s="330">
        <v>90912.3</v>
      </c>
      <c r="DZ17" s="330">
        <v>412281</v>
      </c>
      <c r="EA17" s="330">
        <v>247815</v>
      </c>
      <c r="EB17" s="330">
        <v>57037.4</v>
      </c>
      <c r="EC17" s="330">
        <v>428827</v>
      </c>
      <c r="ED17" s="183">
        <v>49016.2</v>
      </c>
      <c r="EE17" s="330">
        <v>42025.5</v>
      </c>
      <c r="EF17" s="330">
        <v>43861.5</v>
      </c>
      <c r="EG17" s="330">
        <v>96360.5</v>
      </c>
      <c r="EH17" s="330">
        <v>189308.1</v>
      </c>
      <c r="EI17" s="330">
        <v>35947</v>
      </c>
      <c r="EJ17" s="330">
        <v>44487</v>
      </c>
      <c r="EK17" s="330"/>
      <c r="EL17" s="330">
        <v>729673.5</v>
      </c>
      <c r="EM17" s="330">
        <v>5802</v>
      </c>
      <c r="EN17" s="330">
        <v>49691.199999999997</v>
      </c>
      <c r="EO17" s="330">
        <v>3167289.6</v>
      </c>
      <c r="EP17" s="330">
        <v>2871723</v>
      </c>
      <c r="EQ17" s="330">
        <v>2980</v>
      </c>
      <c r="ER17" s="330">
        <v>1313</v>
      </c>
      <c r="ES17" s="330">
        <v>448120</v>
      </c>
      <c r="ET17" s="105">
        <v>1324609</v>
      </c>
      <c r="EU17" s="136">
        <v>169823</v>
      </c>
      <c r="EV17" s="136">
        <v>477842</v>
      </c>
      <c r="EW17" s="330">
        <v>152763</v>
      </c>
      <c r="EX17" s="330">
        <v>227101.2</v>
      </c>
      <c r="EY17" s="330">
        <v>1745466.9</v>
      </c>
      <c r="EZ17" s="330">
        <v>849466</v>
      </c>
      <c r="FA17" s="104">
        <v>776043</v>
      </c>
      <c r="FB17" s="104">
        <v>31810.6</v>
      </c>
      <c r="FC17" s="104">
        <v>7785</v>
      </c>
      <c r="FD17" s="77">
        <f t="shared" si="72"/>
        <v>5387</v>
      </c>
      <c r="FE17" s="129">
        <v>799</v>
      </c>
      <c r="FF17" s="136">
        <v>0</v>
      </c>
      <c r="FG17" s="105">
        <v>438</v>
      </c>
      <c r="FH17" s="136">
        <v>1322</v>
      </c>
      <c r="FI17" s="136">
        <v>604</v>
      </c>
      <c r="FJ17" s="105">
        <v>602</v>
      </c>
      <c r="FK17" s="136">
        <v>778</v>
      </c>
      <c r="FL17" s="136">
        <v>205</v>
      </c>
      <c r="FM17" s="136">
        <v>639</v>
      </c>
      <c r="FN17" s="80">
        <v>1500</v>
      </c>
      <c r="FO17" s="303"/>
      <c r="FP17" s="484"/>
      <c r="FY17" s="119">
        <v>12</v>
      </c>
      <c r="FZ17" s="107"/>
      <c r="GA17" s="107"/>
      <c r="GB17" s="107"/>
      <c r="GC17" s="109"/>
      <c r="GD17" s="110"/>
      <c r="GE17" s="110"/>
      <c r="GF17" s="111"/>
      <c r="GG17" s="111"/>
      <c r="GH17" s="111"/>
      <c r="GI17" s="112"/>
      <c r="GJ17" s="111" t="e">
        <f t="shared" si="58"/>
        <v>#DIV/0!</v>
      </c>
      <c r="GK17" s="113"/>
    </row>
    <row r="18" spans="1:193" s="119" customFormat="1" ht="15" customHeight="1">
      <c r="B18" s="351">
        <v>43052</v>
      </c>
      <c r="D18" s="154">
        <v>4710</v>
      </c>
      <c r="E18" s="128">
        <v>0</v>
      </c>
      <c r="F18" s="128">
        <v>2716.4159999999997</v>
      </c>
      <c r="G18" s="86">
        <v>4294.25</v>
      </c>
      <c r="H18" s="86">
        <v>6947.1980000000003</v>
      </c>
      <c r="I18" s="86">
        <v>1659.8720000000001</v>
      </c>
      <c r="J18" s="86">
        <v>6796.9440000000004</v>
      </c>
      <c r="K18" s="86">
        <v>5.7279999999999998</v>
      </c>
      <c r="L18" s="86">
        <v>0</v>
      </c>
      <c r="M18" s="115">
        <f t="shared" si="59"/>
        <v>8456.8160000000007</v>
      </c>
      <c r="N18" s="88">
        <f t="shared" si="19"/>
        <v>18667.864000000001</v>
      </c>
      <c r="O18" s="88">
        <f>(N18+L18+((J18+I18)*0.5))</f>
        <v>22896.272000000001</v>
      </c>
      <c r="P18" s="89">
        <f t="shared" si="20"/>
        <v>296579.304</v>
      </c>
      <c r="R18" s="170">
        <f t="shared" si="21"/>
        <v>271.90000000002328</v>
      </c>
      <c r="S18" s="170">
        <f t="shared" si="22"/>
        <v>0</v>
      </c>
      <c r="T18" s="170">
        <v>0</v>
      </c>
      <c r="U18" s="170">
        <f t="shared" si="71"/>
        <v>5.5700000000004364</v>
      </c>
      <c r="V18" s="170">
        <f t="shared" si="23"/>
        <v>917.6999999997206</v>
      </c>
      <c r="W18" s="170">
        <f t="shared" si="2"/>
        <v>81.400000000000006</v>
      </c>
      <c r="X18" s="170">
        <f t="shared" si="24"/>
        <v>917.6999999997206</v>
      </c>
      <c r="Y18" s="170">
        <f t="shared" si="25"/>
        <v>76.900000000000006</v>
      </c>
      <c r="Z18" s="170">
        <f t="shared" si="3"/>
        <v>140.69999999999999</v>
      </c>
      <c r="AA18" s="501">
        <f t="shared" si="26"/>
        <v>1195.1699999997443</v>
      </c>
      <c r="AB18" s="170">
        <f t="shared" si="27"/>
        <v>178</v>
      </c>
      <c r="AC18" s="170">
        <f t="shared" si="27"/>
        <v>89</v>
      </c>
      <c r="AD18" s="501">
        <f t="shared" si="4"/>
        <v>490</v>
      </c>
      <c r="AE18" s="501">
        <f t="shared" si="28"/>
        <v>223</v>
      </c>
      <c r="AF18" s="170">
        <f t="shared" si="29"/>
        <v>21</v>
      </c>
      <c r="AG18" s="170">
        <f t="shared" si="29"/>
        <v>58.80000000000291</v>
      </c>
      <c r="AH18" s="501">
        <f t="shared" si="5"/>
        <v>211</v>
      </c>
      <c r="AI18" s="501">
        <f t="shared" si="30"/>
        <v>131.19999999999709</v>
      </c>
      <c r="AJ18" s="170">
        <f t="shared" si="31"/>
        <v>163</v>
      </c>
      <c r="AK18" s="170">
        <f t="shared" si="31"/>
        <v>18.69999999999709</v>
      </c>
      <c r="AL18" s="501">
        <f t="shared" si="6"/>
        <v>273</v>
      </c>
      <c r="AM18" s="501">
        <f t="shared" si="32"/>
        <v>91.30000000000291</v>
      </c>
      <c r="AN18" s="170">
        <f t="shared" si="33"/>
        <v>1.1000000000058208</v>
      </c>
      <c r="AO18" s="501">
        <f t="shared" si="7"/>
        <v>37.700000000004366</v>
      </c>
      <c r="AP18" s="170">
        <f t="shared" si="34"/>
        <v>25.19999999999709</v>
      </c>
      <c r="AQ18" s="501">
        <f>IF(AP18=0.1,0,(IF(AP18&gt;=(EH18-EH17),(AP18),(EH18-EH17))))</f>
        <v>40.899999999994179</v>
      </c>
      <c r="AR18" s="170">
        <f t="shared" si="35"/>
        <v>44.881</v>
      </c>
      <c r="AS18" s="501">
        <f t="shared" si="36"/>
        <v>82.881000000000085</v>
      </c>
      <c r="AT18" s="501">
        <f t="shared" si="37"/>
        <v>1090.8810000000001</v>
      </c>
      <c r="AU18" s="170">
        <f t="shared" si="60"/>
        <v>700</v>
      </c>
      <c r="AV18" s="501">
        <f t="shared" si="61"/>
        <v>11</v>
      </c>
      <c r="AW18" s="170">
        <f t="shared" si="62"/>
        <v>308</v>
      </c>
      <c r="AX18" s="501">
        <f t="shared" si="63"/>
        <v>4</v>
      </c>
      <c r="AY18" s="501" t="str">
        <f t="shared" si="63"/>
        <v/>
      </c>
      <c r="AZ18" s="170">
        <f t="shared" si="38"/>
        <v>342</v>
      </c>
      <c r="BA18" s="170">
        <v>129</v>
      </c>
      <c r="BB18" s="170">
        <f t="shared" si="39"/>
        <v>138.39999999999418</v>
      </c>
      <c r="BC18" s="170">
        <f t="shared" si="39"/>
        <v>0</v>
      </c>
      <c r="BD18" s="170">
        <f t="shared" si="40"/>
        <v>97</v>
      </c>
      <c r="BE18" s="90"/>
      <c r="BF18" s="90"/>
      <c r="BG18" s="501">
        <f t="shared" si="41"/>
        <v>577.39999999999418</v>
      </c>
      <c r="BH18" s="501">
        <f t="shared" si="42"/>
        <v>1016</v>
      </c>
      <c r="BI18" s="90">
        <f t="shared" si="9"/>
        <v>2584.9490000002625</v>
      </c>
      <c r="BJ18" s="90">
        <f t="shared" si="43"/>
        <v>3931.0509999997375</v>
      </c>
      <c r="BK18" s="92"/>
      <c r="BL18" s="93">
        <f t="shared" si="64"/>
        <v>7532</v>
      </c>
      <c r="BM18" s="93">
        <f t="shared" si="44"/>
        <v>95303</v>
      </c>
      <c r="BN18" s="92"/>
      <c r="BO18" s="94">
        <f t="shared" si="45"/>
        <v>0.14565137179059331</v>
      </c>
      <c r="BP18" s="94">
        <f t="shared" si="45"/>
        <v>0</v>
      </c>
      <c r="BQ18" s="94">
        <f t="shared" si="46"/>
        <v>0</v>
      </c>
      <c r="BR18" s="94">
        <f t="shared" si="65"/>
        <v>0.49159346779027341</v>
      </c>
      <c r="BS18" s="94">
        <f t="shared" si="10"/>
        <v>4.1193786284279763E-2</v>
      </c>
      <c r="BT18" s="94">
        <f t="shared" si="10"/>
        <v>7.5370165542238785E-2</v>
      </c>
      <c r="BU18" s="95">
        <f t="shared" si="10"/>
        <v>0.64022857676686751</v>
      </c>
      <c r="BV18" s="94">
        <f t="shared" si="11"/>
        <v>0.11875295681324159</v>
      </c>
      <c r="BW18" s="94">
        <f t="shared" si="11"/>
        <v>0</v>
      </c>
      <c r="BX18" s="94">
        <f t="shared" si="11"/>
        <v>0</v>
      </c>
      <c r="BY18" s="94">
        <f t="shared" si="47"/>
        <v>0.40080760745667265</v>
      </c>
      <c r="BZ18" s="95">
        <f t="shared" si="12"/>
        <v>0.52199327471290702</v>
      </c>
      <c r="CA18" s="96" t="e">
        <f>#REF!</f>
        <v>#REF!</v>
      </c>
      <c r="CB18" s="94">
        <f t="shared" si="48"/>
        <v>1.9601881039847883E-2</v>
      </c>
      <c r="CC18" s="95">
        <f t="shared" si="48"/>
        <v>3.6198469340336319E-2</v>
      </c>
      <c r="CD18" s="97">
        <f t="shared" si="13"/>
        <v>5.3070801114745783E-2</v>
      </c>
      <c r="CE18" s="98">
        <f t="shared" si="13"/>
        <v>9.8004970192091298E-2</v>
      </c>
      <c r="CF18" s="97">
        <f t="shared" si="49"/>
        <v>0.3779193205944798</v>
      </c>
      <c r="CG18" s="94">
        <f t="shared" si="49"/>
        <v>0.1889596602972399</v>
      </c>
      <c r="CH18" s="95">
        <f t="shared" si="50"/>
        <v>1.0403397027600849</v>
      </c>
      <c r="CI18" s="96" t="e">
        <f>#REF!</f>
        <v>#REF!</v>
      </c>
      <c r="CJ18" s="94" t="str">
        <f t="shared" si="51"/>
        <v>0,00</v>
      </c>
      <c r="CK18" s="94" t="str">
        <f t="shared" si="51"/>
        <v>0,00</v>
      </c>
      <c r="CL18" s="95" t="str">
        <f t="shared" si="66"/>
        <v xml:space="preserve">0,00 </v>
      </c>
      <c r="CM18" s="95" t="e">
        <f>#REF!</f>
        <v>#REF!</v>
      </c>
      <c r="CN18" s="94">
        <f t="shared" si="52"/>
        <v>0.60005536707190654</v>
      </c>
      <c r="CO18" s="94">
        <f t="shared" si="52"/>
        <v>6.8840707756091454E-2</v>
      </c>
      <c r="CP18" s="95">
        <f t="shared" si="53"/>
        <v>1.0050007068136839</v>
      </c>
      <c r="CQ18" s="95" t="e">
        <f>#REF!</f>
        <v>#REF!</v>
      </c>
      <c r="CR18" s="97">
        <f t="shared" si="67"/>
        <v>2.5615648832877005E-3</v>
      </c>
      <c r="CS18" s="95">
        <f t="shared" si="67"/>
        <v>8.779181463586043E-2</v>
      </c>
      <c r="CT18" s="96" t="e">
        <f>#REF!</f>
        <v>#REF!</v>
      </c>
      <c r="CU18" s="97">
        <f t="shared" si="68"/>
        <v>3.6273617075541949E-2</v>
      </c>
      <c r="CV18" s="95">
        <f t="shared" si="54"/>
        <v>5.8872656285302617E-2</v>
      </c>
      <c r="CW18" s="96" t="e">
        <f>#REF!</f>
        <v>#REF!</v>
      </c>
      <c r="CX18" s="97">
        <f t="shared" si="55"/>
        <v>0.30572662658794408</v>
      </c>
      <c r="CY18" s="98">
        <f t="shared" si="55"/>
        <v>4.804275560667693E-3</v>
      </c>
      <c r="CZ18" s="97">
        <f t="shared" si="55"/>
        <v>0.13451971569869542</v>
      </c>
      <c r="DA18" s="98">
        <f t="shared" si="55"/>
        <v>1.7470092947882519E-3</v>
      </c>
      <c r="DB18" s="94">
        <f t="shared" si="14"/>
        <v>0.14936929470439553</v>
      </c>
      <c r="DC18" s="94">
        <f t="shared" si="15"/>
        <v>6.0446521599670969E-2</v>
      </c>
      <c r="DD18" s="94">
        <f t="shared" si="15"/>
        <v>0</v>
      </c>
      <c r="DE18" s="94">
        <f t="shared" si="15"/>
        <v>4.2364975398615112E-2</v>
      </c>
      <c r="DF18" s="94">
        <f t="shared" si="15"/>
        <v>0</v>
      </c>
      <c r="DG18" s="94">
        <f t="shared" si="15"/>
        <v>0</v>
      </c>
      <c r="DH18" s="95">
        <f t="shared" si="15"/>
        <v>0.25218079170268159</v>
      </c>
      <c r="DI18" s="96" t="e">
        <f>#REF!</f>
        <v>#REF!</v>
      </c>
      <c r="DJ18" s="95">
        <f t="shared" si="56"/>
        <v>0.44374036087621593</v>
      </c>
      <c r="DK18" s="96" t="e">
        <f>#REF!</f>
        <v>#REF!</v>
      </c>
      <c r="DL18" s="95">
        <f t="shared" si="57"/>
        <v>1.128982482388514</v>
      </c>
      <c r="DM18" s="96">
        <f t="shared" si="16"/>
        <v>0</v>
      </c>
      <c r="DN18" s="94">
        <f t="shared" si="17"/>
        <v>1.7168956588215485</v>
      </c>
      <c r="DO18" s="100">
        <v>3.4</v>
      </c>
      <c r="DP18" s="94">
        <f>IF($O18&lt;&gt;0,IF($O18&lt;&gt;0,BL18/$O18*10,0)," ")</f>
        <v>3.2896185020862783</v>
      </c>
      <c r="DQ18" s="94">
        <f t="shared" si="70"/>
        <v>3.2134069611276717</v>
      </c>
      <c r="DR18" s="101">
        <f t="shared" si="18"/>
        <v>3.07</v>
      </c>
      <c r="DS18" s="147"/>
      <c r="DT18" s="134">
        <v>13</v>
      </c>
      <c r="DU18" s="361">
        <v>641659</v>
      </c>
      <c r="DV18" s="361">
        <v>31039</v>
      </c>
      <c r="DW18" s="361">
        <v>5160722</v>
      </c>
      <c r="DX18" s="400">
        <v>125684</v>
      </c>
      <c r="DY18" s="361">
        <v>90971.1</v>
      </c>
      <c r="DZ18" s="361">
        <v>412471</v>
      </c>
      <c r="EA18" s="303">
        <v>247978</v>
      </c>
      <c r="EB18" s="303">
        <v>57056.1</v>
      </c>
      <c r="EC18" s="303">
        <v>428937</v>
      </c>
      <c r="ED18" s="303">
        <v>49017.3</v>
      </c>
      <c r="EE18" s="303">
        <v>42052.800000000003</v>
      </c>
      <c r="EF18" s="330">
        <v>43871.9</v>
      </c>
      <c r="EG18" s="303">
        <v>96385.7</v>
      </c>
      <c r="EH18" s="361">
        <v>189349</v>
      </c>
      <c r="EI18" s="361">
        <v>35958</v>
      </c>
      <c r="EJ18" s="303">
        <v>44491</v>
      </c>
      <c r="EK18" s="303"/>
      <c r="EL18" s="361">
        <v>729945.4</v>
      </c>
      <c r="EM18" s="303">
        <v>0</v>
      </c>
      <c r="EN18" s="303">
        <v>49746.9</v>
      </c>
      <c r="EO18" s="361">
        <v>3168207.3</v>
      </c>
      <c r="EP18" s="303">
        <v>2872537</v>
      </c>
      <c r="EQ18" s="303">
        <v>769</v>
      </c>
      <c r="ER18" s="303">
        <v>1407</v>
      </c>
      <c r="ES18" s="303">
        <v>449166</v>
      </c>
      <c r="ET18" s="303">
        <v>1369490</v>
      </c>
      <c r="EU18" s="136">
        <v>170131</v>
      </c>
      <c r="EV18" s="136">
        <v>478542</v>
      </c>
      <c r="EW18" s="303">
        <v>153105</v>
      </c>
      <c r="EX18" s="303">
        <v>227239.6</v>
      </c>
      <c r="EY18" s="330">
        <v>1745466.9</v>
      </c>
      <c r="EZ18" s="303">
        <v>849466</v>
      </c>
      <c r="FA18" s="383">
        <v>776140</v>
      </c>
      <c r="FB18" s="303">
        <v>31946</v>
      </c>
      <c r="FC18" s="303">
        <v>6516</v>
      </c>
      <c r="FD18" s="77">
        <f t="shared" si="72"/>
        <v>6032</v>
      </c>
      <c r="FE18" s="129">
        <v>812</v>
      </c>
      <c r="FF18" s="144">
        <v>0</v>
      </c>
      <c r="FG18" s="105">
        <v>798</v>
      </c>
      <c r="FH18" s="136">
        <v>1516</v>
      </c>
      <c r="FI18" s="136">
        <v>599</v>
      </c>
      <c r="FJ18" s="105">
        <v>598</v>
      </c>
      <c r="FK18" s="136">
        <v>777</v>
      </c>
      <c r="FL18" s="136">
        <v>234</v>
      </c>
      <c r="FM18" s="136">
        <v>698</v>
      </c>
      <c r="FN18" s="80">
        <v>1500</v>
      </c>
      <c r="FO18" s="303"/>
      <c r="FP18" s="485"/>
      <c r="FY18" s="119">
        <v>13</v>
      </c>
      <c r="FZ18" s="107"/>
      <c r="GA18" s="107"/>
      <c r="GB18" s="107"/>
      <c r="GC18" s="109"/>
      <c r="GD18" s="110"/>
      <c r="GE18" s="110"/>
      <c r="GF18" s="111"/>
      <c r="GG18" s="111"/>
      <c r="GH18" s="111"/>
      <c r="GI18" s="112"/>
      <c r="GJ18" s="111" t="e">
        <f t="shared" si="58"/>
        <v>#DIV/0!</v>
      </c>
      <c r="GK18" s="113"/>
    </row>
    <row r="19" spans="1:193" s="119" customFormat="1" ht="15" customHeight="1">
      <c r="A19" s="119">
        <v>0</v>
      </c>
      <c r="B19" s="351">
        <v>43053</v>
      </c>
      <c r="D19" s="157">
        <v>5105.76</v>
      </c>
      <c r="E19" s="128">
        <v>0</v>
      </c>
      <c r="F19" s="128">
        <v>2506.9679999999998</v>
      </c>
      <c r="G19" s="86">
        <v>5266.51</v>
      </c>
      <c r="H19" s="86">
        <v>3485.6320000000001</v>
      </c>
      <c r="I19" s="86">
        <v>2932.2779999999998</v>
      </c>
      <c r="J19" s="86">
        <v>7023.8519999999999</v>
      </c>
      <c r="K19" s="86">
        <v>11.25</v>
      </c>
      <c r="L19" s="86">
        <v>0</v>
      </c>
      <c r="M19" s="115">
        <f t="shared" si="59"/>
        <v>9956.1299999999992</v>
      </c>
      <c r="N19" s="88">
        <f t="shared" si="19"/>
        <v>16364.87</v>
      </c>
      <c r="O19" s="88">
        <f>(N19+L19+((J19+I19)*0.5))-1068</f>
        <v>20274.935000000001</v>
      </c>
      <c r="P19" s="89">
        <f t="shared" si="20"/>
        <v>316854.239</v>
      </c>
      <c r="R19" s="170">
        <f t="shared" si="21"/>
        <v>208.40000000002328</v>
      </c>
      <c r="S19" s="170">
        <f t="shared" si="22"/>
        <v>0</v>
      </c>
      <c r="T19" s="170">
        <f t="shared" si="1"/>
        <v>367.4</v>
      </c>
      <c r="U19" s="170" t="str">
        <f t="shared" si="71"/>
        <v/>
      </c>
      <c r="V19" s="170">
        <f t="shared" si="23"/>
        <v>1078.7000000001863</v>
      </c>
      <c r="W19" s="170">
        <f t="shared" si="2"/>
        <v>95.3</v>
      </c>
      <c r="X19" s="170">
        <f t="shared" si="24"/>
        <v>1078.7000000001863</v>
      </c>
      <c r="Y19" s="170" t="str">
        <f t="shared" si="25"/>
        <v>0</v>
      </c>
      <c r="Z19" s="170">
        <f t="shared" si="3"/>
        <v>48</v>
      </c>
      <c r="AA19" s="501">
        <f t="shared" si="26"/>
        <v>1654.5000000002096</v>
      </c>
      <c r="AB19" s="170">
        <f t="shared" si="27"/>
        <v>175</v>
      </c>
      <c r="AC19" s="170">
        <f t="shared" si="27"/>
        <v>86</v>
      </c>
      <c r="AD19" s="501">
        <f t="shared" si="4"/>
        <v>465</v>
      </c>
      <c r="AE19" s="501">
        <f t="shared" si="28"/>
        <v>204</v>
      </c>
      <c r="AF19" s="170">
        <f t="shared" si="29"/>
        <v>16</v>
      </c>
      <c r="AG19" s="170">
        <f t="shared" si="29"/>
        <v>52.679999999993015</v>
      </c>
      <c r="AH19" s="501">
        <f t="shared" si="5"/>
        <v>120</v>
      </c>
      <c r="AI19" s="501">
        <f t="shared" si="30"/>
        <v>51.320000000006985</v>
      </c>
      <c r="AJ19" s="170">
        <f t="shared" si="31"/>
        <v>150</v>
      </c>
      <c r="AK19" s="170">
        <f t="shared" si="31"/>
        <v>28.400000000001455</v>
      </c>
      <c r="AL19" s="501">
        <f t="shared" si="6"/>
        <v>278</v>
      </c>
      <c r="AM19" s="501">
        <f t="shared" si="32"/>
        <v>99.599999999998545</v>
      </c>
      <c r="AN19" s="170">
        <f t="shared" si="33"/>
        <v>35.899999999994179</v>
      </c>
      <c r="AO19" s="501">
        <f t="shared" si="7"/>
        <v>63.799999999995634</v>
      </c>
      <c r="AP19" s="170">
        <f t="shared" si="34"/>
        <v>84.30000000000291</v>
      </c>
      <c r="AQ19" s="501">
        <f>IF(AP19=0.1,0,(IF(AP19&gt;=(EH19-EH18),(AP19),(EH19-EH18))))</f>
        <v>133.89999999999418</v>
      </c>
      <c r="AR19" s="170">
        <f t="shared" si="35"/>
        <v>72.375</v>
      </c>
      <c r="AS19" s="501">
        <f t="shared" si="36"/>
        <v>-23.625</v>
      </c>
      <c r="AT19" s="501">
        <f t="shared" si="37"/>
        <v>901.375</v>
      </c>
      <c r="AU19" s="170">
        <f t="shared" si="60"/>
        <v>598</v>
      </c>
      <c r="AV19" s="501">
        <f t="shared" si="61"/>
        <v>18</v>
      </c>
      <c r="AW19" s="170">
        <f t="shared" si="62"/>
        <v>327</v>
      </c>
      <c r="AX19" s="501">
        <f t="shared" si="63"/>
        <v>71</v>
      </c>
      <c r="AY19" s="501" t="str">
        <f t="shared" si="63"/>
        <v/>
      </c>
      <c r="AZ19" s="170">
        <f t="shared" si="38"/>
        <v>343</v>
      </c>
      <c r="BA19" s="170">
        <v>59.1</v>
      </c>
      <c r="BB19" s="170">
        <f t="shared" si="39"/>
        <v>161.89999999999418</v>
      </c>
      <c r="BC19" s="170">
        <f t="shared" si="39"/>
        <v>4115.3000000000466</v>
      </c>
      <c r="BD19" s="170">
        <f t="shared" si="40"/>
        <v>0</v>
      </c>
      <c r="BE19" s="90"/>
      <c r="BF19" s="90"/>
      <c r="BG19" s="501">
        <f t="shared" si="41"/>
        <v>4620.2000000000407</v>
      </c>
      <c r="BH19" s="501">
        <f t="shared" si="42"/>
        <v>2503</v>
      </c>
      <c r="BI19" s="90">
        <f t="shared" si="9"/>
        <v>-3222.7750000002397</v>
      </c>
      <c r="BJ19" s="90">
        <f t="shared" si="43"/>
        <v>8325.7750000002397</v>
      </c>
      <c r="BK19" s="92"/>
      <c r="BL19" s="331">
        <f t="shared" si="64"/>
        <v>7606</v>
      </c>
      <c r="BM19" s="93">
        <f t="shared" si="44"/>
        <v>102909</v>
      </c>
      <c r="BN19" s="92"/>
      <c r="BO19" s="94">
        <f t="shared" si="45"/>
        <v>0.12734595508551139</v>
      </c>
      <c r="BP19" s="94">
        <f t="shared" si="45"/>
        <v>0</v>
      </c>
      <c r="BQ19" s="94">
        <f t="shared" si="46"/>
        <v>0.22450529701733041</v>
      </c>
      <c r="BR19" s="94">
        <f t="shared" si="65"/>
        <v>0.65915586252758884</v>
      </c>
      <c r="BS19" s="94">
        <f t="shared" si="10"/>
        <v>0</v>
      </c>
      <c r="BT19" s="94">
        <f t="shared" si="10"/>
        <v>2.9331122092628902E-2</v>
      </c>
      <c r="BU19" s="95">
        <f t="shared" si="10"/>
        <v>1.0110071146304307</v>
      </c>
      <c r="BV19" s="94">
        <f t="shared" si="11"/>
        <v>0.10278701263408405</v>
      </c>
      <c r="BW19" s="94">
        <f t="shared" si="11"/>
        <v>0</v>
      </c>
      <c r="BX19" s="94">
        <f t="shared" si="11"/>
        <v>0.18120896565143119</v>
      </c>
      <c r="BY19" s="94">
        <f t="shared" si="47"/>
        <v>0.53203623094238583</v>
      </c>
      <c r="BZ19" s="95">
        <f t="shared" si="12"/>
        <v>0.8160322092279011</v>
      </c>
      <c r="CA19" s="96" t="e">
        <f>#REF!</f>
        <v>#REF!</v>
      </c>
      <c r="CB19" s="94">
        <f t="shared" si="48"/>
        <v>3.5696785217807107E-2</v>
      </c>
      <c r="CC19" s="95">
        <f t="shared" si="48"/>
        <v>-1.1652318490786778E-2</v>
      </c>
      <c r="CD19" s="97">
        <f t="shared" si="13"/>
        <v>7.2693908175164454E-2</v>
      </c>
      <c r="CE19" s="98">
        <f t="shared" si="13"/>
        <v>-2.3729099559768707E-2</v>
      </c>
      <c r="CF19" s="97">
        <f t="shared" si="49"/>
        <v>0.34275014885149324</v>
      </c>
      <c r="CG19" s="94">
        <f t="shared" si="49"/>
        <v>0.16843721600701952</v>
      </c>
      <c r="CH19" s="95">
        <f t="shared" si="50"/>
        <v>0.91073610980539621</v>
      </c>
      <c r="CI19" s="96" t="e">
        <f>#REF!</f>
        <v>#REF!</v>
      </c>
      <c r="CJ19" s="94" t="str">
        <f t="shared" si="51"/>
        <v>0,00</v>
      </c>
      <c r="CK19" s="94" t="str">
        <f t="shared" si="51"/>
        <v>0,00</v>
      </c>
      <c r="CL19" s="95" t="str">
        <f t="shared" si="66"/>
        <v xml:space="preserve">0,00 </v>
      </c>
      <c r="CM19" s="95" t="e">
        <f>#REF!</f>
        <v>#REF!</v>
      </c>
      <c r="CN19" s="94">
        <f t="shared" si="52"/>
        <v>0.59833232813502213</v>
      </c>
      <c r="CO19" s="94">
        <f t="shared" si="52"/>
        <v>0.11328425412690332</v>
      </c>
      <c r="CP19" s="95">
        <f t="shared" si="53"/>
        <v>1.1089092481435743</v>
      </c>
      <c r="CQ19" s="95" t="e">
        <f>#REF!</f>
        <v>#REF!</v>
      </c>
      <c r="CR19" s="97">
        <f t="shared" si="67"/>
        <v>6.8166584702192112E-2</v>
      </c>
      <c r="CS19" s="95">
        <f t="shared" si="67"/>
        <v>0.12114284412257004</v>
      </c>
      <c r="CT19" s="96" t="e">
        <f>#REF!</f>
        <v>#REF!</v>
      </c>
      <c r="CU19" s="97">
        <f t="shared" si="68"/>
        <v>0.24184997154032012</v>
      </c>
      <c r="CV19" s="95">
        <f t="shared" si="54"/>
        <v>0.38414841268382371</v>
      </c>
      <c r="CW19" s="96" t="e">
        <f>#REF!</f>
        <v>#REF!</v>
      </c>
      <c r="CX19" s="97">
        <f t="shared" si="55"/>
        <v>0.2949454585181161</v>
      </c>
      <c r="CY19" s="98">
        <f t="shared" si="55"/>
        <v>8.8779569453613528E-3</v>
      </c>
      <c r="CZ19" s="97">
        <f t="shared" si="55"/>
        <v>0.16128288450739792</v>
      </c>
      <c r="DA19" s="98">
        <f t="shared" si="55"/>
        <v>3.5018607951147557E-2</v>
      </c>
      <c r="DB19" s="94">
        <f t="shared" si="14"/>
        <v>0.16917440179216356</v>
      </c>
      <c r="DC19" s="94">
        <f t="shared" si="15"/>
        <v>7.9852290525219527E-2</v>
      </c>
      <c r="DD19" s="94">
        <f t="shared" si="15"/>
        <v>2.0297475676247774</v>
      </c>
      <c r="DE19" s="94">
        <f t="shared" si="15"/>
        <v>0</v>
      </c>
      <c r="DF19" s="94">
        <f t="shared" si="15"/>
        <v>0</v>
      </c>
      <c r="DG19" s="94">
        <f t="shared" si="15"/>
        <v>0</v>
      </c>
      <c r="DH19" s="95">
        <f t="shared" si="15"/>
        <v>2.2787742599421605</v>
      </c>
      <c r="DI19" s="96" t="e">
        <f>#REF!</f>
        <v>#REF!</v>
      </c>
      <c r="DJ19" s="95">
        <f t="shared" si="56"/>
        <v>1.2345292352355259</v>
      </c>
      <c r="DK19" s="96" t="e">
        <f>#REF!</f>
        <v>#REF!</v>
      </c>
      <c r="DL19" s="95">
        <f t="shared" si="57"/>
        <v>-1.5895365385882811</v>
      </c>
      <c r="DM19" s="96">
        <f t="shared" si="16"/>
        <v>0</v>
      </c>
      <c r="DN19" s="94">
        <f t="shared" si="17"/>
        <v>4.1064373325982251</v>
      </c>
      <c r="DO19" s="100">
        <v>3.4</v>
      </c>
      <c r="DP19" s="94">
        <f>IF($O19&lt;&gt;0,IF($O19&lt;&gt;0,BL19/$O19*10,0)," ")</f>
        <v>3.7514300292454692</v>
      </c>
      <c r="DQ19" s="94">
        <f t="shared" si="70"/>
        <v>3.2478340932027105</v>
      </c>
      <c r="DR19" s="101">
        <f t="shared" si="18"/>
        <v>3.07</v>
      </c>
      <c r="DS19" s="147"/>
      <c r="DT19" s="103">
        <v>14</v>
      </c>
      <c r="DU19" s="361">
        <v>641834</v>
      </c>
      <c r="DV19" s="361">
        <v>31125</v>
      </c>
      <c r="DW19" s="361">
        <v>5161012</v>
      </c>
      <c r="DX19" s="360">
        <v>125700</v>
      </c>
      <c r="DY19" s="361">
        <v>91023.78</v>
      </c>
      <c r="DZ19" s="361">
        <v>412575</v>
      </c>
      <c r="EA19" s="361">
        <v>248128</v>
      </c>
      <c r="EB19" s="303">
        <v>57084.5</v>
      </c>
      <c r="EC19" s="361">
        <v>429065</v>
      </c>
      <c r="ED19" s="361">
        <v>49053.2</v>
      </c>
      <c r="EE19" s="405">
        <v>42083.1</v>
      </c>
      <c r="EF19" s="405">
        <v>43905.4</v>
      </c>
      <c r="EG19" s="361">
        <v>96470</v>
      </c>
      <c r="EH19" s="361">
        <v>189482.9</v>
      </c>
      <c r="EI19" s="361">
        <v>35976</v>
      </c>
      <c r="EJ19" s="303">
        <v>44562</v>
      </c>
      <c r="EK19" s="303"/>
      <c r="EL19" s="361">
        <v>730153.8</v>
      </c>
      <c r="EM19" s="303">
        <v>3674</v>
      </c>
      <c r="EN19" s="303">
        <v>49790.3</v>
      </c>
      <c r="EO19" s="303">
        <v>3169286</v>
      </c>
      <c r="EP19" s="303">
        <v>2873490</v>
      </c>
      <c r="EQ19" s="303">
        <v>0</v>
      </c>
      <c r="ER19" s="303">
        <v>480</v>
      </c>
      <c r="ES19" s="303">
        <v>449995</v>
      </c>
      <c r="ET19" s="303">
        <v>1441865</v>
      </c>
      <c r="EU19" s="136">
        <v>170458</v>
      </c>
      <c r="EV19" s="136">
        <v>479140</v>
      </c>
      <c r="EW19" s="303">
        <v>153448</v>
      </c>
      <c r="EX19" s="303">
        <v>227401.5</v>
      </c>
      <c r="EY19" s="136">
        <v>1749582.2</v>
      </c>
      <c r="EZ19" s="373">
        <v>849466</v>
      </c>
      <c r="FA19" s="373">
        <v>776140</v>
      </c>
      <c r="FB19" s="303"/>
      <c r="FC19" s="303">
        <v>5103</v>
      </c>
      <c r="FD19" s="77">
        <f t="shared" si="72"/>
        <v>5106</v>
      </c>
      <c r="FE19" s="136">
        <v>761</v>
      </c>
      <c r="FF19" s="456">
        <v>0</v>
      </c>
      <c r="FG19" s="105">
        <v>194</v>
      </c>
      <c r="FH19" s="136">
        <v>1336</v>
      </c>
      <c r="FI19" s="136">
        <v>590</v>
      </c>
      <c r="FJ19" s="105">
        <v>687</v>
      </c>
      <c r="FK19" s="136">
        <v>776</v>
      </c>
      <c r="FL19" s="136">
        <v>196</v>
      </c>
      <c r="FM19" s="136">
        <v>566</v>
      </c>
      <c r="FN19" s="80">
        <v>2500</v>
      </c>
      <c r="FO19" s="388"/>
      <c r="FP19" s="485"/>
      <c r="FY19" s="119">
        <v>14</v>
      </c>
      <c r="FZ19" s="107"/>
      <c r="GA19" s="107"/>
      <c r="GB19" s="107"/>
      <c r="GC19" s="109"/>
      <c r="GD19" s="110"/>
      <c r="GE19" s="110"/>
      <c r="GF19" s="111"/>
      <c r="GG19" s="111"/>
      <c r="GH19" s="111"/>
      <c r="GI19" s="112"/>
      <c r="GJ19" s="111" t="e">
        <f t="shared" si="58"/>
        <v>#DIV/0!</v>
      </c>
      <c r="GK19" s="113"/>
    </row>
    <row r="20" spans="1:193" s="119" customFormat="1" ht="15" customHeight="1">
      <c r="B20" s="351">
        <v>43054</v>
      </c>
      <c r="D20" s="159">
        <v>4212</v>
      </c>
      <c r="E20" s="128">
        <v>1336.2</v>
      </c>
      <c r="F20" s="86">
        <v>445.82400000000001</v>
      </c>
      <c r="G20" s="86">
        <v>2939.634</v>
      </c>
      <c r="H20" s="86">
        <v>6098.9759999999997</v>
      </c>
      <c r="I20" s="86">
        <v>198.852</v>
      </c>
      <c r="J20" s="86">
        <v>4060.7159999999999</v>
      </c>
      <c r="K20" s="86">
        <v>0</v>
      </c>
      <c r="L20" s="86">
        <v>0</v>
      </c>
      <c r="M20" s="115">
        <f t="shared" si="59"/>
        <v>4259.5680000000002</v>
      </c>
      <c r="N20" s="88">
        <f t="shared" si="19"/>
        <v>15032.633999999998</v>
      </c>
      <c r="O20" s="88">
        <f>(N20+L20+((J20+I20)*0.5))</f>
        <v>17162.417999999998</v>
      </c>
      <c r="P20" s="89">
        <f t="shared" si="20"/>
        <v>334016.65700000001</v>
      </c>
      <c r="R20" s="170">
        <f t="shared" si="21"/>
        <v>299.29999999993015</v>
      </c>
      <c r="S20" s="170">
        <f t="shared" si="22"/>
        <v>0</v>
      </c>
      <c r="T20" s="170">
        <f t="shared" si="1"/>
        <v>618.1</v>
      </c>
      <c r="U20" s="170" t="str">
        <f t="shared" si="71"/>
        <v/>
      </c>
      <c r="V20" s="170">
        <f t="shared" si="23"/>
        <v>1103.5</v>
      </c>
      <c r="W20" s="170">
        <f t="shared" si="2"/>
        <v>97.2</v>
      </c>
      <c r="X20" s="170">
        <f t="shared" si="24"/>
        <v>1103.5</v>
      </c>
      <c r="Y20" s="170" t="str">
        <f t="shared" si="25"/>
        <v>0</v>
      </c>
      <c r="Z20" s="170" t="str">
        <f t="shared" si="3"/>
        <v/>
      </c>
      <c r="AA20" s="501">
        <f t="shared" si="26"/>
        <v>2020.8999999999301</v>
      </c>
      <c r="AB20" s="170">
        <f t="shared" si="27"/>
        <v>133</v>
      </c>
      <c r="AC20" s="170">
        <f t="shared" si="27"/>
        <v>94</v>
      </c>
      <c r="AD20" s="501">
        <f t="shared" si="4"/>
        <v>423</v>
      </c>
      <c r="AE20" s="501">
        <f t="shared" si="28"/>
        <v>196</v>
      </c>
      <c r="AF20" s="170">
        <f t="shared" si="29"/>
        <v>75</v>
      </c>
      <c r="AG20" s="170">
        <f t="shared" si="29"/>
        <v>41.419999999998254</v>
      </c>
      <c r="AH20" s="501">
        <f t="shared" si="5"/>
        <v>154</v>
      </c>
      <c r="AI20" s="501">
        <f t="shared" si="30"/>
        <v>37.580000000001746</v>
      </c>
      <c r="AJ20" s="170">
        <f t="shared" si="31"/>
        <v>85</v>
      </c>
      <c r="AK20" s="170">
        <f t="shared" si="31"/>
        <v>31.5</v>
      </c>
      <c r="AL20" s="501">
        <f t="shared" si="6"/>
        <v>257</v>
      </c>
      <c r="AM20" s="501">
        <f t="shared" si="32"/>
        <v>140.5</v>
      </c>
      <c r="AN20" s="170">
        <f t="shared" si="33"/>
        <v>26.200000000004366</v>
      </c>
      <c r="AO20" s="501">
        <f t="shared" si="7"/>
        <v>40.5</v>
      </c>
      <c r="AP20" s="170">
        <f t="shared" si="34"/>
        <v>15.80000000000291</v>
      </c>
      <c r="AQ20" s="501">
        <f t="shared" si="8"/>
        <v>21.100000000005821</v>
      </c>
      <c r="AR20" s="170">
        <f t="shared" si="35"/>
        <v>111.50700000000001</v>
      </c>
      <c r="AS20" s="501">
        <f t="shared" si="36"/>
        <v>174.50700000000006</v>
      </c>
      <c r="AT20" s="501">
        <f t="shared" si="37"/>
        <v>912.50700000000006</v>
      </c>
      <c r="AU20" s="170">
        <f t="shared" si="60"/>
        <v>543</v>
      </c>
      <c r="AV20" s="501">
        <f t="shared" si="61"/>
        <v>36</v>
      </c>
      <c r="AW20" s="170">
        <f t="shared" si="62"/>
        <v>195</v>
      </c>
      <c r="AX20" s="501">
        <f t="shared" si="63"/>
        <v>44</v>
      </c>
      <c r="AY20" s="501" t="str">
        <f t="shared" si="63"/>
        <v/>
      </c>
      <c r="AZ20" s="170">
        <f t="shared" si="38"/>
        <v>297</v>
      </c>
      <c r="BA20" s="170">
        <v>114</v>
      </c>
      <c r="BB20" s="170">
        <f t="shared" si="39"/>
        <v>160.60000000000582</v>
      </c>
      <c r="BC20" s="170">
        <f t="shared" si="39"/>
        <v>1443.1999999999534</v>
      </c>
      <c r="BD20" s="170">
        <f t="shared" si="40"/>
        <v>0</v>
      </c>
      <c r="BE20" s="90"/>
      <c r="BF20" s="90"/>
      <c r="BG20" s="501">
        <f t="shared" si="41"/>
        <v>1900.7999999999593</v>
      </c>
      <c r="BH20" s="501">
        <f t="shared" si="42"/>
        <v>1700</v>
      </c>
      <c r="BI20" s="90">
        <f t="shared" si="9"/>
        <v>725.1930000001048</v>
      </c>
      <c r="BJ20" s="90">
        <f t="shared" si="43"/>
        <v>5809.8069999998952</v>
      </c>
      <c r="BK20" s="92"/>
      <c r="BL20" s="93">
        <f t="shared" si="64"/>
        <v>8235</v>
      </c>
      <c r="BM20" s="93">
        <f t="shared" si="44"/>
        <v>111144</v>
      </c>
      <c r="BN20" s="92"/>
      <c r="BO20" s="94">
        <f t="shared" si="45"/>
        <v>0.19910017100125646</v>
      </c>
      <c r="BP20" s="94">
        <f t="shared" si="45"/>
        <v>0</v>
      </c>
      <c r="BQ20" s="94">
        <f t="shared" si="46"/>
        <v>0.41117212060108704</v>
      </c>
      <c r="BR20" s="94">
        <f t="shared" si="65"/>
        <v>0.7340696247909716</v>
      </c>
      <c r="BS20" s="94">
        <f t="shared" si="10"/>
        <v>0</v>
      </c>
      <c r="BT20" s="94" t="e">
        <f t="shared" si="10"/>
        <v>#VALUE!</v>
      </c>
      <c r="BU20" s="95">
        <f t="shared" si="10"/>
        <v>1.3443419163933148</v>
      </c>
      <c r="BV20" s="94">
        <f t="shared" si="11"/>
        <v>0.1743926759037859</v>
      </c>
      <c r="BW20" s="94">
        <f t="shared" si="11"/>
        <v>0</v>
      </c>
      <c r="BX20" s="94">
        <f t="shared" si="11"/>
        <v>0.36014738715721761</v>
      </c>
      <c r="BY20" s="94">
        <f t="shared" si="47"/>
        <v>0.64297466708945095</v>
      </c>
      <c r="BZ20" s="95">
        <f t="shared" si="12"/>
        <v>1.1775147301504545</v>
      </c>
      <c r="CA20" s="96" t="e">
        <f>#REF!</f>
        <v>#REF!</v>
      </c>
      <c r="CB20" s="94">
        <f t="shared" si="48"/>
        <v>6.4971614139685926E-2</v>
      </c>
      <c r="CC20" s="95">
        <f t="shared" si="48"/>
        <v>0.10167972834597089</v>
      </c>
      <c r="CD20" s="97">
        <f t="shared" si="13"/>
        <v>0.26178006783786528</v>
      </c>
      <c r="CE20" s="98">
        <f t="shared" si="13"/>
        <v>0.40968239032690651</v>
      </c>
      <c r="CF20" s="97">
        <f t="shared" si="49"/>
        <v>0.31576448243114907</v>
      </c>
      <c r="CG20" s="94">
        <f t="shared" si="49"/>
        <v>0.22317188983855651</v>
      </c>
      <c r="CH20" s="95">
        <f t="shared" si="50"/>
        <v>1.0042735042735043</v>
      </c>
      <c r="CI20" s="96" t="e">
        <f>#REF!</f>
        <v>#REF!</v>
      </c>
      <c r="CJ20" s="94">
        <f t="shared" si="51"/>
        <v>0.56129321957790745</v>
      </c>
      <c r="CK20" s="94">
        <f t="shared" si="51"/>
        <v>0.3099835353988793</v>
      </c>
      <c r="CL20" s="95">
        <f t="shared" si="66"/>
        <v>1.1525220775333034</v>
      </c>
      <c r="CM20" s="95" t="e">
        <f>#REF!</f>
        <v>#REF!</v>
      </c>
      <c r="CN20" s="94">
        <f t="shared" si="52"/>
        <v>1.9065819695664656</v>
      </c>
      <c r="CO20" s="94">
        <f t="shared" si="52"/>
        <v>0.70655684754521952</v>
      </c>
      <c r="CP20" s="95">
        <f t="shared" si="53"/>
        <v>5.7646066609244908</v>
      </c>
      <c r="CQ20" s="95" t="e">
        <f>#REF!</f>
        <v>#REF!</v>
      </c>
      <c r="CR20" s="97">
        <f t="shared" si="67"/>
        <v>8.9126741628394443E-2</v>
      </c>
      <c r="CS20" s="95">
        <f t="shared" si="67"/>
        <v>0.13777225328051043</v>
      </c>
      <c r="CT20" s="96" t="e">
        <f>#REF!</f>
        <v>#REF!</v>
      </c>
      <c r="CU20" s="97">
        <f t="shared" si="68"/>
        <v>2.590598815277009E-2</v>
      </c>
      <c r="CV20" s="95">
        <f t="shared" si="54"/>
        <v>3.4595971520474618E-2</v>
      </c>
      <c r="CW20" s="96" t="e">
        <f>#REF!</f>
        <v>#REF!</v>
      </c>
      <c r="CX20" s="97">
        <f t="shared" si="55"/>
        <v>0.31638898434940821</v>
      </c>
      <c r="CY20" s="98">
        <f t="shared" si="55"/>
        <v>2.0976065260734242E-2</v>
      </c>
      <c r="CZ20" s="97">
        <f t="shared" si="55"/>
        <v>0.11362035349564381</v>
      </c>
      <c r="DA20" s="98">
        <f t="shared" si="55"/>
        <v>2.5637413096452965E-2</v>
      </c>
      <c r="DB20" s="94">
        <f t="shared" si="14"/>
        <v>0.1730525384010575</v>
      </c>
      <c r="DC20" s="94">
        <f t="shared" si="15"/>
        <v>9.3576557802056703E-2</v>
      </c>
      <c r="DD20" s="94">
        <f t="shared" si="15"/>
        <v>0.84090714956363</v>
      </c>
      <c r="DE20" s="94">
        <f t="shared" si="15"/>
        <v>0</v>
      </c>
      <c r="DF20" s="94">
        <f t="shared" si="15"/>
        <v>0</v>
      </c>
      <c r="DG20" s="94">
        <f t="shared" si="15"/>
        <v>0</v>
      </c>
      <c r="DH20" s="95">
        <f t="shared" si="15"/>
        <v>1.1075362457667444</v>
      </c>
      <c r="DI20" s="96" t="e">
        <f>#REF!</f>
        <v>#REF!</v>
      </c>
      <c r="DJ20" s="95">
        <f t="shared" si="56"/>
        <v>0.99053641509022805</v>
      </c>
      <c r="DK20" s="96" t="e">
        <f>#REF!</f>
        <v>#REF!</v>
      </c>
      <c r="DL20" s="95">
        <f t="shared" si="57"/>
        <v>0.42254710262860679</v>
      </c>
      <c r="DM20" s="96">
        <f t="shared" si="16"/>
        <v>0</v>
      </c>
      <c r="DN20" s="94">
        <f t="shared" si="17"/>
        <v>3.3851914106741225</v>
      </c>
      <c r="DO20" s="100">
        <v>3.4</v>
      </c>
      <c r="DP20" s="94">
        <f>IF($O20&lt;&gt;0,IF($O20&lt;&gt;0,BL20/$O20*10,0)," ")</f>
        <v>4.7982749283929573</v>
      </c>
      <c r="DQ20" s="94">
        <f>IF($P20&lt;&gt;0,IF($P20&lt;&gt;0,BM20/$P20*10,0)," ")</f>
        <v>3.3274987241130312</v>
      </c>
      <c r="DR20" s="101">
        <f t="shared" si="18"/>
        <v>3.07</v>
      </c>
      <c r="DS20" s="147"/>
      <c r="DT20" s="103">
        <v>15</v>
      </c>
      <c r="DU20" s="135">
        <v>641967</v>
      </c>
      <c r="DV20" s="361">
        <v>31219</v>
      </c>
      <c r="DW20" s="135">
        <v>5161302</v>
      </c>
      <c r="DX20" s="517">
        <v>125775</v>
      </c>
      <c r="DY20" s="135">
        <v>91065.2</v>
      </c>
      <c r="DZ20" s="135">
        <v>412654</v>
      </c>
      <c r="EA20" s="135">
        <v>248213</v>
      </c>
      <c r="EB20" s="136">
        <v>57116</v>
      </c>
      <c r="EC20" s="135">
        <v>429237</v>
      </c>
      <c r="ED20" s="135">
        <v>49079.4</v>
      </c>
      <c r="EE20" s="136">
        <v>42099.3</v>
      </c>
      <c r="EF20" s="136">
        <v>43929.7</v>
      </c>
      <c r="EG20" s="135">
        <v>96485.8</v>
      </c>
      <c r="EH20" s="135">
        <v>189504</v>
      </c>
      <c r="EI20" s="135">
        <v>36012</v>
      </c>
      <c r="EJ20" s="136">
        <v>44606</v>
      </c>
      <c r="EK20" s="136"/>
      <c r="EL20" s="135">
        <v>730453.1</v>
      </c>
      <c r="EM20" s="136">
        <v>6181</v>
      </c>
      <c r="EN20" s="136">
        <v>49846.1</v>
      </c>
      <c r="EO20" s="135">
        <v>3170389.5</v>
      </c>
      <c r="EP20" s="136">
        <v>2874462</v>
      </c>
      <c r="EQ20" s="136">
        <v>0</v>
      </c>
      <c r="ER20" s="136">
        <v>0</v>
      </c>
      <c r="ES20" s="136">
        <v>450796</v>
      </c>
      <c r="ET20" s="136">
        <v>1553372</v>
      </c>
      <c r="EU20" s="136">
        <v>170653</v>
      </c>
      <c r="EV20" s="136">
        <v>479683</v>
      </c>
      <c r="EW20" s="136">
        <v>153745</v>
      </c>
      <c r="EX20" s="136">
        <v>227562.1</v>
      </c>
      <c r="EY20" s="303">
        <v>1751025.4</v>
      </c>
      <c r="EZ20" s="373">
        <v>849466</v>
      </c>
      <c r="FA20" s="373">
        <v>776140</v>
      </c>
      <c r="FB20" s="136"/>
      <c r="FC20" s="136">
        <v>6535</v>
      </c>
      <c r="FD20" s="77">
        <f t="shared" si="72"/>
        <v>5735</v>
      </c>
      <c r="FE20" s="144">
        <v>804</v>
      </c>
      <c r="FF20" s="456">
        <v>40</v>
      </c>
      <c r="FG20" s="105">
        <v>625</v>
      </c>
      <c r="FH20" s="136">
        <v>1417</v>
      </c>
      <c r="FI20" s="136">
        <v>614</v>
      </c>
      <c r="FJ20" s="105">
        <v>627</v>
      </c>
      <c r="FK20" s="455">
        <v>775</v>
      </c>
      <c r="FL20" s="136">
        <v>229</v>
      </c>
      <c r="FM20" s="455">
        <v>604</v>
      </c>
      <c r="FN20" s="80">
        <v>2500</v>
      </c>
      <c r="FO20" s="389"/>
      <c r="FP20" s="486"/>
      <c r="FY20" s="119">
        <v>15</v>
      </c>
      <c r="FZ20" s="107"/>
      <c r="GA20" s="107"/>
      <c r="GB20" s="107"/>
      <c r="GC20" s="109"/>
      <c r="GD20" s="110"/>
      <c r="GE20" s="110"/>
      <c r="GF20" s="111"/>
      <c r="GG20" s="111"/>
      <c r="GH20" s="111"/>
      <c r="GI20" s="112"/>
      <c r="GJ20" s="111" t="e">
        <f t="shared" si="58"/>
        <v>#DIV/0!</v>
      </c>
      <c r="GK20" s="113"/>
    </row>
    <row r="21" spans="1:193" s="119" customFormat="1" ht="15" customHeight="1">
      <c r="B21" s="351">
        <v>43055</v>
      </c>
      <c r="D21" s="159">
        <v>5596.32</v>
      </c>
      <c r="E21" s="128">
        <v>4960.5599999999995</v>
      </c>
      <c r="F21" s="86">
        <v>3159.6480000000001</v>
      </c>
      <c r="G21" s="86">
        <v>5337.8869999999997</v>
      </c>
      <c r="H21" s="86">
        <v>8685.0740000000005</v>
      </c>
      <c r="I21" s="86">
        <v>2457.2159999999999</v>
      </c>
      <c r="J21" s="86">
        <v>5052</v>
      </c>
      <c r="K21" s="86">
        <v>0</v>
      </c>
      <c r="L21" s="86">
        <v>136.24</v>
      </c>
      <c r="M21" s="115">
        <f t="shared" si="59"/>
        <v>7509.2160000000003</v>
      </c>
      <c r="N21" s="88">
        <f t="shared" si="19"/>
        <v>27739.488999999998</v>
      </c>
      <c r="O21" s="88">
        <f>((N21+L21+((J21+I21)*0.5)))</f>
        <v>31630.337</v>
      </c>
      <c r="P21" s="89">
        <f t="shared" si="20"/>
        <v>365646.99400000001</v>
      </c>
      <c r="R21" s="170">
        <f t="shared" si="21"/>
        <v>109.30000000004657</v>
      </c>
      <c r="S21" s="170">
        <f t="shared" si="22"/>
        <v>4.9800000000046563</v>
      </c>
      <c r="T21" s="170">
        <f t="shared" si="1"/>
        <v>899.5</v>
      </c>
      <c r="U21" s="170" t="str">
        <f t="shared" si="71"/>
        <v/>
      </c>
      <c r="V21" s="170">
        <f t="shared" si="23"/>
        <v>1146.7000000001863</v>
      </c>
      <c r="W21" s="170">
        <f t="shared" si="2"/>
        <v>100.9</v>
      </c>
      <c r="X21" s="170">
        <f t="shared" si="24"/>
        <v>1146.7000000001863</v>
      </c>
      <c r="Y21" s="170" t="str">
        <f t="shared" si="25"/>
        <v>0</v>
      </c>
      <c r="Z21" s="170">
        <f t="shared" si="3"/>
        <v>30.189</v>
      </c>
      <c r="AA21" s="501">
        <f t="shared" si="26"/>
        <v>2160.4800000002374</v>
      </c>
      <c r="AB21" s="170">
        <f t="shared" si="27"/>
        <v>171</v>
      </c>
      <c r="AC21" s="170">
        <f t="shared" si="27"/>
        <v>118</v>
      </c>
      <c r="AD21" s="501">
        <f t="shared" si="4"/>
        <v>528</v>
      </c>
      <c r="AE21" s="501">
        <f t="shared" si="28"/>
        <v>239</v>
      </c>
      <c r="AF21" s="170">
        <f t="shared" si="29"/>
        <v>115</v>
      </c>
      <c r="AG21" s="170">
        <f t="shared" si="29"/>
        <v>70.100000000005821</v>
      </c>
      <c r="AH21" s="501">
        <f t="shared" si="5"/>
        <v>244</v>
      </c>
      <c r="AI21" s="501">
        <f t="shared" si="30"/>
        <v>58.899999999994179</v>
      </c>
      <c r="AJ21" s="170">
        <f t="shared" si="31"/>
        <v>155</v>
      </c>
      <c r="AK21" s="170">
        <f t="shared" si="31"/>
        <v>12</v>
      </c>
      <c r="AL21" s="501">
        <f t="shared" si="6"/>
        <v>253</v>
      </c>
      <c r="AM21" s="501">
        <f t="shared" si="32"/>
        <v>86</v>
      </c>
      <c r="AN21" s="170">
        <f t="shared" si="33"/>
        <v>16</v>
      </c>
      <c r="AO21" s="501">
        <f t="shared" si="7"/>
        <v>48.900000000001455</v>
      </c>
      <c r="AP21" s="170">
        <f t="shared" si="34"/>
        <v>21.899999999994179</v>
      </c>
      <c r="AQ21" s="501">
        <f t="shared" si="8"/>
        <v>27.200000000011642</v>
      </c>
      <c r="AR21" s="170">
        <f t="shared" si="35"/>
        <v>79.897999999999996</v>
      </c>
      <c r="AS21" s="501">
        <f t="shared" si="36"/>
        <v>130.89800000000002</v>
      </c>
      <c r="AT21" s="501">
        <f t="shared" si="37"/>
        <v>581.89800000000002</v>
      </c>
      <c r="AU21" s="170">
        <f t="shared" si="60"/>
        <v>285</v>
      </c>
      <c r="AV21" s="501">
        <f t="shared" si="61"/>
        <v>37</v>
      </c>
      <c r="AW21" s="170">
        <f t="shared" si="62"/>
        <v>166</v>
      </c>
      <c r="AX21" s="501">
        <f t="shared" si="63"/>
        <v>53</v>
      </c>
      <c r="AY21" s="501" t="str">
        <f t="shared" si="63"/>
        <v/>
      </c>
      <c r="AZ21" s="170">
        <f t="shared" si="38"/>
        <v>360</v>
      </c>
      <c r="BA21" s="170">
        <v>64</v>
      </c>
      <c r="BB21" s="170">
        <f t="shared" si="39"/>
        <v>173.79999999998836</v>
      </c>
      <c r="BC21" s="170">
        <f t="shared" si="39"/>
        <v>6.9000000001396984</v>
      </c>
      <c r="BD21" s="170">
        <f t="shared" si="40"/>
        <v>173</v>
      </c>
      <c r="BE21" s="90"/>
      <c r="BF21" s="90"/>
      <c r="BG21" s="501">
        <f t="shared" si="41"/>
        <v>713.70000000012806</v>
      </c>
      <c r="BH21" s="501">
        <f t="shared" si="42"/>
        <v>1178</v>
      </c>
      <c r="BI21" s="90">
        <f t="shared" si="9"/>
        <v>2420.8219999996218</v>
      </c>
      <c r="BJ21" s="90">
        <f t="shared" si="43"/>
        <v>4647.1780000003782</v>
      </c>
      <c r="BK21" s="92"/>
      <c r="BL21" s="331">
        <f>FD21+FN21</f>
        <v>8246</v>
      </c>
      <c r="BM21" s="93">
        <f t="shared" si="44"/>
        <v>119390</v>
      </c>
      <c r="BN21" s="92"/>
      <c r="BO21" s="94">
        <f t="shared" si="45"/>
        <v>3.9402311989253508E-2</v>
      </c>
      <c r="BP21" s="94">
        <f t="shared" si="45"/>
        <v>1.795274599328292E-3</v>
      </c>
      <c r="BQ21" s="94">
        <f t="shared" si="46"/>
        <v>0.32426696829202584</v>
      </c>
      <c r="BR21" s="94">
        <f t="shared" si="65"/>
        <v>0.41338180382493211</v>
      </c>
      <c r="BS21" s="94">
        <f t="shared" si="10"/>
        <v>0</v>
      </c>
      <c r="BT21" s="94">
        <f t="shared" si="10"/>
        <v>1.088304114037573E-2</v>
      </c>
      <c r="BU21" s="95">
        <f t="shared" si="10"/>
        <v>0.77884635870553987</v>
      </c>
      <c r="BV21" s="94">
        <f t="shared" si="11"/>
        <v>3.4555433285471025E-2</v>
      </c>
      <c r="BW21" s="94">
        <f t="shared" si="11"/>
        <v>1.5744378569234516E-3</v>
      </c>
      <c r="BX21" s="94">
        <f t="shared" si="11"/>
        <v>0.28437888600428129</v>
      </c>
      <c r="BY21" s="94">
        <f t="shared" si="47"/>
        <v>0.36253170492625048</v>
      </c>
      <c r="BZ21" s="95">
        <f t="shared" si="12"/>
        <v>0.68304046207292624</v>
      </c>
      <c r="CA21" s="96" t="e">
        <f>#REF!</f>
        <v>#REF!</v>
      </c>
      <c r="CB21" s="94">
        <f t="shared" si="48"/>
        <v>2.5259926886014521E-2</v>
      </c>
      <c r="CC21" s="95">
        <f t="shared" si="48"/>
        <v>4.1383688071360107E-2</v>
      </c>
      <c r="CD21" s="97">
        <f t="shared" si="13"/>
        <v>0.10639992244196997</v>
      </c>
      <c r="CE21" s="98">
        <f t="shared" si="13"/>
        <v>0.17431646659251782</v>
      </c>
      <c r="CF21" s="97">
        <f t="shared" si="49"/>
        <v>0.30555793807359122</v>
      </c>
      <c r="CG21" s="94">
        <f t="shared" si="49"/>
        <v>0.21085284615604544</v>
      </c>
      <c r="CH21" s="95">
        <f t="shared" si="50"/>
        <v>0.94347714212196587</v>
      </c>
      <c r="CI21" s="96" t="e">
        <f>#REF!</f>
        <v>#REF!</v>
      </c>
      <c r="CJ21" s="94">
        <f t="shared" si="51"/>
        <v>0.23182866450562034</v>
      </c>
      <c r="CK21" s="94">
        <f t="shared" si="51"/>
        <v>0.14131469027691596</v>
      </c>
      <c r="CL21" s="95">
        <f t="shared" si="66"/>
        <v>0.49187994903801185</v>
      </c>
      <c r="CM21" s="95" t="e">
        <f>#REF!</f>
        <v>#REF!</v>
      </c>
      <c r="CN21" s="94">
        <f t="shared" si="52"/>
        <v>0.4905609738806348</v>
      </c>
      <c r="CO21" s="94">
        <f t="shared" si="52"/>
        <v>3.7978914106887855E-2</v>
      </c>
      <c r="CP21" s="95">
        <f t="shared" si="53"/>
        <v>0.80072210575355229</v>
      </c>
      <c r="CQ21" s="95" t="e">
        <f>#REF!</f>
        <v>#REF!</v>
      </c>
      <c r="CR21" s="97">
        <f t="shared" si="67"/>
        <v>2.9974407476216713E-2</v>
      </c>
      <c r="CS21" s="95">
        <f t="shared" si="67"/>
        <v>9.1609282849190052E-2</v>
      </c>
      <c r="CT21" s="96" t="e">
        <f>#REF!</f>
        <v>#REF!</v>
      </c>
      <c r="CU21" s="97">
        <f t="shared" si="68"/>
        <v>2.5215674616006933E-2</v>
      </c>
      <c r="CV21" s="95">
        <f t="shared" si="54"/>
        <v>3.1318098153235815E-2</v>
      </c>
      <c r="CW21" s="96" t="e">
        <f>#REF!</f>
        <v>#REF!</v>
      </c>
      <c r="CX21" s="97">
        <f t="shared" si="55"/>
        <v>9.0103371329872325E-2</v>
      </c>
      <c r="CY21" s="98">
        <f t="shared" si="55"/>
        <v>1.1697630663878163E-2</v>
      </c>
      <c r="CZ21" s="97">
        <f t="shared" si="55"/>
        <v>5.2481261897399323E-2</v>
      </c>
      <c r="DA21" s="98">
        <f t="shared" si="55"/>
        <v>1.6756065545555206E-2</v>
      </c>
      <c r="DB21" s="94">
        <f t="shared" si="14"/>
        <v>0.11381478483773347</v>
      </c>
      <c r="DC21" s="94">
        <f t="shared" si="15"/>
        <v>5.4947248902213204E-2</v>
      </c>
      <c r="DD21" s="94">
        <f t="shared" si="15"/>
        <v>2.1814500427673909E-3</v>
      </c>
      <c r="DE21" s="94">
        <f t="shared" si="15"/>
        <v>5.4694327158133035E-2</v>
      </c>
      <c r="DF21" s="94">
        <f t="shared" si="15"/>
        <v>0</v>
      </c>
      <c r="DG21" s="94">
        <f t="shared" si="15"/>
        <v>0</v>
      </c>
      <c r="DH21" s="95">
        <f t="shared" si="15"/>
        <v>0.22563781094084712</v>
      </c>
      <c r="DI21" s="96" t="e">
        <f>#REF!</f>
        <v>#REF!</v>
      </c>
      <c r="DJ21" s="95">
        <f t="shared" si="56"/>
        <v>0.37242726816347227</v>
      </c>
      <c r="DK21" s="96" t="e">
        <f>#REF!</f>
        <v>#REF!</v>
      </c>
      <c r="DL21" s="95">
        <f t="shared" si="57"/>
        <v>0.76534815294557945</v>
      </c>
      <c r="DM21" s="96">
        <f t="shared" si="16"/>
        <v>0</v>
      </c>
      <c r="DN21" s="94">
        <f t="shared" si="17"/>
        <v>1.4692154560352544</v>
      </c>
      <c r="DO21" s="100">
        <v>3.4</v>
      </c>
      <c r="DP21" s="94">
        <f t="shared" si="69"/>
        <v>2.6069908771443062</v>
      </c>
      <c r="DQ21" s="94">
        <f t="shared" si="70"/>
        <v>3.2651711065345173</v>
      </c>
      <c r="DR21" s="101">
        <f t="shared" si="18"/>
        <v>3.07</v>
      </c>
      <c r="DS21" s="147"/>
      <c r="DT21" s="103">
        <v>16</v>
      </c>
      <c r="DU21" s="135">
        <v>642138</v>
      </c>
      <c r="DV21" s="135">
        <v>31337</v>
      </c>
      <c r="DW21" s="518">
        <v>5161659</v>
      </c>
      <c r="DX21" s="517">
        <v>125890</v>
      </c>
      <c r="DY21" s="135">
        <v>91135.3</v>
      </c>
      <c r="DZ21" s="518">
        <v>412783</v>
      </c>
      <c r="EA21" s="135">
        <v>248368</v>
      </c>
      <c r="EB21" s="136">
        <v>57128</v>
      </c>
      <c r="EC21" s="518">
        <v>429335</v>
      </c>
      <c r="ED21" s="518">
        <v>49095.4</v>
      </c>
      <c r="EE21" s="136">
        <v>42127.9</v>
      </c>
      <c r="EF21" s="519">
        <v>43950</v>
      </c>
      <c r="EG21" s="518">
        <v>96507.7</v>
      </c>
      <c r="EH21" s="518">
        <v>189531.2</v>
      </c>
      <c r="EI21" s="518">
        <v>36049</v>
      </c>
      <c r="EJ21" s="136">
        <v>44659</v>
      </c>
      <c r="EK21" s="136"/>
      <c r="EL21" s="518">
        <v>730562.4</v>
      </c>
      <c r="EM21" s="455">
        <v>8995</v>
      </c>
      <c r="EN21" s="455">
        <v>49883</v>
      </c>
      <c r="EO21" s="518">
        <v>3171536.2</v>
      </c>
      <c r="EP21" s="136">
        <v>2875471</v>
      </c>
      <c r="EQ21" s="136">
        <v>0</v>
      </c>
      <c r="ER21" s="136">
        <v>301.89</v>
      </c>
      <c r="ES21" s="136">
        <v>451298</v>
      </c>
      <c r="ET21" s="136">
        <v>1633270</v>
      </c>
      <c r="EU21" s="136">
        <v>170819</v>
      </c>
      <c r="EV21" s="136">
        <v>479968</v>
      </c>
      <c r="EW21" s="136">
        <v>154105</v>
      </c>
      <c r="EX21" s="136">
        <v>227735.9</v>
      </c>
      <c r="EY21" s="303">
        <v>1751032.3</v>
      </c>
      <c r="EZ21" s="373">
        <v>849515.8</v>
      </c>
      <c r="FA21" s="136">
        <v>776313</v>
      </c>
      <c r="FB21" s="136"/>
      <c r="FC21" s="136">
        <v>7068</v>
      </c>
      <c r="FD21" s="77">
        <f>SUM(FE21:FM21)</f>
        <v>5746</v>
      </c>
      <c r="FE21" s="455">
        <v>781</v>
      </c>
      <c r="FF21" s="456">
        <v>76</v>
      </c>
      <c r="FG21" s="105">
        <v>571</v>
      </c>
      <c r="FH21" s="136">
        <v>1451</v>
      </c>
      <c r="FI21" s="136">
        <v>616</v>
      </c>
      <c r="FJ21" s="105">
        <v>615</v>
      </c>
      <c r="FK21" s="455">
        <v>761</v>
      </c>
      <c r="FL21" s="136">
        <v>226</v>
      </c>
      <c r="FM21" s="455">
        <v>649</v>
      </c>
      <c r="FN21" s="80">
        <v>2500</v>
      </c>
      <c r="FO21" s="104"/>
      <c r="FP21" s="484"/>
      <c r="FY21" s="119">
        <v>16</v>
      </c>
      <c r="FZ21" s="107"/>
      <c r="GA21" s="163"/>
      <c r="GB21" s="107"/>
      <c r="GC21" s="109"/>
      <c r="GD21" s="110"/>
      <c r="GE21" s="110"/>
      <c r="GF21" s="111"/>
      <c r="GG21" s="111"/>
      <c r="GH21" s="111"/>
      <c r="GI21" s="164"/>
      <c r="GJ21" s="111" t="e">
        <f t="shared" si="58"/>
        <v>#DIV/0!</v>
      </c>
      <c r="GK21" s="113"/>
    </row>
    <row r="22" spans="1:193" ht="15" customHeight="1">
      <c r="B22" s="351">
        <v>43056</v>
      </c>
      <c r="D22" s="329">
        <v>4668.4799999999996</v>
      </c>
      <c r="E22" s="329">
        <v>5904</v>
      </c>
      <c r="F22" s="329">
        <v>619.63199999999995</v>
      </c>
      <c r="G22" s="329">
        <v>3252.1909999999998</v>
      </c>
      <c r="H22" s="329">
        <v>7944.0160000000005</v>
      </c>
      <c r="I22" s="329">
        <v>1237.2819999999999</v>
      </c>
      <c r="J22" s="329">
        <v>3369.3599999999997</v>
      </c>
      <c r="K22" s="391">
        <v>5.3040000000000003</v>
      </c>
      <c r="L22" s="284">
        <v>408.72</v>
      </c>
      <c r="M22" s="115">
        <f t="shared" si="59"/>
        <v>4606.6419999999998</v>
      </c>
      <c r="N22" s="88">
        <f t="shared" si="19"/>
        <v>22388.319</v>
      </c>
      <c r="O22" s="88">
        <f>(N22+L22+((J22+I22)*0.5))</f>
        <v>25100.36</v>
      </c>
      <c r="P22" s="89">
        <f t="shared" si="20"/>
        <v>390747.35399999999</v>
      </c>
      <c r="Q22" s="168"/>
      <c r="R22" s="170">
        <f t="shared" si="21"/>
        <v>311.79999999993015</v>
      </c>
      <c r="S22" s="170">
        <f t="shared" si="22"/>
        <v>144.05999999999767</v>
      </c>
      <c r="T22" s="170">
        <f t="shared" si="1"/>
        <v>932.3</v>
      </c>
      <c r="U22" s="170">
        <f t="shared" si="71"/>
        <v>5.3300000000002914</v>
      </c>
      <c r="V22" s="170">
        <f>IF(EO22=0,"",(EO22-EO21))</f>
        <v>1242.0999999996275</v>
      </c>
      <c r="W22" s="170">
        <f t="shared" si="2"/>
        <v>109.2</v>
      </c>
      <c r="X22" s="170">
        <f t="shared" si="24"/>
        <v>1242.0999999996275</v>
      </c>
      <c r="Y22" s="170">
        <f t="shared" si="25"/>
        <v>59.7</v>
      </c>
      <c r="Z22" s="170">
        <f t="shared" si="3"/>
        <v>197.4</v>
      </c>
      <c r="AA22" s="501">
        <f t="shared" si="26"/>
        <v>2635.5899999995554</v>
      </c>
      <c r="AB22" s="170">
        <f t="shared" si="27"/>
        <v>170</v>
      </c>
      <c r="AC22" s="170">
        <f t="shared" si="27"/>
        <v>102</v>
      </c>
      <c r="AD22" s="501">
        <f t="shared" si="4"/>
        <v>550</v>
      </c>
      <c r="AE22" s="501">
        <f t="shared" si="28"/>
        <v>278</v>
      </c>
      <c r="AF22" s="170">
        <f t="shared" si="29"/>
        <v>125</v>
      </c>
      <c r="AG22" s="170">
        <f t="shared" si="29"/>
        <v>20.099999999991269</v>
      </c>
      <c r="AH22" s="501">
        <f t="shared" si="5"/>
        <v>203</v>
      </c>
      <c r="AI22" s="501">
        <f t="shared" si="30"/>
        <v>57.900000000008731</v>
      </c>
      <c r="AJ22" s="170">
        <f t="shared" si="31"/>
        <v>84</v>
      </c>
      <c r="AK22" s="170">
        <f t="shared" si="31"/>
        <v>58.19999999999709</v>
      </c>
      <c r="AL22" s="501">
        <f t="shared" si="6"/>
        <v>276</v>
      </c>
      <c r="AM22" s="501">
        <f t="shared" si="32"/>
        <v>133.80000000000291</v>
      </c>
      <c r="AN22" s="170">
        <f t="shared" si="33"/>
        <v>58.099999999998545</v>
      </c>
      <c r="AO22" s="501">
        <f t="shared" si="7"/>
        <v>126.90000000000146</v>
      </c>
      <c r="AP22" s="170">
        <f t="shared" si="34"/>
        <v>28.900000000008731</v>
      </c>
      <c r="AQ22" s="501">
        <f t="shared" si="8"/>
        <v>37.899999999994179</v>
      </c>
      <c r="AR22" s="170">
        <f t="shared" si="35"/>
        <v>53.988</v>
      </c>
      <c r="AS22" s="501">
        <f t="shared" si="36"/>
        <v>183.98800000000006</v>
      </c>
      <c r="AT22" s="501">
        <f t="shared" si="37"/>
        <v>883.98800000000006</v>
      </c>
      <c r="AU22" s="170">
        <f t="shared" si="60"/>
        <v>454</v>
      </c>
      <c r="AV22" s="501">
        <f t="shared" si="61"/>
        <v>41</v>
      </c>
      <c r="AW22" s="170">
        <f t="shared" si="62"/>
        <v>246</v>
      </c>
      <c r="AX22" s="501">
        <f t="shared" si="63"/>
        <v>38</v>
      </c>
      <c r="AY22" s="501" t="str">
        <f t="shared" si="63"/>
        <v/>
      </c>
      <c r="AZ22" s="170">
        <f t="shared" si="38"/>
        <v>358</v>
      </c>
      <c r="BA22" s="170">
        <v>91</v>
      </c>
      <c r="BB22" s="170">
        <f>IF(EX22=0,"",(EX22-EX21))</f>
        <v>166.5</v>
      </c>
      <c r="BC22" s="170">
        <f t="shared" si="39"/>
        <v>67.099999999860302</v>
      </c>
      <c r="BD22" s="170">
        <f t="shared" si="40"/>
        <v>325.80000000004657</v>
      </c>
      <c r="BE22" s="90"/>
      <c r="BF22" s="90"/>
      <c r="BG22" s="501">
        <f t="shared" si="41"/>
        <v>917.39999999990687</v>
      </c>
      <c r="BH22" s="501">
        <f t="shared" si="42"/>
        <v>2136</v>
      </c>
      <c r="BI22" s="90">
        <f t="shared" si="9"/>
        <v>2210.2220000005418</v>
      </c>
      <c r="BJ22" s="90">
        <f t="shared" si="43"/>
        <v>5709.7779999994582</v>
      </c>
      <c r="BK22" s="92"/>
      <c r="BL22" s="331">
        <f>FD22+FN22</f>
        <v>10056</v>
      </c>
      <c r="BM22" s="93">
        <f t="shared" si="44"/>
        <v>129446</v>
      </c>
      <c r="BN22" s="92"/>
      <c r="BO22" s="94">
        <f t="shared" si="45"/>
        <v>0.13926905365245607</v>
      </c>
      <c r="BP22" s="94">
        <f t="shared" si="45"/>
        <v>6.4346054743992923E-2</v>
      </c>
      <c r="BQ22" s="94">
        <f t="shared" si="46"/>
        <v>0.41642251032781874</v>
      </c>
      <c r="BR22" s="94">
        <f t="shared" si="65"/>
        <v>0.55479824099327302</v>
      </c>
      <c r="BS22" s="94">
        <f t="shared" ref="BS22:BU36" si="73">IF($N22&lt;&gt;0,IF($N22&lt;&gt;0,Y22/$N22*10,0)," ")</f>
        <v>2.6665691157965011E-2</v>
      </c>
      <c r="BT22" s="94">
        <f t="shared" si="73"/>
        <v>8.8170978803723515E-2</v>
      </c>
      <c r="BU22" s="95">
        <f t="shared" si="73"/>
        <v>1.1772165654775399</v>
      </c>
      <c r="BV22" s="94">
        <f t="shared" si="11"/>
        <v>0.12422132590924199</v>
      </c>
      <c r="BW22" s="94">
        <f t="shared" si="11"/>
        <v>5.7393599135628998E-2</v>
      </c>
      <c r="BX22" s="94">
        <f t="shared" si="11"/>
        <v>0.37142893568060376</v>
      </c>
      <c r="BY22" s="94">
        <f t="shared" si="47"/>
        <v>0.49485346026894728</v>
      </c>
      <c r="BZ22" s="95">
        <f t="shared" si="12"/>
        <v>1.0500207965142951</v>
      </c>
      <c r="CA22" s="96" t="e">
        <f>#REF!</f>
        <v>#REF!</v>
      </c>
      <c r="CB22" s="94">
        <f t="shared" si="48"/>
        <v>2.1508854853077804E-2</v>
      </c>
      <c r="CC22" s="95">
        <f t="shared" si="48"/>
        <v>7.3300940703639336E-2</v>
      </c>
      <c r="CD22" s="97">
        <f t="shared" si="13"/>
        <v>0.11719599656322328</v>
      </c>
      <c r="CE22" s="98">
        <f t="shared" si="13"/>
        <v>0.39939721819060403</v>
      </c>
      <c r="CF22" s="97">
        <f t="shared" si="49"/>
        <v>0.36414421824662419</v>
      </c>
      <c r="CG22" s="94">
        <f t="shared" si="49"/>
        <v>0.21848653094797454</v>
      </c>
      <c r="CH22" s="95">
        <f t="shared" si="50"/>
        <v>1.1781136472684901</v>
      </c>
      <c r="CI22" s="96" t="e">
        <f>#REF!</f>
        <v>#REF!</v>
      </c>
      <c r="CJ22" s="94">
        <f t="shared" si="51"/>
        <v>0.21172086720867209</v>
      </c>
      <c r="CK22" s="94">
        <f t="shared" si="51"/>
        <v>3.4044715447139683E-2</v>
      </c>
      <c r="CL22" s="95">
        <f t="shared" si="66"/>
        <v>0.34383468834688347</v>
      </c>
      <c r="CM22" s="95" t="e">
        <f>#REF!</f>
        <v>#REF!</v>
      </c>
      <c r="CN22" s="94">
        <f t="shared" si="52"/>
        <v>1.3556433496010536</v>
      </c>
      <c r="CO22" s="94">
        <f t="shared" si="52"/>
        <v>0.93926717793782588</v>
      </c>
      <c r="CP22" s="95">
        <f t="shared" si="53"/>
        <v>4.4542567201177476</v>
      </c>
      <c r="CQ22" s="95" t="e">
        <f>#REF!</f>
        <v>#REF!</v>
      </c>
      <c r="CR22" s="97">
        <f t="shared" si="67"/>
        <v>0.17864879399764205</v>
      </c>
      <c r="CS22" s="95">
        <f t="shared" si="67"/>
        <v>0.39019848465235119</v>
      </c>
      <c r="CT22" s="96" t="e">
        <f>#REF!</f>
        <v>#REF!</v>
      </c>
      <c r="CU22" s="97">
        <f t="shared" si="68"/>
        <v>3.6379584331160369E-2</v>
      </c>
      <c r="CV22" s="95">
        <f t="shared" si="54"/>
        <v>4.7708866648801036E-2</v>
      </c>
      <c r="CW22" s="96" t="e">
        <f>#REF!</f>
        <v>#REF!</v>
      </c>
      <c r="CX22" s="97">
        <f t="shared" si="55"/>
        <v>0.18087389981657631</v>
      </c>
      <c r="CY22" s="98">
        <f t="shared" si="55"/>
        <v>1.6334427075946321E-2</v>
      </c>
      <c r="CZ22" s="97">
        <f t="shared" si="55"/>
        <v>9.8006562455677931E-2</v>
      </c>
      <c r="DA22" s="98">
        <f t="shared" si="55"/>
        <v>1.5139225094779517E-2</v>
      </c>
      <c r="DB22" s="94">
        <f t="shared" si="14"/>
        <v>0.14262743641923861</v>
      </c>
      <c r="DC22" s="94">
        <f t="shared" si="15"/>
        <v>6.6333709954757625E-2</v>
      </c>
      <c r="DD22" s="94">
        <f t="shared" si="15"/>
        <v>2.6732684312041861E-2</v>
      </c>
      <c r="DE22" s="94">
        <f t="shared" si="15"/>
        <v>0.12979893515473345</v>
      </c>
      <c r="DF22" s="94">
        <f t="shared" si="15"/>
        <v>0</v>
      </c>
      <c r="DG22" s="94">
        <f t="shared" si="15"/>
        <v>0</v>
      </c>
      <c r="DH22" s="95">
        <f t="shared" si="15"/>
        <v>0.36549276584077151</v>
      </c>
      <c r="DI22" s="96" t="e">
        <f>#REF!</f>
        <v>#REF!</v>
      </c>
      <c r="DJ22" s="95">
        <f t="shared" si="56"/>
        <v>0.85098381059076433</v>
      </c>
      <c r="DK22" s="96" t="e">
        <f>#REF!</f>
        <v>#REF!</v>
      </c>
      <c r="DL22" s="95">
        <f t="shared" si="57"/>
        <v>0.88055390440636772</v>
      </c>
      <c r="DM22" s="96">
        <f t="shared" si="16"/>
        <v>0</v>
      </c>
      <c r="DN22" s="94">
        <f t="shared" si="17"/>
        <v>2.2747793258739946</v>
      </c>
      <c r="DO22" s="100">
        <v>3.4</v>
      </c>
      <c r="DP22" s="94">
        <f t="shared" si="69"/>
        <v>4.0063170408711271</v>
      </c>
      <c r="DQ22" s="94">
        <f t="shared" si="70"/>
        <v>3.3127799503921911</v>
      </c>
      <c r="DR22" s="101">
        <f t="shared" si="18"/>
        <v>3.07</v>
      </c>
      <c r="DS22" s="116"/>
      <c r="DT22" s="103">
        <v>17</v>
      </c>
      <c r="DU22" s="135">
        <v>642308</v>
      </c>
      <c r="DV22" s="135">
        <v>31439</v>
      </c>
      <c r="DW22" s="518">
        <v>5162039</v>
      </c>
      <c r="DX22" s="517">
        <v>126015</v>
      </c>
      <c r="DY22" s="518">
        <v>91155.4</v>
      </c>
      <c r="DZ22" s="518">
        <v>412861</v>
      </c>
      <c r="EA22" s="455">
        <v>248452</v>
      </c>
      <c r="EB22" s="455">
        <v>57186.2</v>
      </c>
      <c r="EC22" s="518">
        <v>429527</v>
      </c>
      <c r="ED22" s="518">
        <v>49153.5</v>
      </c>
      <c r="EE22" s="455">
        <v>42202.400000000001</v>
      </c>
      <c r="EF22" s="136">
        <v>44002.400000000001</v>
      </c>
      <c r="EG22" s="518">
        <v>96536.6</v>
      </c>
      <c r="EH22" s="518">
        <v>189569.1</v>
      </c>
      <c r="EI22" s="518">
        <v>36090</v>
      </c>
      <c r="EJ22" s="136">
        <v>44697</v>
      </c>
      <c r="EK22" s="136"/>
      <c r="EL22" s="518">
        <v>730874.2</v>
      </c>
      <c r="EM22" s="455">
        <v>9323</v>
      </c>
      <c r="EN22" s="455">
        <v>49936.3</v>
      </c>
      <c r="EO22" s="518">
        <v>3172778.3</v>
      </c>
      <c r="EP22" s="136">
        <v>2876563</v>
      </c>
      <c r="EQ22" s="136">
        <v>597</v>
      </c>
      <c r="ER22" s="136">
        <v>1974</v>
      </c>
      <c r="ES22" s="136">
        <v>452128</v>
      </c>
      <c r="ET22" s="136">
        <v>1687258</v>
      </c>
      <c r="EU22" s="136">
        <v>171065</v>
      </c>
      <c r="EV22" s="136">
        <v>480422</v>
      </c>
      <c r="EW22" s="136">
        <v>154463</v>
      </c>
      <c r="EX22" s="136">
        <v>227902.4</v>
      </c>
      <c r="EY22" s="136">
        <v>1751099.4</v>
      </c>
      <c r="EZ22" s="136">
        <v>850956.4</v>
      </c>
      <c r="FA22" s="145">
        <v>776638.8</v>
      </c>
      <c r="FB22" s="136">
        <v>32292.2</v>
      </c>
      <c r="FC22" s="136">
        <v>7920</v>
      </c>
      <c r="FD22" s="77">
        <f t="shared" si="72"/>
        <v>6309</v>
      </c>
      <c r="FE22" s="456">
        <v>738</v>
      </c>
      <c r="FF22" s="456">
        <v>74</v>
      </c>
      <c r="FG22" s="105">
        <v>1228</v>
      </c>
      <c r="FH22" s="136">
        <v>1440</v>
      </c>
      <c r="FI22" s="136">
        <v>609</v>
      </c>
      <c r="FJ22" s="105">
        <v>575</v>
      </c>
      <c r="FK22" s="456">
        <v>728</v>
      </c>
      <c r="FL22" s="136">
        <v>182</v>
      </c>
      <c r="FM22" s="136">
        <v>735</v>
      </c>
      <c r="FN22" s="187">
        <v>3747</v>
      </c>
      <c r="FO22" s="455">
        <v>1192615</v>
      </c>
      <c r="FP22" s="484" t="s">
        <v>311</v>
      </c>
      <c r="FR22" s="64"/>
      <c r="FS22" s="64"/>
      <c r="FT22" s="64"/>
      <c r="FU22" s="64"/>
      <c r="FV22" s="64"/>
      <c r="FW22" s="64"/>
      <c r="FX22" s="64"/>
      <c r="FY22" s="64">
        <v>17</v>
      </c>
      <c r="FZ22" s="107"/>
      <c r="GA22" s="107"/>
      <c r="GB22" s="107"/>
      <c r="GC22" s="109"/>
      <c r="GD22" s="110"/>
      <c r="GE22" s="110"/>
      <c r="GF22" s="111"/>
      <c r="GG22" s="111"/>
      <c r="GH22" s="111"/>
      <c r="GI22" s="164"/>
      <c r="GJ22" s="111" t="e">
        <f t="shared" si="58"/>
        <v>#DIV/0!</v>
      </c>
      <c r="GK22" s="118"/>
    </row>
    <row r="23" spans="1:193" s="119" customFormat="1" ht="15" customHeight="1">
      <c r="B23" s="351">
        <v>43057</v>
      </c>
      <c r="D23" s="128">
        <v>4246.2</v>
      </c>
      <c r="E23" s="128">
        <v>4824</v>
      </c>
      <c r="F23" s="86">
        <v>2218.752</v>
      </c>
      <c r="G23" s="86">
        <v>4981.7719999999999</v>
      </c>
      <c r="H23" s="86">
        <v>8713.6810000000005</v>
      </c>
      <c r="I23" s="86">
        <v>1924.819</v>
      </c>
      <c r="J23" s="86">
        <v>2868.36</v>
      </c>
      <c r="K23" s="391">
        <v>0</v>
      </c>
      <c r="L23" s="284">
        <v>1226.1600000000001</v>
      </c>
      <c r="M23" s="115">
        <f>I23+J23</f>
        <v>4793.1790000000001</v>
      </c>
      <c r="N23" s="88">
        <f>SUM(D23:H23)</f>
        <v>24984.405000000002</v>
      </c>
      <c r="O23" s="88">
        <f>N23+L23+((J23+I23)*0.5)</f>
        <v>28607.154500000004</v>
      </c>
      <c r="P23" s="89">
        <f t="shared" si="20"/>
        <v>419354.5085</v>
      </c>
      <c r="R23" s="170">
        <f t="shared" si="21"/>
        <v>313.10000000009313</v>
      </c>
      <c r="S23" s="170">
        <f t="shared" si="22"/>
        <v>0</v>
      </c>
      <c r="T23" s="170">
        <f t="shared" si="1"/>
        <v>393.8</v>
      </c>
      <c r="U23" s="170">
        <f>IF(FB23=0,"",((EN23-EN22)/10))</f>
        <v>6.1899999999994177</v>
      </c>
      <c r="V23" s="170">
        <f>IF(EO23=0,"",(EO23-EO22))</f>
        <v>1164.2000000001863</v>
      </c>
      <c r="W23" s="170">
        <f t="shared" si="2"/>
        <v>102.7</v>
      </c>
      <c r="X23" s="170">
        <f>IF(V23="","",V23)</f>
        <v>1164.2000000001863</v>
      </c>
      <c r="Y23" s="170">
        <f t="shared" si="25"/>
        <v>43.7</v>
      </c>
      <c r="Z23" s="170">
        <f t="shared" si="3"/>
        <v>186</v>
      </c>
      <c r="AA23" s="501">
        <f t="shared" si="26"/>
        <v>1877.2900000002787</v>
      </c>
      <c r="AB23" s="170">
        <f t="shared" si="27"/>
        <v>164</v>
      </c>
      <c r="AC23" s="170">
        <f t="shared" si="27"/>
        <v>25</v>
      </c>
      <c r="AD23" s="501">
        <f t="shared" si="4"/>
        <v>526</v>
      </c>
      <c r="AE23" s="501">
        <f t="shared" si="28"/>
        <v>337</v>
      </c>
      <c r="AF23" s="170">
        <f>IF(DX23=0,"",(DX23-DX22))</f>
        <v>117</v>
      </c>
      <c r="AG23" s="170">
        <f t="shared" si="29"/>
        <v>23.400000000008731</v>
      </c>
      <c r="AH23" s="501">
        <f t="shared" si="5"/>
        <v>193</v>
      </c>
      <c r="AI23" s="501">
        <f t="shared" si="30"/>
        <v>52.599999999991269</v>
      </c>
      <c r="AJ23" s="170">
        <f t="shared" si="31"/>
        <v>136</v>
      </c>
      <c r="AK23" s="170">
        <f t="shared" si="31"/>
        <v>35.200000000004366</v>
      </c>
      <c r="AL23" s="501">
        <f t="shared" si="6"/>
        <v>300</v>
      </c>
      <c r="AM23" s="501">
        <f t="shared" si="32"/>
        <v>128.79999999999563</v>
      </c>
      <c r="AN23" s="170">
        <f t="shared" si="33"/>
        <v>80.5</v>
      </c>
      <c r="AO23" s="501">
        <f>IF(AN23="","",(EE23-EE22)+(EF23-EF22))</f>
        <v>46</v>
      </c>
      <c r="AP23" s="170">
        <f t="shared" si="34"/>
        <v>26.599999999991269</v>
      </c>
      <c r="AQ23" s="501">
        <f>IF(AP23=0.1,0,(IF(AP23&gt;=(EH23-EH22),(AP23),(EH23-EH22))))</f>
        <v>43.899999999994179</v>
      </c>
      <c r="AR23" s="170">
        <f>IF(ET23=0,"",(ET23-ET22)/1000)</f>
        <v>79.536000000000001</v>
      </c>
      <c r="AS23" s="501">
        <f>IF(AR23="","",(ES23-ES22)+((ET23-ET22)/1000)-AW23-AU23)</f>
        <v>154.53600000000006</v>
      </c>
      <c r="AT23" s="501">
        <f t="shared" si="37"/>
        <v>669.53600000000006</v>
      </c>
      <c r="AU23" s="170">
        <f t="shared" si="60"/>
        <v>254</v>
      </c>
      <c r="AV23" s="501">
        <f t="shared" si="61"/>
        <v>13</v>
      </c>
      <c r="AW23" s="170">
        <f t="shared" si="62"/>
        <v>261</v>
      </c>
      <c r="AX23" s="501">
        <f>IF(EJ23=0,"",(EJ23-EJ22))</f>
        <v>9</v>
      </c>
      <c r="AY23" s="501" t="str">
        <f t="shared" si="63"/>
        <v/>
      </c>
      <c r="AZ23" s="170">
        <f t="shared" si="38"/>
        <v>402</v>
      </c>
      <c r="BA23" s="170">
        <v>33</v>
      </c>
      <c r="BB23" s="170">
        <f t="shared" si="39"/>
        <v>168.60000000000582</v>
      </c>
      <c r="BC23" s="170">
        <f t="shared" si="39"/>
        <v>1206.9000000001397</v>
      </c>
      <c r="BD23" s="170">
        <f t="shared" si="40"/>
        <v>58.199999999953434</v>
      </c>
      <c r="BE23" s="90"/>
      <c r="BF23" s="90"/>
      <c r="BG23" s="501">
        <f t="shared" si="41"/>
        <v>1835.700000000099</v>
      </c>
      <c r="BH23" s="501">
        <f>BL23-FC23</f>
        <v>1351</v>
      </c>
      <c r="BI23" s="90">
        <f>IF(FC23=0,"",(FC23-BJ23))</f>
        <v>983.57399999962763</v>
      </c>
      <c r="BJ23" s="90">
        <f t="shared" si="43"/>
        <v>5513.4260000003724</v>
      </c>
      <c r="BK23" s="92"/>
      <c r="BL23" s="331">
        <f t="shared" si="64"/>
        <v>7848</v>
      </c>
      <c r="BM23" s="93">
        <f>BL23+BM22</f>
        <v>137294</v>
      </c>
      <c r="BN23" s="92"/>
      <c r="BO23" s="94">
        <f t="shared" si="45"/>
        <v>0.12531817347665197</v>
      </c>
      <c r="BP23" s="94">
        <f t="shared" si="45"/>
        <v>0</v>
      </c>
      <c r="BQ23" s="94">
        <f t="shared" si="46"/>
        <v>0.1576183223094566</v>
      </c>
      <c r="BR23" s="94">
        <f t="shared" si="65"/>
        <v>0.46597067250558344</v>
      </c>
      <c r="BS23" s="94">
        <f t="shared" si="73"/>
        <v>1.7490910830175864E-2</v>
      </c>
      <c r="BT23" s="94">
        <f>IF($N23&lt;&gt;0,IF($N23&lt;&gt;0,Z23/$N23*10,0)," ")</f>
        <v>7.4446439689078034E-2</v>
      </c>
      <c r="BU23" s="95">
        <f t="shared" si="73"/>
        <v>0.75138471378457028</v>
      </c>
      <c r="BV23" s="94">
        <f t="shared" si="11"/>
        <v>0.10944814521839041</v>
      </c>
      <c r="BW23" s="94">
        <f t="shared" si="11"/>
        <v>0</v>
      </c>
      <c r="BX23" s="94">
        <f t="shared" si="11"/>
        <v>0.13765787156496112</v>
      </c>
      <c r="BY23" s="94">
        <f t="shared" si="47"/>
        <v>0.4069611327474692</v>
      </c>
      <c r="BZ23" s="95">
        <f t="shared" si="12"/>
        <v>0.65623094390610526</v>
      </c>
      <c r="CA23" s="96" t="e">
        <f>#REF!</f>
        <v>#REF!</v>
      </c>
      <c r="CB23" s="94">
        <f t="shared" si="48"/>
        <v>2.7802835126436637E-2</v>
      </c>
      <c r="CC23" s="95">
        <f t="shared" si="48"/>
        <v>5.4020052920677603E-2</v>
      </c>
      <c r="CD23" s="97">
        <f t="shared" si="13"/>
        <v>0.16593580168819067</v>
      </c>
      <c r="CE23" s="98">
        <f t="shared" si="13"/>
        <v>0.32240815542252865</v>
      </c>
      <c r="CF23" s="97">
        <f t="shared" si="49"/>
        <v>0.38622768593095003</v>
      </c>
      <c r="CG23" s="94">
        <f t="shared" si="49"/>
        <v>5.8876171635815558E-2</v>
      </c>
      <c r="CH23" s="95">
        <f t="shared" si="50"/>
        <v>1.2387546512175593</v>
      </c>
      <c r="CI23" s="96" t="e">
        <f>#REF!</f>
        <v>#REF!</v>
      </c>
      <c r="CJ23" s="94">
        <f t="shared" si="51"/>
        <v>0.24253731343283583</v>
      </c>
      <c r="CK23" s="94">
        <f t="shared" si="51"/>
        <v>4.8507462686585262E-2</v>
      </c>
      <c r="CL23" s="95">
        <f t="shared" si="66"/>
        <v>0.40008291873963514</v>
      </c>
      <c r="CM23" s="95" t="e">
        <f>#REF!</f>
        <v>#REF!</v>
      </c>
      <c r="CN23" s="94">
        <f t="shared" si="52"/>
        <v>0.61295719395407877</v>
      </c>
      <c r="CO23" s="94">
        <f t="shared" si="52"/>
        <v>0.15864774431754591</v>
      </c>
      <c r="CP23" s="95">
        <f t="shared" si="53"/>
        <v>1.3521114572516444</v>
      </c>
      <c r="CQ23" s="95" t="e">
        <f>#REF!</f>
        <v>#REF!</v>
      </c>
      <c r="CR23" s="97">
        <f t="shared" si="67"/>
        <v>0.16158908918352749</v>
      </c>
      <c r="CS23" s="95">
        <f t="shared" si="67"/>
        <v>9.2336622390587125E-2</v>
      </c>
      <c r="CT23" s="96" t="e">
        <f>#REF!</f>
        <v>#REF!</v>
      </c>
      <c r="CU23" s="97">
        <f t="shared" si="68"/>
        <v>3.0526708517320367E-2</v>
      </c>
      <c r="CV23" s="95">
        <f t="shared" si="54"/>
        <v>5.0380545259797987E-2</v>
      </c>
      <c r="CW23" s="96" t="e">
        <f>#REF!</f>
        <v>#REF!</v>
      </c>
      <c r="CX23" s="99">
        <f t="shared" si="55"/>
        <v>8.878897759649601E-2</v>
      </c>
      <c r="CY23" s="95">
        <f t="shared" si="55"/>
        <v>4.5443177510017634E-3</v>
      </c>
      <c r="CZ23" s="99">
        <f t="shared" si="55"/>
        <v>9.1235917923958493E-2</v>
      </c>
      <c r="DA23" s="95">
        <f t="shared" si="55"/>
        <v>3.1460661353089133E-3</v>
      </c>
      <c r="DB23" s="94">
        <f t="shared" si="14"/>
        <v>0.14052428737713146</v>
      </c>
      <c r="DC23" s="94">
        <f t="shared" si="15"/>
        <v>5.8936305601455671E-2</v>
      </c>
      <c r="DD23" s="94">
        <f t="shared" si="15"/>
        <v>0.42188746874497413</v>
      </c>
      <c r="DE23" s="94">
        <f t="shared" si="15"/>
        <v>2.0344561008314693E-2</v>
      </c>
      <c r="DF23" s="94">
        <f t="shared" si="15"/>
        <v>0</v>
      </c>
      <c r="DG23" s="94">
        <f t="shared" si="15"/>
        <v>0</v>
      </c>
      <c r="DH23" s="95">
        <f t="shared" si="15"/>
        <v>0.64169262273187588</v>
      </c>
      <c r="DI23" s="96" t="e">
        <f>#REF!</f>
        <v>#REF!</v>
      </c>
      <c r="DJ23" s="95">
        <f t="shared" si="56"/>
        <v>0.47225948320026023</v>
      </c>
      <c r="DK23" s="96" t="e">
        <f>#REF!</f>
        <v>#REF!</v>
      </c>
      <c r="DL23" s="95">
        <f t="shared" si="57"/>
        <v>0.34382098366323971</v>
      </c>
      <c r="DM23" s="96">
        <f t="shared" si="16"/>
        <v>0</v>
      </c>
      <c r="DN23" s="94">
        <f t="shared" si="17"/>
        <v>1.9272892031258724</v>
      </c>
      <c r="DO23" s="100">
        <v>3.4</v>
      </c>
      <c r="DP23" s="94">
        <f>IF($O23&lt;&gt;0,IF($O23&lt;&gt;0,BL23/$O23*10,0)," ")</f>
        <v>2.7433696699893724</v>
      </c>
      <c r="DQ23" s="94">
        <f>IF($P23&lt;&gt;0,IF($P23&lt;&gt;0,BM23/$P23*10,0)," ")</f>
        <v>3.2739364241269393</v>
      </c>
      <c r="DR23" s="101">
        <f t="shared" si="18"/>
        <v>3.07</v>
      </c>
      <c r="DS23" s="171"/>
      <c r="DT23" s="103">
        <v>18</v>
      </c>
      <c r="DU23" s="373">
        <v>642472</v>
      </c>
      <c r="DV23" s="135">
        <v>31464</v>
      </c>
      <c r="DW23" s="373">
        <v>5162401</v>
      </c>
      <c r="DX23" s="373">
        <v>126132</v>
      </c>
      <c r="DY23" s="373">
        <v>91178.8</v>
      </c>
      <c r="DZ23" s="373">
        <v>412937</v>
      </c>
      <c r="EA23" s="373">
        <v>248588</v>
      </c>
      <c r="EB23" s="373">
        <v>57221.4</v>
      </c>
      <c r="EC23" s="373">
        <v>429691</v>
      </c>
      <c r="ED23" s="373">
        <v>49234</v>
      </c>
      <c r="EE23" s="373">
        <v>42182.3</v>
      </c>
      <c r="EF23" s="373">
        <v>44068.5</v>
      </c>
      <c r="EG23" s="373">
        <v>96563.199999999997</v>
      </c>
      <c r="EH23" s="373">
        <v>189613</v>
      </c>
      <c r="EI23" s="373">
        <v>36103</v>
      </c>
      <c r="EJ23" s="373">
        <v>44706</v>
      </c>
      <c r="EK23" s="330"/>
      <c r="EL23" s="373">
        <v>731187.3</v>
      </c>
      <c r="EM23" s="373">
        <v>3938</v>
      </c>
      <c r="EN23" s="373">
        <v>49998.2</v>
      </c>
      <c r="EO23" s="373">
        <v>3173942.5</v>
      </c>
      <c r="EP23" s="373">
        <v>2877590</v>
      </c>
      <c r="EQ23" s="373">
        <v>437</v>
      </c>
      <c r="ER23" s="373">
        <v>1860</v>
      </c>
      <c r="ES23" s="373">
        <v>452718</v>
      </c>
      <c r="ET23" s="373">
        <v>1766794</v>
      </c>
      <c r="EU23" s="373">
        <v>171326</v>
      </c>
      <c r="EV23" s="373">
        <v>480676</v>
      </c>
      <c r="EW23" s="373">
        <v>154865</v>
      </c>
      <c r="EX23" s="373">
        <v>228071</v>
      </c>
      <c r="EY23" s="373">
        <v>1752306.3</v>
      </c>
      <c r="EZ23" s="521">
        <v>850956.4</v>
      </c>
      <c r="FA23" s="373">
        <v>776697</v>
      </c>
      <c r="FB23" s="136">
        <v>32329.4</v>
      </c>
      <c r="FC23" s="136">
        <v>6497</v>
      </c>
      <c r="FD23" s="77">
        <f>SUM(FE23:FM23)</f>
        <v>6148</v>
      </c>
      <c r="FE23" s="456">
        <v>616</v>
      </c>
      <c r="FF23" s="456">
        <v>63</v>
      </c>
      <c r="FG23" s="136">
        <v>2152</v>
      </c>
      <c r="FH23" s="136">
        <v>1074</v>
      </c>
      <c r="FI23" s="136">
        <v>614</v>
      </c>
      <c r="FJ23" s="136">
        <v>514</v>
      </c>
      <c r="FK23" s="136">
        <v>388</v>
      </c>
      <c r="FL23" s="136">
        <v>90</v>
      </c>
      <c r="FM23" s="136">
        <v>637</v>
      </c>
      <c r="FN23" s="303">
        <v>1700</v>
      </c>
      <c r="FO23" s="104"/>
      <c r="FP23" s="487"/>
      <c r="FY23" s="119">
        <v>18</v>
      </c>
      <c r="FZ23" s="107"/>
      <c r="GA23" s="107"/>
      <c r="GB23" s="107"/>
      <c r="GC23" s="109"/>
      <c r="GD23" s="110"/>
      <c r="GE23" s="110"/>
      <c r="GF23" s="111"/>
      <c r="GG23" s="111"/>
      <c r="GH23" s="111"/>
      <c r="GI23" s="164"/>
      <c r="GJ23" s="111" t="e">
        <f t="shared" si="58"/>
        <v>#DIV/0!</v>
      </c>
    </row>
    <row r="24" spans="1:193" s="119" customFormat="1" ht="15" customHeight="1">
      <c r="B24" s="351">
        <v>43058</v>
      </c>
      <c r="D24" s="128">
        <v>823.92</v>
      </c>
      <c r="E24" s="128">
        <v>6224.76</v>
      </c>
      <c r="F24" s="86">
        <v>4001.5439999999999</v>
      </c>
      <c r="G24" s="86">
        <v>6130.5659999999998</v>
      </c>
      <c r="H24" s="86">
        <v>292.76799999999997</v>
      </c>
      <c r="I24" s="86">
        <v>2007.693</v>
      </c>
      <c r="J24" s="86">
        <v>5199.12</v>
      </c>
      <c r="K24" s="284">
        <v>0</v>
      </c>
      <c r="L24" s="284">
        <f>413.44+376</f>
        <v>789.44</v>
      </c>
      <c r="M24" s="115">
        <f t="shared" si="59"/>
        <v>7206.8130000000001</v>
      </c>
      <c r="N24" s="88">
        <f t="shared" si="19"/>
        <v>17473.558000000001</v>
      </c>
      <c r="O24" s="88">
        <f>(N24+L24+((J24+I24)*0.5))</f>
        <v>21866.404500000001</v>
      </c>
      <c r="P24" s="89">
        <f t="shared" si="20"/>
        <v>441220.913</v>
      </c>
      <c r="R24" s="170">
        <f t="shared" si="21"/>
        <v>230.89999999990687</v>
      </c>
      <c r="S24" s="170">
        <f t="shared" si="22"/>
        <v>0</v>
      </c>
      <c r="T24" s="170">
        <f t="shared" si="1"/>
        <v>1008.4</v>
      </c>
      <c r="U24" s="170">
        <f>IF(FB24=0,"",((EN24-EN23)/10))</f>
        <v>4.5100000000005824</v>
      </c>
      <c r="V24" s="170">
        <f t="shared" si="23"/>
        <v>1081.3999999999069</v>
      </c>
      <c r="W24" s="170">
        <f t="shared" si="2"/>
        <v>95.2</v>
      </c>
      <c r="X24" s="170">
        <f t="shared" si="24"/>
        <v>1081.3999999999069</v>
      </c>
      <c r="Y24" s="170">
        <f t="shared" si="25"/>
        <v>30.7</v>
      </c>
      <c r="Z24" s="170">
        <f t="shared" si="3"/>
        <v>177.3</v>
      </c>
      <c r="AA24" s="501">
        <f t="shared" si="26"/>
        <v>2325.2099999998145</v>
      </c>
      <c r="AB24" s="170">
        <f t="shared" si="27"/>
        <v>31</v>
      </c>
      <c r="AC24" s="170">
        <f t="shared" si="27"/>
        <v>153</v>
      </c>
      <c r="AD24" s="501">
        <f t="shared" si="4"/>
        <v>189</v>
      </c>
      <c r="AE24" s="501">
        <f t="shared" si="28"/>
        <v>5</v>
      </c>
      <c r="AF24" s="170">
        <f t="shared" si="29"/>
        <v>131</v>
      </c>
      <c r="AG24" s="170">
        <f t="shared" si="29"/>
        <v>67.099999999991269</v>
      </c>
      <c r="AH24" s="501">
        <f t="shared" si="5"/>
        <v>262</v>
      </c>
      <c r="AI24" s="501">
        <f t="shared" si="30"/>
        <v>63.900000000008731</v>
      </c>
      <c r="AJ24" s="170">
        <f t="shared" si="31"/>
        <v>188</v>
      </c>
      <c r="AK24" s="170">
        <f t="shared" si="31"/>
        <v>25.599999999998545</v>
      </c>
      <c r="AL24" s="501">
        <f t="shared" si="6"/>
        <v>326</v>
      </c>
      <c r="AM24" s="501">
        <f t="shared" si="32"/>
        <v>112.40000000000146</v>
      </c>
      <c r="AN24" s="170">
        <f t="shared" si="33"/>
        <v>76.19999999999709</v>
      </c>
      <c r="AO24" s="501">
        <f t="shared" si="7"/>
        <v>97.19999999999709</v>
      </c>
      <c r="AP24" s="170">
        <f t="shared" si="34"/>
        <v>13.5</v>
      </c>
      <c r="AQ24" s="501">
        <f t="shared" si="8"/>
        <v>48.600000000005821</v>
      </c>
      <c r="AR24" s="170">
        <f t="shared" si="35"/>
        <v>112.294</v>
      </c>
      <c r="AS24" s="501">
        <f t="shared" si="36"/>
        <v>159.29399999999998</v>
      </c>
      <c r="AT24" s="501">
        <f t="shared" si="37"/>
        <v>880.29399999999998</v>
      </c>
      <c r="AU24" s="170">
        <f t="shared" si="60"/>
        <v>441</v>
      </c>
      <c r="AV24" s="501">
        <f t="shared" si="61"/>
        <v>36</v>
      </c>
      <c r="AW24" s="170">
        <f t="shared" si="62"/>
        <v>280</v>
      </c>
      <c r="AX24" s="501">
        <f t="shared" si="63"/>
        <v>28</v>
      </c>
      <c r="AY24" s="501" t="str">
        <f t="shared" si="63"/>
        <v/>
      </c>
      <c r="AZ24" s="170">
        <f t="shared" si="38"/>
        <v>374</v>
      </c>
      <c r="BA24" s="170">
        <v>0</v>
      </c>
      <c r="BB24" s="170">
        <f t="shared" si="39"/>
        <v>176.60000000000582</v>
      </c>
      <c r="BC24" s="170">
        <f t="shared" si="39"/>
        <v>856.5</v>
      </c>
      <c r="BD24" s="170">
        <f t="shared" si="40"/>
        <v>50</v>
      </c>
      <c r="BE24" s="90"/>
      <c r="BF24" s="90"/>
      <c r="BG24" s="501">
        <f t="shared" si="41"/>
        <v>1457.1000000000058</v>
      </c>
      <c r="BH24" s="501">
        <f t="shared" si="42"/>
        <v>1526</v>
      </c>
      <c r="BI24" s="90">
        <f t="shared" si="9"/>
        <v>912.5960000001769</v>
      </c>
      <c r="BJ24" s="90">
        <f t="shared" si="43"/>
        <v>5649.4039999998231</v>
      </c>
      <c r="BK24" s="92"/>
      <c r="BL24" s="331">
        <f t="shared" si="64"/>
        <v>8088</v>
      </c>
      <c r="BM24" s="93">
        <f t="shared" si="44"/>
        <v>145382</v>
      </c>
      <c r="BN24" s="92"/>
      <c r="BO24" s="94">
        <f t="shared" si="45"/>
        <v>0.13214252071610535</v>
      </c>
      <c r="BP24" s="94">
        <f t="shared" si="45"/>
        <v>0</v>
      </c>
      <c r="BQ24" s="94">
        <f t="shared" si="46"/>
        <v>0.57710055387689208</v>
      </c>
      <c r="BR24" s="94">
        <f t="shared" si="65"/>
        <v>0.61887796406427742</v>
      </c>
      <c r="BS24" s="94">
        <f t="shared" si="73"/>
        <v>1.7569404010333783E-2</v>
      </c>
      <c r="BT24" s="94">
        <f t="shared" si="73"/>
        <v>0.1014676003593544</v>
      </c>
      <c r="BU24" s="95">
        <f t="shared" si="73"/>
        <v>1.3307020813962529</v>
      </c>
      <c r="BV24" s="94">
        <f t="shared" si="11"/>
        <v>0.10559577821763375</v>
      </c>
      <c r="BW24" s="94">
        <f t="shared" si="11"/>
        <v>0</v>
      </c>
      <c r="BX24" s="94">
        <f t="shared" si="11"/>
        <v>0.46116406563319545</v>
      </c>
      <c r="BY24" s="94">
        <f t="shared" si="47"/>
        <v>0.49454861223293789</v>
      </c>
      <c r="BZ24" s="95">
        <f t="shared" si="12"/>
        <v>1.0633709808120555</v>
      </c>
      <c r="CA24" s="96" t="e">
        <f>#REF!</f>
        <v>#REF!</v>
      </c>
      <c r="CB24" s="94">
        <f t="shared" si="48"/>
        <v>5.1354579121592671E-2</v>
      </c>
      <c r="CC24" s="95">
        <f t="shared" si="48"/>
        <v>7.2848739261180309E-2</v>
      </c>
      <c r="CD24" s="97">
        <f t="shared" si="13"/>
        <v>0.15581644757537069</v>
      </c>
      <c r="CE24" s="98">
        <f t="shared" si="13"/>
        <v>0.22103251464967938</v>
      </c>
      <c r="CF24" s="97">
        <f t="shared" si="49"/>
        <v>0.37625012137100688</v>
      </c>
      <c r="CG24" s="94">
        <f t="shared" si="49"/>
        <v>1.8569764054762601</v>
      </c>
      <c r="CH24" s="95">
        <f t="shared" si="50"/>
        <v>2.2939120302942033</v>
      </c>
      <c r="CI24" s="96" t="e">
        <f>#REF!</f>
        <v>#REF!</v>
      </c>
      <c r="CJ24" s="94">
        <f t="shared" si="51"/>
        <v>0.21044988079861712</v>
      </c>
      <c r="CK24" s="94">
        <f t="shared" si="51"/>
        <v>0.1077953206227891</v>
      </c>
      <c r="CL24" s="95">
        <f t="shared" si="66"/>
        <v>0.42089976159723425</v>
      </c>
      <c r="CM24" s="95" t="e">
        <f>#REF!</f>
        <v>#REF!</v>
      </c>
      <c r="CN24" s="94">
        <f t="shared" si="52"/>
        <v>0.46981865000109957</v>
      </c>
      <c r="CO24" s="94">
        <f t="shared" si="52"/>
        <v>6.3975305532060989E-2</v>
      </c>
      <c r="CP24" s="95">
        <f t="shared" si="53"/>
        <v>0.81468553138488542</v>
      </c>
      <c r="CQ24" s="95" t="e">
        <f>#REF!</f>
        <v>#REF!</v>
      </c>
      <c r="CR24" s="97">
        <f t="shared" si="67"/>
        <v>0.12429521189397046</v>
      </c>
      <c r="CS24" s="95">
        <f t="shared" si="67"/>
        <v>0.158549797849003</v>
      </c>
      <c r="CT24" s="96" t="e">
        <f>#REF!</f>
        <v>#REF!</v>
      </c>
      <c r="CU24" s="97">
        <f t="shared" si="68"/>
        <v>0.4611159689583561</v>
      </c>
      <c r="CV24" s="95">
        <f t="shared" si="54"/>
        <v>1.6600174882502809</v>
      </c>
      <c r="CW24" s="96" t="e">
        <f>#REF!</f>
        <v>#REF!</v>
      </c>
      <c r="CX24" s="99">
        <f t="shared" si="55"/>
        <v>0.20167924726719472</v>
      </c>
      <c r="CY24" s="95">
        <f t="shared" si="55"/>
        <v>1.6463612021811815E-2</v>
      </c>
      <c r="CZ24" s="99">
        <f t="shared" si="55"/>
        <v>0.12805031572520301</v>
      </c>
      <c r="DA24" s="95">
        <f t="shared" si="55"/>
        <v>1.28050315725203E-2</v>
      </c>
      <c r="DB24" s="94">
        <f t="shared" si="14"/>
        <v>0.17103863600437832</v>
      </c>
      <c r="DC24" s="94">
        <f t="shared" si="15"/>
        <v>8.0763163418112849E-2</v>
      </c>
      <c r="DD24" s="94">
        <f t="shared" si="15"/>
        <v>0.39169676935227277</v>
      </c>
      <c r="DE24" s="94">
        <f t="shared" si="15"/>
        <v>2.2866127808071967E-2</v>
      </c>
      <c r="DF24" s="94">
        <f t="shared" si="15"/>
        <v>0</v>
      </c>
      <c r="DG24" s="94">
        <f t="shared" si="15"/>
        <v>0</v>
      </c>
      <c r="DH24" s="95">
        <f t="shared" si="15"/>
        <v>0.66636469658283604</v>
      </c>
      <c r="DI24" s="96" t="e">
        <f>#REF!</f>
        <v>#REF!</v>
      </c>
      <c r="DJ24" s="95">
        <f t="shared" si="56"/>
        <v>0.69787422070235638</v>
      </c>
      <c r="DK24" s="96" t="e">
        <f>#REF!</f>
        <v>#REF!</v>
      </c>
      <c r="DL24" s="95">
        <f t="shared" si="57"/>
        <v>0.41735073546278584</v>
      </c>
      <c r="DM24" s="96">
        <f t="shared" si="16"/>
        <v>0</v>
      </c>
      <c r="DN24" s="94">
        <f t="shared" si="17"/>
        <v>2.5835998780685792</v>
      </c>
      <c r="DO24" s="100">
        <v>3.4</v>
      </c>
      <c r="DP24" s="94">
        <f>IF($O24&lt;&gt;0,IF($O24&lt;&gt;0,BL24/$O24*10,0)," ")</f>
        <v>3.6988248342337213</v>
      </c>
      <c r="DQ24" s="94">
        <f t="shared" si="70"/>
        <v>3.2949934084380086</v>
      </c>
      <c r="DR24" s="101">
        <f t="shared" si="18"/>
        <v>3.07</v>
      </c>
      <c r="DT24" s="103">
        <v>19</v>
      </c>
      <c r="DU24" s="373">
        <v>642503</v>
      </c>
      <c r="DV24" s="373">
        <v>31617</v>
      </c>
      <c r="DW24" s="373">
        <v>5162559</v>
      </c>
      <c r="DX24" s="373">
        <v>126263</v>
      </c>
      <c r="DY24" s="373">
        <v>91245.9</v>
      </c>
      <c r="DZ24" s="373">
        <v>413068</v>
      </c>
      <c r="EA24" s="373">
        <v>248776</v>
      </c>
      <c r="EB24" s="373">
        <v>57247</v>
      </c>
      <c r="EC24" s="373">
        <v>429829</v>
      </c>
      <c r="ED24" s="373">
        <v>49310.2</v>
      </c>
      <c r="EE24" s="373">
        <v>42215.5</v>
      </c>
      <c r="EF24" s="373">
        <v>44132.5</v>
      </c>
      <c r="EG24" s="373">
        <v>96576.7</v>
      </c>
      <c r="EH24" s="373">
        <v>189661.6</v>
      </c>
      <c r="EI24" s="373">
        <v>36139</v>
      </c>
      <c r="EJ24" s="373">
        <v>44734</v>
      </c>
      <c r="EK24" s="330"/>
      <c r="EL24" s="373">
        <v>731418.2</v>
      </c>
      <c r="EM24" s="373">
        <v>10084</v>
      </c>
      <c r="EN24" s="373">
        <v>50043.3</v>
      </c>
      <c r="EO24" s="373">
        <v>3175023.9</v>
      </c>
      <c r="EP24" s="373">
        <v>2878542</v>
      </c>
      <c r="EQ24" s="330">
        <v>307</v>
      </c>
      <c r="ER24" s="373">
        <v>1773</v>
      </c>
      <c r="ES24" s="373">
        <v>453486</v>
      </c>
      <c r="ET24" s="373">
        <v>1879088</v>
      </c>
      <c r="EU24" s="373">
        <v>171606</v>
      </c>
      <c r="EV24" s="373">
        <v>481117</v>
      </c>
      <c r="EW24" s="373">
        <v>155239</v>
      </c>
      <c r="EX24" s="373">
        <v>228247.6</v>
      </c>
      <c r="EY24" s="373">
        <v>1753162.8</v>
      </c>
      <c r="EZ24" s="521">
        <v>850956.4</v>
      </c>
      <c r="FA24" s="373">
        <v>776747</v>
      </c>
      <c r="FB24" s="136">
        <v>32329</v>
      </c>
      <c r="FC24" s="136">
        <v>6562</v>
      </c>
      <c r="FD24" s="303">
        <f t="shared" si="72"/>
        <v>6388</v>
      </c>
      <c r="FE24" s="456">
        <v>685</v>
      </c>
      <c r="FF24" s="456">
        <v>63</v>
      </c>
      <c r="FG24" s="136">
        <v>2361</v>
      </c>
      <c r="FH24" s="136">
        <v>1019</v>
      </c>
      <c r="FI24" s="136">
        <v>625</v>
      </c>
      <c r="FJ24" s="136">
        <v>521</v>
      </c>
      <c r="FK24" s="136">
        <v>534</v>
      </c>
      <c r="FL24" s="136">
        <v>0</v>
      </c>
      <c r="FM24" s="136">
        <v>580</v>
      </c>
      <c r="FN24" s="80">
        <v>1700</v>
      </c>
      <c r="FO24" s="104"/>
      <c r="FP24" s="487"/>
      <c r="FY24" s="119">
        <v>19</v>
      </c>
      <c r="FZ24" s="107"/>
      <c r="GA24" s="107"/>
      <c r="GB24" s="107"/>
      <c r="GC24" s="109"/>
      <c r="GD24" s="110"/>
      <c r="GE24" s="110"/>
      <c r="GF24" s="111"/>
      <c r="GG24" s="111"/>
      <c r="GH24" s="111"/>
      <c r="GI24" s="164"/>
      <c r="GJ24" s="111" t="e">
        <f t="shared" si="58"/>
        <v>#DIV/0!</v>
      </c>
    </row>
    <row r="25" spans="1:193" ht="15" customHeight="1">
      <c r="B25" s="351">
        <v>43059</v>
      </c>
      <c r="D25" s="86">
        <v>0</v>
      </c>
      <c r="E25" s="86">
        <v>3720</v>
      </c>
      <c r="F25" s="86">
        <v>2055.8159999999998</v>
      </c>
      <c r="G25" s="86">
        <v>5078.1750000000002</v>
      </c>
      <c r="H25" s="86">
        <v>6160.9570000000003</v>
      </c>
      <c r="I25" s="86">
        <v>2801.4540000000002</v>
      </c>
      <c r="J25" s="86">
        <v>7826.4</v>
      </c>
      <c r="K25" s="284">
        <v>0</v>
      </c>
      <c r="L25" s="284">
        <v>340.63</v>
      </c>
      <c r="M25" s="115">
        <f>I25+J25</f>
        <v>10627.853999999999</v>
      </c>
      <c r="N25" s="88">
        <f>SUM(D25:H25)</f>
        <v>17014.948</v>
      </c>
      <c r="O25" s="88">
        <f>(N25+L25+((J25+I25)*0.5))-890</f>
        <v>21779.505000000001</v>
      </c>
      <c r="P25" s="89">
        <f t="shared" si="20"/>
        <v>463000.41800000001</v>
      </c>
      <c r="R25" s="170">
        <f t="shared" si="21"/>
        <v>97.600000000093132</v>
      </c>
      <c r="S25" s="170">
        <f t="shared" si="22"/>
        <v>0</v>
      </c>
      <c r="T25" s="170">
        <f t="shared" si="1"/>
        <v>833.5</v>
      </c>
      <c r="U25" s="170">
        <f t="shared" si="71"/>
        <v>1.7</v>
      </c>
      <c r="V25" s="170">
        <f t="shared" si="23"/>
        <v>940.3000000002794</v>
      </c>
      <c r="W25" s="170">
        <f t="shared" si="2"/>
        <v>83.1</v>
      </c>
      <c r="X25" s="170">
        <f t="shared" si="24"/>
        <v>940.3000000002794</v>
      </c>
      <c r="Y25" s="170">
        <f t="shared" si="25"/>
        <v>90.9</v>
      </c>
      <c r="Z25" s="170">
        <f t="shared" si="3"/>
        <v>120.5</v>
      </c>
      <c r="AA25" s="501">
        <f t="shared" si="26"/>
        <v>1873.1000000003726</v>
      </c>
      <c r="AB25" s="170">
        <f t="shared" si="27"/>
        <v>41</v>
      </c>
      <c r="AC25" s="170">
        <f t="shared" si="27"/>
        <v>25</v>
      </c>
      <c r="AD25" s="501">
        <f t="shared" si="4"/>
        <v>273</v>
      </c>
      <c r="AE25" s="501">
        <f t="shared" si="28"/>
        <v>207</v>
      </c>
      <c r="AF25" s="170">
        <f t="shared" si="29"/>
        <v>119</v>
      </c>
      <c r="AG25" s="170">
        <f t="shared" si="29"/>
        <v>90.100000000005821</v>
      </c>
      <c r="AH25" s="501">
        <f t="shared" si="5"/>
        <v>287</v>
      </c>
      <c r="AI25" s="501">
        <f t="shared" si="30"/>
        <v>77.899999999994179</v>
      </c>
      <c r="AJ25" s="170">
        <f t="shared" si="31"/>
        <v>177</v>
      </c>
      <c r="AK25" s="170">
        <f t="shared" si="31"/>
        <v>5.6999999999970896</v>
      </c>
      <c r="AL25" s="501">
        <f t="shared" si="6"/>
        <v>280</v>
      </c>
      <c r="AM25" s="501">
        <f t="shared" si="32"/>
        <v>97.30000000000291</v>
      </c>
      <c r="AN25" s="170">
        <f t="shared" si="33"/>
        <v>21.200000000004366</v>
      </c>
      <c r="AO25" s="501">
        <f t="shared" si="7"/>
        <v>47.900000000001455</v>
      </c>
      <c r="AP25" s="170">
        <f t="shared" si="34"/>
        <v>10.400000000008731</v>
      </c>
      <c r="AQ25" s="501">
        <f t="shared" si="8"/>
        <v>74.199999999982538</v>
      </c>
      <c r="AR25" s="170">
        <f t="shared" si="35"/>
        <v>91.278000000000006</v>
      </c>
      <c r="AS25" s="501">
        <f t="shared" si="36"/>
        <v>72.27800000000002</v>
      </c>
      <c r="AT25" s="501">
        <f t="shared" si="37"/>
        <v>907.27800000000002</v>
      </c>
      <c r="AU25" s="170">
        <f t="shared" si="60"/>
        <v>546</v>
      </c>
      <c r="AV25" s="501">
        <f t="shared" si="61"/>
        <v>10</v>
      </c>
      <c r="AW25" s="170">
        <f>IF(EU25="","",(EU25-EU24))</f>
        <v>289</v>
      </c>
      <c r="AX25" s="501">
        <f t="shared" si="63"/>
        <v>6</v>
      </c>
      <c r="AY25" s="501" t="str">
        <f t="shared" si="63"/>
        <v/>
      </c>
      <c r="AZ25" s="170">
        <f t="shared" si="38"/>
        <v>372</v>
      </c>
      <c r="BA25" s="170">
        <v>115</v>
      </c>
      <c r="BB25" s="170">
        <f t="shared" si="39"/>
        <v>170.19999999998254</v>
      </c>
      <c r="BC25" s="170">
        <f t="shared" si="39"/>
        <v>350.19999999995343</v>
      </c>
      <c r="BD25" s="170">
        <f t="shared" si="40"/>
        <v>243</v>
      </c>
      <c r="BE25" s="90"/>
      <c r="BF25" s="90"/>
      <c r="BG25" s="501">
        <f t="shared" si="41"/>
        <v>1135.399999999936</v>
      </c>
      <c r="BH25" s="501">
        <f t="shared" si="42"/>
        <v>75</v>
      </c>
      <c r="BI25" s="90">
        <f t="shared" si="9"/>
        <v>2301.1219999997074</v>
      </c>
      <c r="BJ25" s="90">
        <f t="shared" si="43"/>
        <v>4893.8780000002926</v>
      </c>
      <c r="BK25" s="92"/>
      <c r="BL25" s="331">
        <f>FD25+FN25</f>
        <v>7270</v>
      </c>
      <c r="BM25" s="93">
        <f t="shared" si="44"/>
        <v>152652</v>
      </c>
      <c r="BN25" s="92"/>
      <c r="BO25" s="94">
        <f t="shared" si="45"/>
        <v>5.7361327228324849E-2</v>
      </c>
      <c r="BP25" s="94">
        <f t="shared" si="45"/>
        <v>0</v>
      </c>
      <c r="BQ25" s="94">
        <f t="shared" si="46"/>
        <v>0.48986338365535997</v>
      </c>
      <c r="BR25" s="94">
        <f t="shared" si="65"/>
        <v>0.55263172123727877</v>
      </c>
      <c r="BS25" s="94">
        <f t="shared" si="73"/>
        <v>5.3423613166493369E-2</v>
      </c>
      <c r="BT25" s="94">
        <f t="shared" si="73"/>
        <v>7.0820081260312986E-2</v>
      </c>
      <c r="BU25" s="95">
        <f t="shared" si="73"/>
        <v>1.100855553599325</v>
      </c>
      <c r="BV25" s="94">
        <f t="shared" si="11"/>
        <v>4.4812772374805174E-2</v>
      </c>
      <c r="BW25" s="94">
        <f t="shared" si="11"/>
        <v>0</v>
      </c>
      <c r="BX25" s="94">
        <f t="shared" si="11"/>
        <v>0.38269923949143925</v>
      </c>
      <c r="BY25" s="94">
        <f t="shared" si="47"/>
        <v>0.43173616663936093</v>
      </c>
      <c r="BZ25" s="95">
        <f t="shared" si="12"/>
        <v>0.8600287288441002</v>
      </c>
      <c r="CA25" s="96" t="e">
        <f>#REF!</f>
        <v>#REF!</v>
      </c>
      <c r="CB25" s="94">
        <f t="shared" si="48"/>
        <v>4.1910043410077508E-2</v>
      </c>
      <c r="CC25" s="95">
        <f t="shared" si="48"/>
        <v>3.3186245509252858E-2</v>
      </c>
      <c r="CD25" s="97">
        <f t="shared" si="13"/>
        <v>8.5885635990106762E-2</v>
      </c>
      <c r="CE25" s="98">
        <f t="shared" si="13"/>
        <v>6.8008085169404875E-2</v>
      </c>
      <c r="CF25" s="97" t="str">
        <f t="shared" si="49"/>
        <v>0,00</v>
      </c>
      <c r="CG25" s="94" t="str">
        <f t="shared" si="49"/>
        <v>0,00</v>
      </c>
      <c r="CH25" s="95" t="str">
        <f t="shared" si="50"/>
        <v xml:space="preserve">0,00 </v>
      </c>
      <c r="CI25" s="96" t="e">
        <f>#REF!</f>
        <v>#REF!</v>
      </c>
      <c r="CJ25" s="94">
        <f t="shared" si="51"/>
        <v>0.31989247311827956</v>
      </c>
      <c r="CK25" s="94">
        <f t="shared" si="51"/>
        <v>0.24220430107528446</v>
      </c>
      <c r="CL25" s="95">
        <f t="shared" si="66"/>
        <v>0.771505376344086</v>
      </c>
      <c r="CM25" s="95" t="e">
        <f>#REF!</f>
        <v>#REF!</v>
      </c>
      <c r="CN25" s="94">
        <f t="shared" si="52"/>
        <v>0.8609719936025404</v>
      </c>
      <c r="CO25" s="94">
        <f t="shared" si="52"/>
        <v>2.7726216743118502E-2</v>
      </c>
      <c r="CP25" s="95">
        <f t="shared" si="53"/>
        <v>1.3619895943994988</v>
      </c>
      <c r="CQ25" s="95" t="e">
        <f>#REF!</f>
        <v>#REF!</v>
      </c>
      <c r="CR25" s="97">
        <f t="shared" si="67"/>
        <v>4.1747281257546981E-2</v>
      </c>
      <c r="CS25" s="95">
        <f t="shared" si="67"/>
        <v>9.4325225105478749E-2</v>
      </c>
      <c r="CT25" s="96" t="e">
        <f>#REF!</f>
        <v>#REF!</v>
      </c>
      <c r="CU25" s="97">
        <f t="shared" si="68"/>
        <v>1.6880494377754511E-2</v>
      </c>
      <c r="CV25" s="95">
        <f t="shared" si="54"/>
        <v>0.12043583488731138</v>
      </c>
      <c r="CW25" s="96" t="e">
        <f>#REF!</f>
        <v>#REF!</v>
      </c>
      <c r="CX25" s="99">
        <f t="shared" si="55"/>
        <v>0.25069440283422417</v>
      </c>
      <c r="CY25" s="95">
        <f t="shared" si="55"/>
        <v>4.5914725793813954E-3</v>
      </c>
      <c r="CZ25" s="99">
        <f t="shared" si="55"/>
        <v>0.13269355754412232</v>
      </c>
      <c r="DA25" s="95">
        <f t="shared" si="55"/>
        <v>2.7548835476288373E-3</v>
      </c>
      <c r="DB25" s="94">
        <f t="shared" si="14"/>
        <v>0.1708027799529879</v>
      </c>
      <c r="DC25" s="94">
        <f t="shared" si="15"/>
        <v>7.8146863301063324E-2</v>
      </c>
      <c r="DD25" s="94">
        <f t="shared" si="15"/>
        <v>0.16079336972991509</v>
      </c>
      <c r="DE25" s="94">
        <f t="shared" si="15"/>
        <v>0.1115727836789679</v>
      </c>
      <c r="DF25" s="94">
        <f t="shared" si="15"/>
        <v>0</v>
      </c>
      <c r="DG25" s="94">
        <f t="shared" si="15"/>
        <v>0</v>
      </c>
      <c r="DH25" s="95">
        <f t="shared" si="15"/>
        <v>0.52131579666293426</v>
      </c>
      <c r="DI25" s="96" t="e">
        <f>#REF!</f>
        <v>#REF!</v>
      </c>
      <c r="DJ25" s="95">
        <f t="shared" si="56"/>
        <v>3.4436044345360461E-2</v>
      </c>
      <c r="DK25" s="96" t="e">
        <f>#REF!</f>
        <v>#REF!</v>
      </c>
      <c r="DL25" s="95">
        <f t="shared" si="57"/>
        <v>1.0565538564809931</v>
      </c>
      <c r="DM25" s="96">
        <f t="shared" si="16"/>
        <v>0</v>
      </c>
      <c r="DN25" s="94">
        <f t="shared" si="17"/>
        <v>2.2470106643839207</v>
      </c>
      <c r="DO25" s="100">
        <v>3.4</v>
      </c>
      <c r="DP25" s="94">
        <f t="shared" si="69"/>
        <v>3.3380005652102747</v>
      </c>
      <c r="DQ25" s="94">
        <f t="shared" si="70"/>
        <v>3.2970164618728273</v>
      </c>
      <c r="DR25" s="101">
        <f t="shared" si="18"/>
        <v>3.07</v>
      </c>
      <c r="DS25" s="173"/>
      <c r="DT25" s="103">
        <v>20</v>
      </c>
      <c r="DU25" s="518">
        <v>642544</v>
      </c>
      <c r="DV25" s="373">
        <v>31642</v>
      </c>
      <c r="DW25" s="135">
        <v>5162791</v>
      </c>
      <c r="DX25" s="135">
        <v>126382</v>
      </c>
      <c r="DY25" s="183">
        <v>91336</v>
      </c>
      <c r="DZ25" s="183">
        <v>413236</v>
      </c>
      <c r="EA25" s="139">
        <v>248953</v>
      </c>
      <c r="EB25" s="455">
        <v>57252.7</v>
      </c>
      <c r="EC25" s="183">
        <v>429932</v>
      </c>
      <c r="ED25" s="135">
        <v>49331.4</v>
      </c>
      <c r="EE25" s="136">
        <v>42240.4</v>
      </c>
      <c r="EF25" s="136">
        <v>44155.5</v>
      </c>
      <c r="EG25" s="135">
        <v>96587.1</v>
      </c>
      <c r="EH25" s="135">
        <v>189735.8</v>
      </c>
      <c r="EI25" s="135">
        <v>36149</v>
      </c>
      <c r="EJ25" s="136">
        <v>44740</v>
      </c>
      <c r="EK25" s="136"/>
      <c r="EL25" s="135">
        <v>731515.8</v>
      </c>
      <c r="EM25" s="136">
        <v>8335</v>
      </c>
      <c r="EN25" s="136">
        <v>50060.3</v>
      </c>
      <c r="EO25" s="135">
        <v>3175964.2</v>
      </c>
      <c r="EP25" s="136">
        <v>2879373</v>
      </c>
      <c r="EQ25" s="136">
        <v>909</v>
      </c>
      <c r="ER25" s="136">
        <v>1205</v>
      </c>
      <c r="ES25" s="136">
        <v>454302</v>
      </c>
      <c r="ET25" s="136">
        <v>1970366</v>
      </c>
      <c r="EU25" s="136">
        <v>171895</v>
      </c>
      <c r="EV25" s="136">
        <v>481663</v>
      </c>
      <c r="EW25" s="136">
        <v>155611</v>
      </c>
      <c r="EX25" s="136">
        <v>228417.8</v>
      </c>
      <c r="EY25" s="136">
        <v>1753513</v>
      </c>
      <c r="EZ25" s="136">
        <v>850956.4</v>
      </c>
      <c r="FA25" s="145">
        <v>776990</v>
      </c>
      <c r="FB25" s="136">
        <v>32449.8</v>
      </c>
      <c r="FC25" s="136">
        <v>7195</v>
      </c>
      <c r="FD25" s="303">
        <f t="shared" si="72"/>
        <v>5770</v>
      </c>
      <c r="FE25" s="513">
        <v>655</v>
      </c>
      <c r="FF25" s="513">
        <v>61</v>
      </c>
      <c r="FG25" s="105">
        <v>2340</v>
      </c>
      <c r="FH25" s="303">
        <v>1017</v>
      </c>
      <c r="FI25" s="303">
        <v>602</v>
      </c>
      <c r="FJ25" s="303">
        <v>426</v>
      </c>
      <c r="FK25" s="303">
        <v>0</v>
      </c>
      <c r="FL25" s="303">
        <v>0</v>
      </c>
      <c r="FM25" s="303">
        <v>669</v>
      </c>
      <c r="FN25" s="80">
        <v>1500</v>
      </c>
      <c r="FO25" s="333"/>
      <c r="FP25" s="487"/>
      <c r="FQ25" s="175"/>
      <c r="FR25" s="64"/>
      <c r="FS25" s="64"/>
      <c r="FT25" s="64"/>
      <c r="FU25" s="64"/>
      <c r="FV25" s="64"/>
      <c r="FW25" s="64"/>
      <c r="FX25" s="64"/>
      <c r="FY25" s="64">
        <v>20</v>
      </c>
      <c r="FZ25" s="107"/>
      <c r="GA25" s="107"/>
      <c r="GB25" s="107"/>
      <c r="GC25" s="109"/>
      <c r="GD25" s="110"/>
      <c r="GE25" s="110"/>
      <c r="GF25" s="111"/>
      <c r="GG25" s="111"/>
      <c r="GH25" s="111"/>
      <c r="GI25" s="164"/>
      <c r="GJ25" s="111" t="e">
        <f t="shared" si="58"/>
        <v>#DIV/0!</v>
      </c>
      <c r="GK25" s="118"/>
    </row>
    <row r="26" spans="1:193" s="119" customFormat="1" ht="15" customHeight="1">
      <c r="B26" s="351">
        <v>43060</v>
      </c>
      <c r="D26" s="86">
        <v>4526.6400000000003</v>
      </c>
      <c r="E26" s="86">
        <v>5844</v>
      </c>
      <c r="F26" s="86">
        <v>3068.2799999999997</v>
      </c>
      <c r="G26" s="86">
        <v>3435.2220000000002</v>
      </c>
      <c r="H26" s="86">
        <v>971.61800000000005</v>
      </c>
      <c r="I26" s="86">
        <v>1856.5630000000001</v>
      </c>
      <c r="J26" s="284">
        <v>5370.12</v>
      </c>
      <c r="K26" s="284">
        <v>0</v>
      </c>
      <c r="L26" s="284">
        <v>0</v>
      </c>
      <c r="M26" s="115">
        <f t="shared" si="59"/>
        <v>7226.683</v>
      </c>
      <c r="N26" s="88">
        <f t="shared" si="19"/>
        <v>17845.759999999998</v>
      </c>
      <c r="O26" s="88">
        <f>(N26+L26+((J26+I26)*0.5))</f>
        <v>21459.101499999997</v>
      </c>
      <c r="P26" s="89">
        <f t="shared" si="20"/>
        <v>484459.51949999999</v>
      </c>
      <c r="R26" s="170">
        <f t="shared" si="21"/>
        <v>125.79999999993015</v>
      </c>
      <c r="S26" s="170">
        <f t="shared" si="22"/>
        <v>0</v>
      </c>
      <c r="T26" s="170">
        <f t="shared" si="1"/>
        <v>463.4</v>
      </c>
      <c r="U26" s="170">
        <f t="shared" si="71"/>
        <v>3.7099999999998543</v>
      </c>
      <c r="V26" s="170">
        <f t="shared" si="23"/>
        <v>1166.6999999997206</v>
      </c>
      <c r="W26" s="170">
        <f t="shared" si="2"/>
        <v>102.8</v>
      </c>
      <c r="X26" s="170">
        <f t="shared" si="24"/>
        <v>1166.6999999997206</v>
      </c>
      <c r="Y26" s="170">
        <f t="shared" si="25"/>
        <v>111.2</v>
      </c>
      <c r="Z26" s="170">
        <f t="shared" si="3"/>
        <v>170.8</v>
      </c>
      <c r="AA26" s="501">
        <f t="shared" si="26"/>
        <v>1759.6099999996504</v>
      </c>
      <c r="AB26" s="170">
        <f t="shared" si="27"/>
        <v>171</v>
      </c>
      <c r="AC26" s="170">
        <f t="shared" si="27"/>
        <v>126</v>
      </c>
      <c r="AD26" s="501">
        <f t="shared" si="4"/>
        <v>483</v>
      </c>
      <c r="AE26" s="501">
        <f t="shared" si="28"/>
        <v>186</v>
      </c>
      <c r="AF26" s="170">
        <f t="shared" si="29"/>
        <v>127</v>
      </c>
      <c r="AG26" s="170">
        <f t="shared" si="29"/>
        <v>35.30000000000291</v>
      </c>
      <c r="AH26" s="501">
        <f t="shared" si="5"/>
        <v>171</v>
      </c>
      <c r="AI26" s="501">
        <f t="shared" si="30"/>
        <v>8.6999999999970896</v>
      </c>
      <c r="AJ26" s="170">
        <f t="shared" si="31"/>
        <v>155</v>
      </c>
      <c r="AK26" s="170">
        <f t="shared" si="31"/>
        <v>6</v>
      </c>
      <c r="AL26" s="501">
        <f t="shared" si="6"/>
        <v>263</v>
      </c>
      <c r="AM26" s="501">
        <f t="shared" si="32"/>
        <v>102</v>
      </c>
      <c r="AN26" s="170">
        <f t="shared" si="33"/>
        <v>65.799999999995634</v>
      </c>
      <c r="AO26" s="501">
        <f t="shared" si="7"/>
        <v>87.299999999995634</v>
      </c>
      <c r="AP26" s="170">
        <f t="shared" si="34"/>
        <v>98.399999999994179</v>
      </c>
      <c r="AQ26" s="501">
        <f t="shared" si="8"/>
        <v>115.60000000000582</v>
      </c>
      <c r="AR26" s="170">
        <f t="shared" si="35"/>
        <v>82.162000000000006</v>
      </c>
      <c r="AS26" s="501">
        <f t="shared" si="36"/>
        <v>181.16200000000003</v>
      </c>
      <c r="AT26" s="501">
        <f t="shared" si="37"/>
        <v>918.16200000000003</v>
      </c>
      <c r="AU26" s="170">
        <f t="shared" si="60"/>
        <v>483</v>
      </c>
      <c r="AV26" s="501">
        <f>IF(EI26=0,"",(EI26-EI25))</f>
        <v>37</v>
      </c>
      <c r="AW26" s="170">
        <f t="shared" si="62"/>
        <v>254</v>
      </c>
      <c r="AX26" s="501">
        <f t="shared" si="63"/>
        <v>27</v>
      </c>
      <c r="AY26" s="501" t="str">
        <f t="shared" si="63"/>
        <v/>
      </c>
      <c r="AZ26" s="170">
        <f t="shared" si="38"/>
        <v>279</v>
      </c>
      <c r="BA26" s="170">
        <v>125</v>
      </c>
      <c r="BB26" s="170">
        <f t="shared" si="39"/>
        <v>247</v>
      </c>
      <c r="BC26" s="170">
        <f t="shared" si="39"/>
        <v>707.80000000004657</v>
      </c>
      <c r="BD26" s="170">
        <f t="shared" si="40"/>
        <v>132</v>
      </c>
      <c r="BE26" s="90"/>
      <c r="BF26" s="90"/>
      <c r="BG26" s="501">
        <f t="shared" si="41"/>
        <v>1365.8000000000466</v>
      </c>
      <c r="BH26" s="501">
        <f t="shared" si="42"/>
        <v>462</v>
      </c>
      <c r="BI26" s="90">
        <f t="shared" si="9"/>
        <v>1322.5280000003013</v>
      </c>
      <c r="BJ26" s="90">
        <f t="shared" si="43"/>
        <v>5227.4719999996987</v>
      </c>
      <c r="BK26" s="92"/>
      <c r="BL26" s="331">
        <f t="shared" si="64"/>
        <v>7012</v>
      </c>
      <c r="BM26" s="93">
        <f t="shared" si="44"/>
        <v>159664</v>
      </c>
      <c r="BN26" s="92"/>
      <c r="BO26" s="94">
        <f t="shared" si="45"/>
        <v>7.0492935016457772E-2</v>
      </c>
      <c r="BP26" s="94">
        <f t="shared" si="45"/>
        <v>0</v>
      </c>
      <c r="BQ26" s="94">
        <f t="shared" si="46"/>
        <v>0.2596695237412136</v>
      </c>
      <c r="BR26" s="94">
        <f t="shared" si="65"/>
        <v>0.65376873834441374</v>
      </c>
      <c r="BS26" s="94">
        <f t="shared" si="73"/>
        <v>6.231171998278584E-2</v>
      </c>
      <c r="BT26" s="94">
        <f t="shared" si="73"/>
        <v>9.5709008750537949E-2</v>
      </c>
      <c r="BU26" s="95">
        <f t="shared" si="73"/>
        <v>0.98601012229215823</v>
      </c>
      <c r="BV26" s="94">
        <f t="shared" si="11"/>
        <v>5.8623144123685779E-2</v>
      </c>
      <c r="BW26" s="94">
        <f t="shared" si="11"/>
        <v>0</v>
      </c>
      <c r="BX26" s="94">
        <f t="shared" si="11"/>
        <v>0.21594566762266354</v>
      </c>
      <c r="BY26" s="94">
        <f t="shared" si="47"/>
        <v>0.5436853914874864</v>
      </c>
      <c r="BZ26" s="95">
        <f t="shared" si="12"/>
        <v>0.81998307338247634</v>
      </c>
      <c r="CA26" s="96" t="e">
        <f>#REF!</f>
        <v>#REF!</v>
      </c>
      <c r="CB26" s="94">
        <f t="shared" si="48"/>
        <v>3.8287716752726117E-2</v>
      </c>
      <c r="CC26" s="95">
        <f t="shared" si="48"/>
        <v>8.4421987565509241E-2</v>
      </c>
      <c r="CD26" s="97">
        <f t="shared" si="13"/>
        <v>0.11369254746610584</v>
      </c>
      <c r="CE26" s="98">
        <f t="shared" si="13"/>
        <v>0.25068485776946359</v>
      </c>
      <c r="CF26" s="97">
        <f t="shared" si="49"/>
        <v>0.37776363925560674</v>
      </c>
      <c r="CG26" s="94">
        <f t="shared" si="49"/>
        <v>0.2783521552409734</v>
      </c>
      <c r="CH26" s="95">
        <f t="shared" si="50"/>
        <v>1.067016595090398</v>
      </c>
      <c r="CI26" s="96" t="e">
        <f>#REF!</f>
        <v>#REF!</v>
      </c>
      <c r="CJ26" s="94">
        <f t="shared" si="51"/>
        <v>0.21731690622861052</v>
      </c>
      <c r="CK26" s="94">
        <f t="shared" si="51"/>
        <v>6.0403832991106965E-2</v>
      </c>
      <c r="CL26" s="95">
        <f t="shared" si="66"/>
        <v>0.29260780287474331</v>
      </c>
      <c r="CM26" s="95" t="e">
        <f>#REF!</f>
        <v>#REF!</v>
      </c>
      <c r="CN26" s="94">
        <f t="shared" si="52"/>
        <v>0.50516901977655237</v>
      </c>
      <c r="CO26" s="94">
        <f t="shared" si="52"/>
        <v>1.9554929797802028E-2</v>
      </c>
      <c r="CP26" s="95">
        <f t="shared" si="53"/>
        <v>0.85715775613698897</v>
      </c>
      <c r="CQ26" s="95" t="e">
        <f>#REF!</f>
        <v>#REF!</v>
      </c>
      <c r="CR26" s="97">
        <f t="shared" si="67"/>
        <v>0.19154511702590293</v>
      </c>
      <c r="CS26" s="95">
        <f t="shared" si="67"/>
        <v>0.25413204736111855</v>
      </c>
      <c r="CT26" s="96" t="e">
        <f>#REF!</f>
        <v>#REF!</v>
      </c>
      <c r="CU26" s="97">
        <f t="shared" si="68"/>
        <v>1.0127436914506953</v>
      </c>
      <c r="CV26" s="95">
        <f t="shared" si="54"/>
        <v>1.1897679952409879</v>
      </c>
      <c r="CW26" s="96" t="e">
        <f>#REF!</f>
        <v>#REF!</v>
      </c>
      <c r="CX26" s="99">
        <f t="shared" si="55"/>
        <v>0.22507932123812363</v>
      </c>
      <c r="CY26" s="95">
        <f t="shared" si="55"/>
        <v>1.7242101212858331E-2</v>
      </c>
      <c r="CZ26" s="99">
        <f t="shared" si="55"/>
        <v>0.11836469481259504</v>
      </c>
      <c r="DA26" s="95">
        <f t="shared" si="55"/>
        <v>1.2582073858031756E-2</v>
      </c>
      <c r="DB26" s="94">
        <f t="shared" si="14"/>
        <v>0.13001476319966146</v>
      </c>
      <c r="DC26" s="94">
        <f t="shared" si="15"/>
        <v>0.11510267566421643</v>
      </c>
      <c r="DD26" s="94">
        <f t="shared" si="15"/>
        <v>0.32983673617464676</v>
      </c>
      <c r="DE26" s="94">
        <f t="shared" si="15"/>
        <v>6.1512361083710804E-2</v>
      </c>
      <c r="DF26" s="94">
        <f t="shared" si="15"/>
        <v>0</v>
      </c>
      <c r="DG26" s="94">
        <f t="shared" si="15"/>
        <v>0</v>
      </c>
      <c r="DH26" s="95">
        <f t="shared" si="15"/>
        <v>0.63646653612223547</v>
      </c>
      <c r="DI26" s="96" t="e">
        <f>#REF!</f>
        <v>#REF!</v>
      </c>
      <c r="DJ26" s="95">
        <f t="shared" si="56"/>
        <v>0.2152932637929878</v>
      </c>
      <c r="DK26" s="96" t="e">
        <f>#REF!</f>
        <v>#REF!</v>
      </c>
      <c r="DL26" s="95">
        <f t="shared" si="57"/>
        <v>0.61630166575254863</v>
      </c>
      <c r="DM26" s="96">
        <f t="shared" si="16"/>
        <v>0</v>
      </c>
      <c r="DN26" s="94">
        <f t="shared" si="17"/>
        <v>2.4360162516588586</v>
      </c>
      <c r="DO26" s="100">
        <v>3.4</v>
      </c>
      <c r="DP26" s="94">
        <f>IF($O26&lt;&gt;0,IF($O26&lt;&gt;0,BL26/$O26*10,0)," ")</f>
        <v>3.2676111812043951</v>
      </c>
      <c r="DQ26" s="94">
        <f>IF($P26&lt;&gt;0,IF($P26&lt;&gt;0,BM26/$P26*10,0)," ")</f>
        <v>3.2957139569635396</v>
      </c>
      <c r="DR26" s="101">
        <f t="shared" si="18"/>
        <v>3.07</v>
      </c>
      <c r="DS26" s="173"/>
      <c r="DT26" s="103">
        <v>21</v>
      </c>
      <c r="DU26" s="518">
        <v>642715</v>
      </c>
      <c r="DV26" s="518">
        <v>31768</v>
      </c>
      <c r="DW26" s="135">
        <v>5163103</v>
      </c>
      <c r="DX26" s="183">
        <v>126509</v>
      </c>
      <c r="DY26" s="183">
        <v>91371.3</v>
      </c>
      <c r="DZ26" s="183">
        <v>413280</v>
      </c>
      <c r="EA26" s="139">
        <v>249108</v>
      </c>
      <c r="EB26" s="455">
        <v>57258.7</v>
      </c>
      <c r="EC26" s="139">
        <v>430040</v>
      </c>
      <c r="ED26" s="135">
        <v>49397.2</v>
      </c>
      <c r="EE26" s="136">
        <v>42259.6</v>
      </c>
      <c r="EF26" s="136">
        <v>44223.6</v>
      </c>
      <c r="EG26" s="135">
        <v>96685.5</v>
      </c>
      <c r="EH26" s="135">
        <v>189851.4</v>
      </c>
      <c r="EI26" s="135">
        <v>36186</v>
      </c>
      <c r="EJ26" s="136">
        <v>44767</v>
      </c>
      <c r="EK26" s="136"/>
      <c r="EL26" s="135">
        <v>731641.6</v>
      </c>
      <c r="EM26" s="135">
        <v>4634</v>
      </c>
      <c r="EN26" s="136">
        <v>50097.4</v>
      </c>
      <c r="EO26" s="135">
        <v>3177130.9</v>
      </c>
      <c r="EP26" s="136">
        <v>2880401</v>
      </c>
      <c r="EQ26" s="136">
        <v>1112</v>
      </c>
      <c r="ER26" s="136">
        <v>1708</v>
      </c>
      <c r="ES26" s="136">
        <v>455138</v>
      </c>
      <c r="ET26" s="136">
        <v>2052528</v>
      </c>
      <c r="EU26" s="136">
        <v>172149</v>
      </c>
      <c r="EV26" s="136">
        <v>482146</v>
      </c>
      <c r="EW26" s="136">
        <v>155890</v>
      </c>
      <c r="EX26" s="136">
        <v>228664.8</v>
      </c>
      <c r="EY26" s="136">
        <v>1754220.8</v>
      </c>
      <c r="EZ26" s="136">
        <v>850956.4</v>
      </c>
      <c r="FA26" s="145">
        <v>777122</v>
      </c>
      <c r="FB26" s="136">
        <v>32585.9</v>
      </c>
      <c r="FC26" s="136">
        <v>6550</v>
      </c>
      <c r="FD26" s="303">
        <f t="shared" si="72"/>
        <v>5311</v>
      </c>
      <c r="FE26" s="456">
        <v>663</v>
      </c>
      <c r="FF26" s="121">
        <v>66</v>
      </c>
      <c r="FG26" s="105">
        <v>1909</v>
      </c>
      <c r="FH26" s="136">
        <v>1001</v>
      </c>
      <c r="FI26" s="121">
        <v>609</v>
      </c>
      <c r="FJ26" s="136">
        <v>520</v>
      </c>
      <c r="FK26" s="136">
        <v>0</v>
      </c>
      <c r="FL26" s="136">
        <v>0</v>
      </c>
      <c r="FM26" s="121">
        <v>543</v>
      </c>
      <c r="FN26" s="80">
        <v>1701</v>
      </c>
      <c r="FO26" s="333">
        <v>1199216</v>
      </c>
      <c r="FP26" s="487"/>
      <c r="FY26" s="119">
        <v>21</v>
      </c>
      <c r="FZ26" s="107"/>
      <c r="GA26" s="107"/>
      <c r="GB26" s="107"/>
      <c r="GC26" s="109"/>
      <c r="GD26" s="110"/>
      <c r="GE26" s="110"/>
      <c r="GF26" s="111"/>
      <c r="GG26" s="111"/>
      <c r="GH26" s="111"/>
      <c r="GI26" s="164"/>
      <c r="GJ26" s="111" t="e">
        <f t="shared" si="58"/>
        <v>#DIV/0!</v>
      </c>
      <c r="GK26" s="113"/>
    </row>
    <row r="27" spans="1:193" s="119" customFormat="1" ht="15" customHeight="1">
      <c r="B27" s="351">
        <v>43061</v>
      </c>
      <c r="D27" s="86">
        <v>4536</v>
      </c>
      <c r="E27" s="86">
        <v>1104</v>
      </c>
      <c r="F27" s="86">
        <v>3136.1759999999999</v>
      </c>
      <c r="G27" s="86">
        <v>5282.1440000000002</v>
      </c>
      <c r="H27" s="86">
        <v>6037.2780000000002</v>
      </c>
      <c r="I27" s="86">
        <v>1100.3720000000001</v>
      </c>
      <c r="J27" s="86">
        <v>6316.68</v>
      </c>
      <c r="K27" s="284">
        <v>15.523</v>
      </c>
      <c r="L27" s="284">
        <v>0</v>
      </c>
      <c r="M27" s="115">
        <f t="shared" si="59"/>
        <v>7417.0520000000006</v>
      </c>
      <c r="N27" s="88">
        <f t="shared" si="19"/>
        <v>20095.597999999998</v>
      </c>
      <c r="O27" s="88">
        <f>N27+L27+((J27+I27)*0.5)</f>
        <v>23804.124</v>
      </c>
      <c r="P27" s="89">
        <f t="shared" si="20"/>
        <v>508263.64350000001</v>
      </c>
      <c r="R27" s="170">
        <f t="shared" si="21"/>
        <v>277.09999999997672</v>
      </c>
      <c r="S27" s="170">
        <f t="shared" si="22"/>
        <v>23.929999999993015</v>
      </c>
      <c r="T27" s="170">
        <f t="shared" si="1"/>
        <v>639</v>
      </c>
      <c r="U27" s="170">
        <f t="shared" si="71"/>
        <v>3.7099999999998543</v>
      </c>
      <c r="V27" s="170">
        <f t="shared" si="23"/>
        <v>983.20000000018626</v>
      </c>
      <c r="W27" s="170">
        <f t="shared" si="2"/>
        <v>87.6</v>
      </c>
      <c r="X27" s="170">
        <f t="shared" si="24"/>
        <v>983.20000000018626</v>
      </c>
      <c r="Y27" s="170" t="str">
        <f t="shared" si="25"/>
        <v>0</v>
      </c>
      <c r="Z27" s="170">
        <f t="shared" si="3"/>
        <v>138.30000000000001</v>
      </c>
      <c r="AA27" s="501">
        <f t="shared" si="26"/>
        <v>1926.9400000001558</v>
      </c>
      <c r="AB27" s="170">
        <f t="shared" si="27"/>
        <v>148</v>
      </c>
      <c r="AC27" s="170">
        <f t="shared" si="27"/>
        <v>117</v>
      </c>
      <c r="AD27" s="501">
        <f t="shared" si="4"/>
        <v>451</v>
      </c>
      <c r="AE27" s="501">
        <f t="shared" si="28"/>
        <v>186</v>
      </c>
      <c r="AF27" s="170">
        <f t="shared" si="29"/>
        <v>36</v>
      </c>
      <c r="AG27" s="170">
        <f t="shared" si="29"/>
        <v>90.19999999999709</v>
      </c>
      <c r="AH27" s="501">
        <f t="shared" si="5"/>
        <v>136</v>
      </c>
      <c r="AI27" s="501">
        <f t="shared" si="30"/>
        <v>9.8000000000029104</v>
      </c>
      <c r="AJ27" s="170">
        <f t="shared" si="31"/>
        <v>149</v>
      </c>
      <c r="AK27" s="170">
        <f t="shared" si="31"/>
        <v>16.200000000004366</v>
      </c>
      <c r="AL27" s="501">
        <f t="shared" si="6"/>
        <v>300</v>
      </c>
      <c r="AM27" s="501">
        <f t="shared" si="32"/>
        <v>134.79999999999563</v>
      </c>
      <c r="AN27" s="170">
        <f t="shared" si="33"/>
        <v>27.5</v>
      </c>
      <c r="AO27" s="501">
        <f t="shared" si="7"/>
        <v>55.30000000000291</v>
      </c>
      <c r="AP27" s="170">
        <f t="shared" si="34"/>
        <v>28.399999999994179</v>
      </c>
      <c r="AQ27" s="501">
        <f t="shared" si="8"/>
        <v>33.600000000005821</v>
      </c>
      <c r="AR27" s="170">
        <f t="shared" si="35"/>
        <v>94.613</v>
      </c>
      <c r="AS27" s="501">
        <f t="shared" si="36"/>
        <v>136.61300000000006</v>
      </c>
      <c r="AT27" s="501">
        <f t="shared" si="37"/>
        <v>1030.6130000000001</v>
      </c>
      <c r="AU27" s="170">
        <f>IF(EV27="","",(EV27-EV26))</f>
        <v>660</v>
      </c>
      <c r="AV27" s="501">
        <f t="shared" si="61"/>
        <v>28</v>
      </c>
      <c r="AW27" s="170">
        <f>IF(EU27="","",(EU27-EU26))</f>
        <v>234</v>
      </c>
      <c r="AX27" s="501">
        <f t="shared" si="63"/>
        <v>4</v>
      </c>
      <c r="AY27" s="501" t="str">
        <f t="shared" si="63"/>
        <v/>
      </c>
      <c r="AZ27" s="170">
        <f t="shared" si="38"/>
        <v>327</v>
      </c>
      <c r="BA27" s="170">
        <v>27</v>
      </c>
      <c r="BB27" s="170">
        <f t="shared" si="39"/>
        <v>154.30000000001746</v>
      </c>
      <c r="BC27" s="170">
        <f t="shared" si="39"/>
        <v>662</v>
      </c>
      <c r="BD27" s="170">
        <f t="shared" si="40"/>
        <v>287</v>
      </c>
      <c r="BE27" s="90"/>
      <c r="BF27" s="90"/>
      <c r="BG27" s="501">
        <f t="shared" si="41"/>
        <v>1430.3000000000175</v>
      </c>
      <c r="BH27" s="501">
        <f t="shared" si="42"/>
        <v>709</v>
      </c>
      <c r="BI27" s="90">
        <f t="shared" si="9"/>
        <v>535.24699999981749</v>
      </c>
      <c r="BJ27" s="90">
        <f t="shared" si="43"/>
        <v>5395.7530000001825</v>
      </c>
      <c r="BK27" s="92"/>
      <c r="BL27" s="331">
        <f>FD27+FN27</f>
        <v>6640</v>
      </c>
      <c r="BM27" s="93">
        <f t="shared" si="44"/>
        <v>166304</v>
      </c>
      <c r="BN27" s="92"/>
      <c r="BO27" s="94">
        <f t="shared" si="45"/>
        <v>0.1378908953094985</v>
      </c>
      <c r="BP27" s="94">
        <f t="shared" si="45"/>
        <v>1.1908080565700516E-2</v>
      </c>
      <c r="BQ27" s="94">
        <f t="shared" si="46"/>
        <v>0.31798008698223362</v>
      </c>
      <c r="BR27" s="94">
        <f t="shared" si="65"/>
        <v>0.48926137953206783</v>
      </c>
      <c r="BS27" s="94">
        <f t="shared" si="73"/>
        <v>0</v>
      </c>
      <c r="BT27" s="94">
        <f t="shared" si="73"/>
        <v>6.8821042299910665E-2</v>
      </c>
      <c r="BU27" s="95">
        <f t="shared" si="73"/>
        <v>0.95888661785539109</v>
      </c>
      <c r="BV27" s="94">
        <f t="shared" si="11"/>
        <v>0.11640840049395504</v>
      </c>
      <c r="BW27" s="94">
        <f t="shared" si="11"/>
        <v>1.0052879912738236E-2</v>
      </c>
      <c r="BX27" s="94">
        <f t="shared" si="11"/>
        <v>0.26844088024411233</v>
      </c>
      <c r="BY27" s="94">
        <f t="shared" si="47"/>
        <v>0.41303767364015842</v>
      </c>
      <c r="BZ27" s="95">
        <f t="shared" si="12"/>
        <v>0.80949838775842187</v>
      </c>
      <c r="CA27" s="96" t="e">
        <f>#REF!</f>
        <v>#REF!</v>
      </c>
      <c r="CB27" s="94">
        <f t="shared" si="48"/>
        <v>3.9746474182372767E-2</v>
      </c>
      <c r="CC27" s="95">
        <f t="shared" si="48"/>
        <v>5.7390475700765151E-2</v>
      </c>
      <c r="CD27" s="97">
        <f t="shared" si="13"/>
        <v>0.12756146242469379</v>
      </c>
      <c r="CE27" s="98">
        <f t="shared" si="13"/>
        <v>0.18418773388672488</v>
      </c>
      <c r="CF27" s="97">
        <f t="shared" si="49"/>
        <v>0.32627865961199293</v>
      </c>
      <c r="CG27" s="94">
        <f t="shared" si="49"/>
        <v>0.25793650793650791</v>
      </c>
      <c r="CH27" s="95">
        <f t="shared" si="50"/>
        <v>0.994268077601411</v>
      </c>
      <c r="CI27" s="96" t="e">
        <f>#REF!</f>
        <v>#REF!</v>
      </c>
      <c r="CJ27" s="94">
        <f t="shared" si="51"/>
        <v>0.32608695652173914</v>
      </c>
      <c r="CK27" s="94">
        <f t="shared" si="51"/>
        <v>0.81702898550722003</v>
      </c>
      <c r="CL27" s="95">
        <f t="shared" si="66"/>
        <v>1.2318840579710146</v>
      </c>
      <c r="CM27" s="95" t="e">
        <f>#REF!</f>
        <v>#REF!</v>
      </c>
      <c r="CN27" s="94">
        <f t="shared" si="52"/>
        <v>0.47510088719510635</v>
      </c>
      <c r="CO27" s="94">
        <f t="shared" si="52"/>
        <v>5.1655264245387904E-2</v>
      </c>
      <c r="CP27" s="95">
        <f t="shared" si="53"/>
        <v>0.95657896750692573</v>
      </c>
      <c r="CQ27" s="95" t="e">
        <f>#REF!</f>
        <v>#REF!</v>
      </c>
      <c r="CR27" s="97">
        <f t="shared" si="67"/>
        <v>5.2062192927720262E-2</v>
      </c>
      <c r="CS27" s="95">
        <f t="shared" si="67"/>
        <v>0.10469233705102116</v>
      </c>
      <c r="CT27" s="96" t="e">
        <f>#REF!</f>
        <v>#REF!</v>
      </c>
      <c r="CU27" s="97">
        <f t="shared" si="68"/>
        <v>4.7041067182916174E-2</v>
      </c>
      <c r="CV27" s="95">
        <f t="shared" si="54"/>
        <v>5.565422032910497E-2</v>
      </c>
      <c r="CW27" s="96" t="e">
        <f>#REF!</f>
        <v>#REF!</v>
      </c>
      <c r="CX27" s="99">
        <f t="shared" ref="CX27:DA37" si="74">IF($O27&lt;&gt;0,IF($O27&lt;&gt;0,AU27/$O27*10,0)," ")</f>
        <v>0.27726288100330848</v>
      </c>
      <c r="CY27" s="95">
        <f t="shared" si="74"/>
        <v>1.1762667678928241E-2</v>
      </c>
      <c r="CZ27" s="99">
        <f t="shared" si="74"/>
        <v>9.8302294173900281E-2</v>
      </c>
      <c r="DA27" s="95">
        <f t="shared" si="74"/>
        <v>1.6803810969897486E-3</v>
      </c>
      <c r="DB27" s="94">
        <f t="shared" si="14"/>
        <v>0.13737115467891195</v>
      </c>
      <c r="DC27" s="94">
        <f t="shared" si="15"/>
        <v>6.4820700816386884E-2</v>
      </c>
      <c r="DD27" s="94">
        <f t="shared" si="15"/>
        <v>0.27810307155180336</v>
      </c>
      <c r="DE27" s="94">
        <f t="shared" si="15"/>
        <v>0.12056734370901447</v>
      </c>
      <c r="DF27" s="94">
        <f t="shared" si="15"/>
        <v>0</v>
      </c>
      <c r="DG27" s="94">
        <f t="shared" si="15"/>
        <v>0</v>
      </c>
      <c r="DH27" s="95">
        <f t="shared" si="15"/>
        <v>0.60086227075611665</v>
      </c>
      <c r="DI27" s="96" t="e">
        <f>#REF!</f>
        <v>#REF!</v>
      </c>
      <c r="DJ27" s="95">
        <f t="shared" si="56"/>
        <v>0.29784754944143293</v>
      </c>
      <c r="DK27" s="96" t="e">
        <f>#REF!</f>
        <v>#REF!</v>
      </c>
      <c r="DL27" s="95">
        <f t="shared" si="57"/>
        <v>0.22485473525504132</v>
      </c>
      <c r="DM27" s="96">
        <f t="shared" si="16"/>
        <v>0</v>
      </c>
      <c r="DN27" s="94">
        <f t="shared" si="17"/>
        <v>2.2667303363065083</v>
      </c>
      <c r="DO27" s="100">
        <v>3.4</v>
      </c>
      <c r="DP27" s="94">
        <f t="shared" si="69"/>
        <v>2.7894326210029825</v>
      </c>
      <c r="DQ27" s="94">
        <f>IF($P27&lt;&gt;0,IF($P27&lt;&gt;0,BM27/$P27*10,0)," ")</f>
        <v>3.2720026727624871</v>
      </c>
      <c r="DR27" s="101">
        <f t="shared" si="18"/>
        <v>3.07</v>
      </c>
      <c r="DS27" s="173"/>
      <c r="DT27" s="103">
        <v>22</v>
      </c>
      <c r="DU27" s="518">
        <v>642863</v>
      </c>
      <c r="DV27" s="362">
        <v>31885</v>
      </c>
      <c r="DW27" s="361">
        <v>5163406</v>
      </c>
      <c r="DX27" s="364">
        <v>126545</v>
      </c>
      <c r="DY27" s="364">
        <v>91461.5</v>
      </c>
      <c r="DZ27" s="364">
        <v>413380</v>
      </c>
      <c r="EA27" s="381">
        <v>249257</v>
      </c>
      <c r="EB27" s="390">
        <v>57274.9</v>
      </c>
      <c r="EC27" s="381">
        <v>430191</v>
      </c>
      <c r="ED27" s="361">
        <v>49424.7</v>
      </c>
      <c r="EE27" s="303">
        <v>42291</v>
      </c>
      <c r="EF27" s="303">
        <v>44247.5</v>
      </c>
      <c r="EG27" s="361">
        <v>96713.9</v>
      </c>
      <c r="EH27" s="361">
        <v>189885</v>
      </c>
      <c r="EI27" s="361">
        <v>36214</v>
      </c>
      <c r="EJ27" s="303">
        <v>44771</v>
      </c>
      <c r="EK27" s="330"/>
      <c r="EL27" s="361">
        <v>731918.7</v>
      </c>
      <c r="EM27" s="361">
        <v>6390</v>
      </c>
      <c r="EN27" s="303">
        <v>50134.5</v>
      </c>
      <c r="EO27" s="361">
        <v>3178114.1</v>
      </c>
      <c r="EP27" s="303">
        <v>2881277</v>
      </c>
      <c r="EQ27" s="303">
        <v>0</v>
      </c>
      <c r="ER27" s="303">
        <v>1383</v>
      </c>
      <c r="ES27" s="303">
        <v>456074</v>
      </c>
      <c r="ET27" s="303">
        <v>2147141</v>
      </c>
      <c r="EU27" s="303">
        <v>172383</v>
      </c>
      <c r="EV27" s="136">
        <v>482806</v>
      </c>
      <c r="EW27" s="303">
        <v>156217</v>
      </c>
      <c r="EX27" s="303">
        <v>228819.1</v>
      </c>
      <c r="EY27" s="303">
        <v>1754882.8</v>
      </c>
      <c r="EZ27" s="303">
        <v>851195.7</v>
      </c>
      <c r="FA27" s="383">
        <v>777409</v>
      </c>
      <c r="FB27" s="104">
        <v>32634</v>
      </c>
      <c r="FC27" s="393">
        <v>5931</v>
      </c>
      <c r="FD27" s="303">
        <f t="shared" si="72"/>
        <v>5640</v>
      </c>
      <c r="FE27" s="136">
        <v>620</v>
      </c>
      <c r="FF27" s="136">
        <v>65</v>
      </c>
      <c r="FG27" s="105">
        <v>2155</v>
      </c>
      <c r="FH27" s="136">
        <v>1378</v>
      </c>
      <c r="FI27" s="136">
        <v>438</v>
      </c>
      <c r="FJ27" s="136">
        <v>528</v>
      </c>
      <c r="FK27" s="136">
        <v>12</v>
      </c>
      <c r="FL27" s="136">
        <v>15</v>
      </c>
      <c r="FM27" s="136">
        <v>429</v>
      </c>
      <c r="FN27" s="80">
        <v>1000</v>
      </c>
      <c r="FO27" s="333"/>
      <c r="FP27" s="487"/>
      <c r="FY27" s="119">
        <v>22</v>
      </c>
      <c r="FZ27" s="107"/>
      <c r="GA27" s="107"/>
      <c r="GB27" s="107"/>
      <c r="GC27" s="109"/>
      <c r="GD27" s="110"/>
      <c r="GE27" s="110"/>
      <c r="GF27" s="111"/>
      <c r="GG27" s="111"/>
      <c r="GH27" s="111"/>
      <c r="GI27" s="112"/>
      <c r="GJ27" s="111" t="e">
        <f t="shared" si="58"/>
        <v>#DIV/0!</v>
      </c>
      <c r="GK27" s="113"/>
    </row>
    <row r="28" spans="1:193" ht="15" customHeight="1">
      <c r="B28" s="351">
        <v>43062</v>
      </c>
      <c r="D28" s="86">
        <v>4704</v>
      </c>
      <c r="E28" s="86">
        <v>5328</v>
      </c>
      <c r="F28" s="86">
        <v>2545.4879999999998</v>
      </c>
      <c r="G28" s="86">
        <v>4975.0630000000001</v>
      </c>
      <c r="H28" s="86">
        <v>6793.8879999999999</v>
      </c>
      <c r="I28" s="86">
        <v>700.64800000000002</v>
      </c>
      <c r="J28" s="86">
        <v>8102.04</v>
      </c>
      <c r="K28" s="284">
        <v>8.8699999999999992</v>
      </c>
      <c r="L28" s="284">
        <v>0</v>
      </c>
      <c r="M28" s="115">
        <f t="shared" si="59"/>
        <v>8802.6880000000001</v>
      </c>
      <c r="N28" s="88">
        <f t="shared" si="19"/>
        <v>24346.438999999998</v>
      </c>
      <c r="O28" s="88">
        <f>N28+L28+((J28+I28)*0.5)</f>
        <v>28747.782999999999</v>
      </c>
      <c r="P28" s="89">
        <f t="shared" si="20"/>
        <v>537011.42650000006</v>
      </c>
      <c r="R28" s="170">
        <f t="shared" si="21"/>
        <v>283.70000000006985</v>
      </c>
      <c r="S28" s="170">
        <f t="shared" si="22"/>
        <v>0</v>
      </c>
      <c r="T28" s="170">
        <f t="shared" si="1"/>
        <v>400.2</v>
      </c>
      <c r="U28" s="170">
        <f t="shared" si="71"/>
        <v>6.2099999999998543</v>
      </c>
      <c r="V28" s="170">
        <f t="shared" si="23"/>
        <v>1263</v>
      </c>
      <c r="W28" s="170">
        <f t="shared" si="2"/>
        <v>111.1</v>
      </c>
      <c r="X28" s="170">
        <f t="shared" si="24"/>
        <v>1263</v>
      </c>
      <c r="Y28" s="170">
        <f t="shared" si="25"/>
        <v>154.69999999999999</v>
      </c>
      <c r="Z28" s="170">
        <f t="shared" si="3"/>
        <v>178.3</v>
      </c>
      <c r="AA28" s="501">
        <f t="shared" si="26"/>
        <v>1953.1100000000697</v>
      </c>
      <c r="AB28" s="170">
        <f t="shared" si="27"/>
        <v>149</v>
      </c>
      <c r="AC28" s="170">
        <f t="shared" si="27"/>
        <v>100</v>
      </c>
      <c r="AD28" s="501">
        <f t="shared" si="4"/>
        <v>534</v>
      </c>
      <c r="AE28" s="501">
        <f t="shared" si="28"/>
        <v>285</v>
      </c>
      <c r="AF28" s="170">
        <f t="shared" si="29"/>
        <v>117</v>
      </c>
      <c r="AG28" s="170">
        <f t="shared" si="29"/>
        <v>51.30000000000291</v>
      </c>
      <c r="AH28" s="501">
        <f t="shared" si="5"/>
        <v>364</v>
      </c>
      <c r="AI28" s="501">
        <f t="shared" si="30"/>
        <v>195.69999999999709</v>
      </c>
      <c r="AJ28" s="170">
        <f t="shared" si="31"/>
        <v>158</v>
      </c>
      <c r="AK28" s="170">
        <f t="shared" si="31"/>
        <v>9</v>
      </c>
      <c r="AL28" s="501">
        <f t="shared" si="6"/>
        <v>262</v>
      </c>
      <c r="AM28" s="501">
        <f t="shared" si="32"/>
        <v>95</v>
      </c>
      <c r="AN28" s="170">
        <f t="shared" si="33"/>
        <v>46.700000000004366</v>
      </c>
      <c r="AO28" s="501">
        <f t="shared" si="7"/>
        <v>64.200000000004366</v>
      </c>
      <c r="AP28" s="170">
        <f t="shared" si="34"/>
        <v>23.30000000000291</v>
      </c>
      <c r="AQ28" s="501">
        <f t="shared" si="8"/>
        <v>24.899999999994179</v>
      </c>
      <c r="AR28" s="170">
        <f t="shared" si="35"/>
        <v>69.73</v>
      </c>
      <c r="AS28" s="501">
        <f t="shared" si="36"/>
        <v>67.730000000000018</v>
      </c>
      <c r="AT28" s="501">
        <f t="shared" si="37"/>
        <v>916.73</v>
      </c>
      <c r="AU28" s="170">
        <f t="shared" si="60"/>
        <v>619</v>
      </c>
      <c r="AV28" s="501">
        <f t="shared" si="61"/>
        <v>74</v>
      </c>
      <c r="AW28" s="170">
        <f t="shared" si="62"/>
        <v>230</v>
      </c>
      <c r="AX28" s="501">
        <f t="shared" si="63"/>
        <v>3</v>
      </c>
      <c r="AY28" s="501" t="str">
        <f t="shared" si="63"/>
        <v/>
      </c>
      <c r="AZ28" s="170">
        <f t="shared" si="38"/>
        <v>360</v>
      </c>
      <c r="BA28" s="170">
        <v>119</v>
      </c>
      <c r="BB28" s="170">
        <f t="shared" si="39"/>
        <v>163.29999999998836</v>
      </c>
      <c r="BC28" s="170">
        <f t="shared" si="39"/>
        <v>1056.8999999999069</v>
      </c>
      <c r="BD28" s="170">
        <f t="shared" si="40"/>
        <v>421</v>
      </c>
      <c r="BE28" s="90"/>
      <c r="BF28" s="90"/>
      <c r="BG28" s="501">
        <f t="shared" si="41"/>
        <v>2001.1999999998952</v>
      </c>
      <c r="BH28" s="501">
        <f t="shared" si="42"/>
        <v>7248</v>
      </c>
      <c r="BI28" s="90" t="str">
        <f>IF(FC28=0,"",(FC28-BJ28))</f>
        <v/>
      </c>
      <c r="BJ28" s="90">
        <f t="shared" si="43"/>
        <v>6197.139999999963</v>
      </c>
      <c r="BK28" s="92"/>
      <c r="BL28" s="331">
        <f t="shared" si="64"/>
        <v>7248</v>
      </c>
      <c r="BM28" s="93">
        <f t="shared" si="44"/>
        <v>173552</v>
      </c>
      <c r="BN28" s="92"/>
      <c r="BO28" s="94">
        <f t="shared" si="45"/>
        <v>0.1165262813178017</v>
      </c>
      <c r="BP28" s="94">
        <f t="shared" si="45"/>
        <v>0</v>
      </c>
      <c r="BQ28" s="94">
        <f t="shared" si="46"/>
        <v>0.16437722165446866</v>
      </c>
      <c r="BR28" s="94">
        <f t="shared" si="65"/>
        <v>0.5187616965257219</v>
      </c>
      <c r="BS28" s="94">
        <f t="shared" si="73"/>
        <v>6.3541119914908295E-2</v>
      </c>
      <c r="BT28" s="94">
        <f t="shared" si="73"/>
        <v>7.3234529287835498E-2</v>
      </c>
      <c r="BU28" s="95">
        <f t="shared" si="73"/>
        <v>0.80221588052366499</v>
      </c>
      <c r="BV28" s="94">
        <f t="shared" si="11"/>
        <v>9.8685870837438086E-2</v>
      </c>
      <c r="BW28" s="94">
        <f t="shared" si="11"/>
        <v>0</v>
      </c>
      <c r="BX28" s="94">
        <f t="shared" si="11"/>
        <v>0.13921073496345787</v>
      </c>
      <c r="BY28" s="94">
        <f t="shared" si="47"/>
        <v>0.43933822653385135</v>
      </c>
      <c r="BZ28" s="95">
        <f t="shared" si="12"/>
        <v>0.67939499891176647</v>
      </c>
      <c r="CA28" s="96" t="e">
        <f>#REF!</f>
        <v>#REF!</v>
      </c>
      <c r="CB28" s="94">
        <f t="shared" si="48"/>
        <v>2.425578348076441E-2</v>
      </c>
      <c r="CC28" s="95">
        <f t="shared" si="48"/>
        <v>2.3560077658858081E-2</v>
      </c>
      <c r="CD28" s="97">
        <f t="shared" si="13"/>
        <v>7.9214439952887128E-2</v>
      </c>
      <c r="CE28" s="98">
        <f t="shared" si="13"/>
        <v>7.6942406683049566E-2</v>
      </c>
      <c r="CF28" s="97">
        <f t="shared" si="49"/>
        <v>0.31675170068027214</v>
      </c>
      <c r="CG28" s="94">
        <f t="shared" si="49"/>
        <v>0.21258503401360543</v>
      </c>
      <c r="CH28" s="95">
        <f t="shared" si="50"/>
        <v>1.135204081632653</v>
      </c>
      <c r="CI28" s="96" t="e">
        <f>#REF!</f>
        <v>#REF!</v>
      </c>
      <c r="CJ28" s="94">
        <f t="shared" si="51"/>
        <v>0.2195945945945946</v>
      </c>
      <c r="CK28" s="94">
        <f t="shared" si="51"/>
        <v>9.6283783783789254E-2</v>
      </c>
      <c r="CL28" s="95">
        <f t="shared" si="66"/>
        <v>0.68318318318318316</v>
      </c>
      <c r="CM28" s="95" t="e">
        <f>#REF!</f>
        <v>#REF!</v>
      </c>
      <c r="CN28" s="94">
        <f t="shared" si="52"/>
        <v>0.6207061278623196</v>
      </c>
      <c r="CO28" s="94">
        <f t="shared" si="52"/>
        <v>3.535667816937263E-2</v>
      </c>
      <c r="CP28" s="95">
        <f t="shared" si="53"/>
        <v>1.0292721867084034</v>
      </c>
      <c r="CQ28" s="95" t="e">
        <f>#REF!</f>
        <v>#REF!</v>
      </c>
      <c r="CR28" s="97">
        <f t="shared" si="67"/>
        <v>9.3868158051474665E-2</v>
      </c>
      <c r="CS28" s="95">
        <f t="shared" si="67"/>
        <v>0.1290435920108034</v>
      </c>
      <c r="CT28" s="96" t="e">
        <f>#REF!</f>
        <v>#REF!</v>
      </c>
      <c r="CU28" s="97">
        <f t="shared" si="68"/>
        <v>3.429553151303482E-2</v>
      </c>
      <c r="CV28" s="95">
        <f t="shared" si="54"/>
        <v>3.6650589470998314E-2</v>
      </c>
      <c r="CW28" s="96" t="e">
        <f>#REF!</f>
        <v>#REF!</v>
      </c>
      <c r="CX28" s="99">
        <f t="shared" si="74"/>
        <v>0.21532095188001105</v>
      </c>
      <c r="CY28" s="95">
        <f t="shared" si="74"/>
        <v>2.5741115410534442E-2</v>
      </c>
      <c r="CZ28" s="99">
        <f t="shared" si="74"/>
        <v>8.0006169519228676E-2</v>
      </c>
      <c r="DA28" s="95">
        <f t="shared" si="74"/>
        <v>1.0435587328595044E-3</v>
      </c>
      <c r="DB28" s="94">
        <f t="shared" si="14"/>
        <v>0.12522704794314052</v>
      </c>
      <c r="DC28" s="94">
        <f t="shared" si="15"/>
        <v>5.6804380358648307E-2</v>
      </c>
      <c r="DD28" s="94">
        <f t="shared" si="15"/>
        <v>0.36764574158637098</v>
      </c>
      <c r="DE28" s="94">
        <f t="shared" si="15"/>
        <v>0.14644607551128377</v>
      </c>
      <c r="DF28" s="94">
        <f t="shared" si="15"/>
        <v>0</v>
      </c>
      <c r="DG28" s="94">
        <f t="shared" si="15"/>
        <v>0</v>
      </c>
      <c r="DH28" s="95">
        <f t="shared" si="15"/>
        <v>0.69612324539944359</v>
      </c>
      <c r="DI28" s="96" t="e">
        <f>#REF!</f>
        <v>#REF!</v>
      </c>
      <c r="DJ28" s="95">
        <f t="shared" si="56"/>
        <v>2.5212378985885624</v>
      </c>
      <c r="DK28" s="96" t="e">
        <f>#REF!</f>
        <v>#REF!</v>
      </c>
      <c r="DL28" s="95" t="e">
        <f t="shared" si="57"/>
        <v>#VALUE!</v>
      </c>
      <c r="DM28" s="96">
        <f t="shared" si="16"/>
        <v>0</v>
      </c>
      <c r="DN28" s="94">
        <f t="shared" si="17"/>
        <v>2.1556931885843031</v>
      </c>
      <c r="DO28" s="100">
        <v>3.4</v>
      </c>
      <c r="DP28" s="94">
        <f>IF($O28&lt;&gt;0,IF($O28&lt;&gt;0,BL28/$O28*10,0)," ")</f>
        <v>2.5212378985885624</v>
      </c>
      <c r="DQ28" s="94">
        <f t="shared" si="70"/>
        <v>3.2318120515821085</v>
      </c>
      <c r="DR28" s="101">
        <f t="shared" si="18"/>
        <v>3.07</v>
      </c>
      <c r="DS28" s="173"/>
      <c r="DT28" s="103">
        <v>23</v>
      </c>
      <c r="DU28" s="473">
        <v>643012</v>
      </c>
      <c r="DV28" s="361">
        <v>31985</v>
      </c>
      <c r="DW28" s="330">
        <v>5163791</v>
      </c>
      <c r="DX28" s="364">
        <v>126662</v>
      </c>
      <c r="DY28" s="330">
        <v>91512.8</v>
      </c>
      <c r="DZ28" s="330">
        <v>413627</v>
      </c>
      <c r="EA28" s="381">
        <v>249415</v>
      </c>
      <c r="EB28" s="475">
        <v>57283.9</v>
      </c>
      <c r="EC28" s="104">
        <v>430295</v>
      </c>
      <c r="ED28" s="361">
        <v>49471.4</v>
      </c>
      <c r="EE28" s="303">
        <v>42322.3</v>
      </c>
      <c r="EF28" s="389">
        <v>44280.4</v>
      </c>
      <c r="EG28" s="330">
        <v>96737.2</v>
      </c>
      <c r="EH28" s="330">
        <v>189909.9</v>
      </c>
      <c r="EI28" s="330">
        <v>36288</v>
      </c>
      <c r="EJ28" s="104">
        <v>44774</v>
      </c>
      <c r="EK28" s="104"/>
      <c r="EL28" s="330">
        <v>732202.4</v>
      </c>
      <c r="EM28" s="330">
        <v>4002</v>
      </c>
      <c r="EN28" s="105">
        <v>50196.6</v>
      </c>
      <c r="EO28" s="330">
        <v>3179377.1</v>
      </c>
      <c r="EP28" s="105">
        <v>2882388</v>
      </c>
      <c r="EQ28" s="105">
        <v>1547</v>
      </c>
      <c r="ER28" s="105">
        <v>1783</v>
      </c>
      <c r="ES28" s="104">
        <v>456921</v>
      </c>
      <c r="ET28" s="104">
        <v>2216871</v>
      </c>
      <c r="EU28" s="104">
        <v>172613</v>
      </c>
      <c r="EV28" s="104">
        <v>483425</v>
      </c>
      <c r="EW28" s="105">
        <v>156577</v>
      </c>
      <c r="EX28" s="330">
        <v>228982.39999999999</v>
      </c>
      <c r="EY28" s="330">
        <v>1755939.7</v>
      </c>
      <c r="EZ28" s="388">
        <v>851195.7</v>
      </c>
      <c r="FA28" s="387">
        <v>777830</v>
      </c>
      <c r="FB28" s="386">
        <v>32740</v>
      </c>
      <c r="FC28" s="394"/>
      <c r="FD28" s="383">
        <f t="shared" si="72"/>
        <v>5548</v>
      </c>
      <c r="FE28" s="121">
        <v>699</v>
      </c>
      <c r="FF28" s="136">
        <v>64</v>
      </c>
      <c r="FG28" s="105">
        <v>2344</v>
      </c>
      <c r="FH28" s="121">
        <v>1051</v>
      </c>
      <c r="FI28" s="136">
        <v>166</v>
      </c>
      <c r="FJ28" s="121">
        <v>427</v>
      </c>
      <c r="FK28" s="136">
        <v>127</v>
      </c>
      <c r="FL28" s="136">
        <v>103</v>
      </c>
      <c r="FM28" s="136">
        <v>567</v>
      </c>
      <c r="FN28" s="80">
        <v>1700</v>
      </c>
      <c r="FO28" s="475"/>
      <c r="FP28" s="487"/>
      <c r="FR28" s="64"/>
      <c r="FS28" s="64"/>
      <c r="FT28" s="64"/>
      <c r="FU28" s="64"/>
      <c r="FV28" s="64"/>
      <c r="FW28" s="64"/>
      <c r="FX28" s="64"/>
      <c r="FY28" s="64">
        <v>23</v>
      </c>
      <c r="FZ28" s="107"/>
      <c r="GA28" s="107"/>
      <c r="GB28" s="107"/>
      <c r="GC28" s="109"/>
      <c r="GD28" s="110"/>
      <c r="GE28" s="110"/>
      <c r="GF28" s="111"/>
      <c r="GG28" s="111"/>
      <c r="GH28" s="111"/>
      <c r="GI28" s="112"/>
      <c r="GJ28" s="111" t="e">
        <f t="shared" si="58"/>
        <v>#DIV/0!</v>
      </c>
      <c r="GK28" s="118"/>
    </row>
    <row r="29" spans="1:193" ht="15" customHeight="1">
      <c r="B29" s="351">
        <v>43063</v>
      </c>
      <c r="D29" s="86">
        <v>4788</v>
      </c>
      <c r="E29" s="86">
        <v>5375.04</v>
      </c>
      <c r="F29" s="86">
        <v>846.28800000000001</v>
      </c>
      <c r="G29" s="86">
        <v>5164.1639999999998</v>
      </c>
      <c r="H29" s="525">
        <v>8344.5709999999999</v>
      </c>
      <c r="I29" s="86">
        <v>1681.2019999999998</v>
      </c>
      <c r="J29" s="525">
        <v>6185.8799999999992</v>
      </c>
      <c r="K29" s="284">
        <v>10.586</v>
      </c>
      <c r="L29" s="284">
        <v>103</v>
      </c>
      <c r="M29" s="115">
        <f t="shared" si="59"/>
        <v>7867.0819999999985</v>
      </c>
      <c r="N29" s="88">
        <f t="shared" si="19"/>
        <v>24518.063000000002</v>
      </c>
      <c r="O29" s="88">
        <f>N29+L29+((J29+I29)*0.5)</f>
        <v>28554.603999999999</v>
      </c>
      <c r="P29" s="89">
        <f t="shared" si="20"/>
        <v>565566.03050000011</v>
      </c>
      <c r="R29" s="170">
        <f t="shared" si="21"/>
        <v>146.59999999997672</v>
      </c>
      <c r="S29" s="170">
        <f t="shared" si="22"/>
        <v>50.410000000009312</v>
      </c>
      <c r="T29" s="170">
        <f t="shared" si="1"/>
        <v>404</v>
      </c>
      <c r="U29" s="170">
        <f t="shared" si="71"/>
        <v>1.9</v>
      </c>
      <c r="V29" s="170">
        <f t="shared" si="23"/>
        <v>1379.1999999997206</v>
      </c>
      <c r="W29" s="170">
        <f t="shared" si="2"/>
        <v>121.2</v>
      </c>
      <c r="X29" s="170">
        <f t="shared" si="24"/>
        <v>1379.1999999997206</v>
      </c>
      <c r="Y29" s="170">
        <f t="shared" si="25"/>
        <v>213.7</v>
      </c>
      <c r="Z29" s="170">
        <f t="shared" si="3"/>
        <v>167.1</v>
      </c>
      <c r="AA29" s="501">
        <f t="shared" si="26"/>
        <v>1982.1099999997066</v>
      </c>
      <c r="AB29" s="170">
        <f t="shared" si="27"/>
        <v>183</v>
      </c>
      <c r="AC29" s="170">
        <f t="shared" si="27"/>
        <v>92</v>
      </c>
      <c r="AD29" s="501">
        <f t="shared" si="4"/>
        <v>378</v>
      </c>
      <c r="AE29" s="501">
        <f t="shared" si="28"/>
        <v>103</v>
      </c>
      <c r="AF29" s="170">
        <f t="shared" si="29"/>
        <v>168</v>
      </c>
      <c r="AG29" s="170">
        <f t="shared" si="29"/>
        <v>37.599999999991269</v>
      </c>
      <c r="AH29" s="501">
        <f t="shared" ref="AH29:AH35" si="75">DZ29-DZ28+AF29</f>
        <v>242</v>
      </c>
      <c r="AI29" s="501">
        <f>IF(AF29="","",(AH29-AG29-AF29))</f>
        <v>36.400000000008731</v>
      </c>
      <c r="AJ29" s="170">
        <f t="shared" si="31"/>
        <v>49</v>
      </c>
      <c r="AK29" s="170">
        <f t="shared" si="31"/>
        <v>22.69999999999709</v>
      </c>
      <c r="AL29" s="501">
        <f t="shared" si="6"/>
        <v>526</v>
      </c>
      <c r="AM29" s="501">
        <f t="shared" si="32"/>
        <v>454.30000000000291</v>
      </c>
      <c r="AN29" s="170">
        <f t="shared" si="33"/>
        <v>0</v>
      </c>
      <c r="AO29" s="501">
        <f t="shared" si="7"/>
        <v>41.899999999994179</v>
      </c>
      <c r="AP29" s="170">
        <f t="shared" si="34"/>
        <v>30.5</v>
      </c>
      <c r="AQ29" s="501">
        <f t="shared" si="8"/>
        <v>37.700000000011642</v>
      </c>
      <c r="AR29" s="170">
        <f t="shared" si="35"/>
        <v>85.028000000000006</v>
      </c>
      <c r="AS29" s="501">
        <f t="shared" si="36"/>
        <v>102.02800000000002</v>
      </c>
      <c r="AT29" s="501">
        <f t="shared" si="37"/>
        <v>875.02800000000002</v>
      </c>
      <c r="AU29" s="170">
        <f t="shared" si="60"/>
        <v>463</v>
      </c>
      <c r="AV29" s="501">
        <f t="shared" si="61"/>
        <v>24</v>
      </c>
      <c r="AW29" s="170">
        <f t="shared" si="62"/>
        <v>310</v>
      </c>
      <c r="AX29" s="501">
        <f t="shared" si="63"/>
        <v>58</v>
      </c>
      <c r="AY29" s="501" t="str">
        <f t="shared" si="63"/>
        <v/>
      </c>
      <c r="AZ29" s="170">
        <f t="shared" si="38"/>
        <v>335</v>
      </c>
      <c r="BA29" s="170">
        <v>47</v>
      </c>
      <c r="BB29" s="170">
        <f t="shared" si="39"/>
        <v>170.89999999999418</v>
      </c>
      <c r="BC29" s="170">
        <f t="shared" si="39"/>
        <v>404.30000000004657</v>
      </c>
      <c r="BD29" s="170">
        <f t="shared" si="40"/>
        <v>358</v>
      </c>
      <c r="BE29" s="90"/>
      <c r="BF29" s="90"/>
      <c r="BG29" s="501">
        <f t="shared" si="41"/>
        <v>1268.2000000000407</v>
      </c>
      <c r="BH29" s="501">
        <f t="shared" si="42"/>
        <v>4256</v>
      </c>
      <c r="BI29" s="90">
        <f t="shared" si="9"/>
        <v>-2065.9379999997536</v>
      </c>
      <c r="BJ29" s="90">
        <f>IF(BH29=0,"",(AA29+AD29+AO29+BG29+AH29+AL29+AQ29+AT29+AX29+AV29))</f>
        <v>5432.9379999997536</v>
      </c>
      <c r="BK29" s="92"/>
      <c r="BL29" s="331">
        <f>FD29+FN29</f>
        <v>7623</v>
      </c>
      <c r="BM29" s="93">
        <f t="shared" si="44"/>
        <v>181175</v>
      </c>
      <c r="BN29" s="92"/>
      <c r="BO29" s="94">
        <f t="shared" si="45"/>
        <v>5.9792651646248196E-2</v>
      </c>
      <c r="BP29" s="94">
        <f t="shared" si="45"/>
        <v>2.0560351770043707E-2</v>
      </c>
      <c r="BQ29" s="94">
        <f t="shared" si="46"/>
        <v>0.16477647520523947</v>
      </c>
      <c r="BR29" s="94">
        <f t="shared" si="65"/>
        <v>0.56252404604707984</v>
      </c>
      <c r="BS29" s="94">
        <f t="shared" si="73"/>
        <v>8.7160229582573454E-2</v>
      </c>
      <c r="BT29" s="94">
        <f t="shared" si="73"/>
        <v>6.8153834175236433E-2</v>
      </c>
      <c r="BU29" s="95">
        <f t="shared" si="73"/>
        <v>0.8084284635371507</v>
      </c>
      <c r="BV29" s="94">
        <f t="shared" si="11"/>
        <v>5.1340232209130525E-2</v>
      </c>
      <c r="BW29" s="94">
        <f t="shared" si="11"/>
        <v>1.7653895673009269E-2</v>
      </c>
      <c r="BX29" s="94">
        <f t="shared" si="11"/>
        <v>0.1414833138642021</v>
      </c>
      <c r="BY29" s="94">
        <f t="shared" si="47"/>
        <v>0.48300442198383164</v>
      </c>
      <c r="BZ29" s="95">
        <f t="shared" si="12"/>
        <v>0.69414725555280221</v>
      </c>
      <c r="CA29" s="96" t="e">
        <f>#REF!</f>
        <v>#REF!</v>
      </c>
      <c r="CB29" s="94">
        <f t="shared" si="48"/>
        <v>2.9777334681300432E-2</v>
      </c>
      <c r="CC29" s="95">
        <f t="shared" si="48"/>
        <v>3.573084046271488E-2</v>
      </c>
      <c r="CD29" s="97">
        <f t="shared" si="13"/>
        <v>0.10808073438156615</v>
      </c>
      <c r="CE29" s="98">
        <f t="shared" si="13"/>
        <v>0.12968976298963203</v>
      </c>
      <c r="CF29" s="97">
        <f t="shared" si="49"/>
        <v>0.3822055137844611</v>
      </c>
      <c r="CG29" s="94">
        <f t="shared" si="49"/>
        <v>0.1921470342522974</v>
      </c>
      <c r="CH29" s="95">
        <f t="shared" si="50"/>
        <v>0.78947368421052633</v>
      </c>
      <c r="CI29" s="96" t="e">
        <f>#REF!</f>
        <v>#REF!</v>
      </c>
      <c r="CJ29" s="94">
        <f t="shared" si="51"/>
        <v>0.31255581353813178</v>
      </c>
      <c r="CK29" s="94">
        <f t="shared" si="51"/>
        <v>6.9952967791851353E-2</v>
      </c>
      <c r="CL29" s="95">
        <f>IF($E29&lt;&gt;0,IF($E29&lt;&gt;0,AH29/$E29*10,0),"0,00 ")</f>
        <v>0.45022920759659463</v>
      </c>
      <c r="CM29" s="95" t="e">
        <f>#REF!</f>
        <v>#REF!</v>
      </c>
      <c r="CN29" s="94">
        <f t="shared" si="52"/>
        <v>0.5789991114136086</v>
      </c>
      <c r="CO29" s="94">
        <f t="shared" si="52"/>
        <v>0.26823020059361696</v>
      </c>
      <c r="CP29" s="95">
        <f t="shared" si="53"/>
        <v>6.2153782163991451</v>
      </c>
      <c r="CQ29" s="95" t="e">
        <f>#REF!</f>
        <v>#REF!</v>
      </c>
      <c r="CR29" s="97">
        <f t="shared" si="67"/>
        <v>0</v>
      </c>
      <c r="CS29" s="95">
        <f t="shared" si="67"/>
        <v>8.1136075461573615E-2</v>
      </c>
      <c r="CT29" s="96" t="e">
        <f>#REF!</f>
        <v>#REF!</v>
      </c>
      <c r="CU29" s="97">
        <f t="shared" si="68"/>
        <v>3.6550710635693553E-2</v>
      </c>
      <c r="CV29" s="95">
        <f t="shared" si="54"/>
        <v>4.517907511364172E-2</v>
      </c>
      <c r="CW29" s="96" t="e">
        <f>#REF!</f>
        <v>#REF!</v>
      </c>
      <c r="CX29" s="99">
        <f t="shared" si="74"/>
        <v>0.16214548098793455</v>
      </c>
      <c r="CY29" s="95">
        <f t="shared" si="74"/>
        <v>8.4049493384674503E-3</v>
      </c>
      <c r="CZ29" s="99">
        <f t="shared" si="74"/>
        <v>0.10856392895520456</v>
      </c>
      <c r="DA29" s="95">
        <f t="shared" si="74"/>
        <v>2.0311960901296337E-2</v>
      </c>
      <c r="DB29" s="94">
        <f t="shared" si="14"/>
        <v>0.11731908451610816</v>
      </c>
      <c r="DC29" s="94">
        <f t="shared" si="15"/>
        <v>5.9850243414334925E-2</v>
      </c>
      <c r="DD29" s="94">
        <f t="shared" si="15"/>
        <v>0.14158837573094923</v>
      </c>
      <c r="DE29" s="94">
        <f t="shared" si="15"/>
        <v>0.12537382763213947</v>
      </c>
      <c r="DF29" s="94">
        <f t="shared" si="15"/>
        <v>0</v>
      </c>
      <c r="DG29" s="94">
        <f t="shared" si="15"/>
        <v>0</v>
      </c>
      <c r="DH29" s="95">
        <f t="shared" si="15"/>
        <v>0.44413153129353178</v>
      </c>
      <c r="DI29" s="96" t="e">
        <f>#REF!</f>
        <v>#REF!</v>
      </c>
      <c r="DJ29" s="95">
        <f t="shared" si="56"/>
        <v>1.490477682688228</v>
      </c>
      <c r="DK29" s="96" t="e">
        <f>#REF!</f>
        <v>#REF!</v>
      </c>
      <c r="DL29" s="95">
        <f t="shared" si="57"/>
        <v>-0.72350434276719566</v>
      </c>
      <c r="DM29" s="96">
        <f t="shared" si="16"/>
        <v>0</v>
      </c>
      <c r="DN29" s="94">
        <f t="shared" si="17"/>
        <v>1.9026486937096918</v>
      </c>
      <c r="DO29" s="100">
        <v>3.4</v>
      </c>
      <c r="DP29" s="94">
        <f t="shared" si="69"/>
        <v>2.6696220336307235</v>
      </c>
      <c r="DQ29" s="94">
        <f>IF($P29&lt;&gt;0,IF($P29&lt;&gt;0,BM29/$P29*10,0)," ")</f>
        <v>3.2034278975317627</v>
      </c>
      <c r="DR29" s="101">
        <f t="shared" si="18"/>
        <v>3.07</v>
      </c>
      <c r="DS29" s="178"/>
      <c r="DT29" s="103">
        <v>24</v>
      </c>
      <c r="DU29" s="330">
        <v>643195</v>
      </c>
      <c r="DV29" s="361">
        <v>32077</v>
      </c>
      <c r="DW29" s="330">
        <v>5163986</v>
      </c>
      <c r="DX29" s="330">
        <v>126830</v>
      </c>
      <c r="DY29" s="330">
        <v>91550.399999999994</v>
      </c>
      <c r="DZ29" s="330">
        <v>413701</v>
      </c>
      <c r="EA29" s="330">
        <v>249464</v>
      </c>
      <c r="EB29" s="330">
        <v>57306.6</v>
      </c>
      <c r="EC29" s="330">
        <v>430772</v>
      </c>
      <c r="ED29" s="330">
        <v>49471.4</v>
      </c>
      <c r="EE29" s="330">
        <v>42348.6</v>
      </c>
      <c r="EF29" s="330">
        <v>44296</v>
      </c>
      <c r="EG29" s="330">
        <v>96767.7</v>
      </c>
      <c r="EH29" s="330">
        <v>189947.6</v>
      </c>
      <c r="EI29" s="330">
        <v>36312</v>
      </c>
      <c r="EJ29" s="330">
        <v>44832</v>
      </c>
      <c r="EK29" s="330"/>
      <c r="EL29" s="330">
        <v>732349</v>
      </c>
      <c r="EM29" s="330">
        <v>4040</v>
      </c>
      <c r="EN29" s="330">
        <v>50215.6</v>
      </c>
      <c r="EO29" s="330">
        <v>3180756.3</v>
      </c>
      <c r="EP29" s="330">
        <v>2883600</v>
      </c>
      <c r="EQ29" s="330">
        <v>2137</v>
      </c>
      <c r="ER29" s="330">
        <v>1671</v>
      </c>
      <c r="ES29" s="330">
        <v>457711</v>
      </c>
      <c r="ET29" s="330">
        <v>2301899</v>
      </c>
      <c r="EU29" s="330">
        <v>172923</v>
      </c>
      <c r="EV29" s="330">
        <v>483888</v>
      </c>
      <c r="EW29" s="330">
        <v>156912</v>
      </c>
      <c r="EX29" s="330">
        <v>229153.3</v>
      </c>
      <c r="EY29" s="330">
        <v>1756344</v>
      </c>
      <c r="EZ29" s="388">
        <v>851699.8</v>
      </c>
      <c r="FA29" s="387">
        <v>778188</v>
      </c>
      <c r="FB29" s="387">
        <v>32802</v>
      </c>
      <c r="FC29" s="385">
        <v>3367</v>
      </c>
      <c r="FD29" s="383">
        <f t="shared" si="72"/>
        <v>5923</v>
      </c>
      <c r="FE29" s="136">
        <v>670</v>
      </c>
      <c r="FF29" s="136">
        <v>64</v>
      </c>
      <c r="FG29" s="105">
        <v>2244</v>
      </c>
      <c r="FH29" s="136">
        <v>841</v>
      </c>
      <c r="FI29" s="136">
        <v>719</v>
      </c>
      <c r="FJ29" s="136">
        <v>473</v>
      </c>
      <c r="FK29" s="136">
        <v>70</v>
      </c>
      <c r="FL29" s="136">
        <v>151</v>
      </c>
      <c r="FM29" s="136">
        <v>691</v>
      </c>
      <c r="FN29" s="80">
        <v>1700</v>
      </c>
      <c r="FO29" s="389"/>
      <c r="FP29" s="487"/>
      <c r="FR29" s="64"/>
      <c r="FS29" s="64"/>
      <c r="FT29" s="64"/>
      <c r="FU29" s="64"/>
      <c r="FV29" s="64"/>
      <c r="FW29" s="64"/>
      <c r="FX29" s="64"/>
      <c r="FY29" s="64">
        <v>24</v>
      </c>
      <c r="FZ29" s="107"/>
      <c r="GA29" s="107"/>
      <c r="GB29" s="107"/>
      <c r="GC29" s="109"/>
      <c r="GD29" s="110"/>
      <c r="GE29" s="110"/>
      <c r="GF29" s="111"/>
      <c r="GG29" s="111"/>
      <c r="GH29" s="111"/>
      <c r="GI29" s="179"/>
      <c r="GJ29" s="111" t="e">
        <f t="shared" si="58"/>
        <v>#DIV/0!</v>
      </c>
      <c r="GK29" s="113"/>
    </row>
    <row r="30" spans="1:193" ht="15" customHeight="1">
      <c r="B30" s="351">
        <v>43064</v>
      </c>
      <c r="D30" s="86">
        <v>2799.7200000000003</v>
      </c>
      <c r="E30" s="86">
        <v>4467.3599999999997</v>
      </c>
      <c r="F30" s="86">
        <v>2094.3359999999998</v>
      </c>
      <c r="G30" s="86">
        <v>4714.7550000000001</v>
      </c>
      <c r="H30" s="86">
        <v>8726.3950000000004</v>
      </c>
      <c r="I30" s="86">
        <v>1983.3489999999999</v>
      </c>
      <c r="J30" s="86">
        <v>3223.68</v>
      </c>
      <c r="K30" s="284">
        <v>0</v>
      </c>
      <c r="L30" s="284">
        <v>0</v>
      </c>
      <c r="M30" s="115">
        <f t="shared" si="59"/>
        <v>5207.0289999999995</v>
      </c>
      <c r="N30" s="88">
        <f t="shared" si="19"/>
        <v>22802.565999999999</v>
      </c>
      <c r="O30" s="88">
        <f>N30+L30+((J30+I30)*0.5)-356</f>
        <v>25050.0805</v>
      </c>
      <c r="P30" s="89">
        <f t="shared" si="20"/>
        <v>590616.11100000015</v>
      </c>
      <c r="R30" s="170">
        <f t="shared" si="21"/>
        <v>257</v>
      </c>
      <c r="S30" s="170">
        <f t="shared" si="22"/>
        <v>66.319999999995346</v>
      </c>
      <c r="T30" s="170">
        <v>0</v>
      </c>
      <c r="U30" s="170">
        <f t="shared" si="71"/>
        <v>5.5400000000001457</v>
      </c>
      <c r="V30" s="170">
        <f t="shared" si="23"/>
        <v>1534.7000000001863</v>
      </c>
      <c r="W30" s="170">
        <f>IF(EP30=0,"",(EP30-EP29)/10)</f>
        <v>135.1</v>
      </c>
      <c r="X30" s="170">
        <f t="shared" si="24"/>
        <v>1534.7000000001863</v>
      </c>
      <c r="Y30" s="170">
        <f t="shared" si="25"/>
        <v>350</v>
      </c>
      <c r="Z30" s="170">
        <f t="shared" si="3"/>
        <v>156.69999999999999</v>
      </c>
      <c r="AA30" s="501">
        <f t="shared" si="26"/>
        <v>1863.5600000001818</v>
      </c>
      <c r="AB30" s="170">
        <f t="shared" si="27"/>
        <v>87</v>
      </c>
      <c r="AC30" s="170">
        <f t="shared" si="27"/>
        <v>0</v>
      </c>
      <c r="AD30" s="501">
        <f t="shared" si="4"/>
        <v>275</v>
      </c>
      <c r="AE30" s="501">
        <f t="shared" si="28"/>
        <v>188</v>
      </c>
      <c r="AF30" s="170">
        <f>IF(DX30=0,"",(DX30-DX29))</f>
        <v>145</v>
      </c>
      <c r="AG30" s="170">
        <f t="shared" si="29"/>
        <v>96.600000000005821</v>
      </c>
      <c r="AH30" s="501">
        <f t="shared" si="75"/>
        <v>313</v>
      </c>
      <c r="AI30" s="501">
        <f t="shared" si="30"/>
        <v>71.399999999994179</v>
      </c>
      <c r="AJ30" s="170">
        <f>IF(EA30=0,"",(EA30-EA29))</f>
        <v>139</v>
      </c>
      <c r="AK30" s="170">
        <f t="shared" si="31"/>
        <v>28.400000000001455</v>
      </c>
      <c r="AL30" s="501">
        <f t="shared" si="6"/>
        <v>-50</v>
      </c>
      <c r="AM30" s="501">
        <f t="shared" si="32"/>
        <v>-217.40000000000146</v>
      </c>
      <c r="AN30" s="170">
        <f t="shared" si="33"/>
        <v>53.599999999998545</v>
      </c>
      <c r="AO30" s="501">
        <f t="shared" si="7"/>
        <v>65.400000000001455</v>
      </c>
      <c r="AP30" s="170">
        <f t="shared" si="34"/>
        <v>26.30000000000291</v>
      </c>
      <c r="AQ30" s="501">
        <f>IF(AP30=0.1,0,(IF(AP30&gt;=(EH30-EH29),(AP30),(EH30-EH29))))</f>
        <v>32.399999999994179</v>
      </c>
      <c r="AR30" s="170">
        <f t="shared" si="35"/>
        <v>87.116</v>
      </c>
      <c r="AS30" s="501">
        <f t="shared" si="36"/>
        <v>202.11599999999999</v>
      </c>
      <c r="AT30" s="501">
        <f t="shared" si="37"/>
        <v>1008.116</v>
      </c>
      <c r="AU30" s="170">
        <f t="shared" si="60"/>
        <v>518</v>
      </c>
      <c r="AV30" s="501">
        <f t="shared" si="61"/>
        <v>39</v>
      </c>
      <c r="AW30" s="170">
        <f t="shared" si="62"/>
        <v>288</v>
      </c>
      <c r="AX30" s="501">
        <f t="shared" si="63"/>
        <v>17</v>
      </c>
      <c r="AY30" s="501" t="str">
        <f t="shared" si="63"/>
        <v/>
      </c>
      <c r="AZ30" s="170">
        <f t="shared" si="38"/>
        <v>423</v>
      </c>
      <c r="BA30" s="170">
        <v>87</v>
      </c>
      <c r="BB30" s="170">
        <f t="shared" si="39"/>
        <v>241.70000000001164</v>
      </c>
      <c r="BC30" s="170">
        <f t="shared" si="39"/>
        <v>1080</v>
      </c>
      <c r="BD30" s="170">
        <f t="shared" si="40"/>
        <v>115</v>
      </c>
      <c r="BE30" s="90"/>
      <c r="BF30" s="90"/>
      <c r="BG30" s="501">
        <f t="shared" si="41"/>
        <v>1859.7000000000116</v>
      </c>
      <c r="BH30" s="501">
        <f t="shared" si="42"/>
        <v>2132.3580000000002</v>
      </c>
      <c r="BI30" s="90">
        <f>IF(FC30=0,"",(FC30-BJ30))</f>
        <v>195.82399999981135</v>
      </c>
      <c r="BJ30" s="90">
        <f t="shared" si="43"/>
        <v>5423.1760000001887</v>
      </c>
      <c r="BK30" s="92"/>
      <c r="BL30" s="331">
        <f t="shared" si="64"/>
        <v>7751.3580000000002</v>
      </c>
      <c r="BM30" s="93">
        <f t="shared" si="44"/>
        <v>188926.35800000001</v>
      </c>
      <c r="BN30" s="92"/>
      <c r="BO30" s="94">
        <f t="shared" si="45"/>
        <v>0.11270661380828807</v>
      </c>
      <c r="BP30" s="94">
        <f t="shared" si="45"/>
        <v>2.9084446022432452E-2</v>
      </c>
      <c r="BQ30" s="94">
        <f t="shared" si="46"/>
        <v>0</v>
      </c>
      <c r="BR30" s="94">
        <f t="shared" si="65"/>
        <v>0.67303828876109217</v>
      </c>
      <c r="BS30" s="94">
        <f t="shared" si="73"/>
        <v>0.15349149740428336</v>
      </c>
      <c r="BT30" s="94">
        <f t="shared" si="73"/>
        <v>6.8720336123574866E-2</v>
      </c>
      <c r="BU30" s="95">
        <f t="shared" si="73"/>
        <v>0.81725889972215504</v>
      </c>
      <c r="BV30" s="94">
        <f t="shared" si="11"/>
        <v>0.1025944806844034</v>
      </c>
      <c r="BW30" s="94">
        <f t="shared" si="11"/>
        <v>2.6474964820969477E-2</v>
      </c>
      <c r="BX30" s="94">
        <f t="shared" si="11"/>
        <v>0</v>
      </c>
      <c r="BY30" s="94">
        <f t="shared" si="47"/>
        <v>0.61265272181468089</v>
      </c>
      <c r="BZ30" s="95">
        <f t="shared" si="12"/>
        <v>0.74393373705932075</v>
      </c>
      <c r="CA30" s="96" t="e">
        <f>#REF!</f>
        <v>#REF!</v>
      </c>
      <c r="CB30" s="94">
        <f t="shared" si="48"/>
        <v>3.4776734549815121E-2</v>
      </c>
      <c r="CC30" s="95">
        <f t="shared" si="48"/>
        <v>8.0684770653731017E-2</v>
      </c>
      <c r="CD30" s="97">
        <f t="shared" si="13"/>
        <v>0.16730461843020272</v>
      </c>
      <c r="CE30" s="98">
        <f t="shared" si="13"/>
        <v>0.38815992766700552</v>
      </c>
      <c r="CF30" s="97">
        <f t="shared" si="49"/>
        <v>0.31074536025031069</v>
      </c>
      <c r="CG30" s="94">
        <f t="shared" si="49"/>
        <v>0</v>
      </c>
      <c r="CH30" s="95">
        <f t="shared" si="50"/>
        <v>0.98224108125098208</v>
      </c>
      <c r="CI30" s="96" t="e">
        <f>#REF!</f>
        <v>#REF!</v>
      </c>
      <c r="CJ30" s="94">
        <f t="shared" si="51"/>
        <v>0.32457648365029906</v>
      </c>
      <c r="CK30" s="94">
        <f t="shared" si="51"/>
        <v>0.21623509186635023</v>
      </c>
      <c r="CL30" s="95">
        <f t="shared" si="66"/>
        <v>0.70063751298305943</v>
      </c>
      <c r="CM30" s="95" t="e">
        <f>#REF!</f>
        <v>#REF!</v>
      </c>
      <c r="CN30" s="94">
        <f t="shared" si="52"/>
        <v>0.66369484170639281</v>
      </c>
      <c r="CO30" s="94">
        <f t="shared" si="52"/>
        <v>0.1356038381616009</v>
      </c>
      <c r="CP30" s="95">
        <f t="shared" si="53"/>
        <v>-0.2387391516929471</v>
      </c>
      <c r="CQ30" s="95" t="e">
        <f>#REF!</f>
        <v>#REF!</v>
      </c>
      <c r="CR30" s="97">
        <f t="shared" si="67"/>
        <v>0.11368565280698265</v>
      </c>
      <c r="CS30" s="95">
        <f t="shared" si="67"/>
        <v>0.13871346443240731</v>
      </c>
      <c r="CT30" s="96" t="e">
        <f>#REF!</f>
        <v>#REF!</v>
      </c>
      <c r="CU30" s="97">
        <f t="shared" si="68"/>
        <v>3.0138447778266866E-2</v>
      </c>
      <c r="CV30" s="95">
        <f t="shared" si="54"/>
        <v>3.7128734145078439E-2</v>
      </c>
      <c r="CW30" s="96" t="e">
        <f>#REF!</f>
        <v>#REF!</v>
      </c>
      <c r="CX30" s="99">
        <f t="shared" si="74"/>
        <v>0.20678576262459517</v>
      </c>
      <c r="CY30" s="95">
        <f t="shared" si="74"/>
        <v>1.55688122439367E-2</v>
      </c>
      <c r="CZ30" s="99">
        <f t="shared" si="74"/>
        <v>0.11496969041676333</v>
      </c>
      <c r="DA30" s="95">
        <f t="shared" si="74"/>
        <v>6.7864053371006136E-3</v>
      </c>
      <c r="DB30" s="94">
        <f t="shared" si="14"/>
        <v>0.16886173279962113</v>
      </c>
      <c r="DC30" s="94">
        <f t="shared" si="15"/>
        <v>9.6486715881017482E-2</v>
      </c>
      <c r="DD30" s="94">
        <f t="shared" si="15"/>
        <v>0.43113633906286247</v>
      </c>
      <c r="DE30" s="94">
        <f t="shared" si="15"/>
        <v>4.5908036103915917E-2</v>
      </c>
      <c r="DF30" s="94">
        <f t="shared" si="15"/>
        <v>0</v>
      </c>
      <c r="DG30" s="94">
        <f t="shared" si="15"/>
        <v>0</v>
      </c>
      <c r="DH30" s="95">
        <f t="shared" si="15"/>
        <v>0.742392823847417</v>
      </c>
      <c r="DI30" s="96" t="e">
        <f>#REF!</f>
        <v>#REF!</v>
      </c>
      <c r="DJ30" s="95">
        <f t="shared" si="56"/>
        <v>0.85123798304759934</v>
      </c>
      <c r="DK30" s="96" t="e">
        <f>#REF!</f>
        <v>#REF!</v>
      </c>
      <c r="DL30" s="95">
        <f t="shared" si="57"/>
        <v>7.8173002278300596E-2</v>
      </c>
      <c r="DM30" s="96">
        <f t="shared" si="16"/>
        <v>0</v>
      </c>
      <c r="DN30" s="94">
        <f t="shared" si="17"/>
        <v>2.1649335617904257</v>
      </c>
      <c r="DO30" s="100">
        <v>3.4</v>
      </c>
      <c r="DP30" s="94">
        <f>IF($O30&lt;&gt;0,IF($O30&lt;&gt;0,BL30/$O30*10,0)," ")</f>
        <v>3.0943445471163256</v>
      </c>
      <c r="DQ30" s="94">
        <f>IF($P30&lt;&gt;0,IF($P30&lt;&gt;0,BM30/$P30*10,0)," ")</f>
        <v>3.1988012937899684</v>
      </c>
      <c r="DR30" s="101">
        <f t="shared" si="18"/>
        <v>3.07</v>
      </c>
      <c r="DT30" s="103">
        <v>25</v>
      </c>
      <c r="DU30" s="330">
        <v>643282</v>
      </c>
      <c r="DV30" s="330">
        <v>32077</v>
      </c>
      <c r="DW30" s="330">
        <v>5164174</v>
      </c>
      <c r="DX30" s="330">
        <v>126975</v>
      </c>
      <c r="DY30" s="330">
        <v>91647</v>
      </c>
      <c r="DZ30" s="330">
        <v>413869</v>
      </c>
      <c r="EA30" s="330">
        <v>249603</v>
      </c>
      <c r="EB30" s="330">
        <v>57335</v>
      </c>
      <c r="EC30" s="330">
        <v>430583</v>
      </c>
      <c r="ED30" s="330">
        <v>49525</v>
      </c>
      <c r="EE30" s="330">
        <v>42371</v>
      </c>
      <c r="EF30" s="330">
        <v>44339</v>
      </c>
      <c r="EG30" s="330">
        <v>96794</v>
      </c>
      <c r="EH30" s="330">
        <v>189980</v>
      </c>
      <c r="EI30" s="330">
        <v>36351</v>
      </c>
      <c r="EJ30" s="330">
        <v>44849</v>
      </c>
      <c r="EK30" s="330"/>
      <c r="EL30" s="330">
        <v>732606</v>
      </c>
      <c r="EM30" s="330">
        <v>0</v>
      </c>
      <c r="EN30" s="330">
        <v>50271</v>
      </c>
      <c r="EO30" s="330">
        <v>3182291</v>
      </c>
      <c r="EP30" s="330">
        <v>2884951</v>
      </c>
      <c r="EQ30" s="330">
        <v>3500</v>
      </c>
      <c r="ER30" s="330">
        <v>1567</v>
      </c>
      <c r="ES30" s="330">
        <v>458632</v>
      </c>
      <c r="ET30" s="104">
        <v>2389015</v>
      </c>
      <c r="EU30" s="330">
        <v>173211</v>
      </c>
      <c r="EV30" s="136">
        <v>484406</v>
      </c>
      <c r="EW30" s="330">
        <v>157335</v>
      </c>
      <c r="EX30" s="330">
        <v>229395</v>
      </c>
      <c r="EY30" s="330">
        <v>1757424</v>
      </c>
      <c r="EZ30" s="330">
        <v>852363</v>
      </c>
      <c r="FA30" s="385">
        <v>778303</v>
      </c>
      <c r="FB30" s="387">
        <v>31851</v>
      </c>
      <c r="FC30" s="378">
        <v>5619</v>
      </c>
      <c r="FD30" s="383">
        <f t="shared" ref="FD30:FD36" si="76">SUM(FE30:FM30)</f>
        <v>6351.3580000000002</v>
      </c>
      <c r="FE30" s="136">
        <v>673</v>
      </c>
      <c r="FF30" s="136">
        <v>62</v>
      </c>
      <c r="FG30" s="105">
        <v>2257.7280000000001</v>
      </c>
      <c r="FH30" s="136">
        <v>495</v>
      </c>
      <c r="FI30" s="136">
        <v>595</v>
      </c>
      <c r="FJ30" s="136">
        <v>471.67</v>
      </c>
      <c r="FK30" s="136">
        <v>52.96</v>
      </c>
      <c r="FL30" s="136">
        <v>1191</v>
      </c>
      <c r="FM30" s="136">
        <v>553</v>
      </c>
      <c r="FN30" s="80">
        <v>1400</v>
      </c>
      <c r="FO30" s="104">
        <v>0</v>
      </c>
      <c r="FP30" s="484"/>
      <c r="FR30" s="64"/>
      <c r="FS30" s="64"/>
      <c r="FT30" s="64"/>
      <c r="FU30" s="64"/>
      <c r="FV30" s="64"/>
      <c r="FW30" s="64"/>
      <c r="FX30" s="64"/>
      <c r="FY30" s="64">
        <v>25</v>
      </c>
      <c r="FZ30" s="107"/>
      <c r="GA30" s="107"/>
      <c r="GB30" s="180"/>
      <c r="GC30" s="109"/>
      <c r="GD30" s="110"/>
      <c r="GE30" s="110"/>
      <c r="GF30" s="111"/>
      <c r="GG30" s="111"/>
      <c r="GH30" s="111"/>
      <c r="GI30" s="164"/>
      <c r="GJ30" s="111" t="e">
        <f t="shared" si="58"/>
        <v>#DIV/0!</v>
      </c>
    </row>
    <row r="31" spans="1:193" ht="15" customHeight="1">
      <c r="B31" s="351">
        <v>43065</v>
      </c>
      <c r="D31" s="86">
        <v>0</v>
      </c>
      <c r="E31" s="86">
        <v>5022.72</v>
      </c>
      <c r="F31" s="86">
        <v>2593.8720000000003</v>
      </c>
      <c r="G31" s="86">
        <v>4377.7250000000004</v>
      </c>
      <c r="H31" s="86">
        <v>8142.2219999999998</v>
      </c>
      <c r="I31" s="86">
        <v>2763.5709999999999</v>
      </c>
      <c r="J31" s="86">
        <v>8244</v>
      </c>
      <c r="K31" s="284">
        <v>0</v>
      </c>
      <c r="L31" s="284">
        <v>0</v>
      </c>
      <c r="M31" s="115">
        <f t="shared" si="59"/>
        <v>11007.571</v>
      </c>
      <c r="N31" s="88">
        <f t="shared" si="19"/>
        <v>20136.539000000001</v>
      </c>
      <c r="O31" s="88">
        <f>N31+L31+((J31+I31)*0.5)-178</f>
        <v>25462.324500000002</v>
      </c>
      <c r="P31" s="89">
        <f t="shared" si="20"/>
        <v>616078.43550000014</v>
      </c>
      <c r="R31" s="170">
        <f t="shared" si="21"/>
        <v>287.59999999997672</v>
      </c>
      <c r="S31" s="170">
        <f t="shared" si="22"/>
        <v>3.0000000004656614E-2</v>
      </c>
      <c r="T31" s="170">
        <f t="shared" si="1"/>
        <v>887.5</v>
      </c>
      <c r="U31" s="170">
        <f t="shared" si="71"/>
        <v>5.6</v>
      </c>
      <c r="V31" s="170">
        <f t="shared" si="23"/>
        <v>1119.7000000001863</v>
      </c>
      <c r="W31" s="170">
        <f t="shared" si="2"/>
        <v>98.8</v>
      </c>
      <c r="X31" s="170">
        <f t="shared" si="24"/>
        <v>1119.7000000001863</v>
      </c>
      <c r="Y31" s="170">
        <f t="shared" si="25"/>
        <v>307</v>
      </c>
      <c r="Z31" s="170">
        <f t="shared" si="3"/>
        <v>119.7</v>
      </c>
      <c r="AA31" s="501">
        <f t="shared" si="26"/>
        <v>2300.4300000001676</v>
      </c>
      <c r="AB31" s="170">
        <f t="shared" si="27"/>
        <v>0</v>
      </c>
      <c r="AC31" s="170">
        <f t="shared" si="27"/>
        <v>0</v>
      </c>
      <c r="AD31" s="501">
        <f t="shared" si="4"/>
        <v>0</v>
      </c>
      <c r="AE31" s="501">
        <f t="shared" si="28"/>
        <v>0</v>
      </c>
      <c r="AF31" s="170">
        <f>IF(DX31=0,"",(DX31-DX30))</f>
        <v>114</v>
      </c>
      <c r="AG31" s="170">
        <f t="shared" si="29"/>
        <v>136</v>
      </c>
      <c r="AH31" s="501">
        <f t="shared" si="75"/>
        <v>264</v>
      </c>
      <c r="AI31" s="501">
        <f>IF(AF31="","",(AH31-AG31-AF31))</f>
        <v>14</v>
      </c>
      <c r="AJ31" s="170">
        <f t="shared" si="31"/>
        <v>138</v>
      </c>
      <c r="AK31" s="170">
        <f t="shared" si="31"/>
        <v>26.30000000000291</v>
      </c>
      <c r="AL31" s="501">
        <f t="shared" si="6"/>
        <v>249</v>
      </c>
      <c r="AM31" s="501">
        <f t="shared" si="32"/>
        <v>84.69999999999709</v>
      </c>
      <c r="AN31" s="170">
        <f t="shared" si="33"/>
        <v>39.19999999999709</v>
      </c>
      <c r="AO31" s="501">
        <f t="shared" si="7"/>
        <v>17.400000000001455</v>
      </c>
      <c r="AP31" s="170">
        <f t="shared" si="34"/>
        <v>22.30000000000291</v>
      </c>
      <c r="AQ31" s="501">
        <f t="shared" si="8"/>
        <v>26.299999999988358</v>
      </c>
      <c r="AR31" s="170">
        <f t="shared" si="35"/>
        <v>74.739000000000004</v>
      </c>
      <c r="AS31" s="501">
        <f t="shared" si="36"/>
        <v>136.73900000000003</v>
      </c>
      <c r="AT31" s="501">
        <f t="shared" si="37"/>
        <v>912.73900000000003</v>
      </c>
      <c r="AU31" s="170">
        <f t="shared" si="60"/>
        <v>512</v>
      </c>
      <c r="AV31" s="501">
        <f t="shared" si="61"/>
        <v>15</v>
      </c>
      <c r="AW31" s="170">
        <f t="shared" si="62"/>
        <v>264</v>
      </c>
      <c r="AX31" s="501">
        <f t="shared" si="63"/>
        <v>2</v>
      </c>
      <c r="AY31" s="501" t="str">
        <f t="shared" si="63"/>
        <v/>
      </c>
      <c r="AZ31" s="170">
        <f t="shared" si="38"/>
        <v>387</v>
      </c>
      <c r="BA31" s="170">
        <v>0</v>
      </c>
      <c r="BB31" s="170">
        <f t="shared" si="39"/>
        <v>199.79999999998836</v>
      </c>
      <c r="BC31" s="170">
        <f t="shared" si="39"/>
        <v>1011</v>
      </c>
      <c r="BD31" s="170">
        <f t="shared" si="40"/>
        <v>120</v>
      </c>
      <c r="BE31" s="90"/>
      <c r="BF31" s="90"/>
      <c r="BG31" s="501">
        <f t="shared" si="41"/>
        <v>1717.7999999999884</v>
      </c>
      <c r="BH31" s="501">
        <f t="shared" si="42"/>
        <v>492.53499999999985</v>
      </c>
      <c r="BI31" s="90">
        <f t="shared" si="9"/>
        <v>2002.3309999998546</v>
      </c>
      <c r="BJ31" s="90">
        <f>IF(BH31=0,"",(AA31+AD31+AO31+BG31+AH31+AL31+AQ31+AT31+AX31+AV31))</f>
        <v>5504.6690000001454</v>
      </c>
      <c r="BK31" s="92"/>
      <c r="BL31" s="331">
        <f t="shared" si="64"/>
        <v>7999.5349999999999</v>
      </c>
      <c r="BM31" s="93">
        <f t="shared" si="44"/>
        <v>196925.89300000001</v>
      </c>
      <c r="BN31" s="92"/>
      <c r="BO31" s="94">
        <f t="shared" si="45"/>
        <v>0.14282494126720421</v>
      </c>
      <c r="BP31" s="94">
        <f t="shared" si="45"/>
        <v>1.4898290120589548E-5</v>
      </c>
      <c r="BQ31" s="94">
        <f t="shared" si="46"/>
        <v>0.44074108266569545</v>
      </c>
      <c r="BR31" s="94">
        <f t="shared" si="65"/>
        <v>0.55605384818125214</v>
      </c>
      <c r="BS31" s="94">
        <f t="shared" si="73"/>
        <v>0.15245916887703492</v>
      </c>
      <c r="BT31" s="94">
        <f t="shared" si="73"/>
        <v>5.9444177571925341E-2</v>
      </c>
      <c r="BU31" s="95">
        <f t="shared" si="73"/>
        <v>1.1424157845596841</v>
      </c>
      <c r="BV31" s="94">
        <f t="shared" si="11"/>
        <v>0.11295119579517443</v>
      </c>
      <c r="BW31" s="94">
        <f t="shared" si="11"/>
        <v>1.1782113610505831E-5</v>
      </c>
      <c r="BX31" s="94">
        <f t="shared" si="11"/>
        <v>0.34855419425669476</v>
      </c>
      <c r="BY31" s="94">
        <f t="shared" si="47"/>
        <v>0.439747753587928</v>
      </c>
      <c r="BZ31" s="95">
        <f t="shared" si="12"/>
        <v>0.90346425362702742</v>
      </c>
      <c r="CA31" s="96" t="e">
        <f>#REF!</f>
        <v>#REF!</v>
      </c>
      <c r="CB31" s="94">
        <f t="shared" si="48"/>
        <v>2.9352779633297028E-2</v>
      </c>
      <c r="CC31" s="95">
        <f t="shared" si="48"/>
        <v>5.370248109122952E-2</v>
      </c>
      <c r="CD31" s="97">
        <f t="shared" si="13"/>
        <v>6.7897813241449917E-2</v>
      </c>
      <c r="CE31" s="98">
        <f t="shared" si="13"/>
        <v>0.1242226827335477</v>
      </c>
      <c r="CF31" s="97" t="str">
        <f t="shared" si="49"/>
        <v>0,00</v>
      </c>
      <c r="CG31" s="94" t="str">
        <f t="shared" si="49"/>
        <v>0,00</v>
      </c>
      <c r="CH31" s="95" t="str">
        <f t="shared" si="50"/>
        <v xml:space="preserve">0,00 </v>
      </c>
      <c r="CI31" s="96" t="e">
        <f>#REF!</f>
        <v>#REF!</v>
      </c>
      <c r="CJ31" s="94">
        <f t="shared" si="51"/>
        <v>0.22696865443425074</v>
      </c>
      <c r="CK31" s="94">
        <f t="shared" si="51"/>
        <v>0.27076962283384304</v>
      </c>
      <c r="CL31" s="95">
        <f>IF($E31&lt;&gt;0,IF($E31&lt;&gt;0,AH31/$E31*10,0),"0,00 ")</f>
        <v>0.52561162079510693</v>
      </c>
      <c r="CM31" s="95" t="e">
        <f>#REF!</f>
        <v>#REF!</v>
      </c>
      <c r="CN31" s="94">
        <f t="shared" si="52"/>
        <v>0.53202316845241393</v>
      </c>
      <c r="CO31" s="94">
        <f t="shared" si="52"/>
        <v>0.10139282123405824</v>
      </c>
      <c r="CP31" s="95">
        <f t="shared" si="53"/>
        <v>0.9599548474250077</v>
      </c>
      <c r="CQ31" s="95" t="e">
        <f>#REF!</f>
        <v>#REF!</v>
      </c>
      <c r="CR31" s="97">
        <f t="shared" si="67"/>
        <v>8.9544226738767482E-2</v>
      </c>
      <c r="CS31" s="98">
        <f t="shared" si="67"/>
        <v>3.9746672072826533E-2</v>
      </c>
      <c r="CT31" s="96" t="e">
        <f>#REF!</f>
        <v>#REF!</v>
      </c>
      <c r="CU31" s="97">
        <f t="shared" si="68"/>
        <v>2.7388101184176641E-2</v>
      </c>
      <c r="CV31" s="95">
        <f t="shared" si="54"/>
        <v>3.2300765073696544E-2</v>
      </c>
      <c r="CW31" s="96" t="e">
        <f>#REF!</f>
        <v>#REF!</v>
      </c>
      <c r="CX31" s="99">
        <f t="shared" si="74"/>
        <v>0.2010814055880876</v>
      </c>
      <c r="CY31" s="95">
        <f t="shared" si="74"/>
        <v>5.8910568043385033E-3</v>
      </c>
      <c r="CZ31" s="99">
        <f t="shared" si="74"/>
        <v>0.10368259975635766</v>
      </c>
      <c r="DA31" s="95">
        <f t="shared" si="74"/>
        <v>7.8547424057846718E-4</v>
      </c>
      <c r="DB31" s="94">
        <f t="shared" si="14"/>
        <v>0.1519892655519334</v>
      </c>
      <c r="DC31" s="94">
        <f t="shared" si="15"/>
        <v>7.8468876633784296E-2</v>
      </c>
      <c r="DD31" s="94">
        <f t="shared" si="15"/>
        <v>0.39705722861241516</v>
      </c>
      <c r="DE31" s="94">
        <f t="shared" si="15"/>
        <v>4.7128454434708027E-2</v>
      </c>
      <c r="DF31" s="94">
        <f t="shared" si="15"/>
        <v>0</v>
      </c>
      <c r="DG31" s="94">
        <f t="shared" si="15"/>
        <v>0</v>
      </c>
      <c r="DH31" s="95">
        <f t="shared" si="15"/>
        <v>0.67464382523284083</v>
      </c>
      <c r="DI31" s="96" t="e">
        <f>#REF!</f>
        <v>#REF!</v>
      </c>
      <c r="DJ31" s="95">
        <f t="shared" si="56"/>
        <v>0.19343677754165761</v>
      </c>
      <c r="DK31" s="96" t="e">
        <f>#REF!</f>
        <v>#REF!</v>
      </c>
      <c r="DL31" s="95">
        <f t="shared" si="57"/>
        <v>0.78638971080580422</v>
      </c>
      <c r="DM31" s="96">
        <f t="shared" si="16"/>
        <v>0</v>
      </c>
      <c r="DN31" s="94">
        <f t="shared" si="17"/>
        <v>2.161887851205472</v>
      </c>
      <c r="DO31" s="100">
        <v>3.4</v>
      </c>
      <c r="DP31" s="94">
        <f t="shared" si="69"/>
        <v>3.1417143395529341</v>
      </c>
      <c r="DQ31" s="94">
        <f t="shared" si="70"/>
        <v>3.1964419082478983</v>
      </c>
      <c r="DR31" s="101">
        <f t="shared" si="18"/>
        <v>3.07</v>
      </c>
      <c r="DT31" s="182">
        <v>26</v>
      </c>
      <c r="DU31" s="183">
        <v>643282</v>
      </c>
      <c r="DV31" s="135">
        <f>DV30</f>
        <v>32077</v>
      </c>
      <c r="DW31" s="135">
        <v>5164174</v>
      </c>
      <c r="DX31" s="135">
        <v>127089</v>
      </c>
      <c r="DY31" s="135">
        <v>91783</v>
      </c>
      <c r="DZ31" s="135">
        <f>DZ30+150</f>
        <v>414019</v>
      </c>
      <c r="EA31" s="136">
        <v>249741</v>
      </c>
      <c r="EB31" s="136">
        <v>57361.3</v>
      </c>
      <c r="EC31" s="136">
        <v>430694</v>
      </c>
      <c r="ED31" s="136">
        <v>49564.2</v>
      </c>
      <c r="EE31" s="136">
        <v>42390.400000000001</v>
      </c>
      <c r="EF31" s="136">
        <v>44337</v>
      </c>
      <c r="EG31" s="135">
        <v>96816.3</v>
      </c>
      <c r="EH31" s="135">
        <v>190006.3</v>
      </c>
      <c r="EI31" s="330">
        <v>36366</v>
      </c>
      <c r="EJ31" s="136">
        <v>44851</v>
      </c>
      <c r="EK31" s="136"/>
      <c r="EL31" s="135">
        <v>732893.6</v>
      </c>
      <c r="EM31" s="135">
        <v>8875</v>
      </c>
      <c r="EN31" s="136">
        <v>50327</v>
      </c>
      <c r="EO31" s="135">
        <v>3183410.7</v>
      </c>
      <c r="EP31" s="139">
        <v>2885939</v>
      </c>
      <c r="EQ31" s="139">
        <v>3070</v>
      </c>
      <c r="ER31" s="139">
        <v>1197</v>
      </c>
      <c r="ES31" s="373">
        <v>459470</v>
      </c>
      <c r="ET31" s="136">
        <v>2463754</v>
      </c>
      <c r="EU31" s="136">
        <v>173475</v>
      </c>
      <c r="EV31" s="136">
        <v>484918</v>
      </c>
      <c r="EW31" s="136">
        <v>157722</v>
      </c>
      <c r="EX31" s="135">
        <v>229594.8</v>
      </c>
      <c r="EY31" s="135">
        <v>1758435</v>
      </c>
      <c r="EZ31" s="136">
        <v>852363.3</v>
      </c>
      <c r="FA31" s="145">
        <v>778423</v>
      </c>
      <c r="FB31" s="145">
        <v>31851.9</v>
      </c>
      <c r="FC31" s="140">
        <v>7507</v>
      </c>
      <c r="FD31" s="383">
        <f t="shared" si="76"/>
        <v>6999.5349999999999</v>
      </c>
      <c r="FE31" s="136">
        <v>663</v>
      </c>
      <c r="FF31" s="547">
        <v>62</v>
      </c>
      <c r="FG31" s="105">
        <v>2031.5350000000001</v>
      </c>
      <c r="FH31" s="303">
        <v>1196</v>
      </c>
      <c r="FI31" s="303">
        <v>547</v>
      </c>
      <c r="FJ31" s="105">
        <v>384</v>
      </c>
      <c r="FK31" s="303">
        <v>0</v>
      </c>
      <c r="FL31" s="303">
        <v>1562</v>
      </c>
      <c r="FM31" s="303">
        <v>554</v>
      </c>
      <c r="FN31" s="80">
        <v>1000</v>
      </c>
      <c r="FO31" s="104">
        <v>0</v>
      </c>
      <c r="FP31" s="465"/>
      <c r="FQ31" s="185"/>
      <c r="FR31" s="64"/>
      <c r="FS31" s="64"/>
      <c r="FT31" s="64"/>
      <c r="FU31" s="64"/>
      <c r="FV31" s="64"/>
      <c r="FW31" s="64"/>
      <c r="FX31" s="64"/>
      <c r="FY31" s="64">
        <v>26</v>
      </c>
      <c r="FZ31" s="107"/>
      <c r="GA31" s="107"/>
      <c r="GB31" s="180"/>
      <c r="GC31" s="109"/>
      <c r="GD31" s="110"/>
      <c r="GE31" s="110"/>
      <c r="GF31" s="111"/>
      <c r="GG31" s="111"/>
      <c r="GH31" s="111"/>
      <c r="GI31" s="112"/>
      <c r="GJ31" s="111" t="e">
        <f t="shared" si="58"/>
        <v>#DIV/0!</v>
      </c>
      <c r="GK31" s="118"/>
    </row>
    <row r="32" spans="1:193" s="119" customFormat="1" ht="15" customHeight="1">
      <c r="B32" s="351">
        <v>43066</v>
      </c>
      <c r="D32" s="86">
        <v>0</v>
      </c>
      <c r="E32" s="86">
        <v>3993</v>
      </c>
      <c r="F32" s="86">
        <v>2229.12</v>
      </c>
      <c r="G32" s="86">
        <v>2822.7190000000001</v>
      </c>
      <c r="H32" s="86">
        <v>7719.076</v>
      </c>
      <c r="I32" s="86">
        <v>2486.652</v>
      </c>
      <c r="J32" s="86">
        <v>4233.12</v>
      </c>
      <c r="K32" s="284">
        <v>0</v>
      </c>
      <c r="L32" s="284">
        <v>0</v>
      </c>
      <c r="M32" s="115">
        <f t="shared" si="59"/>
        <v>6719.7719999999999</v>
      </c>
      <c r="N32" s="88">
        <f t="shared" si="19"/>
        <v>16763.915000000001</v>
      </c>
      <c r="O32" s="88">
        <f>(N32+L32+((J32+I32)*0.5))</f>
        <v>20123.800999999999</v>
      </c>
      <c r="P32" s="89">
        <f t="shared" si="20"/>
        <v>636202.23650000012</v>
      </c>
      <c r="R32" s="170">
        <f t="shared" si="21"/>
        <v>321.90000000002328</v>
      </c>
      <c r="S32" s="170">
        <f t="shared" si="22"/>
        <v>0</v>
      </c>
      <c r="T32" s="170">
        <f t="shared" si="1"/>
        <v>186</v>
      </c>
      <c r="U32" s="170">
        <f t="shared" si="71"/>
        <v>25.6</v>
      </c>
      <c r="V32" s="170">
        <f t="shared" si="23"/>
        <v>1186.2999999998137</v>
      </c>
      <c r="W32" s="170">
        <f t="shared" si="2"/>
        <v>105.3</v>
      </c>
      <c r="X32" s="170">
        <f t="shared" si="24"/>
        <v>1186.2999999998137</v>
      </c>
      <c r="Y32" s="170">
        <f t="shared" si="25"/>
        <v>335</v>
      </c>
      <c r="Z32" s="170">
        <f t="shared" si="3"/>
        <v>90.2</v>
      </c>
      <c r="AA32" s="501">
        <f t="shared" si="26"/>
        <v>1719.7999999998369</v>
      </c>
      <c r="AB32" s="170">
        <f t="shared" si="27"/>
        <v>27</v>
      </c>
      <c r="AC32" s="170">
        <f t="shared" si="27"/>
        <v>145</v>
      </c>
      <c r="AD32" s="501">
        <f t="shared" si="4"/>
        <v>309</v>
      </c>
      <c r="AE32" s="501">
        <f t="shared" si="28"/>
        <v>137</v>
      </c>
      <c r="AF32" s="170">
        <f>IF(DX32=0,"",(DX32-DX31))</f>
        <v>60</v>
      </c>
      <c r="AG32" s="170">
        <f t="shared" si="29"/>
        <v>98.19999999999709</v>
      </c>
      <c r="AH32" s="501">
        <f t="shared" si="75"/>
        <v>205</v>
      </c>
      <c r="AI32" s="501">
        <f t="shared" si="30"/>
        <v>46.80000000000291</v>
      </c>
      <c r="AJ32" s="170">
        <f>IF(EA32=0,"",(EA32-EA31))</f>
        <v>155</v>
      </c>
      <c r="AK32" s="170">
        <f t="shared" si="31"/>
        <v>12.399999999994179</v>
      </c>
      <c r="AL32" s="501">
        <f t="shared" si="6"/>
        <v>272</v>
      </c>
      <c r="AM32" s="501">
        <f t="shared" si="32"/>
        <v>104.60000000000582</v>
      </c>
      <c r="AN32" s="170">
        <f t="shared" si="33"/>
        <v>30.600000000005821</v>
      </c>
      <c r="AO32" s="501">
        <f t="shared" si="7"/>
        <v>92.599999999998545</v>
      </c>
      <c r="AP32" s="170">
        <f t="shared" si="34"/>
        <v>29.19999999999709</v>
      </c>
      <c r="AQ32" s="501">
        <f t="shared" si="8"/>
        <v>33.400000000023283</v>
      </c>
      <c r="AR32" s="170">
        <f t="shared" si="35"/>
        <v>79.262</v>
      </c>
      <c r="AS32" s="501">
        <f t="shared" si="36"/>
        <v>101.26199999999994</v>
      </c>
      <c r="AT32" s="501">
        <f t="shared" si="37"/>
        <v>825.26199999999994</v>
      </c>
      <c r="AU32" s="170">
        <f t="shared" si="60"/>
        <v>408</v>
      </c>
      <c r="AV32" s="501">
        <f t="shared" si="61"/>
        <v>16</v>
      </c>
      <c r="AW32" s="170">
        <f t="shared" si="62"/>
        <v>316</v>
      </c>
      <c r="AX32" s="501">
        <f t="shared" si="63"/>
        <v>57</v>
      </c>
      <c r="AY32" s="501" t="str">
        <f t="shared" si="63"/>
        <v/>
      </c>
      <c r="AZ32" s="170">
        <f t="shared" si="38"/>
        <v>285</v>
      </c>
      <c r="BA32" s="170">
        <v>111</v>
      </c>
      <c r="BB32" s="170">
        <f t="shared" si="39"/>
        <v>178.70000000001164</v>
      </c>
      <c r="BC32" s="170">
        <f t="shared" si="39"/>
        <v>1057</v>
      </c>
      <c r="BD32" s="170">
        <f t="shared" si="40"/>
        <v>101</v>
      </c>
      <c r="BE32" s="90"/>
      <c r="BF32" s="90"/>
      <c r="BG32" s="501">
        <f t="shared" si="41"/>
        <v>1621.7000000000116</v>
      </c>
      <c r="BH32" s="501">
        <f t="shared" si="42"/>
        <v>2148</v>
      </c>
      <c r="BI32" s="90">
        <f t="shared" si="9"/>
        <v>-38.761999999870568</v>
      </c>
      <c r="BJ32" s="90">
        <f t="shared" si="43"/>
        <v>5151.7619999998706</v>
      </c>
      <c r="BK32" s="92"/>
      <c r="BL32" s="331">
        <f>FD32+FN32</f>
        <v>7261</v>
      </c>
      <c r="BM32" s="93">
        <f t="shared" si="44"/>
        <v>204186.89300000001</v>
      </c>
      <c r="BN32" s="92"/>
      <c r="BO32" s="94">
        <f t="shared" si="45"/>
        <v>0.19201958492394128</v>
      </c>
      <c r="BP32" s="94">
        <f t="shared" si="45"/>
        <v>0</v>
      </c>
      <c r="BQ32" s="94">
        <f t="shared" si="46"/>
        <v>0.11095260265874649</v>
      </c>
      <c r="BR32" s="94">
        <f t="shared" si="65"/>
        <v>0.70765092760242077</v>
      </c>
      <c r="BS32" s="94">
        <f t="shared" si="73"/>
        <v>0.19983398865957028</v>
      </c>
      <c r="BT32" s="94">
        <f t="shared" si="73"/>
        <v>5.3806047095800717E-2</v>
      </c>
      <c r="BU32" s="95">
        <f t="shared" si="73"/>
        <v>1.0258940110349144</v>
      </c>
      <c r="BV32" s="94">
        <f t="shared" si="11"/>
        <v>0.15995984058877508</v>
      </c>
      <c r="BW32" s="94">
        <f t="shared" si="11"/>
        <v>0</v>
      </c>
      <c r="BX32" s="94">
        <f t="shared" si="11"/>
        <v>9.2427866882603335E-2</v>
      </c>
      <c r="BY32" s="94">
        <f t="shared" si="47"/>
        <v>0.58950095958502757</v>
      </c>
      <c r="BZ32" s="95">
        <f t="shared" si="12"/>
        <v>0.85460992185315132</v>
      </c>
      <c r="CA32" s="96" t="e">
        <f>#REF!</f>
        <v>#REF!</v>
      </c>
      <c r="CB32" s="94">
        <f t="shared" si="48"/>
        <v>3.938719131639197E-2</v>
      </c>
      <c r="CC32" s="95">
        <f t="shared" si="48"/>
        <v>5.0319519657345026E-2</v>
      </c>
      <c r="CD32" s="97">
        <f t="shared" si="13"/>
        <v>0.11795340675249101</v>
      </c>
      <c r="CE32" s="98">
        <f t="shared" si="13"/>
        <v>0.15069261278507656</v>
      </c>
      <c r="CF32" s="97" t="str">
        <f t="shared" si="49"/>
        <v>0,00</v>
      </c>
      <c r="CG32" s="94" t="str">
        <f t="shared" si="49"/>
        <v>0,00</v>
      </c>
      <c r="CH32" s="95" t="str">
        <f t="shared" si="50"/>
        <v xml:space="preserve">0,00 </v>
      </c>
      <c r="CI32" s="96" t="e">
        <f>#REF!</f>
        <v>#REF!</v>
      </c>
      <c r="CJ32" s="94">
        <f t="shared" si="51"/>
        <v>0.15026296018031554</v>
      </c>
      <c r="CK32" s="94">
        <f t="shared" si="51"/>
        <v>0.24593037816177582</v>
      </c>
      <c r="CL32" s="95">
        <f t="shared" si="66"/>
        <v>0.51339844728274475</v>
      </c>
      <c r="CM32" s="95" t="e">
        <f>#REF!</f>
        <v>#REF!</v>
      </c>
      <c r="CN32" s="94">
        <f t="shared" si="52"/>
        <v>0.69534165948894633</v>
      </c>
      <c r="CO32" s="94">
        <f t="shared" si="52"/>
        <v>5.5627332759089591E-2</v>
      </c>
      <c r="CP32" s="95">
        <f t="shared" si="53"/>
        <v>1.2202124605225382</v>
      </c>
      <c r="CQ32" s="95" t="e">
        <f>#REF!</f>
        <v>#REF!</v>
      </c>
      <c r="CR32" s="97">
        <f t="shared" si="67"/>
        <v>0.10840611481343279</v>
      </c>
      <c r="CS32" s="95">
        <f t="shared" si="67"/>
        <v>0.32805249123273883</v>
      </c>
      <c r="CT32" s="96" t="e">
        <f>#REF!</f>
        <v>#REF!</v>
      </c>
      <c r="CU32" s="97">
        <f t="shared" si="68"/>
        <v>3.7828361840195758E-2</v>
      </c>
      <c r="CV32" s="95">
        <f t="shared" si="54"/>
        <v>4.3269427584367984E-2</v>
      </c>
      <c r="CW32" s="96" t="e">
        <f>#REF!</f>
        <v>#REF!</v>
      </c>
      <c r="CX32" s="99">
        <f t="shared" si="74"/>
        <v>0.20274499832312992</v>
      </c>
      <c r="CY32" s="95">
        <f t="shared" si="74"/>
        <v>7.9507842479658794E-3</v>
      </c>
      <c r="CZ32" s="99">
        <f t="shared" si="74"/>
        <v>0.15702798889732611</v>
      </c>
      <c r="DA32" s="95">
        <f t="shared" si="74"/>
        <v>2.8324668883378444E-2</v>
      </c>
      <c r="DB32" s="94">
        <f t="shared" si="14"/>
        <v>0.14162334441689223</v>
      </c>
      <c r="DC32" s="94">
        <f t="shared" si="15"/>
        <v>8.8800321569474705E-2</v>
      </c>
      <c r="DD32" s="94">
        <f t="shared" si="15"/>
        <v>0.52524868438124583</v>
      </c>
      <c r="DE32" s="94">
        <f t="shared" si="15"/>
        <v>5.0189325565284604E-2</v>
      </c>
      <c r="DF32" s="94">
        <f t="shared" si="15"/>
        <v>0</v>
      </c>
      <c r="DG32" s="94">
        <f t="shared" si="15"/>
        <v>0</v>
      </c>
      <c r="DH32" s="95">
        <f t="shared" si="15"/>
        <v>0.80586167593289737</v>
      </c>
      <c r="DI32" s="96" t="e">
        <f>#REF!</f>
        <v>#REF!</v>
      </c>
      <c r="DJ32" s="95">
        <f t="shared" si="56"/>
        <v>1.0673927852894192</v>
      </c>
      <c r="DK32" s="96" t="e">
        <f>#REF!</f>
        <v>#REF!</v>
      </c>
      <c r="DL32" s="95">
        <f t="shared" si="57"/>
        <v>-1.926176868866402E-2</v>
      </c>
      <c r="DM32" s="96">
        <f t="shared" si="16"/>
        <v>0</v>
      </c>
      <c r="DN32" s="94">
        <f>IF($O32&lt;&gt;0,BJ32/$O32*10,"")</f>
        <v>2.5600342599292603</v>
      </c>
      <c r="DO32" s="100">
        <v>3.4</v>
      </c>
      <c r="DP32" s="94">
        <f t="shared" si="69"/>
        <v>3.6081652765300154</v>
      </c>
      <c r="DQ32" s="94">
        <f t="shared" si="70"/>
        <v>3.2094651870969959</v>
      </c>
      <c r="DR32" s="101"/>
      <c r="DS32" s="173"/>
      <c r="DT32" s="134">
        <v>27</v>
      </c>
      <c r="DU32" s="135">
        <v>643309</v>
      </c>
      <c r="DV32" s="135">
        <v>32222</v>
      </c>
      <c r="DW32" s="135">
        <v>5164456</v>
      </c>
      <c r="DX32" s="135">
        <v>127149</v>
      </c>
      <c r="DY32" s="135">
        <v>91881.2</v>
      </c>
      <c r="DZ32" s="137">
        <v>414164</v>
      </c>
      <c r="EA32" s="136">
        <v>249896</v>
      </c>
      <c r="EB32" s="136">
        <v>57373.7</v>
      </c>
      <c r="EC32" s="136">
        <v>430811</v>
      </c>
      <c r="ED32" s="136">
        <v>49594.8</v>
      </c>
      <c r="EE32" s="136">
        <v>42410</v>
      </c>
      <c r="EF32" s="535">
        <v>44410</v>
      </c>
      <c r="EG32" s="135">
        <v>96845.5</v>
      </c>
      <c r="EH32" s="135">
        <v>190039.7</v>
      </c>
      <c r="EI32" s="330">
        <v>36382</v>
      </c>
      <c r="EJ32" s="136">
        <v>44908</v>
      </c>
      <c r="EK32" s="136"/>
      <c r="EL32" s="135">
        <v>733215.5</v>
      </c>
      <c r="EM32" s="135">
        <v>1860</v>
      </c>
      <c r="EN32" s="136">
        <v>50583</v>
      </c>
      <c r="EO32" s="135">
        <v>3184597</v>
      </c>
      <c r="EP32" s="144">
        <v>2886992</v>
      </c>
      <c r="EQ32" s="136">
        <v>3350</v>
      </c>
      <c r="ER32" s="136">
        <v>902</v>
      </c>
      <c r="ES32" s="136">
        <v>460216</v>
      </c>
      <c r="ET32" s="136">
        <v>2543016</v>
      </c>
      <c r="EU32" s="136">
        <v>173791</v>
      </c>
      <c r="EV32" s="136">
        <v>485326</v>
      </c>
      <c r="EW32" s="136">
        <v>158007</v>
      </c>
      <c r="EX32" s="135">
        <v>229773.5</v>
      </c>
      <c r="EY32" s="135">
        <v>1759492</v>
      </c>
      <c r="EZ32" s="136">
        <v>852363.3</v>
      </c>
      <c r="FA32" s="145">
        <v>778524</v>
      </c>
      <c r="FB32" s="145">
        <v>31966.400000000001</v>
      </c>
      <c r="FC32" s="140">
        <v>5113</v>
      </c>
      <c r="FD32" s="383">
        <f>SUM(FE32:FM32)</f>
        <v>5661</v>
      </c>
      <c r="FE32" s="136">
        <v>670</v>
      </c>
      <c r="FF32" s="136">
        <v>59</v>
      </c>
      <c r="FG32" s="105">
        <v>2279</v>
      </c>
      <c r="FH32" s="136">
        <v>833</v>
      </c>
      <c r="FI32" s="136">
        <v>608</v>
      </c>
      <c r="FJ32" s="136">
        <v>508</v>
      </c>
      <c r="FK32" s="136">
        <v>0</v>
      </c>
      <c r="FL32" s="136">
        <v>155</v>
      </c>
      <c r="FM32" s="136">
        <v>549</v>
      </c>
      <c r="FN32" s="80">
        <v>1600</v>
      </c>
      <c r="FO32" s="104"/>
      <c r="FP32" s="488"/>
      <c r="FQ32" s="186"/>
      <c r="FY32" s="119">
        <v>27</v>
      </c>
      <c r="FZ32" s="107"/>
      <c r="GA32" s="107"/>
      <c r="GB32" s="180"/>
      <c r="GC32" s="109"/>
      <c r="GD32" s="110"/>
      <c r="GE32" s="110"/>
      <c r="GF32" s="111"/>
      <c r="GG32" s="111"/>
      <c r="GH32" s="111"/>
      <c r="GI32" s="164"/>
      <c r="GJ32" s="111" t="e">
        <f t="shared" si="58"/>
        <v>#DIV/0!</v>
      </c>
    </row>
    <row r="33" spans="1:193" s="119" customFormat="1" ht="15" customHeight="1">
      <c r="A33" s="119">
        <v>0</v>
      </c>
      <c r="B33" s="351">
        <v>43067</v>
      </c>
      <c r="D33" s="86">
        <v>4224</v>
      </c>
      <c r="E33" s="86">
        <v>476.88</v>
      </c>
      <c r="F33" s="86">
        <v>3234.8159999999998</v>
      </c>
      <c r="G33" s="525">
        <v>866.80399999999997</v>
      </c>
      <c r="H33" s="525">
        <f>5178.612+12</f>
        <v>5190.6120000000001</v>
      </c>
      <c r="I33" s="525">
        <v>1776.4760000000001</v>
      </c>
      <c r="J33" s="525">
        <v>5013.12</v>
      </c>
      <c r="K33" s="327">
        <f>5178.612-5176</f>
        <v>2.61200000000008</v>
      </c>
      <c r="L33" s="284">
        <v>0</v>
      </c>
      <c r="M33" s="115">
        <f t="shared" si="59"/>
        <v>6789.5959999999995</v>
      </c>
      <c r="N33" s="88">
        <f t="shared" si="19"/>
        <v>13993.112000000001</v>
      </c>
      <c r="O33" s="88">
        <f>N33+L33+((J33+I33)*0.5)</f>
        <v>17387.91</v>
      </c>
      <c r="P33" s="89">
        <f t="shared" si="20"/>
        <v>653590.14650000015</v>
      </c>
      <c r="R33" s="170">
        <f t="shared" si="21"/>
        <v>296.90000000002328</v>
      </c>
      <c r="S33" s="170">
        <f t="shared" si="22"/>
        <v>0</v>
      </c>
      <c r="T33" s="170">
        <f t="shared" si="1"/>
        <v>446.2</v>
      </c>
      <c r="U33" s="170">
        <f t="shared" si="71"/>
        <v>-13.63000000000029</v>
      </c>
      <c r="V33" s="170">
        <f t="shared" si="23"/>
        <v>1232</v>
      </c>
      <c r="W33" s="170">
        <f t="shared" si="2"/>
        <v>109.4</v>
      </c>
      <c r="X33" s="170">
        <f t="shared" si="24"/>
        <v>1232</v>
      </c>
      <c r="Y33" s="170">
        <f t="shared" si="25"/>
        <v>382</v>
      </c>
      <c r="Z33" s="170">
        <f t="shared" si="3"/>
        <v>87.8</v>
      </c>
      <c r="AA33" s="501">
        <f t="shared" si="26"/>
        <v>1961.470000000023</v>
      </c>
      <c r="AB33" s="170">
        <f>IF(DU33=0,"",(DU33-DU32))</f>
        <v>141</v>
      </c>
      <c r="AC33" s="170">
        <f t="shared" si="27"/>
        <v>216</v>
      </c>
      <c r="AD33" s="501">
        <f t="shared" si="4"/>
        <v>695</v>
      </c>
      <c r="AE33" s="501">
        <f t="shared" si="28"/>
        <v>338</v>
      </c>
      <c r="AF33" s="170">
        <f t="shared" si="29"/>
        <v>437</v>
      </c>
      <c r="AG33" s="170">
        <f t="shared" si="29"/>
        <v>20</v>
      </c>
      <c r="AH33" s="501">
        <f t="shared" si="75"/>
        <v>518</v>
      </c>
      <c r="AI33" s="501">
        <f t="shared" si="30"/>
        <v>61</v>
      </c>
      <c r="AJ33" s="170">
        <f>IF(EA33=0,"",(EA33-EA32))</f>
        <v>156</v>
      </c>
      <c r="AK33" s="170">
        <f t="shared" si="31"/>
        <v>21.600000000005821</v>
      </c>
      <c r="AL33" s="501">
        <f t="shared" si="6"/>
        <v>288</v>
      </c>
      <c r="AM33" s="501">
        <f t="shared" si="32"/>
        <v>110.39999999999418</v>
      </c>
      <c r="AN33" s="170">
        <f t="shared" si="33"/>
        <v>41</v>
      </c>
      <c r="AO33" s="501">
        <f t="shared" si="7"/>
        <v>39.30000000000291</v>
      </c>
      <c r="AP33" s="170">
        <f t="shared" si="34"/>
        <v>34.100000000005821</v>
      </c>
      <c r="AQ33" s="501">
        <f t="shared" si="8"/>
        <v>74.5</v>
      </c>
      <c r="AR33" s="170">
        <f t="shared" si="35"/>
        <v>60.436999999999998</v>
      </c>
      <c r="AS33" s="501">
        <f t="shared" si="36"/>
        <v>81.437000000000012</v>
      </c>
      <c r="AT33" s="501">
        <f t="shared" si="37"/>
        <v>844.43700000000001</v>
      </c>
      <c r="AU33" s="170">
        <f t="shared" si="60"/>
        <v>480</v>
      </c>
      <c r="AV33" s="501">
        <f t="shared" si="61"/>
        <v>0</v>
      </c>
      <c r="AW33" s="170">
        <f t="shared" si="62"/>
        <v>283</v>
      </c>
      <c r="AX33" s="501">
        <f t="shared" si="63"/>
        <v>0</v>
      </c>
      <c r="AY33" s="501" t="str">
        <f t="shared" si="63"/>
        <v/>
      </c>
      <c r="AZ33" s="170">
        <f t="shared" si="38"/>
        <v>450</v>
      </c>
      <c r="BA33" s="170">
        <v>13</v>
      </c>
      <c r="BB33" s="170">
        <f t="shared" si="39"/>
        <v>174.10000000000582</v>
      </c>
      <c r="BC33" s="170">
        <f t="shared" si="39"/>
        <v>1058.1000000000931</v>
      </c>
      <c r="BD33" s="170">
        <f t="shared" si="40"/>
        <v>358</v>
      </c>
      <c r="BE33" s="90"/>
      <c r="BF33" s="90"/>
      <c r="BG33" s="501">
        <f t="shared" si="41"/>
        <v>2040.200000000099</v>
      </c>
      <c r="BH33" s="501">
        <f>BL33-FC33</f>
        <v>2212</v>
      </c>
      <c r="BI33" s="90">
        <f t="shared" si="9"/>
        <v>-2035.9070000001248</v>
      </c>
      <c r="BJ33" s="90">
        <f t="shared" si="43"/>
        <v>6460.9070000001248</v>
      </c>
      <c r="BK33" s="92"/>
      <c r="BL33" s="331">
        <f t="shared" si="64"/>
        <v>6637</v>
      </c>
      <c r="BM33" s="93">
        <f t="shared" si="44"/>
        <v>210823.89300000001</v>
      </c>
      <c r="BN33" s="92"/>
      <c r="BO33" s="94">
        <f t="shared" si="45"/>
        <v>0.21217581907442981</v>
      </c>
      <c r="BP33" s="94">
        <f t="shared" si="45"/>
        <v>0</v>
      </c>
      <c r="BQ33" s="94">
        <f t="shared" si="46"/>
        <v>0.31887117033008811</v>
      </c>
      <c r="BR33" s="94">
        <f t="shared" si="65"/>
        <v>0.88043317312117553</v>
      </c>
      <c r="BS33" s="94">
        <f t="shared" si="73"/>
        <v>0.27299145465283203</v>
      </c>
      <c r="BT33" s="94">
        <f t="shared" si="73"/>
        <v>6.274515633120066E-2</v>
      </c>
      <c r="BU33" s="95">
        <f t="shared" si="73"/>
        <v>1.4017396559107245</v>
      </c>
      <c r="BV33" s="94">
        <f t="shared" si="11"/>
        <v>0.17075082629253502</v>
      </c>
      <c r="BW33" s="94">
        <f t="shared" si="11"/>
        <v>0</v>
      </c>
      <c r="BX33" s="94">
        <f t="shared" si="11"/>
        <v>0.25661508484918544</v>
      </c>
      <c r="BY33" s="94">
        <f t="shared" si="47"/>
        <v>0.70853828896054794</v>
      </c>
      <c r="BZ33" s="95">
        <f t="shared" si="12"/>
        <v>1.1280654201683946</v>
      </c>
      <c r="CA33" s="96" t="e">
        <f>#REF!</f>
        <v>#REF!</v>
      </c>
      <c r="CB33" s="94">
        <f t="shared" si="48"/>
        <v>3.4758058904146613E-2</v>
      </c>
      <c r="CC33" s="95">
        <f t="shared" si="48"/>
        <v>4.6835416102337782E-2</v>
      </c>
      <c r="CD33" s="97">
        <f t="shared" si="13"/>
        <v>8.9014132799654061E-2</v>
      </c>
      <c r="CE33" s="98">
        <f t="shared" si="13"/>
        <v>0.11994380814410757</v>
      </c>
      <c r="CF33" s="97">
        <f t="shared" si="49"/>
        <v>0.33380681818181818</v>
      </c>
      <c r="CG33" s="94">
        <f t="shared" si="49"/>
        <v>0.51136363636363635</v>
      </c>
      <c r="CH33" s="95">
        <f t="shared" si="50"/>
        <v>1.6453598484848486</v>
      </c>
      <c r="CI33" s="96" t="e">
        <f>#REF!</f>
        <v>#REF!</v>
      </c>
      <c r="CJ33" s="94">
        <f t="shared" si="51"/>
        <v>9.1637309176312698</v>
      </c>
      <c r="CK33" s="94">
        <f t="shared" si="51"/>
        <v>0.4193927193423922</v>
      </c>
      <c r="CL33" s="95">
        <f t="shared" si="66"/>
        <v>10.862271430967958</v>
      </c>
      <c r="CM33" s="95" t="e">
        <f>#REF!</f>
        <v>#REF!</v>
      </c>
      <c r="CN33" s="94">
        <f t="shared" si="52"/>
        <v>0.48225308641975317</v>
      </c>
      <c r="CO33" s="94">
        <f t="shared" si="52"/>
        <v>6.6773504273522272E-2</v>
      </c>
      <c r="CP33" s="95">
        <f t="shared" si="53"/>
        <v>0.89031339031339041</v>
      </c>
      <c r="CQ33" s="95" t="e">
        <f>#REF!</f>
        <v>#REF!</v>
      </c>
      <c r="CR33" s="97">
        <f t="shared" si="67"/>
        <v>0.47300197045698911</v>
      </c>
      <c r="CS33" s="95">
        <f t="shared" si="67"/>
        <v>0.45338969363319631</v>
      </c>
      <c r="CT33" s="96" t="e">
        <f>#REF!</f>
        <v>#REF!</v>
      </c>
      <c r="CU33" s="97">
        <f t="shared" si="68"/>
        <v>6.5695528773882197E-2</v>
      </c>
      <c r="CV33" s="95">
        <f t="shared" si="54"/>
        <v>0.14352835465259203</v>
      </c>
      <c r="CW33" s="96" t="e">
        <f>#REF!</f>
        <v>#REF!</v>
      </c>
      <c r="CX33" s="99">
        <f t="shared" si="74"/>
        <v>0.27605387881579785</v>
      </c>
      <c r="CY33" s="95">
        <f t="shared" si="74"/>
        <v>0</v>
      </c>
      <c r="CZ33" s="99">
        <f t="shared" si="74"/>
        <v>0.16275676605181416</v>
      </c>
      <c r="DA33" s="95">
        <f t="shared" si="74"/>
        <v>0</v>
      </c>
      <c r="DB33" s="94">
        <f t="shared" si="14"/>
        <v>0.25880051138981053</v>
      </c>
      <c r="DC33" s="94">
        <f t="shared" si="15"/>
        <v>0.10012704229548337</v>
      </c>
      <c r="DD33" s="94">
        <f t="shared" si="15"/>
        <v>0.60852626911462804</v>
      </c>
      <c r="DE33" s="94">
        <f t="shared" si="15"/>
        <v>0.2058901846167826</v>
      </c>
      <c r="DF33" s="94">
        <f t="shared" si="15"/>
        <v>0</v>
      </c>
      <c r="DG33" s="94">
        <f t="shared" si="15"/>
        <v>0</v>
      </c>
      <c r="DH33" s="95">
        <f t="shared" si="15"/>
        <v>1.1733440074167045</v>
      </c>
      <c r="DI33" s="96" t="e">
        <f>#REF!</f>
        <v>#REF!</v>
      </c>
      <c r="DJ33" s="95">
        <f t="shared" si="56"/>
        <v>1.272148291542802</v>
      </c>
      <c r="DK33" s="96" t="e">
        <f>#REF!</f>
        <v>#REF!</v>
      </c>
      <c r="DL33" s="95">
        <f t="shared" si="57"/>
        <v>-1.1708750505380605</v>
      </c>
      <c r="DM33" s="96">
        <f t="shared" si="16"/>
        <v>0</v>
      </c>
      <c r="DN33" s="94">
        <f t="shared" si="17"/>
        <v>3.7157467458711975</v>
      </c>
      <c r="DO33" s="100">
        <v>3.4</v>
      </c>
      <c r="DP33" s="94">
        <f t="shared" si="69"/>
        <v>3.8170199868759385</v>
      </c>
      <c r="DQ33" s="94">
        <f t="shared" si="70"/>
        <v>3.2256283869787494</v>
      </c>
      <c r="DR33" s="101">
        <f t="shared" si="18"/>
        <v>3.07</v>
      </c>
      <c r="DT33" s="134">
        <v>28</v>
      </c>
      <c r="DU33" s="135">
        <v>643450</v>
      </c>
      <c r="DV33" s="135">
        <v>32438</v>
      </c>
      <c r="DW33" s="135">
        <v>5165010</v>
      </c>
      <c r="DX33" s="373">
        <v>127586</v>
      </c>
      <c r="DY33" s="135">
        <v>91901.2</v>
      </c>
      <c r="DZ33" s="135">
        <v>414245</v>
      </c>
      <c r="EA33" s="136">
        <v>250052</v>
      </c>
      <c r="EB33" s="136">
        <v>57395.3</v>
      </c>
      <c r="EC33" s="136">
        <v>430943</v>
      </c>
      <c r="ED33" s="135">
        <v>49635.8</v>
      </c>
      <c r="EE33" s="136">
        <v>42430.9</v>
      </c>
      <c r="EF33" s="136">
        <v>44428.4</v>
      </c>
      <c r="EG33" s="135">
        <v>96879.6</v>
      </c>
      <c r="EH33" s="135">
        <v>190114.2</v>
      </c>
      <c r="EI33" s="330">
        <v>36382</v>
      </c>
      <c r="EJ33" s="136">
        <v>44908</v>
      </c>
      <c r="EK33" s="136"/>
      <c r="EL33" s="135">
        <v>733512.4</v>
      </c>
      <c r="EM33" s="135">
        <v>4462</v>
      </c>
      <c r="EN33" s="136">
        <v>50446.7</v>
      </c>
      <c r="EO33" s="135">
        <v>3185829</v>
      </c>
      <c r="EP33" s="136">
        <v>2888086</v>
      </c>
      <c r="EQ33" s="136">
        <v>3820</v>
      </c>
      <c r="ER33" s="136">
        <v>878</v>
      </c>
      <c r="ES33" s="136">
        <v>461000</v>
      </c>
      <c r="ET33" s="136">
        <v>2603453</v>
      </c>
      <c r="EU33" s="136">
        <v>174074</v>
      </c>
      <c r="EV33" s="136">
        <v>485806</v>
      </c>
      <c r="EW33" s="136">
        <v>158457</v>
      </c>
      <c r="EX33" s="135">
        <v>229947.6</v>
      </c>
      <c r="EY33" s="135">
        <v>1760550.1</v>
      </c>
      <c r="EZ33" s="140">
        <v>852363.3</v>
      </c>
      <c r="FA33" s="145">
        <v>778882</v>
      </c>
      <c r="FB33" s="145">
        <v>31987.8</v>
      </c>
      <c r="FC33" s="145">
        <v>4425</v>
      </c>
      <c r="FD33" s="383">
        <f t="shared" si="76"/>
        <v>5237</v>
      </c>
      <c r="FE33" s="136">
        <v>652</v>
      </c>
      <c r="FF33" s="136">
        <v>58</v>
      </c>
      <c r="FG33" s="105">
        <v>2138</v>
      </c>
      <c r="FH33" s="136">
        <v>513</v>
      </c>
      <c r="FI33" s="136">
        <v>604</v>
      </c>
      <c r="FJ33" s="136">
        <v>494</v>
      </c>
      <c r="FK33" s="136">
        <v>102</v>
      </c>
      <c r="FL33" s="136">
        <v>83</v>
      </c>
      <c r="FM33" s="136">
        <v>593</v>
      </c>
      <c r="FN33" s="80">
        <v>1400</v>
      </c>
      <c r="FO33" s="104"/>
      <c r="FP33" s="488"/>
      <c r="FY33" s="119">
        <v>28</v>
      </c>
      <c r="FZ33" s="107"/>
      <c r="GA33" s="107"/>
      <c r="GB33" s="180"/>
      <c r="GC33" s="109"/>
      <c r="GD33" s="110"/>
      <c r="GE33" s="110"/>
      <c r="GF33" s="111"/>
      <c r="GG33" s="111"/>
      <c r="GH33" s="111"/>
      <c r="GI33" s="164"/>
      <c r="GJ33" s="111" t="e">
        <f t="shared" si="58"/>
        <v>#DIV/0!</v>
      </c>
      <c r="GK33" s="113"/>
    </row>
    <row r="34" spans="1:193" s="119" customFormat="1" ht="15" customHeight="1">
      <c r="B34" s="351">
        <v>43068</v>
      </c>
      <c r="D34" s="86">
        <v>4698.96</v>
      </c>
      <c r="E34" s="86">
        <v>0</v>
      </c>
      <c r="F34" s="86">
        <v>2146.1759999999999</v>
      </c>
      <c r="G34" s="86">
        <v>3836.5590000000002</v>
      </c>
      <c r="H34" s="86">
        <v>7627.3519999999999</v>
      </c>
      <c r="I34" s="86">
        <v>2203.3040000000001</v>
      </c>
      <c r="J34" s="525">
        <v>5497.1399999999994</v>
      </c>
      <c r="K34" s="284">
        <v>0</v>
      </c>
      <c r="L34" s="284">
        <v>0</v>
      </c>
      <c r="M34" s="115">
        <f t="shared" si="59"/>
        <v>7700.4439999999995</v>
      </c>
      <c r="N34" s="88">
        <f t="shared" si="19"/>
        <v>18309.046999999999</v>
      </c>
      <c r="O34" s="88">
        <f>(N34+L34+((J34+I34)*0.5))-1780</f>
        <v>20379.269</v>
      </c>
      <c r="P34" s="89">
        <f t="shared" si="20"/>
        <v>673969.41550000012</v>
      </c>
      <c r="R34" s="170">
        <f t="shared" si="21"/>
        <v>227.5</v>
      </c>
      <c r="S34" s="170">
        <f t="shared" si="22"/>
        <v>0</v>
      </c>
      <c r="T34" s="170">
        <f t="shared" si="1"/>
        <v>426.1</v>
      </c>
      <c r="U34" s="170">
        <f t="shared" si="71"/>
        <v>4.3800000000002912</v>
      </c>
      <c r="V34" s="170">
        <f t="shared" si="23"/>
        <v>1053.3999999999069</v>
      </c>
      <c r="W34" s="170">
        <f t="shared" si="2"/>
        <v>93.8</v>
      </c>
      <c r="X34" s="170">
        <f t="shared" si="24"/>
        <v>1053.3999999999069</v>
      </c>
      <c r="Y34" s="170">
        <f t="shared" si="25"/>
        <v>373.5</v>
      </c>
      <c r="Z34" s="170">
        <f t="shared" si="3"/>
        <v>100.2</v>
      </c>
      <c r="AA34" s="501">
        <f t="shared" si="26"/>
        <v>1711.3799999999073</v>
      </c>
      <c r="AB34" s="170">
        <f t="shared" si="27"/>
        <v>199</v>
      </c>
      <c r="AC34" s="170">
        <f t="shared" si="27"/>
        <v>136</v>
      </c>
      <c r="AD34" s="501">
        <f t="shared" si="4"/>
        <v>491</v>
      </c>
      <c r="AE34" s="501">
        <f t="shared" si="28"/>
        <v>156</v>
      </c>
      <c r="AF34" s="170">
        <v>89</v>
      </c>
      <c r="AG34" s="170">
        <f t="shared" si="29"/>
        <v>69.900000000008731</v>
      </c>
      <c r="AH34" s="501">
        <f t="shared" si="75"/>
        <v>290</v>
      </c>
      <c r="AI34" s="501">
        <f t="shared" si="30"/>
        <v>131.09999999999127</v>
      </c>
      <c r="AJ34" s="170">
        <f>IF(EA34=0,"",(EA34-EA33))</f>
        <v>143</v>
      </c>
      <c r="AK34" s="170">
        <f t="shared" si="31"/>
        <v>52.69999999999709</v>
      </c>
      <c r="AL34" s="501">
        <f t="shared" si="6"/>
        <v>333</v>
      </c>
      <c r="AM34" s="501">
        <f t="shared" si="32"/>
        <v>137.30000000000291</v>
      </c>
      <c r="AN34" s="170">
        <f t="shared" si="33"/>
        <v>0</v>
      </c>
      <c r="AO34" s="501">
        <f t="shared" si="7"/>
        <v>29.69999999999709</v>
      </c>
      <c r="AP34" s="170">
        <f t="shared" si="34"/>
        <v>28.5</v>
      </c>
      <c r="AQ34" s="501">
        <f t="shared" si="8"/>
        <v>41.099999999976717</v>
      </c>
      <c r="AR34" s="170">
        <f t="shared" si="35"/>
        <v>54.936999999999998</v>
      </c>
      <c r="AS34" s="501">
        <f t="shared" si="36"/>
        <v>31.937000000000012</v>
      </c>
      <c r="AT34" s="501">
        <f t="shared" si="37"/>
        <v>692.93700000000001</v>
      </c>
      <c r="AU34" s="170">
        <f t="shared" si="60"/>
        <v>392</v>
      </c>
      <c r="AV34" s="501">
        <f t="shared" si="61"/>
        <v>0</v>
      </c>
      <c r="AW34" s="170">
        <f t="shared" si="62"/>
        <v>269</v>
      </c>
      <c r="AX34" s="501">
        <f t="shared" si="63"/>
        <v>2</v>
      </c>
      <c r="AY34" s="501" t="str">
        <f t="shared" si="63"/>
        <v/>
      </c>
      <c r="AZ34" s="170">
        <f t="shared" si="38"/>
        <v>309</v>
      </c>
      <c r="BA34" s="170">
        <v>76</v>
      </c>
      <c r="BB34" s="170">
        <f t="shared" si="39"/>
        <v>185.10000000000582</v>
      </c>
      <c r="BC34" s="170">
        <f t="shared" si="39"/>
        <v>801.89999999990687</v>
      </c>
      <c r="BD34" s="170">
        <f t="shared" si="40"/>
        <v>266</v>
      </c>
      <c r="BE34" s="90"/>
      <c r="BF34" s="90"/>
      <c r="BG34" s="501">
        <f t="shared" si="41"/>
        <v>1561.9999999999127</v>
      </c>
      <c r="BH34" s="501">
        <f t="shared" si="42"/>
        <v>6978</v>
      </c>
      <c r="BI34" s="90" t="str">
        <f>IF(FC34=0,"",(FC34-BJ34))</f>
        <v/>
      </c>
      <c r="BJ34" s="90">
        <f>IF(BH34=0,"",(AA34+AD34+AO34+BG34+AH34+AL34+AQ34+AT34+AX34+AV34))</f>
        <v>5153.1169999997937</v>
      </c>
      <c r="BK34" s="92"/>
      <c r="BL34" s="331">
        <f t="shared" si="64"/>
        <v>6978</v>
      </c>
      <c r="BM34" s="93">
        <f t="shared" si="44"/>
        <v>217801.89300000001</v>
      </c>
      <c r="BN34" s="92"/>
      <c r="BO34" s="94">
        <f t="shared" si="45"/>
        <v>0.12425551149658418</v>
      </c>
      <c r="BP34" s="94">
        <f t="shared" si="45"/>
        <v>0</v>
      </c>
      <c r="BQ34" s="94">
        <f t="shared" si="46"/>
        <v>0.23272647669755836</v>
      </c>
      <c r="BR34" s="94">
        <f t="shared" si="65"/>
        <v>0.57534398158457234</v>
      </c>
      <c r="BS34" s="94">
        <f>IF($N34&lt;&gt;0,IF($N34&lt;&gt;0,Y34/$N34*10,0)," ")</f>
        <v>0.20399751008340306</v>
      </c>
      <c r="BT34" s="94">
        <f t="shared" si="73"/>
        <v>5.4727042865748289E-2</v>
      </c>
      <c r="BU34" s="95">
        <f t="shared" si="73"/>
        <v>0.93471822973631968</v>
      </c>
      <c r="BV34" s="94">
        <f t="shared" si="11"/>
        <v>0.11163305219632755</v>
      </c>
      <c r="BW34" s="94">
        <f t="shared" si="11"/>
        <v>0</v>
      </c>
      <c r="BX34" s="94">
        <f t="shared" si="11"/>
        <v>0.20908502655320957</v>
      </c>
      <c r="BY34" s="94">
        <f t="shared" si="47"/>
        <v>0.5168978337740705</v>
      </c>
      <c r="BZ34" s="95">
        <f t="shared" si="12"/>
        <v>0.83976515546259645</v>
      </c>
      <c r="CA34" s="96" t="e">
        <f>#REF!</f>
        <v>#REF!</v>
      </c>
      <c r="CB34" s="94">
        <f t="shared" si="48"/>
        <v>2.6957296652789654E-2</v>
      </c>
      <c r="CC34" s="95">
        <f t="shared" si="48"/>
        <v>1.5671317749424679E-2</v>
      </c>
      <c r="CD34" s="97">
        <f t="shared" si="13"/>
        <v>7.1342639463386787E-2</v>
      </c>
      <c r="CE34" s="98">
        <f t="shared" si="13"/>
        <v>4.1474231875460704E-2</v>
      </c>
      <c r="CF34" s="97">
        <f t="shared" si="49"/>
        <v>0.42349796550726121</v>
      </c>
      <c r="CG34" s="94">
        <f t="shared" si="49"/>
        <v>0.28942574527129405</v>
      </c>
      <c r="CH34" s="95">
        <f t="shared" si="50"/>
        <v>1.0449120656485691</v>
      </c>
      <c r="CI34" s="96" t="e">
        <f>#REF!</f>
        <v>#REF!</v>
      </c>
      <c r="CJ34" s="94" t="str">
        <f t="shared" si="51"/>
        <v>0,00</v>
      </c>
      <c r="CK34" s="94" t="str">
        <f t="shared" si="51"/>
        <v>0,00</v>
      </c>
      <c r="CL34" s="95" t="str">
        <f t="shared" si="66"/>
        <v xml:space="preserve">0,00 </v>
      </c>
      <c r="CM34" s="95" t="e">
        <f>#REF!</f>
        <v>#REF!</v>
      </c>
      <c r="CN34" s="94">
        <f t="shared" si="52"/>
        <v>0.66630136577801635</v>
      </c>
      <c r="CO34" s="94">
        <f t="shared" si="52"/>
        <v>0.24555302081468197</v>
      </c>
      <c r="CP34" s="95">
        <f t="shared" si="53"/>
        <v>1.5515968867418142</v>
      </c>
      <c r="CQ34" s="95" t="e">
        <f>#REF!</f>
        <v>#REF!</v>
      </c>
      <c r="CR34" s="97">
        <f t="shared" si="67"/>
        <v>0</v>
      </c>
      <c r="CS34" s="95">
        <f t="shared" si="67"/>
        <v>7.7413119412465939E-2</v>
      </c>
      <c r="CT34" s="96" t="e">
        <f>#REF!</f>
        <v>#REF!</v>
      </c>
      <c r="CU34" s="97">
        <f t="shared" si="68"/>
        <v>3.7365523447718159E-2</v>
      </c>
      <c r="CV34" s="95">
        <f t="shared" si="54"/>
        <v>5.3885018024573558E-2</v>
      </c>
      <c r="CW34" s="96" t="e">
        <f>#REF!</f>
        <v>#REF!</v>
      </c>
      <c r="CX34" s="99">
        <f t="shared" si="74"/>
        <v>0.19235233609213362</v>
      </c>
      <c r="CY34" s="95">
        <f t="shared" si="74"/>
        <v>0</v>
      </c>
      <c r="CZ34" s="99">
        <f t="shared" si="74"/>
        <v>0.13199688369587742</v>
      </c>
      <c r="DA34" s="95">
        <f t="shared" si="74"/>
        <v>9.8138946985782457E-4</v>
      </c>
      <c r="DB34" s="94">
        <f t="shared" si="14"/>
        <v>0.1516246730930339</v>
      </c>
      <c r="DC34" s="94">
        <f t="shared" si="15"/>
        <v>9.0827595435344521E-2</v>
      </c>
      <c r="DD34" s="94">
        <f t="shared" si="15"/>
        <v>0.39348810793944911</v>
      </c>
      <c r="DE34" s="94">
        <f t="shared" si="15"/>
        <v>0.13052479949109069</v>
      </c>
      <c r="DF34" s="94">
        <f t="shared" si="15"/>
        <v>0</v>
      </c>
      <c r="DG34" s="94">
        <f t="shared" si="15"/>
        <v>0</v>
      </c>
      <c r="DH34" s="95">
        <f t="shared" si="15"/>
        <v>0.76646517595891817</v>
      </c>
      <c r="DI34" s="96" t="e">
        <f>#REF!</f>
        <v>#REF!</v>
      </c>
      <c r="DJ34" s="95">
        <f t="shared" si="56"/>
        <v>3.4240678603339503</v>
      </c>
      <c r="DK34" s="96" t="e">
        <f>#REF!</f>
        <v>#REF!</v>
      </c>
      <c r="DL34" s="95" t="e">
        <f t="shared" si="57"/>
        <v>#VALUE!</v>
      </c>
      <c r="DM34" s="96">
        <f t="shared" si="16"/>
        <v>0</v>
      </c>
      <c r="DN34" s="94">
        <f t="shared" si="17"/>
        <v>2.5286073803725708</v>
      </c>
      <c r="DO34" s="100">
        <v>3.4</v>
      </c>
      <c r="DP34" s="94">
        <f>IF($O34&lt;&gt;0,IF($O34&lt;&gt;0,BL34/$O34*10,0)," ")</f>
        <v>3.4240678603339503</v>
      </c>
      <c r="DQ34" s="94">
        <f t="shared" si="70"/>
        <v>3.2316287355327322</v>
      </c>
      <c r="DR34" s="101">
        <f t="shared" si="18"/>
        <v>3.07</v>
      </c>
      <c r="DT34" s="134">
        <v>29</v>
      </c>
      <c r="DU34" s="135">
        <v>643649</v>
      </c>
      <c r="DV34" s="135">
        <v>32574</v>
      </c>
      <c r="DW34" s="136">
        <v>5165302</v>
      </c>
      <c r="DX34" s="135">
        <v>125579</v>
      </c>
      <c r="DY34" s="135">
        <v>91971.1</v>
      </c>
      <c r="DZ34" s="135">
        <v>414446</v>
      </c>
      <c r="EA34" s="136">
        <v>250195</v>
      </c>
      <c r="EB34" s="136">
        <v>57448</v>
      </c>
      <c r="EC34" s="136">
        <v>431133</v>
      </c>
      <c r="ED34" s="136">
        <v>49635.8</v>
      </c>
      <c r="EE34" s="136">
        <v>42431</v>
      </c>
      <c r="EF34" s="136">
        <v>44458</v>
      </c>
      <c r="EG34" s="135">
        <v>96908.1</v>
      </c>
      <c r="EH34" s="135">
        <v>190155.3</v>
      </c>
      <c r="EI34" s="330">
        <v>36382</v>
      </c>
      <c r="EJ34" s="136">
        <v>44910</v>
      </c>
      <c r="EK34" s="136"/>
      <c r="EL34" s="135">
        <v>733739.9</v>
      </c>
      <c r="EM34" s="135">
        <v>4261</v>
      </c>
      <c r="EN34" s="136">
        <v>50490.5</v>
      </c>
      <c r="EO34" s="135">
        <v>3186882.4</v>
      </c>
      <c r="EP34" s="136">
        <v>2889024</v>
      </c>
      <c r="EQ34" s="136">
        <v>3735</v>
      </c>
      <c r="ER34" s="136">
        <v>1002</v>
      </c>
      <c r="ES34" s="136">
        <v>461638</v>
      </c>
      <c r="ET34" s="136">
        <v>2658390</v>
      </c>
      <c r="EU34" s="136">
        <v>174343</v>
      </c>
      <c r="EV34" s="136">
        <v>486198</v>
      </c>
      <c r="EW34" s="136">
        <v>158766</v>
      </c>
      <c r="EX34" s="135">
        <v>230132.7</v>
      </c>
      <c r="EY34" s="135">
        <v>1761352</v>
      </c>
      <c r="EZ34" s="140">
        <v>852363.3</v>
      </c>
      <c r="FA34" s="140">
        <v>779148</v>
      </c>
      <c r="FB34" s="145">
        <v>32057.200000000001</v>
      </c>
      <c r="FC34" s="140"/>
      <c r="FD34" s="383">
        <f>SUM(FE34:FM34)-291</f>
        <v>5278</v>
      </c>
      <c r="FE34" s="136">
        <v>672</v>
      </c>
      <c r="FF34" s="371">
        <v>28</v>
      </c>
      <c r="FG34" s="105">
        <v>1827</v>
      </c>
      <c r="FH34" s="136">
        <v>1201</v>
      </c>
      <c r="FI34" s="371">
        <v>611</v>
      </c>
      <c r="FJ34" s="136">
        <v>531</v>
      </c>
      <c r="FK34" s="371">
        <v>9</v>
      </c>
      <c r="FL34" s="371">
        <v>221</v>
      </c>
      <c r="FM34" s="371">
        <v>469</v>
      </c>
      <c r="FN34" s="80">
        <v>1700</v>
      </c>
      <c r="FO34" s="104"/>
      <c r="FP34" s="488"/>
      <c r="FY34" s="119">
        <v>29</v>
      </c>
      <c r="FZ34" s="190"/>
      <c r="GA34" s="191"/>
      <c r="GB34" s="107"/>
      <c r="GC34" s="109"/>
      <c r="GD34" s="110"/>
      <c r="GE34" s="110"/>
      <c r="GF34" s="111"/>
      <c r="GG34" s="111"/>
      <c r="GH34" s="111"/>
      <c r="GI34" s="112"/>
      <c r="GJ34" s="111" t="e">
        <f t="shared" si="58"/>
        <v>#DIV/0!</v>
      </c>
      <c r="GK34" s="113"/>
    </row>
    <row r="35" spans="1:193" s="119" customFormat="1" ht="15" customHeight="1">
      <c r="B35" s="351">
        <v>43069</v>
      </c>
      <c r="D35" s="86">
        <v>4685.6400000000003</v>
      </c>
      <c r="E35" s="86">
        <v>4952.16</v>
      </c>
      <c r="F35" s="86">
        <v>3100.0320000000002</v>
      </c>
      <c r="G35" s="86">
        <v>3650.223</v>
      </c>
      <c r="H35" s="86">
        <v>8887.991</v>
      </c>
      <c r="I35" s="86">
        <v>1781.9939999999999</v>
      </c>
      <c r="J35" s="86">
        <v>8455.92</v>
      </c>
      <c r="K35" s="284">
        <v>12.510000000000002</v>
      </c>
      <c r="L35" s="284"/>
      <c r="M35" s="115">
        <f t="shared" si="59"/>
        <v>10237.914000000001</v>
      </c>
      <c r="N35" s="88">
        <f t="shared" si="19"/>
        <v>25276.046000000002</v>
      </c>
      <c r="O35" s="88">
        <f>(N35+L35+((J35+I35)*0.5))-178</f>
        <v>30217.003000000004</v>
      </c>
      <c r="P35" s="89">
        <f t="shared" si="20"/>
        <v>704186.41850000015</v>
      </c>
      <c r="R35" s="170">
        <f t="shared" si="21"/>
        <v>140.40000000002328</v>
      </c>
      <c r="S35" s="170">
        <f t="shared" si="22"/>
        <v>18.389999999990685</v>
      </c>
      <c r="T35" s="170">
        <f t="shared" si="1"/>
        <v>508.9</v>
      </c>
      <c r="U35" s="170">
        <f t="shared" si="71"/>
        <v>2.8800000000002912</v>
      </c>
      <c r="V35" s="170">
        <f t="shared" si="23"/>
        <v>1330.2000000001863</v>
      </c>
      <c r="W35" s="170">
        <f t="shared" si="2"/>
        <v>117.8</v>
      </c>
      <c r="X35" s="170">
        <f t="shared" si="24"/>
        <v>1330.2000000001863</v>
      </c>
      <c r="Y35" s="170">
        <f t="shared" si="25"/>
        <v>437.9</v>
      </c>
      <c r="Z35" s="170">
        <f t="shared" si="3"/>
        <v>85.6</v>
      </c>
      <c r="AA35" s="501">
        <f t="shared" si="26"/>
        <v>2000.7700000002005</v>
      </c>
      <c r="AB35" s="170">
        <f t="shared" si="27"/>
        <v>175</v>
      </c>
      <c r="AC35" s="170">
        <f t="shared" si="27"/>
        <v>125</v>
      </c>
      <c r="AD35" s="501">
        <f t="shared" si="4"/>
        <v>481</v>
      </c>
      <c r="AE35" s="501">
        <f t="shared" si="28"/>
        <v>181</v>
      </c>
      <c r="AF35" s="170">
        <f t="shared" si="29"/>
        <v>86</v>
      </c>
      <c r="AG35" s="170">
        <f t="shared" si="29"/>
        <v>312.09999999999127</v>
      </c>
      <c r="AH35" s="501">
        <f t="shared" si="75"/>
        <v>479</v>
      </c>
      <c r="AI35" s="501">
        <f t="shared" si="30"/>
        <v>80.900000000008731</v>
      </c>
      <c r="AJ35" s="170">
        <f t="shared" si="31"/>
        <v>155</v>
      </c>
      <c r="AK35" s="170">
        <f t="shared" si="31"/>
        <v>0</v>
      </c>
      <c r="AL35" s="501">
        <f t="shared" si="6"/>
        <v>380</v>
      </c>
      <c r="AM35" s="501">
        <f t="shared" si="32"/>
        <v>225</v>
      </c>
      <c r="AN35" s="170">
        <f t="shared" si="33"/>
        <v>5.7999999999956344</v>
      </c>
      <c r="AO35" s="501">
        <f t="shared" si="7"/>
        <v>31.600000000005821</v>
      </c>
      <c r="AP35" s="170">
        <f t="shared" si="34"/>
        <v>32.399999999994179</v>
      </c>
      <c r="AQ35" s="501">
        <f t="shared" si="8"/>
        <v>52.5</v>
      </c>
      <c r="AR35" s="170">
        <f t="shared" si="35"/>
        <v>84.168000000000006</v>
      </c>
      <c r="AS35" s="501">
        <f>IF(AR35="","",(ES35-ES34)+((ET35-ET34)/1000)-AW35-AU35)</f>
        <v>87.16800000000012</v>
      </c>
      <c r="AT35" s="501">
        <f t="shared" si="37"/>
        <v>1081.1680000000001</v>
      </c>
      <c r="AU35" s="170">
        <f t="shared" si="60"/>
        <v>743</v>
      </c>
      <c r="AV35" s="501">
        <f t="shared" si="61"/>
        <v>0</v>
      </c>
      <c r="AW35" s="170">
        <f t="shared" si="62"/>
        <v>251</v>
      </c>
      <c r="AX35" s="501">
        <f t="shared" si="63"/>
        <v>6</v>
      </c>
      <c r="AY35" s="501" t="str">
        <f t="shared" si="63"/>
        <v/>
      </c>
      <c r="AZ35" s="170">
        <f t="shared" si="38"/>
        <v>443</v>
      </c>
      <c r="BA35" s="170">
        <v>30</v>
      </c>
      <c r="BB35" s="170">
        <f t="shared" si="39"/>
        <v>161.89999999999418</v>
      </c>
      <c r="BC35" s="170">
        <f t="shared" si="39"/>
        <v>380.89999999990687</v>
      </c>
      <c r="BD35" s="170">
        <f t="shared" si="40"/>
        <v>355</v>
      </c>
      <c r="BE35" s="90"/>
      <c r="BF35" s="90"/>
      <c r="BG35" s="501">
        <f t="shared" si="41"/>
        <v>1340.799999999901</v>
      </c>
      <c r="BH35" s="501">
        <f t="shared" si="42"/>
        <v>7451</v>
      </c>
      <c r="BI35" s="90" t="str">
        <f t="shared" si="9"/>
        <v/>
      </c>
      <c r="BJ35" s="90">
        <f t="shared" si="43"/>
        <v>5852.8380000001071</v>
      </c>
      <c r="BK35" s="92"/>
      <c r="BL35" s="331">
        <f>FD35+FN35</f>
        <v>7451</v>
      </c>
      <c r="BM35" s="93">
        <f t="shared" si="44"/>
        <v>225252.89300000001</v>
      </c>
      <c r="BN35" s="92"/>
      <c r="BO35" s="94">
        <f t="shared" si="45"/>
        <v>5.5546662638619695E-2</v>
      </c>
      <c r="BP35" s="94">
        <f t="shared" si="45"/>
        <v>7.2756632900536277E-3</v>
      </c>
      <c r="BQ35" s="94">
        <f t="shared" si="46"/>
        <v>0.20133687048994925</v>
      </c>
      <c r="BR35" s="94">
        <f t="shared" si="65"/>
        <v>0.52626902166588319</v>
      </c>
      <c r="BS35" s="94">
        <f t="shared" si="73"/>
        <v>0.17324703397042399</v>
      </c>
      <c r="BT35" s="94">
        <f t="shared" si="73"/>
        <v>3.3866056423540292E-2</v>
      </c>
      <c r="BU35" s="95">
        <f t="shared" si="73"/>
        <v>0.79156763680529796</v>
      </c>
      <c r="BV35" s="94">
        <f t="shared" si="11"/>
        <v>4.6463906430436949E-2</v>
      </c>
      <c r="BW35" s="94">
        <f t="shared" si="11"/>
        <v>6.0859774875723725E-3</v>
      </c>
      <c r="BX35" s="94">
        <f t="shared" si="11"/>
        <v>0.16841511383508148</v>
      </c>
      <c r="BY35" s="94">
        <f t="shared" si="47"/>
        <v>0.44021572887297461</v>
      </c>
      <c r="BZ35" s="95">
        <f t="shared" si="12"/>
        <v>0.66213383239899737</v>
      </c>
      <c r="CA35" s="96" t="e">
        <f>#REF!</f>
        <v>#REF!</v>
      </c>
      <c r="CB35" s="94">
        <f t="shared" si="48"/>
        <v>2.7854516213934255E-2</v>
      </c>
      <c r="CC35" s="95">
        <f t="shared" si="48"/>
        <v>2.8847334727405E-2</v>
      </c>
      <c r="CD35" s="97">
        <f t="shared" si="13"/>
        <v>8.2212059995815559E-2</v>
      </c>
      <c r="CE35" s="98">
        <f t="shared" si="13"/>
        <v>8.514234442680424E-2</v>
      </c>
      <c r="CF35" s="97">
        <f t="shared" si="49"/>
        <v>0.37348153080475666</v>
      </c>
      <c r="CG35" s="94">
        <f t="shared" si="49"/>
        <v>0.26677252200339763</v>
      </c>
      <c r="CH35" s="95">
        <f t="shared" si="50"/>
        <v>1.0265406646690738</v>
      </c>
      <c r="CI35" s="96" t="e">
        <f>#REF!</f>
        <v>#REF!</v>
      </c>
      <c r="CJ35" s="94">
        <f t="shared" si="51"/>
        <v>0.17366159413266133</v>
      </c>
      <c r="CK35" s="94">
        <f t="shared" si="51"/>
        <v>0.63023004103258229</v>
      </c>
      <c r="CL35" s="95">
        <f t="shared" si="66"/>
        <v>0.96725469290168331</v>
      </c>
      <c r="CM35" s="95" t="e">
        <f>#REF!</f>
        <v>#REF!</v>
      </c>
      <c r="CN35" s="94">
        <f t="shared" si="52"/>
        <v>0.4999948387629547</v>
      </c>
      <c r="CO35" s="94">
        <f t="shared" si="52"/>
        <v>0</v>
      </c>
      <c r="CP35" s="95">
        <f t="shared" si="53"/>
        <v>1.2257937982575664</v>
      </c>
      <c r="CQ35" s="95" t="e">
        <f>#REF!</f>
        <v>#REF!</v>
      </c>
      <c r="CR35" s="97">
        <f t="shared" si="67"/>
        <v>1.5889440179396259E-2</v>
      </c>
      <c r="CS35" s="95">
        <f t="shared" si="67"/>
        <v>8.6570053391274507E-2</v>
      </c>
      <c r="CT35" s="96" t="e">
        <f>#REF!</f>
        <v>#REF!</v>
      </c>
      <c r="CU35" s="97">
        <f t="shared" si="68"/>
        <v>3.6453682277574513E-2</v>
      </c>
      <c r="CV35" s="95">
        <f t="shared" si="54"/>
        <v>5.9068466653487833E-2</v>
      </c>
      <c r="CW35" s="96" t="e">
        <f>#REF!</f>
        <v>#REF!</v>
      </c>
      <c r="CX35" s="99">
        <f t="shared" si="74"/>
        <v>0.24588805183624593</v>
      </c>
      <c r="CY35" s="95">
        <f t="shared" si="74"/>
        <v>0</v>
      </c>
      <c r="CZ35" s="99">
        <f t="shared" si="74"/>
        <v>8.3065815627049441E-2</v>
      </c>
      <c r="DA35" s="95">
        <f t="shared" si="74"/>
        <v>1.9856370269414206E-3</v>
      </c>
      <c r="DB35" s="94">
        <f t="shared" si="14"/>
        <v>0.14660620048917489</v>
      </c>
      <c r="DC35" s="94">
        <f t="shared" si="15"/>
        <v>5.3579105776967409E-2</v>
      </c>
      <c r="DD35" s="94">
        <f t="shared" si="15"/>
        <v>0.12605485726030038</v>
      </c>
      <c r="DE35" s="94">
        <f t="shared" si="15"/>
        <v>0.11748352409403405</v>
      </c>
      <c r="DF35" s="94">
        <f t="shared" si="15"/>
        <v>0</v>
      </c>
      <c r="DG35" s="94">
        <f t="shared" si="15"/>
        <v>0</v>
      </c>
      <c r="DH35" s="95">
        <f t="shared" si="15"/>
        <v>0.44372368762047676</v>
      </c>
      <c r="DI35" s="96" t="e">
        <f>#REF!</f>
        <v>#REF!</v>
      </c>
      <c r="DJ35" s="95">
        <f t="shared" si="56"/>
        <v>2.4658302479567542</v>
      </c>
      <c r="DK35" s="96" t="e">
        <f>#REF!</f>
        <v>#REF!</v>
      </c>
      <c r="DL35" s="95" t="e">
        <f t="shared" si="57"/>
        <v>#VALUE!</v>
      </c>
      <c r="DM35" s="96">
        <f t="shared" si="16"/>
        <v>0</v>
      </c>
      <c r="DN35" s="94">
        <f t="shared" si="17"/>
        <v>1.936935307581664</v>
      </c>
      <c r="DO35" s="100">
        <v>3.4</v>
      </c>
      <c r="DP35" s="94">
        <f>IF($O35&lt;&gt;0,IF($O35&lt;&gt;0,BL35/$O35*10,0)," ")</f>
        <v>2.4658302479567542</v>
      </c>
      <c r="DQ35" s="94">
        <f>IF($P35&lt;&gt;0,IF($P35&lt;&gt;0,BM35/$P35*10,0)," ")</f>
        <v>3.1987679268199343</v>
      </c>
      <c r="DR35" s="101">
        <f t="shared" si="18"/>
        <v>3.07</v>
      </c>
      <c r="DS35" s="173"/>
      <c r="DT35" s="134">
        <v>30</v>
      </c>
      <c r="DU35" s="361">
        <v>643824</v>
      </c>
      <c r="DV35" s="361">
        <v>32699</v>
      </c>
      <c r="DW35" s="361">
        <v>5165608</v>
      </c>
      <c r="DX35" s="361">
        <v>125665</v>
      </c>
      <c r="DY35" s="361">
        <v>92283.199999999997</v>
      </c>
      <c r="DZ35" s="361">
        <v>414839</v>
      </c>
      <c r="EA35" s="303">
        <v>250350</v>
      </c>
      <c r="EB35" s="303">
        <v>57448</v>
      </c>
      <c r="EC35" s="303">
        <v>431358</v>
      </c>
      <c r="ED35" s="361">
        <v>49641.599999999999</v>
      </c>
      <c r="EE35" s="303">
        <v>42495.3</v>
      </c>
      <c r="EF35" s="303">
        <v>44425.3</v>
      </c>
      <c r="EG35" s="361">
        <v>96940.5</v>
      </c>
      <c r="EH35" s="361">
        <v>190207.8</v>
      </c>
      <c r="EI35" s="330">
        <v>36382</v>
      </c>
      <c r="EJ35" s="303">
        <v>44916</v>
      </c>
      <c r="EK35" s="303"/>
      <c r="EL35" s="361">
        <v>733880.3</v>
      </c>
      <c r="EM35" s="361">
        <v>5089</v>
      </c>
      <c r="EN35" s="303">
        <v>50519.3</v>
      </c>
      <c r="EO35" s="361">
        <v>3188212.6</v>
      </c>
      <c r="EP35" s="303">
        <v>2890202</v>
      </c>
      <c r="EQ35" s="303">
        <v>4379</v>
      </c>
      <c r="ER35" s="303">
        <v>856</v>
      </c>
      <c r="ES35" s="303">
        <v>462635</v>
      </c>
      <c r="ET35" s="303">
        <v>2742558</v>
      </c>
      <c r="EU35" s="303">
        <v>174594</v>
      </c>
      <c r="EV35" s="136">
        <v>486941</v>
      </c>
      <c r="EW35" s="303">
        <v>159209</v>
      </c>
      <c r="EX35" s="361">
        <v>230294.6</v>
      </c>
      <c r="EY35" s="476">
        <v>1761732.9</v>
      </c>
      <c r="EZ35" s="477">
        <v>852547.2</v>
      </c>
      <c r="FA35" s="383">
        <v>779503</v>
      </c>
      <c r="FB35" s="383">
        <v>32115.7</v>
      </c>
      <c r="FC35" s="382"/>
      <c r="FD35" s="104">
        <f>SUM(FE35:FM35)-5644</f>
        <v>0</v>
      </c>
      <c r="FE35" s="136">
        <v>785</v>
      </c>
      <c r="FF35" s="371">
        <v>0</v>
      </c>
      <c r="FG35" s="401">
        <v>2235</v>
      </c>
      <c r="FH35" s="136">
        <v>888</v>
      </c>
      <c r="FI35" s="371">
        <v>674</v>
      </c>
      <c r="FJ35" s="136">
        <v>522</v>
      </c>
      <c r="FK35" s="371">
        <v>0</v>
      </c>
      <c r="FL35" s="371">
        <v>69</v>
      </c>
      <c r="FM35" s="371">
        <v>471</v>
      </c>
      <c r="FN35" s="187">
        <v>7451</v>
      </c>
      <c r="FO35" s="303">
        <v>1218167</v>
      </c>
      <c r="FP35" s="488"/>
      <c r="FY35" s="119">
        <v>30</v>
      </c>
      <c r="FZ35" s="190"/>
      <c r="GA35" s="192"/>
      <c r="GB35" s="190"/>
      <c r="GC35" s="109"/>
      <c r="GD35" s="110"/>
      <c r="GE35" s="110"/>
      <c r="GF35" s="111"/>
      <c r="GG35" s="111"/>
      <c r="GH35" s="111"/>
      <c r="GI35" s="112"/>
      <c r="GJ35" s="111" t="e">
        <f t="shared" si="58"/>
        <v>#DIV/0!</v>
      </c>
      <c r="GK35" s="113"/>
    </row>
    <row r="36" spans="1:193" s="119" customFormat="1" ht="15" customHeight="1">
      <c r="B36" s="351"/>
      <c r="D36" s="86"/>
      <c r="E36" s="86"/>
      <c r="F36" s="86"/>
      <c r="G36" s="86"/>
      <c r="H36" s="86"/>
      <c r="I36" s="86"/>
      <c r="J36" s="86"/>
      <c r="K36" s="284"/>
      <c r="L36" s="284"/>
      <c r="M36" s="115">
        <f t="shared" si="59"/>
        <v>0</v>
      </c>
      <c r="N36" s="88">
        <f t="shared" si="19"/>
        <v>0</v>
      </c>
      <c r="O36" s="88">
        <f>(N36+L36+((J36+I36)*0.5))</f>
        <v>0</v>
      </c>
      <c r="P36" s="89">
        <f t="shared" si="20"/>
        <v>704186.41850000015</v>
      </c>
      <c r="R36" s="170" t="str">
        <f t="shared" si="21"/>
        <v/>
      </c>
      <c r="S36" s="170" t="str">
        <f t="shared" si="22"/>
        <v/>
      </c>
      <c r="T36" s="170" t="str">
        <f t="shared" si="1"/>
        <v/>
      </c>
      <c r="U36" s="170" t="str">
        <f>IF(FB36=0,"",((EN36-EN35)/10))</f>
        <v/>
      </c>
      <c r="V36" s="170" t="str">
        <f t="shared" si="23"/>
        <v/>
      </c>
      <c r="W36" s="170" t="str">
        <f t="shared" si="2"/>
        <v/>
      </c>
      <c r="X36" s="170" t="str">
        <f t="shared" si="24"/>
        <v/>
      </c>
      <c r="Y36" s="170" t="str">
        <f t="shared" si="25"/>
        <v>0</v>
      </c>
      <c r="Z36" s="170" t="str">
        <f t="shared" si="3"/>
        <v/>
      </c>
      <c r="AA36" s="501" t="str">
        <f t="shared" si="26"/>
        <v/>
      </c>
      <c r="AB36" s="170" t="str">
        <f t="shared" si="27"/>
        <v/>
      </c>
      <c r="AC36" s="170" t="str">
        <f t="shared" si="27"/>
        <v/>
      </c>
      <c r="AD36" s="501"/>
      <c r="AE36" s="501" t="str">
        <f t="shared" si="28"/>
        <v/>
      </c>
      <c r="AF36" s="170" t="str">
        <f t="shared" si="29"/>
        <v/>
      </c>
      <c r="AG36" s="170" t="str">
        <f t="shared" si="29"/>
        <v/>
      </c>
      <c r="AH36" s="501"/>
      <c r="AI36" s="501" t="str">
        <f t="shared" si="30"/>
        <v/>
      </c>
      <c r="AJ36" s="170" t="str">
        <f>IF(EA36=0,"",(EA36-EA35))</f>
        <v/>
      </c>
      <c r="AK36" s="170" t="str">
        <f>IF(EB36=0,"",(EB36-EB35))</f>
        <v/>
      </c>
      <c r="AL36" s="501"/>
      <c r="AM36" s="501" t="str">
        <f t="shared" si="32"/>
        <v/>
      </c>
      <c r="AN36" s="170" t="str">
        <f t="shared" si="33"/>
        <v/>
      </c>
      <c r="AO36" s="501" t="str">
        <f t="shared" si="7"/>
        <v/>
      </c>
      <c r="AP36" s="170" t="str">
        <f t="shared" si="34"/>
        <v/>
      </c>
      <c r="AQ36" s="501" t="str">
        <f t="shared" si="8"/>
        <v/>
      </c>
      <c r="AR36" s="170" t="str">
        <f t="shared" si="35"/>
        <v/>
      </c>
      <c r="AS36" s="501" t="str">
        <f t="shared" si="36"/>
        <v/>
      </c>
      <c r="AT36" s="501" t="str">
        <f t="shared" si="37"/>
        <v/>
      </c>
      <c r="AU36" s="170" t="str">
        <f t="shared" si="60"/>
        <v/>
      </c>
      <c r="AV36" s="501" t="str">
        <f t="shared" si="61"/>
        <v/>
      </c>
      <c r="AW36" s="170" t="str">
        <f t="shared" si="62"/>
        <v/>
      </c>
      <c r="AX36" s="501" t="str">
        <f t="shared" si="63"/>
        <v/>
      </c>
      <c r="AY36" s="501" t="str">
        <f t="shared" si="63"/>
        <v/>
      </c>
      <c r="AZ36" s="170" t="str">
        <f t="shared" si="38"/>
        <v/>
      </c>
      <c r="BA36" s="170"/>
      <c r="BB36" s="170" t="str">
        <f t="shared" si="39"/>
        <v/>
      </c>
      <c r="BC36" s="170" t="str">
        <f t="shared" si="39"/>
        <v/>
      </c>
      <c r="BD36" s="170" t="str">
        <f t="shared" si="40"/>
        <v/>
      </c>
      <c r="BE36" s="90"/>
      <c r="BF36" s="90"/>
      <c r="BG36" s="501" t="str">
        <f t="shared" si="41"/>
        <v/>
      </c>
      <c r="BH36" s="501">
        <f t="shared" si="42"/>
        <v>0</v>
      </c>
      <c r="BI36" s="90" t="str">
        <f t="shared" si="9"/>
        <v/>
      </c>
      <c r="BJ36" s="90" t="str">
        <f t="shared" si="43"/>
        <v/>
      </c>
      <c r="BK36" s="92"/>
      <c r="BL36" s="331">
        <f>(FD36+FN36)</f>
        <v>0</v>
      </c>
      <c r="BM36" s="93">
        <f t="shared" si="44"/>
        <v>225252.89300000001</v>
      </c>
      <c r="BN36" s="92"/>
      <c r="BO36" s="94" t="str">
        <f>IF($N36&lt;&gt;0,IF($N36&lt;&gt;0,R36/$N36*10,0)," ")</f>
        <v xml:space="preserve"> </v>
      </c>
      <c r="BP36" s="94" t="str">
        <f>IF($N36&lt;&gt;0,IF($N36&lt;&gt;0,S36/$N36*10,0)," ")</f>
        <v xml:space="preserve"> </v>
      </c>
      <c r="BQ36" s="94" t="str">
        <f t="shared" si="46"/>
        <v xml:space="preserve"> </v>
      </c>
      <c r="BR36" s="94" t="str">
        <f t="shared" si="65"/>
        <v xml:space="preserve"> </v>
      </c>
      <c r="BS36" s="94" t="str">
        <f t="shared" si="73"/>
        <v xml:space="preserve"> </v>
      </c>
      <c r="BT36" s="94" t="str">
        <f t="shared" si="73"/>
        <v xml:space="preserve"> </v>
      </c>
      <c r="BU36" s="95" t="str">
        <f t="shared" si="73"/>
        <v xml:space="preserve"> </v>
      </c>
      <c r="BV36" s="94" t="str">
        <f>IF($O36&lt;&gt;0,IF($O36&lt;&gt;0,R36/$O36*10,0)," ")</f>
        <v xml:space="preserve"> </v>
      </c>
      <c r="BW36" s="94" t="str">
        <f>IF($O36&lt;&gt;0,IF($O36&lt;&gt;0,S36/$O36*10,0)," ")</f>
        <v xml:space="preserve"> </v>
      </c>
      <c r="BX36" s="94" t="str">
        <f>IF($O36&lt;&gt;0,IF($O36&lt;&gt;0,T36/$O36*10,0)," ")</f>
        <v xml:space="preserve"> </v>
      </c>
      <c r="BY36" s="94" t="str">
        <f t="shared" si="47"/>
        <v xml:space="preserve"> </v>
      </c>
      <c r="BZ36" s="95" t="str">
        <f t="shared" si="12"/>
        <v xml:space="preserve"> </v>
      </c>
      <c r="CA36" s="96" t="e">
        <f>#REF!</f>
        <v>#REF!</v>
      </c>
      <c r="CB36" s="94" t="str">
        <f t="shared" si="48"/>
        <v xml:space="preserve"> </v>
      </c>
      <c r="CC36" s="95" t="str">
        <f t="shared" si="48"/>
        <v xml:space="preserve"> </v>
      </c>
      <c r="CD36" s="97" t="str">
        <f>IFERROR(AR36*10/($I36+$J36),"")</f>
        <v/>
      </c>
      <c r="CE36" s="98" t="str">
        <f>IFERROR(AS36*10/($I36+$J36),"")</f>
        <v/>
      </c>
      <c r="CF36" s="97" t="str">
        <f t="shared" si="49"/>
        <v>0,00</v>
      </c>
      <c r="CG36" s="94" t="str">
        <f t="shared" si="49"/>
        <v>0,00</v>
      </c>
      <c r="CH36" s="95" t="str">
        <f t="shared" si="50"/>
        <v xml:space="preserve">0,00 </v>
      </c>
      <c r="CI36" s="96" t="e">
        <f>#REF!</f>
        <v>#REF!</v>
      </c>
      <c r="CJ36" s="94" t="str">
        <f t="shared" si="51"/>
        <v>0,00</v>
      </c>
      <c r="CK36" s="94" t="str">
        <f t="shared" si="51"/>
        <v>0,00</v>
      </c>
      <c r="CL36" s="95" t="str">
        <f t="shared" si="66"/>
        <v xml:space="preserve">0,00 </v>
      </c>
      <c r="CM36" s="95" t="e">
        <f>#REF!</f>
        <v>#REF!</v>
      </c>
      <c r="CN36" s="94" t="str">
        <f t="shared" si="52"/>
        <v>0,00</v>
      </c>
      <c r="CO36" s="94" t="str">
        <f t="shared" si="52"/>
        <v>0,00</v>
      </c>
      <c r="CP36" s="95" t="str">
        <f t="shared" si="53"/>
        <v xml:space="preserve">0,00 </v>
      </c>
      <c r="CQ36" s="95" t="e">
        <f>#REF!</f>
        <v>#REF!</v>
      </c>
      <c r="CR36" s="97" t="str">
        <f t="shared" si="67"/>
        <v xml:space="preserve">0,00 </v>
      </c>
      <c r="CS36" s="95" t="str">
        <f t="shared" si="67"/>
        <v xml:space="preserve">0,00 </v>
      </c>
      <c r="CT36" s="96" t="e">
        <f>#REF!</f>
        <v>#REF!</v>
      </c>
      <c r="CU36" s="97" t="str">
        <f t="shared" si="68"/>
        <v xml:space="preserve">0,00 </v>
      </c>
      <c r="CV36" s="95" t="str">
        <f t="shared" si="54"/>
        <v xml:space="preserve">0,00 </v>
      </c>
      <c r="CW36" s="96" t="e">
        <f>#REF!</f>
        <v>#REF!</v>
      </c>
      <c r="CX36" s="99" t="str">
        <f t="shared" si="74"/>
        <v xml:space="preserve"> </v>
      </c>
      <c r="CY36" s="95" t="str">
        <f t="shared" si="74"/>
        <v xml:space="preserve"> </v>
      </c>
      <c r="CZ36" s="99" t="str">
        <f t="shared" si="74"/>
        <v xml:space="preserve"> </v>
      </c>
      <c r="DA36" s="95" t="str">
        <f t="shared" si="74"/>
        <v xml:space="preserve"> </v>
      </c>
      <c r="DB36" s="94" t="str">
        <f t="shared" si="14"/>
        <v xml:space="preserve"> </v>
      </c>
      <c r="DC36" s="94" t="str">
        <f t="shared" ref="DC36:DH36" si="77">IF($O36&lt;&gt;0,IF($O36&lt;&gt;0,BB36/$O36*10,0)," ")</f>
        <v xml:space="preserve"> </v>
      </c>
      <c r="DD36" s="94" t="str">
        <f t="shared" si="77"/>
        <v xml:space="preserve"> </v>
      </c>
      <c r="DE36" s="94" t="str">
        <f t="shared" si="77"/>
        <v xml:space="preserve"> </v>
      </c>
      <c r="DF36" s="94" t="str">
        <f t="shared" si="77"/>
        <v xml:space="preserve"> </v>
      </c>
      <c r="DG36" s="94" t="str">
        <f t="shared" si="77"/>
        <v xml:space="preserve"> </v>
      </c>
      <c r="DH36" s="95" t="str">
        <f t="shared" si="77"/>
        <v xml:space="preserve"> </v>
      </c>
      <c r="DI36" s="96" t="e">
        <f>#REF!</f>
        <v>#REF!</v>
      </c>
      <c r="DJ36" s="95" t="str">
        <f t="shared" si="56"/>
        <v xml:space="preserve"> </v>
      </c>
      <c r="DK36" s="96" t="e">
        <f>#REF!</f>
        <v>#REF!</v>
      </c>
      <c r="DL36" s="95" t="str">
        <f t="shared" si="57"/>
        <v xml:space="preserve"> </v>
      </c>
      <c r="DM36" s="96">
        <f t="shared" si="16"/>
        <v>0</v>
      </c>
      <c r="DN36" s="94" t="str">
        <f t="shared" si="17"/>
        <v/>
      </c>
      <c r="DO36" s="100">
        <v>3.4</v>
      </c>
      <c r="DP36" s="94" t="str">
        <f>IF($O36&lt;&gt;0,IF($O36&lt;&gt;0,BL36/$O36*10,0)," ")</f>
        <v xml:space="preserve"> </v>
      </c>
      <c r="DQ36" s="94">
        <f>IF($P36&lt;&gt;0,IF($P36&lt;&gt;0,BM36/$P36*10,0)," ")</f>
        <v>3.1987679268199343</v>
      </c>
      <c r="DR36" s="101"/>
      <c r="DS36" s="173"/>
      <c r="DT36" s="134"/>
      <c r="DU36" s="361"/>
      <c r="DV36" s="361"/>
      <c r="DW36" s="361"/>
      <c r="DX36" s="361"/>
      <c r="DY36" s="361"/>
      <c r="DZ36" s="361"/>
      <c r="EA36" s="303"/>
      <c r="EB36" s="303"/>
      <c r="EC36" s="303"/>
      <c r="ED36" s="361"/>
      <c r="EE36" s="303"/>
      <c r="EF36" s="303"/>
      <c r="EG36" s="361"/>
      <c r="EH36" s="361"/>
      <c r="EI36" s="361"/>
      <c r="EJ36" s="303"/>
      <c r="EK36" s="303"/>
      <c r="EL36" s="361"/>
      <c r="EM36" s="361"/>
      <c r="EN36" s="303"/>
      <c r="EO36" s="361"/>
      <c r="EP36" s="303"/>
      <c r="EQ36" s="303"/>
      <c r="ER36" s="303"/>
      <c r="ES36" s="303"/>
      <c r="ET36" s="303"/>
      <c r="EU36" s="303"/>
      <c r="EV36" s="303"/>
      <c r="EW36" s="303"/>
      <c r="EX36" s="361"/>
      <c r="EY36" s="361"/>
      <c r="EZ36" s="361"/>
      <c r="FA36" s="361"/>
      <c r="FB36" s="303"/>
      <c r="FC36" s="361"/>
      <c r="FD36" s="104">
        <f t="shared" si="76"/>
        <v>0</v>
      </c>
      <c r="FE36" s="105"/>
      <c r="FF36" s="105"/>
      <c r="FG36" s="105"/>
      <c r="FH36" s="105"/>
      <c r="FI36" s="105"/>
      <c r="FJ36" s="104"/>
      <c r="FK36" s="267"/>
      <c r="FL36" s="267"/>
      <c r="FM36" s="267"/>
      <c r="FN36" s="80"/>
      <c r="FO36" s="389"/>
      <c r="FP36" s="486"/>
      <c r="FY36" s="119">
        <v>31</v>
      </c>
      <c r="FZ36" s="190"/>
      <c r="GA36" s="192"/>
      <c r="GB36" s="190"/>
      <c r="GC36" s="109"/>
      <c r="GD36" s="110"/>
      <c r="GE36" s="110"/>
      <c r="GF36" s="111"/>
      <c r="GG36" s="111"/>
      <c r="GH36" s="111"/>
      <c r="GI36" s="164"/>
      <c r="GJ36" s="111" t="e">
        <f t="shared" si="58"/>
        <v>#DIV/0!</v>
      </c>
    </row>
    <row r="37" spans="1:193" s="10" customFormat="1" ht="15" customHeight="1">
      <c r="A37" s="64" t="s">
        <v>127</v>
      </c>
      <c r="B37" s="351"/>
      <c r="C37" s="194"/>
      <c r="D37" s="195">
        <f>SUM(D6:D36)</f>
        <v>107257.56</v>
      </c>
      <c r="E37" s="196">
        <f t="shared" ref="E37:M37" si="78">SUM(E6:E36)</f>
        <v>97747.199999999997</v>
      </c>
      <c r="F37" s="196">
        <f t="shared" si="78"/>
        <v>69598.152000000016</v>
      </c>
      <c r="G37" s="196">
        <f t="shared" si="78"/>
        <v>121632.18500000001</v>
      </c>
      <c r="H37" s="196">
        <f t="shared" si="78"/>
        <v>200666.48799999998</v>
      </c>
      <c r="I37" s="195">
        <f t="shared" si="78"/>
        <v>55927.915000000001</v>
      </c>
      <c r="J37" s="195">
        <f t="shared" si="78"/>
        <v>163373.04</v>
      </c>
      <c r="K37" s="195">
        <f t="shared" si="78"/>
        <v>102.85000000000009</v>
      </c>
      <c r="L37" s="195">
        <f t="shared" si="78"/>
        <v>4030.8540000000003</v>
      </c>
      <c r="M37" s="458">
        <f t="shared" si="78"/>
        <v>219300.95499999993</v>
      </c>
      <c r="N37" s="199">
        <f>SUM(N6:N36)</f>
        <v>596901.58500000008</v>
      </c>
      <c r="O37" s="199">
        <f>SUM(O6:O36)</f>
        <v>704186.41850000015</v>
      </c>
      <c r="P37" s="200">
        <f>P36</f>
        <v>704186.41850000015</v>
      </c>
      <c r="Q37" s="201">
        <f>SUM(Q6:Q33)</f>
        <v>0</v>
      </c>
      <c r="R37" s="196">
        <f>SUM(R6:R36)</f>
        <v>6947</v>
      </c>
      <c r="S37" s="196">
        <f t="shared" ref="S37:Z37" si="79">SUM(S6:S36)</f>
        <v>890.10999999999763</v>
      </c>
      <c r="T37" s="196">
        <f t="shared" si="79"/>
        <v>15043.4</v>
      </c>
      <c r="U37" s="483">
        <f t="shared" si="79"/>
        <v>131.40000000000072</v>
      </c>
      <c r="V37" s="483">
        <f t="shared" si="79"/>
        <v>33773.800000000279</v>
      </c>
      <c r="W37" s="483">
        <f t="shared" si="79"/>
        <v>2982.3000000000006</v>
      </c>
      <c r="X37" s="196">
        <f t="shared" si="79"/>
        <v>33773.800000000279</v>
      </c>
      <c r="Y37" s="196">
        <f t="shared" si="79"/>
        <v>4194.3</v>
      </c>
      <c r="Z37" s="196">
        <f t="shared" si="79"/>
        <v>4297.0889999999999</v>
      </c>
      <c r="AA37" s="502">
        <f>SUM(R37:V37)</f>
        <v>56785.710000000283</v>
      </c>
      <c r="AB37" s="196">
        <f t="shared" ref="AB37:AZ37" si="80">SUM(AB6:AB36)</f>
        <v>3902</v>
      </c>
      <c r="AC37" s="196">
        <f t="shared" si="80"/>
        <v>2040</v>
      </c>
      <c r="AD37" s="501">
        <f>DW37-DW36+AB37</f>
        <v>3902</v>
      </c>
      <c r="AE37" s="502">
        <f>SUM(AE6:AE36)</f>
        <v>4764</v>
      </c>
      <c r="AF37" s="196">
        <f>SUM(AF6:AF36)</f>
        <v>3022</v>
      </c>
      <c r="AG37" s="196">
        <f>SUM(AG6:AG36)</f>
        <v>2246.8999999999942</v>
      </c>
      <c r="AH37" s="502">
        <f t="shared" si="80"/>
        <v>7273</v>
      </c>
      <c r="AI37" s="502">
        <f t="shared" si="80"/>
        <v>2004.1000000000058</v>
      </c>
      <c r="AJ37" s="196">
        <f t="shared" si="80"/>
        <v>4103</v>
      </c>
      <c r="AK37" s="196">
        <f t="shared" si="80"/>
        <v>608.09999999999854</v>
      </c>
      <c r="AL37" s="502">
        <f t="shared" si="80"/>
        <v>8039</v>
      </c>
      <c r="AM37" s="502">
        <f t="shared" si="80"/>
        <v>3327.9000000000015</v>
      </c>
      <c r="AN37" s="196">
        <f t="shared" si="80"/>
        <v>883.90000000000146</v>
      </c>
      <c r="AO37" s="502">
        <f t="shared" si="80"/>
        <v>1469.0000000000073</v>
      </c>
      <c r="AP37" s="196">
        <f>SUM(AP6:AP36)</f>
        <v>899.39999999999418</v>
      </c>
      <c r="AQ37" s="502">
        <f t="shared" si="80"/>
        <v>1373.6999999999825</v>
      </c>
      <c r="AR37" s="196">
        <f t="shared" si="80"/>
        <v>2518.5610000000006</v>
      </c>
      <c r="AS37" s="502">
        <f t="shared" si="80"/>
        <v>3586.5610000000011</v>
      </c>
      <c r="AT37" s="502">
        <f t="shared" si="80"/>
        <v>26061.561000000002</v>
      </c>
      <c r="AU37" s="204">
        <f t="shared" si="80"/>
        <v>14458</v>
      </c>
      <c r="AV37" s="502">
        <f t="shared" si="80"/>
        <v>863</v>
      </c>
      <c r="AW37" s="365">
        <f>SUM(AW6:AW36)</f>
        <v>8017</v>
      </c>
      <c r="AX37" s="502">
        <f t="shared" si="80"/>
        <v>741</v>
      </c>
      <c r="AY37" s="502">
        <f t="shared" si="80"/>
        <v>0</v>
      </c>
      <c r="AZ37" s="196">
        <f t="shared" si="80"/>
        <v>10488</v>
      </c>
      <c r="BA37" s="483">
        <f>SUM(BA6:BA36)</f>
        <v>2017.3000000000002</v>
      </c>
      <c r="BB37" s="483">
        <f>SUM(BB6:BB35)</f>
        <v>4928.2000000000116</v>
      </c>
      <c r="BC37" s="483">
        <f t="shared" ref="BC37:BJ37" si="81">SUM(BC6:BC36)</f>
        <v>25616.799999999814</v>
      </c>
      <c r="BD37" s="483">
        <f t="shared" si="81"/>
        <v>6363</v>
      </c>
      <c r="BE37" s="196">
        <f t="shared" si="81"/>
        <v>0</v>
      </c>
      <c r="BF37" s="196">
        <f t="shared" si="81"/>
        <v>0</v>
      </c>
      <c r="BG37" s="502">
        <f t="shared" si="81"/>
        <v>47395.999999999825</v>
      </c>
      <c r="BH37" s="502">
        <f t="shared" si="81"/>
        <v>77197.892999999996</v>
      </c>
      <c r="BI37" s="196">
        <f t="shared" si="81"/>
        <v>24321.594000000012</v>
      </c>
      <c r="BJ37" s="196">
        <f t="shared" si="81"/>
        <v>160707.97100000011</v>
      </c>
      <c r="BK37" s="205"/>
      <c r="BL37" s="196">
        <f>((SUM(BL6:BL36))+1277)-453</f>
        <v>226076.89300000001</v>
      </c>
      <c r="BM37" s="196">
        <f>BM36</f>
        <v>225252.89300000001</v>
      </c>
      <c r="BN37" s="205"/>
      <c r="BO37" s="94">
        <f>IF($N37&lt;&gt;0,IF($N37&lt;&gt;0,R37/$N37*10,0)," ")</f>
        <v>0.11638434500052466</v>
      </c>
      <c r="BP37" s="206">
        <f>S37/$N$37/0.1</f>
        <v>1.4912173503442741E-2</v>
      </c>
      <c r="BQ37" s="94">
        <f>IF($N37&lt;&gt;0,IF($N37&lt;&gt;0,T37/$N37*10,0)," ")</f>
        <v>0.25202479567883873</v>
      </c>
      <c r="BR37" s="94">
        <f>IF($N37&lt;&gt;0,IF($N37&lt;&gt;0,(V37)/$N37*10,0)," ")</f>
        <v>0.56581856789675433</v>
      </c>
      <c r="BS37" s="206">
        <f>IF($N37&lt;&gt;0,IF($N37&lt;&gt;0,Y37/$N37*10,0)," ")</f>
        <v>7.0267865011616609E-2</v>
      </c>
      <c r="BT37" s="206">
        <f>IF($N37&lt;&gt;0,IF($N37&lt;&gt;0,Z37/$N37*10,0)," ")</f>
        <v>7.1989907683022811E-2</v>
      </c>
      <c r="BU37" s="207">
        <f>IF($N37&lt;&gt;0,IF($N37&lt;&gt;0,AA37/$N37*10,0)," ")</f>
        <v>0.95134124999852832</v>
      </c>
      <c r="BV37" s="206">
        <f>R37/$O$37/0.1</f>
        <v>9.8652854095055212E-2</v>
      </c>
      <c r="BW37" s="206">
        <f>S37/$O$37/0.1</f>
        <v>1.2640260826047122E-2</v>
      </c>
      <c r="BX37" s="206">
        <f>(T37+U37)/$O$37/0.1</f>
        <v>0.21549407374717777</v>
      </c>
      <c r="BY37" s="206">
        <f>(V37)/$O$37/0.1</f>
        <v>0.47961447583641903</v>
      </c>
      <c r="BZ37" s="198">
        <f>AA37/$O$37/0.1</f>
        <v>0.80640166450469919</v>
      </c>
      <c r="CA37" s="208" t="e">
        <f>#REF!</f>
        <v>#REF!</v>
      </c>
      <c r="CB37" s="209">
        <f>IF($O37&lt;&gt;0,IF($O37&lt;&gt;0,AR37/$O37*10,0)," ")</f>
        <v>3.5765543524182583E-2</v>
      </c>
      <c r="CC37" s="210">
        <f>IF($O37&lt;&gt;0,IF($O37&lt;&gt;0,AS37/$O37*10,0)," ")</f>
        <v>5.0931982011805869E-2</v>
      </c>
      <c r="CD37" s="211">
        <f>IFERROR(AR37*10/($I37+$J37),"")</f>
        <v>0.11484496271345469</v>
      </c>
      <c r="CE37" s="212">
        <f>IFERROR(AS37*10/(($I37+$J37)),"")</f>
        <v>0.16354516103224451</v>
      </c>
      <c r="CF37" s="206">
        <f>AB37/$D$37/0.1</f>
        <v>0.36379719993630283</v>
      </c>
      <c r="CG37" s="206">
        <f>AC37/$D$37/0.1</f>
        <v>0.1901963833598303</v>
      </c>
      <c r="CH37" s="198">
        <f>AD37/$D$37/0.1</f>
        <v>0.36379719993630283</v>
      </c>
      <c r="CI37" s="208" t="e">
        <f>#REF!</f>
        <v>#REF!</v>
      </c>
      <c r="CJ37" s="206">
        <f>AF37/$E$37/0.1</f>
        <v>0.30916486610358146</v>
      </c>
      <c r="CK37" s="206">
        <f>AG37/$E$37/0.1</f>
        <v>0.22986847705100444</v>
      </c>
      <c r="CL37" s="198">
        <f>AH37/$E$37/0.1</f>
        <v>0.74406223400772598</v>
      </c>
      <c r="CM37" s="95" t="e">
        <f>#REF!</f>
        <v>#REF!</v>
      </c>
      <c r="CN37" s="206">
        <f>AJ37/$F$37/0.1</f>
        <v>0.58952714721505806</v>
      </c>
      <c r="CO37" s="206">
        <f>AK37/$F$37/0.1</f>
        <v>8.7373009559219089E-2</v>
      </c>
      <c r="CP37" s="198">
        <f>AL37/$F$37/0.1</f>
        <v>1.1550594044508535</v>
      </c>
      <c r="CQ37" s="213" t="e">
        <f>#REF!</f>
        <v>#REF!</v>
      </c>
      <c r="CR37" s="214">
        <f>AN37/$G$37/0.1</f>
        <v>7.2669910517516506E-2</v>
      </c>
      <c r="CS37" s="198">
        <f>AO37/$G$37/0.1</f>
        <v>0.12077395468970709</v>
      </c>
      <c r="CT37" s="208" t="e">
        <f>#REF!</f>
        <v>#REF!</v>
      </c>
      <c r="CU37" s="214">
        <f>AP37/$H$37/0.1</f>
        <v>4.4820637913391609E-2</v>
      </c>
      <c r="CV37" s="198">
        <f>AQ37/$H$37/0.1</f>
        <v>6.8456871582861539E-2</v>
      </c>
      <c r="CW37" s="96" t="e">
        <f>#REF!</f>
        <v>#REF!</v>
      </c>
      <c r="CX37" s="99">
        <f t="shared" si="74"/>
        <v>0.20531495098694519</v>
      </c>
      <c r="CY37" s="95">
        <f t="shared" si="74"/>
        <v>1.2255277541965256E-2</v>
      </c>
      <c r="CZ37" s="99">
        <f>IF($O37&lt;&gt;0,IF($O37&lt;&gt;0,AW37/$O37*10,0)," ")</f>
        <v>0.11384769415288003</v>
      </c>
      <c r="DA37" s="198">
        <f>IF($O37&lt;&gt;0,IF($O37&lt;&gt;0,AX37/$O37*10,0)," ")</f>
        <v>1.0522781759671212E-2</v>
      </c>
      <c r="DB37" s="206">
        <f>AZ37/$O$37/0.1</f>
        <v>0.14893783413688486</v>
      </c>
      <c r="DC37" s="206">
        <f t="shared" ref="DC37:DH37" si="82">BB37/$O$37/0.1</f>
        <v>6.9984309133619138E-2</v>
      </c>
      <c r="DD37" s="215">
        <f t="shared" si="82"/>
        <v>0.36377867176942447</v>
      </c>
      <c r="DE37" s="215">
        <f t="shared" si="82"/>
        <v>9.0359595596205017E-2</v>
      </c>
      <c r="DF37" s="215">
        <f t="shared" si="82"/>
        <v>0</v>
      </c>
      <c r="DG37" s="215">
        <f t="shared" si="82"/>
        <v>0</v>
      </c>
      <c r="DH37" s="216">
        <f t="shared" si="82"/>
        <v>0.67306041063613342</v>
      </c>
      <c r="DI37" s="217" t="e">
        <f>#REF!</f>
        <v>#REF!</v>
      </c>
      <c r="DJ37" s="216">
        <f>BH37/$O$37/0.1</f>
        <v>1.0962706887253033</v>
      </c>
      <c r="DK37" s="217" t="e">
        <f>#REF!</f>
        <v>#REF!</v>
      </c>
      <c r="DL37" s="213">
        <f>BI37/$O$37/0.1</f>
        <v>0.34538572970219822</v>
      </c>
      <c r="DM37" s="96">
        <f t="shared" si="16"/>
        <v>0</v>
      </c>
      <c r="DN37" s="206">
        <f>BJ37/$O$37/0.1</f>
        <v>2.2821793601519178</v>
      </c>
      <c r="DO37" s="100">
        <v>3.4</v>
      </c>
      <c r="DP37" s="206">
        <f>BL37/$O$37/0.1</f>
        <v>3.2104693737429693</v>
      </c>
      <c r="DQ37" s="218" t="str">
        <f>IF($Q37&lt;&gt;0,IF($Q37&lt;&gt;0,BM37/$Q37*10,0)," ")</f>
        <v xml:space="preserve"> </v>
      </c>
      <c r="DR37" s="101" t="e">
        <f>#REF!</f>
        <v>#REF!</v>
      </c>
      <c r="DS37" s="64"/>
      <c r="DT37" s="64"/>
      <c r="DU37" s="219"/>
      <c r="DV37" s="219"/>
      <c r="DW37" s="219"/>
      <c r="DX37" s="219"/>
      <c r="DY37" s="219"/>
      <c r="DZ37" s="219"/>
      <c r="EA37" s="219"/>
      <c r="EB37" s="565"/>
      <c r="EC37" s="219"/>
      <c r="ED37" s="219"/>
      <c r="EE37" s="219"/>
      <c r="EF37" s="219"/>
      <c r="EG37" s="219"/>
      <c r="EH37" s="219"/>
      <c r="EI37" s="219"/>
      <c r="EJ37" s="565"/>
      <c r="EK37" s="565"/>
      <c r="EL37" s="219"/>
      <c r="EM37" s="219"/>
      <c r="EN37" s="565"/>
      <c r="EO37" s="219"/>
      <c r="EP37" s="565"/>
      <c r="EQ37" s="565"/>
      <c r="ER37" s="565"/>
      <c r="ES37" s="565"/>
      <c r="ET37" s="565"/>
      <c r="EU37" s="472"/>
      <c r="EV37" s="472"/>
      <c r="EW37" s="565"/>
      <c r="EX37" s="219"/>
      <c r="EY37" s="219"/>
      <c r="EZ37" s="219"/>
      <c r="FA37" s="219"/>
      <c r="FB37" s="219"/>
      <c r="FC37" s="219"/>
      <c r="FD37" s="565"/>
      <c r="FE37" s="574" t="s">
        <v>129</v>
      </c>
      <c r="FF37" s="575"/>
      <c r="FG37" s="575"/>
      <c r="FH37" s="575"/>
      <c r="FI37" s="575"/>
      <c r="FJ37" s="575"/>
      <c r="FK37" s="575"/>
      <c r="FL37" s="575"/>
      <c r="FM37" s="576"/>
      <c r="FN37" s="565">
        <f>SUM(FN6:FN36)</f>
        <v>55799</v>
      </c>
      <c r="FO37" s="565">
        <f>FO35-FO5</f>
        <v>55799</v>
      </c>
      <c r="FP37" s="64"/>
      <c r="FQ37" s="64"/>
      <c r="FR37" s="64"/>
      <c r="FS37" s="64"/>
      <c r="FT37" s="64"/>
      <c r="FU37" s="64"/>
      <c r="FV37" s="64"/>
      <c r="FW37" s="64"/>
      <c r="FX37" s="64"/>
      <c r="FY37" s="64"/>
      <c r="FZ37" s="221">
        <f>SUM(FZ6:FZ36)</f>
        <v>38276</v>
      </c>
      <c r="GA37" s="221">
        <f t="shared" ref="GA37:GI37" si="83">SUM(GA6:GA36)</f>
        <v>6040</v>
      </c>
      <c r="GB37" s="221">
        <f t="shared" si="83"/>
        <v>6.4779304812053722</v>
      </c>
      <c r="GC37" s="221">
        <f t="shared" si="83"/>
        <v>0</v>
      </c>
      <c r="GD37" s="221">
        <f t="shared" si="83"/>
        <v>0</v>
      </c>
      <c r="GE37" s="221">
        <f t="shared" si="83"/>
        <v>0</v>
      </c>
      <c r="GF37" s="221">
        <f t="shared" si="83"/>
        <v>0</v>
      </c>
      <c r="GG37" s="221">
        <f t="shared" si="83"/>
        <v>0</v>
      </c>
      <c r="GH37" s="221">
        <f t="shared" si="83"/>
        <v>0</v>
      </c>
      <c r="GI37" s="221">
        <f t="shared" si="83"/>
        <v>0</v>
      </c>
      <c r="GJ37" s="111">
        <f t="shared" si="58"/>
        <v>0</v>
      </c>
      <c r="GK37" s="222"/>
    </row>
    <row r="38" spans="1:193" s="10" customFormat="1">
      <c r="A38" s="64"/>
      <c r="B38" s="351"/>
      <c r="C38" s="64"/>
      <c r="D38" s="478">
        <v>107257.56</v>
      </c>
      <c r="E38" s="478">
        <v>97747.199999999997</v>
      </c>
      <c r="F38" s="479">
        <v>69598.152000000002</v>
      </c>
      <c r="G38" s="479">
        <v>121632.18499999997</v>
      </c>
      <c r="H38" s="478">
        <v>200666.97499999998</v>
      </c>
      <c r="I38" s="478">
        <v>55927.914999999986</v>
      </c>
      <c r="J38" s="478">
        <v>163373.03999999998</v>
      </c>
      <c r="K38" s="478">
        <v>102.70600000000002</v>
      </c>
      <c r="L38" s="478">
        <v>4031.0839999999998</v>
      </c>
      <c r="M38" s="480"/>
      <c r="N38" s="481"/>
      <c r="O38" s="227"/>
      <c r="P38" s="102"/>
      <c r="Q38" s="64"/>
      <c r="R38" s="228"/>
      <c r="S38" s="228"/>
      <c r="T38" s="228"/>
      <c r="U38" s="228"/>
      <c r="V38" s="229"/>
      <c r="W38" s="229"/>
      <c r="X38" s="229"/>
      <c r="Y38" s="229"/>
      <c r="Z38" s="229"/>
      <c r="AA38" s="230"/>
      <c r="AB38" s="152"/>
      <c r="AC38" s="152"/>
      <c r="AD38" s="153"/>
      <c r="AE38" s="231"/>
      <c r="AF38" s="152"/>
      <c r="AG38" s="152"/>
      <c r="AH38" s="152"/>
      <c r="AI38" s="231"/>
      <c r="AJ38" s="152"/>
      <c r="AK38" s="152"/>
      <c r="AL38" s="152"/>
      <c r="AM38" s="231"/>
      <c r="AN38" s="152"/>
      <c r="AO38" s="231"/>
      <c r="AP38" s="152"/>
      <c r="AQ38" s="231"/>
      <c r="AR38" s="232"/>
      <c r="AS38" s="230"/>
      <c r="AT38" s="230"/>
      <c r="AU38" s="232"/>
      <c r="AV38" s="152"/>
      <c r="AW38" s="232"/>
      <c r="AX38" s="152"/>
      <c r="AY38" s="152"/>
      <c r="AZ38" s="152"/>
      <c r="BA38" s="152"/>
      <c r="BB38" s="152"/>
      <c r="BC38" s="395"/>
      <c r="BD38" s="228"/>
      <c r="BE38" s="228"/>
      <c r="BF38" s="228"/>
      <c r="BG38" s="152"/>
      <c r="BH38" s="152"/>
      <c r="BI38" s="233"/>
      <c r="BJ38" s="233"/>
      <c r="BK38" s="234"/>
      <c r="BL38" s="235"/>
      <c r="BM38" s="233"/>
      <c r="BN38" s="234"/>
      <c r="BO38" s="178"/>
      <c r="BP38" s="178"/>
      <c r="BQ38" s="178"/>
      <c r="BR38" s="178"/>
      <c r="BS38" s="178"/>
      <c r="BT38" s="178"/>
      <c r="BU38" s="178"/>
      <c r="BV38" s="178"/>
      <c r="BW38" s="178"/>
      <c r="BX38" s="178"/>
      <c r="BY38" s="178"/>
      <c r="BZ38" s="64"/>
      <c r="CA38" s="236"/>
      <c r="CB38" s="236"/>
      <c r="CC38" s="236"/>
      <c r="CD38" s="236"/>
      <c r="CE38" s="236"/>
      <c r="CF38" s="237"/>
      <c r="CG38" s="237"/>
      <c r="CH38" s="64"/>
      <c r="CI38" s="236"/>
      <c r="CJ38" s="236"/>
      <c r="CK38" s="236"/>
      <c r="CL38" s="236"/>
      <c r="CM38" s="236"/>
      <c r="CN38" s="236"/>
      <c r="CO38" s="236"/>
      <c r="CP38" s="236"/>
      <c r="CQ38" s="236"/>
      <c r="CR38" s="64"/>
      <c r="CS38" s="238"/>
      <c r="CT38" s="236"/>
      <c r="CU38" s="236"/>
      <c r="CV38" s="239"/>
      <c r="CW38" s="236"/>
      <c r="CX38" s="236"/>
      <c r="CY38" s="236"/>
      <c r="CZ38" s="236"/>
      <c r="DA38" s="236"/>
      <c r="DB38" s="64"/>
      <c r="DC38" s="64"/>
      <c r="DD38" s="64"/>
      <c r="DE38" s="64"/>
      <c r="DF38" s="64"/>
      <c r="DG38" s="64"/>
      <c r="DH38" s="240"/>
      <c r="DI38" s="236"/>
      <c r="DJ38" s="241"/>
      <c r="DK38" s="242"/>
      <c r="DL38" s="243"/>
      <c r="DM38" s="242"/>
      <c r="DN38" s="64"/>
      <c r="DO38" s="100"/>
      <c r="DP38" s="240"/>
      <c r="DQ38" s="244"/>
      <c r="DR38" s="245"/>
      <c r="DS38" s="64"/>
      <c r="DT38" s="64"/>
      <c r="DU38" s="246"/>
      <c r="DV38" s="246"/>
      <c r="DW38" s="246"/>
      <c r="DX38" s="219"/>
      <c r="DY38" s="219"/>
      <c r="DZ38" s="219"/>
      <c r="EA38" s="246"/>
      <c r="EB38" s="246"/>
      <c r="EC38" s="9"/>
      <c r="ED38" s="9"/>
      <c r="EE38" s="246"/>
      <c r="EF38" s="246"/>
      <c r="EG38" s="9"/>
      <c r="EH38" s="9"/>
      <c r="EI38" s="9"/>
      <c r="EJ38" s="64"/>
      <c r="EK38" s="64"/>
      <c r="EL38" s="460"/>
      <c r="EM38" s="9"/>
      <c r="EN38" s="64"/>
      <c r="EO38" s="9"/>
      <c r="EP38" s="565"/>
      <c r="EQ38" s="64"/>
      <c r="ER38" s="64"/>
      <c r="ES38" s="247"/>
      <c r="ET38" s="175"/>
      <c r="EU38" s="565"/>
      <c r="EV38" s="565"/>
      <c r="EW38" s="246"/>
      <c r="EX38" s="64"/>
      <c r="EY38" s="64"/>
      <c r="EZ38" s="64"/>
      <c r="FA38" s="64"/>
      <c r="FB38" s="64" t="s">
        <v>315</v>
      </c>
      <c r="FC38" s="454"/>
      <c r="FD38" s="562" t="s">
        <v>53</v>
      </c>
      <c r="FE38" s="267"/>
      <c r="FF38" s="303"/>
      <c r="FG38" s="371"/>
      <c r="FH38" s="303"/>
      <c r="FI38" s="303"/>
      <c r="FJ38" s="136"/>
      <c r="FK38" s="303"/>
      <c r="FL38" s="303"/>
      <c r="FM38" s="303"/>
      <c r="FN38" s="152"/>
      <c r="FO38" s="152"/>
      <c r="FP38" s="565"/>
      <c r="FQ38" s="9"/>
      <c r="FR38" s="64"/>
      <c r="FS38" s="64"/>
      <c r="FT38" s="64"/>
      <c r="FU38" s="64"/>
      <c r="FV38" s="64"/>
      <c r="FW38" s="64"/>
      <c r="FX38" s="64"/>
      <c r="FY38" s="64"/>
      <c r="FZ38" s="9"/>
      <c r="GA38" s="64"/>
      <c r="GB38" s="64"/>
      <c r="GC38" s="64"/>
      <c r="GD38" s="64"/>
      <c r="GE38" s="64"/>
      <c r="GF38" s="64"/>
      <c r="GG38" s="64"/>
      <c r="GH38" s="64"/>
      <c r="GI38" s="64"/>
      <c r="GJ38" s="64"/>
    </row>
    <row r="39" spans="1:193" s="10" customFormat="1">
      <c r="A39" s="64"/>
      <c r="B39" s="64"/>
      <c r="C39" s="64"/>
      <c r="D39" s="482"/>
      <c r="E39" s="482"/>
      <c r="F39" s="482"/>
      <c r="G39" s="482"/>
      <c r="H39" s="482"/>
      <c r="I39" s="482"/>
      <c r="J39" s="482"/>
      <c r="K39" s="482"/>
      <c r="L39" s="482"/>
      <c r="M39" s="254"/>
      <c r="N39" s="481"/>
      <c r="O39" s="256"/>
      <c r="P39" s="257"/>
      <c r="Q39" s="64"/>
      <c r="R39" s="258"/>
      <c r="S39" s="258"/>
      <c r="T39" s="258"/>
      <c r="U39" s="258"/>
      <c r="V39" s="258"/>
      <c r="W39" s="258"/>
      <c r="X39" s="258"/>
      <c r="Y39" s="258"/>
      <c r="Z39" s="258"/>
      <c r="AA39" s="258"/>
      <c r="AB39" s="152"/>
      <c r="AD39" s="231"/>
      <c r="AE39" s="152"/>
      <c r="AF39" s="152"/>
      <c r="AG39" s="152"/>
      <c r="AH39" s="152"/>
      <c r="AI39" s="152"/>
      <c r="AJ39" s="152"/>
      <c r="AK39" s="152"/>
      <c r="AL39" s="152"/>
      <c r="AM39" s="152"/>
      <c r="AN39" s="152"/>
      <c r="AO39" s="152"/>
      <c r="AP39" s="152"/>
      <c r="AQ39" s="152"/>
      <c r="AR39" s="258"/>
      <c r="AS39" s="258"/>
      <c r="AT39" s="258"/>
      <c r="AU39" s="258"/>
      <c r="AV39" s="152"/>
      <c r="AW39" s="258"/>
      <c r="AX39" s="152"/>
      <c r="AY39" s="152"/>
      <c r="AZ39" s="152"/>
      <c r="BA39" s="152"/>
      <c r="BB39" s="152"/>
      <c r="BC39" s="231"/>
      <c r="BD39" s="231"/>
      <c r="BE39" s="231"/>
      <c r="BF39" s="231"/>
      <c r="BG39" s="152"/>
      <c r="BH39" s="231"/>
      <c r="BI39" s="116"/>
      <c r="BJ39" s="116"/>
      <c r="BK39" s="259"/>
      <c r="BL39" s="260"/>
      <c r="BM39" s="165"/>
      <c r="BN39" s="259"/>
      <c r="BO39" s="64"/>
      <c r="BP39" s="64"/>
      <c r="BQ39" s="64"/>
      <c r="BR39" s="116"/>
      <c r="BS39" s="116"/>
      <c r="BT39" s="116"/>
      <c r="BU39" s="116"/>
      <c r="BV39" s="64"/>
      <c r="BW39" s="64"/>
      <c r="BX39" s="64"/>
      <c r="BY39" s="116"/>
      <c r="BZ39" s="243"/>
      <c r="CA39" s="243"/>
      <c r="CB39" s="243"/>
      <c r="CC39" s="243"/>
      <c r="CD39" s="243"/>
      <c r="CE39" s="243"/>
      <c r="CF39" s="454"/>
      <c r="CG39" s="237"/>
      <c r="CH39" s="243"/>
      <c r="CI39" s="243"/>
      <c r="CJ39" s="243"/>
      <c r="CK39" s="243"/>
      <c r="CL39" s="243"/>
      <c r="CM39" s="243"/>
      <c r="CN39" s="243"/>
      <c r="CO39" s="243"/>
      <c r="CP39" s="243"/>
      <c r="CQ39" s="243"/>
      <c r="CR39" s="243"/>
      <c r="CS39" s="243"/>
      <c r="CT39" s="243"/>
      <c r="CU39" s="243"/>
      <c r="CV39" s="243"/>
      <c r="CW39" s="243"/>
      <c r="CX39" s="243"/>
      <c r="CY39" s="116"/>
      <c r="CZ39" s="243"/>
      <c r="DA39" s="243"/>
      <c r="DB39" s="243"/>
      <c r="DC39" s="243"/>
      <c r="DD39" s="116"/>
      <c r="DE39" s="116"/>
      <c r="DF39" s="116"/>
      <c r="DG39" s="116"/>
      <c r="DH39" s="243"/>
      <c r="DI39" s="243"/>
      <c r="DJ39" s="64"/>
      <c r="DK39" s="64"/>
      <c r="DL39" s="74"/>
      <c r="DM39" s="64"/>
      <c r="DN39" s="74"/>
      <c r="DO39" s="261"/>
      <c r="DP39" s="262"/>
      <c r="DQ39" s="263"/>
      <c r="DR39" s="244"/>
      <c r="DS39" s="64"/>
      <c r="DT39" s="64"/>
      <c r="DU39" s="246"/>
      <c r="DV39" s="246"/>
      <c r="DW39" s="246"/>
      <c r="DX39" s="219"/>
      <c r="DY39" s="219"/>
      <c r="DZ39" s="219"/>
      <c r="EA39" s="246"/>
      <c r="EB39" s="246"/>
      <c r="EC39" s="9"/>
      <c r="ED39" s="9"/>
      <c r="EE39" s="246"/>
      <c r="EF39" s="246"/>
      <c r="EG39" s="9"/>
      <c r="EH39" s="9"/>
      <c r="EI39" s="9"/>
      <c r="EJ39" s="64"/>
      <c r="EK39" s="64"/>
      <c r="EL39" s="9"/>
      <c r="EM39" s="9"/>
      <c r="EN39" s="64"/>
      <c r="EO39" s="9"/>
      <c r="EP39" s="565"/>
      <c r="EQ39" s="64"/>
      <c r="ER39" s="64"/>
      <c r="ES39" s="257"/>
      <c r="ET39" s="366"/>
      <c r="EU39" s="64"/>
      <c r="EV39" s="64"/>
      <c r="EW39" s="246"/>
      <c r="EX39" s="64"/>
      <c r="EY39" s="64"/>
      <c r="EZ39" s="64"/>
      <c r="FA39" s="64"/>
      <c r="FB39" s="64"/>
      <c r="FC39" s="152"/>
      <c r="FD39" s="562">
        <v>1</v>
      </c>
      <c r="FE39" s="136"/>
      <c r="FF39" s="108"/>
      <c r="FG39" s="549"/>
      <c r="FH39" s="108"/>
      <c r="FI39" s="108"/>
      <c r="FJ39" s="136"/>
      <c r="FK39" s="108"/>
      <c r="FL39" s="108"/>
      <c r="FM39" s="108"/>
      <c r="FN39" s="492"/>
      <c r="FO39" s="152"/>
      <c r="FP39" s="465"/>
      <c r="FQ39" s="9"/>
      <c r="FR39" s="9"/>
      <c r="FS39" s="9"/>
      <c r="FT39" s="9"/>
      <c r="FU39" s="9"/>
      <c r="FV39" s="9"/>
      <c r="FW39" s="9"/>
      <c r="FX39" s="9"/>
      <c r="FY39" s="9"/>
      <c r="FZ39" s="246"/>
      <c r="GA39" s="64"/>
      <c r="GB39" s="64"/>
      <c r="GC39" s="64"/>
      <c r="GD39" s="64"/>
      <c r="GE39" s="64"/>
      <c r="GF39" s="64"/>
      <c r="GG39" s="64"/>
      <c r="GH39" s="64"/>
      <c r="GI39" s="64"/>
      <c r="GJ39" s="64"/>
    </row>
    <row r="40" spans="1:193">
      <c r="D40" s="524">
        <f>D38-D37</f>
        <v>0</v>
      </c>
      <c r="E40" s="524">
        <f t="shared" ref="E40:K40" si="84">E38-E37</f>
        <v>0</v>
      </c>
      <c r="F40" s="524">
        <f t="shared" si="84"/>
        <v>0</v>
      </c>
      <c r="G40" s="524">
        <f t="shared" si="84"/>
        <v>0</v>
      </c>
      <c r="H40" s="524">
        <f t="shared" si="84"/>
        <v>0.48699999999371357</v>
      </c>
      <c r="I40" s="524">
        <f t="shared" si="84"/>
        <v>0</v>
      </c>
      <c r="J40" s="524">
        <f t="shared" si="84"/>
        <v>0</v>
      </c>
      <c r="K40" s="524">
        <f t="shared" si="84"/>
        <v>-0.14400000000007651</v>
      </c>
      <c r="L40" s="524">
        <f>L38-L37</f>
        <v>0.22999999999956344</v>
      </c>
      <c r="M40" s="152"/>
      <c r="N40" s="454"/>
      <c r="O40" s="454"/>
      <c r="P40" s="565"/>
      <c r="R40" s="260"/>
      <c r="AB40" s="152"/>
      <c r="BA40" s="454"/>
      <c r="FC40" s="565"/>
      <c r="FD40" s="562">
        <v>2</v>
      </c>
      <c r="FE40" s="564"/>
      <c r="FF40" s="564"/>
      <c r="FG40" s="491"/>
      <c r="FH40" s="564"/>
      <c r="FI40" s="564"/>
      <c r="FJ40" s="136"/>
      <c r="FK40" s="564"/>
      <c r="FL40" s="564"/>
      <c r="FM40" s="564"/>
      <c r="FN40" s="492"/>
      <c r="FO40" s="152"/>
    </row>
    <row r="41" spans="1:193">
      <c r="B41" s="565"/>
      <c r="D41" s="396"/>
      <c r="E41" s="396"/>
      <c r="F41" s="500"/>
      <c r="G41" s="500"/>
      <c r="H41" s="454"/>
      <c r="I41" s="454"/>
      <c r="J41" s="454"/>
      <c r="K41" s="454"/>
      <c r="L41" s="454"/>
      <c r="M41" s="152"/>
      <c r="N41" s="454"/>
      <c r="O41" s="454"/>
      <c r="BA41" s="454"/>
      <c r="CH41" s="178"/>
      <c r="CP41" s="178"/>
      <c r="FC41" s="565"/>
      <c r="FD41" s="562">
        <v>3</v>
      </c>
      <c r="FE41" s="564"/>
      <c r="FF41" s="564"/>
      <c r="FG41" s="136"/>
      <c r="FH41" s="564"/>
      <c r="FI41" s="564"/>
      <c r="FJ41" s="136"/>
      <c r="FK41" s="564"/>
      <c r="FL41" s="564"/>
      <c r="FM41" s="564"/>
      <c r="FN41" s="492"/>
      <c r="FO41" s="152"/>
    </row>
    <row r="42" spans="1:193">
      <c r="D42" s="396"/>
      <c r="E42" s="524"/>
      <c r="F42" s="500"/>
      <c r="G42" s="503"/>
      <c r="H42" s="524"/>
      <c r="I42" s="454"/>
      <c r="J42" s="152"/>
      <c r="K42" s="454"/>
      <c r="L42" s="454"/>
      <c r="M42" s="396"/>
      <c r="N42" s="464"/>
      <c r="O42" s="454"/>
      <c r="BV42" s="454"/>
      <c r="FC42" s="565"/>
      <c r="FD42" s="562">
        <v>4</v>
      </c>
      <c r="FE42" s="367"/>
      <c r="FF42" s="267"/>
      <c r="FG42" s="136"/>
      <c r="FH42" s="303"/>
      <c r="FI42" s="303"/>
      <c r="FJ42" s="136"/>
      <c r="FK42" s="303"/>
      <c r="FL42" s="303"/>
      <c r="FM42" s="303"/>
      <c r="FN42" s="264"/>
      <c r="FO42" s="152"/>
    </row>
    <row r="43" spans="1:193">
      <c r="D43" s="396"/>
      <c r="E43" s="524"/>
      <c r="F43" s="500"/>
      <c r="G43" s="503"/>
      <c r="H43" s="524"/>
      <c r="I43" s="454"/>
      <c r="J43" s="152"/>
      <c r="K43" s="454"/>
      <c r="L43" s="454"/>
      <c r="M43" s="454"/>
      <c r="N43" s="464"/>
      <c r="O43" s="454"/>
      <c r="FC43" s="565"/>
      <c r="FD43" s="562">
        <v>5</v>
      </c>
      <c r="FE43" s="129"/>
      <c r="FF43" s="129"/>
      <c r="FG43" s="303"/>
      <c r="FH43" s="136"/>
      <c r="FI43" s="136"/>
      <c r="FJ43" s="136"/>
      <c r="FK43" s="136"/>
      <c r="FL43" s="136"/>
      <c r="FM43" s="136"/>
      <c r="FN43" s="397"/>
    </row>
    <row r="44" spans="1:193">
      <c r="B44" s="565"/>
      <c r="D44" s="396"/>
      <c r="E44" s="524"/>
      <c r="F44" s="500"/>
      <c r="G44" s="503"/>
      <c r="H44" s="524"/>
      <c r="I44" s="454"/>
      <c r="J44" s="152"/>
      <c r="K44" s="454"/>
      <c r="L44" s="454"/>
      <c r="M44" s="396"/>
      <c r="N44" s="464"/>
      <c r="O44" s="454"/>
      <c r="FC44" s="565"/>
      <c r="FD44" s="562">
        <v>6</v>
      </c>
      <c r="FE44" s="129"/>
      <c r="FF44" s="129"/>
      <c r="FG44" s="136"/>
      <c r="FH44" s="136"/>
      <c r="FI44" s="136"/>
      <c r="FJ44" s="136"/>
      <c r="FK44" s="136"/>
      <c r="FL44" s="136"/>
      <c r="FM44" s="136"/>
      <c r="FN44" s="152"/>
      <c r="FO44" s="152"/>
    </row>
    <row r="45" spans="1:193">
      <c r="B45" s="565"/>
      <c r="D45" s="396"/>
      <c r="E45" s="396"/>
      <c r="F45" s="152"/>
      <c r="G45" s="503"/>
      <c r="H45" s="396"/>
      <c r="I45" s="152"/>
      <c r="J45" s="464"/>
      <c r="K45" s="454"/>
      <c r="L45" s="152"/>
      <c r="M45" s="396"/>
      <c r="N45" s="464"/>
      <c r="O45" s="454"/>
      <c r="FC45" s="565"/>
      <c r="FD45" s="562">
        <v>7</v>
      </c>
      <c r="FE45" s="129"/>
      <c r="FF45" s="129"/>
      <c r="FG45" s="136"/>
      <c r="FH45" s="136"/>
      <c r="FI45" s="136"/>
      <c r="FJ45" s="136"/>
      <c r="FK45" s="136"/>
      <c r="FL45" s="136"/>
      <c r="FM45" s="136"/>
      <c r="FN45" s="231"/>
    </row>
    <row r="46" spans="1:193">
      <c r="B46" s="565"/>
      <c r="D46" s="396"/>
      <c r="E46" s="396"/>
      <c r="F46" s="152"/>
      <c r="G46" s="503"/>
      <c r="H46" s="396"/>
      <c r="I46" s="152"/>
      <c r="J46" s="464"/>
      <c r="K46" s="454"/>
      <c r="L46" s="152"/>
      <c r="M46" s="396"/>
      <c r="N46" s="464"/>
      <c r="O46" s="454"/>
      <c r="FC46" s="565"/>
      <c r="FD46" s="562">
        <v>8</v>
      </c>
      <c r="FE46" s="129"/>
      <c r="FF46" s="136"/>
      <c r="FG46" s="136"/>
      <c r="FH46" s="136"/>
      <c r="FI46" s="136"/>
      <c r="FJ46" s="136"/>
      <c r="FK46" s="136"/>
      <c r="FL46" s="136"/>
      <c r="FM46" s="136"/>
    </row>
    <row r="47" spans="1:193">
      <c r="B47" s="565"/>
      <c r="C47" s="565"/>
      <c r="D47" s="396"/>
      <c r="E47" s="396"/>
      <c r="F47" s="500"/>
      <c r="G47" s="503"/>
      <c r="H47" s="396"/>
      <c r="I47" s="454"/>
      <c r="J47" s="464"/>
      <c r="K47" s="152"/>
      <c r="L47" s="454"/>
      <c r="M47" s="396"/>
      <c r="N47" s="464"/>
      <c r="O47" s="454"/>
      <c r="FC47" s="565"/>
      <c r="FD47" s="562">
        <v>9</v>
      </c>
      <c r="FE47" s="129"/>
      <c r="FF47" s="136"/>
      <c r="FG47" s="136"/>
      <c r="FH47" s="136"/>
      <c r="FI47" s="136"/>
      <c r="FJ47" s="136"/>
      <c r="FK47" s="136"/>
      <c r="FL47" s="136"/>
      <c r="FM47" s="136"/>
      <c r="FN47" s="565">
        <v>48864</v>
      </c>
    </row>
    <row r="48" spans="1:193">
      <c r="B48" s="565"/>
      <c r="D48" s="396"/>
      <c r="E48" s="396"/>
      <c r="F48" s="454"/>
      <c r="G48" s="454"/>
      <c r="H48" s="454"/>
      <c r="I48" s="454"/>
      <c r="J48" s="464"/>
      <c r="K48" s="152"/>
      <c r="L48" s="454"/>
      <c r="M48" s="396"/>
      <c r="N48" s="464"/>
      <c r="O48" s="454"/>
      <c r="FC48" s="565"/>
      <c r="FD48" s="562">
        <v>10</v>
      </c>
      <c r="FE48" s="129"/>
      <c r="FF48" s="136"/>
      <c r="FG48" s="136"/>
      <c r="FH48" s="136"/>
      <c r="FI48" s="136"/>
      <c r="FJ48" s="136"/>
      <c r="FK48" s="136"/>
      <c r="FL48" s="136"/>
      <c r="FM48" s="136"/>
    </row>
    <row r="49" spans="2:169">
      <c r="B49" s="565"/>
      <c r="C49" s="565"/>
      <c r="D49" s="396"/>
      <c r="E49" s="396"/>
      <c r="F49" s="454"/>
      <c r="G49" s="454"/>
      <c r="H49" s="454"/>
      <c r="I49" s="454"/>
      <c r="J49" s="464"/>
      <c r="K49" s="454"/>
      <c r="L49" s="454"/>
      <c r="M49" s="396"/>
      <c r="N49" s="464"/>
      <c r="O49" s="454"/>
      <c r="FC49" s="565"/>
      <c r="FD49" s="562">
        <v>11</v>
      </c>
      <c r="FE49" s="129"/>
      <c r="FF49" s="136"/>
      <c r="FG49" s="136"/>
      <c r="FH49" s="136"/>
      <c r="FI49" s="136"/>
      <c r="FJ49" s="136"/>
      <c r="FK49" s="136"/>
      <c r="FL49" s="136"/>
      <c r="FM49" s="136"/>
    </row>
    <row r="50" spans="2:169">
      <c r="B50" s="565"/>
      <c r="C50" s="565"/>
      <c r="D50" s="396"/>
      <c r="E50" s="396"/>
      <c r="F50" s="454"/>
      <c r="G50" s="454"/>
      <c r="H50" s="454"/>
      <c r="I50" s="454"/>
      <c r="J50" s="464"/>
      <c r="K50" s="454"/>
      <c r="L50" s="454"/>
      <c r="M50" s="396"/>
      <c r="N50" s="464"/>
      <c r="O50" s="454"/>
      <c r="FC50" s="565"/>
      <c r="FD50" s="562">
        <v>12</v>
      </c>
      <c r="FE50" s="129"/>
      <c r="FF50" s="136"/>
      <c r="FG50" s="136"/>
      <c r="FH50" s="136"/>
      <c r="FI50" s="136"/>
      <c r="FJ50" s="136"/>
      <c r="FK50" s="136"/>
      <c r="FL50" s="136"/>
      <c r="FM50" s="136"/>
    </row>
    <row r="51" spans="2:169">
      <c r="B51" s="565"/>
      <c r="C51" s="565"/>
      <c r="D51" s="396"/>
      <c r="E51" s="396"/>
      <c r="F51" s="454"/>
      <c r="G51" s="454"/>
      <c r="H51" s="454"/>
      <c r="I51" s="454"/>
      <c r="J51" s="464"/>
      <c r="K51" s="454"/>
      <c r="L51" s="454"/>
      <c r="M51" s="396"/>
      <c r="N51" s="464"/>
      <c r="O51" s="454"/>
      <c r="FC51" s="565"/>
      <c r="FD51" s="562">
        <v>13</v>
      </c>
      <c r="FE51" s="129"/>
      <c r="FF51" s="144"/>
      <c r="FG51" s="136"/>
      <c r="FH51" s="136"/>
      <c r="FI51" s="136"/>
      <c r="FJ51" s="136"/>
      <c r="FK51" s="136"/>
      <c r="FL51" s="136"/>
      <c r="FM51" s="136"/>
    </row>
    <row r="52" spans="2:169">
      <c r="B52" s="565"/>
      <c r="C52" s="565"/>
      <c r="D52" s="396"/>
      <c r="E52" s="396"/>
      <c r="F52" s="454"/>
      <c r="G52" s="454"/>
      <c r="H52" s="454"/>
      <c r="I52" s="454"/>
      <c r="J52" s="464"/>
      <c r="K52" s="463"/>
      <c r="L52" s="454"/>
      <c r="M52" s="454"/>
      <c r="N52" s="454"/>
      <c r="O52" s="454"/>
      <c r="FC52" s="565"/>
      <c r="FD52" s="562">
        <v>14</v>
      </c>
      <c r="FE52" s="136"/>
      <c r="FF52" s="456"/>
      <c r="FG52" s="455"/>
      <c r="FH52" s="136"/>
      <c r="FI52" s="136"/>
      <c r="FJ52" s="136"/>
      <c r="FK52" s="136"/>
      <c r="FL52" s="136"/>
      <c r="FM52" s="136"/>
    </row>
    <row r="53" spans="2:169">
      <c r="C53" s="565"/>
      <c r="D53" s="454"/>
      <c r="E53" s="454"/>
      <c r="F53" s="454"/>
      <c r="G53" s="454"/>
      <c r="H53" s="454"/>
      <c r="I53" s="454"/>
      <c r="J53" s="464"/>
      <c r="K53" s="454"/>
      <c r="L53" s="454"/>
      <c r="M53" s="454"/>
      <c r="N53" s="454"/>
      <c r="O53" s="454"/>
      <c r="FC53" s="565"/>
      <c r="FD53" s="562">
        <v>15</v>
      </c>
      <c r="FE53" s="144"/>
      <c r="FF53" s="456"/>
      <c r="FG53" s="136"/>
      <c r="FH53" s="136"/>
      <c r="FI53" s="136"/>
      <c r="FJ53" s="455"/>
      <c r="FK53" s="455"/>
      <c r="FL53" s="136"/>
      <c r="FM53" s="455"/>
    </row>
    <row r="54" spans="2:169">
      <c r="B54" s="565"/>
      <c r="C54" s="565"/>
      <c r="D54" s="454"/>
      <c r="E54" s="454"/>
      <c r="F54" s="454"/>
      <c r="G54" s="454"/>
      <c r="H54" s="454"/>
      <c r="I54" s="454"/>
      <c r="J54" s="464"/>
      <c r="K54" s="454"/>
      <c r="L54" s="454"/>
      <c r="M54" s="454"/>
      <c r="N54" s="454"/>
      <c r="O54" s="454"/>
      <c r="FC54" s="565"/>
      <c r="FD54" s="562">
        <v>16</v>
      </c>
      <c r="FE54" s="455"/>
      <c r="FF54" s="456"/>
      <c r="FG54" s="136"/>
      <c r="FH54" s="136"/>
      <c r="FI54" s="136"/>
      <c r="FJ54" s="455"/>
      <c r="FK54" s="455"/>
      <c r="FL54" s="136"/>
      <c r="FM54" s="455"/>
    </row>
    <row r="55" spans="2:169">
      <c r="B55" s="565"/>
      <c r="C55" s="565"/>
      <c r="D55" s="454"/>
      <c r="E55" s="454"/>
      <c r="F55" s="454"/>
      <c r="G55" s="454"/>
      <c r="H55" s="454"/>
      <c r="I55" s="454"/>
      <c r="J55" s="454"/>
      <c r="K55" s="454"/>
      <c r="L55" s="454"/>
      <c r="M55" s="454"/>
      <c r="N55" s="454"/>
      <c r="O55" s="454"/>
      <c r="FC55" s="565"/>
      <c r="FD55" s="562">
        <v>17</v>
      </c>
      <c r="FE55" s="456"/>
      <c r="FF55" s="456"/>
      <c r="FG55" s="136"/>
      <c r="FH55" s="136"/>
      <c r="FI55" s="136"/>
      <c r="FJ55" s="136"/>
      <c r="FK55" s="456"/>
      <c r="FL55" s="136"/>
      <c r="FM55" s="136"/>
    </row>
    <row r="56" spans="2:169">
      <c r="B56" s="565"/>
      <c r="C56" s="565"/>
      <c r="D56" s="454"/>
      <c r="E56" s="454"/>
      <c r="F56" s="454"/>
      <c r="G56" s="454"/>
      <c r="H56" s="454"/>
      <c r="I56" s="454"/>
      <c r="J56" s="454"/>
      <c r="K56" s="454"/>
      <c r="L56" s="454"/>
      <c r="M56" s="454"/>
      <c r="N56" s="454"/>
      <c r="O56" s="454"/>
      <c r="FC56" s="565"/>
      <c r="FD56" s="562">
        <v>18</v>
      </c>
      <c r="FE56" s="513"/>
      <c r="FF56" s="267"/>
      <c r="FG56" s="136"/>
      <c r="FH56" s="267"/>
      <c r="FI56" s="267"/>
      <c r="FJ56" s="303"/>
      <c r="FK56" s="267"/>
      <c r="FL56" s="267"/>
      <c r="FM56" s="267"/>
    </row>
    <row r="57" spans="2:169">
      <c r="B57" s="565"/>
      <c r="C57" s="565"/>
      <c r="D57" s="454"/>
      <c r="E57" s="454"/>
      <c r="F57" s="454"/>
      <c r="G57" s="454"/>
      <c r="H57" s="454"/>
      <c r="I57" s="454"/>
      <c r="J57" s="454"/>
      <c r="K57" s="454"/>
      <c r="L57" s="454"/>
      <c r="M57" s="454"/>
      <c r="N57" s="454"/>
      <c r="O57" s="454"/>
      <c r="FC57" s="565"/>
      <c r="FD57" s="562">
        <v>19</v>
      </c>
      <c r="FE57" s="564"/>
      <c r="FF57" s="564"/>
      <c r="FG57" s="303"/>
      <c r="FH57" s="564"/>
      <c r="FI57" s="564"/>
      <c r="FJ57" s="564"/>
      <c r="FK57" s="564"/>
      <c r="FL57" s="564"/>
      <c r="FM57" s="564"/>
    </row>
    <row r="58" spans="2:169">
      <c r="C58" s="565"/>
      <c r="E58" s="454"/>
      <c r="FC58" s="565"/>
      <c r="FD58" s="562">
        <v>20</v>
      </c>
      <c r="FE58" s="564"/>
      <c r="FF58" s="564"/>
      <c r="FG58" s="303"/>
      <c r="FH58" s="564"/>
      <c r="FI58" s="564"/>
      <c r="FJ58" s="303"/>
      <c r="FK58" s="564"/>
      <c r="FL58" s="564"/>
      <c r="FM58" s="564"/>
    </row>
    <row r="59" spans="2:169">
      <c r="FC59" s="565"/>
      <c r="FD59" s="562">
        <v>21</v>
      </c>
      <c r="FE59" s="564"/>
      <c r="FF59" s="564"/>
      <c r="FG59" s="121"/>
      <c r="FH59" s="564"/>
      <c r="FI59" s="564"/>
      <c r="FJ59" s="564"/>
      <c r="FK59" s="564"/>
      <c r="FL59" s="564"/>
      <c r="FM59" s="564"/>
    </row>
    <row r="60" spans="2:169">
      <c r="FC60" s="565"/>
      <c r="FD60" s="562">
        <v>22</v>
      </c>
      <c r="FE60" s="564"/>
      <c r="FF60" s="564"/>
      <c r="FG60" s="136"/>
      <c r="FH60" s="564"/>
      <c r="FI60" s="564"/>
      <c r="FJ60" s="564"/>
      <c r="FK60" s="564"/>
      <c r="FL60" s="564"/>
      <c r="FM60" s="564"/>
    </row>
    <row r="61" spans="2:169">
      <c r="FC61" s="565"/>
      <c r="FD61" s="562">
        <v>23</v>
      </c>
      <c r="FE61" s="564"/>
      <c r="FF61" s="564"/>
      <c r="FG61" s="136"/>
      <c r="FH61" s="564"/>
      <c r="FI61" s="564"/>
      <c r="FJ61" s="564"/>
      <c r="FK61" s="564"/>
      <c r="FL61" s="564"/>
      <c r="FM61" s="564"/>
    </row>
    <row r="62" spans="2:169">
      <c r="FD62" s="562">
        <v>24</v>
      </c>
      <c r="FG62" s="136"/>
    </row>
    <row r="63" spans="2:169">
      <c r="FD63" s="562">
        <v>25</v>
      </c>
      <c r="FE63" s="136"/>
      <c r="FF63" s="136"/>
      <c r="FG63" s="136"/>
      <c r="FH63" s="136"/>
      <c r="FI63" s="136"/>
      <c r="FJ63" s="136"/>
      <c r="FK63" s="136"/>
      <c r="FL63" s="136"/>
      <c r="FM63" s="136"/>
    </row>
    <row r="64" spans="2:169">
      <c r="FD64" s="562">
        <v>26</v>
      </c>
      <c r="FE64" s="303"/>
      <c r="FF64" s="303"/>
      <c r="FG64" s="105"/>
      <c r="FH64" s="303"/>
      <c r="FI64" s="303"/>
      <c r="FJ64" s="303"/>
      <c r="FK64" s="303"/>
      <c r="FL64" s="303"/>
      <c r="FM64" s="303"/>
    </row>
    <row r="65" spans="160:170">
      <c r="FD65" s="562">
        <v>27</v>
      </c>
      <c r="FE65" s="136"/>
      <c r="FF65" s="136"/>
      <c r="FG65" s="136"/>
      <c r="FH65" s="136"/>
      <c r="FI65" s="136"/>
      <c r="FJ65" s="136"/>
      <c r="FK65" s="136"/>
      <c r="FL65" s="136"/>
      <c r="FM65" s="136"/>
    </row>
    <row r="66" spans="160:170">
      <c r="FD66" s="562">
        <v>28</v>
      </c>
      <c r="FE66" s="136"/>
      <c r="FF66" s="136"/>
      <c r="FG66" s="136"/>
      <c r="FH66" s="136"/>
      <c r="FI66" s="136"/>
      <c r="FJ66" s="136"/>
      <c r="FK66" s="136"/>
      <c r="FL66" s="136"/>
      <c r="FM66" s="136"/>
    </row>
    <row r="67" spans="160:170">
      <c r="FD67" s="562">
        <v>29</v>
      </c>
      <c r="FE67" s="136"/>
      <c r="FF67" s="371"/>
      <c r="FG67" s="371"/>
      <c r="FH67" s="136"/>
      <c r="FI67" s="371"/>
      <c r="FJ67" s="136"/>
      <c r="FK67" s="371"/>
      <c r="FL67" s="371"/>
      <c r="FM67" s="371"/>
    </row>
    <row r="68" spans="160:170">
      <c r="FD68" s="562">
        <v>30</v>
      </c>
      <c r="FE68" s="136"/>
      <c r="FF68" s="371"/>
      <c r="FG68" s="371"/>
      <c r="FH68" s="136"/>
      <c r="FI68" s="371"/>
      <c r="FJ68" s="136"/>
      <c r="FK68" s="371"/>
      <c r="FL68" s="371"/>
      <c r="FM68" s="371"/>
    </row>
    <row r="69" spans="160:170">
      <c r="FD69" s="562">
        <v>31</v>
      </c>
      <c r="FE69" s="267"/>
      <c r="FF69" s="267"/>
      <c r="FG69" s="371"/>
      <c r="FH69" s="267"/>
      <c r="FI69" s="267"/>
      <c r="FJ69" s="267"/>
      <c r="FK69" s="267"/>
      <c r="FL69" s="267"/>
      <c r="FM69" s="267"/>
    </row>
    <row r="70" spans="160:170">
      <c r="FE70" s="564"/>
      <c r="FF70" s="564"/>
      <c r="FG70" s="564"/>
      <c r="FH70" s="564"/>
      <c r="FI70" s="564"/>
      <c r="FJ70" s="564"/>
      <c r="FK70" s="564"/>
      <c r="FL70" s="564"/>
      <c r="FM70" s="564"/>
    </row>
    <row r="72" spans="160:170">
      <c r="FD72" s="152"/>
      <c r="FE72" s="152"/>
      <c r="FF72" s="152"/>
      <c r="FG72" s="152"/>
      <c r="FH72" s="152"/>
      <c r="FI72" s="152"/>
      <c r="FJ72" s="152"/>
      <c r="FK72" s="152"/>
      <c r="FL72" s="152"/>
      <c r="FM72"/>
      <c r="FN72" s="152"/>
    </row>
    <row r="73" spans="160:170">
      <c r="FD73" s="152"/>
      <c r="FE73" s="152"/>
      <c r="FF73" s="152"/>
      <c r="FG73" s="152"/>
      <c r="FH73" s="152"/>
      <c r="FI73" s="152"/>
      <c r="FJ73" s="152"/>
      <c r="FK73" s="152"/>
      <c r="FL73" s="152"/>
      <c r="FM73" s="152"/>
      <c r="FN73" s="152"/>
    </row>
    <row r="74" spans="160:170">
      <c r="FD74" s="402"/>
      <c r="FE74" s="152"/>
      <c r="FF74" s="152"/>
      <c r="FG74" s="152"/>
      <c r="FH74" s="152"/>
      <c r="FI74" s="152"/>
      <c r="FJ74" s="152"/>
      <c r="FK74" s="152"/>
      <c r="FL74" s="152"/>
      <c r="FM74" s="152"/>
      <c r="FN74" s="152"/>
    </row>
    <row r="75" spans="160:170">
      <c r="FD75" s="152"/>
      <c r="FE75" s="152"/>
      <c r="FF75" s="152"/>
      <c r="FG75" s="152"/>
      <c r="FH75" s="152"/>
      <c r="FI75" s="152"/>
      <c r="FJ75" s="152"/>
      <c r="FK75" s="152"/>
      <c r="FL75" s="152"/>
      <c r="FM75" s="152"/>
      <c r="FN75" s="152"/>
    </row>
    <row r="76" spans="160:170">
      <c r="FD76" s="152"/>
      <c r="FE76"/>
      <c r="FF76" s="152"/>
      <c r="FG76" s="152"/>
      <c r="FH76" s="152"/>
      <c r="FI76" s="152"/>
      <c r="FJ76" s="152"/>
      <c r="FK76" s="152"/>
      <c r="FL76" s="152"/>
      <c r="FM76" s="152"/>
      <c r="FN76" s="152"/>
    </row>
    <row r="77" spans="160:170" ht="53.25" customHeight="1">
      <c r="FD77" s="152"/>
      <c r="FE77" s="10"/>
      <c r="FF77" s="152"/>
      <c r="FG77" s="152"/>
      <c r="FH77" s="152"/>
      <c r="FI77" s="152"/>
      <c r="FJ77" s="152"/>
      <c r="FK77" s="152"/>
      <c r="FL77" s="402"/>
      <c r="FM77" s="152"/>
      <c r="FN77" s="152"/>
    </row>
    <row r="78" spans="160:170">
      <c r="FD78" s="152"/>
      <c r="FE78"/>
      <c r="FF78" s="152"/>
      <c r="FG78" s="152"/>
      <c r="FH78" s="152"/>
      <c r="FI78" s="152"/>
      <c r="FJ78" s="152"/>
      <c r="FK78" s="152"/>
      <c r="FL78" s="152"/>
      <c r="FM78" s="152"/>
      <c r="FN78" s="152"/>
    </row>
    <row r="79" spans="160:170">
      <c r="FD79" s="402"/>
      <c r="FF79" s="152"/>
      <c r="FG79" s="152"/>
      <c r="FH79" s="152"/>
      <c r="FI79" s="335">
        <f>FI77/4</f>
        <v>0</v>
      </c>
      <c r="FJ79" s="152"/>
      <c r="FK79" s="152"/>
      <c r="FL79" s="152"/>
      <c r="FM79" s="152"/>
      <c r="FN79" s="152"/>
    </row>
    <row r="80" spans="160:170">
      <c r="FD80" s="152"/>
      <c r="FE80"/>
      <c r="FF80" s="152"/>
      <c r="FG80" s="152"/>
      <c r="FH80" s="152"/>
      <c r="FI80" s="152"/>
      <c r="FJ80" s="152"/>
      <c r="FK80" s="152"/>
      <c r="FL80" s="152"/>
      <c r="FM80" s="152"/>
      <c r="FN80" s="152"/>
    </row>
    <row r="81" spans="160:170">
      <c r="FD81" s="152"/>
      <c r="FE81"/>
      <c r="FF81" s="152"/>
      <c r="FG81" s="152"/>
      <c r="FH81" s="152"/>
      <c r="FI81" s="152"/>
      <c r="FJ81" s="152"/>
      <c r="FK81" s="152"/>
      <c r="FL81" s="152"/>
      <c r="FM81" s="152"/>
      <c r="FN81" s="152"/>
    </row>
    <row r="82" spans="160:170">
      <c r="FD82" s="152"/>
      <c r="FE82"/>
      <c r="FF82" s="152"/>
      <c r="FG82" s="152"/>
      <c r="FH82" s="152"/>
      <c r="FI82" s="152"/>
      <c r="FJ82" s="152"/>
      <c r="FK82" s="152"/>
      <c r="FL82" s="152"/>
      <c r="FM82" s="152"/>
      <c r="FN82" s="152"/>
    </row>
    <row r="83" spans="160:170">
      <c r="FD83" s="152"/>
      <c r="FE83"/>
      <c r="FF83" s="152"/>
      <c r="FG83" s="152"/>
      <c r="FH83" s="152"/>
      <c r="FI83" s="152"/>
      <c r="FJ83" s="152"/>
      <c r="FK83" s="152"/>
      <c r="FL83" s="152"/>
      <c r="FM83" s="152"/>
      <c r="FN83" s="402"/>
    </row>
    <row r="84" spans="160:170">
      <c r="FD84" s="152"/>
      <c r="FF84" s="152"/>
      <c r="FG84" s="152"/>
      <c r="FH84" s="152"/>
      <c r="FI84" s="152"/>
      <c r="FJ84" s="152"/>
      <c r="FK84" s="152"/>
      <c r="FL84" s="152"/>
      <c r="FM84" s="152"/>
      <c r="FN84" s="152"/>
    </row>
    <row r="85" spans="160:170">
      <c r="FE85"/>
    </row>
    <row r="87" spans="160:170">
      <c r="FE87"/>
    </row>
    <row r="89" spans="160:170">
      <c r="FE89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 count="8">
    <mergeCell ref="FE37:FM37"/>
    <mergeCell ref="FC3:FC4"/>
    <mergeCell ref="B4:B5"/>
    <mergeCell ref="CF4:CH4"/>
    <mergeCell ref="CJ4:CL4"/>
    <mergeCell ref="CN4:CP4"/>
    <mergeCell ref="CR4:CT4"/>
    <mergeCell ref="CU4:CW4"/>
  </mergeCells>
  <conditionalFormatting sqref="DR39 DQ38:DQ39">
    <cfRule type="cellIs" dxfId="223" priority="111" stopIfTrue="1" operator="lessThanOrEqual">
      <formula>0.145</formula>
    </cfRule>
    <cfRule type="cellIs" dxfId="222" priority="112" stopIfTrue="1" operator="greaterThan">
      <formula>0.15</formula>
    </cfRule>
  </conditionalFormatting>
  <conditionalFormatting sqref="D6:F7 E10:F21 N15:N36 G15:M21 N6:N9 H9:L9 G9:G14 D10:D15 G6:M8 H10:N14 D23:J36 L23:M36 K24:K36">
    <cfRule type="expression" dxfId="221" priority="110" stopIfTrue="1">
      <formula>OR($B6=TODAY(),$B6=TODAY()-1)</formula>
    </cfRule>
  </conditionalFormatting>
  <conditionalFormatting sqref="G15:G21 G10:G13 G6 I7:M8 H17">
    <cfRule type="expression" dxfId="220" priority="109" stopIfTrue="1">
      <formula>OR($B6=TODAY(),$B6=TODAY()-1)</formula>
    </cfRule>
  </conditionalFormatting>
  <conditionalFormatting sqref="D6:F7">
    <cfRule type="expression" dxfId="219" priority="108" stopIfTrue="1">
      <formula>OR($B6=TODAY(),$B6=TODAY()-1)</formula>
    </cfRule>
  </conditionalFormatting>
  <conditionalFormatting sqref="I7:M8">
    <cfRule type="expression" dxfId="218" priority="107" stopIfTrue="1">
      <formula>OR($B7=TODAY(),$B7=TODAY()-1)</formula>
    </cfRule>
  </conditionalFormatting>
  <conditionalFormatting sqref="I7:M8">
    <cfRule type="expression" dxfId="217" priority="106" stopIfTrue="1">
      <formula>OR($B7=TODAY(),$B7=TODAY()-1)</formula>
    </cfRule>
  </conditionalFormatting>
  <conditionalFormatting sqref="D6:F6">
    <cfRule type="expression" dxfId="216" priority="105" stopIfTrue="1">
      <formula>OR($B6=TODAY(),$B6=TODAY()-1)</formula>
    </cfRule>
  </conditionalFormatting>
  <conditionalFormatting sqref="D6:F7 G6:L21">
    <cfRule type="expression" dxfId="215" priority="104" stopIfTrue="1">
      <formula>OR($B6=TODAY(),$B6=TODAY()-1)</formula>
    </cfRule>
  </conditionalFormatting>
  <conditionalFormatting sqref="G15:G21 G10:G13 G6 I7:M8 H17">
    <cfRule type="expression" dxfId="214" priority="103" stopIfTrue="1">
      <formula>OR($B6=TODAY(),$B6=TODAY()-1)</formula>
    </cfRule>
  </conditionalFormatting>
  <conditionalFormatting sqref="D6:F7 G6:L21">
    <cfRule type="expression" dxfId="213" priority="102" stopIfTrue="1">
      <formula>OR($B6=TODAY(),$B6=TODAY()-1)</formula>
    </cfRule>
  </conditionalFormatting>
  <conditionalFormatting sqref="G15:G21 G10:G13 G6 I7:M8 H17">
    <cfRule type="expression" dxfId="212" priority="101" stopIfTrue="1">
      <formula>OR($B6=TODAY(),$B6=TODAY()-1)</formula>
    </cfRule>
  </conditionalFormatting>
  <conditionalFormatting sqref="D6:F7 G6:L21">
    <cfRule type="expression" dxfId="211" priority="100" stopIfTrue="1">
      <formula>OR($B6=TODAY(),$B6=TODAY()-1)</formula>
    </cfRule>
  </conditionalFormatting>
  <conditionalFormatting sqref="G15:G21 G10:G13 G6 I7:M8 H17">
    <cfRule type="expression" dxfId="210" priority="99" stopIfTrue="1">
      <formula>OR($B6=TODAY(),$B6=TODAY()-1)</formula>
    </cfRule>
  </conditionalFormatting>
  <conditionalFormatting sqref="D6:F7 G6:L21">
    <cfRule type="expression" dxfId="209" priority="98" stopIfTrue="1">
      <formula>OR($B6=TODAY(),$B6=TODAY()-1)</formula>
    </cfRule>
  </conditionalFormatting>
  <conditionalFormatting sqref="G15:G21 G10:G13 G6 I7:M8 H17">
    <cfRule type="expression" dxfId="208" priority="97" stopIfTrue="1">
      <formula>OR($B6=TODAY(),$B6=TODAY()-1)</formula>
    </cfRule>
  </conditionalFormatting>
  <conditionalFormatting sqref="D6:F7 G6:L21">
    <cfRule type="expression" dxfId="207" priority="96" stopIfTrue="1">
      <formula>OR($B6=TODAY(),$B6=TODAY()-1)</formula>
    </cfRule>
  </conditionalFormatting>
  <conditionalFormatting sqref="G15:G21 G10:G13 G6 I7:M8 H17">
    <cfRule type="expression" dxfId="206" priority="95" stopIfTrue="1">
      <formula>OR($B6=TODAY(),$B6=TODAY()-1)</formula>
    </cfRule>
  </conditionalFormatting>
  <conditionalFormatting sqref="D6:F7 G6:L21">
    <cfRule type="expression" dxfId="205" priority="94" stopIfTrue="1">
      <formula>OR($B6=TODAY(),$B6=TODAY()-1)</formula>
    </cfRule>
  </conditionalFormatting>
  <conditionalFormatting sqref="G15:G21 G10:G13 G6 I7:M8 H17">
    <cfRule type="expression" dxfId="204" priority="93" stopIfTrue="1">
      <formula>OR($B6=TODAY(),$B6=TODAY()-1)</formula>
    </cfRule>
  </conditionalFormatting>
  <conditionalFormatting sqref="D6:F7 G6:L21">
    <cfRule type="expression" dxfId="203" priority="92" stopIfTrue="1">
      <formula>OR($B6=TODAY(),$B6=TODAY()-1)</formula>
    </cfRule>
  </conditionalFormatting>
  <conditionalFormatting sqref="D6:F7 G6:L21">
    <cfRule type="expression" dxfId="202" priority="91" stopIfTrue="1">
      <formula>OR($B6=TODAY(),$B6=TODAY()-1)</formula>
    </cfRule>
  </conditionalFormatting>
  <conditionalFormatting sqref="G15:G21 G10:G13 G6 I7:M8 H17">
    <cfRule type="expression" dxfId="201" priority="90" stopIfTrue="1">
      <formula>OR($B6=TODAY(),$B6=TODAY()-1)</formula>
    </cfRule>
  </conditionalFormatting>
  <conditionalFormatting sqref="D6:F7 G6:L21">
    <cfRule type="expression" dxfId="200" priority="89" stopIfTrue="1">
      <formula>OR($B6=TODAY(),$B6=TODAY()-1)</formula>
    </cfRule>
  </conditionalFormatting>
  <conditionalFormatting sqref="G15:G21 G10:G13 G6 I7:M8 H17">
    <cfRule type="expression" dxfId="199" priority="88" stopIfTrue="1">
      <formula>OR($B6=TODAY(),$B6=TODAY()-1)</formula>
    </cfRule>
  </conditionalFormatting>
  <conditionalFormatting sqref="D6:F7">
    <cfRule type="expression" dxfId="198" priority="87" stopIfTrue="1">
      <formula>OR($B6=TODAY(),$B6=TODAY()-1)</formula>
    </cfRule>
  </conditionalFormatting>
  <conditionalFormatting sqref="G15:G21 G10:G13 G6 I7:M8 H17">
    <cfRule type="expression" dxfId="197" priority="86" stopIfTrue="1">
      <formula>OR($B6=TODAY(),$B6=TODAY()-1)</formula>
    </cfRule>
  </conditionalFormatting>
  <conditionalFormatting sqref="D29 D30:F31">
    <cfRule type="expression" dxfId="196" priority="85" stopIfTrue="1">
      <formula>OR($B29=TODAY(),$B29=TODAY()-1)</formula>
    </cfRule>
  </conditionalFormatting>
  <conditionalFormatting sqref="D29 D30:F31">
    <cfRule type="expression" dxfId="195" priority="84" stopIfTrue="1">
      <formula>OR($B29=TODAY(),$B29=TODAY()-1)</formula>
    </cfRule>
  </conditionalFormatting>
  <conditionalFormatting sqref="D29 D30:F31">
    <cfRule type="expression" dxfId="194" priority="83" stopIfTrue="1">
      <formula>OR($B29=TODAY(),$B29=TODAY()-1)</formula>
    </cfRule>
  </conditionalFormatting>
  <conditionalFormatting sqref="D29 D30:F31">
    <cfRule type="expression" dxfId="193" priority="82" stopIfTrue="1">
      <formula>OR($B29=TODAY(),$B29=TODAY()-1)</formula>
    </cfRule>
  </conditionalFormatting>
  <conditionalFormatting sqref="D29 D30:F31">
    <cfRule type="expression" dxfId="192" priority="81" stopIfTrue="1">
      <formula>OR($B29=TODAY(),$B29=TODAY()-1)</formula>
    </cfRule>
  </conditionalFormatting>
  <conditionalFormatting sqref="D29 D30:F31">
    <cfRule type="expression" dxfId="191" priority="80" stopIfTrue="1">
      <formula>OR($B29=TODAY(),$B29=TODAY()-1)</formula>
    </cfRule>
  </conditionalFormatting>
  <conditionalFormatting sqref="D29 D30:F31">
    <cfRule type="expression" dxfId="190" priority="79" stopIfTrue="1">
      <formula>OR($B29=TODAY(),$B29=TODAY()-1)</formula>
    </cfRule>
  </conditionalFormatting>
  <conditionalFormatting sqref="D29 D30:F31">
    <cfRule type="expression" dxfId="189" priority="78" stopIfTrue="1">
      <formula>OR($B29=TODAY(),$B29=TODAY()-1)</formula>
    </cfRule>
  </conditionalFormatting>
  <conditionalFormatting sqref="D29 D30:F31">
    <cfRule type="expression" dxfId="188" priority="77" stopIfTrue="1">
      <formula>OR($B29=TODAY(),$B29=TODAY()-1)</formula>
    </cfRule>
  </conditionalFormatting>
  <conditionalFormatting sqref="D29 D30:F31">
    <cfRule type="expression" dxfId="187" priority="76" stopIfTrue="1">
      <formula>OR($B29=TODAY(),$B29=TODAY()-1)</formula>
    </cfRule>
  </conditionalFormatting>
  <conditionalFormatting sqref="D29 D30:F31">
    <cfRule type="expression" dxfId="186" priority="75" stopIfTrue="1">
      <formula>OR($B29=TODAY(),$B29=TODAY()-1)</formula>
    </cfRule>
  </conditionalFormatting>
  <conditionalFormatting sqref="DP6:DQ37">
    <cfRule type="cellIs" dxfId="185" priority="73" stopIfTrue="1" operator="lessThanOrEqual">
      <formula>$D$2</formula>
    </cfRule>
    <cfRule type="cellIs" dxfId="184" priority="74" stopIfTrue="1" operator="greaterThan">
      <formula>$D$2</formula>
    </cfRule>
  </conditionalFormatting>
  <conditionalFormatting sqref="BZ6:BZ37 DH6:DH37 DJ6:DJ37 CS6:CS37">
    <cfRule type="cellIs" dxfId="183" priority="71" stopIfTrue="1" operator="lessThanOrEqual">
      <formula>#REF!</formula>
    </cfRule>
    <cfRule type="cellIs" dxfId="182" priority="72" stopIfTrue="1" operator="greaterThan">
      <formula>#REF!</formula>
    </cfRule>
  </conditionalFormatting>
  <conditionalFormatting sqref="DL6:DL37">
    <cfRule type="cellIs" dxfId="181" priority="69" stopIfTrue="1" operator="greaterThan">
      <formula>$D$3</formula>
    </cfRule>
    <cfRule type="cellIs" dxfId="180" priority="70" stopIfTrue="1" operator="lessThanOrEqual">
      <formula>$D$3</formula>
    </cfRule>
  </conditionalFormatting>
  <conditionalFormatting sqref="E20:F20">
    <cfRule type="expression" dxfId="179" priority="68" stopIfTrue="1">
      <formula>OR($B20=TODAY(),$B20=TODAY()-1)</formula>
    </cfRule>
  </conditionalFormatting>
  <conditionalFormatting sqref="E20:F20">
    <cfRule type="expression" dxfId="178" priority="67" stopIfTrue="1">
      <formula>OR($B20=TODAY(),$B20=TODAY()-1)</formula>
    </cfRule>
  </conditionalFormatting>
  <conditionalFormatting sqref="E20:F20">
    <cfRule type="expression" dxfId="177" priority="66" stopIfTrue="1">
      <formula>OR($B20=TODAY(),$B20=TODAY()-1)</formula>
    </cfRule>
  </conditionalFormatting>
  <conditionalFormatting sqref="E20:F20">
    <cfRule type="expression" dxfId="176" priority="65" stopIfTrue="1">
      <formula>OR($B20=TODAY(),$B20=TODAY()-1)</formula>
    </cfRule>
  </conditionalFormatting>
  <conditionalFormatting sqref="E20:F20">
    <cfRule type="expression" dxfId="175" priority="64" stopIfTrue="1">
      <formula>OR($B20=TODAY(),$B20=TODAY()-1)</formula>
    </cfRule>
  </conditionalFormatting>
  <conditionalFormatting sqref="E20:F20">
    <cfRule type="expression" dxfId="174" priority="63" stopIfTrue="1">
      <formula>OR($B20=TODAY(),$B20=TODAY()-1)</formula>
    </cfRule>
  </conditionalFormatting>
  <conditionalFormatting sqref="E20:F20">
    <cfRule type="expression" dxfId="173" priority="62" stopIfTrue="1">
      <formula>OR($B20=TODAY(),$B20=TODAY()-1)</formula>
    </cfRule>
  </conditionalFormatting>
  <conditionalFormatting sqref="E20:F20">
    <cfRule type="expression" dxfId="172" priority="61" stopIfTrue="1">
      <formula>OR($B20=TODAY(),$B20=TODAY()-1)</formula>
    </cfRule>
  </conditionalFormatting>
  <conditionalFormatting sqref="E20:F20">
    <cfRule type="expression" dxfId="171" priority="60" stopIfTrue="1">
      <formula>OR($B20=TODAY(),$B20=TODAY()-1)</formula>
    </cfRule>
  </conditionalFormatting>
  <conditionalFormatting sqref="E20:F20">
    <cfRule type="expression" dxfId="170" priority="59" stopIfTrue="1">
      <formula>OR($B20=TODAY(),$B20=TODAY()-1)</formula>
    </cfRule>
  </conditionalFormatting>
  <conditionalFormatting sqref="D34:F34">
    <cfRule type="expression" dxfId="169" priority="58" stopIfTrue="1">
      <formula>OR($B34=TODAY(),$B34=TODAY()-1)</formula>
    </cfRule>
  </conditionalFormatting>
  <conditionalFormatting sqref="D34:F34">
    <cfRule type="expression" dxfId="168" priority="57" stopIfTrue="1">
      <formula>OR($B34=TODAY(),$B34=TODAY()-1)</formula>
    </cfRule>
  </conditionalFormatting>
  <conditionalFormatting sqref="CH37">
    <cfRule type="cellIs" dxfId="167" priority="55" stopIfTrue="1" operator="lessThanOrEqual">
      <formula>#REF!</formula>
    </cfRule>
    <cfRule type="cellIs" dxfId="166" priority="56" stopIfTrue="1" operator="greaterThan">
      <formula>#REF!</formula>
    </cfRule>
  </conditionalFormatting>
  <conditionalFormatting sqref="CP6:CP37 CV6:CV37 CL6:CL37">
    <cfRule type="cellIs" dxfId="165" priority="53" operator="greaterThan">
      <formula>#REF!</formula>
    </cfRule>
    <cfRule type="cellIs" dxfId="164" priority="54" operator="lessThanOrEqual">
      <formula>#REF!</formula>
    </cfRule>
  </conditionalFormatting>
  <conditionalFormatting sqref="G14">
    <cfRule type="expression" dxfId="163" priority="52" stopIfTrue="1">
      <formula>OR($B15=TODAY(),$B15=TODAY()-1)</formula>
    </cfRule>
  </conditionalFormatting>
  <conditionalFormatting sqref="I16:M18">
    <cfRule type="expression" dxfId="162" priority="51" stopIfTrue="1">
      <formula>OR($B16=TODAY(),$B16=TODAY()-1)</formula>
    </cfRule>
  </conditionalFormatting>
  <conditionalFormatting sqref="I16:M18">
    <cfRule type="expression" dxfId="161" priority="50" stopIfTrue="1">
      <formula>OR($B16=TODAY(),$B16=TODAY()-1)</formula>
    </cfRule>
  </conditionalFormatting>
  <conditionalFormatting sqref="I16:M18">
    <cfRule type="expression" dxfId="160" priority="49" stopIfTrue="1">
      <formula>OR($B16=TODAY(),$B16=TODAY()-1)</formula>
    </cfRule>
  </conditionalFormatting>
  <conditionalFormatting sqref="I16:M18">
    <cfRule type="expression" dxfId="159" priority="48" stopIfTrue="1">
      <formula>OR($B16=TODAY(),$B16=TODAY()-1)</formula>
    </cfRule>
  </conditionalFormatting>
  <conditionalFormatting sqref="D16">
    <cfRule type="expression" dxfId="158" priority="47" stopIfTrue="1">
      <formula>OR($B16=TODAY(),$B16=TODAY()-1)</formula>
    </cfRule>
  </conditionalFormatting>
  <conditionalFormatting sqref="G6:L21">
    <cfRule type="expression" dxfId="157" priority="46" stopIfTrue="1">
      <formula>OR($B6=TODAY(),$B6=TODAY()-1)</formula>
    </cfRule>
  </conditionalFormatting>
  <conditionalFormatting sqref="G6:L21">
    <cfRule type="expression" dxfId="156" priority="45" stopIfTrue="1">
      <formula>OR($B6=TODAY(),$B6=TODAY()-1)</formula>
    </cfRule>
  </conditionalFormatting>
  <conditionalFormatting sqref="G6:L21">
    <cfRule type="expression" dxfId="155" priority="44" stopIfTrue="1">
      <formula>OR($B6=TODAY(),$B6=TODAY()-1)</formula>
    </cfRule>
  </conditionalFormatting>
  <conditionalFormatting sqref="G15">
    <cfRule type="expression" dxfId="154" priority="43" stopIfTrue="1">
      <formula>OR($B16=TODAY(),$B16=TODAY()-1)</formula>
    </cfRule>
  </conditionalFormatting>
  <conditionalFormatting sqref="D6:J6">
    <cfRule type="expression" dxfId="153" priority="42" stopIfTrue="1">
      <formula>OR($B6=TODAY(),$B6=TODAY()-1)</formula>
    </cfRule>
  </conditionalFormatting>
  <conditionalFormatting sqref="G6">
    <cfRule type="expression" dxfId="152" priority="41" stopIfTrue="1">
      <formula>OR($B6=TODAY(),$B6=TODAY()-1)</formula>
    </cfRule>
  </conditionalFormatting>
  <conditionalFormatting sqref="D6:F6">
    <cfRule type="expression" dxfId="151" priority="40" stopIfTrue="1">
      <formula>OR($B6=TODAY(),$B6=TODAY()-1)</formula>
    </cfRule>
  </conditionalFormatting>
  <conditionalFormatting sqref="D6:F6">
    <cfRule type="expression" dxfId="150" priority="39" stopIfTrue="1">
      <formula>OR($B6=TODAY(),$B6=TODAY()-1)</formula>
    </cfRule>
  </conditionalFormatting>
  <conditionalFormatting sqref="D6:J6">
    <cfRule type="expression" dxfId="149" priority="38" stopIfTrue="1">
      <formula>OR($B6=TODAY(),$B6=TODAY()-1)</formula>
    </cfRule>
  </conditionalFormatting>
  <conditionalFormatting sqref="G6">
    <cfRule type="expression" dxfId="148" priority="37" stopIfTrue="1">
      <formula>OR($B6=TODAY(),$B6=TODAY()-1)</formula>
    </cfRule>
  </conditionalFormatting>
  <conditionalFormatting sqref="D6:J6">
    <cfRule type="expression" dxfId="147" priority="36" stopIfTrue="1">
      <formula>OR($B6=TODAY(),$B6=TODAY()-1)</formula>
    </cfRule>
  </conditionalFormatting>
  <conditionalFormatting sqref="G6">
    <cfRule type="expression" dxfId="146" priority="35" stopIfTrue="1">
      <formula>OR($B6=TODAY(),$B6=TODAY()-1)</formula>
    </cfRule>
  </conditionalFormatting>
  <conditionalFormatting sqref="D6:J6">
    <cfRule type="expression" dxfId="145" priority="34" stopIfTrue="1">
      <formula>OR($B6=TODAY(),$B6=TODAY()-1)</formula>
    </cfRule>
  </conditionalFormatting>
  <conditionalFormatting sqref="G6">
    <cfRule type="expression" dxfId="144" priority="33" stopIfTrue="1">
      <formula>OR($B6=TODAY(),$B6=TODAY()-1)</formula>
    </cfRule>
  </conditionalFormatting>
  <conditionalFormatting sqref="D6:J6">
    <cfRule type="expression" dxfId="143" priority="32" stopIfTrue="1">
      <formula>OR($B6=TODAY(),$B6=TODAY()-1)</formula>
    </cfRule>
  </conditionalFormatting>
  <conditionalFormatting sqref="G6">
    <cfRule type="expression" dxfId="142" priority="31" stopIfTrue="1">
      <formula>OR($B6=TODAY(),$B6=TODAY()-1)</formula>
    </cfRule>
  </conditionalFormatting>
  <conditionalFormatting sqref="D6:J6">
    <cfRule type="expression" dxfId="141" priority="30" stopIfTrue="1">
      <formula>OR($B6=TODAY(),$B6=TODAY()-1)</formula>
    </cfRule>
  </conditionalFormatting>
  <conditionalFormatting sqref="G6">
    <cfRule type="expression" dxfId="140" priority="29" stopIfTrue="1">
      <formula>OR($B6=TODAY(),$B6=TODAY()-1)</formula>
    </cfRule>
  </conditionalFormatting>
  <conditionalFormatting sqref="D6:J6">
    <cfRule type="expression" dxfId="139" priority="28" stopIfTrue="1">
      <formula>OR($B6=TODAY(),$B6=TODAY()-1)</formula>
    </cfRule>
  </conditionalFormatting>
  <conditionalFormatting sqref="G6">
    <cfRule type="expression" dxfId="138" priority="27" stopIfTrue="1">
      <formula>OR($B6=TODAY(),$B6=TODAY()-1)</formula>
    </cfRule>
  </conditionalFormatting>
  <conditionalFormatting sqref="D6:J6">
    <cfRule type="expression" dxfId="137" priority="26" stopIfTrue="1">
      <formula>OR($B6=TODAY(),$B6=TODAY()-1)</formula>
    </cfRule>
  </conditionalFormatting>
  <conditionalFormatting sqref="D6:J6">
    <cfRule type="expression" dxfId="136" priority="25" stopIfTrue="1">
      <formula>OR($B6=TODAY(),$B6=TODAY()-1)</formula>
    </cfRule>
  </conditionalFormatting>
  <conditionalFormatting sqref="G6">
    <cfRule type="expression" dxfId="135" priority="24" stopIfTrue="1">
      <formula>OR($B6=TODAY(),$B6=TODAY()-1)</formula>
    </cfRule>
  </conditionalFormatting>
  <conditionalFormatting sqref="D6:J6">
    <cfRule type="expression" dxfId="134" priority="23" stopIfTrue="1">
      <formula>OR($B6=TODAY(),$B6=TODAY()-1)</formula>
    </cfRule>
  </conditionalFormatting>
  <conditionalFormatting sqref="G6">
    <cfRule type="expression" dxfId="133" priority="22" stopIfTrue="1">
      <formula>OR($B6=TODAY(),$B6=TODAY()-1)</formula>
    </cfRule>
  </conditionalFormatting>
  <conditionalFormatting sqref="D6:F6">
    <cfRule type="expression" dxfId="132" priority="21" stopIfTrue="1">
      <formula>OR($B6=TODAY(),$B6=TODAY()-1)</formula>
    </cfRule>
  </conditionalFormatting>
  <conditionalFormatting sqref="G6">
    <cfRule type="expression" dxfId="131" priority="20" stopIfTrue="1">
      <formula>OR($B6=TODAY(),$B6=TODAY()-1)</formula>
    </cfRule>
  </conditionalFormatting>
  <conditionalFormatting sqref="G6:J6">
    <cfRule type="expression" dxfId="130" priority="19" stopIfTrue="1">
      <formula>OR($B6=TODAY(),$B6=TODAY()-1)</formula>
    </cfRule>
  </conditionalFormatting>
  <conditionalFormatting sqref="G6:J6">
    <cfRule type="expression" dxfId="129" priority="18" stopIfTrue="1">
      <formula>OR($B6=TODAY(),$B6=TODAY()-1)</formula>
    </cfRule>
  </conditionalFormatting>
  <conditionalFormatting sqref="G6:J6">
    <cfRule type="expression" dxfId="128" priority="17" stopIfTrue="1">
      <formula>OR($B6=TODAY(),$B6=TODAY()-1)</formula>
    </cfRule>
  </conditionalFormatting>
  <conditionalFormatting sqref="K13">
    <cfRule type="expression" dxfId="127" priority="16" stopIfTrue="1">
      <formula>OR($B13=TODAY(),$B13=TODAY()-1)</formula>
    </cfRule>
  </conditionalFormatting>
  <conditionalFormatting sqref="K13">
    <cfRule type="expression" dxfId="126" priority="15" stopIfTrue="1">
      <formula>OR($B13=TODAY(),$B13=TODAY()-1)</formula>
    </cfRule>
  </conditionalFormatting>
  <conditionalFormatting sqref="K13">
    <cfRule type="expression" dxfId="125" priority="14" stopIfTrue="1">
      <formula>OR($B13=TODAY(),$B13=TODAY()-1)</formula>
    </cfRule>
  </conditionalFormatting>
  <conditionalFormatting sqref="K13">
    <cfRule type="expression" dxfId="124" priority="13" stopIfTrue="1">
      <formula>OR($B13=TODAY(),$B13=TODAY()-1)</formula>
    </cfRule>
  </conditionalFormatting>
  <conditionalFormatting sqref="K13">
    <cfRule type="expression" dxfId="123" priority="12" stopIfTrue="1">
      <formula>OR($B13=TODAY(),$B13=TODAY()-1)</formula>
    </cfRule>
  </conditionalFormatting>
  <conditionalFormatting sqref="K13">
    <cfRule type="expression" dxfId="122" priority="11" stopIfTrue="1">
      <formula>OR($B13=TODAY(),$B13=TODAY()-1)</formula>
    </cfRule>
  </conditionalFormatting>
  <conditionalFormatting sqref="K13">
    <cfRule type="expression" dxfId="121" priority="10" stopIfTrue="1">
      <formula>OR($B13=TODAY(),$B13=TODAY()-1)</formula>
    </cfRule>
  </conditionalFormatting>
  <conditionalFormatting sqref="K13">
    <cfRule type="expression" dxfId="120" priority="9" stopIfTrue="1">
      <formula>OR($B13=TODAY(),$B13=TODAY()-1)</formula>
    </cfRule>
  </conditionalFormatting>
  <conditionalFormatting sqref="K13">
    <cfRule type="expression" dxfId="119" priority="8" stopIfTrue="1">
      <formula>OR($B13=TODAY(),$B13=TODAY()-1)</formula>
    </cfRule>
  </conditionalFormatting>
  <conditionalFormatting sqref="K13">
    <cfRule type="expression" dxfId="118" priority="7" stopIfTrue="1">
      <formula>OR($B13=TODAY(),$B13=TODAY()-1)</formula>
    </cfRule>
  </conditionalFormatting>
  <conditionalFormatting sqref="K13">
    <cfRule type="expression" dxfId="117" priority="6" stopIfTrue="1">
      <formula>OR($B13=TODAY(),$B13=TODAY()-1)</formula>
    </cfRule>
  </conditionalFormatting>
  <conditionalFormatting sqref="K13">
    <cfRule type="expression" dxfId="116" priority="5" stopIfTrue="1">
      <formula>OR($B13=TODAY(),$B13=TODAY()-1)</formula>
    </cfRule>
  </conditionalFormatting>
  <conditionalFormatting sqref="K13">
    <cfRule type="expression" dxfId="115" priority="4" stopIfTrue="1">
      <formula>OR($B13=TODAY(),$B13=TODAY()-1)</formula>
    </cfRule>
  </conditionalFormatting>
  <conditionalFormatting sqref="K13">
    <cfRule type="expression" dxfId="114" priority="3" stopIfTrue="1">
      <formula>OR($B13=TODAY(),$B13=TODAY()-1)</formula>
    </cfRule>
  </conditionalFormatting>
  <conditionalFormatting sqref="K13">
    <cfRule type="expression" dxfId="113" priority="2" stopIfTrue="1">
      <formula>OR($B13=TODAY(),$B13=TODAY()-1)</formula>
    </cfRule>
  </conditionalFormatting>
  <conditionalFormatting sqref="K13">
    <cfRule type="expression" dxfId="112" priority="1" stopIfTrue="1">
      <formula>OR($B13=TODAY(),$B13=TODAY()-1)</formula>
    </cfRule>
  </conditionalFormatting>
  <hyperlinks>
    <hyperlink ref="BA5" r:id="rId1" xr:uid="{00000000-0004-0000-1E00-000000000000}"/>
  </hyperlinks>
  <pageMargins left="0.7" right="0.7" top="0.75" bottom="0.75" header="0.3" footer="0.3"/>
  <pageSetup orientation="portrait"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GL89"/>
  <sheetViews>
    <sheetView showGridLines="0" zoomScale="90" zoomScaleNormal="90" workbookViewId="0">
      <pane xSplit="3" ySplit="5" topLeftCell="D27" activePane="bottomRight" state="frozen"/>
      <selection pane="topRight" activeCell="D1" sqref="D1"/>
      <selection pane="bottomLeft" activeCell="A6" sqref="A6"/>
      <selection pane="bottomRight" activeCell="I32" sqref="I32"/>
    </sheetView>
  </sheetViews>
  <sheetFormatPr defaultRowHeight="15" outlineLevelCol="2"/>
  <cols>
    <col min="1" max="1" width="0.7109375" style="64" customWidth="1"/>
    <col min="2" max="2" width="6.5703125" style="64" customWidth="1"/>
    <col min="3" max="3" width="6.85546875" style="64" bestFit="1" customWidth="1"/>
    <col min="4" max="4" width="13.85546875" style="64" customWidth="1" outlineLevel="1"/>
    <col min="5" max="5" width="12" style="64" customWidth="1" outlineLevel="1"/>
    <col min="6" max="6" width="10.85546875" style="64" customWidth="1" outlineLevel="1"/>
    <col min="7" max="7" width="9.85546875" style="64" customWidth="1" outlineLevel="1"/>
    <col min="8" max="8" width="10.85546875" style="64" bestFit="1" customWidth="1" outlineLevel="1"/>
    <col min="9" max="9" width="10.7109375" style="64" customWidth="1" outlineLevel="1"/>
    <col min="10" max="11" width="9.28515625" style="64" customWidth="1" outlineLevel="1"/>
    <col min="12" max="12" width="10.5703125" style="64" customWidth="1" outlineLevel="1"/>
    <col min="13" max="13" width="10.85546875" style="64" customWidth="1" outlineLevel="1"/>
    <col min="14" max="14" width="14.28515625" style="64" customWidth="1" outlineLevel="1"/>
    <col min="15" max="15" width="11" style="64" customWidth="1"/>
    <col min="16" max="16" width="11.85546875" style="64" customWidth="1" outlineLevel="1"/>
    <col min="17" max="17" width="1.42578125" style="64" customWidth="1"/>
    <col min="18" max="18" width="12.28515625" style="64" customWidth="1" outlineLevel="2"/>
    <col min="19" max="19" width="12.85546875" style="64" customWidth="1" outlineLevel="2"/>
    <col min="20" max="20" width="12.5703125" style="64" customWidth="1" outlineLevel="2"/>
    <col min="21" max="21" width="14.140625" style="64" customWidth="1" outlineLevel="2"/>
    <col min="22" max="22" width="9.42578125" style="64" customWidth="1" outlineLevel="2"/>
    <col min="23" max="23" width="10.7109375" style="64" customWidth="1" outlineLevel="2"/>
    <col min="24" max="24" width="11.5703125" style="64" customWidth="1" outlineLevel="2"/>
    <col min="25" max="26" width="10.7109375" style="64" customWidth="1" outlineLevel="2"/>
    <col min="27" max="27" width="11" style="64" customWidth="1" outlineLevel="1"/>
    <col min="28" max="29" width="12" style="64" customWidth="1" outlineLevel="2"/>
    <col min="30" max="31" width="10.85546875" style="64" customWidth="1" outlineLevel="1"/>
    <col min="32" max="32" width="12" style="64" customWidth="1" outlineLevel="2"/>
    <col min="33" max="33" width="8.140625" style="64" customWidth="1" outlineLevel="2"/>
    <col min="34" max="34" width="9.5703125" style="64" customWidth="1" outlineLevel="1"/>
    <col min="35" max="35" width="10.85546875" style="64" customWidth="1" outlineLevel="1"/>
    <col min="36" max="36" width="12" style="64" customWidth="1" outlineLevel="2"/>
    <col min="37" max="37" width="8.140625" style="64" customWidth="1" outlineLevel="2"/>
    <col min="38" max="38" width="9.5703125" style="64" customWidth="1" outlineLevel="1"/>
    <col min="39" max="39" width="10.85546875" style="64" customWidth="1" outlineLevel="1"/>
    <col min="40" max="40" width="9.5703125" style="64" customWidth="1" outlineLevel="2"/>
    <col min="41" max="41" width="9.5703125" style="64" customWidth="1" outlineLevel="1"/>
    <col min="42" max="42" width="9.5703125" style="64" customWidth="1" outlineLevel="2"/>
    <col min="43" max="43" width="9.5703125" style="64" customWidth="1" outlineLevel="1"/>
    <col min="44" max="44" width="11.28515625" style="64" customWidth="1" outlineLevel="2"/>
    <col min="45" max="45" width="9.140625" style="64" customWidth="1" outlineLevel="1"/>
    <col min="46" max="46" width="13.5703125" style="64" customWidth="1" outlineLevel="1"/>
    <col min="47" max="47" width="11.28515625" style="64" customWidth="1" outlineLevel="2"/>
    <col min="48" max="48" width="9.5703125" style="64" customWidth="1" outlineLevel="1"/>
    <col min="49" max="49" width="11.28515625" style="64" customWidth="1" outlineLevel="2"/>
    <col min="50" max="51" width="9.5703125" style="64" customWidth="1" outlineLevel="1"/>
    <col min="52" max="52" width="13.85546875" style="64" customWidth="1" outlineLevel="2"/>
    <col min="53" max="53" width="10.28515625" style="64" customWidth="1" outlineLevel="2"/>
    <col min="54" max="54" width="13.85546875" style="64" customWidth="1" outlineLevel="2"/>
    <col min="55" max="55" width="14.85546875" style="64" customWidth="1" outlineLevel="2"/>
    <col min="56" max="56" width="15.28515625" style="64" customWidth="1" outlineLevel="2"/>
    <col min="57" max="58" width="13.7109375" style="64" customWidth="1" outlineLevel="2"/>
    <col min="59" max="60" width="9.5703125" style="64" customWidth="1" outlineLevel="1"/>
    <col min="61" max="61" width="17" style="64" customWidth="1" outlineLevel="1"/>
    <col min="62" max="62" width="19.140625" style="64" customWidth="1" outlineLevel="1"/>
    <col min="63" max="63" width="2.28515625" style="261" customWidth="1"/>
    <col min="64" max="64" width="19.28515625" style="64" customWidth="1"/>
    <col min="65" max="65" width="14.28515625" style="64" customWidth="1"/>
    <col min="66" max="66" width="0.85546875" style="64" customWidth="1"/>
    <col min="67" max="67" width="12.28515625" style="64" customWidth="1" outlineLevel="2"/>
    <col min="68" max="68" width="12.42578125" style="64" customWidth="1" outlineLevel="2"/>
    <col min="69" max="69" width="12.5703125" style="64" customWidth="1" outlineLevel="2"/>
    <col min="70" max="72" width="9.42578125" style="64" customWidth="1" outlineLevel="2"/>
    <col min="73" max="73" width="21.42578125" style="64" customWidth="1" outlineLevel="1"/>
    <col min="74" max="74" width="12.28515625" style="64" customWidth="1" outlineLevel="2"/>
    <col min="75" max="75" width="12.42578125" style="64" customWidth="1" outlineLevel="2"/>
    <col min="76" max="76" width="12.5703125" style="64" customWidth="1" outlineLevel="2"/>
    <col min="77" max="77" width="9.42578125" style="64" customWidth="1" outlineLevel="2"/>
    <col min="78" max="78" width="13.7109375" style="64" customWidth="1" outlineLevel="1"/>
    <col min="79" max="79" width="0.42578125" style="64" customWidth="1" outlineLevel="1"/>
    <col min="80" max="80" width="11.7109375" style="64" customWidth="1" outlineLevel="2"/>
    <col min="81" max="81" width="9.7109375" style="64" customWidth="1" outlineLevel="1"/>
    <col min="82" max="82" width="11.42578125" style="64" customWidth="1" outlineLevel="1"/>
    <col min="83" max="83" width="12.85546875" style="64" customWidth="1" outlineLevel="1"/>
    <col min="84" max="84" width="13.7109375" style="64" customWidth="1" outlineLevel="2"/>
    <col min="85" max="85" width="11" style="64" customWidth="1" outlineLevel="2"/>
    <col min="86" max="86" width="8.7109375" style="64" customWidth="1" outlineLevel="1"/>
    <col min="87" max="87" width="0.140625" style="64" customWidth="1" outlineLevel="1"/>
    <col min="88" max="89" width="11.7109375" style="64" customWidth="1" outlineLevel="2"/>
    <col min="90" max="90" width="10.28515625" style="64" customWidth="1" outlineLevel="1"/>
    <col min="91" max="91" width="0.5703125" style="64" customWidth="1" outlineLevel="1"/>
    <col min="92" max="93" width="11.7109375" style="64" customWidth="1" outlineLevel="2"/>
    <col min="94" max="94" width="8.7109375" style="64" customWidth="1" outlineLevel="1"/>
    <col min="95" max="95" width="0.28515625" style="64" customWidth="1" outlineLevel="1"/>
    <col min="96" max="96" width="14.42578125" style="64" customWidth="1" outlineLevel="2"/>
    <col min="97" max="97" width="6.7109375" style="64" customWidth="1" outlineLevel="1"/>
    <col min="98" max="98" width="0.28515625" style="64" customWidth="1" outlineLevel="1"/>
    <col min="99" max="99" width="11" style="64" customWidth="1" outlineLevel="2"/>
    <col min="100" max="100" width="7.28515625" style="64" customWidth="1" outlineLevel="1"/>
    <col min="101" max="101" width="0.42578125" style="64" customWidth="1" outlineLevel="1"/>
    <col min="102" max="104" width="8.140625" style="64" customWidth="1" outlineLevel="1"/>
    <col min="105" max="105" width="8.42578125" style="64" customWidth="1" outlineLevel="1"/>
    <col min="106" max="106" width="10.42578125" style="64" customWidth="1" outlineLevel="2"/>
    <col min="107" max="107" width="9.7109375" style="64" customWidth="1" outlineLevel="2"/>
    <col min="108" max="108" width="18.28515625" style="64" customWidth="1" outlineLevel="2"/>
    <col min="109" max="109" width="14.85546875" style="64" customWidth="1" outlineLevel="2"/>
    <col min="110" max="110" width="17" style="64" customWidth="1" outlineLevel="2"/>
    <col min="111" max="111" width="14.85546875" style="64" customWidth="1" outlineLevel="2"/>
    <col min="112" max="112" width="11" style="64" customWidth="1" outlineLevel="1"/>
    <col min="113" max="113" width="0.28515625" style="64" customWidth="1" outlineLevel="1"/>
    <col min="114" max="114" width="9.85546875" style="64" customWidth="1" outlineLevel="1"/>
    <col min="115" max="115" width="0.42578125" style="64" customWidth="1" outlineLevel="1"/>
    <col min="116" max="116" width="9.85546875" style="64" customWidth="1" outlineLevel="1"/>
    <col min="117" max="117" width="0.42578125" style="64" customWidth="1" outlineLevel="1"/>
    <col min="118" max="118" width="13.140625" style="64" customWidth="1" outlineLevel="2"/>
    <col min="119" max="119" width="1.7109375" style="261" customWidth="1"/>
    <col min="120" max="120" width="16.42578125" style="64" customWidth="1"/>
    <col min="121" max="121" width="15.140625" style="64" customWidth="1"/>
    <col min="122" max="122" width="3.42578125" style="64" customWidth="1"/>
    <col min="123" max="123" width="8.42578125" style="64" hidden="1" customWidth="1"/>
    <col min="124" max="124" width="9.140625" style="64" hidden="1" customWidth="1"/>
    <col min="125" max="131" width="15.7109375" style="219" customWidth="1" outlineLevel="1"/>
    <col min="132" max="132" width="15.7109375" style="571" customWidth="1" outlineLevel="1"/>
    <col min="133" max="139" width="15.7109375" style="219" customWidth="1" outlineLevel="1"/>
    <col min="140" max="141" width="15.7109375" style="571" customWidth="1" outlineLevel="1"/>
    <col min="142" max="143" width="15.7109375" style="219" customWidth="1" outlineLevel="1"/>
    <col min="144" max="144" width="15.7109375" style="571" customWidth="1" outlineLevel="1"/>
    <col min="145" max="145" width="15.7109375" style="219" customWidth="1" outlineLevel="1"/>
    <col min="146" max="153" width="15.7109375" style="571" customWidth="1" outlineLevel="1"/>
    <col min="154" max="159" width="15.7109375" style="219" customWidth="1" outlineLevel="1"/>
    <col min="160" max="160" width="20.5703125" style="571" customWidth="1"/>
    <col min="161" max="162" width="11.85546875" style="571" customWidth="1" outlineLevel="1"/>
    <col min="163" max="169" width="10.7109375" style="571" customWidth="1" outlineLevel="1"/>
    <col min="170" max="170" width="15.5703125" style="571" customWidth="1"/>
    <col min="171" max="171" width="21.85546875" style="571" customWidth="1"/>
    <col min="172" max="172" width="79" style="64" customWidth="1"/>
    <col min="173" max="173" width="9.140625" style="9"/>
    <col min="174" max="178" width="9.140625" style="9" hidden="1" customWidth="1"/>
    <col min="179" max="179" width="5.85546875" style="9" customWidth="1"/>
    <col min="180" max="181" width="9.140625" style="9"/>
    <col min="182" max="182" width="12.28515625" style="9" customWidth="1"/>
    <col min="183" max="183" width="12" style="64" customWidth="1"/>
    <col min="184" max="184" width="9.28515625" style="64" bestFit="1" customWidth="1"/>
    <col min="185" max="185" width="9.140625" style="64"/>
    <col min="186" max="187" width="13.5703125" style="64" customWidth="1"/>
    <col min="188" max="188" width="9.7109375" style="64" bestFit="1" customWidth="1"/>
    <col min="189" max="189" width="9.140625" style="64"/>
    <col min="190" max="190" width="10.85546875" style="64" customWidth="1"/>
    <col min="191" max="191" width="15" style="64" customWidth="1"/>
    <col min="192" max="192" width="13.7109375" style="64" customWidth="1"/>
    <col min="193" max="194" width="9.140625" style="10"/>
    <col min="195" max="16384" width="9.140625" style="64"/>
  </cols>
  <sheetData>
    <row r="1" spans="1:194" s="4" customFormat="1">
      <c r="A1" s="1"/>
      <c r="B1" s="2"/>
      <c r="C1" s="1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AA1" s="5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5"/>
      <c r="AS1" s="5"/>
      <c r="AT1" s="5"/>
      <c r="AU1" s="5"/>
      <c r="AV1" s="6"/>
      <c r="AW1" s="5"/>
      <c r="AX1" s="6"/>
      <c r="AY1" s="6"/>
      <c r="AZ1" s="374"/>
      <c r="BA1" s="6"/>
      <c r="BB1" s="374"/>
      <c r="BD1" s="5"/>
      <c r="BE1" s="5"/>
      <c r="BF1" s="5"/>
      <c r="BG1" s="6"/>
      <c r="BH1" s="462"/>
      <c r="BJ1" s="4" t="s">
        <v>299</v>
      </c>
      <c r="BK1" s="7"/>
      <c r="CF1" s="22"/>
      <c r="CK1" s="22"/>
      <c r="CO1" s="22"/>
      <c r="DO1" s="7"/>
      <c r="DU1" s="8"/>
      <c r="DV1" s="8"/>
      <c r="DW1" s="8"/>
      <c r="DX1" s="8"/>
      <c r="DY1" s="8"/>
      <c r="DZ1" s="8"/>
      <c r="EA1" s="8"/>
      <c r="EB1" s="3"/>
      <c r="EC1" s="8"/>
      <c r="ED1" s="8"/>
      <c r="EE1" s="8"/>
      <c r="EF1" s="8"/>
      <c r="EG1" s="8"/>
      <c r="EH1" s="8"/>
      <c r="EI1" s="8"/>
      <c r="EJ1" s="3"/>
      <c r="EK1" s="3"/>
      <c r="EL1" s="8"/>
      <c r="EM1" s="8"/>
      <c r="EN1" s="3"/>
      <c r="EO1" s="8"/>
      <c r="EP1" s="3"/>
      <c r="EQ1" s="3"/>
      <c r="ER1" s="3"/>
      <c r="ES1" s="3"/>
      <c r="ET1" s="3"/>
      <c r="EU1" s="3"/>
      <c r="EV1" s="3"/>
      <c r="EW1" s="3"/>
      <c r="EX1" s="8"/>
      <c r="EY1" s="8"/>
      <c r="EZ1" s="8"/>
      <c r="FA1" s="8"/>
      <c r="FB1" s="8"/>
      <c r="FC1" s="8"/>
      <c r="FD1" s="3"/>
      <c r="FE1" s="3"/>
      <c r="FF1" s="3"/>
      <c r="FG1" s="3"/>
      <c r="FH1" s="3"/>
      <c r="FI1" s="3"/>
      <c r="FJ1" s="3"/>
      <c r="FK1" s="3"/>
      <c r="FL1" s="3"/>
      <c r="FM1" s="3"/>
      <c r="FN1" s="339"/>
      <c r="FO1" s="339"/>
      <c r="FP1" s="453"/>
      <c r="FQ1" s="23"/>
      <c r="FR1" s="23"/>
      <c r="FS1" s="23"/>
      <c r="FT1" s="23"/>
      <c r="FU1" s="23"/>
      <c r="FV1" s="23"/>
      <c r="FW1" s="23"/>
      <c r="FX1" s="9"/>
      <c r="FY1" s="9"/>
      <c r="FZ1" s="9"/>
      <c r="GK1" s="10"/>
      <c r="GL1" s="10"/>
    </row>
    <row r="2" spans="1:194" s="4" customFormat="1" ht="13.5" customHeight="1">
      <c r="B2" s="11"/>
      <c r="C2" s="12"/>
      <c r="D2" s="490">
        <v>2.95</v>
      </c>
      <c r="E2" s="14"/>
      <c r="F2" s="14"/>
      <c r="G2" s="3"/>
      <c r="H2" s="12"/>
      <c r="I2" s="12"/>
      <c r="J2" s="12"/>
      <c r="K2" s="336"/>
      <c r="L2" s="12"/>
      <c r="M2" s="12"/>
      <c r="N2" s="12"/>
      <c r="R2" s="15"/>
      <c r="S2" s="15"/>
      <c r="T2" s="15"/>
      <c r="U2" s="15"/>
      <c r="V2" s="16"/>
      <c r="W2" s="16"/>
      <c r="X2" s="16"/>
      <c r="Y2" s="16"/>
      <c r="Z2" s="16"/>
      <c r="AA2" s="17"/>
      <c r="AB2" s="17"/>
      <c r="AC2" s="17"/>
      <c r="AD2" s="17"/>
      <c r="AE2" s="17"/>
      <c r="AF2" s="5"/>
      <c r="AG2" s="5"/>
      <c r="AH2" s="5"/>
      <c r="AI2" s="17"/>
      <c r="AJ2" s="5"/>
      <c r="AK2" s="5"/>
      <c r="AL2" s="5"/>
      <c r="AM2" s="17"/>
      <c r="AN2" s="5"/>
      <c r="AO2" s="5"/>
      <c r="AP2" s="5"/>
      <c r="AQ2" s="5"/>
      <c r="AR2" s="17"/>
      <c r="AS2" s="17"/>
      <c r="AT2" s="17"/>
      <c r="AU2" s="17"/>
      <c r="AV2" s="5"/>
      <c r="AW2" s="17"/>
      <c r="AX2" s="5"/>
      <c r="AY2" s="5"/>
      <c r="AZ2" s="5"/>
      <c r="BA2" s="5"/>
      <c r="BB2" s="5"/>
      <c r="BC2" s="6"/>
      <c r="BD2" s="18"/>
      <c r="BE2" s="18"/>
      <c r="BF2" s="18"/>
      <c r="BG2" s="5"/>
      <c r="BH2" s="5"/>
      <c r="BI2" s="19"/>
      <c r="BJ2" s="19"/>
      <c r="BK2" s="20"/>
      <c r="BL2" s="19"/>
      <c r="BM2" s="19"/>
      <c r="BN2" s="19"/>
      <c r="CG2" s="21"/>
      <c r="CK2" s="22"/>
      <c r="CO2" s="22"/>
      <c r="CU2" s="22"/>
      <c r="DO2" s="7"/>
      <c r="DU2" s="8" t="s">
        <v>3</v>
      </c>
      <c r="DV2" s="8"/>
      <c r="DW2" s="8"/>
      <c r="DX2" s="8"/>
      <c r="DY2" s="8"/>
      <c r="DZ2" s="8"/>
      <c r="EA2" s="3"/>
      <c r="EB2" s="3"/>
      <c r="EC2" s="8"/>
      <c r="ED2" s="3"/>
      <c r="EE2" s="8"/>
      <c r="EF2" s="8"/>
      <c r="EG2" s="8"/>
      <c r="EH2" s="8"/>
      <c r="EI2" s="8"/>
      <c r="EJ2" s="9"/>
      <c r="EK2" s="9"/>
      <c r="EL2" s="8"/>
      <c r="EM2" s="8"/>
      <c r="EN2" s="9"/>
      <c r="EO2" s="8"/>
      <c r="EP2" s="104"/>
      <c r="EQ2" s="246"/>
      <c r="ER2" s="246"/>
      <c r="ES2" s="246"/>
      <c r="ET2" s="246"/>
      <c r="EU2" s="9"/>
      <c r="EV2" s="9"/>
      <c r="EW2" s="3"/>
      <c r="EX2" s="8"/>
      <c r="EY2" s="8"/>
      <c r="EZ2" s="8"/>
      <c r="FC2" s="9"/>
      <c r="FD2" s="246"/>
      <c r="FE2" s="246"/>
      <c r="FF2" s="9"/>
      <c r="FG2" s="246"/>
      <c r="FH2" s="246"/>
      <c r="FI2" s="246"/>
      <c r="FJ2" s="246"/>
      <c r="FK2" s="246"/>
      <c r="FL2" s="246"/>
      <c r="FM2" s="9"/>
      <c r="FN2" s="23"/>
      <c r="FO2" s="23"/>
      <c r="FP2" s="23"/>
      <c r="FQ2" s="23"/>
      <c r="FR2" s="23"/>
      <c r="FS2" s="16"/>
      <c r="FT2" s="16"/>
      <c r="FU2" s="16"/>
      <c r="FV2" s="16"/>
      <c r="FW2" s="16"/>
      <c r="GK2" s="10"/>
      <c r="GL2" s="10"/>
    </row>
    <row r="3" spans="1:194" s="16" customFormat="1" ht="30" customHeight="1">
      <c r="D3" s="337"/>
      <c r="E3" s="338"/>
      <c r="F3" s="338"/>
      <c r="G3" s="28"/>
      <c r="H3" s="339"/>
      <c r="I3" s="339"/>
      <c r="J3" s="339"/>
      <c r="K3" s="339"/>
      <c r="L3" s="339"/>
      <c r="M3" s="339"/>
      <c r="N3" s="339"/>
      <c r="P3" s="340"/>
      <c r="R3" s="27" t="s">
        <v>211</v>
      </c>
      <c r="S3" s="27" t="s">
        <v>212</v>
      </c>
      <c r="T3" s="27" t="s">
        <v>213</v>
      </c>
      <c r="U3" s="27"/>
      <c r="V3" s="27" t="s">
        <v>214</v>
      </c>
      <c r="W3" s="27"/>
      <c r="X3" s="27">
        <v>1402</v>
      </c>
      <c r="Y3" s="27" t="s">
        <v>215</v>
      </c>
      <c r="Z3" s="27" t="s">
        <v>216</v>
      </c>
      <c r="AA3" s="27" t="s">
        <v>217</v>
      </c>
      <c r="AB3" s="27" t="s">
        <v>218</v>
      </c>
      <c r="AC3" s="27" t="s">
        <v>219</v>
      </c>
      <c r="AD3" s="28" t="s">
        <v>220</v>
      </c>
      <c r="AE3" s="28" t="s">
        <v>221</v>
      </c>
      <c r="AF3" s="27" t="s">
        <v>222</v>
      </c>
      <c r="AG3" s="27" t="s">
        <v>223</v>
      </c>
      <c r="AH3" s="28" t="s">
        <v>224</v>
      </c>
      <c r="AI3" s="28" t="s">
        <v>225</v>
      </c>
      <c r="AJ3" s="27" t="s">
        <v>226</v>
      </c>
      <c r="AK3" s="27" t="s">
        <v>227</v>
      </c>
      <c r="AL3" s="27" t="s">
        <v>228</v>
      </c>
      <c r="AM3" s="28" t="s">
        <v>229</v>
      </c>
      <c r="AN3" s="27" t="s">
        <v>230</v>
      </c>
      <c r="AO3" s="27" t="s">
        <v>231</v>
      </c>
      <c r="AP3" s="27" t="s">
        <v>232</v>
      </c>
      <c r="AQ3" s="27" t="s">
        <v>233</v>
      </c>
      <c r="AR3" s="27" t="s">
        <v>234</v>
      </c>
      <c r="AS3" s="27" t="s">
        <v>235</v>
      </c>
      <c r="AT3" s="27" t="s">
        <v>236</v>
      </c>
      <c r="AU3" s="27" t="s">
        <v>237</v>
      </c>
      <c r="AV3" s="27">
        <v>32</v>
      </c>
      <c r="AW3" s="27" t="s">
        <v>238</v>
      </c>
      <c r="AX3" s="27" t="s">
        <v>239</v>
      </c>
      <c r="AY3" s="341" t="s">
        <v>199</v>
      </c>
      <c r="AZ3" s="27" t="s">
        <v>240</v>
      </c>
      <c r="BA3" s="27" t="s">
        <v>241</v>
      </c>
      <c r="BB3" s="27" t="s">
        <v>242</v>
      </c>
      <c r="BC3" s="29" t="s">
        <v>243</v>
      </c>
      <c r="BD3" s="27"/>
      <c r="BE3" s="27"/>
      <c r="BF3" s="27"/>
      <c r="BG3" s="27" t="s">
        <v>298</v>
      </c>
      <c r="BH3" s="27"/>
      <c r="BI3" s="342" t="s">
        <v>244</v>
      </c>
      <c r="BJ3" s="342" t="s">
        <v>245</v>
      </c>
      <c r="BK3" s="343"/>
      <c r="BL3" s="342">
        <v>6932</v>
      </c>
      <c r="BM3" s="342"/>
      <c r="BN3" s="342"/>
      <c r="BO3" s="459" t="s">
        <v>4</v>
      </c>
      <c r="BY3" s="375"/>
      <c r="CC3" s="16">
        <f>COLUMN(CC2)-3</f>
        <v>78</v>
      </c>
      <c r="CD3" s="16">
        <f>COLUMN(CD2)-3</f>
        <v>79</v>
      </c>
      <c r="CE3" s="16">
        <f>COLUMN(CE2)-3</f>
        <v>80</v>
      </c>
      <c r="CF3" s="16">
        <f>COLUMN(CF2)-3</f>
        <v>81</v>
      </c>
      <c r="CG3" s="16">
        <f>COLUMN(CG2)-2</f>
        <v>83</v>
      </c>
      <c r="CH3" s="16">
        <f>COLUMN(CH2)-2</f>
        <v>84</v>
      </c>
      <c r="CI3" s="16">
        <f t="shared" ref="CI3:CX3" si="0">COLUMN(CI2)-2</f>
        <v>85</v>
      </c>
      <c r="CJ3" s="16">
        <f t="shared" si="0"/>
        <v>86</v>
      </c>
      <c r="CK3" s="16">
        <f t="shared" si="0"/>
        <v>87</v>
      </c>
      <c r="CL3" s="16">
        <f t="shared" si="0"/>
        <v>88</v>
      </c>
      <c r="CM3" s="16">
        <f t="shared" si="0"/>
        <v>89</v>
      </c>
      <c r="CN3" s="16">
        <f t="shared" si="0"/>
        <v>90</v>
      </c>
      <c r="CO3" s="16">
        <f t="shared" si="0"/>
        <v>91</v>
      </c>
      <c r="CP3" s="16">
        <f t="shared" si="0"/>
        <v>92</v>
      </c>
      <c r="CQ3" s="16">
        <f t="shared" si="0"/>
        <v>93</v>
      </c>
      <c r="CR3" s="16">
        <f t="shared" si="0"/>
        <v>94</v>
      </c>
      <c r="CS3" s="16">
        <f t="shared" si="0"/>
        <v>95</v>
      </c>
      <c r="CT3" s="16">
        <f t="shared" si="0"/>
        <v>96</v>
      </c>
      <c r="CU3" s="16">
        <f t="shared" si="0"/>
        <v>97</v>
      </c>
      <c r="CV3" s="16">
        <f t="shared" si="0"/>
        <v>98</v>
      </c>
      <c r="CW3" s="16">
        <f t="shared" si="0"/>
        <v>99</v>
      </c>
      <c r="CX3" s="16">
        <f t="shared" si="0"/>
        <v>100</v>
      </c>
      <c r="CY3" s="16">
        <f>COLUMN(CY2)-3</f>
        <v>100</v>
      </c>
      <c r="CZ3" s="16">
        <f>COLUMN(CZ2)-2</f>
        <v>102</v>
      </c>
      <c r="DA3" s="16">
        <f>COLUMN(DA2)-3</f>
        <v>102</v>
      </c>
      <c r="DB3" s="16">
        <f>COLUMN(DB2)-2</f>
        <v>104</v>
      </c>
      <c r="DC3" s="16">
        <f>COLUMN(DC2)-2</f>
        <v>105</v>
      </c>
      <c r="DO3" s="345"/>
      <c r="DU3" s="346" t="s">
        <v>5</v>
      </c>
      <c r="DV3" s="347" t="s">
        <v>6</v>
      </c>
      <c r="DW3" s="347" t="s">
        <v>7</v>
      </c>
      <c r="DX3" s="347" t="s">
        <v>8</v>
      </c>
      <c r="DY3" s="347" t="s">
        <v>9</v>
      </c>
      <c r="DZ3" s="347" t="s">
        <v>10</v>
      </c>
      <c r="EA3" s="347" t="s">
        <v>11</v>
      </c>
      <c r="EB3" s="347" t="s">
        <v>12</v>
      </c>
      <c r="EC3" s="347" t="s">
        <v>13</v>
      </c>
      <c r="ED3" s="347" t="s">
        <v>14</v>
      </c>
      <c r="EE3" s="348" t="s">
        <v>200</v>
      </c>
      <c r="EF3" s="348" t="s">
        <v>201</v>
      </c>
      <c r="EG3" s="347" t="s">
        <v>17</v>
      </c>
      <c r="EH3" s="347" t="s">
        <v>18</v>
      </c>
      <c r="EI3" s="347" t="s">
        <v>19</v>
      </c>
      <c r="EJ3" s="347" t="s">
        <v>20</v>
      </c>
      <c r="EK3" s="347" t="s">
        <v>21</v>
      </c>
      <c r="EL3" s="347" t="s">
        <v>22</v>
      </c>
      <c r="EM3" s="347" t="s">
        <v>23</v>
      </c>
      <c r="EN3" s="347" t="s">
        <v>24</v>
      </c>
      <c r="EO3" s="348" t="s">
        <v>25</v>
      </c>
      <c r="EP3" s="348" t="s">
        <v>26</v>
      </c>
      <c r="EQ3" s="347" t="s">
        <v>27</v>
      </c>
      <c r="ER3" s="347" t="s">
        <v>28</v>
      </c>
      <c r="ES3" s="347" t="s">
        <v>29</v>
      </c>
      <c r="ET3" s="347" t="s">
        <v>30</v>
      </c>
      <c r="EU3" s="347" t="s">
        <v>31</v>
      </c>
      <c r="EV3" s="347" t="s">
        <v>32</v>
      </c>
      <c r="EW3" s="347" t="s">
        <v>33</v>
      </c>
      <c r="EX3" s="347" t="s">
        <v>34</v>
      </c>
      <c r="EY3" s="348" t="s">
        <v>35</v>
      </c>
      <c r="EZ3" s="347" t="s">
        <v>36</v>
      </c>
      <c r="FA3" s="348" t="s">
        <v>37</v>
      </c>
      <c r="FB3" s="566" t="s">
        <v>38</v>
      </c>
      <c r="FC3" s="577" t="s">
        <v>39</v>
      </c>
      <c r="FD3" s="37" t="s">
        <v>40</v>
      </c>
      <c r="FE3" s="38" t="s">
        <v>41</v>
      </c>
      <c r="FF3" s="38" t="s">
        <v>42</v>
      </c>
      <c r="FG3" s="38" t="s">
        <v>43</v>
      </c>
      <c r="FH3" s="38" t="s">
        <v>44</v>
      </c>
      <c r="FI3" s="38" t="s">
        <v>45</v>
      </c>
      <c r="FJ3" s="38" t="s">
        <v>46</v>
      </c>
      <c r="FK3" s="38" t="s">
        <v>47</v>
      </c>
      <c r="FL3" s="38" t="s">
        <v>48</v>
      </c>
      <c r="FM3" s="39" t="s">
        <v>49</v>
      </c>
      <c r="FN3" s="38" t="s">
        <v>50</v>
      </c>
      <c r="FO3" s="40" t="s">
        <v>51</v>
      </c>
      <c r="FP3" s="41" t="s">
        <v>52</v>
      </c>
      <c r="FQ3" s="23"/>
      <c r="GK3" s="222"/>
      <c r="GL3" s="222"/>
    </row>
    <row r="4" spans="1:194" s="4" customFormat="1" ht="26.25" customHeight="1">
      <c r="B4" s="579" t="s">
        <v>53</v>
      </c>
      <c r="C4" s="42"/>
      <c r="D4" s="43" t="s">
        <v>54</v>
      </c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2"/>
      <c r="R4" s="45" t="s">
        <v>55</v>
      </c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7"/>
      <c r="BL4" s="48" t="s">
        <v>55</v>
      </c>
      <c r="BM4" s="48"/>
      <c r="BN4" s="47"/>
      <c r="BO4" s="32" t="s">
        <v>56</v>
      </c>
      <c r="BP4" s="32"/>
      <c r="BQ4" s="32"/>
      <c r="BR4" s="32"/>
      <c r="BS4" s="32"/>
      <c r="BT4" s="32"/>
      <c r="BU4" s="32"/>
      <c r="BV4" s="32" t="s">
        <v>57</v>
      </c>
      <c r="BW4" s="32"/>
      <c r="BX4" s="32"/>
      <c r="BY4" s="32"/>
      <c r="BZ4" s="32"/>
      <c r="CA4" s="32"/>
      <c r="CB4" s="32"/>
      <c r="CC4" s="32"/>
      <c r="CD4" s="32"/>
      <c r="CE4" s="32"/>
      <c r="CF4" s="581" t="s">
        <v>56</v>
      </c>
      <c r="CG4" s="581"/>
      <c r="CH4" s="581"/>
      <c r="CI4" s="49"/>
      <c r="CJ4" s="581" t="s">
        <v>56</v>
      </c>
      <c r="CK4" s="581"/>
      <c r="CL4" s="581"/>
      <c r="CM4" s="49"/>
      <c r="CN4" s="581" t="s">
        <v>56</v>
      </c>
      <c r="CO4" s="581"/>
      <c r="CP4" s="581"/>
      <c r="CQ4" s="49"/>
      <c r="CR4" s="581" t="s">
        <v>56</v>
      </c>
      <c r="CS4" s="581"/>
      <c r="CT4" s="581"/>
      <c r="CU4" s="581" t="s">
        <v>56</v>
      </c>
      <c r="CV4" s="581"/>
      <c r="CW4" s="581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/>
      <c r="DK4" s="32"/>
      <c r="DL4" s="32"/>
      <c r="DM4" s="32"/>
      <c r="DN4" s="32"/>
      <c r="DO4" s="50"/>
      <c r="DP4" s="32" t="s">
        <v>58</v>
      </c>
      <c r="DQ4" s="51"/>
      <c r="DR4" s="52"/>
      <c r="DS4" s="53"/>
      <c r="DT4" s="33" t="s">
        <v>53</v>
      </c>
      <c r="DU4" s="347"/>
      <c r="DV4" s="347"/>
      <c r="DW4" s="347"/>
      <c r="DX4" s="347"/>
      <c r="DY4" s="347"/>
      <c r="DZ4" s="347"/>
      <c r="EA4" s="347"/>
      <c r="EB4" s="347"/>
      <c r="EC4" s="347"/>
      <c r="ED4" s="347"/>
      <c r="EE4" s="347"/>
      <c r="EF4" s="347"/>
      <c r="EG4" s="347"/>
      <c r="EH4" s="347"/>
      <c r="EI4" s="347"/>
      <c r="EJ4" s="347"/>
      <c r="EK4" s="347"/>
      <c r="EL4" s="347"/>
      <c r="EM4" s="347"/>
      <c r="EN4" s="347"/>
      <c r="EO4" s="347"/>
      <c r="EP4" s="347"/>
      <c r="EQ4" s="347"/>
      <c r="ER4" s="347"/>
      <c r="ES4" s="347"/>
      <c r="ET4" s="347"/>
      <c r="EU4" s="347"/>
      <c r="EV4" s="347"/>
      <c r="EW4" s="347"/>
      <c r="EX4" s="347"/>
      <c r="EY4" s="347"/>
      <c r="EZ4" s="347"/>
      <c r="FA4" s="347"/>
      <c r="FB4" s="567"/>
      <c r="FC4" s="578"/>
      <c r="FD4" s="55" t="s">
        <v>312</v>
      </c>
      <c r="FE4" s="567">
        <f>110*16*31</f>
        <v>54560</v>
      </c>
      <c r="FF4" s="567">
        <f>60*16*31</f>
        <v>29760</v>
      </c>
      <c r="FG4" s="567">
        <f>110*16*31</f>
        <v>54560</v>
      </c>
      <c r="FH4" s="567">
        <f>110*16*31</f>
        <v>54560</v>
      </c>
      <c r="FI4" s="567">
        <f>48.8*16*31</f>
        <v>24204.799999999999</v>
      </c>
      <c r="FJ4" s="567">
        <f>95*16*31</f>
        <v>47120</v>
      </c>
      <c r="FK4" s="567">
        <f>89*16*31</f>
        <v>44144</v>
      </c>
      <c r="FL4" s="567">
        <f>60*16*31</f>
        <v>29760</v>
      </c>
      <c r="FM4" s="56">
        <f>100*16*31</f>
        <v>49600</v>
      </c>
      <c r="FN4" s="349"/>
      <c r="FO4" s="58"/>
      <c r="FP4" s="350"/>
      <c r="FZ4" s="60"/>
      <c r="GA4" s="60"/>
      <c r="GB4" s="60"/>
      <c r="GC4" s="60"/>
      <c r="GD4" s="61" t="s">
        <v>59</v>
      </c>
      <c r="GE4" s="61"/>
      <c r="GF4" s="61"/>
      <c r="GG4" s="62"/>
      <c r="GH4" s="34" t="s">
        <v>60</v>
      </c>
      <c r="GI4" s="63" t="s">
        <v>61</v>
      </c>
      <c r="GJ4" s="63"/>
    </row>
    <row r="5" spans="1:194" ht="36" customHeight="1">
      <c r="B5" s="580"/>
      <c r="C5" s="65"/>
      <c r="D5" s="66" t="s">
        <v>62</v>
      </c>
      <c r="E5" s="66" t="s">
        <v>63</v>
      </c>
      <c r="F5" s="66" t="s">
        <v>64</v>
      </c>
      <c r="G5" s="66" t="s">
        <v>65</v>
      </c>
      <c r="H5" s="66" t="s">
        <v>66</v>
      </c>
      <c r="I5" s="66" t="s">
        <v>19</v>
      </c>
      <c r="J5" s="66" t="s">
        <v>20</v>
      </c>
      <c r="K5" s="66" t="s">
        <v>21</v>
      </c>
      <c r="L5" s="67" t="s">
        <v>67</v>
      </c>
      <c r="M5" s="67" t="s">
        <v>68</v>
      </c>
      <c r="N5" s="66" t="s">
        <v>69</v>
      </c>
      <c r="O5" s="66" t="s">
        <v>70</v>
      </c>
      <c r="P5" s="66" t="s">
        <v>71</v>
      </c>
      <c r="Q5" s="65"/>
      <c r="R5" s="66" t="s">
        <v>22</v>
      </c>
      <c r="S5" s="66" t="s">
        <v>72</v>
      </c>
      <c r="T5" s="66" t="s">
        <v>23</v>
      </c>
      <c r="U5" s="66" t="s">
        <v>73</v>
      </c>
      <c r="V5" s="66" t="s">
        <v>74</v>
      </c>
      <c r="W5" s="66" t="s">
        <v>75</v>
      </c>
      <c r="X5" s="66" t="s">
        <v>76</v>
      </c>
      <c r="Y5" s="66" t="s">
        <v>27</v>
      </c>
      <c r="Z5" s="66" t="s">
        <v>28</v>
      </c>
      <c r="AA5" s="67" t="s">
        <v>77</v>
      </c>
      <c r="AB5" s="67" t="s">
        <v>78</v>
      </c>
      <c r="AC5" s="66" t="s">
        <v>6</v>
      </c>
      <c r="AD5" s="67" t="s">
        <v>79</v>
      </c>
      <c r="AE5" s="67" t="s">
        <v>80</v>
      </c>
      <c r="AF5" s="67" t="s">
        <v>8</v>
      </c>
      <c r="AG5" s="66" t="s">
        <v>9</v>
      </c>
      <c r="AH5" s="67" t="s">
        <v>81</v>
      </c>
      <c r="AI5" s="67" t="s">
        <v>82</v>
      </c>
      <c r="AJ5" s="67" t="s">
        <v>11</v>
      </c>
      <c r="AK5" s="66" t="s">
        <v>12</v>
      </c>
      <c r="AL5" s="67" t="s">
        <v>83</v>
      </c>
      <c r="AM5" s="67" t="s">
        <v>84</v>
      </c>
      <c r="AN5" s="66" t="s">
        <v>14</v>
      </c>
      <c r="AO5" s="66" t="s">
        <v>65</v>
      </c>
      <c r="AP5" s="66" t="s">
        <v>17</v>
      </c>
      <c r="AQ5" s="66" t="s">
        <v>66</v>
      </c>
      <c r="AR5" s="67" t="s">
        <v>85</v>
      </c>
      <c r="AS5" s="66" t="s">
        <v>86</v>
      </c>
      <c r="AT5" s="67" t="s">
        <v>87</v>
      </c>
      <c r="AU5" s="67" t="s">
        <v>88</v>
      </c>
      <c r="AV5" s="66">
        <v>561</v>
      </c>
      <c r="AW5" s="67" t="s">
        <v>89</v>
      </c>
      <c r="AX5" s="66">
        <v>562</v>
      </c>
      <c r="AY5" s="66" t="s">
        <v>21</v>
      </c>
      <c r="AZ5" s="66" t="s">
        <v>33</v>
      </c>
      <c r="BA5" s="66" t="s">
        <v>90</v>
      </c>
      <c r="BB5" s="66" t="s">
        <v>34</v>
      </c>
      <c r="BC5" s="67" t="s">
        <v>91</v>
      </c>
      <c r="BD5" s="67" t="s">
        <v>92</v>
      </c>
      <c r="BE5" s="67" t="s">
        <v>93</v>
      </c>
      <c r="BF5" s="67" t="s">
        <v>94</v>
      </c>
      <c r="BG5" s="66" t="s">
        <v>95</v>
      </c>
      <c r="BH5" s="66" t="s">
        <v>96</v>
      </c>
      <c r="BI5" s="66" t="s">
        <v>97</v>
      </c>
      <c r="BJ5" s="66" t="s">
        <v>98</v>
      </c>
      <c r="BK5" s="69"/>
      <c r="BL5" s="66" t="s">
        <v>99</v>
      </c>
      <c r="BM5" s="70" t="s">
        <v>71</v>
      </c>
      <c r="BN5" s="69"/>
      <c r="BO5" s="67" t="s">
        <v>22</v>
      </c>
      <c r="BP5" s="67" t="s">
        <v>72</v>
      </c>
      <c r="BQ5" s="67" t="s">
        <v>23</v>
      </c>
      <c r="BR5" s="67" t="s">
        <v>74</v>
      </c>
      <c r="BS5" s="67" t="s">
        <v>27</v>
      </c>
      <c r="BT5" s="67" t="s">
        <v>28</v>
      </c>
      <c r="BU5" s="67" t="s">
        <v>101</v>
      </c>
      <c r="BV5" s="67" t="s">
        <v>22</v>
      </c>
      <c r="BW5" s="67" t="s">
        <v>100</v>
      </c>
      <c r="BX5" s="67" t="s">
        <v>23</v>
      </c>
      <c r="BY5" s="67" t="s">
        <v>74</v>
      </c>
      <c r="BZ5" s="67" t="s">
        <v>102</v>
      </c>
      <c r="CA5" s="71" t="s">
        <v>1</v>
      </c>
      <c r="CB5" s="66" t="s">
        <v>103</v>
      </c>
      <c r="CC5" s="66" t="s">
        <v>86</v>
      </c>
      <c r="CD5" s="67" t="s">
        <v>104</v>
      </c>
      <c r="CE5" s="67" t="s">
        <v>204</v>
      </c>
      <c r="CF5" s="66" t="s">
        <v>78</v>
      </c>
      <c r="CG5" s="66" t="s">
        <v>6</v>
      </c>
      <c r="CH5" s="67" t="s">
        <v>106</v>
      </c>
      <c r="CI5" s="71" t="s">
        <v>1</v>
      </c>
      <c r="CJ5" s="66" t="s">
        <v>8</v>
      </c>
      <c r="CK5" s="66" t="s">
        <v>9</v>
      </c>
      <c r="CL5" s="67" t="s">
        <v>107</v>
      </c>
      <c r="CM5" s="71" t="s">
        <v>1</v>
      </c>
      <c r="CN5" s="66" t="s">
        <v>11</v>
      </c>
      <c r="CO5" s="66" t="s">
        <v>12</v>
      </c>
      <c r="CP5" s="67" t="s">
        <v>205</v>
      </c>
      <c r="CQ5" s="71" t="s">
        <v>1</v>
      </c>
      <c r="CR5" s="66" t="s">
        <v>109</v>
      </c>
      <c r="CS5" s="67" t="s">
        <v>206</v>
      </c>
      <c r="CT5" s="71" t="s">
        <v>1</v>
      </c>
      <c r="CU5" s="66" t="s">
        <v>17</v>
      </c>
      <c r="CV5" s="67" t="s">
        <v>207</v>
      </c>
      <c r="CW5" s="71" t="s">
        <v>1</v>
      </c>
      <c r="CX5" s="67" t="s">
        <v>110</v>
      </c>
      <c r="CY5" s="66" t="s">
        <v>19</v>
      </c>
      <c r="CZ5" s="67" t="s">
        <v>111</v>
      </c>
      <c r="DA5" s="66" t="s">
        <v>112</v>
      </c>
      <c r="DB5" s="66" t="s">
        <v>33</v>
      </c>
      <c r="DC5" s="66" t="s">
        <v>34</v>
      </c>
      <c r="DD5" s="66" t="s">
        <v>91</v>
      </c>
      <c r="DE5" s="66" t="s">
        <v>92</v>
      </c>
      <c r="DF5" s="66" t="s">
        <v>113</v>
      </c>
      <c r="DG5" s="66" t="s">
        <v>114</v>
      </c>
      <c r="DH5" s="67" t="s">
        <v>115</v>
      </c>
      <c r="DI5" s="71" t="s">
        <v>1</v>
      </c>
      <c r="DJ5" s="66" t="s">
        <v>96</v>
      </c>
      <c r="DK5" s="71" t="s">
        <v>1</v>
      </c>
      <c r="DL5" s="66" t="s">
        <v>97</v>
      </c>
      <c r="DM5" s="71" t="s">
        <v>1</v>
      </c>
      <c r="DN5" s="67" t="s">
        <v>98</v>
      </c>
      <c r="DO5" s="69"/>
      <c r="DP5" s="66" t="s">
        <v>116</v>
      </c>
      <c r="DQ5" s="72" t="s">
        <v>71</v>
      </c>
      <c r="DR5" s="73" t="s">
        <v>1</v>
      </c>
      <c r="DS5" s="74"/>
      <c r="DT5" s="569"/>
      <c r="DU5" s="361">
        <v>643824</v>
      </c>
      <c r="DV5" s="361">
        <v>32699</v>
      </c>
      <c r="DW5" s="361">
        <v>5165608</v>
      </c>
      <c r="DX5" s="361">
        <v>125665</v>
      </c>
      <c r="DY5" s="361">
        <v>92283.199999999997</v>
      </c>
      <c r="DZ5" s="361">
        <v>414839</v>
      </c>
      <c r="EA5" s="303">
        <v>250350</v>
      </c>
      <c r="EB5" s="303">
        <v>57448</v>
      </c>
      <c r="EC5" s="303">
        <v>431358</v>
      </c>
      <c r="ED5" s="361">
        <v>49641.599999999999</v>
      </c>
      <c r="EE5" s="303">
        <v>42495.3</v>
      </c>
      <c r="EF5" s="303">
        <v>44425.3</v>
      </c>
      <c r="EG5" s="361">
        <v>96940.5</v>
      </c>
      <c r="EH5" s="361">
        <v>190207.8</v>
      </c>
      <c r="EI5" s="330">
        <v>36382</v>
      </c>
      <c r="EJ5" s="303">
        <v>44916</v>
      </c>
      <c r="EK5" s="303"/>
      <c r="EL5" s="361">
        <v>733880.3</v>
      </c>
      <c r="EM5" s="361">
        <v>5089</v>
      </c>
      <c r="EN5" s="303">
        <v>50519.3</v>
      </c>
      <c r="EO5" s="361">
        <v>3188212.6</v>
      </c>
      <c r="EP5" s="303">
        <v>2890202</v>
      </c>
      <c r="EQ5" s="303">
        <v>4379</v>
      </c>
      <c r="ER5" s="303">
        <v>856</v>
      </c>
      <c r="ES5" s="303">
        <v>462635</v>
      </c>
      <c r="ET5" s="303">
        <v>2742558</v>
      </c>
      <c r="EU5" s="303">
        <v>174594</v>
      </c>
      <c r="EV5" s="136">
        <v>486941</v>
      </c>
      <c r="EW5" s="303">
        <v>159209</v>
      </c>
      <c r="EX5" s="361">
        <v>230294.6</v>
      </c>
      <c r="EY5" s="476">
        <v>1761732.9</v>
      </c>
      <c r="EZ5" s="477">
        <v>852547.2</v>
      </c>
      <c r="FA5" s="383">
        <v>779503</v>
      </c>
      <c r="FB5" s="383">
        <v>32115.7</v>
      </c>
      <c r="FC5" s="361">
        <v>6596</v>
      </c>
      <c r="FD5" s="105" t="s">
        <v>313</v>
      </c>
      <c r="FE5" s="77">
        <f>SUM(FE6:FE36)</f>
        <v>18368.05</v>
      </c>
      <c r="FF5" s="77">
        <f t="shared" ref="FF5:FM5" si="1">SUM(FF6:FF36)</f>
        <v>926.47</v>
      </c>
      <c r="FG5" s="77">
        <f t="shared" si="1"/>
        <v>53261.4</v>
      </c>
      <c r="FH5" s="77">
        <f t="shared" si="1"/>
        <v>31262.95</v>
      </c>
      <c r="FI5" s="77">
        <f t="shared" si="1"/>
        <v>16073</v>
      </c>
      <c r="FJ5" s="77">
        <f t="shared" si="1"/>
        <v>13375.11</v>
      </c>
      <c r="FK5" s="77">
        <f t="shared" si="1"/>
        <v>15909.54</v>
      </c>
      <c r="FL5" s="77">
        <f t="shared" si="1"/>
        <v>4252</v>
      </c>
      <c r="FM5" s="77">
        <f t="shared" si="1"/>
        <v>13139</v>
      </c>
      <c r="FN5" s="80"/>
      <c r="FO5" s="303">
        <v>1218167</v>
      </c>
      <c r="FP5" s="81"/>
      <c r="FQ5" s="64"/>
      <c r="FR5" s="64"/>
      <c r="FS5" s="64"/>
      <c r="FT5" s="64"/>
      <c r="FU5" s="64"/>
      <c r="FV5" s="64"/>
      <c r="FW5" s="64"/>
      <c r="FX5" s="64"/>
      <c r="FY5" s="64"/>
      <c r="FZ5" s="82" t="s">
        <v>117</v>
      </c>
      <c r="GA5" s="82" t="s">
        <v>118</v>
      </c>
      <c r="GB5" s="82" t="s">
        <v>119</v>
      </c>
      <c r="GC5" s="70" t="s">
        <v>120</v>
      </c>
      <c r="GD5" s="70" t="s">
        <v>121</v>
      </c>
      <c r="GE5" s="70" t="s">
        <v>122</v>
      </c>
      <c r="GF5" s="70" t="s">
        <v>74</v>
      </c>
      <c r="GG5" s="70" t="s">
        <v>120</v>
      </c>
      <c r="GH5" s="70" t="s">
        <v>120</v>
      </c>
      <c r="GI5" s="83" t="s">
        <v>123</v>
      </c>
      <c r="GJ5" s="70" t="s">
        <v>124</v>
      </c>
      <c r="GK5" s="64"/>
      <c r="GL5" s="64"/>
    </row>
    <row r="6" spans="1:194" ht="15" customHeight="1">
      <c r="A6" s="4"/>
      <c r="B6" s="351">
        <v>43070</v>
      </c>
      <c r="C6" s="53"/>
      <c r="D6" s="86">
        <v>0</v>
      </c>
      <c r="E6" s="86">
        <v>2442.12</v>
      </c>
      <c r="F6" s="86">
        <v>153.072</v>
      </c>
      <c r="G6" s="86">
        <v>1803.1610000000001</v>
      </c>
      <c r="H6" s="86">
        <v>5529.616</v>
      </c>
      <c r="I6" s="86">
        <v>1730.346</v>
      </c>
      <c r="J6" s="86">
        <v>5644.74</v>
      </c>
      <c r="K6" s="86">
        <v>0</v>
      </c>
      <c r="L6" s="86">
        <v>0</v>
      </c>
      <c r="M6" s="87">
        <f>I6+J6</f>
        <v>7375.0859999999993</v>
      </c>
      <c r="N6" s="88">
        <f>SUM(D6:H6)</f>
        <v>9927.969000000001</v>
      </c>
      <c r="O6" s="88">
        <f>N6+L6+((J6+I6)*0.5)</f>
        <v>13615.512000000001</v>
      </c>
      <c r="P6" s="89">
        <f>O6</f>
        <v>13615.512000000001</v>
      </c>
      <c r="Q6" s="74"/>
      <c r="R6" s="170">
        <f>IF(EL6=0,"",(EL6-EL5))</f>
        <v>312.69999999995343</v>
      </c>
      <c r="S6" s="170">
        <f>IF(EZ6=0,"",((EZ6-EZ5)/10))</f>
        <v>2.4800000000046567</v>
      </c>
      <c r="T6" s="170">
        <f t="shared" ref="T6:T36" si="2">IF(EM6=0,"",((EM6/10)))</f>
        <v>850.7</v>
      </c>
      <c r="U6" s="170">
        <f>IF(FB6=0,"",((EN6-EN5)/10))</f>
        <v>4.9699999999997093</v>
      </c>
      <c r="V6" s="170">
        <f>IF(EO6=0,"",(EO6-EO5))</f>
        <v>1095.8999999999069</v>
      </c>
      <c r="W6" s="170">
        <f t="shared" ref="W6:W36" si="3">IF(EP6=0,"",(EP6-EP5)/10)</f>
        <v>97.4</v>
      </c>
      <c r="X6" s="170">
        <f>IF(V6="","",V6)</f>
        <v>1095.8999999999069</v>
      </c>
      <c r="Y6" s="170">
        <f>IF(EQ6=0,"0",(EQ6/10))</f>
        <v>304.7</v>
      </c>
      <c r="Z6" s="170">
        <f t="shared" ref="Z6:Z36" si="4">IF(ER6=0,"",(ER6/10))</f>
        <v>85.6</v>
      </c>
      <c r="AA6" s="501">
        <f>IF(SUM(R6:V6)=0,"",SUM(R6:V6))</f>
        <v>2266.7499999998649</v>
      </c>
      <c r="AB6" s="170">
        <f>IF(DU6=0,"",(DU6-DU5))</f>
        <v>8</v>
      </c>
      <c r="AC6" s="170">
        <f>IF(DV6=0,"",(DV6-DV5))</f>
        <v>0</v>
      </c>
      <c r="AD6" s="501">
        <f t="shared" ref="AD6:AD36" si="5">DW6-DW5+AB6</f>
        <v>70</v>
      </c>
      <c r="AE6" s="501">
        <f>IF(AB6="","",(AD6-AC6-AB6))</f>
        <v>62</v>
      </c>
      <c r="AF6" s="170">
        <f>IF(DX6=0,"",(DX6-DX5))</f>
        <v>103</v>
      </c>
      <c r="AG6" s="170">
        <f>IF(DY6=0,"",(DY6-DY5))</f>
        <v>113.19999999999709</v>
      </c>
      <c r="AH6" s="501">
        <f t="shared" ref="AH6:AH36" si="6">DZ6-DZ5+AF6</f>
        <v>271</v>
      </c>
      <c r="AI6" s="501">
        <f>IF(AF6="","",(AH6-AG6-AF6))</f>
        <v>54.80000000000291</v>
      </c>
      <c r="AJ6" s="170">
        <f>IF(EA6=0,"",(EA6-EA5))</f>
        <v>76</v>
      </c>
      <c r="AK6" s="170">
        <f>IF(EB6=0,"",(EB6-EB5))</f>
        <v>144.59999999999854</v>
      </c>
      <c r="AL6" s="501">
        <f t="shared" ref="AL6:AL36" si="7">EC6-EC5+AJ6</f>
        <v>357</v>
      </c>
      <c r="AM6" s="501">
        <f>IF(AJ6="","",(AL6-AK6-AJ6))</f>
        <v>136.40000000000146</v>
      </c>
      <c r="AN6" s="170">
        <f>IF(ED6=0,"",(ED6-ED5))</f>
        <v>73.30000000000291</v>
      </c>
      <c r="AO6" s="501">
        <f t="shared" ref="AO6:AO36" si="8">IF(AN6="","",(EE6-EE5)+(EF6-EF5))</f>
        <v>94.099999999998545</v>
      </c>
      <c r="AP6" s="170">
        <f>IF(EG6=0,"",(EG6-EG5))</f>
        <v>30.5</v>
      </c>
      <c r="AQ6" s="501">
        <f t="shared" ref="AQ6:AQ36" si="9">IF(AP6=0.1,0,(IF(AP6&gt;=(EH6-EH5),(AP6),(EH6-EH5))))</f>
        <v>39.800000000017462</v>
      </c>
      <c r="AR6" s="170">
        <f>IF(ET6=0,"",(ET6-ET5)/1000)</f>
        <v>105.816</v>
      </c>
      <c r="AS6" s="501">
        <f>IF(AR6="","",(ES6-ES5)+((ET6-ET5)/1000)-AW6-AU6)</f>
        <v>158.81600000000003</v>
      </c>
      <c r="AT6" s="501">
        <f>IF(AR6="","",ES6-ES5+((ET6-ET5)/1000))</f>
        <v>892.81600000000003</v>
      </c>
      <c r="AU6" s="170">
        <f>IF(EV6="","",(EV6-EV5))</f>
        <v>494</v>
      </c>
      <c r="AV6" s="501">
        <f>IF(EI6=0,"",(EI6-EI5))</f>
        <v>0</v>
      </c>
      <c r="AW6" s="170">
        <f>IF(EU6="","",(EU6-EU5))</f>
        <v>240</v>
      </c>
      <c r="AX6" s="501">
        <f>IF(EJ6=0,"",(EJ6-EJ5))</f>
        <v>28</v>
      </c>
      <c r="AY6" s="501"/>
      <c r="AZ6" s="170">
        <f>IF(EW6=0,"",EW6-EW5)</f>
        <v>557</v>
      </c>
      <c r="BA6" s="170">
        <v>46.7</v>
      </c>
      <c r="BB6" s="170">
        <f>IF(EX6=0,"",(EX6-EX5))</f>
        <v>158.39999999999418</v>
      </c>
      <c r="BC6" s="170">
        <f>IF(EY6=0,"",(EY6-EY5))</f>
        <v>888.10000000009313</v>
      </c>
      <c r="BD6" s="170">
        <f>IF(FA6=0,"",(FA6-FA5))</f>
        <v>293</v>
      </c>
      <c r="BE6" s="90"/>
      <c r="BF6" s="90"/>
      <c r="BG6" s="501">
        <f>IFERROR(SUM(BB6:BC6)+AZ6+BD6,"")</f>
        <v>1896.5000000000873</v>
      </c>
      <c r="BH6" s="501">
        <f>BL6-FC6</f>
        <v>4227</v>
      </c>
      <c r="BI6" s="90">
        <f t="shared" ref="BI6:BI36" si="10">IF(FC6=0,"",(FC6-BJ6))</f>
        <v>-1474.9659999999685</v>
      </c>
      <c r="BJ6" s="90">
        <f>IF(BH6=0,"",(AA6+AD6+AO6+BG6+AH6+AL6+AQ6+AT6+AX6+AV6))</f>
        <v>5915.9659999999685</v>
      </c>
      <c r="BK6" s="92"/>
      <c r="BL6" s="93">
        <f>FD6+FN6</f>
        <v>8668</v>
      </c>
      <c r="BM6" s="93">
        <f>BL6</f>
        <v>8668</v>
      </c>
      <c r="BN6" s="92"/>
      <c r="BO6" s="94">
        <f>IF($N6&lt;&gt;0,IF($N6&lt;&gt;0,R6/$N6*10,0)," ")</f>
        <v>0.31496875141325825</v>
      </c>
      <c r="BP6" s="94">
        <f>IF($N6&lt;&gt;0,IF($N6&lt;&gt;0,S6/$N6*10,0)," ")</f>
        <v>2.4979932955115558E-3</v>
      </c>
      <c r="BQ6" s="94">
        <f>IF($N6&lt;&gt;0,IF($N6&lt;&gt;0,T6/$N6*10,0)," ")</f>
        <v>0.85687213568052034</v>
      </c>
      <c r="BR6" s="94">
        <f>IF($N6&lt;&gt;0,IF($N6&lt;&gt;0,(V6)/$N6*10,0)," ")</f>
        <v>1.1038511502200568</v>
      </c>
      <c r="BS6" s="94">
        <f t="shared" ref="BS6:BU21" si="11">IF($N6&lt;&gt;0,IF($N6&lt;&gt;0,Y6/$N6*10,0)," ")</f>
        <v>0.30691070852457331</v>
      </c>
      <c r="BT6" s="94">
        <f t="shared" si="11"/>
        <v>8.6221058909430492E-2</v>
      </c>
      <c r="BU6" s="95">
        <f>IF($N6&lt;&gt;0,IF($N6&lt;&gt;0,AA6/$N6*10,0)," ")</f>
        <v>2.2831960897539716</v>
      </c>
      <c r="BV6" s="94">
        <f t="shared" ref="BV6:BX35" si="12">IF($O6&lt;&gt;0,IF($O6&lt;&gt;0,R6/$O6*10,0)," ")</f>
        <v>0.22966451794097309</v>
      </c>
      <c r="BW6" s="94">
        <f t="shared" si="12"/>
        <v>1.8214518851767431E-3</v>
      </c>
      <c r="BX6" s="94">
        <f t="shared" si="12"/>
        <v>0.62480206399876848</v>
      </c>
      <c r="BY6" s="94">
        <f>IF($O6&lt;&gt;0,IF($O6&lt;&gt;0,(V6)/$O6*10,0)," ")</f>
        <v>0.80489077458115932</v>
      </c>
      <c r="BZ6" s="95">
        <f t="shared" ref="BZ6:BZ36" si="13">IF($O6&lt;&gt;0,IF($O6&lt;&gt;0,AA6/$O6*10,0)," ")</f>
        <v>1.6648290567404773</v>
      </c>
      <c r="CA6" s="96" t="e">
        <f>#REF!</f>
        <v>#REF!</v>
      </c>
      <c r="CB6" s="94">
        <f>IF($O6&lt;&gt;0,IF($O6&lt;&gt;0,AR6/$O6*10,0)," ")</f>
        <v>7.7717238984475939E-2</v>
      </c>
      <c r="CC6" s="95">
        <f>IF($O6&lt;&gt;0,IF($O6&lt;&gt;0,AS6/$O6*10,0)," ")</f>
        <v>0.11664342846600262</v>
      </c>
      <c r="CD6" s="97">
        <f t="shared" ref="CD6:CE35" si="14">IFERROR(AR6*10/($I6+$J6),"")</f>
        <v>0.14347764893860224</v>
      </c>
      <c r="CE6" s="98">
        <f>IFERROR(AS6*10/($I6+$J6),"")</f>
        <v>0.21534121771596976</v>
      </c>
      <c r="CF6" s="94" t="str">
        <f>IF($D6&lt;&gt;0,IF($D6&lt;&gt;0,AB6/$D6*10,0),"0,00")</f>
        <v>0,00</v>
      </c>
      <c r="CG6" s="94" t="str">
        <f>IF($D6&lt;&gt;0,IF($D6&lt;&gt;0,AC6/$D6*10,0),"0,00")</f>
        <v>0,00</v>
      </c>
      <c r="CH6" s="95" t="str">
        <f>IF($D6&lt;&gt;0,IF($O6&lt;&gt;0,AD6/$D6*10,0),"0,00 ")</f>
        <v xml:space="preserve">0,00 </v>
      </c>
      <c r="CI6" s="96" t="e">
        <f>#REF!</f>
        <v>#REF!</v>
      </c>
      <c r="CJ6" s="94">
        <f>IF($E6&lt;&gt;0,IF($E6&lt;&gt;0,AF6/$E6*10,0),"0,00")</f>
        <v>0.42176469624752266</v>
      </c>
      <c r="CK6" s="94">
        <f>IF($E6&lt;&gt;0,IF($E6&lt;&gt;0,AG6/$E6*10,0),"0,00")</f>
        <v>0.46353168558464408</v>
      </c>
      <c r="CL6" s="95">
        <f>IF($E6&lt;&gt;0,IF($E6&lt;&gt;0,AH6/$E6*10,0),"0,00 ")</f>
        <v>1.1096915794473654</v>
      </c>
      <c r="CM6" s="95" t="e">
        <f>#REF!</f>
        <v>#REF!</v>
      </c>
      <c r="CN6" s="94">
        <f>IF($F6&lt;&gt;0,IF($F6&lt;&gt;0,AJ6/$F6*10,0),"0,00")</f>
        <v>4.9649837984739209</v>
      </c>
      <c r="CO6" s="94">
        <f>IF($F6&lt;&gt;0,IF($F6&lt;&gt;0,AK6/$F6*10,0),"0,00")</f>
        <v>9.4465349639384435</v>
      </c>
      <c r="CP6" s="95">
        <f>IF($F6&lt;&gt;0,IF($F6&lt;&gt;0,AL6/$F6*10,0),"0,00 ")</f>
        <v>23.322358105989338</v>
      </c>
      <c r="CQ6" s="95" t="e">
        <f>#REF!</f>
        <v>#REF!</v>
      </c>
      <c r="CR6" s="97">
        <f>IF($G6&lt;&gt;0,IF($G6&lt;&gt;0,AN6/$G6*10,0),"0,00 ")</f>
        <v>0.40650834839486277</v>
      </c>
      <c r="CS6" s="95">
        <f>IF($G6&lt;&gt;0,IF($G6&lt;&gt;0,AO6/$G6*10,0),"0,00 ")</f>
        <v>0.52186133129542256</v>
      </c>
      <c r="CT6" s="96" t="e">
        <f>#REF!</f>
        <v>#REF!</v>
      </c>
      <c r="CU6" s="97">
        <f>IF($H6&lt;&gt;0,IF($H6&lt;&gt;0,AP6/$H6*10,0),"0,00 ")</f>
        <v>5.5157537159904048E-2</v>
      </c>
      <c r="CV6" s="95">
        <f>IF($H6&lt;&gt;0,IF($H6&lt;&gt;0,AQ6/$H6*10,0),"0,00 ")</f>
        <v>7.1976064884103089E-2</v>
      </c>
      <c r="CW6" s="96" t="e">
        <f>#REF!</f>
        <v>#REF!</v>
      </c>
      <c r="CX6" s="97">
        <f>IF($O6&lt;&gt;0,IF($O6&lt;&gt;0,AU6/$O6*10,0)," ")</f>
        <v>0.36282146422404093</v>
      </c>
      <c r="CY6" s="98">
        <f>IF($O6&lt;&gt;0,IF($O6&lt;&gt;0,AV6/$O6*10,0)," ")</f>
        <v>0</v>
      </c>
      <c r="CZ6" s="97">
        <f>IF($O6&lt;&gt;0,IF($O6&lt;&gt;0,AW6/$O6*10,0)," ")</f>
        <v>0.17626953727483768</v>
      </c>
      <c r="DA6" s="98">
        <f>IF($O6&lt;&gt;0,IF($O6&lt;&gt;0,AX6/$O6*10,0)," ")</f>
        <v>2.0564779348731067E-2</v>
      </c>
      <c r="DB6" s="94">
        <f t="shared" ref="DB6:DB36" si="15">IF($O6&lt;&gt;0,IF($O6&lt;&gt;0,AZ6/$O6*10,0)," ")</f>
        <v>0.40909221775868582</v>
      </c>
      <c r="DC6" s="94">
        <f t="shared" ref="DC6:DH35" si="16">IF($O6&lt;&gt;0,IF($O6&lt;&gt;0,BB6/$O6*10,0)," ")</f>
        <v>0.1163378946013886</v>
      </c>
      <c r="DD6" s="94">
        <f t="shared" si="16"/>
        <v>0.65227073355749898</v>
      </c>
      <c r="DE6" s="94">
        <f t="shared" si="16"/>
        <v>0.21519572675636436</v>
      </c>
      <c r="DF6" s="94">
        <f t="shared" si="16"/>
        <v>0</v>
      </c>
      <c r="DG6" s="94">
        <f t="shared" si="16"/>
        <v>0</v>
      </c>
      <c r="DH6" s="95">
        <f>IF($O6&lt;&gt;0,IF($O6&lt;&gt;0,BG6/$O6*10,0)," ")</f>
        <v>1.392896572673938</v>
      </c>
      <c r="DI6" s="96" t="e">
        <f>#REF!</f>
        <v>#REF!</v>
      </c>
      <c r="DJ6" s="95">
        <f>IF($O6&lt;&gt;0,IF($O6&lt;&gt;0,BH6/$O6*10,0)," ")</f>
        <v>3.1045472252530786</v>
      </c>
      <c r="DK6" s="96" t="e">
        <f>#REF!</f>
        <v>#REF!</v>
      </c>
      <c r="DL6" s="95"/>
      <c r="DM6" s="96">
        <f t="shared" ref="DM6:DM37" si="17">$D$3</f>
        <v>0</v>
      </c>
      <c r="DN6" s="94">
        <f t="shared" ref="DN6:DN36" si="18">IF($O6&lt;&gt;0,BJ6/$O6*10,"")</f>
        <v>4.3450191223069456</v>
      </c>
      <c r="DO6" s="100">
        <v>3.4</v>
      </c>
      <c r="DP6" s="94">
        <f>IF($O6&lt;&gt;0,IF($O6&lt;&gt;0,BL6/$O6*10,0)," ")</f>
        <v>6.3662681212428884</v>
      </c>
      <c r="DQ6" s="94">
        <f>IF($P6&lt;&gt;0,IF($P6&lt;&gt;0,BM6/$P6*10,0)," ")</f>
        <v>6.3662681212428884</v>
      </c>
      <c r="DR6" s="101">
        <f t="shared" ref="DR6:DR35" si="19">$D$2</f>
        <v>2.95</v>
      </c>
      <c r="DS6" s="102"/>
      <c r="DT6" s="103">
        <v>1</v>
      </c>
      <c r="DU6" s="548">
        <v>643832</v>
      </c>
      <c r="DV6" s="361">
        <v>32699</v>
      </c>
      <c r="DW6" s="548">
        <v>5165670</v>
      </c>
      <c r="DX6" s="548">
        <v>125768</v>
      </c>
      <c r="DY6" s="548">
        <v>92396.4</v>
      </c>
      <c r="DZ6" s="548">
        <v>415007</v>
      </c>
      <c r="EA6" s="549">
        <v>250426</v>
      </c>
      <c r="EB6" s="373">
        <v>57592.6</v>
      </c>
      <c r="EC6" s="549">
        <v>431639</v>
      </c>
      <c r="ED6" s="548">
        <v>49714.9</v>
      </c>
      <c r="EE6" s="535">
        <v>42523.9</v>
      </c>
      <c r="EF6" s="549">
        <v>44490.8</v>
      </c>
      <c r="EG6" s="548">
        <v>96971</v>
      </c>
      <c r="EH6" s="548">
        <v>190247.6</v>
      </c>
      <c r="EI6" s="330">
        <v>36382</v>
      </c>
      <c r="EJ6" s="549">
        <v>44944</v>
      </c>
      <c r="EK6" s="549"/>
      <c r="EL6" s="548">
        <v>734193</v>
      </c>
      <c r="EM6" s="548">
        <v>8507</v>
      </c>
      <c r="EN6" s="549">
        <v>50569</v>
      </c>
      <c r="EO6" s="548">
        <v>3189308.5</v>
      </c>
      <c r="EP6" s="549">
        <v>2891176</v>
      </c>
      <c r="EQ6" s="549">
        <v>3047</v>
      </c>
      <c r="ER6" s="549">
        <v>856</v>
      </c>
      <c r="ES6" s="549">
        <v>463422</v>
      </c>
      <c r="ET6" s="549">
        <v>2848374</v>
      </c>
      <c r="EU6" s="549">
        <v>174834</v>
      </c>
      <c r="EV6" s="549">
        <v>487435</v>
      </c>
      <c r="EW6" s="549">
        <v>159766</v>
      </c>
      <c r="EX6" s="548">
        <v>230453</v>
      </c>
      <c r="EY6" s="548">
        <v>1762621</v>
      </c>
      <c r="EZ6" s="548">
        <v>852572</v>
      </c>
      <c r="FA6" s="548">
        <v>779796</v>
      </c>
      <c r="FB6" s="549">
        <v>32163.9</v>
      </c>
      <c r="FC6" s="548">
        <v>4441</v>
      </c>
      <c r="FD6" s="303">
        <f>SUM(FE6:FM6)</f>
        <v>6068</v>
      </c>
      <c r="FE6" s="303">
        <v>782</v>
      </c>
      <c r="FF6" s="549">
        <v>0</v>
      </c>
      <c r="FG6" s="105">
        <v>2244</v>
      </c>
      <c r="FH6" s="549">
        <v>1219</v>
      </c>
      <c r="FI6" s="549">
        <v>656</v>
      </c>
      <c r="FJ6" s="105">
        <v>509</v>
      </c>
      <c r="FK6" s="550">
        <v>0</v>
      </c>
      <c r="FL6" s="549">
        <v>187</v>
      </c>
      <c r="FM6" s="550">
        <v>471</v>
      </c>
      <c r="FN6" s="187">
        <v>2600</v>
      </c>
      <c r="FO6" s="77"/>
      <c r="FP6" s="484"/>
      <c r="FR6" s="64"/>
      <c r="FS6" s="64"/>
      <c r="FT6" s="64"/>
      <c r="FU6" s="64"/>
      <c r="FV6" s="64"/>
      <c r="FW6" s="64"/>
      <c r="FX6" s="64"/>
      <c r="FY6" s="64">
        <v>1</v>
      </c>
      <c r="FZ6" s="107">
        <v>8054</v>
      </c>
      <c r="GA6" s="107">
        <v>1246</v>
      </c>
      <c r="GB6" s="108">
        <f>GA6/FZ6/0.1</f>
        <v>1.5470573628010924</v>
      </c>
      <c r="GC6" s="109"/>
      <c r="GD6" s="110"/>
      <c r="GE6" s="110"/>
      <c r="GF6" s="111"/>
      <c r="GG6" s="111"/>
      <c r="GH6" s="111"/>
      <c r="GI6" s="112"/>
      <c r="GJ6" s="111">
        <f>(SUM(ER5+ES5)/(GB6+GI6))</f>
        <v>299595.22584269667</v>
      </c>
      <c r="GK6" s="113"/>
    </row>
    <row r="7" spans="1:194" ht="15" customHeight="1">
      <c r="B7" s="351">
        <v>43071</v>
      </c>
      <c r="D7" s="86">
        <v>0</v>
      </c>
      <c r="E7" s="86">
        <v>5893.32</v>
      </c>
      <c r="F7" s="86">
        <v>2845.152</v>
      </c>
      <c r="G7" s="86">
        <v>4011.1529999999998</v>
      </c>
      <c r="H7" s="86">
        <v>6597.3280000000004</v>
      </c>
      <c r="I7" s="86">
        <v>1998.0239999999999</v>
      </c>
      <c r="J7" s="86">
        <v>2326.44</v>
      </c>
      <c r="K7" s="86">
        <v>0</v>
      </c>
      <c r="L7" s="86">
        <v>0</v>
      </c>
      <c r="M7" s="87">
        <f>I7+J7</f>
        <v>4324.4639999999999</v>
      </c>
      <c r="N7" s="88">
        <f t="shared" ref="N7:N36" si="20">SUM(D7:H7)</f>
        <v>19346.953000000001</v>
      </c>
      <c r="O7" s="88">
        <f>N7+L7+((J7+I7)*0.5)</f>
        <v>21509.185000000001</v>
      </c>
      <c r="P7" s="89">
        <f t="shared" ref="P7:P36" si="21">P6+O7</f>
        <v>35124.697</v>
      </c>
      <c r="R7" s="170">
        <f t="shared" ref="R7:R36" si="22">IF(EL7=0,"",(EL7-EL6))</f>
        <v>340</v>
      </c>
      <c r="S7" s="170">
        <f t="shared" ref="S7:S36" si="23">IF(EZ7=0,"",((EZ7-EZ6)/10))</f>
        <v>65.2</v>
      </c>
      <c r="T7" s="170">
        <f t="shared" si="2"/>
        <v>352.7</v>
      </c>
      <c r="U7" s="170">
        <f>IF(FB7=0,"",((EN7-EN6)/10))</f>
        <v>6.2</v>
      </c>
      <c r="V7" s="170">
        <f t="shared" ref="V7:V36" si="24">IF(EO7=0,"",(EO7-EO6))</f>
        <v>1161.5</v>
      </c>
      <c r="W7" s="170">
        <f t="shared" si="3"/>
        <v>103.4</v>
      </c>
      <c r="X7" s="170">
        <f t="shared" ref="X7:X36" si="25">IF(V7="","",V7)</f>
        <v>1161.5</v>
      </c>
      <c r="Y7" s="170">
        <f t="shared" ref="Y7:Y36" si="26">IF(EQ7=0,"0",(EQ7/10))</f>
        <v>183.4</v>
      </c>
      <c r="Z7" s="170">
        <f t="shared" si="4"/>
        <v>112.4</v>
      </c>
      <c r="AA7" s="501">
        <f t="shared" ref="AA7:AA36" si="27">IF(SUM(R7:V7)=0,"",SUM(R7:V7))</f>
        <v>1925.6</v>
      </c>
      <c r="AB7" s="170">
        <f t="shared" ref="AB7:AC36" si="28">IF(DU7=0,"",(DU7-DU6))</f>
        <v>31</v>
      </c>
      <c r="AC7" s="170">
        <f t="shared" si="28"/>
        <v>0</v>
      </c>
      <c r="AD7" s="501">
        <f t="shared" si="5"/>
        <v>131</v>
      </c>
      <c r="AE7" s="501">
        <f t="shared" ref="AE7:AE36" si="29">IF(AB7="","",(AD7-AC7-AB7))</f>
        <v>100</v>
      </c>
      <c r="AF7" s="170">
        <f>IF(DX7=0,"",(DX7-DX6))</f>
        <v>156</v>
      </c>
      <c r="AG7" s="170">
        <f t="shared" ref="AF7:AG36" si="30">IF(DY7=0,"",(DY7-DY6))</f>
        <v>21.600000000005821</v>
      </c>
      <c r="AH7" s="501">
        <f t="shared" si="6"/>
        <v>236</v>
      </c>
      <c r="AI7" s="501">
        <f t="shared" ref="AI7:AI36" si="31">IF(AF7="","",(AH7-AG7-AF7))</f>
        <v>58.399999999994179</v>
      </c>
      <c r="AJ7" s="170">
        <f t="shared" ref="AJ7:AK35" si="32">IF(EA7=0,"",(EA7-EA6))</f>
        <v>193</v>
      </c>
      <c r="AK7" s="170">
        <f t="shared" si="32"/>
        <v>27.400000000001455</v>
      </c>
      <c r="AL7" s="501">
        <f t="shared" si="7"/>
        <v>310</v>
      </c>
      <c r="AM7" s="501">
        <f t="shared" ref="AM7:AM36" si="33">IF(AJ7="","",(AL7-AK7-AJ7))</f>
        <v>89.599999999998545</v>
      </c>
      <c r="AN7" s="170">
        <f t="shared" ref="AN7:AN36" si="34">IF(ED7=0,"",(ED7-ED6))</f>
        <v>5.0999999999985448</v>
      </c>
      <c r="AO7" s="501">
        <f t="shared" si="8"/>
        <v>44.299999999995634</v>
      </c>
      <c r="AP7" s="170">
        <f t="shared" ref="AP7:AP36" si="35">IF(EG7=0,"",(EG7-EG6))</f>
        <v>27</v>
      </c>
      <c r="AQ7" s="501">
        <f t="shared" si="9"/>
        <v>34.399999999994179</v>
      </c>
      <c r="AR7" s="170">
        <f t="shared" ref="AR7:AR36" si="36">IF(ET7=0,"",(ET7-ET6)/1000)</f>
        <v>86.45</v>
      </c>
      <c r="AS7" s="501">
        <f t="shared" ref="AS7:AS36" si="37">IF(AR7="","",(ES7-ES6)+((ET7-ET6)/1000)-AW7-AU7)</f>
        <v>32.450000000000045</v>
      </c>
      <c r="AT7" s="501">
        <f t="shared" ref="AT7:AT36" si="38">IF(AR7="","",ES7-ES6+((ET7-ET6)/1000))</f>
        <v>725.45</v>
      </c>
      <c r="AU7" s="170">
        <f>IF(EV7="","",(EV7-EV6))</f>
        <v>407</v>
      </c>
      <c r="AV7" s="501">
        <f>IF(EI7=0,"",(EI7-EI6))</f>
        <v>130</v>
      </c>
      <c r="AW7" s="170">
        <f>IF(EU7="","",(EU7-EU6))</f>
        <v>286</v>
      </c>
      <c r="AX7" s="501">
        <f>IF(EJ7=0,"",(EJ7-EJ6))</f>
        <v>92</v>
      </c>
      <c r="AY7" s="501"/>
      <c r="AZ7" s="170">
        <f t="shared" ref="AZ7:AZ36" si="39">IF(EW7=0,"",EW7-EW6)</f>
        <v>639</v>
      </c>
      <c r="BA7" s="170">
        <v>18.3</v>
      </c>
      <c r="BB7" s="170">
        <f t="shared" ref="BB7:BC36" si="40">IF(EX7=0,"",(EX7-EX6))</f>
        <v>151</v>
      </c>
      <c r="BC7" s="170">
        <f t="shared" si="40"/>
        <v>1087</v>
      </c>
      <c r="BD7" s="170">
        <f t="shared" ref="BD7:BD36" si="41">IF(FA7=0,"",(FA7-FA6))</f>
        <v>156</v>
      </c>
      <c r="BE7" s="90"/>
      <c r="BF7" s="90"/>
      <c r="BG7" s="501">
        <f t="shared" ref="BG7:BG36" si="42">IFERROR(SUM(BB7:BC7)+AZ7+BD7,"")</f>
        <v>2033</v>
      </c>
      <c r="BH7" s="501">
        <f t="shared" ref="BH7:BH36" si="43">BL7-FC7</f>
        <v>5084</v>
      </c>
      <c r="BI7" s="90">
        <f t="shared" si="10"/>
        <v>-1804.74999999999</v>
      </c>
      <c r="BJ7" s="90">
        <f t="shared" ref="BJ7:BJ36" si="44">IF(BH7=0,"",(AA7+AD7+AO7+BG7+AH7+AL7+AQ7+AT7+AX7+AV7))</f>
        <v>5661.74999999999</v>
      </c>
      <c r="BK7" s="92"/>
      <c r="BL7" s="93">
        <f>FD7+FN7</f>
        <v>8941</v>
      </c>
      <c r="BM7" s="93">
        <f t="shared" ref="BM7:BM36" si="45">BL7+BM6</f>
        <v>17609</v>
      </c>
      <c r="BN7" s="92"/>
      <c r="BO7" s="94">
        <f t="shared" ref="BO7:BP35" si="46">IF($N7&lt;&gt;0,IF($N7&lt;&gt;0,R7/$N7*10,0)," ")</f>
        <v>0.17573826741606288</v>
      </c>
      <c r="BP7" s="94">
        <f>IF($N7&lt;&gt;0,IF($N7&lt;&gt;0,S7/$N7*10,0)," ")</f>
        <v>3.370039716331559E-2</v>
      </c>
      <c r="BQ7" s="94">
        <f t="shared" ref="BQ7:BQ36" si="47">IF($N7&lt;&gt;0,IF($N7&lt;&gt;0,T7/$N7*10,0)," ")</f>
        <v>0.18230260858130992</v>
      </c>
      <c r="BR7" s="94">
        <f>IF($N7&lt;&gt;0,IF($N7&lt;&gt;0,(V7)/$N7*10,0)," ")</f>
        <v>0.60035293412869717</v>
      </c>
      <c r="BS7" s="94">
        <f t="shared" si="11"/>
        <v>9.4795288953252732E-2</v>
      </c>
      <c r="BT7" s="94">
        <f t="shared" si="11"/>
        <v>5.8097003698721963E-2</v>
      </c>
      <c r="BU7" s="95">
        <f t="shared" si="11"/>
        <v>0.99529884628344312</v>
      </c>
      <c r="BV7" s="94">
        <f t="shared" si="12"/>
        <v>0.15807200505272515</v>
      </c>
      <c r="BW7" s="94">
        <f t="shared" si="12"/>
        <v>3.0312631557169647E-2</v>
      </c>
      <c r="BX7" s="94">
        <f t="shared" si="12"/>
        <v>0.16397645935910632</v>
      </c>
      <c r="BY7" s="94">
        <f t="shared" ref="BY7:BY36" si="48">IF($O7&lt;&gt;0,IF($O7&lt;&gt;0,(V7)/$O7*10,0)," ")</f>
        <v>0.54000186431982433</v>
      </c>
      <c r="BZ7" s="95">
        <f t="shared" si="13"/>
        <v>0.89524544979272802</v>
      </c>
      <c r="CA7" s="96" t="e">
        <f>#REF!</f>
        <v>#REF!</v>
      </c>
      <c r="CB7" s="94">
        <f t="shared" ref="CB7:CC36" si="49">IF($O7&lt;&gt;0,IF($O7&lt;&gt;0,AR7/$O7*10,0)," ")</f>
        <v>4.019213187296497E-2</v>
      </c>
      <c r="CC7" s="95">
        <f t="shared" si="49"/>
        <v>1.5086578129296875E-2</v>
      </c>
      <c r="CD7" s="97">
        <f t="shared" si="14"/>
        <v>0.19990916793387573</v>
      </c>
      <c r="CE7" s="98">
        <f>IFERROR(AS7*10/($I7+$J7),"")</f>
        <v>7.5038201266099211E-2</v>
      </c>
      <c r="CF7" s="97" t="str">
        <f t="shared" ref="CF7:CG36" si="50">IF($D7&lt;&gt;0,IF($D7&lt;&gt;0,AB7/$D7*10,0),"0,00")</f>
        <v>0,00</v>
      </c>
      <c r="CG7" s="94" t="str">
        <f t="shared" si="50"/>
        <v>0,00</v>
      </c>
      <c r="CH7" s="95" t="str">
        <f t="shared" ref="CH7:CH36" si="51">IF($D7&lt;&gt;0,IF($O7&lt;&gt;0,AD7/$D7*10,0),"0,00 ")</f>
        <v xml:space="preserve">0,00 </v>
      </c>
      <c r="CI7" s="96" t="e">
        <f>#REF!</f>
        <v>#REF!</v>
      </c>
      <c r="CJ7" s="94">
        <f t="shared" ref="CJ7:CK36" si="52">IF($E7&lt;&gt;0,IF($E7&lt;&gt;0,AF7/$E7*10,0),"0,00")</f>
        <v>0.26470648123638291</v>
      </c>
      <c r="CK7" s="94">
        <f t="shared" si="52"/>
        <v>3.6651666632739818E-2</v>
      </c>
      <c r="CL7" s="95">
        <f>IF($E7&lt;&gt;0,IF($E7&lt;&gt;0,AH7/$E7*10,0),"0,00 ")</f>
        <v>0.40045339469093827</v>
      </c>
      <c r="CM7" s="95" t="e">
        <f>#REF!</f>
        <v>#REF!</v>
      </c>
      <c r="CN7" s="94">
        <f t="shared" ref="CN7:CO36" si="53">IF($F7&lt;&gt;0,IF($F7&lt;&gt;0,AJ7/$F7*10,0),"0,00")</f>
        <v>0.67834688621205474</v>
      </c>
      <c r="CO7" s="94">
        <f t="shared" si="53"/>
        <v>9.6304169337882314E-2</v>
      </c>
      <c r="CP7" s="95">
        <f t="shared" ref="CP7:CP36" si="54">IF($F7&lt;&gt;0,IF($F7&lt;&gt;0,AL7/$F7*10,0),"0,00 ")</f>
        <v>1.0895727187862019</v>
      </c>
      <c r="CQ7" s="95" t="e">
        <f>#REF!</f>
        <v>#REF!</v>
      </c>
      <c r="CR7" s="97">
        <f>IF($G7&lt;&gt;0,IF($G7&lt;&gt;0,AN7/$G7*10,0),"0,00 ")</f>
        <v>1.2714548659695965E-2</v>
      </c>
      <c r="CS7" s="95">
        <f>IF($G7&lt;&gt;0,IF($G7&lt;&gt;0,AO7/$G7*10,0),"0,00 ")</f>
        <v>0.11044205992639931</v>
      </c>
      <c r="CT7" s="96" t="e">
        <f>#REF!</f>
        <v>#REF!</v>
      </c>
      <c r="CU7" s="97">
        <f>IF($H7&lt;&gt;0,IF($H7&lt;&gt;0,AP7/$H7*10,0),"0,00 ")</f>
        <v>4.092565960037154E-2</v>
      </c>
      <c r="CV7" s="95">
        <f t="shared" ref="CV7:CV36" si="55">IF($H7&lt;&gt;0,IF($H7&lt;&gt;0,AQ7/$H7*10,0),"0,00 ")</f>
        <v>5.2142321861205286E-2</v>
      </c>
      <c r="CW7" s="96" t="e">
        <f>#REF!</f>
        <v>#REF!</v>
      </c>
      <c r="CX7" s="97">
        <f t="shared" ref="CX7:DA26" si="56">IF($O7&lt;&gt;0,IF($O7&lt;&gt;0,AU7/$O7*10,0)," ")</f>
        <v>0.18922148840135039</v>
      </c>
      <c r="CY7" s="98">
        <f t="shared" si="56"/>
        <v>6.0439296049571371E-2</v>
      </c>
      <c r="CZ7" s="97">
        <f t="shared" si="56"/>
        <v>0.13296645130905702</v>
      </c>
      <c r="DA7" s="98">
        <f t="shared" si="56"/>
        <v>4.2772424896619747E-2</v>
      </c>
      <c r="DB7" s="94">
        <f t="shared" si="15"/>
        <v>0.2970823859667393</v>
      </c>
      <c r="DC7" s="94">
        <f t="shared" si="16"/>
        <v>7.0202566949886747E-2</v>
      </c>
      <c r="DD7" s="94">
        <f t="shared" si="16"/>
        <v>0.50536549850680068</v>
      </c>
      <c r="DE7" s="94">
        <f t="shared" si="16"/>
        <v>7.2527155259485651E-2</v>
      </c>
      <c r="DF7" s="94">
        <f t="shared" si="16"/>
        <v>0</v>
      </c>
      <c r="DG7" s="94">
        <f t="shared" si="16"/>
        <v>0</v>
      </c>
      <c r="DH7" s="95">
        <f t="shared" si="16"/>
        <v>0.94517760668291229</v>
      </c>
      <c r="DI7" s="96" t="e">
        <f>#REF!</f>
        <v>#REF!</v>
      </c>
      <c r="DJ7" s="95">
        <f t="shared" ref="DJ7:DJ36" si="57">IF($O7&lt;&gt;0,IF($O7&lt;&gt;0,BH7/$O7*10,0)," ")</f>
        <v>2.3636413932001608</v>
      </c>
      <c r="DK7" s="96" t="e">
        <f>#REF!</f>
        <v>#REF!</v>
      </c>
      <c r="DL7" s="95">
        <f t="shared" ref="DL7:DL36" si="58">IF($O7&lt;&gt;0,BI7/$O7*10," ")</f>
        <v>-0.83906015034971804</v>
      </c>
      <c r="DM7" s="96">
        <f t="shared" si="17"/>
        <v>0</v>
      </c>
      <c r="DN7" s="94">
        <f t="shared" si="18"/>
        <v>2.6322475723743088</v>
      </c>
      <c r="DO7" s="100">
        <v>3.4</v>
      </c>
      <c r="DP7" s="94">
        <f>IF($O7&lt;&gt;0,IF($O7&lt;&gt;0,BL7/$O7*10,0)," ")</f>
        <v>4.1568288152247508</v>
      </c>
      <c r="DQ7" s="94">
        <f>IF($P7&lt;&gt;0,IF($P7&lt;&gt;0,BM7/$P7*10,0)," ")</f>
        <v>5.0132816804085163</v>
      </c>
      <c r="DR7" s="101">
        <f t="shared" si="19"/>
        <v>2.95</v>
      </c>
      <c r="DS7" s="116"/>
      <c r="DT7" s="103">
        <v>2</v>
      </c>
      <c r="DU7" s="120">
        <v>643863</v>
      </c>
      <c r="DV7" s="361">
        <v>32699</v>
      </c>
      <c r="DW7" s="120">
        <v>5165770</v>
      </c>
      <c r="DX7" s="120">
        <v>125924</v>
      </c>
      <c r="DY7" s="553">
        <v>92418</v>
      </c>
      <c r="DZ7" s="553">
        <v>415087</v>
      </c>
      <c r="EA7" s="553">
        <v>250619</v>
      </c>
      <c r="EB7" s="553">
        <v>57620</v>
      </c>
      <c r="EC7" s="553">
        <v>431756</v>
      </c>
      <c r="ED7" s="553">
        <v>49720</v>
      </c>
      <c r="EE7" s="553">
        <v>42559</v>
      </c>
      <c r="EF7" s="553">
        <v>44500</v>
      </c>
      <c r="EG7" s="553">
        <v>96998</v>
      </c>
      <c r="EH7" s="553">
        <v>190282</v>
      </c>
      <c r="EI7" s="553">
        <v>36512</v>
      </c>
      <c r="EJ7" s="553">
        <v>45036</v>
      </c>
      <c r="EK7" s="553"/>
      <c r="EL7" s="553">
        <v>734533</v>
      </c>
      <c r="EM7" s="553">
        <v>3527</v>
      </c>
      <c r="EN7" s="553">
        <v>50631</v>
      </c>
      <c r="EO7" s="553">
        <v>3190470</v>
      </c>
      <c r="EP7" s="553">
        <v>2892210</v>
      </c>
      <c r="EQ7" s="553">
        <v>1834</v>
      </c>
      <c r="ER7" s="553">
        <v>1124</v>
      </c>
      <c r="ES7" s="553">
        <v>464061</v>
      </c>
      <c r="ET7" s="553">
        <v>2934824</v>
      </c>
      <c r="EU7" s="553">
        <v>175120</v>
      </c>
      <c r="EV7" s="553">
        <v>487842</v>
      </c>
      <c r="EW7" s="553">
        <v>160405</v>
      </c>
      <c r="EX7" s="553">
        <v>230604</v>
      </c>
      <c r="EY7" s="553">
        <v>1763708</v>
      </c>
      <c r="EZ7" s="553">
        <v>853224</v>
      </c>
      <c r="FA7" s="553">
        <v>779952</v>
      </c>
      <c r="FB7" s="553">
        <v>31977</v>
      </c>
      <c r="FC7" s="135">
        <v>3857</v>
      </c>
      <c r="FD7" s="303">
        <f>SUM(FE7:FM7)</f>
        <v>6341</v>
      </c>
      <c r="FE7" s="493">
        <v>771</v>
      </c>
      <c r="FF7" s="494">
        <v>0</v>
      </c>
      <c r="FG7" s="105">
        <v>2225</v>
      </c>
      <c r="FH7" s="303">
        <v>1402</v>
      </c>
      <c r="FI7" s="303">
        <v>608</v>
      </c>
      <c r="FJ7" s="105">
        <v>493</v>
      </c>
      <c r="FK7" s="303">
        <v>212</v>
      </c>
      <c r="FL7" s="303">
        <v>156</v>
      </c>
      <c r="FM7" s="303">
        <v>474</v>
      </c>
      <c r="FN7" s="80">
        <v>2600</v>
      </c>
      <c r="FO7" s="77"/>
      <c r="FP7" s="353"/>
      <c r="FR7" s="64"/>
      <c r="FS7" s="64"/>
      <c r="FT7" s="64"/>
      <c r="FU7" s="64"/>
      <c r="FV7" s="64"/>
      <c r="FW7" s="64"/>
      <c r="FX7" s="64"/>
      <c r="FY7" s="64">
        <v>2</v>
      </c>
      <c r="FZ7" s="107"/>
      <c r="GA7" s="107">
        <v>83</v>
      </c>
      <c r="GB7" s="108"/>
      <c r="GC7" s="109"/>
      <c r="GD7" s="110"/>
      <c r="GE7" s="110"/>
      <c r="GF7" s="111"/>
      <c r="GG7" s="111"/>
      <c r="GH7" s="111"/>
      <c r="GI7" s="112"/>
      <c r="GJ7" s="111" t="e">
        <f t="shared" ref="GJ7:GJ37" si="59">(SUM(EQ6+ER6)/(GB7+GI7))</f>
        <v>#DIV/0!</v>
      </c>
      <c r="GK7" s="118"/>
    </row>
    <row r="8" spans="1:194" s="119" customFormat="1" ht="15" customHeight="1">
      <c r="B8" s="351">
        <v>43072</v>
      </c>
      <c r="D8" s="86">
        <v>0</v>
      </c>
      <c r="E8" s="86">
        <v>5011.5599999999995</v>
      </c>
      <c r="F8" s="86">
        <v>3006.72</v>
      </c>
      <c r="G8" s="86">
        <v>3760.741</v>
      </c>
      <c r="H8" s="86">
        <v>737.76599999999996</v>
      </c>
      <c r="I8" s="86">
        <v>1849.7089999999998</v>
      </c>
      <c r="J8" s="86">
        <v>6459.6</v>
      </c>
      <c r="K8" s="86">
        <v>0</v>
      </c>
      <c r="L8" s="86">
        <v>0</v>
      </c>
      <c r="M8" s="115">
        <f t="shared" ref="M8:M36" si="60">I8+J8</f>
        <v>8309.3090000000011</v>
      </c>
      <c r="N8" s="88">
        <f t="shared" si="20"/>
        <v>12516.786999999998</v>
      </c>
      <c r="O8" s="88">
        <f>N8+L8+((J8+I8)*0.5)</f>
        <v>16671.441500000001</v>
      </c>
      <c r="P8" s="89">
        <f>(P7+O8)</f>
        <v>51796.138500000001</v>
      </c>
      <c r="R8" s="170">
        <f t="shared" si="22"/>
        <v>291.40000000002328</v>
      </c>
      <c r="S8" s="170">
        <f t="shared" si="23"/>
        <v>0.1</v>
      </c>
      <c r="T8" s="170">
        <f t="shared" si="2"/>
        <v>815.9</v>
      </c>
      <c r="U8" s="170">
        <f>IF(FB8=0,"",((EN8-EN7)/10))</f>
        <v>5.7</v>
      </c>
      <c r="V8" s="170">
        <f t="shared" si="24"/>
        <v>1155</v>
      </c>
      <c r="W8" s="170">
        <f t="shared" si="3"/>
        <v>102.1</v>
      </c>
      <c r="X8" s="170">
        <f t="shared" si="25"/>
        <v>1155</v>
      </c>
      <c r="Y8" s="170">
        <f t="shared" si="26"/>
        <v>255.2</v>
      </c>
      <c r="Z8" s="170">
        <f t="shared" si="4"/>
        <v>107.4</v>
      </c>
      <c r="AA8" s="501">
        <f t="shared" si="27"/>
        <v>2268.1000000000231</v>
      </c>
      <c r="AB8" s="170">
        <f t="shared" si="28"/>
        <v>0</v>
      </c>
      <c r="AC8" s="170">
        <f t="shared" si="28"/>
        <v>0</v>
      </c>
      <c r="AD8" s="501">
        <f t="shared" si="5"/>
        <v>0</v>
      </c>
      <c r="AE8" s="501">
        <f t="shared" si="29"/>
        <v>0</v>
      </c>
      <c r="AF8" s="170">
        <f t="shared" si="30"/>
        <v>114</v>
      </c>
      <c r="AG8" s="170">
        <f t="shared" si="30"/>
        <v>7.6999999999970896</v>
      </c>
      <c r="AH8" s="501">
        <f t="shared" si="6"/>
        <v>181</v>
      </c>
      <c r="AI8" s="501">
        <f t="shared" si="31"/>
        <v>59.30000000000291</v>
      </c>
      <c r="AJ8" s="170">
        <f t="shared" si="32"/>
        <v>168</v>
      </c>
      <c r="AK8" s="170">
        <f t="shared" si="32"/>
        <v>27.400000000001455</v>
      </c>
      <c r="AL8" s="501">
        <f t="shared" si="7"/>
        <v>289</v>
      </c>
      <c r="AM8" s="501">
        <f t="shared" si="33"/>
        <v>93.599999999998545</v>
      </c>
      <c r="AN8" s="170">
        <f t="shared" si="34"/>
        <v>18.5</v>
      </c>
      <c r="AO8" s="501">
        <f t="shared" si="8"/>
        <v>48.19999999999709</v>
      </c>
      <c r="AP8" s="170">
        <f t="shared" si="35"/>
        <v>8.3999999999941792</v>
      </c>
      <c r="AQ8" s="501">
        <f t="shared" si="9"/>
        <v>62.799999999988358</v>
      </c>
      <c r="AR8" s="170">
        <f t="shared" si="36"/>
        <v>76.290999999999997</v>
      </c>
      <c r="AS8" s="501">
        <f t="shared" si="37"/>
        <v>122.29099999999994</v>
      </c>
      <c r="AT8" s="501">
        <f t="shared" si="38"/>
        <v>844.29099999999994</v>
      </c>
      <c r="AU8" s="170">
        <f t="shared" ref="AU8:AU36" si="61">IF(EV8="","",(EV8-EV7))</f>
        <v>474</v>
      </c>
      <c r="AV8" s="501">
        <f t="shared" ref="AV8:AV36" si="62">IF(EI8=0,"",(EI8-EI7))</f>
        <v>42</v>
      </c>
      <c r="AW8" s="170">
        <f t="shared" ref="AW8:AW36" si="63">IF(EU8="","",(EU8-EU7))</f>
        <v>248</v>
      </c>
      <c r="AX8" s="501">
        <f t="shared" ref="AX8:AY36" si="64">IF(EJ8=0,"",(EJ8-EJ7))</f>
        <v>30</v>
      </c>
      <c r="AY8" s="501"/>
      <c r="AZ8" s="170">
        <f t="shared" si="39"/>
        <v>587</v>
      </c>
      <c r="BA8" s="170">
        <v>0</v>
      </c>
      <c r="BB8" s="170">
        <f t="shared" si="40"/>
        <v>118</v>
      </c>
      <c r="BC8" s="170">
        <f t="shared" si="40"/>
        <v>1032</v>
      </c>
      <c r="BD8" s="170">
        <f t="shared" si="41"/>
        <v>488.30000000004657</v>
      </c>
      <c r="BE8" s="90"/>
      <c r="BF8" s="90"/>
      <c r="BG8" s="501">
        <f>IFERROR(SUM(BB8:BC8)+AZ8+BD8,"")</f>
        <v>2225.3000000000466</v>
      </c>
      <c r="BH8" s="501">
        <f t="shared" si="43"/>
        <v>6351</v>
      </c>
      <c r="BI8" s="90">
        <f t="shared" si="10"/>
        <v>-4579.6910000000553</v>
      </c>
      <c r="BJ8" s="90">
        <f t="shared" si="44"/>
        <v>5990.6910000000553</v>
      </c>
      <c r="BK8" s="92"/>
      <c r="BL8" s="93">
        <f t="shared" ref="BL8:BL33" si="65">FD8+FN8</f>
        <v>7762</v>
      </c>
      <c r="BM8" s="93">
        <f t="shared" si="45"/>
        <v>25371</v>
      </c>
      <c r="BN8" s="92" t="s">
        <v>125</v>
      </c>
      <c r="BO8" s="94">
        <f t="shared" si="46"/>
        <v>0.23280734904254849</v>
      </c>
      <c r="BP8" s="94">
        <f t="shared" si="46"/>
        <v>7.9892707289818077E-5</v>
      </c>
      <c r="BQ8" s="94">
        <f t="shared" si="47"/>
        <v>0.65184459877762568</v>
      </c>
      <c r="BR8" s="94">
        <f t="shared" ref="BR8:BR36" si="66">IF($N8&lt;&gt;0,IF($N8&lt;&gt;0,(V8)/$N8*10,0)," ")</f>
        <v>0.9227607691973988</v>
      </c>
      <c r="BS8" s="94">
        <f t="shared" si="11"/>
        <v>0.20388618900361571</v>
      </c>
      <c r="BT8" s="94">
        <f t="shared" si="11"/>
        <v>8.5804767629264617E-2</v>
      </c>
      <c r="BU8" s="95">
        <f t="shared" si="11"/>
        <v>1.8120464940403822</v>
      </c>
      <c r="BV8" s="94">
        <f t="shared" si="12"/>
        <v>0.1747899244345627</v>
      </c>
      <c r="BW8" s="94">
        <f t="shared" si="12"/>
        <v>5.9982815523180768E-5</v>
      </c>
      <c r="BX8" s="94">
        <f t="shared" si="12"/>
        <v>0.48939979185363186</v>
      </c>
      <c r="BY8" s="94">
        <f t="shared" si="48"/>
        <v>0.69280151929273781</v>
      </c>
      <c r="BZ8" s="95">
        <f t="shared" si="13"/>
        <v>1.3604702388812768</v>
      </c>
      <c r="CA8" s="96" t="e">
        <f>#REF!</f>
        <v>#REF!</v>
      </c>
      <c r="CB8" s="94">
        <f t="shared" si="49"/>
        <v>4.5761489790789832E-2</v>
      </c>
      <c r="CC8" s="95">
        <f t="shared" si="49"/>
        <v>7.3353584931452942E-2</v>
      </c>
      <c r="CD8" s="97">
        <f t="shared" si="14"/>
        <v>9.1813892105829728E-2</v>
      </c>
      <c r="CE8" s="98">
        <f t="shared" si="14"/>
        <v>0.14717348939604957</v>
      </c>
      <c r="CF8" s="97" t="str">
        <f t="shared" si="50"/>
        <v>0,00</v>
      </c>
      <c r="CG8" s="94" t="str">
        <f t="shared" si="50"/>
        <v>0,00</v>
      </c>
      <c r="CH8" s="95" t="str">
        <f t="shared" si="51"/>
        <v xml:space="preserve">0,00 </v>
      </c>
      <c r="CI8" s="96" t="e">
        <f>#REF!</f>
        <v>#REF!</v>
      </c>
      <c r="CJ8" s="94">
        <f t="shared" si="52"/>
        <v>0.22747407992720833</v>
      </c>
      <c r="CK8" s="94">
        <f t="shared" si="52"/>
        <v>1.5364477328410895E-2</v>
      </c>
      <c r="CL8" s="95">
        <f t="shared" ref="CL8:CL36" si="67">IF($E8&lt;&gt;0,IF($E8&lt;&gt;0,AH8/$E8*10,0),"0,00 ")</f>
        <v>0.36116498655109397</v>
      </c>
      <c r="CM8" s="95" t="e">
        <f>#REF!</f>
        <v>#REF!</v>
      </c>
      <c r="CN8" s="94">
        <f t="shared" si="53"/>
        <v>0.55874840357598976</v>
      </c>
      <c r="CO8" s="94">
        <f t="shared" si="53"/>
        <v>9.112920391656508E-2</v>
      </c>
      <c r="CP8" s="95">
        <f t="shared" si="54"/>
        <v>0.96118028948488732</v>
      </c>
      <c r="CQ8" s="95" t="e">
        <f>#REF!</f>
        <v>#REF!</v>
      </c>
      <c r="CR8" s="97">
        <f t="shared" ref="CR8:CS36" si="68">IF($G8&lt;&gt;0,IF($G8&lt;&gt;0,AN8/$G8*10,0),"0,00 ")</f>
        <v>4.9192433086990041E-2</v>
      </c>
      <c r="CS8" s="95">
        <f t="shared" si="68"/>
        <v>0.12816623106987982</v>
      </c>
      <c r="CT8" s="96" t="e">
        <f>#REF!</f>
        <v>#REF!</v>
      </c>
      <c r="CU8" s="97">
        <f t="shared" ref="CU8:CU36" si="69">IF($H8&lt;&gt;0,IF($H8&lt;&gt;0,AP8/$H8*10,0),"0,00 ")</f>
        <v>0.11385723928717478</v>
      </c>
      <c r="CV8" s="95">
        <f t="shared" si="55"/>
        <v>0.85121840800454829</v>
      </c>
      <c r="CW8" s="96" t="e">
        <f>#REF!</f>
        <v>#REF!</v>
      </c>
      <c r="CX8" s="97">
        <f t="shared" si="56"/>
        <v>0.28431854557987679</v>
      </c>
      <c r="CY8" s="98">
        <f t="shared" si="56"/>
        <v>2.5192782519735918E-2</v>
      </c>
      <c r="CZ8" s="97">
        <f t="shared" si="56"/>
        <v>0.14875738249748829</v>
      </c>
      <c r="DA8" s="98">
        <f t="shared" si="56"/>
        <v>1.799484465695423E-2</v>
      </c>
      <c r="DB8" s="94">
        <f t="shared" si="15"/>
        <v>0.35209912712107105</v>
      </c>
      <c r="DC8" s="94">
        <f t="shared" si="16"/>
        <v>7.07797223173533E-2</v>
      </c>
      <c r="DD8" s="94">
        <f t="shared" si="16"/>
        <v>0.61902265619922547</v>
      </c>
      <c r="DE8" s="94">
        <f t="shared" si="16"/>
        <v>0.29289608819971957</v>
      </c>
      <c r="DF8" s="94">
        <f t="shared" si="16"/>
        <v>0</v>
      </c>
      <c r="DG8" s="94">
        <f t="shared" si="16"/>
        <v>0</v>
      </c>
      <c r="DH8" s="95">
        <f t="shared" si="16"/>
        <v>1.3347975938373693</v>
      </c>
      <c r="DI8" s="96" t="e">
        <f>#REF!</f>
        <v>#REF!</v>
      </c>
      <c r="DJ8" s="95">
        <f t="shared" si="57"/>
        <v>3.8095086138772101</v>
      </c>
      <c r="DK8" s="96" t="e">
        <f>#REF!</f>
        <v>#REF!</v>
      </c>
      <c r="DL8" s="95">
        <f t="shared" si="58"/>
        <v>-2.7470276040617452</v>
      </c>
      <c r="DM8" s="96">
        <f t="shared" si="17"/>
        <v>0</v>
      </c>
      <c r="DN8" s="94">
        <f t="shared" si="18"/>
        <v>3.5933851310938261</v>
      </c>
      <c r="DO8" s="100">
        <v>3.4</v>
      </c>
      <c r="DP8" s="94">
        <f>IF($O8&lt;&gt;0,IF($O8&lt;&gt;0,BL8/$O8*10,0)," ")</f>
        <v>4.655866140909291</v>
      </c>
      <c r="DQ8" s="94">
        <f>IF($P8&lt;&gt;0,IF($P8&lt;&gt;0,BM8/$P8*10,0)," ")</f>
        <v>4.8982415938207442</v>
      </c>
      <c r="DR8" s="101">
        <f t="shared" si="19"/>
        <v>2.95</v>
      </c>
      <c r="DS8" s="116"/>
      <c r="DT8" s="103">
        <v>3</v>
      </c>
      <c r="DU8" s="120">
        <v>643863</v>
      </c>
      <c r="DV8" s="361">
        <v>32699</v>
      </c>
      <c r="DW8" s="136">
        <v>5165770</v>
      </c>
      <c r="DX8" s="135">
        <v>126038</v>
      </c>
      <c r="DY8" s="136">
        <v>92425.7</v>
      </c>
      <c r="DZ8" s="136">
        <v>415154</v>
      </c>
      <c r="EA8" s="135">
        <v>250787</v>
      </c>
      <c r="EB8" s="519">
        <v>57647.4</v>
      </c>
      <c r="EC8" s="136">
        <v>431877</v>
      </c>
      <c r="ED8" s="135">
        <v>49738.5</v>
      </c>
      <c r="EE8" s="556">
        <v>42589</v>
      </c>
      <c r="EF8" s="556">
        <v>44518.2</v>
      </c>
      <c r="EG8" s="135">
        <v>97006.399999999994</v>
      </c>
      <c r="EH8" s="135">
        <v>190344.8</v>
      </c>
      <c r="EI8" s="135">
        <v>36554</v>
      </c>
      <c r="EJ8" s="136">
        <v>45066</v>
      </c>
      <c r="EK8" s="136"/>
      <c r="EL8" s="135">
        <v>734824.4</v>
      </c>
      <c r="EM8" s="136">
        <v>8159</v>
      </c>
      <c r="EN8" s="136">
        <v>50688</v>
      </c>
      <c r="EO8" s="135">
        <v>3191625</v>
      </c>
      <c r="EP8" s="136">
        <v>2893231</v>
      </c>
      <c r="EQ8" s="136">
        <v>2552</v>
      </c>
      <c r="ER8" s="136">
        <v>1074</v>
      </c>
      <c r="ES8" s="144">
        <v>464829</v>
      </c>
      <c r="ET8" s="136">
        <v>3011115</v>
      </c>
      <c r="EU8" s="136">
        <v>175368</v>
      </c>
      <c r="EV8" s="136">
        <v>488316</v>
      </c>
      <c r="EW8" s="136">
        <v>160992</v>
      </c>
      <c r="EX8" s="135">
        <v>230722</v>
      </c>
      <c r="EY8" s="135">
        <v>1764740</v>
      </c>
      <c r="EZ8" s="146">
        <v>853225</v>
      </c>
      <c r="FA8" s="146">
        <v>780440.3</v>
      </c>
      <c r="FB8" s="125">
        <v>31977</v>
      </c>
      <c r="FC8" s="136">
        <v>1411</v>
      </c>
      <c r="FD8" s="303">
        <f>SUM(FE8:FM8)</f>
        <v>5162</v>
      </c>
      <c r="FE8" s="367">
        <v>650</v>
      </c>
      <c r="FF8" s="495">
        <v>0</v>
      </c>
      <c r="FG8" s="105">
        <v>1920</v>
      </c>
      <c r="FH8" s="303">
        <v>766</v>
      </c>
      <c r="FI8" s="136">
        <v>603</v>
      </c>
      <c r="FJ8" s="105">
        <v>471</v>
      </c>
      <c r="FK8" s="136">
        <v>114</v>
      </c>
      <c r="FL8" s="303">
        <v>155</v>
      </c>
      <c r="FM8" s="303">
        <v>483</v>
      </c>
      <c r="FN8" s="80">
        <v>2600</v>
      </c>
      <c r="FO8" s="77"/>
      <c r="FP8" s="398"/>
      <c r="FY8" s="119">
        <v>3</v>
      </c>
      <c r="FZ8" s="107"/>
      <c r="GA8" s="107">
        <v>0</v>
      </c>
      <c r="GB8" s="108"/>
      <c r="GC8" s="109"/>
      <c r="GD8" s="110"/>
      <c r="GE8" s="110"/>
      <c r="GF8" s="111"/>
      <c r="GG8" s="111"/>
      <c r="GH8" s="111"/>
      <c r="GI8" s="112"/>
      <c r="GJ8" s="111" t="e">
        <f t="shared" si="59"/>
        <v>#DIV/0!</v>
      </c>
      <c r="GK8" s="113"/>
    </row>
    <row r="9" spans="1:194" s="119" customFormat="1" ht="15" customHeight="1">
      <c r="B9" s="351">
        <v>43073</v>
      </c>
      <c r="D9" s="86">
        <v>0</v>
      </c>
      <c r="E9" s="86">
        <v>5982.6</v>
      </c>
      <c r="F9" s="152">
        <v>2304.7200000000003</v>
      </c>
      <c r="G9" s="86">
        <v>3966.002</v>
      </c>
      <c r="H9" s="86">
        <v>5419.7849999999999</v>
      </c>
      <c r="I9" s="86">
        <v>1950.8989999999999</v>
      </c>
      <c r="J9" s="86">
        <v>3347.16</v>
      </c>
      <c r="K9" s="86">
        <v>0</v>
      </c>
      <c r="L9" s="86">
        <v>136.24</v>
      </c>
      <c r="M9" s="115">
        <f t="shared" si="60"/>
        <v>5298.0589999999993</v>
      </c>
      <c r="N9" s="88">
        <f t="shared" si="20"/>
        <v>17673.107</v>
      </c>
      <c r="O9" s="88">
        <f>N9+L9+((J9+I9)*0.5)</f>
        <v>20458.376500000002</v>
      </c>
      <c r="P9" s="89">
        <f t="shared" si="21"/>
        <v>72254.514999999999</v>
      </c>
      <c r="R9" s="170">
        <f t="shared" si="22"/>
        <v>299</v>
      </c>
      <c r="S9" s="170">
        <f t="shared" si="23"/>
        <v>-4.0000000002328305E-2</v>
      </c>
      <c r="T9" s="170">
        <f t="shared" si="2"/>
        <v>443.3</v>
      </c>
      <c r="U9" s="170" t="str">
        <f>IF(FB9=0,"",((EN9-EN8)/10))</f>
        <v/>
      </c>
      <c r="V9" s="170">
        <f>IF(EO9=0,"",(EO9-EO8))</f>
        <v>985.89999999990687</v>
      </c>
      <c r="W9" s="170">
        <f t="shared" si="3"/>
        <v>87.8</v>
      </c>
      <c r="X9" s="170">
        <f t="shared" si="25"/>
        <v>985.89999999990687</v>
      </c>
      <c r="Y9" s="170" t="str">
        <f t="shared" si="26"/>
        <v>0</v>
      </c>
      <c r="Z9" s="170">
        <f t="shared" si="4"/>
        <v>39.200000000000003</v>
      </c>
      <c r="AA9" s="501">
        <f t="shared" si="27"/>
        <v>1728.1599999999046</v>
      </c>
      <c r="AB9" s="170">
        <f t="shared" si="28"/>
        <v>9</v>
      </c>
      <c r="AC9" s="170">
        <f t="shared" si="28"/>
        <v>66</v>
      </c>
      <c r="AD9" s="501">
        <f t="shared" si="5"/>
        <v>155</v>
      </c>
      <c r="AE9" s="501">
        <f t="shared" si="29"/>
        <v>80</v>
      </c>
      <c r="AF9" s="170">
        <f t="shared" si="30"/>
        <v>221</v>
      </c>
      <c r="AG9" s="170">
        <f t="shared" si="30"/>
        <v>11</v>
      </c>
      <c r="AH9" s="501">
        <f t="shared" si="6"/>
        <v>307</v>
      </c>
      <c r="AI9" s="501">
        <f t="shared" si="31"/>
        <v>75</v>
      </c>
      <c r="AJ9" s="170">
        <f t="shared" si="32"/>
        <v>155</v>
      </c>
      <c r="AK9" s="170">
        <f t="shared" si="32"/>
        <v>199.79999999999563</v>
      </c>
      <c r="AL9" s="501">
        <f t="shared" si="7"/>
        <v>471</v>
      </c>
      <c r="AM9" s="501">
        <f t="shared" si="33"/>
        <v>116.20000000000437</v>
      </c>
      <c r="AN9" s="170">
        <f t="shared" si="34"/>
        <v>24.5</v>
      </c>
      <c r="AO9" s="501">
        <f t="shared" si="8"/>
        <v>48.400000000008731</v>
      </c>
      <c r="AP9" s="170">
        <f t="shared" si="35"/>
        <v>51.30000000000291</v>
      </c>
      <c r="AQ9" s="501">
        <f t="shared" si="9"/>
        <v>57.400000000023283</v>
      </c>
      <c r="AR9" s="170">
        <f t="shared" si="36"/>
        <v>105.54</v>
      </c>
      <c r="AS9" s="501">
        <f t="shared" si="37"/>
        <v>140.53999999999996</v>
      </c>
      <c r="AT9" s="501">
        <f t="shared" si="38"/>
        <v>928.54</v>
      </c>
      <c r="AU9" s="170">
        <f t="shared" si="61"/>
        <v>459</v>
      </c>
      <c r="AV9" s="501">
        <f t="shared" si="62"/>
        <v>15</v>
      </c>
      <c r="AW9" s="170">
        <f t="shared" si="63"/>
        <v>329</v>
      </c>
      <c r="AX9" s="501">
        <f t="shared" si="64"/>
        <v>31</v>
      </c>
      <c r="AY9" s="501"/>
      <c r="AZ9" s="170">
        <f t="shared" si="39"/>
        <v>534</v>
      </c>
      <c r="BA9" s="170">
        <v>113.5</v>
      </c>
      <c r="BB9" s="170">
        <f t="shared" si="40"/>
        <v>111.29999999998836</v>
      </c>
      <c r="BC9" s="170">
        <f t="shared" si="40"/>
        <v>1230.1000000000931</v>
      </c>
      <c r="BD9" s="170">
        <f t="shared" si="41"/>
        <v>197.69999999995343</v>
      </c>
      <c r="BE9" s="90"/>
      <c r="BF9" s="90"/>
      <c r="BG9" s="501">
        <f>IFERROR(SUM(BB9:BC9)+AZ9+BD9,"")</f>
        <v>2073.1000000000349</v>
      </c>
      <c r="BH9" s="501">
        <f t="shared" si="43"/>
        <v>5120</v>
      </c>
      <c r="BI9" s="90">
        <f t="shared" si="10"/>
        <v>-2619.5999999999713</v>
      </c>
      <c r="BJ9" s="90">
        <f t="shared" si="44"/>
        <v>5814.5999999999713</v>
      </c>
      <c r="BK9" s="92"/>
      <c r="BL9" s="93">
        <f t="shared" si="65"/>
        <v>8315</v>
      </c>
      <c r="BM9" s="93">
        <f t="shared" si="45"/>
        <v>33686</v>
      </c>
      <c r="BN9" s="92"/>
      <c r="BO9" s="94">
        <f t="shared" si="46"/>
        <v>0.16918360761353393</v>
      </c>
      <c r="BP9" s="94">
        <f t="shared" si="46"/>
        <v>-2.2633258544934009E-5</v>
      </c>
      <c r="BQ9" s="94">
        <f t="shared" si="47"/>
        <v>0.25083308780963076</v>
      </c>
      <c r="BR9" s="94">
        <f t="shared" si="66"/>
        <v>0.55785323995373703</v>
      </c>
      <c r="BS9" s="94">
        <f t="shared" si="11"/>
        <v>0</v>
      </c>
      <c r="BT9" s="94">
        <f t="shared" si="11"/>
        <v>2.2180593372744251E-2</v>
      </c>
      <c r="BU9" s="95">
        <f t="shared" si="11"/>
        <v>0.97784730211835669</v>
      </c>
      <c r="BV9" s="94">
        <f t="shared" si="12"/>
        <v>0.1461504044565804</v>
      </c>
      <c r="BW9" s="94">
        <f t="shared" si="12"/>
        <v>-1.9551893573924747E-5</v>
      </c>
      <c r="BX9" s="94">
        <f t="shared" si="12"/>
        <v>0.21668386052040833</v>
      </c>
      <c r="BY9" s="94">
        <f t="shared" si="48"/>
        <v>0.4819052968352141</v>
      </c>
      <c r="BZ9" s="95">
        <f t="shared" si="13"/>
        <v>0.84472000991862894</v>
      </c>
      <c r="CA9" s="96" t="e">
        <f>#REF!</f>
        <v>#REF!</v>
      </c>
      <c r="CB9" s="94">
        <f t="shared" si="49"/>
        <v>5.1587671191797649E-2</v>
      </c>
      <c r="CC9" s="95">
        <f t="shared" si="49"/>
        <v>6.8695578067985971E-2</v>
      </c>
      <c r="CD9" s="97">
        <f t="shared" si="14"/>
        <v>0.19920502961556302</v>
      </c>
      <c r="CE9" s="98">
        <f t="shared" si="14"/>
        <v>0.26526695908822456</v>
      </c>
      <c r="CF9" s="97" t="str">
        <f t="shared" si="50"/>
        <v>0,00</v>
      </c>
      <c r="CG9" s="94" t="str">
        <f t="shared" si="50"/>
        <v>0,00</v>
      </c>
      <c r="CH9" s="95" t="str">
        <f t="shared" si="51"/>
        <v xml:space="preserve">0,00 </v>
      </c>
      <c r="CI9" s="96" t="e">
        <f>#REF!</f>
        <v>#REF!</v>
      </c>
      <c r="CJ9" s="94">
        <f t="shared" si="52"/>
        <v>0.36940460669274228</v>
      </c>
      <c r="CK9" s="94">
        <f t="shared" si="52"/>
        <v>1.8386654631765451E-2</v>
      </c>
      <c r="CL9" s="95">
        <f t="shared" si="67"/>
        <v>0.51315481563199938</v>
      </c>
      <c r="CM9" s="95" t="e">
        <f>#REF!</f>
        <v>#REF!</v>
      </c>
      <c r="CN9" s="94">
        <f t="shared" si="53"/>
        <v>0.67253288902773434</v>
      </c>
      <c r="CO9" s="94">
        <f t="shared" si="53"/>
        <v>0.86691658856605402</v>
      </c>
      <c r="CP9" s="95">
        <f t="shared" si="54"/>
        <v>2.0436321982713732</v>
      </c>
      <c r="CQ9" s="95" t="e">
        <f>#REF!</f>
        <v>#REF!</v>
      </c>
      <c r="CR9" s="97">
        <f t="shared" si="68"/>
        <v>6.1775057097802774E-2</v>
      </c>
      <c r="CS9" s="95">
        <f t="shared" si="68"/>
        <v>0.12203725565445689</v>
      </c>
      <c r="CT9" s="96" t="e">
        <f>#REF!</f>
        <v>#REF!</v>
      </c>
      <c r="CU9" s="97">
        <f t="shared" si="69"/>
        <v>9.465320118787536E-2</v>
      </c>
      <c r="CV9" s="95">
        <f t="shared" si="55"/>
        <v>0.10590826019855637</v>
      </c>
      <c r="CW9" s="96" t="e">
        <f>#REF!</f>
        <v>#REF!</v>
      </c>
      <c r="CX9" s="97">
        <f t="shared" si="56"/>
        <v>0.22435797874772709</v>
      </c>
      <c r="CY9" s="98">
        <f t="shared" si="56"/>
        <v>7.3319600897950032E-3</v>
      </c>
      <c r="CZ9" s="97">
        <f t="shared" si="56"/>
        <v>0.1608143246361704</v>
      </c>
      <c r="DA9" s="98">
        <f t="shared" si="56"/>
        <v>1.5152717518909673E-2</v>
      </c>
      <c r="DB9" s="94">
        <f t="shared" si="15"/>
        <v>0.2610177791967021</v>
      </c>
      <c r="DC9" s="94">
        <f t="shared" si="16"/>
        <v>5.4403143866273228E-2</v>
      </c>
      <c r="DD9" s="94">
        <f t="shared" si="16"/>
        <v>0.60126960709716781</v>
      </c>
      <c r="DE9" s="94">
        <f t="shared" si="16"/>
        <v>9.6635233983475372E-2</v>
      </c>
      <c r="DF9" s="94">
        <f t="shared" si="16"/>
        <v>0</v>
      </c>
      <c r="DG9" s="94">
        <f t="shared" si="16"/>
        <v>0</v>
      </c>
      <c r="DH9" s="95">
        <f t="shared" si="16"/>
        <v>1.0133257641436184</v>
      </c>
      <c r="DI9" s="96" t="e">
        <f>#REF!</f>
        <v>#REF!</v>
      </c>
      <c r="DJ9" s="95">
        <f t="shared" si="57"/>
        <v>2.5026423773166946</v>
      </c>
      <c r="DK9" s="96" t="e">
        <f>#REF!</f>
        <v>#REF!</v>
      </c>
      <c r="DL9" s="95">
        <f t="shared" si="58"/>
        <v>-1.2804535100817853</v>
      </c>
      <c r="DM9" s="96">
        <f t="shared" si="17"/>
        <v>0</v>
      </c>
      <c r="DN9" s="94">
        <f t="shared" si="18"/>
        <v>2.8421610092081213</v>
      </c>
      <c r="DO9" s="100">
        <v>3.4</v>
      </c>
      <c r="DP9" s="94">
        <f t="shared" ref="DP9:DP33" si="70">IF($O9&lt;&gt;0,IF($O9&lt;&gt;0,BL9/$O9*10,0)," ")</f>
        <v>4.0643498764430301</v>
      </c>
      <c r="DQ9" s="94">
        <f t="shared" ref="DQ9:DQ34" si="71">IF($P9&lt;&gt;0,IF($P9&lt;&gt;0,BM9/$P9*10,0)," ")</f>
        <v>4.662130802483416</v>
      </c>
      <c r="DR9" s="101">
        <f t="shared" si="19"/>
        <v>2.95</v>
      </c>
      <c r="DS9" s="116"/>
      <c r="DT9" s="103">
        <v>4</v>
      </c>
      <c r="DU9" s="104">
        <v>643872</v>
      </c>
      <c r="DV9" s="355">
        <v>32765</v>
      </c>
      <c r="DW9" s="373">
        <v>5165916</v>
      </c>
      <c r="DX9" s="104">
        <v>126259</v>
      </c>
      <c r="DY9" s="104">
        <v>92436.7</v>
      </c>
      <c r="DZ9" s="104">
        <v>415240</v>
      </c>
      <c r="EA9" s="355">
        <v>250942</v>
      </c>
      <c r="EB9" s="104">
        <v>57847.199999999997</v>
      </c>
      <c r="EC9" s="104">
        <v>432193</v>
      </c>
      <c r="ED9" s="104">
        <v>49763</v>
      </c>
      <c r="EE9" s="104">
        <v>42614.3</v>
      </c>
      <c r="EF9" s="104">
        <v>44541.3</v>
      </c>
      <c r="EG9" s="355">
        <v>97057.7</v>
      </c>
      <c r="EH9" s="355">
        <v>190402.2</v>
      </c>
      <c r="EI9" s="373">
        <v>36569</v>
      </c>
      <c r="EJ9" s="104">
        <v>45097</v>
      </c>
      <c r="EK9" s="104"/>
      <c r="EL9" s="355">
        <v>735123.4</v>
      </c>
      <c r="EM9" s="104">
        <v>4433</v>
      </c>
      <c r="EN9" s="104">
        <v>50726.400000000001</v>
      </c>
      <c r="EO9" s="355">
        <v>3192610.9</v>
      </c>
      <c r="EP9" s="104">
        <v>2894109</v>
      </c>
      <c r="EQ9" s="104">
        <v>0</v>
      </c>
      <c r="ER9" s="104">
        <v>392</v>
      </c>
      <c r="ES9" s="80">
        <v>465652</v>
      </c>
      <c r="ET9" s="104">
        <v>3116655</v>
      </c>
      <c r="EU9" s="104">
        <v>175697</v>
      </c>
      <c r="EV9" s="136">
        <v>488775</v>
      </c>
      <c r="EW9" s="104">
        <v>161526</v>
      </c>
      <c r="EX9" s="355">
        <v>230833.3</v>
      </c>
      <c r="EY9" s="355">
        <v>1765970.1</v>
      </c>
      <c r="EZ9" s="377">
        <v>853224.6</v>
      </c>
      <c r="FA9" s="378">
        <v>780638</v>
      </c>
      <c r="FB9" s="379"/>
      <c r="FC9" s="104">
        <v>3195</v>
      </c>
      <c r="FD9" s="104">
        <f>SUM(FE9:FM9)</f>
        <v>5715</v>
      </c>
      <c r="FE9" s="367">
        <v>680</v>
      </c>
      <c r="FF9" s="495">
        <v>0</v>
      </c>
      <c r="FG9" s="136">
        <v>2225</v>
      </c>
      <c r="FH9" s="303">
        <v>1095</v>
      </c>
      <c r="FI9" s="136">
        <v>605</v>
      </c>
      <c r="FJ9" s="303">
        <v>475</v>
      </c>
      <c r="FK9" s="136">
        <v>0</v>
      </c>
      <c r="FL9" s="136">
        <v>155</v>
      </c>
      <c r="FM9" s="136">
        <v>480</v>
      </c>
      <c r="FN9" s="80">
        <v>2600</v>
      </c>
      <c r="FO9" s="77"/>
      <c r="FP9" s="484"/>
      <c r="FY9" s="119">
        <v>4</v>
      </c>
      <c r="FZ9" s="107"/>
      <c r="GA9" s="107">
        <v>0</v>
      </c>
      <c r="GB9" s="108"/>
      <c r="GC9" s="109"/>
      <c r="GD9" s="110"/>
      <c r="GE9" s="110"/>
      <c r="GF9" s="111"/>
      <c r="GG9" s="111"/>
      <c r="GH9" s="111"/>
      <c r="GI9" s="112"/>
      <c r="GJ9" s="111" t="e">
        <f t="shared" si="59"/>
        <v>#DIV/0!</v>
      </c>
      <c r="GK9" s="113"/>
    </row>
    <row r="10" spans="1:194" s="119" customFormat="1" ht="15" customHeight="1">
      <c r="B10" s="351">
        <v>43074</v>
      </c>
      <c r="D10" s="128">
        <v>5130.24</v>
      </c>
      <c r="E10" s="128">
        <v>0</v>
      </c>
      <c r="F10" s="128">
        <v>2560.8960000000002</v>
      </c>
      <c r="G10" s="86">
        <v>2146.8620000000001</v>
      </c>
      <c r="H10" s="86">
        <v>6819.77</v>
      </c>
      <c r="I10" s="86">
        <v>2701.1170000000002</v>
      </c>
      <c r="J10" s="86">
        <v>5505.84</v>
      </c>
      <c r="K10" s="86">
        <v>99.111999999999995</v>
      </c>
      <c r="L10" s="86">
        <v>136.24</v>
      </c>
      <c r="M10" s="115">
        <f t="shared" si="60"/>
        <v>8206.9570000000003</v>
      </c>
      <c r="N10" s="88">
        <f t="shared" si="20"/>
        <v>16657.768</v>
      </c>
      <c r="O10" s="88">
        <f>(N10+L10+((J10+I10)*0.5))</f>
        <v>20897.486500000003</v>
      </c>
      <c r="P10" s="89">
        <f t="shared" si="21"/>
        <v>93152.001499999998</v>
      </c>
      <c r="R10" s="170">
        <f t="shared" si="22"/>
        <v>309.59999999997672</v>
      </c>
      <c r="S10" s="170">
        <f t="shared" si="23"/>
        <v>0</v>
      </c>
      <c r="T10" s="170">
        <f t="shared" si="2"/>
        <v>184.9</v>
      </c>
      <c r="U10" s="170">
        <f>IF(FB10=0,"",((EN10-EN9)/10))</f>
        <v>0</v>
      </c>
      <c r="V10" s="170">
        <f t="shared" si="24"/>
        <v>1115.5</v>
      </c>
      <c r="W10" s="170">
        <f t="shared" si="3"/>
        <v>99</v>
      </c>
      <c r="X10" s="170">
        <f t="shared" si="25"/>
        <v>1115.5</v>
      </c>
      <c r="Y10" s="170">
        <f t="shared" si="26"/>
        <v>211</v>
      </c>
      <c r="Z10" s="170">
        <f t="shared" si="4"/>
        <v>63.3</v>
      </c>
      <c r="AA10" s="501">
        <f t="shared" si="27"/>
        <v>1609.9999999999768</v>
      </c>
      <c r="AB10" s="170">
        <f t="shared" si="28"/>
        <v>179</v>
      </c>
      <c r="AC10" s="170">
        <f t="shared" si="28"/>
        <v>56</v>
      </c>
      <c r="AD10" s="501">
        <f t="shared" si="5"/>
        <v>374</v>
      </c>
      <c r="AE10" s="501">
        <f t="shared" si="29"/>
        <v>139</v>
      </c>
      <c r="AF10" s="170">
        <f t="shared" si="30"/>
        <v>360</v>
      </c>
      <c r="AG10" s="170">
        <f t="shared" si="30"/>
        <v>19.600000000005821</v>
      </c>
      <c r="AH10" s="501">
        <f t="shared" si="6"/>
        <v>459</v>
      </c>
      <c r="AI10" s="501">
        <f t="shared" si="31"/>
        <v>79.399999999994179</v>
      </c>
      <c r="AJ10" s="170">
        <f t="shared" si="32"/>
        <v>156</v>
      </c>
      <c r="AK10" s="170">
        <f t="shared" si="32"/>
        <v>11.400000000001455</v>
      </c>
      <c r="AL10" s="501">
        <f t="shared" si="7"/>
        <v>284</v>
      </c>
      <c r="AM10" s="501">
        <f t="shared" si="33"/>
        <v>116.59999999999854</v>
      </c>
      <c r="AN10" s="170">
        <f t="shared" si="34"/>
        <v>28.599999999998545</v>
      </c>
      <c r="AO10" s="501">
        <f t="shared" si="8"/>
        <v>14.999999999992724</v>
      </c>
      <c r="AP10" s="170">
        <f t="shared" si="35"/>
        <v>27.100000000005821</v>
      </c>
      <c r="AQ10" s="501">
        <f t="shared" si="9"/>
        <v>37</v>
      </c>
      <c r="AR10" s="170">
        <f t="shared" si="36"/>
        <v>62.441000000000003</v>
      </c>
      <c r="AS10" s="501">
        <f t="shared" si="37"/>
        <v>153.44100000000003</v>
      </c>
      <c r="AT10" s="501">
        <f t="shared" si="38"/>
        <v>978.44100000000003</v>
      </c>
      <c r="AU10" s="170">
        <f t="shared" si="61"/>
        <v>538</v>
      </c>
      <c r="AV10" s="501">
        <f t="shared" si="62"/>
        <v>15</v>
      </c>
      <c r="AW10" s="170">
        <f t="shared" si="63"/>
        <v>287</v>
      </c>
      <c r="AX10" s="501">
        <f t="shared" si="64"/>
        <v>29</v>
      </c>
      <c r="AY10" s="501"/>
      <c r="AZ10" s="170">
        <f t="shared" si="39"/>
        <v>315</v>
      </c>
      <c r="BA10" s="170">
        <v>117</v>
      </c>
      <c r="BB10" s="170">
        <f t="shared" si="40"/>
        <v>218.80000000001746</v>
      </c>
      <c r="BC10" s="170">
        <f t="shared" si="40"/>
        <v>1017.3999999999069</v>
      </c>
      <c r="BD10" s="170">
        <f t="shared" si="41"/>
        <v>241</v>
      </c>
      <c r="BE10" s="90"/>
      <c r="BF10" s="90"/>
      <c r="BG10" s="501">
        <f t="shared" si="42"/>
        <v>1792.1999999999243</v>
      </c>
      <c r="BH10" s="501">
        <f t="shared" si="43"/>
        <v>3920</v>
      </c>
      <c r="BI10" s="90">
        <f t="shared" si="10"/>
        <v>-1194.6409999998932</v>
      </c>
      <c r="BJ10" s="90">
        <f t="shared" si="44"/>
        <v>5593.6409999998932</v>
      </c>
      <c r="BK10" s="92"/>
      <c r="BL10" s="93">
        <f t="shared" si="65"/>
        <v>8319</v>
      </c>
      <c r="BM10" s="93">
        <f t="shared" si="45"/>
        <v>42005</v>
      </c>
      <c r="BN10" s="92"/>
      <c r="BO10" s="94">
        <f t="shared" si="46"/>
        <v>0.18585923396218312</v>
      </c>
      <c r="BP10" s="94">
        <f t="shared" si="46"/>
        <v>0</v>
      </c>
      <c r="BQ10" s="94">
        <f t="shared" si="47"/>
        <v>0.11099926472742327</v>
      </c>
      <c r="BR10" s="94">
        <f t="shared" si="66"/>
        <v>0.66965754355565521</v>
      </c>
      <c r="BS10" s="94">
        <f t="shared" si="11"/>
        <v>0.12666763038121315</v>
      </c>
      <c r="BT10" s="94">
        <f t="shared" si="11"/>
        <v>3.8000289114363942E-2</v>
      </c>
      <c r="BU10" s="95">
        <f t="shared" si="11"/>
        <v>0.96651604224526166</v>
      </c>
      <c r="BV10" s="94">
        <f t="shared" si="12"/>
        <v>0.14815178849378688</v>
      </c>
      <c r="BW10" s="94">
        <f t="shared" si="12"/>
        <v>0</v>
      </c>
      <c r="BX10" s="94">
        <f t="shared" si="12"/>
        <v>8.847954035046271E-2</v>
      </c>
      <c r="BY10" s="94">
        <f t="shared" si="48"/>
        <v>0.53379625343937886</v>
      </c>
      <c r="BZ10" s="95">
        <f t="shared" si="13"/>
        <v>0.7704275822836284</v>
      </c>
      <c r="CA10" s="96" t="e">
        <f>#REF!</f>
        <v>#REF!</v>
      </c>
      <c r="CB10" s="94">
        <f t="shared" si="49"/>
        <v>2.9879669978492389E-2</v>
      </c>
      <c r="CC10" s="95">
        <f t="shared" si="49"/>
        <v>7.3425576803219858E-2</v>
      </c>
      <c r="CD10" s="97">
        <f t="shared" si="14"/>
        <v>7.6083011035637207E-2</v>
      </c>
      <c r="CE10" s="98">
        <f t="shared" si="14"/>
        <v>0.18696454727373377</v>
      </c>
      <c r="CF10" s="97">
        <f t="shared" si="50"/>
        <v>0.34891155189620759</v>
      </c>
      <c r="CG10" s="94">
        <f t="shared" si="50"/>
        <v>0.10915668662674652</v>
      </c>
      <c r="CH10" s="95">
        <f t="shared" si="51"/>
        <v>0.72901072854291427</v>
      </c>
      <c r="CI10" s="96" t="e">
        <f>#REF!</f>
        <v>#REF!</v>
      </c>
      <c r="CJ10" s="94" t="str">
        <f t="shared" si="52"/>
        <v>0,00</v>
      </c>
      <c r="CK10" s="94" t="str">
        <f t="shared" si="52"/>
        <v>0,00</v>
      </c>
      <c r="CL10" s="95" t="str">
        <f t="shared" si="67"/>
        <v xml:space="preserve">0,00 </v>
      </c>
      <c r="CM10" s="95" t="e">
        <f>#REF!</f>
        <v>#REF!</v>
      </c>
      <c r="CN10" s="94">
        <f t="shared" si="53"/>
        <v>0.60916179337231968</v>
      </c>
      <c r="CO10" s="94">
        <f t="shared" si="53"/>
        <v>4.4515669515675198E-2</v>
      </c>
      <c r="CP10" s="95">
        <f t="shared" si="54"/>
        <v>1.1089868546008896</v>
      </c>
      <c r="CQ10" s="95" t="e">
        <f>#REF!</f>
        <v>#REF!</v>
      </c>
      <c r="CR10" s="97">
        <f t="shared" si="68"/>
        <v>0.1332176916820855</v>
      </c>
      <c r="CS10" s="95">
        <f t="shared" si="68"/>
        <v>6.9869418714350165E-2</v>
      </c>
      <c r="CT10" s="96" t="e">
        <f>#REF!</f>
        <v>#REF!</v>
      </c>
      <c r="CU10" s="97">
        <f t="shared" si="69"/>
        <v>3.9737410499189593E-2</v>
      </c>
      <c r="CV10" s="95">
        <f t="shared" si="55"/>
        <v>5.4254029094822839E-2</v>
      </c>
      <c r="CW10" s="96" t="e">
        <f>#REF!</f>
        <v>#REF!</v>
      </c>
      <c r="CX10" s="97">
        <f t="shared" si="56"/>
        <v>0.25744722935937769</v>
      </c>
      <c r="CY10" s="98">
        <f t="shared" si="56"/>
        <v>7.1778967293506793E-3</v>
      </c>
      <c r="CZ10" s="97">
        <f t="shared" si="56"/>
        <v>0.13733709075490966</v>
      </c>
      <c r="DA10" s="98">
        <f t="shared" si="56"/>
        <v>1.3877267010077979E-2</v>
      </c>
      <c r="DB10" s="94">
        <f t="shared" si="15"/>
        <v>0.15073583131636428</v>
      </c>
      <c r="DC10" s="94">
        <f t="shared" si="16"/>
        <v>0.10470158695880361</v>
      </c>
      <c r="DD10" s="94">
        <f t="shared" si="16"/>
        <v>0.48685280882938087</v>
      </c>
      <c r="DE10" s="94">
        <f t="shared" si="16"/>
        <v>0.11532487411823425</v>
      </c>
      <c r="DF10" s="94">
        <f t="shared" si="16"/>
        <v>0</v>
      </c>
      <c r="DG10" s="94">
        <f t="shared" si="16"/>
        <v>0</v>
      </c>
      <c r="DH10" s="95">
        <f t="shared" si="16"/>
        <v>0.85761510122278295</v>
      </c>
      <c r="DI10" s="96" t="e">
        <f>#REF!</f>
        <v>#REF!</v>
      </c>
      <c r="DJ10" s="95">
        <f t="shared" si="57"/>
        <v>1.8758236786036442</v>
      </c>
      <c r="DK10" s="96" t="e">
        <f>#REF!</f>
        <v>#REF!</v>
      </c>
      <c r="DL10" s="95">
        <f t="shared" si="58"/>
        <v>-0.5716673151098306</v>
      </c>
      <c r="DM10" s="96">
        <f t="shared" si="17"/>
        <v>0</v>
      </c>
      <c r="DN10" s="94">
        <f t="shared" si="18"/>
        <v>2.6767051626040734</v>
      </c>
      <c r="DO10" s="100">
        <v>3.4</v>
      </c>
      <c r="DP10" s="94">
        <f>IF($O10&lt;&gt;0,IF($O10&lt;&gt;0,BL10/$O10*10,0)," ")</f>
        <v>3.980861526097887</v>
      </c>
      <c r="DQ10" s="94">
        <f>IF($P10&lt;&gt;0,IF($P10&lt;&gt;0,BM10/$P10*10,0)," ")</f>
        <v>4.5092965608473801</v>
      </c>
      <c r="DR10" s="101">
        <f t="shared" si="19"/>
        <v>2.95</v>
      </c>
      <c r="DS10" s="116"/>
      <c r="DT10" s="103">
        <v>5</v>
      </c>
      <c r="DU10" s="183">
        <v>644051</v>
      </c>
      <c r="DV10" s="135">
        <v>32821</v>
      </c>
      <c r="DW10" s="135">
        <v>5166111</v>
      </c>
      <c r="DX10" s="129">
        <v>126619</v>
      </c>
      <c r="DY10" s="135">
        <v>92456.3</v>
      </c>
      <c r="DZ10" s="135">
        <v>415339</v>
      </c>
      <c r="EA10" s="135">
        <v>251098</v>
      </c>
      <c r="EB10" s="136">
        <v>57858.6</v>
      </c>
      <c r="EC10" s="135">
        <v>432321</v>
      </c>
      <c r="ED10" s="135">
        <v>49791.6</v>
      </c>
      <c r="EE10" s="136">
        <v>42625.1</v>
      </c>
      <c r="EF10" s="136">
        <v>44545.5</v>
      </c>
      <c r="EG10" s="135">
        <v>97084.800000000003</v>
      </c>
      <c r="EH10" s="135">
        <v>190439.2</v>
      </c>
      <c r="EI10" s="135">
        <v>36584</v>
      </c>
      <c r="EJ10" s="136">
        <v>45126</v>
      </c>
      <c r="EK10" s="136"/>
      <c r="EL10" s="135">
        <v>735433</v>
      </c>
      <c r="EM10" s="136">
        <v>1849</v>
      </c>
      <c r="EN10" s="104">
        <v>50726.400000000001</v>
      </c>
      <c r="EO10" s="135">
        <v>3193726.4</v>
      </c>
      <c r="EP10" s="136">
        <v>2895099</v>
      </c>
      <c r="EQ10" s="136">
        <v>2110</v>
      </c>
      <c r="ER10" s="136">
        <v>633</v>
      </c>
      <c r="ES10" s="144">
        <v>466568</v>
      </c>
      <c r="ET10" s="136">
        <v>3179096</v>
      </c>
      <c r="EU10" s="136">
        <v>175984</v>
      </c>
      <c r="EV10" s="136">
        <v>489313</v>
      </c>
      <c r="EW10" s="136">
        <v>161841</v>
      </c>
      <c r="EX10" s="135">
        <v>231052.1</v>
      </c>
      <c r="EY10" s="135">
        <v>1766987.5</v>
      </c>
      <c r="EZ10" s="135">
        <v>853224.6</v>
      </c>
      <c r="FA10" s="130">
        <v>780879</v>
      </c>
      <c r="FB10" s="136">
        <v>32222.400000000001</v>
      </c>
      <c r="FC10" s="136">
        <v>4399</v>
      </c>
      <c r="FD10" s="104">
        <f>(SUM(FE10:FM10))</f>
        <v>5719</v>
      </c>
      <c r="FE10" s="129">
        <v>761</v>
      </c>
      <c r="FF10" s="129">
        <v>0</v>
      </c>
      <c r="FG10" s="105">
        <v>2159</v>
      </c>
      <c r="FH10" s="136">
        <v>1085</v>
      </c>
      <c r="FI10" s="136">
        <v>588</v>
      </c>
      <c r="FJ10" s="105">
        <v>489</v>
      </c>
      <c r="FK10" s="136">
        <v>0</v>
      </c>
      <c r="FL10" s="136">
        <v>156</v>
      </c>
      <c r="FM10" s="136">
        <v>481</v>
      </c>
      <c r="FN10" s="80">
        <v>2600</v>
      </c>
      <c r="FO10" s="77"/>
      <c r="FP10" s="484"/>
      <c r="FY10" s="119">
        <v>5</v>
      </c>
      <c r="FZ10" s="107">
        <v>3949</v>
      </c>
      <c r="GA10" s="107">
        <v>188</v>
      </c>
      <c r="GB10" s="108">
        <f>GA10/FZ10/0.1</f>
        <v>0.4760698911116738</v>
      </c>
      <c r="GC10" s="109"/>
      <c r="GD10" s="110"/>
      <c r="GE10" s="110"/>
      <c r="GF10" s="111"/>
      <c r="GG10" s="111"/>
      <c r="GH10" s="111"/>
      <c r="GI10" s="112"/>
      <c r="GJ10" s="111">
        <f t="shared" si="59"/>
        <v>823.40851063829791</v>
      </c>
      <c r="GK10" s="113"/>
    </row>
    <row r="11" spans="1:194" s="119" customFormat="1" ht="15.75" customHeight="1">
      <c r="B11" s="351">
        <v>43075</v>
      </c>
      <c r="D11" s="128">
        <v>5298</v>
      </c>
      <c r="E11" s="128">
        <v>0</v>
      </c>
      <c r="F11" s="128">
        <v>2726.7840000000001</v>
      </c>
      <c r="G11" s="86">
        <v>3005.51</v>
      </c>
      <c r="H11" s="86">
        <v>7046.8109999999997</v>
      </c>
      <c r="I11" s="86">
        <v>1593.721</v>
      </c>
      <c r="J11" s="86">
        <v>8350.5600000000013</v>
      </c>
      <c r="K11" s="86">
        <v>0</v>
      </c>
      <c r="L11" s="86">
        <v>272.51</v>
      </c>
      <c r="M11" s="115">
        <f t="shared" si="60"/>
        <v>9944.2810000000009</v>
      </c>
      <c r="N11" s="88">
        <f t="shared" si="20"/>
        <v>18077.105</v>
      </c>
      <c r="O11" s="88">
        <f>N11+L11+K11+((J11+I11)*0.5)</f>
        <v>23321.755499999999</v>
      </c>
      <c r="P11" s="89">
        <f t="shared" si="21"/>
        <v>116473.757</v>
      </c>
      <c r="R11" s="170">
        <f t="shared" si="22"/>
        <v>47.199999999953434</v>
      </c>
      <c r="S11" s="170">
        <f t="shared" si="23"/>
        <v>113.75999999999767</v>
      </c>
      <c r="T11" s="170">
        <f t="shared" si="2"/>
        <v>401.6</v>
      </c>
      <c r="U11" s="170">
        <f t="shared" ref="U11:U35" si="72">IF(FB11=0,"",((EN11-EN10)/10))</f>
        <v>0</v>
      </c>
      <c r="V11" s="170">
        <f t="shared" si="24"/>
        <v>1203.6000000000931</v>
      </c>
      <c r="W11" s="170">
        <f t="shared" si="3"/>
        <v>107</v>
      </c>
      <c r="X11" s="170">
        <f t="shared" si="25"/>
        <v>1203.6000000000931</v>
      </c>
      <c r="Y11" s="170">
        <f t="shared" si="26"/>
        <v>440</v>
      </c>
      <c r="Z11" s="170">
        <f t="shared" si="4"/>
        <v>88.5</v>
      </c>
      <c r="AA11" s="501">
        <f t="shared" si="27"/>
        <v>1766.1600000000442</v>
      </c>
      <c r="AB11" s="170">
        <f t="shared" si="28"/>
        <v>202</v>
      </c>
      <c r="AC11" s="170">
        <f t="shared" si="28"/>
        <v>43</v>
      </c>
      <c r="AD11" s="501">
        <f t="shared" si="5"/>
        <v>384</v>
      </c>
      <c r="AE11" s="501">
        <f t="shared" si="29"/>
        <v>139</v>
      </c>
      <c r="AF11" s="170">
        <f t="shared" si="30"/>
        <v>40</v>
      </c>
      <c r="AG11" s="170">
        <f>IF(DY11=0,"",(DY11-DY10))</f>
        <v>189.80000000000291</v>
      </c>
      <c r="AH11" s="501">
        <f t="shared" si="6"/>
        <v>345</v>
      </c>
      <c r="AI11" s="501">
        <f t="shared" si="31"/>
        <v>115.19999999999709</v>
      </c>
      <c r="AJ11" s="170">
        <f t="shared" si="32"/>
        <v>164</v>
      </c>
      <c r="AK11" s="170">
        <f t="shared" si="32"/>
        <v>13.30000000000291</v>
      </c>
      <c r="AL11" s="501">
        <f t="shared" si="7"/>
        <v>298</v>
      </c>
      <c r="AM11" s="501">
        <f t="shared" si="33"/>
        <v>120.69999999999709</v>
      </c>
      <c r="AN11" s="170">
        <f t="shared" si="34"/>
        <v>70.599999999998545</v>
      </c>
      <c r="AO11" s="501">
        <f t="shared" si="8"/>
        <v>75.80000000000291</v>
      </c>
      <c r="AP11" s="170">
        <f t="shared" si="35"/>
        <v>31.80000000000291</v>
      </c>
      <c r="AQ11" s="501">
        <f t="shared" si="9"/>
        <v>47.5</v>
      </c>
      <c r="AR11" s="170">
        <f t="shared" si="36"/>
        <v>61.82</v>
      </c>
      <c r="AS11" s="501">
        <f t="shared" si="37"/>
        <v>99.82000000000005</v>
      </c>
      <c r="AT11" s="501">
        <f t="shared" si="38"/>
        <v>986.82</v>
      </c>
      <c r="AU11" s="170">
        <f t="shared" si="61"/>
        <v>659</v>
      </c>
      <c r="AV11" s="501">
        <f t="shared" si="62"/>
        <v>46</v>
      </c>
      <c r="AW11" s="170">
        <f t="shared" si="63"/>
        <v>228</v>
      </c>
      <c r="AX11" s="501">
        <f t="shared" si="64"/>
        <v>19</v>
      </c>
      <c r="AY11" s="501"/>
      <c r="AZ11" s="170">
        <f t="shared" si="39"/>
        <v>379</v>
      </c>
      <c r="BA11" s="170">
        <v>35.5</v>
      </c>
      <c r="BB11" s="170">
        <f t="shared" si="40"/>
        <v>207.19999999998254</v>
      </c>
      <c r="BC11" s="170">
        <f t="shared" si="40"/>
        <v>372.5</v>
      </c>
      <c r="BD11" s="170">
        <f t="shared" si="41"/>
        <v>549</v>
      </c>
      <c r="BE11" s="90"/>
      <c r="BF11" s="90"/>
      <c r="BG11" s="501">
        <f t="shared" si="42"/>
        <v>1507.6999999999825</v>
      </c>
      <c r="BH11" s="501">
        <f t="shared" si="43"/>
        <v>8168</v>
      </c>
      <c r="BI11" s="90" t="str">
        <f t="shared" si="10"/>
        <v/>
      </c>
      <c r="BJ11" s="90">
        <f t="shared" si="44"/>
        <v>5475.9800000000296</v>
      </c>
      <c r="BK11" s="92"/>
      <c r="BL11" s="93">
        <f t="shared" si="65"/>
        <v>8168</v>
      </c>
      <c r="BM11" s="93">
        <f t="shared" si="45"/>
        <v>50173</v>
      </c>
      <c r="BN11" s="92"/>
      <c r="BO11" s="94">
        <f t="shared" si="46"/>
        <v>2.6110375527471592E-2</v>
      </c>
      <c r="BP11" s="94">
        <f t="shared" si="46"/>
        <v>6.2930430508644872E-2</v>
      </c>
      <c r="BQ11" s="94">
        <f t="shared" si="47"/>
        <v>0.22215946635260458</v>
      </c>
      <c r="BR11" s="94">
        <f t="shared" si="66"/>
        <v>0.66581457595123394</v>
      </c>
      <c r="BS11" s="94">
        <f t="shared" si="11"/>
        <v>0.2434018057648058</v>
      </c>
      <c r="BT11" s="94">
        <f t="shared" si="11"/>
        <v>4.8956954114057538E-2</v>
      </c>
      <c r="BU11" s="95">
        <f t="shared" si="11"/>
        <v>0.977014848339955</v>
      </c>
      <c r="BV11" s="94">
        <f t="shared" si="12"/>
        <v>2.0238613684099994E-2</v>
      </c>
      <c r="BW11" s="94">
        <f t="shared" si="12"/>
        <v>4.8778489252233895E-2</v>
      </c>
      <c r="BX11" s="94">
        <f t="shared" si="12"/>
        <v>0.17219972999030886</v>
      </c>
      <c r="BY11" s="94">
        <f t="shared" si="48"/>
        <v>0.51608464894509898</v>
      </c>
      <c r="BZ11" s="95">
        <f t="shared" si="13"/>
        <v>0.75730148187174173</v>
      </c>
      <c r="CA11" s="96" t="e">
        <f>#REF!</f>
        <v>#REF!</v>
      </c>
      <c r="CB11" s="94">
        <f t="shared" si="49"/>
        <v>2.6507438515938477E-2</v>
      </c>
      <c r="CC11" s="95">
        <f t="shared" si="49"/>
        <v>4.280123766840796E-2</v>
      </c>
      <c r="CD11" s="97">
        <f t="shared" si="14"/>
        <v>6.2166384879912384E-2</v>
      </c>
      <c r="CE11" s="98">
        <f t="shared" si="14"/>
        <v>0.10037930344084207</v>
      </c>
      <c r="CF11" s="97">
        <f t="shared" si="50"/>
        <v>0.38127595318988294</v>
      </c>
      <c r="CG11" s="94">
        <f t="shared" si="50"/>
        <v>8.116270290675727E-2</v>
      </c>
      <c r="CH11" s="95">
        <f t="shared" si="51"/>
        <v>0.72480181200453009</v>
      </c>
      <c r="CI11" s="96" t="e">
        <f>#REF!</f>
        <v>#REF!</v>
      </c>
      <c r="CJ11" s="94" t="str">
        <f t="shared" si="52"/>
        <v>0,00</v>
      </c>
      <c r="CK11" s="94" t="str">
        <f t="shared" si="52"/>
        <v>0,00</v>
      </c>
      <c r="CL11" s="95" t="str">
        <f t="shared" si="67"/>
        <v xml:space="preserve">0,00 </v>
      </c>
      <c r="CM11" s="95" t="e">
        <f>#REF!</f>
        <v>#REF!</v>
      </c>
      <c r="CN11" s="94">
        <f t="shared" si="53"/>
        <v>0.6014411115805286</v>
      </c>
      <c r="CO11" s="94">
        <f t="shared" si="53"/>
        <v>4.8775407219651096E-2</v>
      </c>
      <c r="CP11" s="95">
        <f t="shared" si="54"/>
        <v>1.0928625076280336</v>
      </c>
      <c r="CQ11" s="95" t="e">
        <f>#REF!</f>
        <v>#REF!</v>
      </c>
      <c r="CR11" s="97">
        <f t="shared" si="68"/>
        <v>0.23490189684944832</v>
      </c>
      <c r="CS11" s="95">
        <f t="shared" si="68"/>
        <v>0.25220345299134894</v>
      </c>
      <c r="CT11" s="96" t="e">
        <f>#REF!</f>
        <v>#REF!</v>
      </c>
      <c r="CU11" s="97">
        <f t="shared" si="69"/>
        <v>4.5126795652675959E-2</v>
      </c>
      <c r="CV11" s="95">
        <f t="shared" si="55"/>
        <v>6.740637715414817E-2</v>
      </c>
      <c r="CW11" s="96" t="e">
        <f>#REF!</f>
        <v>#REF!</v>
      </c>
      <c r="CX11" s="97">
        <f t="shared" si="56"/>
        <v>0.28256878003887831</v>
      </c>
      <c r="CY11" s="98">
        <f t="shared" si="56"/>
        <v>1.9724072658252503E-2</v>
      </c>
      <c r="CZ11" s="97">
        <f t="shared" si="56"/>
        <v>9.7762794914816764E-2</v>
      </c>
      <c r="DA11" s="98">
        <f t="shared" si="56"/>
        <v>8.1468995762347309E-3</v>
      </c>
      <c r="DB11" s="94">
        <f t="shared" si="15"/>
        <v>0.16250920733647173</v>
      </c>
      <c r="DC11" s="94">
        <f t="shared" si="16"/>
        <v>8.8844083799773363E-2</v>
      </c>
      <c r="DD11" s="94">
        <f t="shared" si="16"/>
        <v>0.15972211011302304</v>
      </c>
      <c r="DE11" s="94">
        <f t="shared" si="16"/>
        <v>0.23540251933436143</v>
      </c>
      <c r="DF11" s="94">
        <f t="shared" si="16"/>
        <v>0</v>
      </c>
      <c r="DG11" s="94">
        <f t="shared" si="16"/>
        <v>0</v>
      </c>
      <c r="DH11" s="95">
        <f t="shared" si="16"/>
        <v>0.64647792058362952</v>
      </c>
      <c r="DI11" s="96" t="e">
        <f>#REF!</f>
        <v>#REF!</v>
      </c>
      <c r="DJ11" s="95">
        <f t="shared" si="57"/>
        <v>3.5023092494044885</v>
      </c>
      <c r="DK11" s="96" t="e">
        <f>#REF!</f>
        <v>#REF!</v>
      </c>
      <c r="DL11" s="95" t="e">
        <f t="shared" si="58"/>
        <v>#VALUE!</v>
      </c>
      <c r="DM11" s="96">
        <f t="shared" si="17"/>
        <v>0</v>
      </c>
      <c r="DN11" s="94">
        <f t="shared" si="18"/>
        <v>2.3480136390247424</v>
      </c>
      <c r="DO11" s="100">
        <v>3.4</v>
      </c>
      <c r="DP11" s="94">
        <f>IF($O11&lt;&gt;0,IF($O11&lt;&gt;0,BL11/$O11*10,0)," ")</f>
        <v>3.5023092494044885</v>
      </c>
      <c r="DQ11" s="94">
        <f t="shared" si="71"/>
        <v>4.3076656314949986</v>
      </c>
      <c r="DR11" s="101">
        <f t="shared" si="19"/>
        <v>2.95</v>
      </c>
      <c r="DS11" s="116"/>
      <c r="DT11" s="103">
        <v>6</v>
      </c>
      <c r="DU11" s="183">
        <v>644253</v>
      </c>
      <c r="DV11" s="135">
        <v>32864</v>
      </c>
      <c r="DW11" s="135">
        <v>5166293</v>
      </c>
      <c r="DX11" s="129">
        <v>126659</v>
      </c>
      <c r="DY11" s="135">
        <v>92646.1</v>
      </c>
      <c r="DZ11" s="135">
        <v>415644</v>
      </c>
      <c r="EA11" s="135">
        <v>251262</v>
      </c>
      <c r="EB11" s="136">
        <v>57871.9</v>
      </c>
      <c r="EC11" s="135">
        <v>432455</v>
      </c>
      <c r="ED11" s="135">
        <v>49862.2</v>
      </c>
      <c r="EE11" s="136">
        <v>42643.3</v>
      </c>
      <c r="EF11" s="136">
        <v>44603.1</v>
      </c>
      <c r="EG11" s="135">
        <v>97116.6</v>
      </c>
      <c r="EH11" s="135">
        <v>190486.7</v>
      </c>
      <c r="EI11" s="135">
        <v>36630</v>
      </c>
      <c r="EJ11" s="373">
        <v>45145</v>
      </c>
      <c r="EK11" s="136"/>
      <c r="EL11" s="373">
        <v>735480.2</v>
      </c>
      <c r="EM11" s="136">
        <v>4016</v>
      </c>
      <c r="EN11" s="104">
        <v>50726.400000000001</v>
      </c>
      <c r="EO11" s="135">
        <v>3194930</v>
      </c>
      <c r="EP11" s="136">
        <v>2896169</v>
      </c>
      <c r="EQ11" s="136">
        <v>4400</v>
      </c>
      <c r="ER11" s="136">
        <v>885</v>
      </c>
      <c r="ES11" s="144">
        <v>467493</v>
      </c>
      <c r="ET11" s="136">
        <v>3240916</v>
      </c>
      <c r="EU11" s="136">
        <v>176212</v>
      </c>
      <c r="EV11" s="136">
        <v>489972</v>
      </c>
      <c r="EW11" s="136">
        <v>162220</v>
      </c>
      <c r="EX11" s="135">
        <v>231259.3</v>
      </c>
      <c r="EY11" s="135">
        <v>1767360</v>
      </c>
      <c r="EZ11" s="135">
        <v>854362.2</v>
      </c>
      <c r="FA11" s="373">
        <v>781428</v>
      </c>
      <c r="FB11" s="136">
        <v>32262</v>
      </c>
      <c r="FC11" s="136"/>
      <c r="FD11" s="104">
        <f>(SUM(FE11:FM11))</f>
        <v>5568</v>
      </c>
      <c r="FE11" s="129">
        <v>656</v>
      </c>
      <c r="FF11" s="129">
        <v>0</v>
      </c>
      <c r="FG11" s="105">
        <v>2163</v>
      </c>
      <c r="FH11" s="136">
        <v>1183</v>
      </c>
      <c r="FI11" s="136">
        <v>594</v>
      </c>
      <c r="FJ11" s="105">
        <v>492</v>
      </c>
      <c r="FK11" s="136">
        <v>0</v>
      </c>
      <c r="FL11" s="136">
        <v>0</v>
      </c>
      <c r="FM11" s="136">
        <v>480</v>
      </c>
      <c r="FN11" s="80">
        <v>2600</v>
      </c>
      <c r="FO11" s="104"/>
      <c r="FP11" s="484"/>
      <c r="FY11" s="119">
        <v>6</v>
      </c>
      <c r="FZ11" s="107">
        <v>9080</v>
      </c>
      <c r="GA11" s="107">
        <v>1148</v>
      </c>
      <c r="GB11" s="108">
        <f>GA11/FZ11/0.1</f>
        <v>1.2643171806167399</v>
      </c>
      <c r="GC11" s="109"/>
      <c r="GD11" s="110"/>
      <c r="GE11" s="110"/>
      <c r="GF11" s="111"/>
      <c r="GG11" s="111"/>
      <c r="GH11" s="111"/>
      <c r="GI11" s="112"/>
      <c r="GJ11" s="111">
        <f t="shared" si="59"/>
        <v>2169.5505226480841</v>
      </c>
      <c r="GK11" s="113"/>
    </row>
    <row r="12" spans="1:194" s="119" customFormat="1" ht="15" customHeight="1">
      <c r="B12" s="351">
        <v>43076</v>
      </c>
      <c r="D12" s="128">
        <v>6429.48</v>
      </c>
      <c r="E12" s="128">
        <v>5904</v>
      </c>
      <c r="F12" s="128">
        <v>2473.056</v>
      </c>
      <c r="G12" s="86">
        <v>3511.4989999999998</v>
      </c>
      <c r="H12" s="86">
        <v>7655.4480000000003</v>
      </c>
      <c r="I12" s="86">
        <v>550.428</v>
      </c>
      <c r="J12" s="86">
        <v>7462.56</v>
      </c>
      <c r="K12" s="86">
        <v>0</v>
      </c>
      <c r="L12" s="86">
        <v>136.27000000000001</v>
      </c>
      <c r="M12" s="115">
        <f t="shared" si="60"/>
        <v>8012.9880000000003</v>
      </c>
      <c r="N12" s="88">
        <f t="shared" si="20"/>
        <v>25973.483</v>
      </c>
      <c r="O12" s="88">
        <f>N12+L12+K12+((J12+I12)*0.5)</f>
        <v>30116.246999999999</v>
      </c>
      <c r="P12" s="89">
        <f t="shared" si="21"/>
        <v>146590.00399999999</v>
      </c>
      <c r="R12" s="170">
        <f t="shared" si="22"/>
        <v>237.30000000004657</v>
      </c>
      <c r="S12" s="170">
        <f t="shared" si="23"/>
        <v>68.170000000006979</v>
      </c>
      <c r="T12" s="170">
        <f t="shared" si="2"/>
        <v>14.8</v>
      </c>
      <c r="U12" s="170">
        <f t="shared" si="72"/>
        <v>0</v>
      </c>
      <c r="V12" s="170">
        <f t="shared" si="24"/>
        <v>1330.6000000000931</v>
      </c>
      <c r="W12" s="170">
        <f t="shared" si="3"/>
        <v>117.9</v>
      </c>
      <c r="X12" s="170">
        <f t="shared" si="25"/>
        <v>1330.6000000000931</v>
      </c>
      <c r="Y12" s="170">
        <f t="shared" si="26"/>
        <v>418.6</v>
      </c>
      <c r="Z12" s="170">
        <f t="shared" si="4"/>
        <v>134.69999999999999</v>
      </c>
      <c r="AA12" s="501">
        <f t="shared" si="27"/>
        <v>1650.8700000001468</v>
      </c>
      <c r="AB12" s="170">
        <f t="shared" si="28"/>
        <v>204</v>
      </c>
      <c r="AC12" s="170">
        <f t="shared" si="28"/>
        <v>43</v>
      </c>
      <c r="AD12" s="501">
        <f t="shared" si="5"/>
        <v>411</v>
      </c>
      <c r="AE12" s="501">
        <f t="shared" si="29"/>
        <v>164</v>
      </c>
      <c r="AF12" s="170">
        <f t="shared" si="30"/>
        <v>147</v>
      </c>
      <c r="AG12" s="170">
        <f t="shared" si="30"/>
        <v>82.799999999988358</v>
      </c>
      <c r="AH12" s="501">
        <f t="shared" si="6"/>
        <v>404</v>
      </c>
      <c r="AI12" s="501">
        <f t="shared" si="31"/>
        <v>174.20000000001164</v>
      </c>
      <c r="AJ12" s="170">
        <f t="shared" si="32"/>
        <v>142</v>
      </c>
      <c r="AK12" s="170">
        <f t="shared" si="32"/>
        <v>12.299999999995634</v>
      </c>
      <c r="AL12" s="501">
        <f t="shared" si="7"/>
        <v>279</v>
      </c>
      <c r="AM12" s="501">
        <f t="shared" si="33"/>
        <v>124.70000000000437</v>
      </c>
      <c r="AN12" s="170">
        <f t="shared" si="34"/>
        <v>53.30000000000291</v>
      </c>
      <c r="AO12" s="501">
        <f t="shared" si="8"/>
        <v>66.900000000001455</v>
      </c>
      <c r="AP12" s="170">
        <f t="shared" si="35"/>
        <v>33.19999999999709</v>
      </c>
      <c r="AQ12" s="501">
        <f t="shared" si="9"/>
        <v>40.299999999988358</v>
      </c>
      <c r="AR12" s="170">
        <f t="shared" si="36"/>
        <v>77.128</v>
      </c>
      <c r="AS12" s="501">
        <f t="shared" si="37"/>
        <v>9.1279999999999291</v>
      </c>
      <c r="AT12" s="501">
        <f t="shared" si="38"/>
        <v>1070.1279999999999</v>
      </c>
      <c r="AU12" s="170">
        <f t="shared" si="61"/>
        <v>725</v>
      </c>
      <c r="AV12" s="501">
        <f t="shared" si="62"/>
        <v>67</v>
      </c>
      <c r="AW12" s="170">
        <f t="shared" si="63"/>
        <v>336</v>
      </c>
      <c r="AX12" s="501">
        <f t="shared" si="64"/>
        <v>4</v>
      </c>
      <c r="AY12" s="501"/>
      <c r="AZ12" s="170">
        <f t="shared" si="39"/>
        <v>417</v>
      </c>
      <c r="BA12" s="170">
        <v>76</v>
      </c>
      <c r="BB12" s="170">
        <f t="shared" si="40"/>
        <v>236.80000000001746</v>
      </c>
      <c r="BC12" s="170">
        <f t="shared" si="40"/>
        <v>1000.1000000000931</v>
      </c>
      <c r="BD12" s="170">
        <f t="shared" si="41"/>
        <v>126</v>
      </c>
      <c r="BE12" s="90"/>
      <c r="BF12" s="90"/>
      <c r="BG12" s="501">
        <f t="shared" si="42"/>
        <v>1779.9000000001106</v>
      </c>
      <c r="BH12" s="501">
        <f t="shared" si="43"/>
        <v>4388</v>
      </c>
      <c r="BI12" s="90">
        <f t="shared" si="10"/>
        <v>-1923.0980000002464</v>
      </c>
      <c r="BJ12" s="90">
        <f t="shared" si="44"/>
        <v>5773.0980000002464</v>
      </c>
      <c r="BK12" s="92"/>
      <c r="BL12" s="93">
        <f>FD12+FN12</f>
        <v>8238</v>
      </c>
      <c r="BM12" s="93">
        <f t="shared" si="45"/>
        <v>58411</v>
      </c>
      <c r="BN12" s="92"/>
      <c r="BO12" s="94">
        <f t="shared" si="46"/>
        <v>9.1362409885515375E-2</v>
      </c>
      <c r="BP12" s="94">
        <f t="shared" si="46"/>
        <v>2.6245998659481663E-2</v>
      </c>
      <c r="BQ12" s="94">
        <f t="shared" si="47"/>
        <v>5.6981191163310669E-3</v>
      </c>
      <c r="BR12" s="94">
        <f t="shared" si="66"/>
        <v>0.5122917092020709</v>
      </c>
      <c r="BS12" s="94">
        <f t="shared" si="11"/>
        <v>0.16116436906055304</v>
      </c>
      <c r="BT12" s="94">
        <f t="shared" si="11"/>
        <v>5.1860584119580722E-2</v>
      </c>
      <c r="BU12" s="95">
        <f t="shared" si="11"/>
        <v>0.635598236863399</v>
      </c>
      <c r="BV12" s="94">
        <f t="shared" si="12"/>
        <v>7.8794678500294729E-2</v>
      </c>
      <c r="BW12" s="94">
        <f t="shared" si="12"/>
        <v>2.2635622559479929E-2</v>
      </c>
      <c r="BX12" s="94">
        <f t="shared" si="12"/>
        <v>4.9142909473414795E-3</v>
      </c>
      <c r="BY12" s="94">
        <f t="shared" si="48"/>
        <v>0.44182131990088047</v>
      </c>
      <c r="BZ12" s="95">
        <f t="shared" si="13"/>
        <v>0.54816591190799668</v>
      </c>
      <c r="CA12" s="96" t="e">
        <f>#REF!</f>
        <v>#REF!</v>
      </c>
      <c r="CB12" s="94">
        <f t="shared" si="49"/>
        <v>2.5610096769361733E-2</v>
      </c>
      <c r="CC12" s="95">
        <f t="shared" si="49"/>
        <v>3.0309221464413973E-3</v>
      </c>
      <c r="CD12" s="97">
        <f t="shared" si="14"/>
        <v>9.625373206599086E-2</v>
      </c>
      <c r="CE12" s="98">
        <f t="shared" si="14"/>
        <v>1.1391505890187193E-2</v>
      </c>
      <c r="CF12" s="97">
        <f t="shared" si="50"/>
        <v>0.31728848989342839</v>
      </c>
      <c r="CG12" s="94">
        <f t="shared" si="50"/>
        <v>6.6879436595183445E-2</v>
      </c>
      <c r="CH12" s="95">
        <f t="shared" si="51"/>
        <v>0.63924298699117199</v>
      </c>
      <c r="CI12" s="96" t="e">
        <f>#REF!</f>
        <v>#REF!</v>
      </c>
      <c r="CJ12" s="94">
        <f t="shared" si="52"/>
        <v>0.24898373983739838</v>
      </c>
      <c r="CK12" s="94">
        <f t="shared" si="52"/>
        <v>0.14024390243900467</v>
      </c>
      <c r="CL12" s="95">
        <f t="shared" si="67"/>
        <v>0.68428184281842819</v>
      </c>
      <c r="CM12" s="95" t="e">
        <f>#REF!</f>
        <v>#REF!</v>
      </c>
      <c r="CN12" s="94">
        <f t="shared" si="53"/>
        <v>0.57418837260458311</v>
      </c>
      <c r="CO12" s="94">
        <f t="shared" si="53"/>
        <v>4.9736035091787791E-2</v>
      </c>
      <c r="CP12" s="95">
        <f t="shared" si="54"/>
        <v>1.128158844765343</v>
      </c>
      <c r="CQ12" s="95" t="e">
        <f>#REF!</f>
        <v>#REF!</v>
      </c>
      <c r="CR12" s="97">
        <f t="shared" si="68"/>
        <v>0.15178702884438502</v>
      </c>
      <c r="CS12" s="95">
        <f t="shared" si="68"/>
        <v>0.19051692738628562</v>
      </c>
      <c r="CT12" s="96" t="e">
        <f>#REF!</f>
        <v>#REF!</v>
      </c>
      <c r="CU12" s="97">
        <f t="shared" si="69"/>
        <v>4.3367808128272956E-2</v>
      </c>
      <c r="CV12" s="95">
        <f t="shared" si="55"/>
        <v>5.2642249023164105E-2</v>
      </c>
      <c r="CW12" s="96" t="e">
        <f>#REF!</f>
        <v>#REF!</v>
      </c>
      <c r="CX12" s="97">
        <f t="shared" si="56"/>
        <v>0.24073384708260626</v>
      </c>
      <c r="CY12" s="98">
        <f t="shared" si="56"/>
        <v>2.224712793728913E-2</v>
      </c>
      <c r="CZ12" s="97">
        <f t="shared" si="56"/>
        <v>0.11156768637207684</v>
      </c>
      <c r="DA12" s="98">
        <f t="shared" si="56"/>
        <v>1.3281867425247243E-3</v>
      </c>
      <c r="DB12" s="94">
        <f t="shared" si="15"/>
        <v>0.13846346790820249</v>
      </c>
      <c r="DC12" s="94">
        <f t="shared" si="16"/>
        <v>7.8628655157469474E-2</v>
      </c>
      <c r="DD12" s="94">
        <f t="shared" si="16"/>
        <v>0.33207989029977514</v>
      </c>
      <c r="DE12" s="94">
        <f t="shared" si="16"/>
        <v>4.1837882389528819E-2</v>
      </c>
      <c r="DF12" s="94">
        <f t="shared" si="16"/>
        <v>0</v>
      </c>
      <c r="DG12" s="94">
        <f t="shared" si="16"/>
        <v>0</v>
      </c>
      <c r="DH12" s="95">
        <f t="shared" si="16"/>
        <v>0.59100989575497598</v>
      </c>
      <c r="DI12" s="96" t="e">
        <f>#REF!</f>
        <v>#REF!</v>
      </c>
      <c r="DJ12" s="95">
        <f t="shared" si="57"/>
        <v>1.4570208565496225</v>
      </c>
      <c r="DK12" s="96" t="e">
        <f>#REF!</f>
        <v>#REF!</v>
      </c>
      <c r="DL12" s="95">
        <f t="shared" si="58"/>
        <v>-0.63855831704403498</v>
      </c>
      <c r="DM12" s="96">
        <f t="shared" si="17"/>
        <v>0</v>
      </c>
      <c r="DN12" s="94">
        <f t="shared" si="18"/>
        <v>1.9169380567240821</v>
      </c>
      <c r="DO12" s="100">
        <v>3.4</v>
      </c>
      <c r="DP12" s="94">
        <f>IF($O12&lt;&gt;0,IF($O12&lt;&gt;0,BL12/$O12*10,0)," ")</f>
        <v>2.7354005962296695</v>
      </c>
      <c r="DQ12" s="94">
        <f t="shared" si="71"/>
        <v>3.9846509588743855</v>
      </c>
      <c r="DR12" s="101">
        <f t="shared" si="19"/>
        <v>2.95</v>
      </c>
      <c r="DS12" s="116"/>
      <c r="DT12" s="134">
        <v>7</v>
      </c>
      <c r="DU12" s="183">
        <v>644457</v>
      </c>
      <c r="DV12" s="135">
        <v>32907</v>
      </c>
      <c r="DW12" s="135">
        <v>5166500</v>
      </c>
      <c r="DX12" s="136">
        <v>126806</v>
      </c>
      <c r="DY12" s="136">
        <v>92728.9</v>
      </c>
      <c r="DZ12" s="136">
        <v>415901</v>
      </c>
      <c r="EA12" s="136">
        <v>251404</v>
      </c>
      <c r="EB12" s="136">
        <v>57884.2</v>
      </c>
      <c r="EC12" s="136">
        <v>432592</v>
      </c>
      <c r="ED12" s="183">
        <v>49915.5</v>
      </c>
      <c r="EE12" s="136">
        <v>42664.800000000003</v>
      </c>
      <c r="EF12" s="136">
        <v>44648.5</v>
      </c>
      <c r="EG12" s="135">
        <v>97149.8</v>
      </c>
      <c r="EH12" s="135">
        <v>190527</v>
      </c>
      <c r="EI12" s="135">
        <v>36697</v>
      </c>
      <c r="EJ12" s="136">
        <v>45149</v>
      </c>
      <c r="EK12" s="136"/>
      <c r="EL12" s="135">
        <v>735717.5</v>
      </c>
      <c r="EM12" s="136">
        <v>148</v>
      </c>
      <c r="EN12" s="104">
        <v>50726.400000000001</v>
      </c>
      <c r="EO12" s="135">
        <v>3196260.6</v>
      </c>
      <c r="EP12" s="136">
        <v>2897348</v>
      </c>
      <c r="EQ12" s="136">
        <v>4186</v>
      </c>
      <c r="ER12" s="136">
        <v>1347</v>
      </c>
      <c r="ES12" s="136">
        <v>468486</v>
      </c>
      <c r="ET12" s="136">
        <v>3318044</v>
      </c>
      <c r="EU12" s="136">
        <v>176548</v>
      </c>
      <c r="EV12" s="136">
        <v>490697</v>
      </c>
      <c r="EW12" s="136">
        <v>162637</v>
      </c>
      <c r="EX12" s="135">
        <v>231496.1</v>
      </c>
      <c r="EY12" s="135">
        <v>1768360.1</v>
      </c>
      <c r="EZ12" s="135">
        <v>855043.9</v>
      </c>
      <c r="FA12" s="373">
        <v>781554</v>
      </c>
      <c r="FB12" s="136">
        <v>32337.9</v>
      </c>
      <c r="FC12" s="136">
        <v>3850</v>
      </c>
      <c r="FD12" s="104">
        <f>(SUM(FE12:FM12))</f>
        <v>5638</v>
      </c>
      <c r="FE12" s="129">
        <v>671</v>
      </c>
      <c r="FF12" s="129">
        <v>0</v>
      </c>
      <c r="FG12" s="136">
        <v>2205</v>
      </c>
      <c r="FH12" s="136">
        <v>1034</v>
      </c>
      <c r="FI12" s="136">
        <v>582</v>
      </c>
      <c r="FJ12" s="136">
        <v>478</v>
      </c>
      <c r="FK12" s="136">
        <v>188</v>
      </c>
      <c r="FL12" s="136">
        <v>0</v>
      </c>
      <c r="FM12" s="136">
        <v>480</v>
      </c>
      <c r="FN12" s="80">
        <v>2600</v>
      </c>
      <c r="FO12" s="104"/>
      <c r="FP12" s="484"/>
      <c r="FY12" s="119">
        <v>7</v>
      </c>
      <c r="FZ12" s="107">
        <v>9087</v>
      </c>
      <c r="GA12" s="107">
        <v>1193</v>
      </c>
      <c r="GB12" s="108">
        <f>GA12/FZ12/0.1</f>
        <v>1.312864531748652</v>
      </c>
      <c r="GC12" s="109"/>
      <c r="GD12" s="110"/>
      <c r="GE12" s="110"/>
      <c r="GF12" s="111"/>
      <c r="GG12" s="111"/>
      <c r="GH12" s="111"/>
      <c r="GI12" s="112"/>
      <c r="GJ12" s="111">
        <f t="shared" si="59"/>
        <v>4025.5486169321034</v>
      </c>
      <c r="GK12" s="113"/>
    </row>
    <row r="13" spans="1:194" s="119" customFormat="1" ht="15" customHeight="1">
      <c r="B13" s="351">
        <v>43077</v>
      </c>
      <c r="D13" s="128">
        <v>4524</v>
      </c>
      <c r="E13" s="128">
        <v>2632.68</v>
      </c>
      <c r="F13" s="128">
        <v>2410.848</v>
      </c>
      <c r="G13" s="86">
        <v>4732.2479999999996</v>
      </c>
      <c r="H13" s="86">
        <v>7978.0720000000001</v>
      </c>
      <c r="I13" s="86">
        <v>2674.4409999999998</v>
      </c>
      <c r="J13" s="86">
        <v>7127.52</v>
      </c>
      <c r="K13" s="86">
        <v>0</v>
      </c>
      <c r="L13" s="86">
        <v>136.27000000000001</v>
      </c>
      <c r="M13" s="115">
        <f t="shared" si="60"/>
        <v>9801.9609999999993</v>
      </c>
      <c r="N13" s="88">
        <f t="shared" si="20"/>
        <v>22277.847999999998</v>
      </c>
      <c r="O13" s="88">
        <f>N13+L13+K13+((J13+I13)*0.5)</f>
        <v>27315.0985</v>
      </c>
      <c r="P13" s="89">
        <f t="shared" si="21"/>
        <v>173905.10249999998</v>
      </c>
      <c r="R13" s="170">
        <f t="shared" si="22"/>
        <v>214.90000000002328</v>
      </c>
      <c r="S13" s="170">
        <f t="shared" si="23"/>
        <v>0</v>
      </c>
      <c r="T13" s="170">
        <f t="shared" si="2"/>
        <v>718.7</v>
      </c>
      <c r="U13" s="170">
        <f t="shared" si="72"/>
        <v>0</v>
      </c>
      <c r="V13" s="170">
        <f t="shared" si="24"/>
        <v>1226.3999999999069</v>
      </c>
      <c r="W13" s="170">
        <f t="shared" si="3"/>
        <v>108.2</v>
      </c>
      <c r="X13" s="170">
        <f t="shared" si="25"/>
        <v>1226.3999999999069</v>
      </c>
      <c r="Y13" s="170">
        <f t="shared" si="26"/>
        <v>376.6</v>
      </c>
      <c r="Z13" s="170">
        <f t="shared" si="4"/>
        <v>130.80000000000001</v>
      </c>
      <c r="AA13" s="501">
        <f t="shared" si="27"/>
        <v>2159.99999999993</v>
      </c>
      <c r="AB13" s="170">
        <f t="shared" si="28"/>
        <v>76</v>
      </c>
      <c r="AC13" s="170">
        <f t="shared" si="28"/>
        <v>34</v>
      </c>
      <c r="AD13" s="501">
        <f t="shared" si="5"/>
        <v>222</v>
      </c>
      <c r="AE13" s="501">
        <f t="shared" si="29"/>
        <v>112</v>
      </c>
      <c r="AF13" s="170">
        <f t="shared" si="30"/>
        <v>72</v>
      </c>
      <c r="AG13" s="170">
        <f t="shared" si="30"/>
        <v>81.80000000000291</v>
      </c>
      <c r="AH13" s="501">
        <f t="shared" si="6"/>
        <v>83</v>
      </c>
      <c r="AI13" s="501">
        <f>IF(AF13="","",(AH13-AG13))</f>
        <v>1.1999999999970896</v>
      </c>
      <c r="AJ13" s="170">
        <f t="shared" si="32"/>
        <v>160</v>
      </c>
      <c r="AK13" s="170">
        <f t="shared" si="32"/>
        <v>19.700000000004366</v>
      </c>
      <c r="AL13" s="501">
        <f t="shared" si="7"/>
        <v>268</v>
      </c>
      <c r="AM13" s="501">
        <f t="shared" si="33"/>
        <v>88.299999999995634</v>
      </c>
      <c r="AN13" s="170">
        <f t="shared" si="34"/>
        <v>21.400000000001455</v>
      </c>
      <c r="AO13" s="501">
        <f t="shared" si="8"/>
        <v>36.099999999998545</v>
      </c>
      <c r="AP13" s="170">
        <f t="shared" si="35"/>
        <v>33.599999999991269</v>
      </c>
      <c r="AQ13" s="501">
        <f t="shared" si="9"/>
        <v>40</v>
      </c>
      <c r="AR13" s="170">
        <f t="shared" si="36"/>
        <v>86.141999999999996</v>
      </c>
      <c r="AS13" s="501">
        <f t="shared" si="37"/>
        <v>153.14200000000005</v>
      </c>
      <c r="AT13" s="501">
        <f t="shared" si="38"/>
        <v>856.14200000000005</v>
      </c>
      <c r="AU13" s="170">
        <f t="shared" si="61"/>
        <v>433</v>
      </c>
      <c r="AV13" s="501">
        <f t="shared" si="62"/>
        <v>10</v>
      </c>
      <c r="AW13" s="170">
        <f t="shared" si="63"/>
        <v>270</v>
      </c>
      <c r="AX13" s="501">
        <f t="shared" si="64"/>
        <v>26</v>
      </c>
      <c r="AY13" s="501"/>
      <c r="AZ13" s="170">
        <f t="shared" si="39"/>
        <v>354</v>
      </c>
      <c r="BA13" s="170">
        <v>6.9</v>
      </c>
      <c r="BB13" s="170">
        <f t="shared" si="40"/>
        <v>135.79999999998836</v>
      </c>
      <c r="BC13" s="170">
        <f t="shared" si="40"/>
        <v>977.79999999981374</v>
      </c>
      <c r="BD13" s="170">
        <f t="shared" si="41"/>
        <v>26</v>
      </c>
      <c r="BE13" s="90"/>
      <c r="BF13" s="90"/>
      <c r="BG13" s="501">
        <f t="shared" si="42"/>
        <v>1493.5999999998021</v>
      </c>
      <c r="BH13" s="501">
        <f>BL13-FC13</f>
        <v>1382</v>
      </c>
      <c r="BI13" s="90">
        <f t="shared" si="10"/>
        <v>1825.1580000002696</v>
      </c>
      <c r="BJ13" s="90">
        <f t="shared" si="44"/>
        <v>5194.8419999997304</v>
      </c>
      <c r="BK13" s="92"/>
      <c r="BL13" s="93">
        <f t="shared" si="65"/>
        <v>8402</v>
      </c>
      <c r="BM13" s="93">
        <f t="shared" si="45"/>
        <v>66813</v>
      </c>
      <c r="BN13" s="92"/>
      <c r="BO13" s="94">
        <f t="shared" si="46"/>
        <v>9.6463536334399663E-2</v>
      </c>
      <c r="BP13" s="94">
        <f t="shared" si="46"/>
        <v>0</v>
      </c>
      <c r="BQ13" s="94">
        <f t="shared" si="47"/>
        <v>0.32260746190565626</v>
      </c>
      <c r="BR13" s="94">
        <f t="shared" si="66"/>
        <v>0.55050200540012073</v>
      </c>
      <c r="BS13" s="94">
        <f t="shared" si="11"/>
        <v>0.16904684869023259</v>
      </c>
      <c r="BT13" s="94">
        <f t="shared" si="11"/>
        <v>5.8713031887101495E-2</v>
      </c>
      <c r="BU13" s="95">
        <f t="shared" si="11"/>
        <v>0.96957300364017662</v>
      </c>
      <c r="BV13" s="94">
        <f t="shared" si="12"/>
        <v>7.8674437143261E-2</v>
      </c>
      <c r="BW13" s="94">
        <f t="shared" si="12"/>
        <v>0</v>
      </c>
      <c r="BX13" s="94">
        <f t="shared" si="12"/>
        <v>0.26311455549025387</v>
      </c>
      <c r="BY13" s="94">
        <f t="shared" si="48"/>
        <v>0.4489824556187878</v>
      </c>
      <c r="BZ13" s="95">
        <f t="shared" si="13"/>
        <v>0.79077144825230261</v>
      </c>
      <c r="CA13" s="96" t="e">
        <f>#REF!</f>
        <v>#REF!</v>
      </c>
      <c r="CB13" s="94">
        <f t="shared" si="49"/>
        <v>3.1536404673774103E-2</v>
      </c>
      <c r="CC13" s="95">
        <f t="shared" si="49"/>
        <v>5.6064963485304674E-2</v>
      </c>
      <c r="CD13" s="97">
        <f t="shared" si="14"/>
        <v>8.7882414549496787E-2</v>
      </c>
      <c r="CE13" s="98">
        <f t="shared" si="14"/>
        <v>0.15623608377956213</v>
      </c>
      <c r="CF13" s="97">
        <f t="shared" si="50"/>
        <v>0.16799292661361626</v>
      </c>
      <c r="CG13" s="94">
        <f t="shared" si="50"/>
        <v>7.515473032714412E-2</v>
      </c>
      <c r="CH13" s="95">
        <f t="shared" si="51"/>
        <v>0.49071618037135278</v>
      </c>
      <c r="CI13" s="96" t="e">
        <f>#REF!</f>
        <v>#REF!</v>
      </c>
      <c r="CJ13" s="94">
        <f t="shared" si="52"/>
        <v>0.27348557363599074</v>
      </c>
      <c r="CK13" s="94">
        <f t="shared" si="52"/>
        <v>0.31070999893645607</v>
      </c>
      <c r="CL13" s="95">
        <f t="shared" si="67"/>
        <v>0.31526809183037818</v>
      </c>
      <c r="CM13" s="95" t="e">
        <f>#REF!</f>
        <v>#REF!</v>
      </c>
      <c r="CN13" s="94">
        <f t="shared" si="53"/>
        <v>0.66366689231341014</v>
      </c>
      <c r="CO13" s="94">
        <f t="shared" si="53"/>
        <v>8.1713986116106724E-2</v>
      </c>
      <c r="CP13" s="95">
        <f t="shared" si="54"/>
        <v>1.1116420446249617</v>
      </c>
      <c r="CQ13" s="95" t="e">
        <f>#REF!</f>
        <v>#REF!</v>
      </c>
      <c r="CR13" s="97">
        <f t="shared" si="68"/>
        <v>4.5221636735863074E-2</v>
      </c>
      <c r="CS13" s="95">
        <f t="shared" si="68"/>
        <v>7.628509748432151E-2</v>
      </c>
      <c r="CT13" s="96" t="e">
        <f>#REF!</f>
        <v>#REF!</v>
      </c>
      <c r="CU13" s="97">
        <f t="shared" si="69"/>
        <v>4.211543841668923E-2</v>
      </c>
      <c r="CV13" s="95">
        <f t="shared" si="55"/>
        <v>5.0137426686547824E-2</v>
      </c>
      <c r="CW13" s="96" t="e">
        <f>#REF!</f>
        <v>#REF!</v>
      </c>
      <c r="CX13" s="97">
        <f t="shared" si="56"/>
        <v>0.15852038754317507</v>
      </c>
      <c r="CY13" s="98">
        <f t="shared" si="56"/>
        <v>3.6609789270941125E-3</v>
      </c>
      <c r="CZ13" s="97">
        <f t="shared" si="56"/>
        <v>9.8846431031541032E-2</v>
      </c>
      <c r="DA13" s="98">
        <f t="shared" si="56"/>
        <v>9.5185452104446927E-3</v>
      </c>
      <c r="DB13" s="94">
        <f t="shared" si="15"/>
        <v>0.12959865401913159</v>
      </c>
      <c r="DC13" s="94">
        <f t="shared" si="16"/>
        <v>4.9716093829933784E-2</v>
      </c>
      <c r="DD13" s="94">
        <f t="shared" si="16"/>
        <v>0.35797051949119413</v>
      </c>
      <c r="DE13" s="94">
        <f t="shared" si="16"/>
        <v>9.5185452104446927E-3</v>
      </c>
      <c r="DF13" s="94">
        <f t="shared" si="16"/>
        <v>0</v>
      </c>
      <c r="DG13" s="94">
        <f t="shared" si="16"/>
        <v>0</v>
      </c>
      <c r="DH13" s="95">
        <f t="shared" si="16"/>
        <v>0.5468038125507042</v>
      </c>
      <c r="DI13" s="96" t="e">
        <f>#REF!</f>
        <v>#REF!</v>
      </c>
      <c r="DJ13" s="95">
        <f t="shared" si="57"/>
        <v>0.50594728772440634</v>
      </c>
      <c r="DK13" s="96" t="e">
        <f>#REF!</f>
        <v>#REF!</v>
      </c>
      <c r="DL13" s="95">
        <f t="shared" si="58"/>
        <v>0.66818649766182225</v>
      </c>
      <c r="DM13" s="96">
        <f t="shared" si="17"/>
        <v>0</v>
      </c>
      <c r="DN13" s="94">
        <f t="shared" si="18"/>
        <v>1.9018207091582444</v>
      </c>
      <c r="DO13" s="100">
        <v>3.4</v>
      </c>
      <c r="DP13" s="94">
        <f t="shared" si="70"/>
        <v>3.0759544945444732</v>
      </c>
      <c r="DQ13" s="94">
        <f t="shared" si="71"/>
        <v>3.8419229246019397</v>
      </c>
      <c r="DR13" s="101">
        <f t="shared" si="19"/>
        <v>2.95</v>
      </c>
      <c r="DS13" s="116"/>
      <c r="DT13" s="134">
        <v>8</v>
      </c>
      <c r="DU13" s="135">
        <v>644533</v>
      </c>
      <c r="DV13" s="135">
        <v>32941</v>
      </c>
      <c r="DW13" s="135">
        <v>5166646</v>
      </c>
      <c r="DX13" s="136">
        <v>126878</v>
      </c>
      <c r="DY13" s="136">
        <v>92810.7</v>
      </c>
      <c r="DZ13" s="136">
        <v>415912</v>
      </c>
      <c r="EA13" s="136">
        <v>251564</v>
      </c>
      <c r="EB13" s="136">
        <v>57903.9</v>
      </c>
      <c r="EC13" s="136">
        <v>432700</v>
      </c>
      <c r="ED13" s="183">
        <v>49936.9</v>
      </c>
      <c r="EE13" s="136">
        <v>42680.4</v>
      </c>
      <c r="EF13" s="136">
        <v>44669</v>
      </c>
      <c r="EG13" s="135">
        <v>97183.4</v>
      </c>
      <c r="EH13" s="135">
        <v>190567</v>
      </c>
      <c r="EI13" s="135">
        <v>36707</v>
      </c>
      <c r="EJ13" s="136">
        <v>45175</v>
      </c>
      <c r="EK13" s="136"/>
      <c r="EL13" s="135">
        <v>735932.4</v>
      </c>
      <c r="EM13" s="135">
        <v>7187</v>
      </c>
      <c r="EN13" s="104">
        <v>50726.400000000001</v>
      </c>
      <c r="EO13" s="135">
        <v>3197487</v>
      </c>
      <c r="EP13" s="136">
        <v>2898430</v>
      </c>
      <c r="EQ13" s="136">
        <v>3766</v>
      </c>
      <c r="ER13" s="136">
        <v>1308</v>
      </c>
      <c r="ES13" s="139">
        <v>469256</v>
      </c>
      <c r="ET13" s="136">
        <v>3404186</v>
      </c>
      <c r="EU13" s="136">
        <v>176818</v>
      </c>
      <c r="EV13" s="136">
        <v>491130</v>
      </c>
      <c r="EW13" s="136">
        <v>162991</v>
      </c>
      <c r="EX13" s="135">
        <v>231631.9</v>
      </c>
      <c r="EY13" s="135">
        <v>1769337.9</v>
      </c>
      <c r="EZ13" s="140">
        <v>855043.9</v>
      </c>
      <c r="FA13" s="373">
        <v>781580</v>
      </c>
      <c r="FB13" s="136">
        <v>32347.8</v>
      </c>
      <c r="FC13" s="135">
        <v>7020</v>
      </c>
      <c r="FD13" s="104">
        <f>(SUM(FE13:FM13))</f>
        <v>5802</v>
      </c>
      <c r="FE13" s="129">
        <v>522</v>
      </c>
      <c r="FF13" s="136">
        <v>0</v>
      </c>
      <c r="FG13" s="136">
        <v>2202</v>
      </c>
      <c r="FH13" s="136">
        <v>671</v>
      </c>
      <c r="FI13" s="136">
        <v>585</v>
      </c>
      <c r="FJ13" s="136">
        <v>461</v>
      </c>
      <c r="FK13" s="136">
        <v>795</v>
      </c>
      <c r="FL13" s="136">
        <v>83</v>
      </c>
      <c r="FM13" s="136">
        <v>483</v>
      </c>
      <c r="FN13" s="80">
        <v>2600</v>
      </c>
      <c r="FO13" s="104"/>
      <c r="FP13" s="516"/>
      <c r="FY13" s="119">
        <v>8</v>
      </c>
      <c r="FZ13" s="107">
        <v>8106</v>
      </c>
      <c r="GA13" s="107">
        <v>1522</v>
      </c>
      <c r="GB13" s="108">
        <f>GA13/FZ13/0.1</f>
        <v>1.8776215149272142</v>
      </c>
      <c r="GC13" s="109"/>
      <c r="GD13" s="110"/>
      <c r="GE13" s="110"/>
      <c r="GF13" s="111"/>
      <c r="GG13" s="111"/>
      <c r="GH13" s="111"/>
      <c r="GI13" s="112"/>
      <c r="GJ13" s="111">
        <f t="shared" si="59"/>
        <v>2946.8132720105127</v>
      </c>
      <c r="GK13" s="113"/>
    </row>
    <row r="14" spans="1:194" s="454" customFormat="1" ht="15" customHeight="1">
      <c r="B14" s="351">
        <v>43078</v>
      </c>
      <c r="D14" s="86">
        <v>5717.4</v>
      </c>
      <c r="E14" s="128">
        <v>0</v>
      </c>
      <c r="F14" s="128">
        <v>718.56</v>
      </c>
      <c r="G14" s="86">
        <v>3791.0839999999998</v>
      </c>
      <c r="H14" s="86">
        <v>6739.4549999999999</v>
      </c>
      <c r="I14" s="86">
        <v>2138.4029999999998</v>
      </c>
      <c r="J14" s="86">
        <v>6574.4400000000005</v>
      </c>
      <c r="K14" s="86">
        <v>12.07</v>
      </c>
      <c r="L14" s="86">
        <v>0</v>
      </c>
      <c r="M14" s="115">
        <f>I14+J14</f>
        <v>8712.8430000000008</v>
      </c>
      <c r="N14" s="88">
        <f>SUM(D14:H14)</f>
        <v>16966.498999999996</v>
      </c>
      <c r="O14" s="88">
        <f>N14+L14+K14+((J14+I14)*0.5)</f>
        <v>21334.990499999996</v>
      </c>
      <c r="P14" s="89">
        <f t="shared" si="21"/>
        <v>195240.09299999996</v>
      </c>
      <c r="R14" s="170">
        <f t="shared" si="22"/>
        <v>299.29999999993015</v>
      </c>
      <c r="S14" s="170">
        <f t="shared" si="23"/>
        <v>0</v>
      </c>
      <c r="T14" s="170">
        <f t="shared" si="2"/>
        <v>324.3</v>
      </c>
      <c r="U14" s="170">
        <f t="shared" si="72"/>
        <v>0</v>
      </c>
      <c r="V14" s="170">
        <f t="shared" si="24"/>
        <v>1185.7999999998137</v>
      </c>
      <c r="W14" s="170">
        <f t="shared" si="3"/>
        <v>105.5</v>
      </c>
      <c r="X14" s="170">
        <f t="shared" si="25"/>
        <v>1185.7999999998137</v>
      </c>
      <c r="Y14" s="170">
        <f t="shared" si="26"/>
        <v>419.5</v>
      </c>
      <c r="Z14" s="170">
        <f t="shared" si="4"/>
        <v>114.7</v>
      </c>
      <c r="AA14" s="501">
        <f t="shared" si="27"/>
        <v>1809.3999999997438</v>
      </c>
      <c r="AB14" s="170">
        <f t="shared" si="28"/>
        <v>0</v>
      </c>
      <c r="AC14" s="170">
        <f t="shared" si="28"/>
        <v>0</v>
      </c>
      <c r="AD14" s="501">
        <f t="shared" si="5"/>
        <v>177</v>
      </c>
      <c r="AE14" s="501">
        <f t="shared" si="29"/>
        <v>177</v>
      </c>
      <c r="AF14" s="170">
        <f t="shared" si="30"/>
        <v>53</v>
      </c>
      <c r="AG14" s="170">
        <f t="shared" si="30"/>
        <v>104.30000000000291</v>
      </c>
      <c r="AH14" s="501">
        <f t="shared" si="6"/>
        <v>281</v>
      </c>
      <c r="AI14" s="501">
        <f t="shared" si="31"/>
        <v>123.69999999999709</v>
      </c>
      <c r="AJ14" s="170">
        <f t="shared" si="32"/>
        <v>81</v>
      </c>
      <c r="AK14" s="170">
        <f t="shared" si="32"/>
        <v>14.299999999995634</v>
      </c>
      <c r="AL14" s="501">
        <f t="shared" si="7"/>
        <v>316</v>
      </c>
      <c r="AM14" s="501">
        <f t="shared" si="33"/>
        <v>220.70000000000437</v>
      </c>
      <c r="AN14" s="170">
        <f t="shared" si="34"/>
        <v>12.400000000001455</v>
      </c>
      <c r="AO14" s="501">
        <f t="shared" si="8"/>
        <v>33</v>
      </c>
      <c r="AP14" s="170">
        <f t="shared" si="35"/>
        <v>33</v>
      </c>
      <c r="AQ14" s="501">
        <f t="shared" si="9"/>
        <v>40</v>
      </c>
      <c r="AR14" s="170">
        <f t="shared" si="36"/>
        <v>122.58499999999999</v>
      </c>
      <c r="AS14" s="501">
        <f t="shared" si="37"/>
        <v>128.58500000000004</v>
      </c>
      <c r="AT14" s="501">
        <f t="shared" si="38"/>
        <v>949.58500000000004</v>
      </c>
      <c r="AU14" s="170">
        <f t="shared" si="61"/>
        <v>527</v>
      </c>
      <c r="AV14" s="501">
        <f t="shared" si="62"/>
        <v>26</v>
      </c>
      <c r="AW14" s="170">
        <f t="shared" si="63"/>
        <v>294</v>
      </c>
      <c r="AX14" s="501">
        <f t="shared" si="64"/>
        <v>30</v>
      </c>
      <c r="AY14" s="501" t="str">
        <f t="shared" si="64"/>
        <v/>
      </c>
      <c r="AZ14" s="170">
        <f t="shared" si="39"/>
        <v>443</v>
      </c>
      <c r="BA14" s="170">
        <v>80.400000000000006</v>
      </c>
      <c r="BB14" s="170">
        <f t="shared" si="40"/>
        <v>183.80000000001746</v>
      </c>
      <c r="BC14" s="170">
        <f>IF(EY14=0,"",(EY14-EY13))</f>
        <v>1118.6000000000931</v>
      </c>
      <c r="BD14" s="170">
        <f t="shared" si="41"/>
        <v>450</v>
      </c>
      <c r="BE14" s="90"/>
      <c r="BF14" s="90"/>
      <c r="BG14" s="501">
        <f t="shared" si="42"/>
        <v>2195.4000000001106</v>
      </c>
      <c r="BH14" s="501">
        <f t="shared" si="43"/>
        <v>656</v>
      </c>
      <c r="BI14" s="90">
        <f t="shared" si="10"/>
        <v>1605.6150000001453</v>
      </c>
      <c r="BJ14" s="90">
        <f t="shared" si="44"/>
        <v>5857.3849999998547</v>
      </c>
      <c r="BK14" s="92"/>
      <c r="BL14" s="93">
        <f>FD14+FN14</f>
        <v>8119</v>
      </c>
      <c r="BM14" s="93">
        <f t="shared" si="45"/>
        <v>74932</v>
      </c>
      <c r="BN14" s="92"/>
      <c r="BO14" s="94">
        <f t="shared" si="46"/>
        <v>0.17640645839776978</v>
      </c>
      <c r="BP14" s="94">
        <f t="shared" si="46"/>
        <v>0</v>
      </c>
      <c r="BQ14" s="94">
        <f t="shared" si="47"/>
        <v>0.1911413780768797</v>
      </c>
      <c r="BR14" s="94">
        <f t="shared" si="66"/>
        <v>0.69890671021747852</v>
      </c>
      <c r="BS14" s="94">
        <f t="shared" si="11"/>
        <v>0.24725195221477342</v>
      </c>
      <c r="BT14" s="94">
        <f t="shared" si="11"/>
        <v>6.7603811487567375E-2</v>
      </c>
      <c r="BU14" s="95">
        <f t="shared" si="11"/>
        <v>1.066454546692128</v>
      </c>
      <c r="BV14" s="94">
        <f t="shared" si="12"/>
        <v>0.14028597762906442</v>
      </c>
      <c r="BW14" s="94">
        <f t="shared" si="12"/>
        <v>0</v>
      </c>
      <c r="BX14" s="94">
        <f t="shared" si="12"/>
        <v>0.1520038173909663</v>
      </c>
      <c r="BY14" s="94">
        <f t="shared" si="48"/>
        <v>0.55580057558488905</v>
      </c>
      <c r="BZ14" s="95">
        <f t="shared" si="13"/>
        <v>0.84809037060491976</v>
      </c>
      <c r="CA14" s="96" t="e">
        <f>#REF!</f>
        <v>#REF!</v>
      </c>
      <c r="CB14" s="94">
        <f t="shared" si="49"/>
        <v>5.7457255488349068E-2</v>
      </c>
      <c r="CC14" s="95">
        <f t="shared" si="49"/>
        <v>6.0269537031197667E-2</v>
      </c>
      <c r="CD14" s="97">
        <f t="shared" si="14"/>
        <v>0.14069460450509666</v>
      </c>
      <c r="CE14" s="98">
        <f t="shared" si="14"/>
        <v>0.14758099049873849</v>
      </c>
      <c r="CF14" s="97">
        <f t="shared" si="50"/>
        <v>0</v>
      </c>
      <c r="CG14" s="94">
        <f t="shared" si="50"/>
        <v>0</v>
      </c>
      <c r="CH14" s="95">
        <f t="shared" si="51"/>
        <v>0.30958127820337916</v>
      </c>
      <c r="CI14" s="96" t="e">
        <f>#REF!</f>
        <v>#REF!</v>
      </c>
      <c r="CJ14" s="94" t="str">
        <f t="shared" si="52"/>
        <v>0,00</v>
      </c>
      <c r="CK14" s="94" t="str">
        <f t="shared" si="52"/>
        <v>0,00</v>
      </c>
      <c r="CL14" s="95" t="str">
        <f t="shared" si="67"/>
        <v xml:space="preserve">0,00 </v>
      </c>
      <c r="CM14" s="95" t="e">
        <f>#REF!</f>
        <v>#REF!</v>
      </c>
      <c r="CN14" s="94">
        <f t="shared" si="53"/>
        <v>1.1272545090180361</v>
      </c>
      <c r="CO14" s="94">
        <f t="shared" si="53"/>
        <v>0.19900912936979009</v>
      </c>
      <c r="CP14" s="95">
        <f t="shared" si="54"/>
        <v>4.3976842574036965</v>
      </c>
      <c r="CQ14" s="95" t="e">
        <f>#REF!</f>
        <v>#REF!</v>
      </c>
      <c r="CR14" s="97">
        <f t="shared" si="68"/>
        <v>3.2708323002079237E-2</v>
      </c>
      <c r="CS14" s="95">
        <f t="shared" si="68"/>
        <v>8.7046343473265175E-2</v>
      </c>
      <c r="CT14" s="96" t="e">
        <f>#REF!</f>
        <v>#REF!</v>
      </c>
      <c r="CU14" s="97">
        <f t="shared" si="69"/>
        <v>4.896538369942377E-2</v>
      </c>
      <c r="CV14" s="95">
        <f t="shared" si="55"/>
        <v>5.9351980241725777E-2</v>
      </c>
      <c r="CW14" s="96" t="e">
        <f>#REF!</f>
        <v>#REF!</v>
      </c>
      <c r="CX14" s="97">
        <f t="shared" si="56"/>
        <v>0.24701206218020116</v>
      </c>
      <c r="CY14" s="98">
        <f t="shared" si="56"/>
        <v>1.2186553352343889E-2</v>
      </c>
      <c r="CZ14" s="97">
        <f t="shared" si="56"/>
        <v>0.13780179559958089</v>
      </c>
      <c r="DA14" s="98">
        <f t="shared" si="56"/>
        <v>1.4061407714242951E-2</v>
      </c>
      <c r="DB14" s="94">
        <f t="shared" si="15"/>
        <v>0.20764012058032089</v>
      </c>
      <c r="DC14" s="94">
        <f t="shared" si="16"/>
        <v>8.6149557929269982E-2</v>
      </c>
      <c r="DD14" s="94">
        <f t="shared" si="16"/>
        <v>0.52430302230511583</v>
      </c>
      <c r="DE14" s="94">
        <f t="shared" si="16"/>
        <v>0.21092111571364425</v>
      </c>
      <c r="DF14" s="94">
        <f t="shared" si="16"/>
        <v>0</v>
      </c>
      <c r="DG14" s="94">
        <f t="shared" si="16"/>
        <v>0</v>
      </c>
      <c r="DH14" s="95">
        <f t="shared" si="16"/>
        <v>1.0290138165283509</v>
      </c>
      <c r="DI14" s="96" t="e">
        <f>#REF!</f>
        <v>#REF!</v>
      </c>
      <c r="DJ14" s="95">
        <f t="shared" si="57"/>
        <v>0.30747611535144581</v>
      </c>
      <c r="DK14" s="96" t="e">
        <f>#REF!</f>
        <v>#REF!</v>
      </c>
      <c r="DL14" s="95">
        <f t="shared" si="58"/>
        <v>0.75257357157020799</v>
      </c>
      <c r="DM14" s="96">
        <f t="shared" si="17"/>
        <v>0</v>
      </c>
      <c r="DN14" s="94">
        <f t="shared" si="18"/>
        <v>2.7454359541429634</v>
      </c>
      <c r="DO14" s="100">
        <v>3.4</v>
      </c>
      <c r="DP14" s="94">
        <f t="shared" si="70"/>
        <v>3.805485641064617</v>
      </c>
      <c r="DQ14" s="94">
        <f t="shared" si="71"/>
        <v>3.8379412163054036</v>
      </c>
      <c r="DR14" s="101">
        <f t="shared" si="19"/>
        <v>2.95</v>
      </c>
      <c r="DT14" s="142">
        <v>9</v>
      </c>
      <c r="DU14" s="135">
        <v>644533</v>
      </c>
      <c r="DV14" s="135">
        <v>32941</v>
      </c>
      <c r="DW14" s="135">
        <v>5166823</v>
      </c>
      <c r="DX14" s="136">
        <v>126931</v>
      </c>
      <c r="DY14" s="136">
        <v>92915</v>
      </c>
      <c r="DZ14" s="136">
        <v>416140</v>
      </c>
      <c r="EA14" s="136">
        <v>251645</v>
      </c>
      <c r="EB14" s="136">
        <v>57918.2</v>
      </c>
      <c r="EC14" s="136">
        <v>432935</v>
      </c>
      <c r="ED14" s="183">
        <v>49949.3</v>
      </c>
      <c r="EE14" s="136">
        <v>42699.8</v>
      </c>
      <c r="EF14" s="136">
        <v>44682.6</v>
      </c>
      <c r="EG14" s="135">
        <v>97216.4</v>
      </c>
      <c r="EH14" s="135">
        <v>190607</v>
      </c>
      <c r="EI14" s="135">
        <v>36733</v>
      </c>
      <c r="EJ14" s="136">
        <v>45205</v>
      </c>
      <c r="EK14" s="136"/>
      <c r="EL14" s="135">
        <v>736231.7</v>
      </c>
      <c r="EM14" s="136">
        <v>3243</v>
      </c>
      <c r="EN14" s="104">
        <v>50726.400000000001</v>
      </c>
      <c r="EO14" s="135">
        <v>3198672.8</v>
      </c>
      <c r="EP14" s="136">
        <v>2899485</v>
      </c>
      <c r="EQ14" s="136">
        <v>4195</v>
      </c>
      <c r="ER14" s="136">
        <v>1147</v>
      </c>
      <c r="ES14" s="144">
        <v>470083</v>
      </c>
      <c r="ET14" s="136">
        <v>3526771</v>
      </c>
      <c r="EU14" s="136">
        <v>177112</v>
      </c>
      <c r="EV14" s="136">
        <v>491657</v>
      </c>
      <c r="EW14" s="136">
        <v>163434</v>
      </c>
      <c r="EX14" s="135">
        <v>231815.7</v>
      </c>
      <c r="EY14" s="135">
        <v>1770456.5</v>
      </c>
      <c r="EZ14" s="140">
        <v>855043.9</v>
      </c>
      <c r="FA14" s="140">
        <v>782030</v>
      </c>
      <c r="FB14" s="145">
        <v>32425.4</v>
      </c>
      <c r="FC14" s="146">
        <v>7463</v>
      </c>
      <c r="FD14" s="77">
        <f t="shared" ref="FD14:FD29" si="73">SUM(FE14:FM14)</f>
        <v>5519</v>
      </c>
      <c r="FE14" s="129">
        <v>523</v>
      </c>
      <c r="FF14" s="136">
        <v>0</v>
      </c>
      <c r="FG14" s="105">
        <v>2107</v>
      </c>
      <c r="FH14" s="136">
        <v>678</v>
      </c>
      <c r="FI14" s="136">
        <v>579</v>
      </c>
      <c r="FJ14" s="105">
        <v>484</v>
      </c>
      <c r="FK14" s="136">
        <v>579</v>
      </c>
      <c r="FL14" s="136">
        <v>82</v>
      </c>
      <c r="FM14" s="136">
        <v>487</v>
      </c>
      <c r="FN14" s="80">
        <v>2600</v>
      </c>
      <c r="FO14" s="303"/>
      <c r="FP14" s="484"/>
      <c r="FY14" s="454">
        <v>9</v>
      </c>
      <c r="FZ14" s="107"/>
      <c r="GA14" s="107">
        <v>660</v>
      </c>
      <c r="GB14" s="108"/>
      <c r="GC14" s="109"/>
      <c r="GD14" s="110"/>
      <c r="GE14" s="110"/>
      <c r="GF14" s="111"/>
      <c r="GG14" s="111"/>
      <c r="GH14" s="111"/>
      <c r="GI14" s="112"/>
      <c r="GJ14" s="111" t="e">
        <f t="shared" si="59"/>
        <v>#DIV/0!</v>
      </c>
      <c r="GK14" s="113"/>
    </row>
    <row r="15" spans="1:194" s="119" customFormat="1" ht="15" customHeight="1">
      <c r="A15" s="119" t="s">
        <v>125</v>
      </c>
      <c r="B15" s="351">
        <v>43079</v>
      </c>
      <c r="D15" s="128">
        <v>0</v>
      </c>
      <c r="E15" s="128">
        <v>6837.7199999999993</v>
      </c>
      <c r="F15" s="128">
        <v>2658.1680000000001</v>
      </c>
      <c r="G15" s="86">
        <v>4366.2330000000002</v>
      </c>
      <c r="H15" s="86">
        <v>6933.1769999999997</v>
      </c>
      <c r="I15" s="86">
        <v>1451.3789999999999</v>
      </c>
      <c r="J15" s="86">
        <v>4593.84</v>
      </c>
      <c r="K15" s="86">
        <v>0</v>
      </c>
      <c r="L15" s="86">
        <v>0</v>
      </c>
      <c r="M15" s="115">
        <f>I15+J15</f>
        <v>6045.2190000000001</v>
      </c>
      <c r="N15" s="88">
        <f>SUM(D15:H15)</f>
        <v>20795.297999999999</v>
      </c>
      <c r="O15" s="88">
        <f t="shared" ref="O15:O36" si="74">N15+L15+K15+((J15+I15)*0.5)</f>
        <v>23817.907499999998</v>
      </c>
      <c r="P15" s="89">
        <f t="shared" si="21"/>
        <v>219058.00049999997</v>
      </c>
      <c r="R15" s="170">
        <f t="shared" si="22"/>
        <v>0</v>
      </c>
      <c r="S15" s="170">
        <f t="shared" si="23"/>
        <v>-9.0000000002328301E-2</v>
      </c>
      <c r="T15" s="170">
        <f t="shared" si="2"/>
        <v>257.5</v>
      </c>
      <c r="U15" s="170">
        <f t="shared" si="72"/>
        <v>0</v>
      </c>
      <c r="V15" s="170">
        <f t="shared" si="24"/>
        <v>1142.5</v>
      </c>
      <c r="W15" s="170">
        <f t="shared" si="3"/>
        <v>101.6</v>
      </c>
      <c r="X15" s="170">
        <f t="shared" si="25"/>
        <v>1142.5</v>
      </c>
      <c r="Y15" s="170">
        <f t="shared" si="26"/>
        <v>242.2</v>
      </c>
      <c r="Z15" s="170">
        <f t="shared" si="4"/>
        <v>107.6</v>
      </c>
      <c r="AA15" s="501">
        <f t="shared" si="27"/>
        <v>1399.9099999999976</v>
      </c>
      <c r="AB15" s="170">
        <f t="shared" si="28"/>
        <v>314</v>
      </c>
      <c r="AC15" s="170">
        <f t="shared" si="28"/>
        <v>0</v>
      </c>
      <c r="AD15" s="501">
        <f t="shared" si="5"/>
        <v>435</v>
      </c>
      <c r="AE15" s="501">
        <f t="shared" si="29"/>
        <v>121</v>
      </c>
      <c r="AF15" s="170">
        <f t="shared" si="30"/>
        <v>133</v>
      </c>
      <c r="AG15" s="170">
        <f t="shared" si="30"/>
        <v>98.19999999999709</v>
      </c>
      <c r="AH15" s="501">
        <f t="shared" si="6"/>
        <v>282</v>
      </c>
      <c r="AI15" s="501">
        <f t="shared" si="31"/>
        <v>50.80000000000291</v>
      </c>
      <c r="AJ15" s="170">
        <f t="shared" si="32"/>
        <v>141</v>
      </c>
      <c r="AK15" s="170">
        <f t="shared" si="32"/>
        <v>44.5</v>
      </c>
      <c r="AL15" s="501">
        <f t="shared" si="7"/>
        <v>254</v>
      </c>
      <c r="AM15" s="501">
        <f t="shared" si="33"/>
        <v>68.5</v>
      </c>
      <c r="AN15" s="170">
        <f t="shared" si="34"/>
        <v>16.099999999998545</v>
      </c>
      <c r="AO15" s="501">
        <f t="shared" si="8"/>
        <v>32.80000000000291</v>
      </c>
      <c r="AP15" s="170">
        <f t="shared" si="35"/>
        <v>38.30000000000291</v>
      </c>
      <c r="AQ15" s="501">
        <f t="shared" si="9"/>
        <v>47.899999999994179</v>
      </c>
      <c r="AR15" s="170">
        <f t="shared" si="36"/>
        <v>100.337</v>
      </c>
      <c r="AS15" s="501">
        <f t="shared" si="37"/>
        <v>151.33699999999999</v>
      </c>
      <c r="AT15" s="501">
        <f t="shared" si="38"/>
        <v>827.33699999999999</v>
      </c>
      <c r="AU15" s="170">
        <f t="shared" si="61"/>
        <v>455</v>
      </c>
      <c r="AV15" s="501">
        <f t="shared" si="62"/>
        <v>35</v>
      </c>
      <c r="AW15" s="170">
        <f t="shared" si="63"/>
        <v>221</v>
      </c>
      <c r="AX15" s="501">
        <f t="shared" si="64"/>
        <v>15</v>
      </c>
      <c r="AY15" s="501" t="str">
        <f t="shared" si="64"/>
        <v/>
      </c>
      <c r="AZ15" s="170">
        <f t="shared" si="39"/>
        <v>442</v>
      </c>
      <c r="BA15" s="170">
        <v>0</v>
      </c>
      <c r="BB15" s="170">
        <f t="shared" si="40"/>
        <v>156.79999999998836</v>
      </c>
      <c r="BC15" s="170">
        <f t="shared" si="40"/>
        <v>1509.5</v>
      </c>
      <c r="BD15" s="170">
        <f t="shared" si="41"/>
        <v>229</v>
      </c>
      <c r="BE15" s="90"/>
      <c r="BF15" s="90"/>
      <c r="BG15" s="501">
        <f t="shared" si="42"/>
        <v>2337.2999999999884</v>
      </c>
      <c r="BH15" s="501">
        <f t="shared" si="43"/>
        <v>7761</v>
      </c>
      <c r="BI15" s="90" t="str">
        <f>IF(FC15=0,"",(FC15-BJ15))</f>
        <v/>
      </c>
      <c r="BJ15" s="90">
        <f t="shared" si="44"/>
        <v>5666.246999999983</v>
      </c>
      <c r="BK15" s="92"/>
      <c r="BL15" s="93">
        <f t="shared" si="65"/>
        <v>7761</v>
      </c>
      <c r="BM15" s="93">
        <f t="shared" si="45"/>
        <v>82693</v>
      </c>
      <c r="BN15" s="92"/>
      <c r="BO15" s="94">
        <f t="shared" si="46"/>
        <v>0</v>
      </c>
      <c r="BP15" s="94">
        <f t="shared" si="46"/>
        <v>-4.3279014324453689E-5</v>
      </c>
      <c r="BQ15" s="94">
        <f t="shared" si="47"/>
        <v>0.123826068758428</v>
      </c>
      <c r="BR15" s="94">
        <f t="shared" si="66"/>
        <v>0.54940304293787956</v>
      </c>
      <c r="BS15" s="94">
        <f t="shared" si="11"/>
        <v>0.1164686363234612</v>
      </c>
      <c r="BT15" s="94">
        <f t="shared" si="11"/>
        <v>5.1742466013230487E-2</v>
      </c>
      <c r="BU15" s="95">
        <f t="shared" si="11"/>
        <v>0.67318583268198295</v>
      </c>
      <c r="BV15" s="94">
        <f t="shared" si="12"/>
        <v>0</v>
      </c>
      <c r="BW15" s="94">
        <f t="shared" si="12"/>
        <v>-3.7786694738959884E-5</v>
      </c>
      <c r="BX15" s="94">
        <f t="shared" si="12"/>
        <v>0.10811193216700503</v>
      </c>
      <c r="BY15" s="94">
        <f t="shared" si="48"/>
        <v>0.479681097090498</v>
      </c>
      <c r="BZ15" s="95">
        <f t="shared" si="13"/>
        <v>0.58775524256276401</v>
      </c>
      <c r="CA15" s="96" t="e">
        <f>#REF!</f>
        <v>#REF!</v>
      </c>
      <c r="CB15" s="94">
        <f t="shared" si="49"/>
        <v>4.2126706554721491E-2</v>
      </c>
      <c r="CC15" s="95">
        <f t="shared" si="49"/>
        <v>6.3539166906244809E-2</v>
      </c>
      <c r="CD15" s="97">
        <f t="shared" si="14"/>
        <v>0.16597744432418413</v>
      </c>
      <c r="CE15" s="98">
        <f t="shared" si="14"/>
        <v>0.25034163361161932</v>
      </c>
      <c r="CF15" s="97" t="str">
        <f t="shared" si="50"/>
        <v>0,00</v>
      </c>
      <c r="CG15" s="94" t="str">
        <f t="shared" si="50"/>
        <v>0,00</v>
      </c>
      <c r="CH15" s="95" t="str">
        <f t="shared" si="51"/>
        <v xml:space="preserve">0,00 </v>
      </c>
      <c r="CI15" s="96" t="e">
        <f>#REF!</f>
        <v>#REF!</v>
      </c>
      <c r="CJ15" s="94">
        <f t="shared" si="52"/>
        <v>0.1945092808714016</v>
      </c>
      <c r="CK15" s="94">
        <f t="shared" si="52"/>
        <v>0.14361512316970729</v>
      </c>
      <c r="CL15" s="95">
        <f t="shared" si="67"/>
        <v>0.41241817447921242</v>
      </c>
      <c r="CM15" s="95" t="e">
        <f>#REF!</f>
        <v>#REF!</v>
      </c>
      <c r="CN15" s="94">
        <f t="shared" si="53"/>
        <v>0.53044051391785618</v>
      </c>
      <c r="CO15" s="94">
        <f t="shared" si="53"/>
        <v>0.16740853098825959</v>
      </c>
      <c r="CP15" s="95">
        <f t="shared" si="54"/>
        <v>0.95554532294422323</v>
      </c>
      <c r="CQ15" s="95" t="e">
        <f>#REF!</f>
        <v>#REF!</v>
      </c>
      <c r="CR15" s="97">
        <f t="shared" si="68"/>
        <v>3.6873891063529007E-2</v>
      </c>
      <c r="CS15" s="95">
        <f t="shared" si="68"/>
        <v>7.5121964402730931E-2</v>
      </c>
      <c r="CT15" s="96" t="e">
        <f>#REF!</f>
        <v>#REF!</v>
      </c>
      <c r="CU15" s="97">
        <f t="shared" si="69"/>
        <v>5.5241630207916101E-2</v>
      </c>
      <c r="CV15" s="95">
        <f t="shared" si="55"/>
        <v>6.9088096265239124E-2</v>
      </c>
      <c r="CW15" s="96" t="e">
        <f>#REF!</f>
        <v>#REF!</v>
      </c>
      <c r="CX15" s="97">
        <f t="shared" si="56"/>
        <v>0.19103273450868849</v>
      </c>
      <c r="CY15" s="98">
        <f t="shared" si="56"/>
        <v>1.4694825731437575E-2</v>
      </c>
      <c r="CZ15" s="97">
        <f t="shared" si="56"/>
        <v>9.2787328189934404E-2</v>
      </c>
      <c r="DA15" s="98">
        <f t="shared" si="56"/>
        <v>6.2977824563303902E-3</v>
      </c>
      <c r="DB15" s="94">
        <f t="shared" si="15"/>
        <v>0.18557465637986881</v>
      </c>
      <c r="DC15" s="94">
        <f t="shared" si="16"/>
        <v>6.5832819276835458E-2</v>
      </c>
      <c r="DD15" s="94">
        <f t="shared" si="16"/>
        <v>0.63376684118871485</v>
      </c>
      <c r="DE15" s="94">
        <f t="shared" si="16"/>
        <v>9.6146145499977284E-2</v>
      </c>
      <c r="DF15" s="94">
        <f t="shared" si="16"/>
        <v>0</v>
      </c>
      <c r="DG15" s="94">
        <f t="shared" si="16"/>
        <v>0</v>
      </c>
      <c r="DH15" s="95">
        <f t="shared" si="16"/>
        <v>0.98132046234539649</v>
      </c>
      <c r="DI15" s="96" t="e">
        <f>#REF!</f>
        <v>#REF!</v>
      </c>
      <c r="DJ15" s="95">
        <f t="shared" si="57"/>
        <v>3.2584726429053439</v>
      </c>
      <c r="DK15" s="96" t="e">
        <f>#REF!</f>
        <v>#REF!</v>
      </c>
      <c r="DL15" s="95" t="e">
        <f t="shared" si="58"/>
        <v>#VALUE!</v>
      </c>
      <c r="DM15" s="96">
        <f t="shared" si="17"/>
        <v>0</v>
      </c>
      <c r="DN15" s="94">
        <f t="shared" si="18"/>
        <v>2.3789860633223063</v>
      </c>
      <c r="DO15" s="100">
        <v>3.4</v>
      </c>
      <c r="DP15" s="94">
        <f t="shared" si="70"/>
        <v>3.2584726429053439</v>
      </c>
      <c r="DQ15" s="94">
        <f t="shared" si="71"/>
        <v>3.7749363096190596</v>
      </c>
      <c r="DR15" s="101">
        <f t="shared" si="19"/>
        <v>2.95</v>
      </c>
      <c r="DS15" s="147"/>
      <c r="DT15" s="134">
        <v>10</v>
      </c>
      <c r="DU15" s="135">
        <v>644847</v>
      </c>
      <c r="DV15" s="135">
        <v>32941</v>
      </c>
      <c r="DW15" s="355">
        <v>5166944</v>
      </c>
      <c r="DX15" s="104">
        <v>127064</v>
      </c>
      <c r="DY15" s="104">
        <v>93013.2</v>
      </c>
      <c r="DZ15" s="104">
        <v>416289</v>
      </c>
      <c r="EA15" s="104">
        <v>251786</v>
      </c>
      <c r="EB15" s="104">
        <v>57962.7</v>
      </c>
      <c r="EC15" s="104">
        <v>433048</v>
      </c>
      <c r="ED15" s="183">
        <v>49965.4</v>
      </c>
      <c r="EE15" s="104">
        <v>42718.3</v>
      </c>
      <c r="EF15" s="136">
        <v>44696.9</v>
      </c>
      <c r="EG15" s="135">
        <v>97254.7</v>
      </c>
      <c r="EH15" s="355">
        <v>190654.9</v>
      </c>
      <c r="EI15" s="355">
        <v>36768</v>
      </c>
      <c r="EJ15" s="104">
        <v>45220</v>
      </c>
      <c r="EK15" s="104"/>
      <c r="EL15" s="135">
        <v>736231.7</v>
      </c>
      <c r="EM15" s="104">
        <v>2575</v>
      </c>
      <c r="EN15" s="104">
        <v>50726.400000000001</v>
      </c>
      <c r="EO15" s="355">
        <v>3199815.3</v>
      </c>
      <c r="EP15" s="303">
        <v>2900501</v>
      </c>
      <c r="EQ15" s="104">
        <v>2422</v>
      </c>
      <c r="ER15" s="104">
        <v>1076</v>
      </c>
      <c r="ES15" s="105">
        <v>470810</v>
      </c>
      <c r="ET15" s="104">
        <v>3627108</v>
      </c>
      <c r="EU15" s="136">
        <v>177333</v>
      </c>
      <c r="EV15" s="136">
        <v>492112</v>
      </c>
      <c r="EW15" s="104">
        <v>163876</v>
      </c>
      <c r="EX15" s="355">
        <v>231972.5</v>
      </c>
      <c r="EY15" s="355">
        <v>1771966</v>
      </c>
      <c r="EZ15" s="385">
        <v>855043</v>
      </c>
      <c r="FA15" s="386">
        <v>782259</v>
      </c>
      <c r="FB15" s="387">
        <v>32431.599999999999</v>
      </c>
      <c r="FC15" s="452"/>
      <c r="FD15" s="77">
        <f>SUM(FE15:FM15)</f>
        <v>5161</v>
      </c>
      <c r="FE15" s="129">
        <v>539</v>
      </c>
      <c r="FF15" s="136">
        <v>0</v>
      </c>
      <c r="FG15" s="105">
        <v>1837</v>
      </c>
      <c r="FH15" s="136">
        <v>784</v>
      </c>
      <c r="FI15" s="136">
        <v>541</v>
      </c>
      <c r="FJ15" s="105">
        <v>490</v>
      </c>
      <c r="FK15" s="136">
        <v>485</v>
      </c>
      <c r="FL15" s="136">
        <v>0</v>
      </c>
      <c r="FM15" s="136">
        <v>485</v>
      </c>
      <c r="FN15" s="80">
        <v>2600</v>
      </c>
      <c r="FO15" s="303"/>
      <c r="FP15" s="484"/>
      <c r="FY15" s="119">
        <v>10</v>
      </c>
      <c r="FZ15" s="107"/>
      <c r="GA15" s="107"/>
      <c r="GB15" s="108"/>
      <c r="GC15" s="109"/>
      <c r="GD15" s="110"/>
      <c r="GE15" s="110"/>
      <c r="GF15" s="111"/>
      <c r="GG15" s="111"/>
      <c r="GH15" s="111"/>
      <c r="GI15" s="112"/>
      <c r="GJ15" s="111" t="e">
        <f t="shared" si="59"/>
        <v>#DIV/0!</v>
      </c>
      <c r="GK15" s="113"/>
    </row>
    <row r="16" spans="1:194" s="454" customFormat="1" ht="15" customHeight="1">
      <c r="A16" s="454">
        <v>0</v>
      </c>
      <c r="B16" s="351">
        <v>43080</v>
      </c>
      <c r="D16" s="128">
        <v>2117.52</v>
      </c>
      <c r="E16" s="128">
        <v>0</v>
      </c>
      <c r="F16" s="128">
        <v>1762.056</v>
      </c>
      <c r="G16" s="86">
        <v>1442.674</v>
      </c>
      <c r="H16" s="86">
        <v>3717.2130000000002</v>
      </c>
      <c r="I16" s="86">
        <v>2453.433</v>
      </c>
      <c r="J16" s="86">
        <v>6818.16</v>
      </c>
      <c r="K16" s="86">
        <v>0</v>
      </c>
      <c r="L16" s="86">
        <v>136.24</v>
      </c>
      <c r="M16" s="115">
        <f t="shared" si="60"/>
        <v>9271.5930000000008</v>
      </c>
      <c r="N16" s="88">
        <f t="shared" si="20"/>
        <v>9039.4629999999997</v>
      </c>
      <c r="O16" s="88">
        <f>(N16+L16+K16+((J16+I16)*0.5))-1780</f>
        <v>12031.4995</v>
      </c>
      <c r="P16" s="89">
        <f t="shared" si="21"/>
        <v>231089.49999999997</v>
      </c>
      <c r="Q16" s="152"/>
      <c r="R16" s="170">
        <f t="shared" si="22"/>
        <v>0</v>
      </c>
      <c r="S16" s="170">
        <f t="shared" si="23"/>
        <v>9.0000000002328301E-2</v>
      </c>
      <c r="T16" s="170">
        <f t="shared" si="2"/>
        <v>401.4</v>
      </c>
      <c r="U16" s="170">
        <f t="shared" si="72"/>
        <v>37.119999999999706</v>
      </c>
      <c r="V16" s="170">
        <f t="shared" si="24"/>
        <v>889.10000000009313</v>
      </c>
      <c r="W16" s="170">
        <f t="shared" si="3"/>
        <v>79.8</v>
      </c>
      <c r="X16" s="170">
        <f t="shared" si="25"/>
        <v>889.10000000009313</v>
      </c>
      <c r="Y16" s="170">
        <f t="shared" si="26"/>
        <v>108.8</v>
      </c>
      <c r="Z16" s="170">
        <f t="shared" si="4"/>
        <v>96.1</v>
      </c>
      <c r="AA16" s="501">
        <f t="shared" si="27"/>
        <v>1327.7100000000951</v>
      </c>
      <c r="AB16" s="170">
        <f t="shared" si="28"/>
        <v>97</v>
      </c>
      <c r="AC16" s="170">
        <f t="shared" si="28"/>
        <v>101</v>
      </c>
      <c r="AD16" s="501">
        <f t="shared" si="5"/>
        <v>250</v>
      </c>
      <c r="AE16" s="501">
        <f t="shared" si="29"/>
        <v>52</v>
      </c>
      <c r="AF16" s="170">
        <f t="shared" si="30"/>
        <v>67</v>
      </c>
      <c r="AG16" s="170">
        <f t="shared" si="30"/>
        <v>98.5</v>
      </c>
      <c r="AH16" s="501">
        <f t="shared" si="6"/>
        <v>374</v>
      </c>
      <c r="AI16" s="501">
        <f t="shared" si="31"/>
        <v>208.5</v>
      </c>
      <c r="AJ16" s="170">
        <f t="shared" si="32"/>
        <v>128</v>
      </c>
      <c r="AK16" s="170">
        <f t="shared" si="32"/>
        <v>23.30000000000291</v>
      </c>
      <c r="AL16" s="501">
        <f t="shared" si="7"/>
        <v>253</v>
      </c>
      <c r="AM16" s="501">
        <f t="shared" si="33"/>
        <v>101.69999999999709</v>
      </c>
      <c r="AN16" s="170">
        <f t="shared" si="34"/>
        <v>62</v>
      </c>
      <c r="AO16" s="501">
        <f t="shared" si="8"/>
        <v>76.899999999994179</v>
      </c>
      <c r="AP16" s="170">
        <f t="shared" si="35"/>
        <v>19.400000000008731</v>
      </c>
      <c r="AQ16" s="501">
        <f t="shared" si="9"/>
        <v>53.100000000005821</v>
      </c>
      <c r="AR16" s="170">
        <f t="shared" si="36"/>
        <v>95.02</v>
      </c>
      <c r="AS16" s="501">
        <f t="shared" si="37"/>
        <v>144.01999999999998</v>
      </c>
      <c r="AT16" s="501">
        <f t="shared" si="38"/>
        <v>1059.02</v>
      </c>
      <c r="AU16" s="170">
        <f t="shared" si="61"/>
        <v>615</v>
      </c>
      <c r="AV16" s="501">
        <f t="shared" si="62"/>
        <v>26</v>
      </c>
      <c r="AW16" s="170">
        <f t="shared" si="63"/>
        <v>300</v>
      </c>
      <c r="AX16" s="501">
        <f t="shared" si="64"/>
        <v>35</v>
      </c>
      <c r="AY16" s="501" t="str">
        <f t="shared" si="64"/>
        <v/>
      </c>
      <c r="AZ16" s="170">
        <f t="shared" si="39"/>
        <v>223</v>
      </c>
      <c r="BA16" s="170">
        <v>154.30000000000001</v>
      </c>
      <c r="BB16" s="170">
        <f t="shared" si="40"/>
        <v>194.79999999998836</v>
      </c>
      <c r="BC16" s="170">
        <f t="shared" si="40"/>
        <v>446.39999999990687</v>
      </c>
      <c r="BD16" s="170">
        <f t="shared" si="41"/>
        <v>336</v>
      </c>
      <c r="BE16" s="90"/>
      <c r="BF16" s="90"/>
      <c r="BG16" s="501">
        <f t="shared" si="42"/>
        <v>1200.1999999998952</v>
      </c>
      <c r="BH16" s="501">
        <f t="shared" si="43"/>
        <v>1825</v>
      </c>
      <c r="BI16" s="90">
        <f>IF(FC16=0,"",(FC16-BJ16))</f>
        <v>2133.0700000000097</v>
      </c>
      <c r="BJ16" s="90">
        <f>IF(BH16=0,"",(AA16+AD16+AO16+BG16+AH16+AL16+AQ16+AT16+AX16+AV16))</f>
        <v>4654.9299999999903</v>
      </c>
      <c r="BK16" s="92"/>
      <c r="BL16" s="93">
        <f t="shared" si="65"/>
        <v>8613</v>
      </c>
      <c r="BM16" s="93">
        <f t="shared" si="45"/>
        <v>91306</v>
      </c>
      <c r="BN16" s="92"/>
      <c r="BO16" s="94">
        <f t="shared" si="46"/>
        <v>0</v>
      </c>
      <c r="BP16" s="94">
        <f t="shared" si="46"/>
        <v>9.9563436458922723E-5</v>
      </c>
      <c r="BQ16" s="94">
        <f t="shared" si="47"/>
        <v>0.44405292659530771</v>
      </c>
      <c r="BR16" s="94">
        <f t="shared" si="66"/>
        <v>0.98357612614830459</v>
      </c>
      <c r="BS16" s="94">
        <f t="shared" si="11"/>
        <v>0.12036113207167284</v>
      </c>
      <c r="BT16" s="94">
        <f t="shared" si="11"/>
        <v>0.10631162492727721</v>
      </c>
      <c r="BU16" s="95">
        <f t="shared" si="11"/>
        <v>1.4687930024162885</v>
      </c>
      <c r="BV16" s="94">
        <f t="shared" si="12"/>
        <v>0</v>
      </c>
      <c r="BW16" s="94">
        <f t="shared" si="12"/>
        <v>7.4803643554428357E-5</v>
      </c>
      <c r="BX16" s="94">
        <f t="shared" si="12"/>
        <v>0.33362425024411957</v>
      </c>
      <c r="BY16" s="94">
        <f t="shared" si="48"/>
        <v>0.7389768831392074</v>
      </c>
      <c r="BZ16" s="95">
        <f t="shared" si="13"/>
        <v>1.1035282842343093</v>
      </c>
      <c r="CA16" s="96" t="e">
        <f>#REF!</f>
        <v>#REF!</v>
      </c>
      <c r="CB16" s="94">
        <f t="shared" si="49"/>
        <v>7.8976024559532246E-2</v>
      </c>
      <c r="CC16" s="95">
        <f t="shared" si="49"/>
        <v>0.11970245271588964</v>
      </c>
      <c r="CD16" s="97">
        <f t="shared" si="14"/>
        <v>0.10248508535696076</v>
      </c>
      <c r="CE16" s="98">
        <f t="shared" si="14"/>
        <v>0.15533468736170794</v>
      </c>
      <c r="CF16" s="97">
        <f t="shared" si="50"/>
        <v>0.45808304053798787</v>
      </c>
      <c r="CG16" s="94">
        <f t="shared" si="50"/>
        <v>0.47697306282821417</v>
      </c>
      <c r="CH16" s="95">
        <f t="shared" si="51"/>
        <v>1.1806263931391439</v>
      </c>
      <c r="CI16" s="96" t="e">
        <f>#REF!</f>
        <v>#REF!</v>
      </c>
      <c r="CJ16" s="94" t="str">
        <f t="shared" si="52"/>
        <v>0,00</v>
      </c>
      <c r="CK16" s="94" t="str">
        <f t="shared" si="52"/>
        <v>0,00</v>
      </c>
      <c r="CL16" s="95" t="str">
        <f t="shared" si="67"/>
        <v xml:space="preserve">0,00 </v>
      </c>
      <c r="CM16" s="95" t="e">
        <f>#REF!</f>
        <v>#REF!</v>
      </c>
      <c r="CN16" s="94">
        <f t="shared" si="53"/>
        <v>0.7264241318096587</v>
      </c>
      <c r="CO16" s="94">
        <f t="shared" si="53"/>
        <v>0.13223189274349345</v>
      </c>
      <c r="CP16" s="95">
        <f t="shared" si="54"/>
        <v>1.4358226980300284</v>
      </c>
      <c r="CQ16" s="95" t="e">
        <f>#REF!</f>
        <v>#REF!</v>
      </c>
      <c r="CR16" s="97">
        <f t="shared" si="68"/>
        <v>0.4297575197168591</v>
      </c>
      <c r="CS16" s="95">
        <f t="shared" si="68"/>
        <v>0.53303795590683811</v>
      </c>
      <c r="CT16" s="96" t="e">
        <f>#REF!</f>
        <v>#REF!</v>
      </c>
      <c r="CU16" s="97">
        <f t="shared" si="69"/>
        <v>5.2189637774345266E-2</v>
      </c>
      <c r="CV16" s="95">
        <f t="shared" si="55"/>
        <v>0.14284895700086547</v>
      </c>
      <c r="CW16" s="96" t="e">
        <f>#REF!</f>
        <v>#REF!</v>
      </c>
      <c r="CX16" s="97">
        <f t="shared" si="56"/>
        <v>0.51115823094203683</v>
      </c>
      <c r="CY16" s="98">
        <f t="shared" si="56"/>
        <v>2.1609941470720255E-2</v>
      </c>
      <c r="CZ16" s="97">
        <f t="shared" si="56"/>
        <v>0.24934547850831063</v>
      </c>
      <c r="DA16" s="98">
        <f t="shared" si="56"/>
        <v>2.9090305825969571E-2</v>
      </c>
      <c r="DB16" s="94">
        <f t="shared" si="15"/>
        <v>0.18534680569117756</v>
      </c>
      <c r="DC16" s="94">
        <f t="shared" si="16"/>
        <v>0.16190833071138669</v>
      </c>
      <c r="DD16" s="94">
        <f t="shared" si="16"/>
        <v>0.37102607202028881</v>
      </c>
      <c r="DE16" s="94">
        <f t="shared" si="16"/>
        <v>0.2792669359293079</v>
      </c>
      <c r="DF16" s="94">
        <f t="shared" si="16"/>
        <v>0</v>
      </c>
      <c r="DG16" s="94">
        <f t="shared" si="16"/>
        <v>0</v>
      </c>
      <c r="DH16" s="95">
        <f t="shared" si="16"/>
        <v>0.99754814435216099</v>
      </c>
      <c r="DI16" s="96" t="e">
        <f>#REF!</f>
        <v>#REF!</v>
      </c>
      <c r="DJ16" s="95">
        <f t="shared" si="57"/>
        <v>1.5168516609255565</v>
      </c>
      <c r="DK16" s="96" t="e">
        <f>#REF!</f>
        <v>#REF!</v>
      </c>
      <c r="DL16" s="95">
        <f t="shared" si="58"/>
        <v>1.7729045328057484</v>
      </c>
      <c r="DM16" s="96">
        <f t="shared" si="17"/>
        <v>0</v>
      </c>
      <c r="DN16" s="94">
        <f t="shared" si="18"/>
        <v>3.868952494242293</v>
      </c>
      <c r="DO16" s="100">
        <v>3.4</v>
      </c>
      <c r="DP16" s="94">
        <f>IF($O16&lt;&gt;0,IF($O16&lt;&gt;0,BL16/$O16*10,0)," ")</f>
        <v>7.1587086879735988</v>
      </c>
      <c r="DQ16" s="94">
        <f>IF($P16&lt;&gt;0,IF($P16&lt;&gt;0,BM16/$P16*10,0)," ")</f>
        <v>3.9511098513779297</v>
      </c>
      <c r="DR16" s="101"/>
      <c r="DS16" s="153"/>
      <c r="DT16" s="142">
        <v>11</v>
      </c>
      <c r="DU16" s="135">
        <v>644944</v>
      </c>
      <c r="DV16" s="135">
        <v>33042</v>
      </c>
      <c r="DW16" s="330">
        <v>5167097</v>
      </c>
      <c r="DX16" s="330">
        <v>127131</v>
      </c>
      <c r="DY16" s="330">
        <v>93111.7</v>
      </c>
      <c r="DZ16" s="330">
        <v>416596</v>
      </c>
      <c r="EA16" s="330">
        <v>251914</v>
      </c>
      <c r="EB16" s="330">
        <v>57986</v>
      </c>
      <c r="EC16" s="330">
        <v>433173</v>
      </c>
      <c r="ED16" s="183">
        <v>50027.4</v>
      </c>
      <c r="EE16" s="330">
        <v>42727.4</v>
      </c>
      <c r="EF16" s="330">
        <v>44764.7</v>
      </c>
      <c r="EG16" s="135">
        <v>97274.1</v>
      </c>
      <c r="EH16" s="330">
        <v>190708</v>
      </c>
      <c r="EI16" s="330">
        <v>36794</v>
      </c>
      <c r="EJ16" s="330">
        <v>45255</v>
      </c>
      <c r="EK16" s="330"/>
      <c r="EL16" s="135">
        <v>736231.7</v>
      </c>
      <c r="EM16" s="330">
        <v>4014</v>
      </c>
      <c r="EN16" s="330">
        <v>51097.599999999999</v>
      </c>
      <c r="EO16" s="330">
        <v>3200704.4</v>
      </c>
      <c r="EP16" s="303">
        <v>2901299</v>
      </c>
      <c r="EQ16" s="330">
        <v>1088</v>
      </c>
      <c r="ER16" s="330">
        <v>961</v>
      </c>
      <c r="ES16" s="330">
        <v>471774</v>
      </c>
      <c r="ET16" s="105">
        <v>3722128</v>
      </c>
      <c r="EU16" s="136">
        <v>177633</v>
      </c>
      <c r="EV16" s="136">
        <v>492727</v>
      </c>
      <c r="EW16" s="330">
        <v>164099</v>
      </c>
      <c r="EX16" s="330">
        <v>232167.3</v>
      </c>
      <c r="EY16" s="330">
        <v>1772412.4</v>
      </c>
      <c r="EZ16" s="330">
        <v>855043.9</v>
      </c>
      <c r="FA16" s="385">
        <v>782595</v>
      </c>
      <c r="FB16" s="387">
        <v>32589.5</v>
      </c>
      <c r="FC16" s="378">
        <v>6788</v>
      </c>
      <c r="FD16" s="77">
        <f>SUM(FE16:FM16)</f>
        <v>6013</v>
      </c>
      <c r="FE16" s="129">
        <v>482</v>
      </c>
      <c r="FF16" s="136">
        <v>0</v>
      </c>
      <c r="FG16" s="105">
        <v>2214</v>
      </c>
      <c r="FH16" s="136">
        <v>823</v>
      </c>
      <c r="FI16" s="136">
        <v>441</v>
      </c>
      <c r="FJ16" s="105">
        <v>514</v>
      </c>
      <c r="FK16" s="136">
        <v>955</v>
      </c>
      <c r="FL16" s="136">
        <v>99</v>
      </c>
      <c r="FM16" s="136">
        <v>485</v>
      </c>
      <c r="FN16" s="80">
        <v>2600</v>
      </c>
      <c r="FO16" s="303"/>
      <c r="FP16" s="484"/>
      <c r="FY16" s="454">
        <v>11</v>
      </c>
      <c r="FZ16" s="107"/>
      <c r="GA16" s="107"/>
      <c r="GB16" s="107"/>
      <c r="GC16" s="109"/>
      <c r="GD16" s="110"/>
      <c r="GE16" s="110"/>
      <c r="GF16" s="111"/>
      <c r="GG16" s="111"/>
      <c r="GH16" s="111"/>
      <c r="GI16" s="112"/>
      <c r="GJ16" s="111" t="e">
        <f t="shared" si="59"/>
        <v>#DIV/0!</v>
      </c>
      <c r="GK16" s="113"/>
    </row>
    <row r="17" spans="1:193" s="119" customFormat="1" ht="15" customHeight="1">
      <c r="A17" s="119" t="s">
        <v>126</v>
      </c>
      <c r="B17" s="351">
        <v>43081</v>
      </c>
      <c r="D17" s="154">
        <v>5268</v>
      </c>
      <c r="E17" s="128">
        <v>4960.4400000000005</v>
      </c>
      <c r="F17" s="86">
        <v>2619.288</v>
      </c>
      <c r="G17" s="86">
        <v>4679.3969999999999</v>
      </c>
      <c r="H17" s="86">
        <v>6827.433</v>
      </c>
      <c r="I17" s="86">
        <v>1830.028</v>
      </c>
      <c r="J17" s="86">
        <v>6416.2800000000007</v>
      </c>
      <c r="K17" s="86">
        <v>0</v>
      </c>
      <c r="L17" s="86">
        <v>136.24</v>
      </c>
      <c r="M17" s="115">
        <f t="shared" si="60"/>
        <v>8246.3080000000009</v>
      </c>
      <c r="N17" s="88">
        <f t="shared" si="20"/>
        <v>24354.558000000001</v>
      </c>
      <c r="O17" s="88">
        <f t="shared" si="74"/>
        <v>28613.952000000005</v>
      </c>
      <c r="P17" s="89">
        <f t="shared" si="21"/>
        <v>259703.45199999999</v>
      </c>
      <c r="Q17" s="155"/>
      <c r="R17" s="170">
        <f t="shared" si="22"/>
        <v>0</v>
      </c>
      <c r="S17" s="170">
        <f t="shared" si="23"/>
        <v>0</v>
      </c>
      <c r="T17" s="170">
        <f t="shared" si="2"/>
        <v>317</v>
      </c>
      <c r="U17" s="170">
        <f t="shared" si="72"/>
        <v>5</v>
      </c>
      <c r="V17" s="170">
        <f t="shared" si="24"/>
        <v>1126.1000000000931</v>
      </c>
      <c r="W17" s="170">
        <f t="shared" si="3"/>
        <v>100.3</v>
      </c>
      <c r="X17" s="170">
        <f t="shared" si="25"/>
        <v>1126.1000000000931</v>
      </c>
      <c r="Y17" s="170">
        <f t="shared" si="26"/>
        <v>397.1</v>
      </c>
      <c r="Z17" s="170">
        <f t="shared" si="4"/>
        <v>96.7</v>
      </c>
      <c r="AA17" s="501">
        <f t="shared" si="27"/>
        <v>1448.1000000000931</v>
      </c>
      <c r="AB17" s="170">
        <f t="shared" si="28"/>
        <v>199</v>
      </c>
      <c r="AC17" s="170">
        <f t="shared" si="28"/>
        <v>17</v>
      </c>
      <c r="AD17" s="501">
        <f t="shared" si="5"/>
        <v>331</v>
      </c>
      <c r="AE17" s="501">
        <f t="shared" si="29"/>
        <v>115</v>
      </c>
      <c r="AF17" s="170">
        <f t="shared" si="30"/>
        <v>118</v>
      </c>
      <c r="AG17" s="170">
        <f t="shared" si="30"/>
        <v>124.40000000000873</v>
      </c>
      <c r="AH17" s="501">
        <f t="shared" si="6"/>
        <v>290</v>
      </c>
      <c r="AI17" s="501">
        <f t="shared" si="31"/>
        <v>47.599999999991269</v>
      </c>
      <c r="AJ17" s="170">
        <f t="shared" si="32"/>
        <v>150</v>
      </c>
      <c r="AK17" s="170">
        <f t="shared" si="32"/>
        <v>22.400000000001455</v>
      </c>
      <c r="AL17" s="501">
        <f t="shared" si="7"/>
        <v>261</v>
      </c>
      <c r="AM17" s="501">
        <f t="shared" si="33"/>
        <v>88.599999999998545</v>
      </c>
      <c r="AN17" s="170">
        <f t="shared" si="34"/>
        <v>69.400000000001455</v>
      </c>
      <c r="AO17" s="501">
        <f t="shared" si="8"/>
        <v>74.400000000001455</v>
      </c>
      <c r="AP17" s="170">
        <f t="shared" si="35"/>
        <v>32</v>
      </c>
      <c r="AQ17" s="501">
        <f t="shared" si="9"/>
        <v>39.200000000011642</v>
      </c>
      <c r="AR17" s="170">
        <f t="shared" si="36"/>
        <v>50.63</v>
      </c>
      <c r="AS17" s="501">
        <f t="shared" si="37"/>
        <v>109.63</v>
      </c>
      <c r="AT17" s="501">
        <f t="shared" si="38"/>
        <v>947.63</v>
      </c>
      <c r="AU17" s="170">
        <f t="shared" si="61"/>
        <v>563</v>
      </c>
      <c r="AV17" s="501">
        <f t="shared" si="62"/>
        <v>23</v>
      </c>
      <c r="AW17" s="170">
        <f t="shared" si="63"/>
        <v>275</v>
      </c>
      <c r="AX17" s="501">
        <f t="shared" si="64"/>
        <v>29</v>
      </c>
      <c r="AY17" s="501" t="str">
        <f t="shared" si="64"/>
        <v/>
      </c>
      <c r="AZ17" s="170">
        <f t="shared" si="39"/>
        <v>342</v>
      </c>
      <c r="BA17" s="170">
        <v>47.4</v>
      </c>
      <c r="BB17" s="170">
        <f t="shared" si="40"/>
        <v>155.80000000001746</v>
      </c>
      <c r="BC17" s="170">
        <f t="shared" si="40"/>
        <v>934.60000000009313</v>
      </c>
      <c r="BD17" s="170">
        <f t="shared" si="41"/>
        <v>123</v>
      </c>
      <c r="BE17" s="90"/>
      <c r="BF17" s="90"/>
      <c r="BG17" s="501">
        <f t="shared" si="42"/>
        <v>1555.4000000001106</v>
      </c>
      <c r="BH17" s="501">
        <f t="shared" si="43"/>
        <v>1336</v>
      </c>
      <c r="BI17" s="90">
        <f t="shared" si="10"/>
        <v>1689.2699999997831</v>
      </c>
      <c r="BJ17" s="90">
        <f t="shared" si="44"/>
        <v>4998.7300000002169</v>
      </c>
      <c r="BK17" s="92"/>
      <c r="BL17" s="93">
        <f t="shared" si="65"/>
        <v>8024</v>
      </c>
      <c r="BM17" s="93">
        <f t="shared" si="45"/>
        <v>99330</v>
      </c>
      <c r="BN17" s="92"/>
      <c r="BO17" s="94">
        <f t="shared" si="46"/>
        <v>0</v>
      </c>
      <c r="BP17" s="94">
        <f t="shared" si="46"/>
        <v>0</v>
      </c>
      <c r="BQ17" s="94">
        <f t="shared" si="47"/>
        <v>0.13016044060417764</v>
      </c>
      <c r="BR17" s="94">
        <f t="shared" si="66"/>
        <v>0.46237751471412175</v>
      </c>
      <c r="BS17" s="94">
        <f t="shared" si="11"/>
        <v>0.16304956140037524</v>
      </c>
      <c r="BT17" s="94">
        <f t="shared" si="11"/>
        <v>3.9705093395659245E-2</v>
      </c>
      <c r="BU17" s="95">
        <f t="shared" si="11"/>
        <v>0.59459095911331794</v>
      </c>
      <c r="BV17" s="94">
        <f t="shared" si="12"/>
        <v>0</v>
      </c>
      <c r="BW17" s="94">
        <f t="shared" si="12"/>
        <v>0</v>
      </c>
      <c r="BX17" s="94">
        <f t="shared" si="12"/>
        <v>0.11078511629571475</v>
      </c>
      <c r="BY17" s="94">
        <f t="shared" si="48"/>
        <v>0.39354927274641854</v>
      </c>
      <c r="BZ17" s="95">
        <f t="shared" si="13"/>
        <v>0.50608178835279127</v>
      </c>
      <c r="CA17" s="96" t="e">
        <f>#REF!</f>
        <v>#REF!</v>
      </c>
      <c r="CB17" s="94">
        <f t="shared" si="49"/>
        <v>1.7694165419722515E-2</v>
      </c>
      <c r="CC17" s="95">
        <f t="shared" si="49"/>
        <v>3.8313477285486452E-2</v>
      </c>
      <c r="CD17" s="97">
        <f t="shared" si="14"/>
        <v>6.1397173134935049E-2</v>
      </c>
      <c r="CE17" s="98">
        <f t="shared" si="14"/>
        <v>0.13294434309269068</v>
      </c>
      <c r="CF17" s="97">
        <f>IF($D17&lt;&gt;0,IF($D17&lt;&gt;0,AB17/$D17*10,0),"0,00")</f>
        <v>0.37775246772968868</v>
      </c>
      <c r="CG17" s="94">
        <f t="shared" si="50"/>
        <v>3.2270311313591496E-2</v>
      </c>
      <c r="CH17" s="95">
        <f t="shared" si="51"/>
        <v>0.62832194381169326</v>
      </c>
      <c r="CI17" s="96" t="e">
        <f>#REF!</f>
        <v>#REF!</v>
      </c>
      <c r="CJ17" s="94">
        <f t="shared" si="52"/>
        <v>0.23788212336002448</v>
      </c>
      <c r="CK17" s="94">
        <f t="shared" si="52"/>
        <v>0.2507842046270265</v>
      </c>
      <c r="CL17" s="95">
        <f t="shared" si="67"/>
        <v>0.5846255574102297</v>
      </c>
      <c r="CM17" s="95" t="e">
        <f>#REF!</f>
        <v>#REF!</v>
      </c>
      <c r="CN17" s="94">
        <f t="shared" si="53"/>
        <v>0.57267471160101524</v>
      </c>
      <c r="CO17" s="94">
        <f t="shared" si="53"/>
        <v>8.5519423599090511E-2</v>
      </c>
      <c r="CP17" s="95">
        <f t="shared" si="54"/>
        <v>0.99645399818576652</v>
      </c>
      <c r="CQ17" s="95" t="e">
        <f>#REF!</f>
        <v>#REF!</v>
      </c>
      <c r="CR17" s="97">
        <f t="shared" si="68"/>
        <v>0.14830970742598129</v>
      </c>
      <c r="CS17" s="95">
        <f t="shared" si="68"/>
        <v>0.15899484484860221</v>
      </c>
      <c r="CT17" s="96" t="e">
        <f>#REF!</f>
        <v>#REF!</v>
      </c>
      <c r="CU17" s="97">
        <f t="shared" si="69"/>
        <v>4.6869738597215091E-2</v>
      </c>
      <c r="CV17" s="95">
        <f t="shared" si="55"/>
        <v>5.7415429781605534E-2</v>
      </c>
      <c r="CW17" s="96" t="e">
        <f>#REF!</f>
        <v>#REF!</v>
      </c>
      <c r="CX17" s="97">
        <f t="shared" si="56"/>
        <v>0.19675716238008645</v>
      </c>
      <c r="CY17" s="98">
        <f t="shared" si="56"/>
        <v>8.0380368290266218E-3</v>
      </c>
      <c r="CZ17" s="97">
        <f t="shared" si="56"/>
        <v>9.610696208618788E-2</v>
      </c>
      <c r="DA17" s="98">
        <f t="shared" si="56"/>
        <v>1.0134916001816176E-2</v>
      </c>
      <c r="DB17" s="94">
        <f t="shared" si="15"/>
        <v>0.11952211284900455</v>
      </c>
      <c r="DC17" s="94">
        <f t="shared" si="16"/>
        <v>5.4448962520108182E-2</v>
      </c>
      <c r="DD17" s="94">
        <f t="shared" si="16"/>
        <v>0.32662387914821867</v>
      </c>
      <c r="DE17" s="94">
        <f t="shared" si="16"/>
        <v>4.298602304218585E-2</v>
      </c>
      <c r="DF17" s="94">
        <f t="shared" si="16"/>
        <v>0</v>
      </c>
      <c r="DG17" s="94">
        <f t="shared" si="16"/>
        <v>0</v>
      </c>
      <c r="DH17" s="95">
        <f t="shared" si="16"/>
        <v>0.54358097755951729</v>
      </c>
      <c r="DI17" s="96" t="e">
        <f>#REF!</f>
        <v>#REF!</v>
      </c>
      <c r="DJ17" s="95">
        <f t="shared" si="57"/>
        <v>0.46690509580780726</v>
      </c>
      <c r="DK17" s="96" t="e">
        <f>#REF!</f>
        <v>#REF!</v>
      </c>
      <c r="DL17" s="95">
        <f t="shared" si="58"/>
        <v>0.59036584670295911</v>
      </c>
      <c r="DM17" s="96">
        <f t="shared" si="17"/>
        <v>0</v>
      </c>
      <c r="DN17" s="94">
        <f t="shared" si="18"/>
        <v>1.7469554712331301</v>
      </c>
      <c r="DO17" s="100">
        <v>3.4</v>
      </c>
      <c r="DP17" s="94">
        <f>IF($O17&lt;&gt;0,IF($O17&lt;&gt;0,BL17/$O17*10,0)," ")</f>
        <v>2.8042264137438959</v>
      </c>
      <c r="DQ17" s="94">
        <f>IF($P17&lt;&gt;0,IF($P17&lt;&gt;0,BM17/$P17*10,0)," ")</f>
        <v>3.8247470041330063</v>
      </c>
      <c r="DR17" s="101">
        <f t="shared" si="19"/>
        <v>2.95</v>
      </c>
      <c r="DS17" s="147"/>
      <c r="DT17" s="134">
        <v>12</v>
      </c>
      <c r="DU17" s="135">
        <v>645143</v>
      </c>
      <c r="DV17" s="135">
        <v>33059</v>
      </c>
      <c r="DW17" s="330">
        <v>5167229</v>
      </c>
      <c r="DX17" s="330">
        <v>127249</v>
      </c>
      <c r="DY17" s="330">
        <v>93236.1</v>
      </c>
      <c r="DZ17" s="330">
        <v>416768</v>
      </c>
      <c r="EA17" s="330">
        <v>252064</v>
      </c>
      <c r="EB17" s="330">
        <v>58008.4</v>
      </c>
      <c r="EC17" s="330">
        <v>433284</v>
      </c>
      <c r="ED17" s="183">
        <v>50096.800000000003</v>
      </c>
      <c r="EE17" s="330">
        <v>42745.1</v>
      </c>
      <c r="EF17" s="330">
        <v>44821.4</v>
      </c>
      <c r="EG17" s="330">
        <v>97306.1</v>
      </c>
      <c r="EH17" s="330">
        <v>190747.2</v>
      </c>
      <c r="EI17" s="330">
        <v>36817</v>
      </c>
      <c r="EJ17" s="330">
        <v>45284</v>
      </c>
      <c r="EK17" s="330"/>
      <c r="EL17" s="135">
        <v>736231.7</v>
      </c>
      <c r="EM17" s="330">
        <v>3170</v>
      </c>
      <c r="EN17" s="330">
        <v>51147.6</v>
      </c>
      <c r="EO17" s="330">
        <v>3201830.5</v>
      </c>
      <c r="EP17" s="330">
        <v>2902302</v>
      </c>
      <c r="EQ17" s="330">
        <v>3971</v>
      </c>
      <c r="ER17" s="330">
        <v>967</v>
      </c>
      <c r="ES17" s="330">
        <v>472671</v>
      </c>
      <c r="ET17" s="105">
        <v>3772758</v>
      </c>
      <c r="EU17" s="136">
        <v>177908</v>
      </c>
      <c r="EV17" s="136">
        <v>493290</v>
      </c>
      <c r="EW17" s="330">
        <v>164441</v>
      </c>
      <c r="EX17" s="330">
        <v>232323.1</v>
      </c>
      <c r="EY17" s="330">
        <v>1773347</v>
      </c>
      <c r="EZ17" s="330">
        <v>855043.9</v>
      </c>
      <c r="FA17" s="104">
        <v>782718</v>
      </c>
      <c r="FB17" s="104">
        <v>32642.400000000001</v>
      </c>
      <c r="FC17" s="104">
        <v>6688</v>
      </c>
      <c r="FD17" s="77">
        <f>SUM(FE17:FM17)</f>
        <v>5424</v>
      </c>
      <c r="FE17" s="129">
        <v>355</v>
      </c>
      <c r="FF17" s="136">
        <v>0</v>
      </c>
      <c r="FG17" s="105">
        <v>1203</v>
      </c>
      <c r="FH17" s="136">
        <v>1426</v>
      </c>
      <c r="FI17" s="136">
        <v>617</v>
      </c>
      <c r="FJ17" s="105">
        <v>599</v>
      </c>
      <c r="FK17" s="136">
        <v>738</v>
      </c>
      <c r="FL17" s="136">
        <v>0</v>
      </c>
      <c r="FM17" s="136">
        <v>486</v>
      </c>
      <c r="FN17" s="80">
        <v>2600</v>
      </c>
      <c r="FO17" s="303"/>
      <c r="FP17" s="484"/>
      <c r="FY17" s="119">
        <v>12</v>
      </c>
      <c r="FZ17" s="107"/>
      <c r="GA17" s="107"/>
      <c r="GB17" s="107"/>
      <c r="GC17" s="109"/>
      <c r="GD17" s="110"/>
      <c r="GE17" s="110"/>
      <c r="GF17" s="111"/>
      <c r="GG17" s="111"/>
      <c r="GH17" s="111"/>
      <c r="GI17" s="112"/>
      <c r="GJ17" s="111" t="e">
        <f t="shared" si="59"/>
        <v>#DIV/0!</v>
      </c>
      <c r="GK17" s="113"/>
    </row>
    <row r="18" spans="1:193" s="119" customFormat="1" ht="15" customHeight="1">
      <c r="B18" s="351">
        <v>43082</v>
      </c>
      <c r="D18" s="154">
        <v>6653.4</v>
      </c>
      <c r="E18" s="128">
        <v>2730</v>
      </c>
      <c r="F18" s="128">
        <v>734.83199999999999</v>
      </c>
      <c r="G18" s="86">
        <v>4293.76</v>
      </c>
      <c r="H18" s="86">
        <v>6558.7880000000005</v>
      </c>
      <c r="I18" s="86">
        <v>1524.5260000000001</v>
      </c>
      <c r="J18" s="86">
        <v>4802.2800000000007</v>
      </c>
      <c r="K18" s="86">
        <v>0</v>
      </c>
      <c r="L18" s="86">
        <v>272.54000000000002</v>
      </c>
      <c r="M18" s="115">
        <f t="shared" si="60"/>
        <v>6326.8060000000005</v>
      </c>
      <c r="N18" s="88">
        <f t="shared" si="20"/>
        <v>20970.78</v>
      </c>
      <c r="O18" s="88">
        <f t="shared" si="74"/>
        <v>24406.722999999998</v>
      </c>
      <c r="P18" s="89">
        <f t="shared" si="21"/>
        <v>284110.17499999999</v>
      </c>
      <c r="R18" s="170">
        <f t="shared" si="22"/>
        <v>0</v>
      </c>
      <c r="S18" s="170">
        <f t="shared" si="23"/>
        <v>0</v>
      </c>
      <c r="T18" s="170">
        <f t="shared" si="2"/>
        <v>985.4</v>
      </c>
      <c r="U18" s="170">
        <f t="shared" si="72"/>
        <v>6.55</v>
      </c>
      <c r="V18" s="170">
        <f t="shared" si="24"/>
        <v>1080.7000000001863</v>
      </c>
      <c r="W18" s="170">
        <f t="shared" si="3"/>
        <v>96.4</v>
      </c>
      <c r="X18" s="170">
        <f t="shared" si="25"/>
        <v>1080.7000000001863</v>
      </c>
      <c r="Y18" s="170">
        <f t="shared" si="26"/>
        <v>342.3</v>
      </c>
      <c r="Z18" s="170">
        <f t="shared" si="4"/>
        <v>89.2</v>
      </c>
      <c r="AA18" s="501">
        <f t="shared" si="27"/>
        <v>2072.6500000001861</v>
      </c>
      <c r="AB18" s="170">
        <f t="shared" si="28"/>
        <v>196</v>
      </c>
      <c r="AC18" s="170">
        <f t="shared" si="28"/>
        <v>15</v>
      </c>
      <c r="AD18" s="501">
        <f t="shared" si="5"/>
        <v>329</v>
      </c>
      <c r="AE18" s="501">
        <f t="shared" si="29"/>
        <v>118</v>
      </c>
      <c r="AF18" s="170">
        <f t="shared" si="30"/>
        <v>124</v>
      </c>
      <c r="AG18" s="170">
        <f t="shared" si="30"/>
        <v>46.899999999994179</v>
      </c>
      <c r="AH18" s="501">
        <f t="shared" si="6"/>
        <v>310</v>
      </c>
      <c r="AI18" s="501">
        <f t="shared" si="31"/>
        <v>139.10000000000582</v>
      </c>
      <c r="AJ18" s="170">
        <f t="shared" si="32"/>
        <v>72</v>
      </c>
      <c r="AK18" s="170">
        <f t="shared" si="32"/>
        <v>37.099999999998545</v>
      </c>
      <c r="AL18" s="501">
        <f t="shared" si="7"/>
        <v>219</v>
      </c>
      <c r="AM18" s="501">
        <f t="shared" si="33"/>
        <v>109.90000000000146</v>
      </c>
      <c r="AN18" s="170">
        <f t="shared" si="34"/>
        <v>64.899999999994179</v>
      </c>
      <c r="AO18" s="501">
        <f t="shared" si="8"/>
        <v>63.900000000001455</v>
      </c>
      <c r="AP18" s="170">
        <f t="shared" si="35"/>
        <v>27.5</v>
      </c>
      <c r="AQ18" s="501">
        <f>IF(AP18=0.1,0,(IF(AP18&gt;=(EH18-EH17),(AP18),(EH18-EH17))))</f>
        <v>36.599999999976717</v>
      </c>
      <c r="AR18" s="170">
        <f t="shared" si="36"/>
        <v>119.449</v>
      </c>
      <c r="AS18" s="501">
        <f t="shared" si="37"/>
        <v>66.448999999999955</v>
      </c>
      <c r="AT18" s="501">
        <f t="shared" si="38"/>
        <v>813.44899999999996</v>
      </c>
      <c r="AU18" s="170">
        <f t="shared" si="61"/>
        <v>523</v>
      </c>
      <c r="AV18" s="501">
        <f t="shared" si="62"/>
        <v>74</v>
      </c>
      <c r="AW18" s="170">
        <f t="shared" si="63"/>
        <v>224</v>
      </c>
      <c r="AX18" s="501">
        <f t="shared" si="64"/>
        <v>56</v>
      </c>
      <c r="AY18" s="501" t="str">
        <f t="shared" si="64"/>
        <v/>
      </c>
      <c r="AZ18" s="170">
        <f t="shared" si="39"/>
        <v>185</v>
      </c>
      <c r="BA18" s="170">
        <v>116.8</v>
      </c>
      <c r="BB18" s="170">
        <f t="shared" si="40"/>
        <v>111.60000000000582</v>
      </c>
      <c r="BC18" s="170">
        <f t="shared" si="40"/>
        <v>1167.1000000000931</v>
      </c>
      <c r="BD18" s="170">
        <f t="shared" si="41"/>
        <v>21</v>
      </c>
      <c r="BE18" s="90"/>
      <c r="BF18" s="90"/>
      <c r="BG18" s="501">
        <f t="shared" si="42"/>
        <v>1484.700000000099</v>
      </c>
      <c r="BH18" s="501">
        <f t="shared" si="43"/>
        <v>928</v>
      </c>
      <c r="BI18" s="90">
        <f t="shared" si="10"/>
        <v>977.70099999973718</v>
      </c>
      <c r="BJ18" s="90">
        <f t="shared" si="44"/>
        <v>5459.2990000002628</v>
      </c>
      <c r="BK18" s="92"/>
      <c r="BL18" s="93">
        <f t="shared" si="65"/>
        <v>7365</v>
      </c>
      <c r="BM18" s="93">
        <f t="shared" si="45"/>
        <v>106695</v>
      </c>
      <c r="BN18" s="92"/>
      <c r="BO18" s="94">
        <f t="shared" si="46"/>
        <v>0</v>
      </c>
      <c r="BP18" s="94">
        <f t="shared" si="46"/>
        <v>0</v>
      </c>
      <c r="BQ18" s="94">
        <f t="shared" si="47"/>
        <v>0.46989191627588478</v>
      </c>
      <c r="BR18" s="94">
        <f t="shared" si="66"/>
        <v>0.51533610099394789</v>
      </c>
      <c r="BS18" s="94">
        <f t="shared" si="11"/>
        <v>0.16322711887683722</v>
      </c>
      <c r="BT18" s="94">
        <f t="shared" si="11"/>
        <v>4.2535375412836342E-2</v>
      </c>
      <c r="BU18" s="95">
        <f t="shared" si="11"/>
        <v>0.98835141086797251</v>
      </c>
      <c r="BV18" s="94">
        <f t="shared" si="12"/>
        <v>0</v>
      </c>
      <c r="BW18" s="94">
        <f t="shared" si="12"/>
        <v>0</v>
      </c>
      <c r="BX18" s="94">
        <f t="shared" si="12"/>
        <v>0.40374121507422361</v>
      </c>
      <c r="BY18" s="94">
        <f t="shared" si="48"/>
        <v>0.44278783349988704</v>
      </c>
      <c r="BZ18" s="95">
        <f t="shared" si="13"/>
        <v>0.8492127353599197</v>
      </c>
      <c r="CA18" s="96" t="e">
        <f>#REF!</f>
        <v>#REF!</v>
      </c>
      <c r="CB18" s="94">
        <f t="shared" si="49"/>
        <v>4.8941023340167381E-2</v>
      </c>
      <c r="CC18" s="95">
        <f t="shared" si="49"/>
        <v>2.7225695149651986E-2</v>
      </c>
      <c r="CD18" s="97">
        <f t="shared" si="14"/>
        <v>0.18879826566517133</v>
      </c>
      <c r="CE18" s="98">
        <f t="shared" si="14"/>
        <v>0.10502771856763105</v>
      </c>
      <c r="CF18" s="97">
        <f t="shared" si="50"/>
        <v>0.29458622659091593</v>
      </c>
      <c r="CG18" s="94">
        <f t="shared" si="50"/>
        <v>2.2544864279917039E-2</v>
      </c>
      <c r="CH18" s="95">
        <f t="shared" si="51"/>
        <v>0.49448402320618035</v>
      </c>
      <c r="CI18" s="96" t="e">
        <f>#REF!</f>
        <v>#REF!</v>
      </c>
      <c r="CJ18" s="94">
        <f t="shared" si="52"/>
        <v>0.45421245421245421</v>
      </c>
      <c r="CK18" s="94">
        <f t="shared" si="52"/>
        <v>0.17179487179485048</v>
      </c>
      <c r="CL18" s="95">
        <f t="shared" si="67"/>
        <v>1.1355311355311355</v>
      </c>
      <c r="CM18" s="95" t="e">
        <f>#REF!</f>
        <v>#REF!</v>
      </c>
      <c r="CN18" s="94">
        <f t="shared" si="53"/>
        <v>0.97981579463060953</v>
      </c>
      <c r="CO18" s="94">
        <f t="shared" si="53"/>
        <v>0.50487730528880814</v>
      </c>
      <c r="CP18" s="95">
        <f t="shared" si="54"/>
        <v>2.9802730420014374</v>
      </c>
      <c r="CQ18" s="95" t="e">
        <f>#REF!</f>
        <v>#REF!</v>
      </c>
      <c r="CR18" s="97">
        <f t="shared" si="68"/>
        <v>0.15114957519748234</v>
      </c>
      <c r="CS18" s="95">
        <f t="shared" si="68"/>
        <v>0.14882061410046546</v>
      </c>
      <c r="CT18" s="96" t="e">
        <f>#REF!</f>
        <v>#REF!</v>
      </c>
      <c r="CU18" s="97">
        <f t="shared" si="69"/>
        <v>4.1928478249335092E-2</v>
      </c>
      <c r="CV18" s="95">
        <f t="shared" si="55"/>
        <v>5.5802992869988653E-2</v>
      </c>
      <c r="CW18" s="96" t="e">
        <f>#REF!</f>
        <v>#REF!</v>
      </c>
      <c r="CX18" s="97">
        <f t="shared" si="56"/>
        <v>0.21428521969131212</v>
      </c>
      <c r="CY18" s="98">
        <f t="shared" si="56"/>
        <v>3.0319514832040338E-2</v>
      </c>
      <c r="CZ18" s="97">
        <f t="shared" si="56"/>
        <v>9.1777990842932922E-2</v>
      </c>
      <c r="DA18" s="98">
        <f t="shared" si="56"/>
        <v>2.294449771073323E-2</v>
      </c>
      <c r="DB18" s="94">
        <f t="shared" si="15"/>
        <v>7.5798787080100849E-2</v>
      </c>
      <c r="DC18" s="94">
        <f t="shared" si="16"/>
        <v>4.5725106152106468E-2</v>
      </c>
      <c r="DD18" s="94">
        <f t="shared" si="16"/>
        <v>0.47818791568212304</v>
      </c>
      <c r="DE18" s="94">
        <f t="shared" si="16"/>
        <v>8.6041866415249614E-3</v>
      </c>
      <c r="DF18" s="94">
        <f t="shared" si="16"/>
        <v>0</v>
      </c>
      <c r="DG18" s="94">
        <f t="shared" si="16"/>
        <v>0</v>
      </c>
      <c r="DH18" s="95">
        <f t="shared" si="16"/>
        <v>0.60831599555585525</v>
      </c>
      <c r="DI18" s="96" t="e">
        <f>#REF!</f>
        <v>#REF!</v>
      </c>
      <c r="DJ18" s="95">
        <f t="shared" si="57"/>
        <v>0.38022310492072209</v>
      </c>
      <c r="DK18" s="96" t="e">
        <f>#REF!</f>
        <v>#REF!</v>
      </c>
      <c r="DL18" s="95">
        <f t="shared" si="58"/>
        <v>0.40058675636206353</v>
      </c>
      <c r="DM18" s="96">
        <f t="shared" si="17"/>
        <v>0</v>
      </c>
      <c r="DN18" s="94">
        <f t="shared" si="18"/>
        <v>2.2368013108520399</v>
      </c>
      <c r="DO18" s="100">
        <v>3.4</v>
      </c>
      <c r="DP18" s="94">
        <f>IF($O18&lt;&gt;0,IF($O18&lt;&gt;0,BL18/$O18*10,0)," ")</f>
        <v>3.0176111721348251</v>
      </c>
      <c r="DQ18" s="94">
        <f t="shared" si="71"/>
        <v>3.7554093231613406</v>
      </c>
      <c r="DR18" s="101">
        <f t="shared" si="19"/>
        <v>2.95</v>
      </c>
      <c r="DS18" s="147"/>
      <c r="DT18" s="134">
        <v>13</v>
      </c>
      <c r="DU18" s="361">
        <v>645339</v>
      </c>
      <c r="DV18" s="361">
        <v>33074</v>
      </c>
      <c r="DW18" s="361">
        <v>5167362</v>
      </c>
      <c r="DX18" s="400">
        <v>127373</v>
      </c>
      <c r="DY18" s="361">
        <v>93283</v>
      </c>
      <c r="DZ18" s="361">
        <v>416954</v>
      </c>
      <c r="EA18" s="303">
        <v>252136</v>
      </c>
      <c r="EB18" s="303">
        <v>58045.5</v>
      </c>
      <c r="EC18" s="303">
        <v>433431</v>
      </c>
      <c r="ED18" s="303">
        <v>50161.7</v>
      </c>
      <c r="EE18" s="303">
        <v>42765.4</v>
      </c>
      <c r="EF18" s="330">
        <v>44865</v>
      </c>
      <c r="EG18" s="303">
        <v>97333.6</v>
      </c>
      <c r="EH18" s="361">
        <v>190783.8</v>
      </c>
      <c r="EI18" s="361">
        <v>36891</v>
      </c>
      <c r="EJ18" s="303">
        <v>45340</v>
      </c>
      <c r="EK18" s="303"/>
      <c r="EL18" s="135">
        <v>736231.7</v>
      </c>
      <c r="EM18" s="303">
        <v>9854</v>
      </c>
      <c r="EN18" s="303">
        <v>51213.1</v>
      </c>
      <c r="EO18" s="361">
        <v>3202911.2</v>
      </c>
      <c r="EP18" s="303">
        <v>2903266</v>
      </c>
      <c r="EQ18" s="303">
        <v>3423</v>
      </c>
      <c r="ER18" s="303">
        <v>892</v>
      </c>
      <c r="ES18" s="303">
        <v>473365</v>
      </c>
      <c r="ET18" s="303">
        <v>3892207</v>
      </c>
      <c r="EU18" s="136">
        <v>178132</v>
      </c>
      <c r="EV18" s="136">
        <v>493813</v>
      </c>
      <c r="EW18" s="303">
        <v>164626</v>
      </c>
      <c r="EX18" s="303">
        <v>232434.7</v>
      </c>
      <c r="EY18" s="330">
        <v>1774514.1</v>
      </c>
      <c r="EZ18" s="303">
        <v>855043.9</v>
      </c>
      <c r="FA18" s="383">
        <v>782739</v>
      </c>
      <c r="FB18" s="303">
        <v>32759.200000000001</v>
      </c>
      <c r="FC18" s="303">
        <v>6437</v>
      </c>
      <c r="FD18" s="77">
        <f t="shared" si="73"/>
        <v>4765</v>
      </c>
      <c r="FE18" s="129">
        <v>483</v>
      </c>
      <c r="FF18" s="144">
        <v>35</v>
      </c>
      <c r="FG18" s="105">
        <v>1787</v>
      </c>
      <c r="FH18" s="136">
        <v>330</v>
      </c>
      <c r="FI18" s="136">
        <v>603</v>
      </c>
      <c r="FJ18" s="105">
        <v>565</v>
      </c>
      <c r="FK18" s="136">
        <v>479</v>
      </c>
      <c r="FL18" s="136">
        <v>0</v>
      </c>
      <c r="FM18" s="136">
        <v>483</v>
      </c>
      <c r="FN18" s="80">
        <v>2600</v>
      </c>
      <c r="FO18" s="303"/>
      <c r="FP18" s="485"/>
      <c r="FY18" s="119">
        <v>13</v>
      </c>
      <c r="FZ18" s="107"/>
      <c r="GA18" s="107"/>
      <c r="GB18" s="107"/>
      <c r="GC18" s="109"/>
      <c r="GD18" s="110"/>
      <c r="GE18" s="110"/>
      <c r="GF18" s="111"/>
      <c r="GG18" s="111"/>
      <c r="GH18" s="111"/>
      <c r="GI18" s="112"/>
      <c r="GJ18" s="111" t="e">
        <f t="shared" si="59"/>
        <v>#DIV/0!</v>
      </c>
      <c r="GK18" s="113"/>
    </row>
    <row r="19" spans="1:193" s="119" customFormat="1" ht="15" customHeight="1">
      <c r="A19" s="119">
        <v>0</v>
      </c>
      <c r="B19" s="351">
        <v>43083</v>
      </c>
      <c r="D19" s="157">
        <v>0</v>
      </c>
      <c r="E19" s="128">
        <v>5808</v>
      </c>
      <c r="F19" s="128">
        <v>2683.44</v>
      </c>
      <c r="G19" s="86">
        <v>5077.1530000000002</v>
      </c>
      <c r="H19" s="86">
        <v>8524.6139999999996</v>
      </c>
      <c r="I19" s="86">
        <v>2040.598</v>
      </c>
      <c r="J19" s="86">
        <v>6010.62</v>
      </c>
      <c r="K19" s="86">
        <v>0</v>
      </c>
      <c r="L19" s="86">
        <v>0</v>
      </c>
      <c r="M19" s="115">
        <f t="shared" si="60"/>
        <v>8051.2179999999998</v>
      </c>
      <c r="N19" s="88">
        <f t="shared" si="20"/>
        <v>22093.207000000002</v>
      </c>
      <c r="O19" s="88">
        <f t="shared" si="74"/>
        <v>26118.816000000003</v>
      </c>
      <c r="P19" s="89">
        <f t="shared" si="21"/>
        <v>310228.99099999998</v>
      </c>
      <c r="R19" s="170">
        <f t="shared" si="22"/>
        <v>0</v>
      </c>
      <c r="S19" s="170">
        <f t="shared" si="23"/>
        <v>0</v>
      </c>
      <c r="T19" s="170">
        <f t="shared" si="2"/>
        <v>444.1</v>
      </c>
      <c r="U19" s="170">
        <f t="shared" si="72"/>
        <v>5.9900000000001459</v>
      </c>
      <c r="V19" s="170">
        <f t="shared" si="24"/>
        <v>1205.6999999997206</v>
      </c>
      <c r="W19" s="170">
        <f t="shared" si="3"/>
        <v>106.9</v>
      </c>
      <c r="X19" s="170">
        <f t="shared" si="25"/>
        <v>1205.6999999997206</v>
      </c>
      <c r="Y19" s="170">
        <f t="shared" si="26"/>
        <v>321.7</v>
      </c>
      <c r="Z19" s="170">
        <f t="shared" si="4"/>
        <v>114.9</v>
      </c>
      <c r="AA19" s="501">
        <f t="shared" si="27"/>
        <v>1655.7899999997207</v>
      </c>
      <c r="AB19" s="170">
        <f t="shared" si="28"/>
        <v>71</v>
      </c>
      <c r="AC19" s="170">
        <f t="shared" si="28"/>
        <v>37</v>
      </c>
      <c r="AD19" s="501">
        <f t="shared" si="5"/>
        <v>301</v>
      </c>
      <c r="AE19" s="501">
        <f t="shared" si="29"/>
        <v>193</v>
      </c>
      <c r="AF19" s="170">
        <f t="shared" si="30"/>
        <v>160</v>
      </c>
      <c r="AG19" s="170">
        <f t="shared" si="30"/>
        <v>11.30000000000291</v>
      </c>
      <c r="AH19" s="501">
        <f t="shared" si="6"/>
        <v>237</v>
      </c>
      <c r="AI19" s="501">
        <f t="shared" si="31"/>
        <v>65.69999999999709</v>
      </c>
      <c r="AJ19" s="170">
        <f t="shared" si="32"/>
        <v>156</v>
      </c>
      <c r="AK19" s="170">
        <f t="shared" si="32"/>
        <v>17.19999999999709</v>
      </c>
      <c r="AL19" s="501">
        <f t="shared" si="7"/>
        <v>262</v>
      </c>
      <c r="AM19" s="501">
        <f t="shared" si="33"/>
        <v>88.80000000000291</v>
      </c>
      <c r="AN19" s="170">
        <f t="shared" si="34"/>
        <v>65.200000000004366</v>
      </c>
      <c r="AO19" s="501">
        <f t="shared" si="8"/>
        <v>86.499999999992724</v>
      </c>
      <c r="AP19" s="170">
        <f t="shared" si="35"/>
        <v>33.599999999991269</v>
      </c>
      <c r="AQ19" s="501">
        <f>IF(AP19=0.1,0,(IF(AP19&gt;=(EH19-EH18),(AP19),(EH19-EH18))))</f>
        <v>41.5</v>
      </c>
      <c r="AR19" s="170">
        <f t="shared" si="36"/>
        <v>91.617000000000004</v>
      </c>
      <c r="AS19" s="501">
        <f t="shared" si="37"/>
        <v>116.61699999999996</v>
      </c>
      <c r="AT19" s="501">
        <f t="shared" si="38"/>
        <v>879.61699999999996</v>
      </c>
      <c r="AU19" s="170">
        <f t="shared" si="61"/>
        <v>484</v>
      </c>
      <c r="AV19" s="501">
        <f t="shared" si="62"/>
        <v>15</v>
      </c>
      <c r="AW19" s="170">
        <f t="shared" si="63"/>
        <v>279</v>
      </c>
      <c r="AX19" s="501">
        <f t="shared" si="64"/>
        <v>32</v>
      </c>
      <c r="AY19" s="501" t="str">
        <f t="shared" si="64"/>
        <v/>
      </c>
      <c r="AZ19" s="170">
        <f t="shared" si="39"/>
        <v>376</v>
      </c>
      <c r="BA19" s="170">
        <v>36.4</v>
      </c>
      <c r="BB19" s="170">
        <f t="shared" si="40"/>
        <v>132</v>
      </c>
      <c r="BC19" s="170">
        <f t="shared" si="40"/>
        <v>1088</v>
      </c>
      <c r="BD19" s="170">
        <f t="shared" si="41"/>
        <v>387</v>
      </c>
      <c r="BE19" s="90"/>
      <c r="BF19" s="90"/>
      <c r="BG19" s="501">
        <f t="shared" si="42"/>
        <v>1983</v>
      </c>
      <c r="BH19" s="501">
        <f t="shared" si="43"/>
        <v>967</v>
      </c>
      <c r="BI19" s="90">
        <f t="shared" si="10"/>
        <v>1809.5930000002863</v>
      </c>
      <c r="BJ19" s="90">
        <f t="shared" si="44"/>
        <v>5493.4069999997137</v>
      </c>
      <c r="BK19" s="92"/>
      <c r="BL19" s="331">
        <f t="shared" si="65"/>
        <v>8270</v>
      </c>
      <c r="BM19" s="93">
        <f t="shared" si="45"/>
        <v>114965</v>
      </c>
      <c r="BN19" s="92"/>
      <c r="BO19" s="94">
        <f t="shared" si="46"/>
        <v>0</v>
      </c>
      <c r="BP19" s="94">
        <f t="shared" si="46"/>
        <v>0</v>
      </c>
      <c r="BQ19" s="94">
        <f t="shared" si="47"/>
        <v>0.20101201242535771</v>
      </c>
      <c r="BR19" s="94">
        <f t="shared" si="66"/>
        <v>0.54573335595856254</v>
      </c>
      <c r="BS19" s="94">
        <f t="shared" si="11"/>
        <v>0.14561036792892945</v>
      </c>
      <c r="BT19" s="94">
        <f t="shared" si="11"/>
        <v>5.2006935887578473E-2</v>
      </c>
      <c r="BU19" s="95">
        <f t="shared" si="11"/>
        <v>0.74945660899285493</v>
      </c>
      <c r="BV19" s="94">
        <f t="shared" si="12"/>
        <v>0</v>
      </c>
      <c r="BW19" s="94">
        <f t="shared" si="12"/>
        <v>0</v>
      </c>
      <c r="BX19" s="94">
        <f t="shared" si="12"/>
        <v>0.17003067826657992</v>
      </c>
      <c r="BY19" s="94">
        <f t="shared" si="48"/>
        <v>0.46162123122262527</v>
      </c>
      <c r="BZ19" s="95">
        <f t="shared" si="13"/>
        <v>0.63394527531405731</v>
      </c>
      <c r="CA19" s="96" t="e">
        <f>#REF!</f>
        <v>#REF!</v>
      </c>
      <c r="CB19" s="94">
        <f t="shared" si="49"/>
        <v>3.5077011147825382E-2</v>
      </c>
      <c r="CC19" s="95">
        <f t="shared" si="49"/>
        <v>4.4648654824169652E-2</v>
      </c>
      <c r="CD19" s="97">
        <f t="shared" si="14"/>
        <v>0.11379272055482786</v>
      </c>
      <c r="CE19" s="98">
        <f t="shared" si="14"/>
        <v>0.14484392299401155</v>
      </c>
      <c r="CF19" s="97" t="str">
        <f t="shared" si="50"/>
        <v>0,00</v>
      </c>
      <c r="CG19" s="94" t="str">
        <f t="shared" si="50"/>
        <v>0,00</v>
      </c>
      <c r="CH19" s="95" t="str">
        <f t="shared" si="51"/>
        <v xml:space="preserve">0,00 </v>
      </c>
      <c r="CI19" s="96" t="e">
        <f>#REF!</f>
        <v>#REF!</v>
      </c>
      <c r="CJ19" s="94">
        <f t="shared" si="52"/>
        <v>0.27548209366391185</v>
      </c>
      <c r="CK19" s="94">
        <f t="shared" si="52"/>
        <v>1.9455922865018786E-2</v>
      </c>
      <c r="CL19" s="95">
        <f t="shared" si="67"/>
        <v>0.40805785123966942</v>
      </c>
      <c r="CM19" s="95" t="e">
        <f>#REF!</f>
        <v>#REF!</v>
      </c>
      <c r="CN19" s="94">
        <f t="shared" si="53"/>
        <v>0.58134335032644668</v>
      </c>
      <c r="CO19" s="94">
        <f t="shared" si="53"/>
        <v>6.4096830933417892E-2</v>
      </c>
      <c r="CP19" s="95">
        <f t="shared" si="54"/>
        <v>0.97635870375339118</v>
      </c>
      <c r="CQ19" s="95" t="e">
        <f>#REF!</f>
        <v>#REF!</v>
      </c>
      <c r="CR19" s="97">
        <f t="shared" si="68"/>
        <v>0.12841842662611183</v>
      </c>
      <c r="CS19" s="95">
        <f t="shared" si="68"/>
        <v>0.17037107213430977</v>
      </c>
      <c r="CT19" s="96" t="e">
        <f>#REF!</f>
        <v>#REF!</v>
      </c>
      <c r="CU19" s="97">
        <f t="shared" si="69"/>
        <v>3.9415274404203254E-2</v>
      </c>
      <c r="CV19" s="95">
        <f t="shared" si="55"/>
        <v>4.8682556183775594E-2</v>
      </c>
      <c r="CW19" s="96" t="e">
        <f>#REF!</f>
        <v>#REF!</v>
      </c>
      <c r="CX19" s="97">
        <f t="shared" si="56"/>
        <v>0.1853070215740254</v>
      </c>
      <c r="CY19" s="98">
        <f t="shared" si="56"/>
        <v>5.7429862058065717E-3</v>
      </c>
      <c r="CZ19" s="97">
        <f t="shared" si="56"/>
        <v>0.10681954342800225</v>
      </c>
      <c r="DA19" s="98">
        <f t="shared" si="56"/>
        <v>1.2251703905720687E-2</v>
      </c>
      <c r="DB19" s="94">
        <f t="shared" si="15"/>
        <v>0.14395752089221805</v>
      </c>
      <c r="DC19" s="94">
        <f t="shared" si="16"/>
        <v>5.0538278611097838E-2</v>
      </c>
      <c r="DD19" s="94">
        <f t="shared" si="16"/>
        <v>0.41655793279450337</v>
      </c>
      <c r="DE19" s="94">
        <f t="shared" si="16"/>
        <v>0.14816904410980958</v>
      </c>
      <c r="DF19" s="94">
        <f t="shared" si="16"/>
        <v>0</v>
      </c>
      <c r="DG19" s="94">
        <f t="shared" si="16"/>
        <v>0</v>
      </c>
      <c r="DH19" s="95">
        <f t="shared" si="16"/>
        <v>0.75922277640762881</v>
      </c>
      <c r="DI19" s="96" t="e">
        <f>#REF!</f>
        <v>#REF!</v>
      </c>
      <c r="DJ19" s="95">
        <f t="shared" si="57"/>
        <v>0.37023117740099698</v>
      </c>
      <c r="DK19" s="96" t="e">
        <f>#REF!</f>
        <v>#REF!</v>
      </c>
      <c r="DL19" s="95">
        <f t="shared" si="58"/>
        <v>0.69283117580838505</v>
      </c>
      <c r="DM19" s="96">
        <f t="shared" si="17"/>
        <v>0</v>
      </c>
      <c r="DN19" s="94">
        <f t="shared" si="18"/>
        <v>2.1032373749253082</v>
      </c>
      <c r="DO19" s="100">
        <v>3.4</v>
      </c>
      <c r="DP19" s="94">
        <f>IF($O19&lt;&gt;0,IF($O19&lt;&gt;0,BL19/$O19*10,0)," ")</f>
        <v>3.1662997281346899</v>
      </c>
      <c r="DQ19" s="94">
        <f t="shared" si="71"/>
        <v>3.7058109762539893</v>
      </c>
      <c r="DR19" s="101">
        <f t="shared" si="19"/>
        <v>2.95</v>
      </c>
      <c r="DS19" s="147"/>
      <c r="DT19" s="103">
        <v>14</v>
      </c>
      <c r="DU19" s="361">
        <v>645410</v>
      </c>
      <c r="DV19" s="361">
        <v>33111</v>
      </c>
      <c r="DW19" s="361">
        <v>5167592</v>
      </c>
      <c r="DX19" s="360">
        <v>127533</v>
      </c>
      <c r="DY19" s="361">
        <v>93294.3</v>
      </c>
      <c r="DZ19" s="361">
        <v>417031</v>
      </c>
      <c r="EA19" s="361">
        <v>252292</v>
      </c>
      <c r="EB19" s="303">
        <v>58062.7</v>
      </c>
      <c r="EC19" s="361">
        <v>433537</v>
      </c>
      <c r="ED19" s="361">
        <v>50226.9</v>
      </c>
      <c r="EE19" s="405">
        <v>42785.7</v>
      </c>
      <c r="EF19" s="405">
        <v>44931.199999999997</v>
      </c>
      <c r="EG19" s="361">
        <v>97367.2</v>
      </c>
      <c r="EH19" s="361">
        <v>190825.3</v>
      </c>
      <c r="EI19" s="361">
        <v>36906</v>
      </c>
      <c r="EJ19" s="303">
        <v>45372</v>
      </c>
      <c r="EK19" s="303"/>
      <c r="EL19" s="135">
        <v>736231.7</v>
      </c>
      <c r="EM19" s="303">
        <v>4441</v>
      </c>
      <c r="EN19" s="303">
        <v>51273</v>
      </c>
      <c r="EO19" s="303">
        <v>3204116.9</v>
      </c>
      <c r="EP19" s="303">
        <v>2904335</v>
      </c>
      <c r="EQ19" s="303">
        <v>3217</v>
      </c>
      <c r="ER19" s="303">
        <v>1149</v>
      </c>
      <c r="ES19" s="303">
        <v>474153</v>
      </c>
      <c r="ET19" s="303">
        <v>3983824</v>
      </c>
      <c r="EU19" s="136">
        <v>178411</v>
      </c>
      <c r="EV19" s="136">
        <v>494297</v>
      </c>
      <c r="EW19" s="303">
        <v>165002</v>
      </c>
      <c r="EX19" s="303">
        <v>232566.7</v>
      </c>
      <c r="EY19" s="136">
        <v>1775602.1</v>
      </c>
      <c r="EZ19" s="373">
        <v>855043.9</v>
      </c>
      <c r="FA19" s="373">
        <v>783126</v>
      </c>
      <c r="FB19" s="303">
        <v>32800.400000000001</v>
      </c>
      <c r="FC19" s="303">
        <v>7303</v>
      </c>
      <c r="FD19" s="77">
        <f t="shared" si="73"/>
        <v>5670</v>
      </c>
      <c r="FE19" s="136">
        <v>477</v>
      </c>
      <c r="FF19" s="456">
        <v>72</v>
      </c>
      <c r="FG19" s="105">
        <v>1887</v>
      </c>
      <c r="FH19" s="136">
        <v>827</v>
      </c>
      <c r="FI19" s="136">
        <v>479</v>
      </c>
      <c r="FJ19" s="105">
        <v>378</v>
      </c>
      <c r="FK19" s="136">
        <v>914</v>
      </c>
      <c r="FL19" s="136">
        <v>152</v>
      </c>
      <c r="FM19" s="136">
        <v>484</v>
      </c>
      <c r="FN19" s="80">
        <v>2600</v>
      </c>
      <c r="FO19" s="388"/>
      <c r="FP19" s="485"/>
      <c r="FY19" s="119">
        <v>14</v>
      </c>
      <c r="FZ19" s="107"/>
      <c r="GA19" s="107"/>
      <c r="GB19" s="107"/>
      <c r="GC19" s="109"/>
      <c r="GD19" s="110"/>
      <c r="GE19" s="110"/>
      <c r="GF19" s="111"/>
      <c r="GG19" s="111"/>
      <c r="GH19" s="111"/>
      <c r="GI19" s="112"/>
      <c r="GJ19" s="111" t="e">
        <f t="shared" si="59"/>
        <v>#DIV/0!</v>
      </c>
      <c r="GK19" s="113"/>
    </row>
    <row r="20" spans="1:193" s="119" customFormat="1" ht="15" customHeight="1">
      <c r="B20" s="351">
        <v>43084</v>
      </c>
      <c r="D20" s="159">
        <v>5964</v>
      </c>
      <c r="E20" s="128">
        <v>6048</v>
      </c>
      <c r="F20" s="86">
        <v>1463.184</v>
      </c>
      <c r="G20" s="86">
        <v>4730.9849999999997</v>
      </c>
      <c r="H20" s="86">
        <v>7721.6869999999999</v>
      </c>
      <c r="I20" s="86">
        <v>505.09399999999999</v>
      </c>
      <c r="J20" s="86">
        <v>7687.68</v>
      </c>
      <c r="K20" s="86">
        <v>13.792999999999999</v>
      </c>
      <c r="L20" s="86">
        <v>239.6</v>
      </c>
      <c r="M20" s="115">
        <f t="shared" si="60"/>
        <v>8192.7739999999994</v>
      </c>
      <c r="N20" s="88">
        <f t="shared" si="20"/>
        <v>25927.856</v>
      </c>
      <c r="O20" s="88">
        <f t="shared" si="74"/>
        <v>30277.635999999999</v>
      </c>
      <c r="P20" s="89">
        <f t="shared" si="21"/>
        <v>340506.62699999998</v>
      </c>
      <c r="R20" s="170">
        <f t="shared" si="22"/>
        <v>0</v>
      </c>
      <c r="S20" s="170">
        <f t="shared" si="23"/>
        <v>9.9999999976716943E-3</v>
      </c>
      <c r="T20" s="170">
        <f t="shared" si="2"/>
        <v>618.1</v>
      </c>
      <c r="U20" s="170">
        <f t="shared" si="72"/>
        <v>1.930000000000291</v>
      </c>
      <c r="V20" s="170">
        <f t="shared" si="24"/>
        <v>1465.2000000001863</v>
      </c>
      <c r="W20" s="170">
        <f t="shared" si="3"/>
        <v>129.4</v>
      </c>
      <c r="X20" s="170">
        <f t="shared" si="25"/>
        <v>1465.2000000001863</v>
      </c>
      <c r="Y20" s="170">
        <f t="shared" si="26"/>
        <v>518.5</v>
      </c>
      <c r="Z20" s="170">
        <f t="shared" si="4"/>
        <v>140.19999999999999</v>
      </c>
      <c r="AA20" s="501">
        <f t="shared" si="27"/>
        <v>2085.2400000001844</v>
      </c>
      <c r="AB20" s="170">
        <f t="shared" si="28"/>
        <v>212</v>
      </c>
      <c r="AC20" s="170">
        <f t="shared" si="28"/>
        <v>30</v>
      </c>
      <c r="AD20" s="501">
        <f t="shared" si="5"/>
        <v>367</v>
      </c>
      <c r="AE20" s="501">
        <f t="shared" si="29"/>
        <v>125</v>
      </c>
      <c r="AF20" s="170">
        <f t="shared" si="30"/>
        <v>155</v>
      </c>
      <c r="AG20" s="170">
        <f t="shared" si="30"/>
        <v>14.80000000000291</v>
      </c>
      <c r="AH20" s="501">
        <f t="shared" si="6"/>
        <v>230</v>
      </c>
      <c r="AI20" s="501">
        <f t="shared" si="31"/>
        <v>60.19999999999709</v>
      </c>
      <c r="AJ20" s="170">
        <f t="shared" si="32"/>
        <v>105</v>
      </c>
      <c r="AK20" s="170">
        <f t="shared" si="32"/>
        <v>44.5</v>
      </c>
      <c r="AL20" s="501">
        <f t="shared" si="7"/>
        <v>320</v>
      </c>
      <c r="AM20" s="501">
        <f t="shared" si="33"/>
        <v>170.5</v>
      </c>
      <c r="AN20" s="170">
        <f t="shared" si="34"/>
        <v>42.400000000001455</v>
      </c>
      <c r="AO20" s="501">
        <f t="shared" si="8"/>
        <v>63.000000000007276</v>
      </c>
      <c r="AP20" s="170">
        <f t="shared" si="35"/>
        <v>33.30000000000291</v>
      </c>
      <c r="AQ20" s="501">
        <f t="shared" si="9"/>
        <v>40.300000000017462</v>
      </c>
      <c r="AR20" s="170">
        <f t="shared" si="36"/>
        <v>91.561999999999998</v>
      </c>
      <c r="AS20" s="501">
        <f t="shared" si="37"/>
        <v>161.56200000000001</v>
      </c>
      <c r="AT20" s="501">
        <f t="shared" si="38"/>
        <v>932.56200000000001</v>
      </c>
      <c r="AU20" s="170">
        <f t="shared" si="61"/>
        <v>691</v>
      </c>
      <c r="AV20" s="501">
        <f t="shared" si="62"/>
        <v>9</v>
      </c>
      <c r="AW20" s="170">
        <f t="shared" si="63"/>
        <v>80</v>
      </c>
      <c r="AX20" s="501">
        <f t="shared" si="64"/>
        <v>2</v>
      </c>
      <c r="AY20" s="501" t="str">
        <f t="shared" si="64"/>
        <v/>
      </c>
      <c r="AZ20" s="170">
        <f t="shared" si="39"/>
        <v>290</v>
      </c>
      <c r="BA20" s="170">
        <v>106</v>
      </c>
      <c r="BB20" s="170">
        <f t="shared" si="40"/>
        <v>127.29999999998836</v>
      </c>
      <c r="BC20" s="170">
        <f t="shared" si="40"/>
        <v>397</v>
      </c>
      <c r="BD20" s="170">
        <f t="shared" si="41"/>
        <v>410</v>
      </c>
      <c r="BE20" s="90"/>
      <c r="BF20" s="90"/>
      <c r="BG20" s="501">
        <f t="shared" si="42"/>
        <v>1224.2999999999884</v>
      </c>
      <c r="BH20" s="501">
        <f t="shared" si="43"/>
        <v>543</v>
      </c>
      <c r="BI20" s="90">
        <f t="shared" si="10"/>
        <v>2176.5979999998026</v>
      </c>
      <c r="BJ20" s="90">
        <f t="shared" si="44"/>
        <v>5273.4020000001974</v>
      </c>
      <c r="BK20" s="92"/>
      <c r="BL20" s="93">
        <f t="shared" si="65"/>
        <v>7993</v>
      </c>
      <c r="BM20" s="93">
        <f t="shared" si="45"/>
        <v>122958</v>
      </c>
      <c r="BN20" s="92"/>
      <c r="BO20" s="94">
        <f t="shared" si="46"/>
        <v>0</v>
      </c>
      <c r="BP20" s="94">
        <f t="shared" si="46"/>
        <v>3.8568557298650901E-6</v>
      </c>
      <c r="BQ20" s="94">
        <f t="shared" si="47"/>
        <v>0.2383922527184662</v>
      </c>
      <c r="BR20" s="94">
        <f t="shared" si="66"/>
        <v>0.5651065016714788</v>
      </c>
      <c r="BS20" s="94">
        <f t="shared" si="11"/>
        <v>0.19997796964006587</v>
      </c>
      <c r="BT20" s="94">
        <f t="shared" si="11"/>
        <v>5.4073117345298433E-2</v>
      </c>
      <c r="BU20" s="95">
        <f t="shared" si="11"/>
        <v>0.80424698440171238</v>
      </c>
      <c r="BV20" s="94">
        <f t="shared" si="12"/>
        <v>0</v>
      </c>
      <c r="BW20" s="94">
        <f t="shared" si="12"/>
        <v>3.3027677582462826E-6</v>
      </c>
      <c r="BX20" s="94">
        <f t="shared" si="12"/>
        <v>0.20414407518473371</v>
      </c>
      <c r="BY20" s="94">
        <f t="shared" si="48"/>
        <v>0.48392153205097865</v>
      </c>
      <c r="BZ20" s="95">
        <f t="shared" si="13"/>
        <v>0.68870634418096066</v>
      </c>
      <c r="CA20" s="96" t="e">
        <f>#REF!</f>
        <v>#REF!</v>
      </c>
      <c r="CB20" s="94">
        <f t="shared" si="49"/>
        <v>3.0240802155095597E-2</v>
      </c>
      <c r="CC20" s="95">
        <f t="shared" si="49"/>
        <v>5.3360176468202479E-2</v>
      </c>
      <c r="CD20" s="97">
        <f t="shared" si="14"/>
        <v>0.11175946022678034</v>
      </c>
      <c r="CE20" s="98">
        <f t="shared" si="14"/>
        <v>0.1972006062903725</v>
      </c>
      <c r="CF20" s="97">
        <f t="shared" si="50"/>
        <v>0.35546613011401745</v>
      </c>
      <c r="CG20" s="94">
        <f t="shared" si="50"/>
        <v>5.0301810865191143E-2</v>
      </c>
      <c r="CH20" s="95">
        <f t="shared" si="51"/>
        <v>0.61535881958417171</v>
      </c>
      <c r="CI20" s="96" t="e">
        <f>#REF!</f>
        <v>#REF!</v>
      </c>
      <c r="CJ20" s="94">
        <f t="shared" si="52"/>
        <v>0.25628306878306878</v>
      </c>
      <c r="CK20" s="94">
        <f t="shared" si="52"/>
        <v>2.4470899470904282E-2</v>
      </c>
      <c r="CL20" s="95">
        <f t="shared" si="67"/>
        <v>0.38029100529100529</v>
      </c>
      <c r="CM20" s="95" t="e">
        <f>#REF!</f>
        <v>#REF!</v>
      </c>
      <c r="CN20" s="94">
        <f t="shared" si="53"/>
        <v>0.71761309582390187</v>
      </c>
      <c r="CO20" s="94">
        <f t="shared" si="53"/>
        <v>0.30413126442060601</v>
      </c>
      <c r="CP20" s="95">
        <f t="shared" si="54"/>
        <v>2.1870113396537958</v>
      </c>
      <c r="CQ20" s="95" t="e">
        <f>#REF!</f>
        <v>#REF!</v>
      </c>
      <c r="CR20" s="97">
        <f t="shared" si="68"/>
        <v>8.9621928625860076E-2</v>
      </c>
      <c r="CS20" s="95">
        <f t="shared" si="68"/>
        <v>0.13316465809975572</v>
      </c>
      <c r="CT20" s="96" t="e">
        <f>#REF!</f>
        <v>#REF!</v>
      </c>
      <c r="CU20" s="97">
        <f t="shared" si="69"/>
        <v>4.3125291144283512E-2</v>
      </c>
      <c r="CV20" s="95">
        <f t="shared" si="55"/>
        <v>5.219066766111792E-2</v>
      </c>
      <c r="CW20" s="96" t="e">
        <f>#REF!</f>
        <v>#REF!</v>
      </c>
      <c r="CX20" s="97">
        <f t="shared" si="56"/>
        <v>0.22822125214795502</v>
      </c>
      <c r="CY20" s="98">
        <f t="shared" si="56"/>
        <v>2.9724909831137414E-3</v>
      </c>
      <c r="CZ20" s="97">
        <f t="shared" si="56"/>
        <v>2.6422142072122144E-2</v>
      </c>
      <c r="DA20" s="98">
        <f t="shared" si="56"/>
        <v>6.6055355180305369E-4</v>
      </c>
      <c r="DB20" s="94">
        <f t="shared" si="15"/>
        <v>9.5780265011442767E-2</v>
      </c>
      <c r="DC20" s="94">
        <f t="shared" si="16"/>
        <v>4.2044233572260517E-2</v>
      </c>
      <c r="DD20" s="94">
        <f t="shared" si="16"/>
        <v>0.13111988003290614</v>
      </c>
      <c r="DE20" s="94">
        <f t="shared" si="16"/>
        <v>0.13541347811962598</v>
      </c>
      <c r="DF20" s="94">
        <f t="shared" si="16"/>
        <v>0</v>
      </c>
      <c r="DG20" s="94">
        <f t="shared" si="16"/>
        <v>0</v>
      </c>
      <c r="DH20" s="95">
        <f t="shared" si="16"/>
        <v>0.40435785673623542</v>
      </c>
      <c r="DI20" s="96" t="e">
        <f>#REF!</f>
        <v>#REF!</v>
      </c>
      <c r="DJ20" s="95">
        <f t="shared" si="57"/>
        <v>0.17934028931452906</v>
      </c>
      <c r="DK20" s="96" t="e">
        <f>#REF!</f>
        <v>#REF!</v>
      </c>
      <c r="DL20" s="95">
        <f t="shared" si="58"/>
        <v>0.71887976987364621</v>
      </c>
      <c r="DM20" s="96">
        <f t="shared" si="17"/>
        <v>0</v>
      </c>
      <c r="DN20" s="94">
        <f t="shared" si="18"/>
        <v>1.7416822105927285</v>
      </c>
      <c r="DO20" s="100">
        <v>3.4</v>
      </c>
      <c r="DP20" s="94">
        <f>IF($O20&lt;&gt;0,IF($O20&lt;&gt;0,BL20/$O20*10,0)," ")</f>
        <v>2.6399022697809036</v>
      </c>
      <c r="DQ20" s="94">
        <f>IF($P20&lt;&gt;0,IF($P20&lt;&gt;0,BM20/$P20*10,0)," ")</f>
        <v>3.611031041695409</v>
      </c>
      <c r="DR20" s="101">
        <f t="shared" si="19"/>
        <v>2.95</v>
      </c>
      <c r="DS20" s="147"/>
      <c r="DT20" s="103">
        <v>15</v>
      </c>
      <c r="DU20" s="135">
        <v>645622</v>
      </c>
      <c r="DV20" s="361">
        <v>33141</v>
      </c>
      <c r="DW20" s="135">
        <v>5167747</v>
      </c>
      <c r="DX20" s="517">
        <v>127688</v>
      </c>
      <c r="DY20" s="135">
        <v>93309.1</v>
      </c>
      <c r="DZ20" s="135">
        <v>417106</v>
      </c>
      <c r="EA20" s="135">
        <v>252397</v>
      </c>
      <c r="EB20" s="136">
        <v>58107.199999999997</v>
      </c>
      <c r="EC20" s="135">
        <v>433752</v>
      </c>
      <c r="ED20" s="135">
        <v>50269.3</v>
      </c>
      <c r="EE20" s="136">
        <v>42805.9</v>
      </c>
      <c r="EF20" s="136">
        <v>44974</v>
      </c>
      <c r="EG20" s="135">
        <v>97400.5</v>
      </c>
      <c r="EH20" s="135">
        <v>190865.6</v>
      </c>
      <c r="EI20" s="135">
        <v>36915</v>
      </c>
      <c r="EJ20" s="136">
        <v>45374</v>
      </c>
      <c r="EK20" s="136"/>
      <c r="EL20" s="135">
        <v>736231.7</v>
      </c>
      <c r="EM20" s="136">
        <v>6181</v>
      </c>
      <c r="EN20" s="136">
        <v>51292.3</v>
      </c>
      <c r="EO20" s="135">
        <v>3205582.1</v>
      </c>
      <c r="EP20" s="136">
        <v>2905629</v>
      </c>
      <c r="EQ20" s="136">
        <v>5185</v>
      </c>
      <c r="ER20" s="136">
        <v>1402</v>
      </c>
      <c r="ES20" s="136">
        <v>474994</v>
      </c>
      <c r="ET20" s="136">
        <v>4075386</v>
      </c>
      <c r="EU20" s="136">
        <v>178491</v>
      </c>
      <c r="EV20" s="136">
        <v>494988</v>
      </c>
      <c r="EW20" s="136">
        <v>165292</v>
      </c>
      <c r="EX20" s="136">
        <v>232694</v>
      </c>
      <c r="EY20" s="303">
        <v>1775999.1</v>
      </c>
      <c r="EZ20" s="373">
        <v>855044</v>
      </c>
      <c r="FA20" s="373">
        <v>783536</v>
      </c>
      <c r="FB20" s="136">
        <v>32905.599999999999</v>
      </c>
      <c r="FC20" s="136">
        <v>7450</v>
      </c>
      <c r="FD20" s="77">
        <f t="shared" si="73"/>
        <v>5393</v>
      </c>
      <c r="FE20" s="144">
        <v>581</v>
      </c>
      <c r="FF20" s="456">
        <v>68</v>
      </c>
      <c r="FG20" s="136">
        <v>1820</v>
      </c>
      <c r="FH20" s="136">
        <v>1342</v>
      </c>
      <c r="FI20" s="136">
        <v>523</v>
      </c>
      <c r="FJ20" s="455">
        <v>457</v>
      </c>
      <c r="FK20" s="455">
        <v>210</v>
      </c>
      <c r="FL20" s="136">
        <v>242</v>
      </c>
      <c r="FM20" s="455">
        <v>150</v>
      </c>
      <c r="FN20" s="80">
        <v>2600</v>
      </c>
      <c r="FO20" s="389"/>
      <c r="FP20" s="486"/>
      <c r="FY20" s="119">
        <v>15</v>
      </c>
      <c r="FZ20" s="107"/>
      <c r="GA20" s="107"/>
      <c r="GB20" s="107"/>
      <c r="GC20" s="109"/>
      <c r="GD20" s="110"/>
      <c r="GE20" s="110"/>
      <c r="GF20" s="111"/>
      <c r="GG20" s="111"/>
      <c r="GH20" s="111"/>
      <c r="GI20" s="112"/>
      <c r="GJ20" s="111" t="e">
        <f t="shared" si="59"/>
        <v>#DIV/0!</v>
      </c>
      <c r="GK20" s="113"/>
    </row>
    <row r="21" spans="1:193" s="119" customFormat="1" ht="15" customHeight="1">
      <c r="B21" s="351">
        <v>43085</v>
      </c>
      <c r="D21" s="159">
        <v>5157.96</v>
      </c>
      <c r="E21" s="128">
        <v>4491.72</v>
      </c>
      <c r="F21" s="86">
        <v>2771.9279999999999</v>
      </c>
      <c r="G21" s="86">
        <v>3784.1579999999999</v>
      </c>
      <c r="H21" s="86">
        <v>8747.0570000000007</v>
      </c>
      <c r="I21" s="86">
        <v>1907.0439999999999</v>
      </c>
      <c r="J21" s="86">
        <v>8108.8919999999998</v>
      </c>
      <c r="K21" s="86">
        <v>0</v>
      </c>
      <c r="L21" s="86">
        <v>0</v>
      </c>
      <c r="M21" s="115">
        <f t="shared" si="60"/>
        <v>10015.936</v>
      </c>
      <c r="N21" s="88">
        <f t="shared" si="20"/>
        <v>24952.823</v>
      </c>
      <c r="O21" s="88">
        <f t="shared" si="74"/>
        <v>29960.791000000001</v>
      </c>
      <c r="P21" s="89">
        <f t="shared" si="21"/>
        <v>370467.41800000001</v>
      </c>
      <c r="R21" s="170">
        <f t="shared" si="22"/>
        <v>0</v>
      </c>
      <c r="S21" s="170">
        <f t="shared" si="23"/>
        <v>88.35</v>
      </c>
      <c r="T21" s="170">
        <f t="shared" si="2"/>
        <v>751.4</v>
      </c>
      <c r="U21" s="170">
        <f t="shared" si="72"/>
        <v>1.6099999999998544</v>
      </c>
      <c r="V21" s="170">
        <f t="shared" si="24"/>
        <v>1213.8999999999069</v>
      </c>
      <c r="W21" s="170">
        <f t="shared" si="3"/>
        <v>107.8</v>
      </c>
      <c r="X21" s="170">
        <f t="shared" si="25"/>
        <v>1213.8999999999069</v>
      </c>
      <c r="Y21" s="170">
        <f t="shared" si="26"/>
        <v>321</v>
      </c>
      <c r="Z21" s="170">
        <f t="shared" si="4"/>
        <v>125.3</v>
      </c>
      <c r="AA21" s="501">
        <f t="shared" si="27"/>
        <v>2055.2599999999065</v>
      </c>
      <c r="AB21" s="170">
        <f t="shared" si="28"/>
        <v>0</v>
      </c>
      <c r="AC21" s="170">
        <f t="shared" si="28"/>
        <v>0</v>
      </c>
      <c r="AD21" s="501">
        <f t="shared" si="5"/>
        <v>136</v>
      </c>
      <c r="AE21" s="501">
        <f t="shared" si="29"/>
        <v>136</v>
      </c>
      <c r="AF21" s="170">
        <f t="shared" si="30"/>
        <v>98</v>
      </c>
      <c r="AG21" s="170">
        <f t="shared" si="30"/>
        <v>54.899999999994179</v>
      </c>
      <c r="AH21" s="501">
        <f t="shared" si="6"/>
        <v>265</v>
      </c>
      <c r="AI21" s="501">
        <f t="shared" si="31"/>
        <v>112.10000000000582</v>
      </c>
      <c r="AJ21" s="170">
        <f t="shared" si="32"/>
        <v>156</v>
      </c>
      <c r="AK21" s="170">
        <f t="shared" si="32"/>
        <v>38.5</v>
      </c>
      <c r="AL21" s="501">
        <f t="shared" si="7"/>
        <v>281</v>
      </c>
      <c r="AM21" s="501">
        <f t="shared" si="33"/>
        <v>86.5</v>
      </c>
      <c r="AN21" s="170">
        <f t="shared" si="34"/>
        <v>37.19999999999709</v>
      </c>
      <c r="AO21" s="501">
        <f t="shared" si="8"/>
        <v>68.5</v>
      </c>
      <c r="AP21" s="170">
        <f t="shared" si="35"/>
        <v>32.19999999999709</v>
      </c>
      <c r="AQ21" s="501">
        <f t="shared" si="9"/>
        <v>38.899999999994179</v>
      </c>
      <c r="AR21" s="170">
        <f t="shared" si="36"/>
        <v>107.49299999999999</v>
      </c>
      <c r="AS21" s="501">
        <f t="shared" si="37"/>
        <v>182.49299999999994</v>
      </c>
      <c r="AT21" s="501">
        <f t="shared" si="38"/>
        <v>1103.4929999999999</v>
      </c>
      <c r="AU21" s="170">
        <f t="shared" si="61"/>
        <v>675</v>
      </c>
      <c r="AV21" s="501">
        <f t="shared" si="62"/>
        <v>32</v>
      </c>
      <c r="AW21" s="170">
        <f t="shared" si="63"/>
        <v>246</v>
      </c>
      <c r="AX21" s="501">
        <f t="shared" si="64"/>
        <v>5</v>
      </c>
      <c r="AY21" s="501" t="str">
        <f t="shared" si="64"/>
        <v/>
      </c>
      <c r="AZ21" s="170">
        <f t="shared" si="39"/>
        <v>363</v>
      </c>
      <c r="BA21" s="170">
        <v>36.299999999999997</v>
      </c>
      <c r="BB21" s="170">
        <f t="shared" si="40"/>
        <v>133.29999999998836</v>
      </c>
      <c r="BC21" s="170">
        <f t="shared" si="40"/>
        <v>250.79999999981374</v>
      </c>
      <c r="BD21" s="170">
        <f t="shared" si="41"/>
        <v>357</v>
      </c>
      <c r="BE21" s="90"/>
      <c r="BF21" s="90"/>
      <c r="BG21" s="501">
        <f t="shared" si="42"/>
        <v>1104.0999999998021</v>
      </c>
      <c r="BH21" s="501">
        <f t="shared" si="43"/>
        <v>852</v>
      </c>
      <c r="BI21" s="90">
        <f t="shared" si="10"/>
        <v>1995.7470000002977</v>
      </c>
      <c r="BJ21" s="90">
        <f t="shared" si="44"/>
        <v>5089.2529999997023</v>
      </c>
      <c r="BK21" s="92"/>
      <c r="BL21" s="331">
        <f>FD21+FN21</f>
        <v>7937</v>
      </c>
      <c r="BM21" s="93">
        <f t="shared" si="45"/>
        <v>130895</v>
      </c>
      <c r="BN21" s="92"/>
      <c r="BO21" s="94">
        <f t="shared" si="46"/>
        <v>0</v>
      </c>
      <c r="BP21" s="94">
        <f t="shared" si="46"/>
        <v>3.5406815493381247E-2</v>
      </c>
      <c r="BQ21" s="94">
        <f t="shared" si="47"/>
        <v>0.30112825310386721</v>
      </c>
      <c r="BR21" s="94">
        <f t="shared" si="66"/>
        <v>0.48647802294750653</v>
      </c>
      <c r="BS21" s="94">
        <f t="shared" si="11"/>
        <v>0.12864275917798959</v>
      </c>
      <c r="BT21" s="94">
        <f t="shared" si="11"/>
        <v>5.0214759267919309E-2</v>
      </c>
      <c r="BU21" s="95">
        <f t="shared" si="11"/>
        <v>0.82365830912194049</v>
      </c>
      <c r="BV21" s="94">
        <f t="shared" si="12"/>
        <v>0</v>
      </c>
      <c r="BW21" s="94">
        <f t="shared" si="12"/>
        <v>2.9488540539533814E-2</v>
      </c>
      <c r="BX21" s="94">
        <f t="shared" si="12"/>
        <v>0.25079444664862149</v>
      </c>
      <c r="BY21" s="94">
        <f t="shared" si="48"/>
        <v>0.405162867695952</v>
      </c>
      <c r="BZ21" s="95">
        <f t="shared" si="13"/>
        <v>0.68598322387413146</v>
      </c>
      <c r="CA21" s="96" t="e">
        <f>#REF!</f>
        <v>#REF!</v>
      </c>
      <c r="CB21" s="94">
        <f t="shared" si="49"/>
        <v>3.5877891207878987E-2</v>
      </c>
      <c r="CC21" s="95">
        <f t="shared" si="49"/>
        <v>6.0910608134478128E-2</v>
      </c>
      <c r="CD21" s="97">
        <f t="shared" si="14"/>
        <v>0.10732197170588949</v>
      </c>
      <c r="CE21" s="98">
        <f t="shared" si="14"/>
        <v>0.18220264186991605</v>
      </c>
      <c r="CF21" s="97">
        <f t="shared" si="50"/>
        <v>0</v>
      </c>
      <c r="CG21" s="94">
        <f t="shared" si="50"/>
        <v>0</v>
      </c>
      <c r="CH21" s="95">
        <f t="shared" si="51"/>
        <v>0.26367013315341725</v>
      </c>
      <c r="CI21" s="96" t="e">
        <f>#REF!</f>
        <v>#REF!</v>
      </c>
      <c r="CJ21" s="94">
        <f t="shared" si="52"/>
        <v>0.2181792275564817</v>
      </c>
      <c r="CK21" s="94">
        <f t="shared" si="52"/>
        <v>0.12222489380458749</v>
      </c>
      <c r="CL21" s="95">
        <f t="shared" si="67"/>
        <v>0.58997444186191472</v>
      </c>
      <c r="CM21" s="95" t="e">
        <f>#REF!</f>
        <v>#REF!</v>
      </c>
      <c r="CN21" s="94">
        <f t="shared" si="53"/>
        <v>0.56278518056746063</v>
      </c>
      <c r="CO21" s="94">
        <f t="shared" si="53"/>
        <v>0.13889249648620022</v>
      </c>
      <c r="CP21" s="95">
        <f t="shared" si="54"/>
        <v>1.0137348444836951</v>
      </c>
      <c r="CQ21" s="95" t="e">
        <f>#REF!</f>
        <v>#REF!</v>
      </c>
      <c r="CR21" s="97">
        <f t="shared" si="68"/>
        <v>9.8304563392958455E-2</v>
      </c>
      <c r="CS21" s="95">
        <f t="shared" si="68"/>
        <v>0.18101781162414465</v>
      </c>
      <c r="CT21" s="96" t="e">
        <f>#REF!</f>
        <v>#REF!</v>
      </c>
      <c r="CU21" s="97">
        <f t="shared" si="69"/>
        <v>3.6812381581596061E-2</v>
      </c>
      <c r="CV21" s="95">
        <f t="shared" si="55"/>
        <v>4.4472100730559058E-2</v>
      </c>
      <c r="CW21" s="96" t="e">
        <f>#REF!</f>
        <v>#REF!</v>
      </c>
      <c r="CX21" s="97">
        <f t="shared" si="56"/>
        <v>0.22529445233939249</v>
      </c>
      <c r="CY21" s="98">
        <f t="shared" si="56"/>
        <v>1.0680625888682311E-2</v>
      </c>
      <c r="CZ21" s="97">
        <f t="shared" si="56"/>
        <v>8.2107311519245274E-2</v>
      </c>
      <c r="DA21" s="98">
        <f t="shared" si="56"/>
        <v>1.668847795106611E-3</v>
      </c>
      <c r="DB21" s="94">
        <f t="shared" si="15"/>
        <v>0.12115834992473996</v>
      </c>
      <c r="DC21" s="94">
        <f t="shared" si="16"/>
        <v>4.4491482217538368E-2</v>
      </c>
      <c r="DD21" s="94">
        <f t="shared" si="16"/>
        <v>8.3709405402485448E-2</v>
      </c>
      <c r="DE21" s="94">
        <f t="shared" si="16"/>
        <v>0.11915573257061203</v>
      </c>
      <c r="DF21" s="94">
        <f t="shared" si="16"/>
        <v>0</v>
      </c>
      <c r="DG21" s="94">
        <f t="shared" si="16"/>
        <v>0</v>
      </c>
      <c r="DH21" s="95">
        <f t="shared" si="16"/>
        <v>0.36851497011537582</v>
      </c>
      <c r="DI21" s="96" t="e">
        <f>#REF!</f>
        <v>#REF!</v>
      </c>
      <c r="DJ21" s="95">
        <f t="shared" si="57"/>
        <v>0.2843716642861665</v>
      </c>
      <c r="DK21" s="96" t="e">
        <f>#REF!</f>
        <v>#REF!</v>
      </c>
      <c r="DL21" s="95">
        <f t="shared" si="58"/>
        <v>0.66611959610822613</v>
      </c>
      <c r="DM21" s="96">
        <f t="shared" si="17"/>
        <v>0</v>
      </c>
      <c r="DN21" s="94">
        <f t="shared" si="18"/>
        <v>1.6986377295578416</v>
      </c>
      <c r="DO21" s="100">
        <v>3.4</v>
      </c>
      <c r="DP21" s="94">
        <f t="shared" si="70"/>
        <v>2.6491289899522346</v>
      </c>
      <c r="DQ21" s="94">
        <f t="shared" si="71"/>
        <v>3.5332391902815052</v>
      </c>
      <c r="DR21" s="101">
        <f t="shared" si="19"/>
        <v>2.95</v>
      </c>
      <c r="DS21" s="147"/>
      <c r="DT21" s="103">
        <v>16</v>
      </c>
      <c r="DU21" s="135">
        <v>645622</v>
      </c>
      <c r="DV21" s="361">
        <v>33141</v>
      </c>
      <c r="DW21" s="518">
        <v>5167883</v>
      </c>
      <c r="DX21" s="517">
        <v>127786</v>
      </c>
      <c r="DY21" s="135">
        <v>93364</v>
      </c>
      <c r="DZ21" s="518">
        <v>417273</v>
      </c>
      <c r="EA21" s="135">
        <v>252553</v>
      </c>
      <c r="EB21" s="136">
        <v>58145.7</v>
      </c>
      <c r="EC21" s="518">
        <v>433877</v>
      </c>
      <c r="ED21" s="518">
        <v>50306.5</v>
      </c>
      <c r="EE21" s="136">
        <v>42827.3</v>
      </c>
      <c r="EF21" s="519">
        <v>45021.1</v>
      </c>
      <c r="EG21" s="518">
        <v>97432.7</v>
      </c>
      <c r="EH21" s="518">
        <v>190904.5</v>
      </c>
      <c r="EI21" s="518">
        <v>36947</v>
      </c>
      <c r="EJ21" s="136">
        <v>45379</v>
      </c>
      <c r="EK21" s="136"/>
      <c r="EL21" s="135">
        <v>736231.7</v>
      </c>
      <c r="EM21" s="455">
        <v>7514</v>
      </c>
      <c r="EN21" s="455">
        <v>51308.4</v>
      </c>
      <c r="EO21" s="518">
        <v>3206796</v>
      </c>
      <c r="EP21" s="136">
        <v>2906707</v>
      </c>
      <c r="EQ21" s="136">
        <v>3210</v>
      </c>
      <c r="ER21" s="136">
        <v>1253</v>
      </c>
      <c r="ES21" s="136">
        <v>475990</v>
      </c>
      <c r="ET21" s="136">
        <v>4182879</v>
      </c>
      <c r="EU21" s="136">
        <v>178737</v>
      </c>
      <c r="EV21" s="136">
        <v>495663</v>
      </c>
      <c r="EW21" s="136">
        <v>165655</v>
      </c>
      <c r="EX21" s="136">
        <v>232827.3</v>
      </c>
      <c r="EY21" s="303">
        <v>1776249.9</v>
      </c>
      <c r="EZ21" s="373">
        <v>855927.5</v>
      </c>
      <c r="FA21" s="136">
        <v>783893</v>
      </c>
      <c r="FB21" s="136">
        <v>32945.300000000003</v>
      </c>
      <c r="FC21" s="136">
        <v>7085</v>
      </c>
      <c r="FD21" s="77">
        <f>SUM(FE21:FM21)</f>
        <v>5337</v>
      </c>
      <c r="FE21" s="455">
        <v>435</v>
      </c>
      <c r="FF21" s="456">
        <v>72</v>
      </c>
      <c r="FG21" s="136">
        <v>1820</v>
      </c>
      <c r="FH21" s="136">
        <v>859</v>
      </c>
      <c r="FI21" s="136">
        <v>403</v>
      </c>
      <c r="FJ21" s="455">
        <v>340</v>
      </c>
      <c r="FK21" s="455">
        <v>639</v>
      </c>
      <c r="FL21" s="136">
        <v>329</v>
      </c>
      <c r="FM21" s="455">
        <v>440</v>
      </c>
      <c r="FN21" s="80">
        <v>2600</v>
      </c>
      <c r="FO21" s="104"/>
      <c r="FP21" s="484"/>
      <c r="FY21" s="119">
        <v>16</v>
      </c>
      <c r="FZ21" s="107"/>
      <c r="GA21" s="163"/>
      <c r="GB21" s="107"/>
      <c r="GC21" s="109"/>
      <c r="GD21" s="110"/>
      <c r="GE21" s="110"/>
      <c r="GF21" s="111"/>
      <c r="GG21" s="111"/>
      <c r="GH21" s="111"/>
      <c r="GI21" s="164"/>
      <c r="GJ21" s="111" t="e">
        <f t="shared" si="59"/>
        <v>#DIV/0!</v>
      </c>
      <c r="GK21" s="113"/>
    </row>
    <row r="22" spans="1:193" ht="15" customHeight="1">
      <c r="B22" s="351">
        <v>43086</v>
      </c>
      <c r="D22" s="329">
        <v>0</v>
      </c>
      <c r="E22" s="329">
        <v>6000</v>
      </c>
      <c r="F22" s="329">
        <v>2509.056</v>
      </c>
      <c r="G22" s="329">
        <v>5774.3450000000003</v>
      </c>
      <c r="H22" s="329">
        <v>7217.6580000000004</v>
      </c>
      <c r="I22" s="329">
        <v>2216.9830000000002</v>
      </c>
      <c r="J22" s="329">
        <v>7483.4759999999997</v>
      </c>
      <c r="K22" s="391">
        <v>0</v>
      </c>
      <c r="L22" s="284">
        <v>0</v>
      </c>
      <c r="M22" s="115">
        <f t="shared" si="60"/>
        <v>9700.4589999999989</v>
      </c>
      <c r="N22" s="88">
        <f t="shared" si="20"/>
        <v>21501.059000000001</v>
      </c>
      <c r="O22" s="88">
        <f t="shared" si="74"/>
        <v>26351.288500000002</v>
      </c>
      <c r="P22" s="89">
        <f t="shared" si="21"/>
        <v>396818.70650000003</v>
      </c>
      <c r="Q22" s="168"/>
      <c r="R22" s="170">
        <f t="shared" si="22"/>
        <v>0</v>
      </c>
      <c r="S22" s="170">
        <f t="shared" si="23"/>
        <v>7.030000000004657</v>
      </c>
      <c r="T22" s="170">
        <f t="shared" si="2"/>
        <v>677.4</v>
      </c>
      <c r="U22" s="170">
        <f t="shared" si="72"/>
        <v>4.8599999999998547</v>
      </c>
      <c r="V22" s="170">
        <f>IF(EO22=0,"",(EO22-EO21))</f>
        <v>1028.8999999999069</v>
      </c>
      <c r="W22" s="170">
        <f t="shared" si="3"/>
        <v>90.7</v>
      </c>
      <c r="X22" s="170">
        <f t="shared" si="25"/>
        <v>1028.8999999999069</v>
      </c>
      <c r="Y22" s="170" t="str">
        <f t="shared" si="26"/>
        <v>0</v>
      </c>
      <c r="Z22" s="170">
        <f t="shared" si="4"/>
        <v>173.8</v>
      </c>
      <c r="AA22" s="501">
        <f t="shared" si="27"/>
        <v>1718.1899999999114</v>
      </c>
      <c r="AB22" s="170">
        <f t="shared" si="28"/>
        <v>161</v>
      </c>
      <c r="AC22" s="170">
        <f t="shared" si="28"/>
        <v>0</v>
      </c>
      <c r="AD22" s="501">
        <f t="shared" si="5"/>
        <v>161</v>
      </c>
      <c r="AE22" s="501">
        <f t="shared" si="29"/>
        <v>0</v>
      </c>
      <c r="AF22" s="170">
        <f t="shared" si="30"/>
        <v>135</v>
      </c>
      <c r="AG22" s="170">
        <f t="shared" si="30"/>
        <v>106.69999999999709</v>
      </c>
      <c r="AH22" s="501">
        <f t="shared" si="6"/>
        <v>289</v>
      </c>
      <c r="AI22" s="501">
        <f t="shared" si="31"/>
        <v>47.30000000000291</v>
      </c>
      <c r="AJ22" s="170">
        <f t="shared" si="32"/>
        <v>156</v>
      </c>
      <c r="AK22" s="170">
        <f t="shared" si="32"/>
        <v>39.700000000004366</v>
      </c>
      <c r="AL22" s="501">
        <f t="shared" si="7"/>
        <v>279</v>
      </c>
      <c r="AM22" s="501">
        <f t="shared" si="33"/>
        <v>83.299999999995634</v>
      </c>
      <c r="AN22" s="170">
        <f t="shared" si="34"/>
        <v>67.80000000000291</v>
      </c>
      <c r="AO22" s="501">
        <f t="shared" si="8"/>
        <v>95.499999999992724</v>
      </c>
      <c r="AP22" s="170">
        <f t="shared" si="35"/>
        <v>44.19999999999709</v>
      </c>
      <c r="AQ22" s="501">
        <f t="shared" si="9"/>
        <v>50.100000000005821</v>
      </c>
      <c r="AR22" s="170">
        <f t="shared" si="36"/>
        <v>105.883</v>
      </c>
      <c r="AS22" s="501">
        <f t="shared" si="37"/>
        <v>163.88300000000004</v>
      </c>
      <c r="AT22" s="501">
        <f t="shared" si="38"/>
        <v>1100.883</v>
      </c>
      <c r="AU22" s="170">
        <f t="shared" si="61"/>
        <v>644</v>
      </c>
      <c r="AV22" s="501">
        <f t="shared" si="62"/>
        <v>31</v>
      </c>
      <c r="AW22" s="170">
        <f t="shared" si="63"/>
        <v>293</v>
      </c>
      <c r="AX22" s="501">
        <f t="shared" si="64"/>
        <v>13</v>
      </c>
      <c r="AY22" s="501" t="str">
        <f t="shared" si="64"/>
        <v/>
      </c>
      <c r="AZ22" s="170">
        <f t="shared" si="39"/>
        <v>434</v>
      </c>
      <c r="BA22" s="170">
        <v>0</v>
      </c>
      <c r="BB22" s="170">
        <f>IF(EX22=0,"",(EX22-EX21))</f>
        <v>110.80000000001746</v>
      </c>
      <c r="BC22" s="170">
        <f t="shared" si="40"/>
        <v>785.60000000009313</v>
      </c>
      <c r="BD22" s="170">
        <f t="shared" si="41"/>
        <v>450</v>
      </c>
      <c r="BE22" s="90"/>
      <c r="BF22" s="90"/>
      <c r="BG22" s="501">
        <f t="shared" si="42"/>
        <v>1780.4000000001106</v>
      </c>
      <c r="BH22" s="501">
        <f t="shared" si="43"/>
        <v>963</v>
      </c>
      <c r="BI22" s="90">
        <f t="shared" si="10"/>
        <v>1488.9269999999797</v>
      </c>
      <c r="BJ22" s="90">
        <f t="shared" si="44"/>
        <v>5518.0730000000203</v>
      </c>
      <c r="BK22" s="92"/>
      <c r="BL22" s="331">
        <f>FD22+FN22</f>
        <v>7970</v>
      </c>
      <c r="BM22" s="93">
        <f t="shared" si="45"/>
        <v>138865</v>
      </c>
      <c r="BN22" s="92"/>
      <c r="BO22" s="94">
        <f t="shared" si="46"/>
        <v>0</v>
      </c>
      <c r="BP22" s="94">
        <f t="shared" si="46"/>
        <v>3.2696063947383505E-3</v>
      </c>
      <c r="BQ22" s="94">
        <f t="shared" si="47"/>
        <v>0.31505424918837721</v>
      </c>
      <c r="BR22" s="94">
        <f t="shared" si="66"/>
        <v>0.47853456892514307</v>
      </c>
      <c r="BS22" s="94">
        <f t="shared" ref="BS22:BU36" si="75">IF($N22&lt;&gt;0,IF($N22&lt;&gt;0,Y22/$N22*10,0)," ")</f>
        <v>0</v>
      </c>
      <c r="BT22" s="94">
        <f t="shared" si="75"/>
        <v>8.0833227795896023E-2</v>
      </c>
      <c r="BU22" s="95">
        <f t="shared" si="75"/>
        <v>0.79911877828897238</v>
      </c>
      <c r="BV22" s="94">
        <f t="shared" si="12"/>
        <v>0</v>
      </c>
      <c r="BW22" s="94">
        <f t="shared" si="12"/>
        <v>2.6678012348446099E-3</v>
      </c>
      <c r="BX22" s="94">
        <f t="shared" si="12"/>
        <v>0.25706522851814245</v>
      </c>
      <c r="BY22" s="94">
        <f t="shared" si="48"/>
        <v>0.39045529026024922</v>
      </c>
      <c r="BZ22" s="95">
        <f t="shared" si="13"/>
        <v>0.65203263210446472</v>
      </c>
      <c r="CA22" s="96" t="e">
        <f>#REF!</f>
        <v>#REF!</v>
      </c>
      <c r="CB22" s="94">
        <f t="shared" si="49"/>
        <v>4.0181336863280889E-2</v>
      </c>
      <c r="CC22" s="95">
        <f t="shared" si="49"/>
        <v>6.2191645770945894E-2</v>
      </c>
      <c r="CD22" s="97">
        <f t="shared" si="14"/>
        <v>0.10915256690430834</v>
      </c>
      <c r="CE22" s="98">
        <f t="shared" si="14"/>
        <v>0.16894355205253694</v>
      </c>
      <c r="CF22" s="97" t="str">
        <f t="shared" si="50"/>
        <v>0,00</v>
      </c>
      <c r="CG22" s="94" t="str">
        <f t="shared" si="50"/>
        <v>0,00</v>
      </c>
      <c r="CH22" s="95" t="str">
        <f t="shared" si="51"/>
        <v xml:space="preserve">0,00 </v>
      </c>
      <c r="CI22" s="96" t="e">
        <f>#REF!</f>
        <v>#REF!</v>
      </c>
      <c r="CJ22" s="94">
        <f t="shared" si="52"/>
        <v>0.22499999999999998</v>
      </c>
      <c r="CK22" s="94">
        <f t="shared" si="52"/>
        <v>0.17783333333332849</v>
      </c>
      <c r="CL22" s="95">
        <f t="shared" si="67"/>
        <v>0.48166666666666669</v>
      </c>
      <c r="CM22" s="95" t="e">
        <f>#REF!</f>
        <v>#REF!</v>
      </c>
      <c r="CN22" s="94">
        <f t="shared" si="53"/>
        <v>0.62174778083868998</v>
      </c>
      <c r="CO22" s="94">
        <f t="shared" si="53"/>
        <v>0.15822683909806862</v>
      </c>
      <c r="CP22" s="95">
        <f t="shared" si="54"/>
        <v>1.111971992653811</v>
      </c>
      <c r="CQ22" s="95" t="e">
        <f>#REF!</f>
        <v>#REF!</v>
      </c>
      <c r="CR22" s="97">
        <f t="shared" si="68"/>
        <v>0.11741591470548246</v>
      </c>
      <c r="CS22" s="95">
        <f t="shared" si="68"/>
        <v>0.16538672351581474</v>
      </c>
      <c r="CT22" s="96" t="e">
        <f>#REF!</f>
        <v>#REF!</v>
      </c>
      <c r="CU22" s="97">
        <f t="shared" si="69"/>
        <v>6.1238700974744285E-2</v>
      </c>
      <c r="CV22" s="95">
        <f t="shared" si="55"/>
        <v>6.9413097711204685E-2</v>
      </c>
      <c r="CW22" s="96" t="e">
        <f>#REF!</f>
        <v>#REF!</v>
      </c>
      <c r="CX22" s="97">
        <f t="shared" si="56"/>
        <v>0.24439032649200437</v>
      </c>
      <c r="CY22" s="98">
        <f t="shared" si="56"/>
        <v>1.1764130623062322E-2</v>
      </c>
      <c r="CZ22" s="97">
        <f t="shared" si="56"/>
        <v>0.11119000879216967</v>
      </c>
      <c r="DA22" s="98">
        <f t="shared" si="56"/>
        <v>4.9333450999938765E-3</v>
      </c>
      <c r="DB22" s="94">
        <f t="shared" si="15"/>
        <v>0.16469782872287247</v>
      </c>
      <c r="DC22" s="94">
        <f t="shared" si="16"/>
        <v>4.2047279775339057E-2</v>
      </c>
      <c r="DD22" s="94">
        <f t="shared" si="16"/>
        <v>0.29812583927351144</v>
      </c>
      <c r="DE22" s="94">
        <f t="shared" si="16"/>
        <v>0.17076963807671111</v>
      </c>
      <c r="DF22" s="94">
        <f t="shared" si="16"/>
        <v>0</v>
      </c>
      <c r="DG22" s="94">
        <f t="shared" si="16"/>
        <v>0</v>
      </c>
      <c r="DH22" s="95">
        <f t="shared" si="16"/>
        <v>0.67564058584843401</v>
      </c>
      <c r="DI22" s="96" t="e">
        <f>#REF!</f>
        <v>#REF!</v>
      </c>
      <c r="DJ22" s="95">
        <f t="shared" si="57"/>
        <v>0.3654470254841618</v>
      </c>
      <c r="DK22" s="96" t="e">
        <f>#REF!</f>
        <v>#REF!</v>
      </c>
      <c r="DL22" s="95">
        <f t="shared" si="58"/>
        <v>0.5650300553614217</v>
      </c>
      <c r="DM22" s="96">
        <f t="shared" si="17"/>
        <v>0</v>
      </c>
      <c r="DN22" s="94">
        <f t="shared" si="18"/>
        <v>2.0940429535352778</v>
      </c>
      <c r="DO22" s="100">
        <v>3.4</v>
      </c>
      <c r="DP22" s="94">
        <f t="shared" si="70"/>
        <v>3.0245200343808616</v>
      </c>
      <c r="DQ22" s="94">
        <f t="shared" si="71"/>
        <v>3.499456999515218</v>
      </c>
      <c r="DR22" s="101">
        <f t="shared" si="19"/>
        <v>2.95</v>
      </c>
      <c r="DS22" s="116"/>
      <c r="DT22" s="103">
        <v>17</v>
      </c>
      <c r="DU22" s="135">
        <v>645783</v>
      </c>
      <c r="DV22" s="361">
        <v>33141</v>
      </c>
      <c r="DW22" s="518">
        <v>5167883</v>
      </c>
      <c r="DX22" s="517">
        <v>127921</v>
      </c>
      <c r="DY22" s="518">
        <v>93470.7</v>
      </c>
      <c r="DZ22" s="518">
        <v>417427</v>
      </c>
      <c r="EA22" s="455">
        <v>252709</v>
      </c>
      <c r="EB22" s="455">
        <v>58185.4</v>
      </c>
      <c r="EC22" s="518">
        <v>434000</v>
      </c>
      <c r="ED22" s="518">
        <v>50374.3</v>
      </c>
      <c r="EE22" s="455">
        <v>42846.2</v>
      </c>
      <c r="EF22" s="136">
        <v>45097.7</v>
      </c>
      <c r="EG22" s="518">
        <v>97476.9</v>
      </c>
      <c r="EH22" s="518">
        <v>190954.6</v>
      </c>
      <c r="EI22" s="518">
        <v>36978</v>
      </c>
      <c r="EJ22" s="136">
        <v>45392</v>
      </c>
      <c r="EK22" s="136"/>
      <c r="EL22" s="135">
        <v>736231.7</v>
      </c>
      <c r="EM22" s="455">
        <v>6774</v>
      </c>
      <c r="EN22" s="455">
        <v>51357</v>
      </c>
      <c r="EO22" s="518">
        <v>3207824.9</v>
      </c>
      <c r="EP22" s="136">
        <v>2907614</v>
      </c>
      <c r="EQ22" s="136">
        <v>0</v>
      </c>
      <c r="ER22" s="136">
        <v>1738</v>
      </c>
      <c r="ES22" s="136">
        <v>476985</v>
      </c>
      <c r="ET22" s="136">
        <v>4288762</v>
      </c>
      <c r="EU22" s="136">
        <v>179030</v>
      </c>
      <c r="EV22" s="136">
        <v>496307</v>
      </c>
      <c r="EW22" s="136">
        <v>166089</v>
      </c>
      <c r="EX22" s="136">
        <v>232938.1</v>
      </c>
      <c r="EY22" s="136">
        <v>1777035.5</v>
      </c>
      <c r="EZ22" s="136">
        <v>855997.8</v>
      </c>
      <c r="FA22" s="145">
        <v>784343</v>
      </c>
      <c r="FB22" s="136">
        <v>32945.300000000003</v>
      </c>
      <c r="FC22" s="136">
        <v>7007</v>
      </c>
      <c r="FD22" s="77">
        <f t="shared" si="73"/>
        <v>5370</v>
      </c>
      <c r="FE22" s="456">
        <v>617</v>
      </c>
      <c r="FF22" s="456">
        <v>73</v>
      </c>
      <c r="FG22" s="136">
        <v>1420</v>
      </c>
      <c r="FH22" s="136">
        <v>939</v>
      </c>
      <c r="FI22" s="136">
        <v>522</v>
      </c>
      <c r="FJ22" s="136">
        <v>480</v>
      </c>
      <c r="FK22" s="456">
        <v>465</v>
      </c>
      <c r="FL22" s="136">
        <v>392</v>
      </c>
      <c r="FM22" s="136">
        <v>462</v>
      </c>
      <c r="FN22" s="80">
        <v>2600</v>
      </c>
      <c r="FO22" s="455"/>
      <c r="FP22" s="484"/>
      <c r="FR22" s="64"/>
      <c r="FS22" s="64"/>
      <c r="FT22" s="64"/>
      <c r="FU22" s="64"/>
      <c r="FV22" s="64"/>
      <c r="FW22" s="64"/>
      <c r="FX22" s="64"/>
      <c r="FY22" s="64">
        <v>17</v>
      </c>
      <c r="FZ22" s="107"/>
      <c r="GA22" s="107"/>
      <c r="GB22" s="107"/>
      <c r="GC22" s="109"/>
      <c r="GD22" s="110"/>
      <c r="GE22" s="110"/>
      <c r="GF22" s="111"/>
      <c r="GG22" s="111"/>
      <c r="GH22" s="111"/>
      <c r="GI22" s="164"/>
      <c r="GJ22" s="111" t="e">
        <f t="shared" si="59"/>
        <v>#DIV/0!</v>
      </c>
      <c r="GK22" s="118"/>
    </row>
    <row r="23" spans="1:193" s="119" customFormat="1" ht="15" customHeight="1">
      <c r="B23" s="351">
        <v>43087</v>
      </c>
      <c r="D23" s="128">
        <v>0</v>
      </c>
      <c r="E23" s="128">
        <v>5186.88</v>
      </c>
      <c r="F23" s="86">
        <v>2356.56</v>
      </c>
      <c r="G23" s="86">
        <v>4041.6319999999996</v>
      </c>
      <c r="H23" s="86">
        <v>9608.56</v>
      </c>
      <c r="I23" s="86">
        <v>1834.721</v>
      </c>
      <c r="J23" s="86">
        <v>4029.6</v>
      </c>
      <c r="K23" s="391">
        <v>0</v>
      </c>
      <c r="L23" s="284">
        <v>0</v>
      </c>
      <c r="M23" s="115">
        <f>I23+J23</f>
        <v>5864.3209999999999</v>
      </c>
      <c r="N23" s="88">
        <f>SUM(D23:H23)</f>
        <v>21193.631999999998</v>
      </c>
      <c r="O23" s="88">
        <f t="shared" si="74"/>
        <v>24125.792499999996</v>
      </c>
      <c r="P23" s="89">
        <f t="shared" si="21"/>
        <v>420944.49900000001</v>
      </c>
      <c r="R23" s="170">
        <f t="shared" si="22"/>
        <v>0</v>
      </c>
      <c r="S23" s="170">
        <f t="shared" si="23"/>
        <v>0</v>
      </c>
      <c r="T23" s="170">
        <f t="shared" si="2"/>
        <v>239.1</v>
      </c>
      <c r="U23" s="170">
        <f>IF(FB23=0,"",((EN23-EN22)/10))</f>
        <v>5.680000000000291</v>
      </c>
      <c r="V23" s="170">
        <f>IF(EO23=0,"",(EO23-EO22))</f>
        <v>1297.6000000000931</v>
      </c>
      <c r="W23" s="170">
        <f t="shared" si="3"/>
        <v>115</v>
      </c>
      <c r="X23" s="170">
        <f>IF(V23="","",V23)</f>
        <v>1297.6000000000931</v>
      </c>
      <c r="Y23" s="170">
        <f t="shared" si="26"/>
        <v>379.7</v>
      </c>
      <c r="Z23" s="170">
        <f t="shared" si="4"/>
        <v>113.2</v>
      </c>
      <c r="AA23" s="501">
        <f t="shared" si="27"/>
        <v>1542.3800000000933</v>
      </c>
      <c r="AB23" s="170">
        <f t="shared" si="28"/>
        <v>73</v>
      </c>
      <c r="AC23" s="170">
        <f t="shared" si="28"/>
        <v>60</v>
      </c>
      <c r="AD23" s="501">
        <f t="shared" si="5"/>
        <v>205</v>
      </c>
      <c r="AE23" s="501">
        <f t="shared" si="29"/>
        <v>72</v>
      </c>
      <c r="AF23" s="170">
        <f>IF(DX23=0,"",(DX23-DX22))</f>
        <v>134</v>
      </c>
      <c r="AG23" s="170">
        <f t="shared" si="30"/>
        <v>60.100000000005821</v>
      </c>
      <c r="AH23" s="501">
        <f t="shared" si="6"/>
        <v>227</v>
      </c>
      <c r="AI23" s="501">
        <f t="shared" si="31"/>
        <v>32.899999999994179</v>
      </c>
      <c r="AJ23" s="170">
        <f t="shared" si="32"/>
        <v>154</v>
      </c>
      <c r="AK23" s="170">
        <f t="shared" si="32"/>
        <v>61.799999999995634</v>
      </c>
      <c r="AL23" s="501">
        <f t="shared" si="7"/>
        <v>303</v>
      </c>
      <c r="AM23" s="501">
        <f t="shared" si="33"/>
        <v>87.200000000004366</v>
      </c>
      <c r="AN23" s="170">
        <f t="shared" si="34"/>
        <v>44.5</v>
      </c>
      <c r="AO23" s="501">
        <f>IF(AN23="","",(EE23-EE22)+(EF23-EF22))</f>
        <v>58.900000000008731</v>
      </c>
      <c r="AP23" s="170">
        <f t="shared" si="35"/>
        <v>29.400000000008731</v>
      </c>
      <c r="AQ23" s="501">
        <f>IF(AP23=0.1,0,(IF(AP23&gt;=(EH23-EH22),(AP23),(EH23-EH22))))</f>
        <v>43.600000000005821</v>
      </c>
      <c r="AR23" s="170">
        <f>IF(ET23=0,"",(ET23-ET22)/1000)</f>
        <v>77.666099999999631</v>
      </c>
      <c r="AS23" s="501">
        <f>IF(AR23="","",(ES23-ES22)+((ET23-ET22)/1000)-AW23-AU23)</f>
        <v>51.666099999999687</v>
      </c>
      <c r="AT23" s="501">
        <f t="shared" si="38"/>
        <v>697.66609999999969</v>
      </c>
      <c r="AU23" s="170">
        <f t="shared" si="61"/>
        <v>372</v>
      </c>
      <c r="AV23" s="501">
        <f t="shared" si="62"/>
        <v>13</v>
      </c>
      <c r="AW23" s="170">
        <f t="shared" si="63"/>
        <v>274</v>
      </c>
      <c r="AX23" s="501">
        <f>IF(EJ23=0,"",(EJ23-EJ22))</f>
        <v>43</v>
      </c>
      <c r="AY23" s="501" t="str">
        <f t="shared" si="64"/>
        <v/>
      </c>
      <c r="AZ23" s="170">
        <f t="shared" si="39"/>
        <v>313</v>
      </c>
      <c r="BA23" s="170">
        <v>123.3</v>
      </c>
      <c r="BB23" s="170">
        <f t="shared" si="40"/>
        <v>126.19999999998254</v>
      </c>
      <c r="BC23" s="170">
        <f t="shared" si="40"/>
        <v>1070.5</v>
      </c>
      <c r="BD23" s="170">
        <f t="shared" si="41"/>
        <v>361</v>
      </c>
      <c r="BE23" s="90"/>
      <c r="BF23" s="90"/>
      <c r="BG23" s="501">
        <f t="shared" si="42"/>
        <v>1870.6999999999825</v>
      </c>
      <c r="BH23" s="501">
        <f>BL23-FC23</f>
        <v>773</v>
      </c>
      <c r="BI23" s="90">
        <f>IF(FC23=0,"",(FC23-BJ23))</f>
        <v>1981.7538999999097</v>
      </c>
      <c r="BJ23" s="90">
        <f t="shared" si="44"/>
        <v>5004.2461000000903</v>
      </c>
      <c r="BK23" s="92"/>
      <c r="BL23" s="331">
        <f t="shared" si="65"/>
        <v>7759</v>
      </c>
      <c r="BM23" s="93">
        <f>BL23+BM22</f>
        <v>146624</v>
      </c>
      <c r="BN23" s="92"/>
      <c r="BO23" s="94">
        <f t="shared" si="46"/>
        <v>0</v>
      </c>
      <c r="BP23" s="94">
        <f t="shared" si="46"/>
        <v>0</v>
      </c>
      <c r="BQ23" s="94">
        <f t="shared" si="47"/>
        <v>0.11281690651229578</v>
      </c>
      <c r="BR23" s="94">
        <f t="shared" si="66"/>
        <v>0.61225938055359896</v>
      </c>
      <c r="BS23" s="94">
        <f t="shared" si="75"/>
        <v>0.17915758846808325</v>
      </c>
      <c r="BT23" s="94">
        <f>IF($N23&lt;&gt;0,IF($N23&lt;&gt;0,Z23/$N23*10,0)," ")</f>
        <v>5.3412270251743554E-2</v>
      </c>
      <c r="BU23" s="95">
        <f t="shared" si="75"/>
        <v>0.72775633737534617</v>
      </c>
      <c r="BV23" s="94">
        <f t="shared" si="12"/>
        <v>0</v>
      </c>
      <c r="BW23" s="94">
        <f t="shared" si="12"/>
        <v>0</v>
      </c>
      <c r="BX23" s="94">
        <f t="shared" si="12"/>
        <v>9.9105552698424332E-2</v>
      </c>
      <c r="BY23" s="94">
        <f t="shared" si="48"/>
        <v>0.53784761681925819</v>
      </c>
      <c r="BZ23" s="95">
        <f t="shared" si="13"/>
        <v>0.63930749632373463</v>
      </c>
      <c r="CA23" s="96" t="e">
        <f>#REF!</f>
        <v>#REF!</v>
      </c>
      <c r="CB23" s="94">
        <f t="shared" si="49"/>
        <v>3.2192144568929555E-2</v>
      </c>
      <c r="CC23" s="95">
        <f t="shared" si="49"/>
        <v>2.1415296513057423E-2</v>
      </c>
      <c r="CD23" s="97">
        <f t="shared" si="14"/>
        <v>0.13243835049275038</v>
      </c>
      <c r="CE23" s="98">
        <f t="shared" si="14"/>
        <v>8.8102441868376041E-2</v>
      </c>
      <c r="CF23" s="97" t="str">
        <f t="shared" si="50"/>
        <v>0,00</v>
      </c>
      <c r="CG23" s="94" t="str">
        <f t="shared" si="50"/>
        <v>0,00</v>
      </c>
      <c r="CH23" s="95" t="str">
        <f t="shared" si="51"/>
        <v xml:space="preserve">0,00 </v>
      </c>
      <c r="CI23" s="96" t="e">
        <f>#REF!</f>
        <v>#REF!</v>
      </c>
      <c r="CJ23" s="94">
        <f t="shared" si="52"/>
        <v>0.25834412980442967</v>
      </c>
      <c r="CK23" s="94">
        <f t="shared" si="52"/>
        <v>0.1158692701585651</v>
      </c>
      <c r="CL23" s="95">
        <f t="shared" si="67"/>
        <v>0.43764266765377258</v>
      </c>
      <c r="CM23" s="95" t="e">
        <f>#REF!</f>
        <v>#REF!</v>
      </c>
      <c r="CN23" s="94">
        <f t="shared" si="53"/>
        <v>0.65349492480564886</v>
      </c>
      <c r="CO23" s="94">
        <f t="shared" si="53"/>
        <v>0.26224666462978086</v>
      </c>
      <c r="CP23" s="95">
        <f t="shared" si="54"/>
        <v>1.2857724819228027</v>
      </c>
      <c r="CQ23" s="95" t="e">
        <f>#REF!</f>
        <v>#REF!</v>
      </c>
      <c r="CR23" s="97">
        <f t="shared" si="68"/>
        <v>0.11010403718101995</v>
      </c>
      <c r="CS23" s="95">
        <f t="shared" si="68"/>
        <v>0.1457332087632143</v>
      </c>
      <c r="CT23" s="96" t="e">
        <f>#REF!</f>
        <v>#REF!</v>
      </c>
      <c r="CU23" s="97">
        <f t="shared" si="69"/>
        <v>3.0597717035652304E-2</v>
      </c>
      <c r="CV23" s="95">
        <f t="shared" si="55"/>
        <v>4.5376206216130019E-2</v>
      </c>
      <c r="CW23" s="96" t="e">
        <f>#REF!</f>
        <v>#REF!</v>
      </c>
      <c r="CX23" s="99">
        <f t="shared" si="56"/>
        <v>0.15419182603017084</v>
      </c>
      <c r="CY23" s="95">
        <f t="shared" si="56"/>
        <v>5.3884240279360781E-3</v>
      </c>
      <c r="CZ23" s="99">
        <f t="shared" si="56"/>
        <v>0.11357139874265272</v>
      </c>
      <c r="DA23" s="95">
        <f t="shared" si="56"/>
        <v>1.7823248707788567E-2</v>
      </c>
      <c r="DB23" s="94">
        <f t="shared" si="15"/>
        <v>0.12973667082646095</v>
      </c>
      <c r="DC23" s="94">
        <f t="shared" si="16"/>
        <v>5.2309162486572226E-2</v>
      </c>
      <c r="DD23" s="94">
        <f t="shared" si="16"/>
        <v>0.44371599399273626</v>
      </c>
      <c r="DE23" s="94">
        <f t="shared" si="16"/>
        <v>0.14963239031422493</v>
      </c>
      <c r="DF23" s="94">
        <f t="shared" si="16"/>
        <v>0</v>
      </c>
      <c r="DG23" s="94">
        <f t="shared" si="16"/>
        <v>0</v>
      </c>
      <c r="DH23" s="95">
        <f t="shared" si="16"/>
        <v>0.77539421761999439</v>
      </c>
      <c r="DI23" s="96" t="e">
        <f>#REF!</f>
        <v>#REF!</v>
      </c>
      <c r="DJ23" s="95">
        <f t="shared" si="57"/>
        <v>0.32040398258419911</v>
      </c>
      <c r="DK23" s="96" t="e">
        <f>#REF!</f>
        <v>#REF!</v>
      </c>
      <c r="DL23" s="95">
        <f t="shared" si="58"/>
        <v>0.82142541017042658</v>
      </c>
      <c r="DM23" s="96">
        <f t="shared" si="17"/>
        <v>0</v>
      </c>
      <c r="DN23" s="94">
        <f t="shared" si="18"/>
        <v>2.0742307636112227</v>
      </c>
      <c r="DO23" s="100">
        <v>3.4</v>
      </c>
      <c r="DP23" s="94">
        <f>IF($O23&lt;&gt;0,IF($O23&lt;&gt;0,BL23/$O23*10,0)," ")</f>
        <v>3.2160601563658489</v>
      </c>
      <c r="DQ23" s="94">
        <f>IF($P23&lt;&gt;0,IF($P23&lt;&gt;0,BM23/$P23*10,0)," ")</f>
        <v>3.4832145413070235</v>
      </c>
      <c r="DR23" s="101">
        <f t="shared" si="19"/>
        <v>2.95</v>
      </c>
      <c r="DS23" s="171"/>
      <c r="DT23" s="103">
        <v>18</v>
      </c>
      <c r="DU23" s="373">
        <v>645856</v>
      </c>
      <c r="DV23" s="135">
        <v>33201</v>
      </c>
      <c r="DW23" s="373">
        <v>5168015</v>
      </c>
      <c r="DX23" s="373">
        <v>128055</v>
      </c>
      <c r="DY23" s="373">
        <v>93530.8</v>
      </c>
      <c r="DZ23" s="373">
        <v>417520</v>
      </c>
      <c r="EA23" s="373">
        <v>252863</v>
      </c>
      <c r="EB23" s="373">
        <v>58247.199999999997</v>
      </c>
      <c r="EC23" s="373">
        <v>434149</v>
      </c>
      <c r="ED23" s="373">
        <v>50418.8</v>
      </c>
      <c r="EE23" s="521">
        <v>42864</v>
      </c>
      <c r="EF23" s="373">
        <v>45138.8</v>
      </c>
      <c r="EG23" s="373">
        <v>97506.3</v>
      </c>
      <c r="EH23" s="373">
        <v>190998.2</v>
      </c>
      <c r="EI23" s="373">
        <v>36991</v>
      </c>
      <c r="EJ23" s="373">
        <v>45435</v>
      </c>
      <c r="EK23" s="330"/>
      <c r="EL23" s="135">
        <v>736231.7</v>
      </c>
      <c r="EM23" s="373">
        <v>2391</v>
      </c>
      <c r="EN23" s="373">
        <v>51413.8</v>
      </c>
      <c r="EO23" s="373">
        <v>3209122.5</v>
      </c>
      <c r="EP23" s="373">
        <v>2908764</v>
      </c>
      <c r="EQ23" s="373">
        <v>3797</v>
      </c>
      <c r="ER23" s="373">
        <v>1132</v>
      </c>
      <c r="ES23" s="373">
        <v>477605</v>
      </c>
      <c r="ET23" s="373">
        <v>4366428.0999999996</v>
      </c>
      <c r="EU23" s="373">
        <v>179304</v>
      </c>
      <c r="EV23" s="373">
        <v>496679</v>
      </c>
      <c r="EW23" s="373">
        <v>166402</v>
      </c>
      <c r="EX23" s="373">
        <v>233064.3</v>
      </c>
      <c r="EY23" s="373">
        <v>1778106</v>
      </c>
      <c r="EZ23" s="521">
        <v>855997.8</v>
      </c>
      <c r="FA23" s="373">
        <v>784704</v>
      </c>
      <c r="FB23" s="136">
        <v>33074</v>
      </c>
      <c r="FC23" s="136">
        <v>6986</v>
      </c>
      <c r="FD23" s="77">
        <f>SUM(FE23:FM23)</f>
        <v>5159</v>
      </c>
      <c r="FE23" s="456">
        <v>626</v>
      </c>
      <c r="FF23" s="456">
        <v>75</v>
      </c>
      <c r="FG23" s="136">
        <v>1864</v>
      </c>
      <c r="FH23" s="136">
        <v>723</v>
      </c>
      <c r="FI23" s="136">
        <v>527</v>
      </c>
      <c r="FJ23" s="136">
        <v>442</v>
      </c>
      <c r="FK23" s="136">
        <v>582</v>
      </c>
      <c r="FL23" s="136">
        <v>0</v>
      </c>
      <c r="FM23" s="136">
        <v>320</v>
      </c>
      <c r="FN23" s="303">
        <v>2600</v>
      </c>
      <c r="FO23" s="104"/>
      <c r="FP23" s="487"/>
      <c r="FY23" s="119">
        <v>18</v>
      </c>
      <c r="FZ23" s="107"/>
      <c r="GA23" s="107"/>
      <c r="GB23" s="107"/>
      <c r="GC23" s="109"/>
      <c r="GD23" s="110"/>
      <c r="GE23" s="110"/>
      <c r="GF23" s="111"/>
      <c r="GG23" s="111"/>
      <c r="GH23" s="111"/>
      <c r="GI23" s="164"/>
      <c r="GJ23" s="111" t="e">
        <f t="shared" si="59"/>
        <v>#DIV/0!</v>
      </c>
    </row>
    <row r="24" spans="1:193" s="119" customFormat="1" ht="15" customHeight="1">
      <c r="B24" s="351">
        <v>43088</v>
      </c>
      <c r="D24" s="128">
        <v>6420</v>
      </c>
      <c r="E24" s="128">
        <v>4530</v>
      </c>
      <c r="F24" s="86">
        <v>2492.9279999999999</v>
      </c>
      <c r="G24" s="86">
        <v>2196.5619999999999</v>
      </c>
      <c r="H24" s="86">
        <v>6370.5159999999996</v>
      </c>
      <c r="I24" s="86">
        <v>1719.7950000000001</v>
      </c>
      <c r="J24" s="86">
        <v>5982.15</v>
      </c>
      <c r="K24" s="284">
        <v>11.04</v>
      </c>
      <c r="L24" s="284">
        <v>136.27000000000001</v>
      </c>
      <c r="M24" s="115">
        <f t="shared" si="60"/>
        <v>7701.9449999999997</v>
      </c>
      <c r="N24" s="88">
        <f t="shared" si="20"/>
        <v>22010.006000000001</v>
      </c>
      <c r="O24" s="88">
        <f>(N24+L24+K24+((J24+I24)*0.5))+1068</f>
        <v>27076.288500000002</v>
      </c>
      <c r="P24" s="89">
        <f t="shared" si="21"/>
        <v>448020.78750000003</v>
      </c>
      <c r="R24" s="170">
        <f t="shared" si="22"/>
        <v>0</v>
      </c>
      <c r="S24" s="170">
        <f t="shared" si="23"/>
        <v>29.569999999995343</v>
      </c>
      <c r="T24" s="170">
        <f t="shared" si="2"/>
        <v>393.3</v>
      </c>
      <c r="U24" s="170">
        <f>IF(FB24=0,"",((EN24-EN23)/10))</f>
        <v>5.6299999999995638</v>
      </c>
      <c r="V24" s="170">
        <f t="shared" si="24"/>
        <v>1349.1000000000931</v>
      </c>
      <c r="W24" s="170">
        <f t="shared" si="3"/>
        <v>119.4</v>
      </c>
      <c r="X24" s="170">
        <f t="shared" si="25"/>
        <v>1349.1000000000931</v>
      </c>
      <c r="Y24" s="170">
        <f t="shared" si="26"/>
        <v>309.10000000000002</v>
      </c>
      <c r="Z24" s="170">
        <f t="shared" si="4"/>
        <v>133.1</v>
      </c>
      <c r="AA24" s="501">
        <f t="shared" si="27"/>
        <v>1777.6000000000881</v>
      </c>
      <c r="AB24" s="170">
        <f t="shared" si="28"/>
        <v>213</v>
      </c>
      <c r="AC24" s="170">
        <f t="shared" si="28"/>
        <v>39</v>
      </c>
      <c r="AD24" s="501">
        <f t="shared" si="5"/>
        <v>388</v>
      </c>
      <c r="AE24" s="501">
        <f t="shared" si="29"/>
        <v>136</v>
      </c>
      <c r="AF24" s="170">
        <f t="shared" si="30"/>
        <v>123</v>
      </c>
      <c r="AG24" s="170">
        <f t="shared" si="30"/>
        <v>16.69999999999709</v>
      </c>
      <c r="AH24" s="501">
        <f t="shared" si="6"/>
        <v>265</v>
      </c>
      <c r="AI24" s="501">
        <f t="shared" si="31"/>
        <v>125.30000000000291</v>
      </c>
      <c r="AJ24" s="170">
        <f t="shared" si="32"/>
        <v>187</v>
      </c>
      <c r="AK24" s="170">
        <f t="shared" si="32"/>
        <v>22.900000000001455</v>
      </c>
      <c r="AL24" s="501">
        <f t="shared" si="7"/>
        <v>316</v>
      </c>
      <c r="AM24" s="501">
        <f t="shared" si="33"/>
        <v>106.09999999999854</v>
      </c>
      <c r="AN24" s="170">
        <f t="shared" si="34"/>
        <v>92.399999999994179</v>
      </c>
      <c r="AO24" s="501">
        <f t="shared" si="8"/>
        <v>113.09999999999854</v>
      </c>
      <c r="AP24" s="170">
        <f t="shared" si="35"/>
        <v>84.099999999991269</v>
      </c>
      <c r="AQ24" s="501">
        <f t="shared" si="9"/>
        <v>134.69999999998254</v>
      </c>
      <c r="AR24" s="170">
        <f t="shared" si="36"/>
        <v>118.05590000000038</v>
      </c>
      <c r="AS24" s="501">
        <f t="shared" si="37"/>
        <v>207.05590000000029</v>
      </c>
      <c r="AT24" s="501">
        <f t="shared" si="38"/>
        <v>1058.0559000000003</v>
      </c>
      <c r="AU24" s="170">
        <f t="shared" si="61"/>
        <v>588</v>
      </c>
      <c r="AV24" s="501">
        <f t="shared" si="62"/>
        <v>34</v>
      </c>
      <c r="AW24" s="170">
        <f t="shared" si="63"/>
        <v>263</v>
      </c>
      <c r="AX24" s="501">
        <f t="shared" si="64"/>
        <v>19</v>
      </c>
      <c r="AY24" s="501" t="str">
        <f t="shared" si="64"/>
        <v/>
      </c>
      <c r="AZ24" s="170">
        <f t="shared" si="39"/>
        <v>346</v>
      </c>
      <c r="BA24" s="170">
        <v>83.3</v>
      </c>
      <c r="BB24" s="170">
        <f t="shared" si="40"/>
        <v>158</v>
      </c>
      <c r="BC24" s="170">
        <f t="shared" si="40"/>
        <v>1026.6000000000931</v>
      </c>
      <c r="BD24" s="170">
        <f t="shared" si="41"/>
        <v>37</v>
      </c>
      <c r="BE24" s="90"/>
      <c r="BF24" s="90"/>
      <c r="BG24" s="501">
        <f t="shared" si="42"/>
        <v>1567.6000000000931</v>
      </c>
      <c r="BH24" s="501">
        <f t="shared" si="43"/>
        <v>569</v>
      </c>
      <c r="BI24" s="90">
        <f t="shared" si="10"/>
        <v>968.94409999983782</v>
      </c>
      <c r="BJ24" s="90">
        <f t="shared" si="44"/>
        <v>5673.0559000001622</v>
      </c>
      <c r="BK24" s="92"/>
      <c r="BL24" s="331">
        <f t="shared" si="65"/>
        <v>7211</v>
      </c>
      <c r="BM24" s="93">
        <f t="shared" si="45"/>
        <v>153835</v>
      </c>
      <c r="BN24" s="92"/>
      <c r="BO24" s="94">
        <f t="shared" si="46"/>
        <v>0</v>
      </c>
      <c r="BP24" s="94">
        <f t="shared" si="46"/>
        <v>1.3434798700189059E-2</v>
      </c>
      <c r="BQ24" s="94">
        <f t="shared" si="47"/>
        <v>0.17869145514998949</v>
      </c>
      <c r="BR24" s="94">
        <f t="shared" si="66"/>
        <v>0.61294849260835871</v>
      </c>
      <c r="BS24" s="94">
        <f t="shared" si="75"/>
        <v>0.14043612709601261</v>
      </c>
      <c r="BT24" s="94">
        <f t="shared" si="75"/>
        <v>6.0472496009315028E-2</v>
      </c>
      <c r="BU24" s="95">
        <f t="shared" si="75"/>
        <v>0.8076326739756855</v>
      </c>
      <c r="BV24" s="94">
        <f t="shared" si="12"/>
        <v>0</v>
      </c>
      <c r="BW24" s="94">
        <f t="shared" si="12"/>
        <v>1.0920994581659646E-2</v>
      </c>
      <c r="BX24" s="94">
        <f t="shared" si="12"/>
        <v>0.1452562451460066</v>
      </c>
      <c r="BY24" s="94">
        <f t="shared" si="48"/>
        <v>0.49825883632466583</v>
      </c>
      <c r="BZ24" s="95">
        <f t="shared" si="13"/>
        <v>0.65651538614684513</v>
      </c>
      <c r="CA24" s="96" t="e">
        <f>#REF!</f>
        <v>#REF!</v>
      </c>
      <c r="CB24" s="94">
        <f t="shared" si="49"/>
        <v>4.3601212182386218E-2</v>
      </c>
      <c r="CC24" s="95">
        <f t="shared" si="49"/>
        <v>7.6471300710213769E-2</v>
      </c>
      <c r="CD24" s="97">
        <f t="shared" si="14"/>
        <v>0.15328063235974859</v>
      </c>
      <c r="CE24" s="98">
        <f t="shared" si="14"/>
        <v>0.26883585899405971</v>
      </c>
      <c r="CF24" s="97">
        <f t="shared" si="50"/>
        <v>0.33177570093457948</v>
      </c>
      <c r="CG24" s="94">
        <f t="shared" si="50"/>
        <v>6.0747663551401869E-2</v>
      </c>
      <c r="CH24" s="95">
        <f t="shared" si="51"/>
        <v>0.60436137071651086</v>
      </c>
      <c r="CI24" s="96" t="e">
        <f>#REF!</f>
        <v>#REF!</v>
      </c>
      <c r="CJ24" s="94">
        <f t="shared" si="52"/>
        <v>0.27152317880794702</v>
      </c>
      <c r="CK24" s="94">
        <f t="shared" si="52"/>
        <v>3.6865342163348983E-2</v>
      </c>
      <c r="CL24" s="95">
        <f t="shared" si="67"/>
        <v>0.58498896247240617</v>
      </c>
      <c r="CM24" s="95" t="e">
        <f>#REF!</f>
        <v>#REF!</v>
      </c>
      <c r="CN24" s="94">
        <f t="shared" si="53"/>
        <v>0.75012194495789686</v>
      </c>
      <c r="CO24" s="94">
        <f t="shared" si="53"/>
        <v>9.1859853152603921E-2</v>
      </c>
      <c r="CP24" s="95">
        <f t="shared" si="54"/>
        <v>1.2675857465598686</v>
      </c>
      <c r="CQ24" s="95" t="e">
        <f>#REF!</f>
        <v>#REF!</v>
      </c>
      <c r="CR24" s="97">
        <f t="shared" si="68"/>
        <v>0.42065737274884196</v>
      </c>
      <c r="CS24" s="95">
        <f t="shared" si="68"/>
        <v>0.51489555041013435</v>
      </c>
      <c r="CT24" s="96" t="e">
        <f>#REF!</f>
        <v>#REF!</v>
      </c>
      <c r="CU24" s="97">
        <f t="shared" si="69"/>
        <v>0.13201442394931787</v>
      </c>
      <c r="CV24" s="95">
        <f t="shared" si="55"/>
        <v>0.21144284073689248</v>
      </c>
      <c r="CW24" s="96" t="e">
        <f>#REF!</f>
        <v>#REF!</v>
      </c>
      <c r="CX24" s="99">
        <f t="shared" si="56"/>
        <v>0.21716418038609683</v>
      </c>
      <c r="CY24" s="95">
        <f t="shared" si="56"/>
        <v>1.2557112471304919E-2</v>
      </c>
      <c r="CZ24" s="99">
        <f t="shared" si="56"/>
        <v>9.713295823391746E-2</v>
      </c>
      <c r="DA24" s="95">
        <f t="shared" si="56"/>
        <v>7.0172099104351023E-3</v>
      </c>
      <c r="DB24" s="94">
        <f t="shared" si="15"/>
        <v>0.12778708573739711</v>
      </c>
      <c r="DC24" s="94">
        <f t="shared" si="16"/>
        <v>5.8353640307828747E-2</v>
      </c>
      <c r="DD24" s="94">
        <f t="shared" si="16"/>
        <v>0.37915093126596472</v>
      </c>
      <c r="DE24" s="94">
        <f t="shared" si="16"/>
        <v>1.3665092983478882E-2</v>
      </c>
      <c r="DF24" s="94">
        <f t="shared" si="16"/>
        <v>0</v>
      </c>
      <c r="DG24" s="94">
        <f t="shared" si="16"/>
        <v>0</v>
      </c>
      <c r="DH24" s="95">
        <f t="shared" si="16"/>
        <v>0.57895675029466942</v>
      </c>
      <c r="DI24" s="96" t="e">
        <f>#REF!</f>
        <v>#REF!</v>
      </c>
      <c r="DJ24" s="95">
        <f t="shared" si="57"/>
        <v>0.21014697047566175</v>
      </c>
      <c r="DK24" s="96" t="e">
        <f>#REF!</f>
        <v>#REF!</v>
      </c>
      <c r="DL24" s="95">
        <f t="shared" si="58"/>
        <v>0.35785706006192014</v>
      </c>
      <c r="DM24" s="96">
        <f t="shared" si="17"/>
        <v>0</v>
      </c>
      <c r="DN24" s="94">
        <f t="shared" si="18"/>
        <v>2.0952117938912354</v>
      </c>
      <c r="DO24" s="100">
        <v>3.4</v>
      </c>
      <c r="DP24" s="94">
        <f>IF($O24&lt;&gt;0,IF($O24&lt;&gt;0,BL24/$O24*10,0)," ")</f>
        <v>2.6632158244288169</v>
      </c>
      <c r="DQ24" s="94">
        <f t="shared" si="71"/>
        <v>3.433657640271881</v>
      </c>
      <c r="DR24" s="101">
        <f t="shared" si="19"/>
        <v>2.95</v>
      </c>
      <c r="DT24" s="103">
        <v>19</v>
      </c>
      <c r="DU24" s="373">
        <v>646069</v>
      </c>
      <c r="DV24" s="373">
        <v>33240</v>
      </c>
      <c r="DW24" s="373">
        <v>5168190</v>
      </c>
      <c r="DX24" s="373">
        <v>128178</v>
      </c>
      <c r="DY24" s="373">
        <v>93547.5</v>
      </c>
      <c r="DZ24" s="373">
        <v>417662</v>
      </c>
      <c r="EA24" s="373">
        <v>253050</v>
      </c>
      <c r="EB24" s="373">
        <v>58270.1</v>
      </c>
      <c r="EC24" s="373">
        <v>434278</v>
      </c>
      <c r="ED24" s="373">
        <v>50511.199999999997</v>
      </c>
      <c r="EE24" s="373">
        <v>42871.4</v>
      </c>
      <c r="EF24" s="373">
        <v>45244.5</v>
      </c>
      <c r="EG24" s="373">
        <v>97590.399999999994</v>
      </c>
      <c r="EH24" s="373">
        <v>191132.9</v>
      </c>
      <c r="EI24" s="373">
        <v>37025</v>
      </c>
      <c r="EJ24" s="373">
        <v>45454</v>
      </c>
      <c r="EK24" s="330"/>
      <c r="EL24" s="135">
        <v>736231.7</v>
      </c>
      <c r="EM24" s="373">
        <v>3933</v>
      </c>
      <c r="EN24" s="373">
        <v>51470.1</v>
      </c>
      <c r="EO24" s="373">
        <v>3210471.6</v>
      </c>
      <c r="EP24" s="373">
        <v>2909958</v>
      </c>
      <c r="EQ24" s="330">
        <v>3091</v>
      </c>
      <c r="ER24" s="373">
        <v>1331</v>
      </c>
      <c r="ES24" s="373">
        <v>478545</v>
      </c>
      <c r="ET24" s="373">
        <v>4484484</v>
      </c>
      <c r="EU24" s="373">
        <v>179567</v>
      </c>
      <c r="EV24" s="373">
        <v>497267</v>
      </c>
      <c r="EW24" s="373">
        <v>166748</v>
      </c>
      <c r="EX24" s="373">
        <v>233222.3</v>
      </c>
      <c r="EY24" s="373">
        <v>1779132.6</v>
      </c>
      <c r="EZ24" s="521">
        <v>856293.5</v>
      </c>
      <c r="FA24" s="373">
        <v>784741</v>
      </c>
      <c r="FB24" s="136">
        <v>33163.300000000003</v>
      </c>
      <c r="FC24" s="136">
        <v>6642</v>
      </c>
      <c r="FD24" s="303">
        <f t="shared" si="73"/>
        <v>4234</v>
      </c>
      <c r="FE24" s="456">
        <v>626</v>
      </c>
      <c r="FF24" s="456">
        <v>77</v>
      </c>
      <c r="FG24" s="136">
        <v>996</v>
      </c>
      <c r="FH24" s="136">
        <v>822</v>
      </c>
      <c r="FI24" s="136">
        <v>512</v>
      </c>
      <c r="FJ24" s="136">
        <v>230</v>
      </c>
      <c r="FK24" s="136">
        <v>468</v>
      </c>
      <c r="FL24" s="136">
        <v>503</v>
      </c>
      <c r="FM24" s="136">
        <v>0</v>
      </c>
      <c r="FN24" s="80">
        <v>2977</v>
      </c>
      <c r="FO24" s="104">
        <v>1267944</v>
      </c>
      <c r="FP24" s="487"/>
      <c r="FY24" s="119">
        <v>19</v>
      </c>
      <c r="FZ24" s="107"/>
      <c r="GA24" s="107"/>
      <c r="GB24" s="107"/>
      <c r="GC24" s="109"/>
      <c r="GD24" s="110"/>
      <c r="GE24" s="110"/>
      <c r="GF24" s="111"/>
      <c r="GG24" s="111"/>
      <c r="GH24" s="111"/>
      <c r="GI24" s="164"/>
      <c r="GJ24" s="111" t="e">
        <f t="shared" si="59"/>
        <v>#DIV/0!</v>
      </c>
    </row>
    <row r="25" spans="1:193" ht="15" customHeight="1">
      <c r="B25" s="351">
        <v>43089</v>
      </c>
      <c r="D25" s="86">
        <v>5808</v>
      </c>
      <c r="E25" s="86">
        <v>0</v>
      </c>
      <c r="F25" s="86">
        <v>2506.4639999999999</v>
      </c>
      <c r="G25" s="86">
        <v>4074.5839999999998</v>
      </c>
      <c r="H25" s="86">
        <v>8498.4480000000003</v>
      </c>
      <c r="I25" s="86">
        <v>1649.1790000000001</v>
      </c>
      <c r="J25" s="86">
        <v>4636.5300000000007</v>
      </c>
      <c r="K25" s="284">
        <v>19.490000000000002</v>
      </c>
      <c r="L25" s="284">
        <v>136.24</v>
      </c>
      <c r="M25" s="115">
        <f>I25+J25</f>
        <v>6285.7090000000007</v>
      </c>
      <c r="N25" s="88">
        <f>SUM(D25:H25)</f>
        <v>20887.495999999999</v>
      </c>
      <c r="O25" s="88">
        <f>(N25+L25+K25+((J25+I25)*0.5))+178</f>
        <v>24364.080500000004</v>
      </c>
      <c r="P25" s="89">
        <f t="shared" si="21"/>
        <v>472384.86800000002</v>
      </c>
      <c r="R25" s="170">
        <f t="shared" si="22"/>
        <v>0</v>
      </c>
      <c r="S25" s="170">
        <f t="shared" si="23"/>
        <v>0</v>
      </c>
      <c r="T25" s="170">
        <f t="shared" si="2"/>
        <v>591.4</v>
      </c>
      <c r="U25" s="170">
        <f t="shared" si="72"/>
        <v>6.8300000000002914</v>
      </c>
      <c r="V25" s="170">
        <f t="shared" si="24"/>
        <v>1322.1000000000931</v>
      </c>
      <c r="W25" s="170">
        <f t="shared" si="3"/>
        <v>117.2</v>
      </c>
      <c r="X25" s="170">
        <f t="shared" si="25"/>
        <v>1322.1000000000931</v>
      </c>
      <c r="Y25" s="170">
        <f t="shared" si="26"/>
        <v>324.8</v>
      </c>
      <c r="Z25" s="170">
        <f t="shared" si="4"/>
        <v>139.6</v>
      </c>
      <c r="AA25" s="501">
        <f t="shared" si="27"/>
        <v>1920.3300000000934</v>
      </c>
      <c r="AB25" s="170">
        <f t="shared" si="28"/>
        <v>204</v>
      </c>
      <c r="AC25" s="170">
        <f t="shared" si="28"/>
        <v>38</v>
      </c>
      <c r="AD25" s="501">
        <f t="shared" si="5"/>
        <v>445</v>
      </c>
      <c r="AE25" s="501">
        <f t="shared" si="29"/>
        <v>203</v>
      </c>
      <c r="AF25" s="170">
        <f t="shared" si="30"/>
        <v>15</v>
      </c>
      <c r="AG25" s="170">
        <f t="shared" si="30"/>
        <v>85</v>
      </c>
      <c r="AH25" s="501">
        <f t="shared" si="6"/>
        <v>253</v>
      </c>
      <c r="AI25" s="501">
        <f t="shared" si="31"/>
        <v>153</v>
      </c>
      <c r="AJ25" s="170">
        <f t="shared" si="32"/>
        <v>182</v>
      </c>
      <c r="AK25" s="170">
        <f t="shared" si="32"/>
        <v>98.30000000000291</v>
      </c>
      <c r="AL25" s="501">
        <f t="shared" si="7"/>
        <v>377</v>
      </c>
      <c r="AM25" s="501">
        <f t="shared" si="33"/>
        <v>96.69999999999709</v>
      </c>
      <c r="AN25" s="170">
        <f t="shared" si="34"/>
        <v>22.5</v>
      </c>
      <c r="AO25" s="501">
        <f t="shared" si="8"/>
        <v>47.599999999998545</v>
      </c>
      <c r="AP25" s="170">
        <f t="shared" si="35"/>
        <v>20.5</v>
      </c>
      <c r="AQ25" s="501">
        <f t="shared" si="9"/>
        <v>26.100000000005821</v>
      </c>
      <c r="AR25" s="170">
        <f t="shared" si="36"/>
        <v>90.206999999999994</v>
      </c>
      <c r="AS25" s="501">
        <f t="shared" si="37"/>
        <v>190.20699999999999</v>
      </c>
      <c r="AT25" s="501">
        <f t="shared" si="38"/>
        <v>865.20699999999999</v>
      </c>
      <c r="AU25" s="170">
        <f t="shared" si="61"/>
        <v>449</v>
      </c>
      <c r="AV25" s="501">
        <f t="shared" si="62"/>
        <v>45</v>
      </c>
      <c r="AW25" s="170">
        <f>IF(EU25="","",(EU25-EU24))</f>
        <v>226</v>
      </c>
      <c r="AX25" s="501">
        <f t="shared" si="64"/>
        <v>30</v>
      </c>
      <c r="AY25" s="501" t="str">
        <f t="shared" si="64"/>
        <v/>
      </c>
      <c r="AZ25" s="170">
        <f t="shared" si="39"/>
        <v>423</v>
      </c>
      <c r="BA25" s="170">
        <v>34.799999999999997</v>
      </c>
      <c r="BB25" s="170">
        <f t="shared" si="40"/>
        <v>190.40000000002328</v>
      </c>
      <c r="BC25" s="170">
        <f t="shared" si="40"/>
        <v>1060.8999999999069</v>
      </c>
      <c r="BD25" s="170">
        <f t="shared" si="41"/>
        <v>405</v>
      </c>
      <c r="BE25" s="90"/>
      <c r="BF25" s="90"/>
      <c r="BG25" s="501">
        <f t="shared" si="42"/>
        <v>2079.2999999999302</v>
      </c>
      <c r="BH25" s="501">
        <f t="shared" si="43"/>
        <v>495</v>
      </c>
      <c r="BI25" s="90">
        <f t="shared" si="10"/>
        <v>2002.4629999999715</v>
      </c>
      <c r="BJ25" s="90">
        <f t="shared" si="44"/>
        <v>6088.5370000000285</v>
      </c>
      <c r="BK25" s="92"/>
      <c r="BL25" s="331">
        <f>FD25+FN25</f>
        <v>8586</v>
      </c>
      <c r="BM25" s="93">
        <f t="shared" si="45"/>
        <v>162421</v>
      </c>
      <c r="BN25" s="92"/>
      <c r="BO25" s="94">
        <f t="shared" si="46"/>
        <v>0</v>
      </c>
      <c r="BP25" s="94">
        <f t="shared" si="46"/>
        <v>0</v>
      </c>
      <c r="BQ25" s="94">
        <f t="shared" si="47"/>
        <v>0.28313590101944242</v>
      </c>
      <c r="BR25" s="94">
        <f t="shared" si="66"/>
        <v>0.63296241923880836</v>
      </c>
      <c r="BS25" s="94">
        <f t="shared" si="75"/>
        <v>0.15549973055650138</v>
      </c>
      <c r="BT25" s="94">
        <f t="shared" si="75"/>
        <v>6.6834243798299234E-2</v>
      </c>
      <c r="BU25" s="95">
        <f t="shared" si="75"/>
        <v>0.91936821914895561</v>
      </c>
      <c r="BV25" s="94">
        <f t="shared" si="12"/>
        <v>0</v>
      </c>
      <c r="BW25" s="94">
        <f t="shared" si="12"/>
        <v>0</v>
      </c>
      <c r="BX25" s="94">
        <f t="shared" si="12"/>
        <v>0.24273438104918421</v>
      </c>
      <c r="BY25" s="94">
        <f t="shared" si="48"/>
        <v>0.54264309297455038</v>
      </c>
      <c r="BZ25" s="95">
        <f t="shared" si="13"/>
        <v>0.78818078112986578</v>
      </c>
      <c r="CA25" s="96" t="e">
        <f>#REF!</f>
        <v>#REF!</v>
      </c>
      <c r="CB25" s="94">
        <f t="shared" si="49"/>
        <v>3.7024586255163611E-2</v>
      </c>
      <c r="CC25" s="95">
        <f t="shared" si="49"/>
        <v>7.8068614163378736E-2</v>
      </c>
      <c r="CD25" s="97">
        <f t="shared" si="14"/>
        <v>0.14351125704355702</v>
      </c>
      <c r="CE25" s="98">
        <f t="shared" si="14"/>
        <v>0.30260229991557036</v>
      </c>
      <c r="CF25" s="97">
        <f t="shared" si="50"/>
        <v>0.3512396694214876</v>
      </c>
      <c r="CG25" s="94">
        <f t="shared" si="50"/>
        <v>6.5426997245179058E-2</v>
      </c>
      <c r="CH25" s="95">
        <f t="shared" si="51"/>
        <v>0.76618457300275489</v>
      </c>
      <c r="CI25" s="96" t="e">
        <f>#REF!</f>
        <v>#REF!</v>
      </c>
      <c r="CJ25" s="94" t="str">
        <f t="shared" si="52"/>
        <v>0,00</v>
      </c>
      <c r="CK25" s="94" t="str">
        <f t="shared" si="52"/>
        <v>0,00</v>
      </c>
      <c r="CL25" s="95" t="str">
        <f t="shared" si="67"/>
        <v xml:space="preserve">0,00 </v>
      </c>
      <c r="CM25" s="95" t="e">
        <f>#REF!</f>
        <v>#REF!</v>
      </c>
      <c r="CN25" s="94">
        <f t="shared" si="53"/>
        <v>0.72612253756686718</v>
      </c>
      <c r="CO25" s="94">
        <f t="shared" si="53"/>
        <v>0.3921859639715668</v>
      </c>
      <c r="CP25" s="95">
        <f t="shared" si="54"/>
        <v>1.5041109706742248</v>
      </c>
      <c r="CQ25" s="95" t="e">
        <f>#REF!</f>
        <v>#REF!</v>
      </c>
      <c r="CR25" s="97">
        <f t="shared" si="68"/>
        <v>5.5220361146070374E-2</v>
      </c>
      <c r="CS25" s="95">
        <f t="shared" si="68"/>
        <v>0.11682174180234975</v>
      </c>
      <c r="CT25" s="96" t="e">
        <f>#REF!</f>
        <v>#REF!</v>
      </c>
      <c r="CU25" s="97">
        <f t="shared" si="69"/>
        <v>2.4122051461631582E-2</v>
      </c>
      <c r="CV25" s="95">
        <f t="shared" si="55"/>
        <v>3.0711489909693888E-2</v>
      </c>
      <c r="CW25" s="96" t="e">
        <f>#REF!</f>
        <v>#REF!</v>
      </c>
      <c r="CX25" s="99">
        <f t="shared" si="56"/>
        <v>0.18428768530788589</v>
      </c>
      <c r="CY25" s="95">
        <f t="shared" si="56"/>
        <v>1.8469812558696803E-2</v>
      </c>
      <c r="CZ25" s="99">
        <f t="shared" si="56"/>
        <v>9.2759503072566168E-2</v>
      </c>
      <c r="DA25" s="95">
        <f t="shared" si="56"/>
        <v>1.2313208372464537E-2</v>
      </c>
      <c r="DB25" s="94">
        <f t="shared" si="15"/>
        <v>0.17361623805174997</v>
      </c>
      <c r="DC25" s="94">
        <f t="shared" si="16"/>
        <v>7.8147829137251157E-2</v>
      </c>
      <c r="DD25" s="94">
        <f t="shared" si="16"/>
        <v>0.43543609207821599</v>
      </c>
      <c r="DE25" s="94">
        <f t="shared" si="16"/>
        <v>0.16622831302827126</v>
      </c>
      <c r="DF25" s="94">
        <f t="shared" si="16"/>
        <v>0</v>
      </c>
      <c r="DG25" s="94">
        <f t="shared" si="16"/>
        <v>0</v>
      </c>
      <c r="DH25" s="95">
        <f t="shared" si="16"/>
        <v>0.85342847229548835</v>
      </c>
      <c r="DI25" s="96" t="e">
        <f>#REF!</f>
        <v>#REF!</v>
      </c>
      <c r="DJ25" s="95">
        <f t="shared" si="57"/>
        <v>0.20316793814566486</v>
      </c>
      <c r="DK25" s="96" t="e">
        <f>#REF!</f>
        <v>#REF!</v>
      </c>
      <c r="DL25" s="95">
        <f t="shared" si="58"/>
        <v>0.82189147257167017</v>
      </c>
      <c r="DM25" s="96">
        <f t="shared" si="17"/>
        <v>0</v>
      </c>
      <c r="DN25" s="94">
        <f t="shared" si="18"/>
        <v>2.4989808254820152</v>
      </c>
      <c r="DO25" s="100">
        <v>3.4</v>
      </c>
      <c r="DP25" s="94">
        <f t="shared" si="70"/>
        <v>3.5240402361993506</v>
      </c>
      <c r="DQ25" s="94">
        <f t="shared" si="71"/>
        <v>3.4383192816413417</v>
      </c>
      <c r="DR25" s="101">
        <f t="shared" si="19"/>
        <v>2.95</v>
      </c>
      <c r="DS25" s="173"/>
      <c r="DT25" s="103">
        <v>20</v>
      </c>
      <c r="DU25" s="518">
        <v>646273</v>
      </c>
      <c r="DV25" s="373">
        <v>33278</v>
      </c>
      <c r="DW25" s="135">
        <v>5168431</v>
      </c>
      <c r="DX25" s="135">
        <v>128193</v>
      </c>
      <c r="DY25" s="183">
        <v>93632.5</v>
      </c>
      <c r="DZ25" s="183">
        <v>417900</v>
      </c>
      <c r="EA25" s="139">
        <v>253232</v>
      </c>
      <c r="EB25" s="455">
        <v>58368.4</v>
      </c>
      <c r="EC25" s="183">
        <v>434473</v>
      </c>
      <c r="ED25" s="135">
        <v>50533.7</v>
      </c>
      <c r="EE25" s="136">
        <v>42894</v>
      </c>
      <c r="EF25" s="136">
        <v>45269.5</v>
      </c>
      <c r="EG25" s="135">
        <v>97610.9</v>
      </c>
      <c r="EH25" s="135">
        <v>191159</v>
      </c>
      <c r="EI25" s="135">
        <v>37070</v>
      </c>
      <c r="EJ25" s="136">
        <v>45484</v>
      </c>
      <c r="EK25" s="136"/>
      <c r="EL25" s="135">
        <v>736231.7</v>
      </c>
      <c r="EM25" s="136">
        <v>5914</v>
      </c>
      <c r="EN25" s="136">
        <v>51538.400000000001</v>
      </c>
      <c r="EO25" s="135">
        <v>3211793.7</v>
      </c>
      <c r="EP25" s="136">
        <v>2911130</v>
      </c>
      <c r="EQ25" s="136">
        <v>3248</v>
      </c>
      <c r="ER25" s="136">
        <v>1396</v>
      </c>
      <c r="ES25" s="136">
        <v>479320</v>
      </c>
      <c r="ET25" s="136">
        <v>4574691</v>
      </c>
      <c r="EU25" s="136">
        <v>179793</v>
      </c>
      <c r="EV25" s="136">
        <v>497716</v>
      </c>
      <c r="EW25" s="136">
        <v>167171</v>
      </c>
      <c r="EX25" s="136">
        <v>233412.7</v>
      </c>
      <c r="EY25" s="136">
        <v>1780193.5</v>
      </c>
      <c r="EZ25" s="136">
        <v>856293.5</v>
      </c>
      <c r="FA25" s="145">
        <v>785146</v>
      </c>
      <c r="FB25" s="136">
        <v>33202</v>
      </c>
      <c r="FC25" s="136">
        <v>8091</v>
      </c>
      <c r="FD25" s="303">
        <f t="shared" si="73"/>
        <v>5986</v>
      </c>
      <c r="FE25" s="513">
        <v>721</v>
      </c>
      <c r="FF25" s="513">
        <v>71</v>
      </c>
      <c r="FG25" s="105">
        <v>2097</v>
      </c>
      <c r="FH25" s="303">
        <v>595</v>
      </c>
      <c r="FI25" s="303">
        <v>578</v>
      </c>
      <c r="FJ25" s="303">
        <v>558</v>
      </c>
      <c r="FK25" s="303">
        <v>807</v>
      </c>
      <c r="FL25" s="303">
        <v>119</v>
      </c>
      <c r="FM25" s="303">
        <v>440</v>
      </c>
      <c r="FN25" s="80">
        <v>2600</v>
      </c>
      <c r="FO25" s="333"/>
      <c r="FP25" s="487"/>
      <c r="FQ25" s="175"/>
      <c r="FR25" s="64"/>
      <c r="FS25" s="64"/>
      <c r="FT25" s="64"/>
      <c r="FU25" s="64"/>
      <c r="FV25" s="64"/>
      <c r="FW25" s="64"/>
      <c r="FX25" s="64"/>
      <c r="FY25" s="64">
        <v>20</v>
      </c>
      <c r="FZ25" s="107"/>
      <c r="GA25" s="107"/>
      <c r="GB25" s="107"/>
      <c r="GC25" s="109"/>
      <c r="GD25" s="110"/>
      <c r="GE25" s="110"/>
      <c r="GF25" s="111"/>
      <c r="GG25" s="111"/>
      <c r="GH25" s="111"/>
      <c r="GI25" s="164"/>
      <c r="GJ25" s="111" t="e">
        <f t="shared" si="59"/>
        <v>#DIV/0!</v>
      </c>
      <c r="GK25" s="118"/>
    </row>
    <row r="26" spans="1:193" s="119" customFormat="1" ht="15" customHeight="1">
      <c r="B26" s="351">
        <v>43090</v>
      </c>
      <c r="D26" s="86">
        <v>5628</v>
      </c>
      <c r="E26" s="86">
        <v>3684</v>
      </c>
      <c r="F26" s="86">
        <v>2999.808</v>
      </c>
      <c r="G26" s="86">
        <v>3869.72</v>
      </c>
      <c r="H26" s="86">
        <v>7952.9839999999995</v>
      </c>
      <c r="I26" s="86">
        <v>956.21</v>
      </c>
      <c r="J26" s="284">
        <v>7341.36</v>
      </c>
      <c r="K26" s="284">
        <v>19.32</v>
      </c>
      <c r="L26" s="284">
        <v>0</v>
      </c>
      <c r="M26" s="115">
        <f t="shared" si="60"/>
        <v>8297.57</v>
      </c>
      <c r="N26" s="88">
        <f t="shared" si="20"/>
        <v>24134.511999999999</v>
      </c>
      <c r="O26" s="88">
        <f>(N26+L26+K26+((J26+I26)*0.5))+712</f>
        <v>29014.616999999998</v>
      </c>
      <c r="P26" s="89">
        <f t="shared" si="21"/>
        <v>501399.48499999999</v>
      </c>
      <c r="R26" s="170">
        <f t="shared" si="22"/>
        <v>0</v>
      </c>
      <c r="S26" s="170">
        <f t="shared" si="23"/>
        <v>0</v>
      </c>
      <c r="T26" s="170">
        <f t="shared" si="2"/>
        <v>309</v>
      </c>
      <c r="U26" s="170">
        <f t="shared" si="72"/>
        <v>5.0799999999995631</v>
      </c>
      <c r="V26" s="170">
        <f t="shared" si="24"/>
        <v>1446.1999999997206</v>
      </c>
      <c r="W26" s="170">
        <f t="shared" si="3"/>
        <v>128.19999999999999</v>
      </c>
      <c r="X26" s="170">
        <f t="shared" si="25"/>
        <v>1446.1999999997206</v>
      </c>
      <c r="Y26" s="170">
        <f t="shared" si="26"/>
        <v>459</v>
      </c>
      <c r="Z26" s="170">
        <f t="shared" si="4"/>
        <v>126.2</v>
      </c>
      <c r="AA26" s="501">
        <f t="shared" si="27"/>
        <v>1760.2799999997201</v>
      </c>
      <c r="AB26" s="170">
        <f t="shared" si="28"/>
        <v>240</v>
      </c>
      <c r="AC26" s="170">
        <f t="shared" si="28"/>
        <v>35</v>
      </c>
      <c r="AD26" s="501">
        <f t="shared" si="5"/>
        <v>433</v>
      </c>
      <c r="AE26" s="501">
        <f t="shared" si="29"/>
        <v>158</v>
      </c>
      <c r="AF26" s="170">
        <f t="shared" si="30"/>
        <v>105</v>
      </c>
      <c r="AG26" s="170">
        <f t="shared" si="30"/>
        <v>45.5</v>
      </c>
      <c r="AH26" s="501">
        <f t="shared" si="6"/>
        <v>221</v>
      </c>
      <c r="AI26" s="501">
        <f t="shared" si="31"/>
        <v>70.5</v>
      </c>
      <c r="AJ26" s="170">
        <f t="shared" si="32"/>
        <v>180</v>
      </c>
      <c r="AK26" s="170">
        <f t="shared" si="32"/>
        <v>48.19999999999709</v>
      </c>
      <c r="AL26" s="501">
        <f t="shared" si="7"/>
        <v>324</v>
      </c>
      <c r="AM26" s="501">
        <f t="shared" si="33"/>
        <v>95.80000000000291</v>
      </c>
      <c r="AN26" s="170">
        <f t="shared" si="34"/>
        <v>67.200000000004366</v>
      </c>
      <c r="AO26" s="501">
        <f t="shared" si="8"/>
        <v>89</v>
      </c>
      <c r="AP26" s="170">
        <f t="shared" si="35"/>
        <v>27.5</v>
      </c>
      <c r="AQ26" s="501">
        <f t="shared" si="9"/>
        <v>39.399999999994179</v>
      </c>
      <c r="AR26" s="170">
        <f t="shared" si="36"/>
        <v>84.168999999999997</v>
      </c>
      <c r="AS26" s="501">
        <f t="shared" si="37"/>
        <v>54.169000000000096</v>
      </c>
      <c r="AT26" s="501">
        <f t="shared" si="38"/>
        <v>1121.1690000000001</v>
      </c>
      <c r="AU26" s="170">
        <f t="shared" si="61"/>
        <v>756</v>
      </c>
      <c r="AV26" s="501">
        <f>IF(EI26=0,"",(EI26-EI25))</f>
        <v>72</v>
      </c>
      <c r="AW26" s="170">
        <f t="shared" si="63"/>
        <v>311</v>
      </c>
      <c r="AX26" s="501">
        <f t="shared" si="64"/>
        <v>8</v>
      </c>
      <c r="AY26" s="501" t="str">
        <f t="shared" si="64"/>
        <v/>
      </c>
      <c r="AZ26" s="170">
        <f t="shared" si="39"/>
        <v>417</v>
      </c>
      <c r="BA26" s="170">
        <v>96.6</v>
      </c>
      <c r="BB26" s="170">
        <f t="shared" si="40"/>
        <v>193.69999999998254</v>
      </c>
      <c r="BC26" s="170">
        <f t="shared" si="40"/>
        <v>1145.8000000000466</v>
      </c>
      <c r="BD26" s="170">
        <f t="shared" si="41"/>
        <v>374</v>
      </c>
      <c r="BE26" s="90"/>
      <c r="BF26" s="90"/>
      <c r="BG26" s="501">
        <f t="shared" si="42"/>
        <v>2130.5000000000291</v>
      </c>
      <c r="BH26" s="501">
        <f t="shared" si="43"/>
        <v>1552</v>
      </c>
      <c r="BI26" s="90">
        <f t="shared" si="10"/>
        <v>1144.6510000002563</v>
      </c>
      <c r="BJ26" s="90">
        <f t="shared" si="44"/>
        <v>6198.3489999997437</v>
      </c>
      <c r="BK26" s="92"/>
      <c r="BL26" s="331">
        <f t="shared" si="65"/>
        <v>8895</v>
      </c>
      <c r="BM26" s="93">
        <f t="shared" si="45"/>
        <v>171316</v>
      </c>
      <c r="BN26" s="92"/>
      <c r="BO26" s="94">
        <f t="shared" si="46"/>
        <v>0</v>
      </c>
      <c r="BP26" s="94">
        <f t="shared" si="46"/>
        <v>0</v>
      </c>
      <c r="BQ26" s="94">
        <f t="shared" si="47"/>
        <v>0.12803242095800405</v>
      </c>
      <c r="BR26" s="94">
        <f t="shared" si="66"/>
        <v>0.59922487763569476</v>
      </c>
      <c r="BS26" s="94">
        <f t="shared" si="75"/>
        <v>0.1901840816172293</v>
      </c>
      <c r="BT26" s="94">
        <f t="shared" si="75"/>
        <v>5.2290263834628189E-2</v>
      </c>
      <c r="BU26" s="95">
        <f t="shared" si="75"/>
        <v>0.72936216816802424</v>
      </c>
      <c r="BV26" s="94">
        <f t="shared" si="12"/>
        <v>0</v>
      </c>
      <c r="BW26" s="94">
        <f t="shared" si="12"/>
        <v>0</v>
      </c>
      <c r="BX26" s="94">
        <f t="shared" si="12"/>
        <v>0.10649804545067751</v>
      </c>
      <c r="BY26" s="94">
        <f t="shared" si="48"/>
        <v>0.49843842501857627</v>
      </c>
      <c r="BZ26" s="95">
        <f t="shared" si="13"/>
        <v>0.60668731212261739</v>
      </c>
      <c r="CA26" s="96" t="e">
        <f>#REF!</f>
        <v>#REF!</v>
      </c>
      <c r="CB26" s="94">
        <f t="shared" si="49"/>
        <v>2.9009171480705743E-2</v>
      </c>
      <c r="CC26" s="95">
        <f t="shared" si="49"/>
        <v>1.8669555417533203E-2</v>
      </c>
      <c r="CD26" s="97">
        <f t="shared" si="14"/>
        <v>0.10143813188680541</v>
      </c>
      <c r="CE26" s="98">
        <f t="shared" si="14"/>
        <v>6.5282968387130325E-2</v>
      </c>
      <c r="CF26" s="97">
        <f t="shared" si="50"/>
        <v>0.42643923240938164</v>
      </c>
      <c r="CG26" s="94">
        <f t="shared" si="50"/>
        <v>6.2189054726368161E-2</v>
      </c>
      <c r="CH26" s="95">
        <f t="shared" si="51"/>
        <v>0.76936744847192606</v>
      </c>
      <c r="CI26" s="96" t="e">
        <f>#REF!</f>
        <v>#REF!</v>
      </c>
      <c r="CJ26" s="94">
        <f t="shared" si="52"/>
        <v>0.28501628664495116</v>
      </c>
      <c r="CK26" s="94">
        <f t="shared" si="52"/>
        <v>0.12350705754614549</v>
      </c>
      <c r="CL26" s="95">
        <f t="shared" si="67"/>
        <v>0.59989142236699244</v>
      </c>
      <c r="CM26" s="95" t="e">
        <f>#REF!</f>
        <v>#REF!</v>
      </c>
      <c r="CN26" s="94">
        <f t="shared" si="53"/>
        <v>0.6000384024577573</v>
      </c>
      <c r="CO26" s="94">
        <f t="shared" si="53"/>
        <v>0.16067694999145643</v>
      </c>
      <c r="CP26" s="95">
        <f t="shared" si="54"/>
        <v>1.0800691244239631</v>
      </c>
      <c r="CQ26" s="95" t="e">
        <f>#REF!</f>
        <v>#REF!</v>
      </c>
      <c r="CR26" s="97">
        <f t="shared" si="68"/>
        <v>0.17365597510932154</v>
      </c>
      <c r="CS26" s="95">
        <f t="shared" si="68"/>
        <v>0.22999080036798528</v>
      </c>
      <c r="CT26" s="96" t="e">
        <f>#REF!</f>
        <v>#REF!</v>
      </c>
      <c r="CU26" s="97">
        <f t="shared" si="69"/>
        <v>3.4578216176469112E-2</v>
      </c>
      <c r="CV26" s="95">
        <f t="shared" si="55"/>
        <v>4.9541153358279334E-2</v>
      </c>
      <c r="CW26" s="96" t="e">
        <f>#REF!</f>
        <v>#REF!</v>
      </c>
      <c r="CX26" s="99">
        <f t="shared" si="56"/>
        <v>0.26055832479194885</v>
      </c>
      <c r="CY26" s="95">
        <f t="shared" si="56"/>
        <v>2.4815078551614175E-2</v>
      </c>
      <c r="CZ26" s="99">
        <f t="shared" si="56"/>
        <v>0.10718735318822234</v>
      </c>
      <c r="DA26" s="95">
        <f t="shared" si="56"/>
        <v>2.7572309501793526E-3</v>
      </c>
      <c r="DB26" s="94">
        <f t="shared" si="15"/>
        <v>0.14372066327809876</v>
      </c>
      <c r="DC26" s="94">
        <f t="shared" si="16"/>
        <v>6.6759454381211558E-2</v>
      </c>
      <c r="DD26" s="94">
        <f t="shared" si="16"/>
        <v>0.39490440283945388</v>
      </c>
      <c r="DE26" s="94">
        <f t="shared" si="16"/>
        <v>0.12890054692088476</v>
      </c>
      <c r="DF26" s="94">
        <f t="shared" si="16"/>
        <v>0</v>
      </c>
      <c r="DG26" s="94">
        <f t="shared" si="16"/>
        <v>0</v>
      </c>
      <c r="DH26" s="95">
        <f t="shared" si="16"/>
        <v>0.73428506741964894</v>
      </c>
      <c r="DI26" s="96" t="e">
        <f>#REF!</f>
        <v>#REF!</v>
      </c>
      <c r="DJ26" s="95">
        <f t="shared" si="57"/>
        <v>0.53490280433479453</v>
      </c>
      <c r="DK26" s="96" t="e">
        <f>#REF!</f>
        <v>#REF!</v>
      </c>
      <c r="DL26" s="95">
        <f t="shared" si="58"/>
        <v>0.39450839554430661</v>
      </c>
      <c r="DM26" s="96">
        <f t="shared" si="17"/>
        <v>0</v>
      </c>
      <c r="DN26" s="94">
        <f t="shared" si="18"/>
        <v>2.1362849628515668</v>
      </c>
      <c r="DO26" s="100">
        <v>3.4</v>
      </c>
      <c r="DP26" s="94">
        <f>IF($O26&lt;&gt;0,IF($O26&lt;&gt;0,BL26/$O26*10,0)," ")</f>
        <v>3.065696162730668</v>
      </c>
      <c r="DQ26" s="94">
        <f>IF($P26&lt;&gt;0,IF($P26&lt;&gt;0,BM26/$P26*10,0)," ")</f>
        <v>3.4167566007771226</v>
      </c>
      <c r="DR26" s="101">
        <f t="shared" si="19"/>
        <v>2.95</v>
      </c>
      <c r="DS26" s="173"/>
      <c r="DT26" s="103">
        <v>21</v>
      </c>
      <c r="DU26" s="518">
        <v>646513</v>
      </c>
      <c r="DV26" s="518">
        <v>33313</v>
      </c>
      <c r="DW26" s="135">
        <v>5168624</v>
      </c>
      <c r="DX26" s="183">
        <v>128298</v>
      </c>
      <c r="DY26" s="183">
        <v>93678</v>
      </c>
      <c r="DZ26" s="183">
        <v>418016</v>
      </c>
      <c r="EA26" s="139">
        <v>253412</v>
      </c>
      <c r="EB26" s="455">
        <v>58416.6</v>
      </c>
      <c r="EC26" s="139">
        <v>434617</v>
      </c>
      <c r="ED26" s="135">
        <v>50600.9</v>
      </c>
      <c r="EE26" s="136">
        <v>42914.2</v>
      </c>
      <c r="EF26" s="136">
        <v>45338.3</v>
      </c>
      <c r="EG26" s="135">
        <v>97638.399999999994</v>
      </c>
      <c r="EH26" s="135">
        <v>191198.4</v>
      </c>
      <c r="EI26" s="135">
        <v>37142</v>
      </c>
      <c r="EJ26" s="136">
        <v>45492</v>
      </c>
      <c r="EK26" s="136"/>
      <c r="EL26" s="135">
        <v>736231.7</v>
      </c>
      <c r="EM26" s="135">
        <v>3090</v>
      </c>
      <c r="EN26" s="136">
        <v>51589.2</v>
      </c>
      <c r="EO26" s="135">
        <v>3213239.9</v>
      </c>
      <c r="EP26" s="136">
        <v>2912412</v>
      </c>
      <c r="EQ26" s="136">
        <v>4590</v>
      </c>
      <c r="ER26" s="136">
        <v>1262</v>
      </c>
      <c r="ES26" s="136">
        <v>480357</v>
      </c>
      <c r="ET26" s="136">
        <v>4658860</v>
      </c>
      <c r="EU26" s="136">
        <v>180104</v>
      </c>
      <c r="EV26" s="136">
        <v>498472</v>
      </c>
      <c r="EW26" s="136">
        <v>167588</v>
      </c>
      <c r="EX26" s="136">
        <v>233606.39999999999</v>
      </c>
      <c r="EY26" s="136">
        <v>1781339.3</v>
      </c>
      <c r="EZ26" s="136">
        <v>856293.5</v>
      </c>
      <c r="FA26" s="145">
        <v>785520</v>
      </c>
      <c r="FB26" s="136">
        <v>33298.699999999997</v>
      </c>
      <c r="FC26" s="136">
        <v>7343</v>
      </c>
      <c r="FD26" s="303">
        <f t="shared" si="73"/>
        <v>6395</v>
      </c>
      <c r="FE26" s="456">
        <v>763</v>
      </c>
      <c r="FF26" s="121">
        <v>78</v>
      </c>
      <c r="FG26" s="105">
        <v>1751</v>
      </c>
      <c r="FH26" s="136">
        <v>1206</v>
      </c>
      <c r="FI26" s="121">
        <v>543</v>
      </c>
      <c r="FJ26" s="136">
        <v>570</v>
      </c>
      <c r="FK26" s="136">
        <v>704</v>
      </c>
      <c r="FL26" s="136">
        <v>310</v>
      </c>
      <c r="FM26" s="121">
        <v>470</v>
      </c>
      <c r="FN26" s="80">
        <v>2500</v>
      </c>
      <c r="FO26" s="333"/>
      <c r="FP26" s="487"/>
      <c r="FY26" s="119">
        <v>21</v>
      </c>
      <c r="FZ26" s="107"/>
      <c r="GA26" s="107"/>
      <c r="GB26" s="107"/>
      <c r="GC26" s="109"/>
      <c r="GD26" s="110"/>
      <c r="GE26" s="110"/>
      <c r="GF26" s="111"/>
      <c r="GG26" s="111"/>
      <c r="GH26" s="111"/>
      <c r="GI26" s="164"/>
      <c r="GJ26" s="111" t="e">
        <f t="shared" si="59"/>
        <v>#DIV/0!</v>
      </c>
      <c r="GK26" s="113"/>
    </row>
    <row r="27" spans="1:193" s="119" customFormat="1" ht="15" customHeight="1">
      <c r="B27" s="351">
        <v>43091</v>
      </c>
      <c r="D27" s="86">
        <v>4932</v>
      </c>
      <c r="E27" s="86">
        <v>4836</v>
      </c>
      <c r="F27" s="86">
        <v>885.52800000000002</v>
      </c>
      <c r="G27" s="86">
        <v>3800.453</v>
      </c>
      <c r="H27" s="86">
        <v>7795.8719999999994</v>
      </c>
      <c r="I27" s="86">
        <v>2159.9899999999998</v>
      </c>
      <c r="J27" s="86">
        <v>4716.4799999999996</v>
      </c>
      <c r="K27" s="284">
        <v>19.274000000000001</v>
      </c>
      <c r="L27" s="284">
        <v>0</v>
      </c>
      <c r="M27" s="115">
        <f>I27+J27</f>
        <v>6876.4699999999993</v>
      </c>
      <c r="N27" s="88">
        <f>SUM(D27:H27)</f>
        <v>22249.852999999999</v>
      </c>
      <c r="O27" s="88">
        <f>N27+L27+K27+((J27+I27)*0.5)</f>
        <v>25707.362000000001</v>
      </c>
      <c r="P27" s="89">
        <f t="shared" si="21"/>
        <v>527106.84699999995</v>
      </c>
      <c r="R27" s="170">
        <f t="shared" si="22"/>
        <v>0</v>
      </c>
      <c r="S27" s="170">
        <f t="shared" si="23"/>
        <v>104.06999999999535</v>
      </c>
      <c r="T27" s="170">
        <f t="shared" si="2"/>
        <v>728.7</v>
      </c>
      <c r="U27" s="170">
        <f t="shared" si="72"/>
        <v>1.25</v>
      </c>
      <c r="V27" s="170">
        <f t="shared" si="24"/>
        <v>1387.7000000001863</v>
      </c>
      <c r="W27" s="170">
        <f t="shared" si="3"/>
        <v>122.7</v>
      </c>
      <c r="X27" s="170">
        <f t="shared" si="25"/>
        <v>1387.7000000001863</v>
      </c>
      <c r="Y27" s="170">
        <f t="shared" si="26"/>
        <v>437.4</v>
      </c>
      <c r="Z27" s="170">
        <f t="shared" si="4"/>
        <v>116.4</v>
      </c>
      <c r="AA27" s="501">
        <f t="shared" si="27"/>
        <v>2221.7200000001817</v>
      </c>
      <c r="AB27" s="170">
        <f t="shared" si="28"/>
        <v>75</v>
      </c>
      <c r="AC27" s="170">
        <f t="shared" si="28"/>
        <v>35</v>
      </c>
      <c r="AD27" s="501">
        <f t="shared" si="5"/>
        <v>236</v>
      </c>
      <c r="AE27" s="501">
        <f t="shared" si="29"/>
        <v>126</v>
      </c>
      <c r="AF27" s="170">
        <f t="shared" si="30"/>
        <v>144</v>
      </c>
      <c r="AG27" s="170">
        <f t="shared" si="30"/>
        <v>22</v>
      </c>
      <c r="AH27" s="501">
        <f t="shared" si="6"/>
        <v>214</v>
      </c>
      <c r="AI27" s="501">
        <f t="shared" si="31"/>
        <v>48</v>
      </c>
      <c r="AJ27" s="170">
        <f t="shared" si="32"/>
        <v>105</v>
      </c>
      <c r="AK27" s="170">
        <f t="shared" si="32"/>
        <v>128</v>
      </c>
      <c r="AL27" s="501">
        <f t="shared" si="7"/>
        <v>410</v>
      </c>
      <c r="AM27" s="501">
        <f t="shared" si="33"/>
        <v>177</v>
      </c>
      <c r="AN27" s="170">
        <f t="shared" si="34"/>
        <v>16.69999999999709</v>
      </c>
      <c r="AO27" s="501">
        <f t="shared" si="8"/>
        <v>32.399999999994179</v>
      </c>
      <c r="AP27" s="170">
        <f t="shared" si="35"/>
        <v>28.5</v>
      </c>
      <c r="AQ27" s="501">
        <f t="shared" si="9"/>
        <v>35.300000000017462</v>
      </c>
      <c r="AR27" s="170">
        <f t="shared" si="36"/>
        <v>78.042000000000002</v>
      </c>
      <c r="AS27" s="501">
        <f t="shared" si="37"/>
        <v>77.04200000000003</v>
      </c>
      <c r="AT27" s="501">
        <f t="shared" si="38"/>
        <v>757.04200000000003</v>
      </c>
      <c r="AU27" s="170">
        <f>IF(EV27="","",(EV27-EV26))</f>
        <v>416</v>
      </c>
      <c r="AV27" s="501">
        <f t="shared" si="62"/>
        <v>26</v>
      </c>
      <c r="AW27" s="170">
        <f>IF(EU27="","",(EU27-EU26))</f>
        <v>264</v>
      </c>
      <c r="AX27" s="501">
        <f t="shared" si="64"/>
        <v>34</v>
      </c>
      <c r="AY27" s="501" t="str">
        <f t="shared" si="64"/>
        <v/>
      </c>
      <c r="AZ27" s="170">
        <f t="shared" si="39"/>
        <v>321</v>
      </c>
      <c r="BA27" s="170">
        <v>63.2</v>
      </c>
      <c r="BB27" s="170">
        <f t="shared" si="40"/>
        <v>157.60000000000582</v>
      </c>
      <c r="BC27" s="170">
        <f t="shared" si="40"/>
        <v>199.30000000004657</v>
      </c>
      <c r="BD27" s="170">
        <f t="shared" si="41"/>
        <v>417</v>
      </c>
      <c r="BE27" s="90"/>
      <c r="BF27" s="90"/>
      <c r="BG27" s="501">
        <f t="shared" si="42"/>
        <v>1094.9000000000524</v>
      </c>
      <c r="BH27" s="501">
        <f t="shared" si="43"/>
        <v>947</v>
      </c>
      <c r="BI27" s="90">
        <f t="shared" si="10"/>
        <v>2472.6379999997544</v>
      </c>
      <c r="BJ27" s="90">
        <f t="shared" si="44"/>
        <v>5061.3620000002456</v>
      </c>
      <c r="BK27" s="92"/>
      <c r="BL27" s="331">
        <f t="shared" si="65"/>
        <v>8481</v>
      </c>
      <c r="BM27" s="93">
        <f t="shared" si="45"/>
        <v>179797</v>
      </c>
      <c r="BN27" s="92"/>
      <c r="BO27" s="94">
        <f t="shared" si="46"/>
        <v>0</v>
      </c>
      <c r="BP27" s="94">
        <f t="shared" si="46"/>
        <v>4.6773342727250984E-2</v>
      </c>
      <c r="BQ27" s="94">
        <f t="shared" si="47"/>
        <v>0.32750778173680523</v>
      </c>
      <c r="BR27" s="94">
        <f t="shared" si="66"/>
        <v>0.62368951381395021</v>
      </c>
      <c r="BS27" s="94">
        <f t="shared" si="75"/>
        <v>0.19658556845296909</v>
      </c>
      <c r="BT27" s="94">
        <f t="shared" si="75"/>
        <v>5.2314952372943771E-2</v>
      </c>
      <c r="BU27" s="95">
        <f t="shared" si="75"/>
        <v>0.99853243974249262</v>
      </c>
      <c r="BV27" s="94">
        <f t="shared" si="12"/>
        <v>0</v>
      </c>
      <c r="BW27" s="94">
        <f t="shared" si="12"/>
        <v>4.0482566822685015E-2</v>
      </c>
      <c r="BX27" s="94">
        <f t="shared" si="12"/>
        <v>0.28345965642060045</v>
      </c>
      <c r="BY27" s="94">
        <f t="shared" si="48"/>
        <v>0.53980645699865515</v>
      </c>
      <c r="BZ27" s="95">
        <f t="shared" si="13"/>
        <v>0.86423492227642096</v>
      </c>
      <c r="CA27" s="96" t="e">
        <f>#REF!</f>
        <v>#REF!</v>
      </c>
      <c r="CB27" s="94">
        <f t="shared" si="49"/>
        <v>3.0357840683925483E-2</v>
      </c>
      <c r="CC27" s="95">
        <f t="shared" si="49"/>
        <v>2.99688470563413E-2</v>
      </c>
      <c r="CD27" s="97">
        <f t="shared" si="14"/>
        <v>0.11349136984528402</v>
      </c>
      <c r="CE27" s="98">
        <f t="shared" si="14"/>
        <v>0.11203713533251805</v>
      </c>
      <c r="CF27" s="97">
        <f t="shared" si="50"/>
        <v>0.15206812652068127</v>
      </c>
      <c r="CG27" s="94">
        <f t="shared" si="50"/>
        <v>7.0965125709651258E-2</v>
      </c>
      <c r="CH27" s="95">
        <f t="shared" si="51"/>
        <v>0.47850770478507709</v>
      </c>
      <c r="CI27" s="96" t="e">
        <f>#REF!</f>
        <v>#REF!</v>
      </c>
      <c r="CJ27" s="94">
        <f t="shared" si="52"/>
        <v>0.29776674937965258</v>
      </c>
      <c r="CK27" s="94">
        <f t="shared" si="52"/>
        <v>4.5492142266335821E-2</v>
      </c>
      <c r="CL27" s="95">
        <f t="shared" si="67"/>
        <v>0.4425144747725393</v>
      </c>
      <c r="CM27" s="95" t="e">
        <f>#REF!</f>
        <v>#REF!</v>
      </c>
      <c r="CN27" s="94">
        <f t="shared" si="53"/>
        <v>1.1857332574464048</v>
      </c>
      <c r="CO27" s="94">
        <f t="shared" si="53"/>
        <v>1.4454653043156174</v>
      </c>
      <c r="CP27" s="95">
        <f t="shared" si="54"/>
        <v>4.6300060528859612</v>
      </c>
      <c r="CQ27" s="95" t="e">
        <f>#REF!</f>
        <v>#REF!</v>
      </c>
      <c r="CR27" s="97">
        <f t="shared" si="68"/>
        <v>4.394213005659349E-2</v>
      </c>
      <c r="CS27" s="95">
        <f t="shared" si="68"/>
        <v>8.5252994840336604E-2</v>
      </c>
      <c r="CT27" s="96" t="e">
        <f>#REF!</f>
        <v>#REF!</v>
      </c>
      <c r="CU27" s="97">
        <f t="shared" si="69"/>
        <v>3.655780905586957E-2</v>
      </c>
      <c r="CV27" s="95">
        <f t="shared" si="55"/>
        <v>4.5280374023608225E-2</v>
      </c>
      <c r="CW27" s="96" t="e">
        <f>#REF!</f>
        <v>#REF!</v>
      </c>
      <c r="CX27" s="99">
        <f t="shared" ref="CX27:DA37" si="76">IF($O27&lt;&gt;0,IF($O27&lt;&gt;0,AU27/$O27*10,0)," ")</f>
        <v>0.16182134907502371</v>
      </c>
      <c r="CY27" s="95">
        <f t="shared" si="76"/>
        <v>1.0113834317188982E-2</v>
      </c>
      <c r="CZ27" s="99">
        <f t="shared" si="76"/>
        <v>0.10269431768222659</v>
      </c>
      <c r="DA27" s="95">
        <f t="shared" si="76"/>
        <v>1.3225783337862515E-2</v>
      </c>
      <c r="DB27" s="94">
        <f t="shared" si="15"/>
        <v>0.1248669544545255</v>
      </c>
      <c r="DC27" s="94">
        <f t="shared" si="16"/>
        <v>6.1305395707270866E-2</v>
      </c>
      <c r="DD27" s="94">
        <f t="shared" si="16"/>
        <v>7.7526429977547509E-2</v>
      </c>
      <c r="DE27" s="94">
        <f t="shared" si="16"/>
        <v>0.16221034270260792</v>
      </c>
      <c r="DF27" s="94">
        <f t="shared" si="16"/>
        <v>0</v>
      </c>
      <c r="DG27" s="94">
        <f t="shared" si="16"/>
        <v>0</v>
      </c>
      <c r="DH27" s="95">
        <f t="shared" si="16"/>
        <v>0.42590912284195176</v>
      </c>
      <c r="DI27" s="96" t="e">
        <f>#REF!</f>
        <v>#REF!</v>
      </c>
      <c r="DJ27" s="95">
        <f t="shared" si="57"/>
        <v>0.36837696532222952</v>
      </c>
      <c r="DK27" s="96" t="e">
        <f>#REF!</f>
        <v>#REF!</v>
      </c>
      <c r="DL27" s="95">
        <f t="shared" si="58"/>
        <v>0.96184042532242486</v>
      </c>
      <c r="DM27" s="96">
        <f t="shared" si="17"/>
        <v>0</v>
      </c>
      <c r="DN27" s="94">
        <f t="shared" si="18"/>
        <v>1.9688375648968748</v>
      </c>
      <c r="DO27" s="100">
        <v>3.4</v>
      </c>
      <c r="DP27" s="94">
        <f t="shared" si="70"/>
        <v>3.2990549555415294</v>
      </c>
      <c r="DQ27" s="94">
        <f>IF($P27&lt;&gt;0,IF($P27&lt;&gt;0,BM27/$P27*10,0)," ")</f>
        <v>3.4110162109125479</v>
      </c>
      <c r="DR27" s="101">
        <f t="shared" si="19"/>
        <v>2.95</v>
      </c>
      <c r="DS27" s="173"/>
      <c r="DT27" s="103">
        <v>22</v>
      </c>
      <c r="DU27" s="518">
        <v>646588</v>
      </c>
      <c r="DV27" s="362">
        <v>33348</v>
      </c>
      <c r="DW27" s="361">
        <v>5168785</v>
      </c>
      <c r="DX27" s="364">
        <v>128442</v>
      </c>
      <c r="DY27" s="364">
        <v>93700</v>
      </c>
      <c r="DZ27" s="364">
        <v>418086</v>
      </c>
      <c r="EA27" s="381">
        <v>253517</v>
      </c>
      <c r="EB27" s="390">
        <v>58544.6</v>
      </c>
      <c r="EC27" s="381">
        <v>434922</v>
      </c>
      <c r="ED27" s="361">
        <v>50617.599999999999</v>
      </c>
      <c r="EE27" s="303">
        <v>42927.199999999997</v>
      </c>
      <c r="EF27" s="303">
        <v>45357.7</v>
      </c>
      <c r="EG27" s="361">
        <v>97666.9</v>
      </c>
      <c r="EH27" s="361">
        <v>191233.7</v>
      </c>
      <c r="EI27" s="361">
        <v>37168</v>
      </c>
      <c r="EJ27" s="303">
        <v>45526</v>
      </c>
      <c r="EK27" s="330"/>
      <c r="EL27" s="135">
        <v>736231.7</v>
      </c>
      <c r="EM27" s="361">
        <v>7287</v>
      </c>
      <c r="EN27" s="303">
        <v>51601.7</v>
      </c>
      <c r="EO27" s="361">
        <v>3214627.6</v>
      </c>
      <c r="EP27" s="303">
        <v>2913639</v>
      </c>
      <c r="EQ27" s="303">
        <v>4374</v>
      </c>
      <c r="ER27" s="303">
        <v>1164</v>
      </c>
      <c r="ES27" s="303">
        <v>481036</v>
      </c>
      <c r="ET27" s="303">
        <v>4736902</v>
      </c>
      <c r="EU27" s="303">
        <v>180368</v>
      </c>
      <c r="EV27" s="136">
        <v>498888</v>
      </c>
      <c r="EW27" s="303">
        <v>167909</v>
      </c>
      <c r="EX27" s="303">
        <v>233764</v>
      </c>
      <c r="EY27" s="303">
        <v>1781538.6</v>
      </c>
      <c r="EZ27" s="303">
        <v>857334.2</v>
      </c>
      <c r="FA27" s="383">
        <v>785937</v>
      </c>
      <c r="FB27" s="104">
        <v>33370.5</v>
      </c>
      <c r="FC27" s="393">
        <v>7534</v>
      </c>
      <c r="FD27" s="303">
        <f t="shared" si="73"/>
        <v>5771</v>
      </c>
      <c r="FE27" s="136">
        <v>550</v>
      </c>
      <c r="FF27" s="136">
        <v>73</v>
      </c>
      <c r="FG27" s="105">
        <v>1794</v>
      </c>
      <c r="FH27" s="136">
        <v>1015</v>
      </c>
      <c r="FI27" s="136">
        <v>478</v>
      </c>
      <c r="FJ27" s="136">
        <v>509</v>
      </c>
      <c r="FK27" s="136">
        <v>660</v>
      </c>
      <c r="FL27" s="136">
        <v>211</v>
      </c>
      <c r="FM27" s="136">
        <v>481</v>
      </c>
      <c r="FN27" s="80">
        <v>2710</v>
      </c>
      <c r="FO27" s="333">
        <v>1275754</v>
      </c>
      <c r="FP27" s="487"/>
      <c r="FY27" s="119">
        <v>22</v>
      </c>
      <c r="FZ27" s="107"/>
      <c r="GA27" s="107"/>
      <c r="GB27" s="107"/>
      <c r="GC27" s="109"/>
      <c r="GD27" s="110"/>
      <c r="GE27" s="110"/>
      <c r="GF27" s="111"/>
      <c r="GG27" s="111"/>
      <c r="GH27" s="111"/>
      <c r="GI27" s="112"/>
      <c r="GJ27" s="111" t="e">
        <f t="shared" si="59"/>
        <v>#DIV/0!</v>
      </c>
      <c r="GK27" s="113"/>
    </row>
    <row r="28" spans="1:193" ht="15" customHeight="1">
      <c r="B28" s="351">
        <v>43092</v>
      </c>
      <c r="D28" s="86">
        <v>4975.08</v>
      </c>
      <c r="E28" s="86">
        <v>5885.28</v>
      </c>
      <c r="F28" s="86">
        <v>2804.904</v>
      </c>
      <c r="G28" s="86">
        <v>4940.2790000000005</v>
      </c>
      <c r="H28" s="86">
        <v>5923.3029999999999</v>
      </c>
      <c r="I28" s="86">
        <v>2028.569</v>
      </c>
      <c r="J28" s="86">
        <v>6452.16</v>
      </c>
      <c r="K28" s="284">
        <v>0</v>
      </c>
      <c r="L28" s="284">
        <v>0</v>
      </c>
      <c r="M28" s="115">
        <f t="shared" si="60"/>
        <v>8480.7289999999994</v>
      </c>
      <c r="N28" s="88">
        <f t="shared" si="20"/>
        <v>24528.846000000001</v>
      </c>
      <c r="O28" s="88">
        <f t="shared" si="74"/>
        <v>28769.210500000001</v>
      </c>
      <c r="P28" s="89">
        <f t="shared" si="21"/>
        <v>555876.0575</v>
      </c>
      <c r="R28" s="170">
        <f t="shared" si="22"/>
        <v>0</v>
      </c>
      <c r="S28" s="170">
        <f t="shared" si="23"/>
        <v>78.790000000002323</v>
      </c>
      <c r="T28" s="170">
        <f t="shared" si="2"/>
        <v>462.9</v>
      </c>
      <c r="U28" s="170">
        <f t="shared" si="72"/>
        <v>3.930000000000291</v>
      </c>
      <c r="V28" s="170">
        <f t="shared" si="24"/>
        <v>1396.1000000000931</v>
      </c>
      <c r="W28" s="170">
        <f t="shared" si="3"/>
        <v>123.6</v>
      </c>
      <c r="X28" s="170">
        <f t="shared" si="25"/>
        <v>1396.1000000000931</v>
      </c>
      <c r="Y28" s="170">
        <f t="shared" si="26"/>
        <v>456.5</v>
      </c>
      <c r="Z28" s="170">
        <f t="shared" si="4"/>
        <v>123.9</v>
      </c>
      <c r="AA28" s="501">
        <f t="shared" si="27"/>
        <v>1941.7200000000958</v>
      </c>
      <c r="AB28" s="170">
        <f t="shared" si="28"/>
        <v>270</v>
      </c>
      <c r="AC28" s="170">
        <f t="shared" si="28"/>
        <v>37</v>
      </c>
      <c r="AD28" s="501">
        <f t="shared" si="5"/>
        <v>462</v>
      </c>
      <c r="AE28" s="501">
        <f t="shared" si="29"/>
        <v>155</v>
      </c>
      <c r="AF28" s="170">
        <f t="shared" si="30"/>
        <v>176</v>
      </c>
      <c r="AG28" s="170">
        <f t="shared" si="30"/>
        <v>31.600000000005821</v>
      </c>
      <c r="AH28" s="501">
        <f t="shared" si="6"/>
        <v>283</v>
      </c>
      <c r="AI28" s="501">
        <f t="shared" si="31"/>
        <v>75.399999999994179</v>
      </c>
      <c r="AJ28" s="170">
        <f t="shared" si="32"/>
        <v>176</v>
      </c>
      <c r="AK28" s="170">
        <f t="shared" si="32"/>
        <v>39.599999999998545</v>
      </c>
      <c r="AL28" s="501">
        <f t="shared" si="7"/>
        <v>304</v>
      </c>
      <c r="AM28" s="501">
        <f t="shared" si="33"/>
        <v>88.400000000001455</v>
      </c>
      <c r="AN28" s="170">
        <f t="shared" si="34"/>
        <v>41.80000000000291</v>
      </c>
      <c r="AO28" s="501">
        <f t="shared" si="8"/>
        <v>58.100000000005821</v>
      </c>
      <c r="AP28" s="170">
        <f t="shared" si="35"/>
        <v>26.100000000005821</v>
      </c>
      <c r="AQ28" s="501">
        <f t="shared" si="9"/>
        <v>34.099999999976717</v>
      </c>
      <c r="AR28" s="170">
        <f t="shared" si="36"/>
        <v>49.252000000000002</v>
      </c>
      <c r="AS28" s="501">
        <f t="shared" si="37"/>
        <v>42.251999999999953</v>
      </c>
      <c r="AT28" s="501">
        <f t="shared" si="38"/>
        <v>668.25199999999995</v>
      </c>
      <c r="AU28" s="170">
        <f t="shared" si="61"/>
        <v>345</v>
      </c>
      <c r="AV28" s="501">
        <f t="shared" si="62"/>
        <v>14</v>
      </c>
      <c r="AW28" s="170">
        <f t="shared" si="63"/>
        <v>281</v>
      </c>
      <c r="AX28" s="501">
        <f t="shared" si="64"/>
        <v>6</v>
      </c>
      <c r="AY28" s="501" t="str">
        <f t="shared" si="64"/>
        <v/>
      </c>
      <c r="AZ28" s="170">
        <f t="shared" si="39"/>
        <v>476</v>
      </c>
      <c r="BA28" s="170">
        <v>0</v>
      </c>
      <c r="BB28" s="170">
        <f t="shared" si="40"/>
        <v>199</v>
      </c>
      <c r="BC28" s="170">
        <f t="shared" si="40"/>
        <v>635.79999999981374</v>
      </c>
      <c r="BD28" s="170">
        <f t="shared" si="41"/>
        <v>534</v>
      </c>
      <c r="BE28" s="90"/>
      <c r="BF28" s="90"/>
      <c r="BG28" s="501">
        <f t="shared" si="42"/>
        <v>1844.7999999998137</v>
      </c>
      <c r="BH28" s="501">
        <f t="shared" si="43"/>
        <v>568</v>
      </c>
      <c r="BI28" s="90">
        <f>IF(FC28=0,"",(FC28-BJ28))</f>
        <v>2438.0280000001076</v>
      </c>
      <c r="BJ28" s="90">
        <f t="shared" si="44"/>
        <v>5615.9719999998924</v>
      </c>
      <c r="BK28" s="92"/>
      <c r="BL28" s="331">
        <f t="shared" si="65"/>
        <v>8622</v>
      </c>
      <c r="BM28" s="93">
        <f t="shared" si="45"/>
        <v>188419</v>
      </c>
      <c r="BN28" s="92"/>
      <c r="BO28" s="94">
        <f t="shared" si="46"/>
        <v>0</v>
      </c>
      <c r="BP28" s="94">
        <f t="shared" si="46"/>
        <v>3.2121364372381118E-2</v>
      </c>
      <c r="BQ28" s="94">
        <f t="shared" si="47"/>
        <v>0.18871658291629373</v>
      </c>
      <c r="BR28" s="94">
        <f t="shared" si="66"/>
        <v>0.56916660490269011</v>
      </c>
      <c r="BS28" s="94">
        <f t="shared" si="75"/>
        <v>0.18610741002654588</v>
      </c>
      <c r="BT28" s="94">
        <f t="shared" si="75"/>
        <v>5.0511956412462297E-2</v>
      </c>
      <c r="BU28" s="95">
        <f t="shared" si="75"/>
        <v>0.79160674741897585</v>
      </c>
      <c r="BV28" s="94">
        <f t="shared" si="12"/>
        <v>0</v>
      </c>
      <c r="BW28" s="94">
        <f t="shared" si="12"/>
        <v>2.7386917691051105E-2</v>
      </c>
      <c r="BX28" s="94">
        <f t="shared" si="12"/>
        <v>0.1609011828809136</v>
      </c>
      <c r="BY28" s="94">
        <f t="shared" si="48"/>
        <v>0.48527574296836995</v>
      </c>
      <c r="BZ28" s="95">
        <f t="shared" si="13"/>
        <v>0.67492988728352343</v>
      </c>
      <c r="CA28" s="96" t="e">
        <f>#REF!</f>
        <v>#REF!</v>
      </c>
      <c r="CB28" s="94">
        <f t="shared" si="49"/>
        <v>1.7119691205985652E-2</v>
      </c>
      <c r="CC28" s="95">
        <f t="shared" si="49"/>
        <v>1.468653441150217E-2</v>
      </c>
      <c r="CD28" s="97">
        <f t="shared" si="14"/>
        <v>5.8075196129955348E-2</v>
      </c>
      <c r="CE28" s="98">
        <f t="shared" si="14"/>
        <v>4.9821188720922407E-2</v>
      </c>
      <c r="CF28" s="97">
        <f t="shared" si="50"/>
        <v>0.54270484092718108</v>
      </c>
      <c r="CG28" s="94">
        <f t="shared" si="50"/>
        <v>7.4370663386317412E-2</v>
      </c>
      <c r="CH28" s="95">
        <f t="shared" si="51"/>
        <v>0.92862828336428771</v>
      </c>
      <c r="CI28" s="96" t="e">
        <f>#REF!</f>
        <v>#REF!</v>
      </c>
      <c r="CJ28" s="94">
        <f t="shared" si="52"/>
        <v>0.2990511921267977</v>
      </c>
      <c r="CK28" s="94">
        <f t="shared" si="52"/>
        <v>5.3693282222775848E-2</v>
      </c>
      <c r="CL28" s="95">
        <f t="shared" si="67"/>
        <v>0.480860723703885</v>
      </c>
      <c r="CM28" s="95" t="e">
        <f>#REF!</f>
        <v>#REF!</v>
      </c>
      <c r="CN28" s="94">
        <f t="shared" si="53"/>
        <v>0.62747245538528229</v>
      </c>
      <c r="CO28" s="94">
        <f t="shared" si="53"/>
        <v>0.14118130246168334</v>
      </c>
      <c r="CP28" s="95">
        <f t="shared" si="54"/>
        <v>1.0838160593018513</v>
      </c>
      <c r="CQ28" s="95" t="e">
        <f>#REF!</f>
        <v>#REF!</v>
      </c>
      <c r="CR28" s="97">
        <f t="shared" si="68"/>
        <v>8.4610606000193322E-2</v>
      </c>
      <c r="CS28" s="95">
        <f t="shared" si="68"/>
        <v>0.11760469398591823</v>
      </c>
      <c r="CT28" s="96" t="e">
        <f>#REF!</f>
        <v>#REF!</v>
      </c>
      <c r="CU28" s="97">
        <f t="shared" si="69"/>
        <v>4.4063253222071906E-2</v>
      </c>
      <c r="CV28" s="95">
        <f t="shared" si="55"/>
        <v>5.7569231221122265E-2</v>
      </c>
      <c r="CW28" s="96" t="e">
        <f>#REF!</f>
        <v>#REF!</v>
      </c>
      <c r="CX28" s="99">
        <f t="shared" si="76"/>
        <v>0.11991987058525641</v>
      </c>
      <c r="CY28" s="95">
        <f t="shared" si="76"/>
        <v>4.866313588966927E-3</v>
      </c>
      <c r="CZ28" s="99">
        <f t="shared" si="76"/>
        <v>9.7673865607121893E-2</v>
      </c>
      <c r="DA28" s="95">
        <f t="shared" si="76"/>
        <v>2.0855629667001115E-3</v>
      </c>
      <c r="DB28" s="94">
        <f t="shared" si="15"/>
        <v>0.16545466202487552</v>
      </c>
      <c r="DC28" s="94">
        <f t="shared" si="16"/>
        <v>6.9171171728887024E-2</v>
      </c>
      <c r="DD28" s="94">
        <f t="shared" si="16"/>
        <v>0.22100015570459042</v>
      </c>
      <c r="DE28" s="94">
        <f t="shared" si="16"/>
        <v>0.18561510403630993</v>
      </c>
      <c r="DF28" s="94">
        <f t="shared" si="16"/>
        <v>0</v>
      </c>
      <c r="DG28" s="94">
        <f t="shared" si="16"/>
        <v>0</v>
      </c>
      <c r="DH28" s="95">
        <f t="shared" si="16"/>
        <v>0.64124109349466285</v>
      </c>
      <c r="DI28" s="96" t="e">
        <f>#REF!</f>
        <v>#REF!</v>
      </c>
      <c r="DJ28" s="95">
        <f t="shared" si="57"/>
        <v>0.19743329418094391</v>
      </c>
      <c r="DK28" s="96" t="e">
        <f>#REF!</f>
        <v>#REF!</v>
      </c>
      <c r="DL28" s="95">
        <f t="shared" si="58"/>
        <v>0.84744348476302733</v>
      </c>
      <c r="DM28" s="96">
        <f t="shared" si="17"/>
        <v>0</v>
      </c>
      <c r="DN28" s="94">
        <f t="shared" si="18"/>
        <v>1.952077204204089</v>
      </c>
      <c r="DO28" s="100">
        <v>3.4</v>
      </c>
      <c r="DP28" s="94">
        <f>IF($O28&lt;&gt;0,IF($O28&lt;&gt;0,BL28/$O28*10,0)," ")</f>
        <v>2.9969539831480603</v>
      </c>
      <c r="DQ28" s="94">
        <f t="shared" si="71"/>
        <v>3.3895865356640225</v>
      </c>
      <c r="DR28" s="101">
        <f t="shared" si="19"/>
        <v>2.95</v>
      </c>
      <c r="DS28" s="173"/>
      <c r="DT28" s="103">
        <v>23</v>
      </c>
      <c r="DU28" s="473">
        <v>646858</v>
      </c>
      <c r="DV28" s="361">
        <v>33385</v>
      </c>
      <c r="DW28" s="330">
        <v>5168977</v>
      </c>
      <c r="DX28" s="364">
        <v>128618</v>
      </c>
      <c r="DY28" s="330">
        <v>93731.6</v>
      </c>
      <c r="DZ28" s="330">
        <v>418193</v>
      </c>
      <c r="EA28" s="381">
        <v>253693</v>
      </c>
      <c r="EB28" s="475">
        <v>58584.2</v>
      </c>
      <c r="EC28" s="104">
        <v>435050</v>
      </c>
      <c r="ED28" s="361">
        <v>50659.4</v>
      </c>
      <c r="EE28" s="303">
        <v>42941.7</v>
      </c>
      <c r="EF28" s="303">
        <v>45401.3</v>
      </c>
      <c r="EG28" s="330">
        <v>97693</v>
      </c>
      <c r="EH28" s="330">
        <v>191267.8</v>
      </c>
      <c r="EI28" s="330">
        <v>37182</v>
      </c>
      <c r="EJ28" s="104">
        <v>45532</v>
      </c>
      <c r="EK28" s="104"/>
      <c r="EL28" s="135">
        <v>736231.7</v>
      </c>
      <c r="EM28" s="330">
        <v>4629</v>
      </c>
      <c r="EN28" s="105">
        <v>51641</v>
      </c>
      <c r="EO28" s="330">
        <v>3216023.7</v>
      </c>
      <c r="EP28" s="105">
        <v>2914875</v>
      </c>
      <c r="EQ28" s="105">
        <v>4565</v>
      </c>
      <c r="ER28" s="105">
        <v>1239</v>
      </c>
      <c r="ES28" s="104">
        <v>481655</v>
      </c>
      <c r="ET28" s="104">
        <v>4786154</v>
      </c>
      <c r="EU28" s="104">
        <v>180649</v>
      </c>
      <c r="EV28" s="104">
        <v>499233</v>
      </c>
      <c r="EW28" s="105">
        <v>168385</v>
      </c>
      <c r="EX28" s="330">
        <v>233963</v>
      </c>
      <c r="EY28" s="330">
        <v>1782174.4</v>
      </c>
      <c r="EZ28" s="303">
        <v>858122.1</v>
      </c>
      <c r="FA28" s="387">
        <v>786471</v>
      </c>
      <c r="FB28" s="386">
        <v>33377.800000000003</v>
      </c>
      <c r="FC28" s="394">
        <v>8054</v>
      </c>
      <c r="FD28" s="383">
        <f t="shared" si="73"/>
        <v>6022</v>
      </c>
      <c r="FE28" s="121">
        <v>738</v>
      </c>
      <c r="FF28" s="136">
        <v>39</v>
      </c>
      <c r="FG28" s="105">
        <v>2304</v>
      </c>
      <c r="FH28" s="121">
        <v>760</v>
      </c>
      <c r="FI28" s="136">
        <v>410</v>
      </c>
      <c r="FJ28" s="121">
        <v>324</v>
      </c>
      <c r="FK28" s="136">
        <v>812</v>
      </c>
      <c r="FL28" s="136">
        <v>154</v>
      </c>
      <c r="FM28" s="136">
        <v>481</v>
      </c>
      <c r="FN28" s="80">
        <v>2600</v>
      </c>
      <c r="FO28" s="475"/>
      <c r="FP28" s="487"/>
      <c r="FR28" s="64"/>
      <c r="FS28" s="64"/>
      <c r="FT28" s="64"/>
      <c r="FU28" s="64"/>
      <c r="FV28" s="64"/>
      <c r="FW28" s="64"/>
      <c r="FX28" s="64"/>
      <c r="FY28" s="64">
        <v>23</v>
      </c>
      <c r="FZ28" s="107"/>
      <c r="GA28" s="107"/>
      <c r="GB28" s="107"/>
      <c r="GC28" s="109"/>
      <c r="GD28" s="110"/>
      <c r="GE28" s="110"/>
      <c r="GF28" s="111"/>
      <c r="GG28" s="111"/>
      <c r="GH28" s="111"/>
      <c r="GI28" s="112"/>
      <c r="GJ28" s="111" t="e">
        <f t="shared" si="59"/>
        <v>#DIV/0!</v>
      </c>
      <c r="GK28" s="118"/>
    </row>
    <row r="29" spans="1:193" ht="15" customHeight="1">
      <c r="B29" s="351">
        <v>43093</v>
      </c>
      <c r="D29" s="86">
        <v>4656.7199999999993</v>
      </c>
      <c r="E29" s="86">
        <v>6064.5599999999995</v>
      </c>
      <c r="F29" s="86">
        <v>2757.8879999999999</v>
      </c>
      <c r="G29" s="86">
        <v>3737.4690000000001</v>
      </c>
      <c r="H29" s="86">
        <v>7474.4969999999994</v>
      </c>
      <c r="I29" s="86">
        <v>1761.0050000000001</v>
      </c>
      <c r="J29" s="86">
        <v>6507.6</v>
      </c>
      <c r="K29" s="284">
        <v>0</v>
      </c>
      <c r="L29" s="284">
        <v>0</v>
      </c>
      <c r="M29" s="115">
        <f t="shared" si="60"/>
        <v>8268.6049999999996</v>
      </c>
      <c r="N29" s="88">
        <f t="shared" si="20"/>
        <v>24691.133999999998</v>
      </c>
      <c r="O29" s="88">
        <f t="shared" si="74"/>
        <v>28825.436499999996</v>
      </c>
      <c r="P29" s="89">
        <f t="shared" si="21"/>
        <v>584701.49399999995</v>
      </c>
      <c r="R29" s="170">
        <f t="shared" si="22"/>
        <v>0</v>
      </c>
      <c r="S29" s="170">
        <f t="shared" si="23"/>
        <v>-9.9999999976716943E-3</v>
      </c>
      <c r="T29" s="170">
        <f t="shared" si="2"/>
        <v>198.2</v>
      </c>
      <c r="U29" s="170">
        <f t="shared" si="72"/>
        <v>8.1</v>
      </c>
      <c r="V29" s="170">
        <f t="shared" si="24"/>
        <v>1660.6999999997206</v>
      </c>
      <c r="W29" s="170">
        <f t="shared" si="3"/>
        <v>146.9</v>
      </c>
      <c r="X29" s="170">
        <f t="shared" si="25"/>
        <v>1660.6999999997206</v>
      </c>
      <c r="Y29" s="170">
        <f t="shared" si="26"/>
        <v>589.29999999999995</v>
      </c>
      <c r="Z29" s="170">
        <f t="shared" si="4"/>
        <v>152.69999999999999</v>
      </c>
      <c r="AA29" s="501">
        <f t="shared" si="27"/>
        <v>1866.9899999997228</v>
      </c>
      <c r="AB29" s="170">
        <f t="shared" si="28"/>
        <v>0</v>
      </c>
      <c r="AC29" s="170">
        <f t="shared" si="28"/>
        <v>26</v>
      </c>
      <c r="AD29" s="501">
        <f t="shared" si="5"/>
        <v>122</v>
      </c>
      <c r="AE29" s="501">
        <f t="shared" si="29"/>
        <v>96</v>
      </c>
      <c r="AF29" s="170">
        <f t="shared" si="30"/>
        <v>152</v>
      </c>
      <c r="AG29" s="170">
        <f t="shared" si="30"/>
        <v>50.799999999988358</v>
      </c>
      <c r="AH29" s="501">
        <f t="shared" si="6"/>
        <v>253</v>
      </c>
      <c r="AI29" s="501">
        <f>IF(AF29="","",(AH29-AG29-AF29))</f>
        <v>50.200000000011642</v>
      </c>
      <c r="AJ29" s="170">
        <f t="shared" si="32"/>
        <v>199</v>
      </c>
      <c r="AK29" s="170">
        <f t="shared" si="32"/>
        <v>20.200000000004366</v>
      </c>
      <c r="AL29" s="501">
        <f t="shared" si="7"/>
        <v>311</v>
      </c>
      <c r="AM29" s="501">
        <f t="shared" si="33"/>
        <v>91.799999999995634</v>
      </c>
      <c r="AN29" s="170">
        <f t="shared" si="34"/>
        <v>31.099999999998545</v>
      </c>
      <c r="AO29" s="501">
        <f t="shared" si="8"/>
        <v>55.200000000004366</v>
      </c>
      <c r="AP29" s="170">
        <f t="shared" si="35"/>
        <v>20.5</v>
      </c>
      <c r="AQ29" s="501">
        <f t="shared" si="9"/>
        <v>26.700000000011642</v>
      </c>
      <c r="AR29" s="170">
        <f t="shared" si="36"/>
        <v>59.99</v>
      </c>
      <c r="AS29" s="501">
        <f t="shared" si="37"/>
        <v>111.99000000000001</v>
      </c>
      <c r="AT29" s="501">
        <f t="shared" si="38"/>
        <v>999.99</v>
      </c>
      <c r="AU29" s="170">
        <f t="shared" si="61"/>
        <v>655</v>
      </c>
      <c r="AV29" s="501">
        <f t="shared" si="62"/>
        <v>13</v>
      </c>
      <c r="AW29" s="170">
        <f t="shared" si="63"/>
        <v>233</v>
      </c>
      <c r="AX29" s="501">
        <f t="shared" si="64"/>
        <v>16</v>
      </c>
      <c r="AY29" s="501" t="str">
        <f t="shared" si="64"/>
        <v/>
      </c>
      <c r="AZ29" s="170">
        <f t="shared" si="39"/>
        <v>534</v>
      </c>
      <c r="BA29" s="170">
        <v>0</v>
      </c>
      <c r="BB29" s="170">
        <f t="shared" si="40"/>
        <v>161</v>
      </c>
      <c r="BC29" s="170">
        <f t="shared" si="40"/>
        <v>1498</v>
      </c>
      <c r="BD29" s="170">
        <f t="shared" si="41"/>
        <v>160</v>
      </c>
      <c r="BE29" s="90"/>
      <c r="BF29" s="90"/>
      <c r="BG29" s="501">
        <f t="shared" si="42"/>
        <v>2353</v>
      </c>
      <c r="BH29" s="501">
        <f t="shared" si="43"/>
        <v>1103</v>
      </c>
      <c r="BI29" s="90">
        <f t="shared" si="10"/>
        <v>1366.1200000002609</v>
      </c>
      <c r="BJ29" s="90">
        <f>IF(BH29=0,"",(AA29+AD29+AO29+BG29+AH29+AL29+AQ29+AT29+AX29+AV29))</f>
        <v>6016.8799999997391</v>
      </c>
      <c r="BK29" s="92"/>
      <c r="BL29" s="331">
        <f>FD29+FN29</f>
        <v>8486</v>
      </c>
      <c r="BM29" s="93">
        <f t="shared" si="45"/>
        <v>196905</v>
      </c>
      <c r="BN29" s="92"/>
      <c r="BO29" s="94">
        <f t="shared" si="46"/>
        <v>0</v>
      </c>
      <c r="BP29" s="94">
        <f t="shared" si="46"/>
        <v>-4.0500367450404246E-6</v>
      </c>
      <c r="BQ29" s="94">
        <f t="shared" si="47"/>
        <v>8.0271728305390921E-2</v>
      </c>
      <c r="BR29" s="94">
        <f t="shared" si="66"/>
        <v>0.67258960240534948</v>
      </c>
      <c r="BS29" s="94">
        <f t="shared" si="75"/>
        <v>0.23866866544080154</v>
      </c>
      <c r="BT29" s="94">
        <f t="shared" si="75"/>
        <v>6.1844061111166464E-2</v>
      </c>
      <c r="BU29" s="95">
        <f t="shared" si="75"/>
        <v>0.75613781043824191</v>
      </c>
      <c r="BV29" s="94">
        <f t="shared" si="12"/>
        <v>0</v>
      </c>
      <c r="BW29" s="94">
        <f t="shared" si="12"/>
        <v>-3.469158219918611E-6</v>
      </c>
      <c r="BX29" s="94">
        <f t="shared" si="12"/>
        <v>6.8758715934796003E-2</v>
      </c>
      <c r="BY29" s="94">
        <f t="shared" si="48"/>
        <v>0.57612310571592584</v>
      </c>
      <c r="BZ29" s="95">
        <f t="shared" si="13"/>
        <v>0.64768837065129026</v>
      </c>
      <c r="CA29" s="96" t="e">
        <f>#REF!</f>
        <v>#REF!</v>
      </c>
      <c r="CB29" s="94">
        <f t="shared" si="49"/>
        <v>2.0811480166137295E-2</v>
      </c>
      <c r="CC29" s="95">
        <f t="shared" si="49"/>
        <v>3.8851102913914248E-2</v>
      </c>
      <c r="CD29" s="97">
        <f t="shared" si="14"/>
        <v>7.2551536806994651E-2</v>
      </c>
      <c r="CE29" s="98">
        <f t="shared" si="14"/>
        <v>0.13544001678638659</v>
      </c>
      <c r="CF29" s="97">
        <f t="shared" si="50"/>
        <v>0</v>
      </c>
      <c r="CG29" s="94">
        <f t="shared" si="50"/>
        <v>5.5833290384648432E-2</v>
      </c>
      <c r="CH29" s="95">
        <f t="shared" si="51"/>
        <v>0.26198697795873493</v>
      </c>
      <c r="CI29" s="96" t="e">
        <f>#REF!</f>
        <v>#REF!</v>
      </c>
      <c r="CJ29" s="94">
        <f t="shared" si="52"/>
        <v>0.25063648475734435</v>
      </c>
      <c r="CK29" s="94">
        <f t="shared" si="52"/>
        <v>8.3765351484672207E-2</v>
      </c>
      <c r="CL29" s="95">
        <f>IF($E29&lt;&gt;0,IF($E29&lt;&gt;0,AH29/$E29*10,0),"0,00 ")</f>
        <v>0.41717783318163232</v>
      </c>
      <c r="CM29" s="95" t="e">
        <f>#REF!</f>
        <v>#REF!</v>
      </c>
      <c r="CN29" s="94">
        <f t="shared" si="53"/>
        <v>0.72156664810173587</v>
      </c>
      <c r="CO29" s="94">
        <f t="shared" si="53"/>
        <v>7.3244453726925701E-2</v>
      </c>
      <c r="CP29" s="95">
        <f t="shared" si="54"/>
        <v>1.127674510349949</v>
      </c>
      <c r="CQ29" s="95" t="e">
        <f>#REF!</f>
        <v>#REF!</v>
      </c>
      <c r="CR29" s="97">
        <f t="shared" si="68"/>
        <v>8.3211392522582903E-2</v>
      </c>
      <c r="CS29" s="95">
        <f t="shared" si="68"/>
        <v>0.14769353270891175</v>
      </c>
      <c r="CT29" s="96" t="e">
        <f>#REF!</f>
        <v>#REF!</v>
      </c>
      <c r="CU29" s="97">
        <f t="shared" si="69"/>
        <v>2.7426594726039762E-2</v>
      </c>
      <c r="CV29" s="95">
        <f t="shared" si="55"/>
        <v>3.572146727734541E-2</v>
      </c>
      <c r="CW29" s="96" t="e">
        <f>#REF!</f>
        <v>#REF!</v>
      </c>
      <c r="CX29" s="99">
        <f t="shared" si="76"/>
        <v>0.22722986345757507</v>
      </c>
      <c r="CY29" s="95">
        <f t="shared" si="76"/>
        <v>4.5099056869442383E-3</v>
      </c>
      <c r="CZ29" s="99">
        <f t="shared" si="76"/>
        <v>8.0831386542923656E-2</v>
      </c>
      <c r="DA29" s="95">
        <f t="shared" si="76"/>
        <v>5.5506531531621384E-3</v>
      </c>
      <c r="DB29" s="94">
        <f t="shared" si="15"/>
        <v>0.18525304898678641</v>
      </c>
      <c r="DC29" s="94">
        <f t="shared" si="16"/>
        <v>5.5853447353694026E-2</v>
      </c>
      <c r="DD29" s="94">
        <f t="shared" si="16"/>
        <v>0.51967990146480525</v>
      </c>
      <c r="DE29" s="94">
        <f t="shared" si="16"/>
        <v>5.5506531531621391E-2</v>
      </c>
      <c r="DF29" s="94">
        <f t="shared" si="16"/>
        <v>0</v>
      </c>
      <c r="DG29" s="94">
        <f t="shared" si="16"/>
        <v>0</v>
      </c>
      <c r="DH29" s="95">
        <f t="shared" si="16"/>
        <v>0.81629292933690711</v>
      </c>
      <c r="DI29" s="96" t="e">
        <f>#REF!</f>
        <v>#REF!</v>
      </c>
      <c r="DJ29" s="95">
        <f t="shared" si="57"/>
        <v>0.382648151746115</v>
      </c>
      <c r="DK29" s="96" t="e">
        <f>#REF!</f>
        <v>#REF!</v>
      </c>
      <c r="DL29" s="95">
        <f t="shared" si="58"/>
        <v>0.47392864284995684</v>
      </c>
      <c r="DM29" s="96">
        <f t="shared" si="17"/>
        <v>0</v>
      </c>
      <c r="DN29" s="94">
        <f t="shared" si="18"/>
        <v>2.0873508715122977</v>
      </c>
      <c r="DO29" s="100">
        <v>3.4</v>
      </c>
      <c r="DP29" s="94">
        <f t="shared" si="70"/>
        <v>2.9439276661083698</v>
      </c>
      <c r="DQ29" s="94">
        <f>IF($P29&lt;&gt;0,IF($P29&lt;&gt;0,BM29/$P29*10,0)," ")</f>
        <v>3.3676158179954987</v>
      </c>
      <c r="DR29" s="101">
        <f t="shared" si="19"/>
        <v>2.95</v>
      </c>
      <c r="DS29" s="178"/>
      <c r="DT29" s="103">
        <v>24</v>
      </c>
      <c r="DU29" s="473">
        <v>646858</v>
      </c>
      <c r="DV29" s="361">
        <v>33411</v>
      </c>
      <c r="DW29" s="330">
        <v>5169099</v>
      </c>
      <c r="DX29" s="330">
        <v>128770</v>
      </c>
      <c r="DY29" s="330">
        <v>93782.399999999994</v>
      </c>
      <c r="DZ29" s="330">
        <v>418294</v>
      </c>
      <c r="EA29" s="330">
        <v>253892</v>
      </c>
      <c r="EB29" s="330">
        <v>58604.4</v>
      </c>
      <c r="EC29" s="330">
        <v>435162</v>
      </c>
      <c r="ED29" s="330">
        <v>50690.5</v>
      </c>
      <c r="EE29" s="330">
        <v>42959.4</v>
      </c>
      <c r="EF29" s="330">
        <v>45438.8</v>
      </c>
      <c r="EG29" s="330">
        <v>97713.5</v>
      </c>
      <c r="EH29" s="330">
        <v>191294.5</v>
      </c>
      <c r="EI29" s="330">
        <v>37195</v>
      </c>
      <c r="EJ29" s="330">
        <v>45548</v>
      </c>
      <c r="EK29" s="330"/>
      <c r="EL29" s="135">
        <v>736231.7</v>
      </c>
      <c r="EM29" s="330">
        <v>1982</v>
      </c>
      <c r="EN29" s="330">
        <v>51722</v>
      </c>
      <c r="EO29" s="330">
        <v>3217684.4</v>
      </c>
      <c r="EP29" s="330">
        <v>2916344</v>
      </c>
      <c r="EQ29" s="330">
        <v>5893</v>
      </c>
      <c r="ER29" s="330">
        <v>1527</v>
      </c>
      <c r="ES29" s="330">
        <v>482595</v>
      </c>
      <c r="ET29" s="330">
        <v>4846144</v>
      </c>
      <c r="EU29" s="330">
        <v>180882</v>
      </c>
      <c r="EV29" s="330">
        <v>499888</v>
      </c>
      <c r="EW29" s="330">
        <v>168919</v>
      </c>
      <c r="EX29" s="330">
        <v>234124</v>
      </c>
      <c r="EY29" s="330">
        <v>1783672.4</v>
      </c>
      <c r="EZ29" s="303">
        <v>858122</v>
      </c>
      <c r="FA29" s="387">
        <v>786631</v>
      </c>
      <c r="FB29" s="387">
        <v>33377.800000000003</v>
      </c>
      <c r="FC29" s="385">
        <v>7383</v>
      </c>
      <c r="FD29" s="383">
        <f t="shared" si="73"/>
        <v>5886</v>
      </c>
      <c r="FE29" s="136">
        <v>579</v>
      </c>
      <c r="FF29" s="136">
        <v>0</v>
      </c>
      <c r="FG29" s="105">
        <v>1905</v>
      </c>
      <c r="FH29" s="136">
        <v>1113</v>
      </c>
      <c r="FI29" s="136">
        <v>556</v>
      </c>
      <c r="FJ29" s="136">
        <v>444</v>
      </c>
      <c r="FK29" s="136">
        <v>638</v>
      </c>
      <c r="FL29" s="136">
        <v>170</v>
      </c>
      <c r="FM29" s="136">
        <v>481</v>
      </c>
      <c r="FN29" s="80">
        <v>2600</v>
      </c>
      <c r="FO29" s="389"/>
      <c r="FP29" s="487"/>
      <c r="FR29" s="64"/>
      <c r="FS29" s="64"/>
      <c r="FT29" s="64"/>
      <c r="FU29" s="64"/>
      <c r="FV29" s="64"/>
      <c r="FW29" s="64"/>
      <c r="FX29" s="64"/>
      <c r="FY29" s="64">
        <v>24</v>
      </c>
      <c r="FZ29" s="107"/>
      <c r="GA29" s="107"/>
      <c r="GB29" s="107"/>
      <c r="GC29" s="109"/>
      <c r="GD29" s="110"/>
      <c r="GE29" s="110"/>
      <c r="GF29" s="111"/>
      <c r="GG29" s="111"/>
      <c r="GH29" s="111"/>
      <c r="GI29" s="179"/>
      <c r="GJ29" s="111" t="e">
        <f t="shared" si="59"/>
        <v>#DIV/0!</v>
      </c>
      <c r="GK29" s="113"/>
    </row>
    <row r="30" spans="1:193" ht="15" customHeight="1">
      <c r="B30" s="351">
        <v>43094</v>
      </c>
      <c r="D30" s="86">
        <v>0</v>
      </c>
      <c r="E30" s="86">
        <v>3007.08</v>
      </c>
      <c r="F30" s="86">
        <v>1144.44</v>
      </c>
      <c r="G30" s="86">
        <v>3998.0949999999998</v>
      </c>
      <c r="H30" s="86">
        <v>7423.0149999999994</v>
      </c>
      <c r="I30" s="86">
        <v>1018.891</v>
      </c>
      <c r="J30" s="86">
        <v>7163.7720000000008</v>
      </c>
      <c r="K30" s="284">
        <v>0</v>
      </c>
      <c r="L30" s="284">
        <v>0</v>
      </c>
      <c r="M30" s="115">
        <f t="shared" si="60"/>
        <v>8182.6630000000005</v>
      </c>
      <c r="N30" s="88">
        <f t="shared" si="20"/>
        <v>15572.63</v>
      </c>
      <c r="O30" s="88">
        <f t="shared" si="74"/>
        <v>19663.961499999998</v>
      </c>
      <c r="P30" s="89">
        <f t="shared" si="21"/>
        <v>604365.45549999992</v>
      </c>
      <c r="R30" s="170">
        <f t="shared" si="22"/>
        <v>0</v>
      </c>
      <c r="S30" s="170">
        <f t="shared" si="23"/>
        <v>0</v>
      </c>
      <c r="T30" s="170">
        <f t="shared" si="2"/>
        <v>781.4</v>
      </c>
      <c r="U30" s="170">
        <f t="shared" si="72"/>
        <v>4.3099999999998548</v>
      </c>
      <c r="V30" s="170">
        <f t="shared" si="24"/>
        <v>813.10000000009313</v>
      </c>
      <c r="W30" s="170">
        <f>IF(EP30=0,"",(EP30-EP29)/10)</f>
        <v>73.2</v>
      </c>
      <c r="X30" s="170">
        <f t="shared" si="25"/>
        <v>813.10000000009313</v>
      </c>
      <c r="Y30" s="170">
        <f t="shared" si="26"/>
        <v>258.39999999999998</v>
      </c>
      <c r="Z30" s="170">
        <f t="shared" si="4"/>
        <v>67.599999999999994</v>
      </c>
      <c r="AA30" s="501">
        <f t="shared" si="27"/>
        <v>1598.8100000000929</v>
      </c>
      <c r="AB30" s="170">
        <f t="shared" si="28"/>
        <v>216</v>
      </c>
      <c r="AC30" s="170">
        <f t="shared" si="28"/>
        <v>0</v>
      </c>
      <c r="AD30" s="501">
        <f t="shared" si="5"/>
        <v>419</v>
      </c>
      <c r="AE30" s="501">
        <f t="shared" si="29"/>
        <v>203</v>
      </c>
      <c r="AF30" s="170">
        <f>IF(DX30=0,"",(DX30-DX29))</f>
        <v>38</v>
      </c>
      <c r="AG30" s="170">
        <f t="shared" si="30"/>
        <v>23.900000000008731</v>
      </c>
      <c r="AH30" s="501">
        <f t="shared" si="6"/>
        <v>172</v>
      </c>
      <c r="AI30" s="501">
        <f t="shared" si="31"/>
        <v>110.09999999999127</v>
      </c>
      <c r="AJ30" s="170">
        <f>IF(EA30=0,"",(EA30-EA29))</f>
        <v>98</v>
      </c>
      <c r="AK30" s="170">
        <f t="shared" si="32"/>
        <v>32.19999999999709</v>
      </c>
      <c r="AL30" s="501">
        <f t="shared" si="7"/>
        <v>218</v>
      </c>
      <c r="AM30" s="501">
        <f t="shared" si="33"/>
        <v>87.80000000000291</v>
      </c>
      <c r="AN30" s="170">
        <f t="shared" si="34"/>
        <v>37.80000000000291</v>
      </c>
      <c r="AO30" s="501">
        <f t="shared" si="8"/>
        <v>59.799999999995634</v>
      </c>
      <c r="AP30" s="170">
        <f t="shared" si="35"/>
        <v>23.30000000000291</v>
      </c>
      <c r="AQ30" s="501">
        <f>IF(AP30=0.1,0,(IF(AP30&gt;=(EH30-EH29),(AP30),(EH30-EH29))))</f>
        <v>36.899999999994179</v>
      </c>
      <c r="AR30" s="170">
        <f t="shared" si="36"/>
        <v>57.167999999999999</v>
      </c>
      <c r="AS30" s="501">
        <f t="shared" si="37"/>
        <v>86.168000000000006</v>
      </c>
      <c r="AT30" s="501">
        <f t="shared" si="38"/>
        <v>780.16800000000001</v>
      </c>
      <c r="AU30" s="170">
        <f t="shared" si="61"/>
        <v>539</v>
      </c>
      <c r="AV30" s="501">
        <f t="shared" si="62"/>
        <v>57</v>
      </c>
      <c r="AW30" s="170">
        <f t="shared" si="63"/>
        <v>155</v>
      </c>
      <c r="AX30" s="501">
        <f t="shared" si="64"/>
        <v>12</v>
      </c>
      <c r="AY30" s="501" t="str">
        <f t="shared" si="64"/>
        <v/>
      </c>
      <c r="AZ30" s="170">
        <f t="shared" si="39"/>
        <v>385</v>
      </c>
      <c r="BA30" s="170">
        <v>0</v>
      </c>
      <c r="BB30" s="170">
        <f t="shared" si="40"/>
        <v>132.60000000000582</v>
      </c>
      <c r="BC30" s="170">
        <f t="shared" si="40"/>
        <v>853.4000000001397</v>
      </c>
      <c r="BD30" s="170">
        <f t="shared" si="41"/>
        <v>249</v>
      </c>
      <c r="BE30" s="90"/>
      <c r="BF30" s="90"/>
      <c r="BG30" s="501">
        <f t="shared" si="42"/>
        <v>1620.0000000001455</v>
      </c>
      <c r="BH30" s="501">
        <f t="shared" si="43"/>
        <v>2087</v>
      </c>
      <c r="BI30" s="90">
        <f>IF(FC30=0,"",(FC30-BJ30))</f>
        <v>1737.3219999997718</v>
      </c>
      <c r="BJ30" s="90">
        <f t="shared" si="44"/>
        <v>4973.6780000002282</v>
      </c>
      <c r="BK30" s="92"/>
      <c r="BL30" s="331">
        <f t="shared" si="65"/>
        <v>8798</v>
      </c>
      <c r="BM30" s="93">
        <f t="shared" si="45"/>
        <v>205703</v>
      </c>
      <c r="BN30" s="92"/>
      <c r="BO30" s="94">
        <f t="shared" si="46"/>
        <v>0</v>
      </c>
      <c r="BP30" s="94">
        <f t="shared" si="46"/>
        <v>0</v>
      </c>
      <c r="BQ30" s="94">
        <f t="shared" si="47"/>
        <v>0.50177779861205207</v>
      </c>
      <c r="BR30" s="94">
        <f t="shared" si="66"/>
        <v>0.52213402617290283</v>
      </c>
      <c r="BS30" s="94">
        <f t="shared" si="75"/>
        <v>0.16593215147345053</v>
      </c>
      <c r="BT30" s="94">
        <f t="shared" si="75"/>
        <v>4.3409494735314462E-2</v>
      </c>
      <c r="BU30" s="95">
        <f t="shared" si="75"/>
        <v>1.0266795011504757</v>
      </c>
      <c r="BV30" s="94">
        <f t="shared" si="12"/>
        <v>0</v>
      </c>
      <c r="BW30" s="94">
        <f t="shared" si="12"/>
        <v>0</v>
      </c>
      <c r="BX30" s="94">
        <f t="shared" si="12"/>
        <v>0.39737669339924209</v>
      </c>
      <c r="BY30" s="94">
        <f t="shared" si="48"/>
        <v>0.41349755490524798</v>
      </c>
      <c r="BZ30" s="95">
        <f t="shared" si="13"/>
        <v>0.81306607521586793</v>
      </c>
      <c r="CA30" s="96" t="e">
        <f>#REF!</f>
        <v>#REF!</v>
      </c>
      <c r="CB30" s="94">
        <f t="shared" si="49"/>
        <v>2.9072473519641505E-2</v>
      </c>
      <c r="CC30" s="95">
        <f t="shared" si="49"/>
        <v>4.3820264802695026E-2</v>
      </c>
      <c r="CD30" s="97">
        <f t="shared" si="14"/>
        <v>6.9864786072700288E-2</v>
      </c>
      <c r="CE30" s="98">
        <f t="shared" si="14"/>
        <v>0.10530557105920163</v>
      </c>
      <c r="CF30" s="97" t="str">
        <f t="shared" si="50"/>
        <v>0,00</v>
      </c>
      <c r="CG30" s="94" t="str">
        <f t="shared" si="50"/>
        <v>0,00</v>
      </c>
      <c r="CH30" s="95" t="str">
        <f t="shared" si="51"/>
        <v xml:space="preserve">0,00 </v>
      </c>
      <c r="CI30" s="96" t="e">
        <f>#REF!</f>
        <v>#REF!</v>
      </c>
      <c r="CJ30" s="94">
        <f t="shared" si="52"/>
        <v>0.12636843715498092</v>
      </c>
      <c r="CK30" s="94">
        <f t="shared" si="52"/>
        <v>7.9479096000135446E-2</v>
      </c>
      <c r="CL30" s="95">
        <f t="shared" si="67"/>
        <v>0.57198345238570303</v>
      </c>
      <c r="CM30" s="95" t="e">
        <f>#REF!</f>
        <v>#REF!</v>
      </c>
      <c r="CN30" s="94">
        <f t="shared" si="53"/>
        <v>0.85631400510293232</v>
      </c>
      <c r="CO30" s="94">
        <f t="shared" si="53"/>
        <v>0.28136031596236666</v>
      </c>
      <c r="CP30" s="95">
        <f t="shared" si="54"/>
        <v>1.9048617664534619</v>
      </c>
      <c r="CQ30" s="95" t="e">
        <f>#REF!</f>
        <v>#REF!</v>
      </c>
      <c r="CR30" s="97">
        <f t="shared" si="68"/>
        <v>9.4545027069148968E-2</v>
      </c>
      <c r="CS30" s="95">
        <f t="shared" si="68"/>
        <v>0.14957123329984814</v>
      </c>
      <c r="CT30" s="96" t="e">
        <f>#REF!</f>
        <v>#REF!</v>
      </c>
      <c r="CU30" s="97">
        <f t="shared" si="69"/>
        <v>3.1388862881191686E-2</v>
      </c>
      <c r="CV30" s="95">
        <f t="shared" si="55"/>
        <v>4.9710259241014854E-2</v>
      </c>
      <c r="CW30" s="96" t="e">
        <f>#REF!</f>
        <v>#REF!</v>
      </c>
      <c r="CX30" s="99">
        <f t="shared" si="76"/>
        <v>0.27410550005399476</v>
      </c>
      <c r="CY30" s="95">
        <f t="shared" si="76"/>
        <v>2.8987038039105198E-2</v>
      </c>
      <c r="CZ30" s="99">
        <f t="shared" si="76"/>
        <v>7.8824401685286052E-2</v>
      </c>
      <c r="DA30" s="95">
        <f t="shared" si="76"/>
        <v>6.1025343240221465E-3</v>
      </c>
      <c r="DB30" s="94">
        <f t="shared" si="15"/>
        <v>0.19578964289571052</v>
      </c>
      <c r="DC30" s="94">
        <f t="shared" si="16"/>
        <v>6.7433004280447684E-2</v>
      </c>
      <c r="DD30" s="94">
        <f t="shared" si="16"/>
        <v>0.43399189934344606</v>
      </c>
      <c r="DE30" s="94">
        <f t="shared" si="16"/>
        <v>0.12662758722345954</v>
      </c>
      <c r="DF30" s="94">
        <f t="shared" si="16"/>
        <v>0</v>
      </c>
      <c r="DG30" s="94">
        <f t="shared" si="16"/>
        <v>0</v>
      </c>
      <c r="DH30" s="95">
        <f t="shared" si="16"/>
        <v>0.8238421337430637</v>
      </c>
      <c r="DI30" s="96" t="e">
        <f>#REF!</f>
        <v>#REF!</v>
      </c>
      <c r="DJ30" s="95">
        <f t="shared" si="57"/>
        <v>1.0613324278528515</v>
      </c>
      <c r="DK30" s="96" t="e">
        <f>#REF!</f>
        <v>#REF!</v>
      </c>
      <c r="DL30" s="95">
        <f t="shared" si="58"/>
        <v>0.88350559473978418</v>
      </c>
      <c r="DM30" s="96">
        <f t="shared" si="17"/>
        <v>0</v>
      </c>
      <c r="DN30" s="94">
        <f t="shared" si="18"/>
        <v>2.5293367259696007</v>
      </c>
      <c r="DO30" s="100">
        <v>3.4</v>
      </c>
      <c r="DP30" s="94">
        <f>IF($O30&lt;&gt;0,IF($O30&lt;&gt;0,BL30/$O30*10,0)," ")</f>
        <v>4.4741747485622367</v>
      </c>
      <c r="DQ30" s="94">
        <f>IF($P30&lt;&gt;0,IF($P30&lt;&gt;0,BM30/$P30*10,0)," ")</f>
        <v>3.4036194181518709</v>
      </c>
      <c r="DR30" s="101">
        <f t="shared" si="19"/>
        <v>2.95</v>
      </c>
      <c r="DT30" s="103">
        <v>25</v>
      </c>
      <c r="DU30" s="330">
        <v>647074</v>
      </c>
      <c r="DV30" s="361">
        <v>33411</v>
      </c>
      <c r="DW30" s="330">
        <v>5169302</v>
      </c>
      <c r="DX30" s="330">
        <v>128808</v>
      </c>
      <c r="DY30" s="330">
        <v>93806.3</v>
      </c>
      <c r="DZ30" s="330">
        <v>418428</v>
      </c>
      <c r="EA30" s="330">
        <v>253990</v>
      </c>
      <c r="EB30" s="330">
        <v>58636.6</v>
      </c>
      <c r="EC30" s="330">
        <v>435282</v>
      </c>
      <c r="ED30" s="330">
        <v>50728.3</v>
      </c>
      <c r="EE30" s="330">
        <v>42973</v>
      </c>
      <c r="EF30" s="330">
        <v>45485</v>
      </c>
      <c r="EG30" s="330">
        <v>97736.8</v>
      </c>
      <c r="EH30" s="330">
        <v>191331.4</v>
      </c>
      <c r="EI30" s="330">
        <v>37252</v>
      </c>
      <c r="EJ30" s="330">
        <v>45560</v>
      </c>
      <c r="EK30" s="330"/>
      <c r="EL30" s="135">
        <v>736231.7</v>
      </c>
      <c r="EM30" s="330">
        <v>7814</v>
      </c>
      <c r="EN30" s="330">
        <v>51765.1</v>
      </c>
      <c r="EO30" s="330">
        <v>3218497.5</v>
      </c>
      <c r="EP30" s="330">
        <v>2917076</v>
      </c>
      <c r="EQ30" s="330">
        <v>2584</v>
      </c>
      <c r="ER30" s="330">
        <v>676</v>
      </c>
      <c r="ES30" s="330">
        <v>483318</v>
      </c>
      <c r="ET30" s="104">
        <v>4903312</v>
      </c>
      <c r="EU30" s="330">
        <v>181037</v>
      </c>
      <c r="EV30" s="136">
        <v>500427</v>
      </c>
      <c r="EW30" s="330">
        <v>169304</v>
      </c>
      <c r="EX30" s="330">
        <v>234256.6</v>
      </c>
      <c r="EY30" s="330">
        <v>1784525.8</v>
      </c>
      <c r="EZ30" s="330">
        <v>858122</v>
      </c>
      <c r="FA30" s="385">
        <v>786880</v>
      </c>
      <c r="FB30" s="387">
        <v>33377.800000000003</v>
      </c>
      <c r="FC30" s="378">
        <v>6711</v>
      </c>
      <c r="FD30" s="383">
        <f t="shared" ref="FD30:FD35" si="77">SUM(FE30:FM30)</f>
        <v>6198</v>
      </c>
      <c r="FE30" s="136">
        <v>628</v>
      </c>
      <c r="FF30" s="136">
        <v>0</v>
      </c>
      <c r="FG30" s="105">
        <v>2180</v>
      </c>
      <c r="FH30" s="136">
        <v>1250</v>
      </c>
      <c r="FI30" s="136">
        <v>547</v>
      </c>
      <c r="FJ30" s="136">
        <v>439</v>
      </c>
      <c r="FK30" s="136">
        <v>547</v>
      </c>
      <c r="FL30" s="136">
        <v>132</v>
      </c>
      <c r="FM30" s="136">
        <v>475</v>
      </c>
      <c r="FN30" s="80">
        <v>2600</v>
      </c>
      <c r="FO30" s="104"/>
      <c r="FP30" s="484"/>
      <c r="FR30" s="64"/>
      <c r="FS30" s="64"/>
      <c r="FT30" s="64"/>
      <c r="FU30" s="64"/>
      <c r="FV30" s="64"/>
      <c r="FW30" s="64"/>
      <c r="FX30" s="64"/>
      <c r="FY30" s="64">
        <v>25</v>
      </c>
      <c r="FZ30" s="107"/>
      <c r="GA30" s="107"/>
      <c r="GB30" s="180"/>
      <c r="GC30" s="109"/>
      <c r="GD30" s="110"/>
      <c r="GE30" s="110"/>
      <c r="GF30" s="111"/>
      <c r="GG30" s="111"/>
      <c r="GH30" s="111"/>
      <c r="GI30" s="164"/>
      <c r="GJ30" s="111" t="e">
        <f t="shared" si="59"/>
        <v>#DIV/0!</v>
      </c>
    </row>
    <row r="31" spans="1:193" ht="15" customHeight="1">
      <c r="B31" s="351">
        <v>43095</v>
      </c>
      <c r="D31" s="86">
        <v>0</v>
      </c>
      <c r="E31" s="86">
        <v>4836</v>
      </c>
      <c r="F31" s="86">
        <v>2474.136</v>
      </c>
      <c r="G31" s="86">
        <v>4193.7150000000001</v>
      </c>
      <c r="H31" s="86">
        <v>4361.8919999999998</v>
      </c>
      <c r="I31" s="86">
        <v>1555.6959999999999</v>
      </c>
      <c r="J31" s="86">
        <v>6914.16</v>
      </c>
      <c r="K31" s="284">
        <v>6.4829999999999997</v>
      </c>
      <c r="L31" s="284">
        <v>0</v>
      </c>
      <c r="M31" s="115">
        <f t="shared" si="60"/>
        <v>8469.8559999999998</v>
      </c>
      <c r="N31" s="88">
        <f t="shared" si="20"/>
        <v>15865.743</v>
      </c>
      <c r="O31" s="88">
        <f>(N31+L31+K31+((J31+I31)*0.5))+1246</f>
        <v>21353.154000000002</v>
      </c>
      <c r="P31" s="89">
        <f t="shared" si="21"/>
        <v>625718.6094999999</v>
      </c>
      <c r="R31" s="170">
        <f t="shared" si="22"/>
        <v>0</v>
      </c>
      <c r="S31" s="170">
        <f t="shared" si="23"/>
        <v>0</v>
      </c>
      <c r="T31" s="170">
        <f t="shared" si="2"/>
        <v>10.8</v>
      </c>
      <c r="U31" s="170">
        <f t="shared" si="72"/>
        <v>6.0200000000004366</v>
      </c>
      <c r="V31" s="170">
        <f t="shared" si="24"/>
        <v>1051.7000000001863</v>
      </c>
      <c r="W31" s="170">
        <f t="shared" si="3"/>
        <v>93.6</v>
      </c>
      <c r="X31" s="170">
        <f t="shared" si="25"/>
        <v>1051.7000000001863</v>
      </c>
      <c r="Y31" s="170">
        <f t="shared" si="26"/>
        <v>276.2</v>
      </c>
      <c r="Z31" s="170">
        <f t="shared" si="4"/>
        <v>124.9</v>
      </c>
      <c r="AA31" s="501">
        <f t="shared" si="27"/>
        <v>1068.5200000001867</v>
      </c>
      <c r="AB31" s="170">
        <f t="shared" si="28"/>
        <v>42</v>
      </c>
      <c r="AC31" s="170">
        <f t="shared" si="28"/>
        <v>125</v>
      </c>
      <c r="AD31" s="501">
        <f t="shared" si="5"/>
        <v>265</v>
      </c>
      <c r="AE31" s="501">
        <f t="shared" si="29"/>
        <v>98</v>
      </c>
      <c r="AF31" s="170">
        <f>IF(DX31=0,"",(DX31-DX30))</f>
        <v>156</v>
      </c>
      <c r="AG31" s="170">
        <f t="shared" si="30"/>
        <v>40.899999999994179</v>
      </c>
      <c r="AH31" s="501">
        <f t="shared" si="6"/>
        <v>218</v>
      </c>
      <c r="AI31" s="501">
        <f>IF(AF31="","",(AH31-AG31-AF31))</f>
        <v>21.100000000005821</v>
      </c>
      <c r="AJ31" s="170">
        <f t="shared" si="32"/>
        <v>179</v>
      </c>
      <c r="AK31" s="170">
        <f t="shared" si="32"/>
        <v>27.30000000000291</v>
      </c>
      <c r="AL31" s="501">
        <f t="shared" si="7"/>
        <v>284</v>
      </c>
      <c r="AM31" s="501">
        <f t="shared" si="33"/>
        <v>77.69999999999709</v>
      </c>
      <c r="AN31" s="170">
        <f t="shared" si="34"/>
        <v>56.399999999994179</v>
      </c>
      <c r="AO31" s="501">
        <f t="shared" si="8"/>
        <v>27.900000000001455</v>
      </c>
      <c r="AP31" s="170">
        <f t="shared" si="35"/>
        <v>39.399999999994179</v>
      </c>
      <c r="AQ31" s="501">
        <f t="shared" si="9"/>
        <v>83.600000000005821</v>
      </c>
      <c r="AR31" s="170">
        <f t="shared" si="36"/>
        <v>80.284000000000006</v>
      </c>
      <c r="AS31" s="501">
        <f t="shared" si="37"/>
        <v>119.28400000000011</v>
      </c>
      <c r="AT31" s="501">
        <f t="shared" si="38"/>
        <v>1084.2840000000001</v>
      </c>
      <c r="AU31" s="170">
        <f t="shared" si="61"/>
        <v>750</v>
      </c>
      <c r="AV31" s="501">
        <f t="shared" si="62"/>
        <v>41</v>
      </c>
      <c r="AW31" s="170">
        <f t="shared" si="63"/>
        <v>215</v>
      </c>
      <c r="AX31" s="501">
        <f t="shared" si="64"/>
        <v>11</v>
      </c>
      <c r="AY31" s="501" t="str">
        <f t="shared" si="64"/>
        <v/>
      </c>
      <c r="AZ31" s="170">
        <f t="shared" si="39"/>
        <v>309</v>
      </c>
      <c r="BA31" s="170">
        <v>103.5</v>
      </c>
      <c r="BB31" s="170">
        <f t="shared" si="40"/>
        <v>146.60000000000582</v>
      </c>
      <c r="BC31" s="170">
        <f t="shared" si="40"/>
        <v>1158.1999999999534</v>
      </c>
      <c r="BD31" s="170">
        <f t="shared" si="41"/>
        <v>121</v>
      </c>
      <c r="BE31" s="90"/>
      <c r="BF31" s="90"/>
      <c r="BG31" s="501">
        <f t="shared" si="42"/>
        <v>1734.7999999999593</v>
      </c>
      <c r="BH31" s="501">
        <f t="shared" si="43"/>
        <v>319</v>
      </c>
      <c r="BI31" s="90">
        <f t="shared" si="10"/>
        <v>1368.895999999846</v>
      </c>
      <c r="BJ31" s="90">
        <f>IF(BH31=0,"",(AA31+AD31+AO31+BG31+AH31+AL31+AQ31+AT31+AX31+AV31))</f>
        <v>4818.104000000154</v>
      </c>
      <c r="BK31" s="92"/>
      <c r="BL31" s="331">
        <f t="shared" si="65"/>
        <v>6506</v>
      </c>
      <c r="BM31" s="93">
        <f t="shared" si="45"/>
        <v>212209</v>
      </c>
      <c r="BN31" s="92"/>
      <c r="BO31" s="94">
        <f t="shared" si="46"/>
        <v>0</v>
      </c>
      <c r="BP31" s="94">
        <f t="shared" si="46"/>
        <v>0</v>
      </c>
      <c r="BQ31" s="94">
        <f t="shared" si="47"/>
        <v>6.8071189606436974E-3</v>
      </c>
      <c r="BR31" s="94">
        <f t="shared" si="66"/>
        <v>0.66287472323242991</v>
      </c>
      <c r="BS31" s="94">
        <f t="shared" si="75"/>
        <v>0.17408576453053601</v>
      </c>
      <c r="BT31" s="94">
        <f t="shared" si="75"/>
        <v>7.8723070202259049E-2</v>
      </c>
      <c r="BU31" s="95">
        <f t="shared" si="75"/>
        <v>0.67347618072484006</v>
      </c>
      <c r="BV31" s="94">
        <f t="shared" si="12"/>
        <v>0</v>
      </c>
      <c r="BW31" s="94">
        <f t="shared" si="12"/>
        <v>0</v>
      </c>
      <c r="BX31" s="94">
        <f t="shared" si="12"/>
        <v>5.0578008288611597E-3</v>
      </c>
      <c r="BY31" s="94">
        <f t="shared" si="48"/>
        <v>0.49252677145502072</v>
      </c>
      <c r="BZ31" s="95">
        <f t="shared" si="13"/>
        <v>0.50040382793108062</v>
      </c>
      <c r="CA31" s="96" t="e">
        <f>#REF!</f>
        <v>#REF!</v>
      </c>
      <c r="CB31" s="94">
        <f t="shared" si="49"/>
        <v>3.7598192754100868E-2</v>
      </c>
      <c r="CC31" s="95">
        <f t="shared" si="49"/>
        <v>5.5862473524988437E-2</v>
      </c>
      <c r="CD31" s="97">
        <f t="shared" si="14"/>
        <v>9.4787916110970483E-2</v>
      </c>
      <c r="CE31" s="98">
        <f t="shared" si="14"/>
        <v>0.14083356316801621</v>
      </c>
      <c r="CF31" s="97" t="str">
        <f t="shared" si="50"/>
        <v>0,00</v>
      </c>
      <c r="CG31" s="94" t="str">
        <f t="shared" si="50"/>
        <v>0,00</v>
      </c>
      <c r="CH31" s="95" t="str">
        <f t="shared" si="51"/>
        <v xml:space="preserve">0,00 </v>
      </c>
      <c r="CI31" s="96" t="e">
        <f>#REF!</f>
        <v>#REF!</v>
      </c>
      <c r="CJ31" s="94">
        <f t="shared" si="52"/>
        <v>0.32258064516129031</v>
      </c>
      <c r="CK31" s="94">
        <f t="shared" si="52"/>
        <v>8.457402812240318E-2</v>
      </c>
      <c r="CL31" s="95">
        <f>IF($E31&lt;&gt;0,IF($E31&lt;&gt;0,AH31/$E31*10,0),"0,00 ")</f>
        <v>0.45078577336641856</v>
      </c>
      <c r="CM31" s="95" t="e">
        <f>#REF!</f>
        <v>#REF!</v>
      </c>
      <c r="CN31" s="94">
        <f t="shared" si="53"/>
        <v>0.7234848852286212</v>
      </c>
      <c r="CO31" s="94">
        <f t="shared" si="53"/>
        <v>0.11034154953487971</v>
      </c>
      <c r="CP31" s="95">
        <f t="shared" si="54"/>
        <v>1.1478754603627286</v>
      </c>
      <c r="CQ31" s="95" t="e">
        <f>#REF!</f>
        <v>#REF!</v>
      </c>
      <c r="CR31" s="97">
        <f t="shared" si="68"/>
        <v>0.13448696442174582</v>
      </c>
      <c r="CS31" s="98">
        <f t="shared" si="68"/>
        <v>6.6528126017150552E-2</v>
      </c>
      <c r="CT31" s="96" t="e">
        <f>#REF!</f>
        <v>#REF!</v>
      </c>
      <c r="CU31" s="97">
        <f t="shared" si="69"/>
        <v>9.0327775194787449E-2</v>
      </c>
      <c r="CV31" s="95">
        <f t="shared" si="55"/>
        <v>0.19165994939811859</v>
      </c>
      <c r="CW31" s="96" t="e">
        <f>#REF!</f>
        <v>#REF!</v>
      </c>
      <c r="CX31" s="99">
        <f t="shared" si="76"/>
        <v>0.3512361686709139</v>
      </c>
      <c r="CY31" s="95">
        <f t="shared" si="76"/>
        <v>1.9200910554009958E-2</v>
      </c>
      <c r="CZ31" s="99">
        <f t="shared" si="76"/>
        <v>0.10068770168566196</v>
      </c>
      <c r="DA31" s="95">
        <f t="shared" si="76"/>
        <v>5.151463807173403E-3</v>
      </c>
      <c r="DB31" s="94">
        <f t="shared" si="15"/>
        <v>0.14470930149241651</v>
      </c>
      <c r="DC31" s="94">
        <f t="shared" si="16"/>
        <v>6.8654963102877359E-2</v>
      </c>
      <c r="DD31" s="94">
        <f t="shared" si="16"/>
        <v>0.54240230740618145</v>
      </c>
      <c r="DE31" s="94">
        <f t="shared" si="16"/>
        <v>5.6666101878907436E-2</v>
      </c>
      <c r="DF31" s="94">
        <f t="shared" si="16"/>
        <v>0</v>
      </c>
      <c r="DG31" s="94">
        <f t="shared" si="16"/>
        <v>0</v>
      </c>
      <c r="DH31" s="95">
        <f t="shared" si="16"/>
        <v>0.81243267388038276</v>
      </c>
      <c r="DI31" s="96" t="e">
        <f>#REF!</f>
        <v>#REF!</v>
      </c>
      <c r="DJ31" s="95">
        <f t="shared" si="57"/>
        <v>0.1493924504080287</v>
      </c>
      <c r="DK31" s="96" t="e">
        <f>#REF!</f>
        <v>#REF!</v>
      </c>
      <c r="DL31" s="95">
        <f t="shared" si="58"/>
        <v>0.64107438179851362</v>
      </c>
      <c r="DM31" s="96">
        <f t="shared" si="17"/>
        <v>0</v>
      </c>
      <c r="DN31" s="94">
        <f t="shared" si="18"/>
        <v>2.2563898522907451</v>
      </c>
      <c r="DO31" s="100">
        <v>3.4</v>
      </c>
      <c r="DP31" s="94">
        <f t="shared" si="70"/>
        <v>3.0468566844972877</v>
      </c>
      <c r="DQ31" s="94">
        <f t="shared" si="71"/>
        <v>3.3914446011054755</v>
      </c>
      <c r="DR31" s="101">
        <f t="shared" si="19"/>
        <v>2.95</v>
      </c>
      <c r="DT31" s="182">
        <v>26</v>
      </c>
      <c r="DU31" s="183">
        <v>647116</v>
      </c>
      <c r="DV31" s="135">
        <v>33536</v>
      </c>
      <c r="DW31" s="135">
        <v>5169525</v>
      </c>
      <c r="DX31" s="135">
        <v>128964</v>
      </c>
      <c r="DY31" s="135">
        <v>93847.2</v>
      </c>
      <c r="DZ31" s="135">
        <v>418490</v>
      </c>
      <c r="EA31" s="136">
        <v>254169</v>
      </c>
      <c r="EB31" s="136">
        <v>58663.9</v>
      </c>
      <c r="EC31" s="136">
        <v>435387</v>
      </c>
      <c r="ED31" s="136">
        <v>50784.7</v>
      </c>
      <c r="EE31" s="136">
        <v>42985.3</v>
      </c>
      <c r="EF31" s="136">
        <v>45500.6</v>
      </c>
      <c r="EG31" s="135">
        <v>97776.2</v>
      </c>
      <c r="EH31" s="135">
        <v>191415</v>
      </c>
      <c r="EI31" s="330">
        <v>37293</v>
      </c>
      <c r="EJ31" s="136">
        <v>45571</v>
      </c>
      <c r="EK31" s="136"/>
      <c r="EL31" s="135">
        <v>736231.7</v>
      </c>
      <c r="EM31" s="135">
        <v>108</v>
      </c>
      <c r="EN31" s="136">
        <v>51825.3</v>
      </c>
      <c r="EO31" s="135">
        <v>3219549.2</v>
      </c>
      <c r="EP31" s="139">
        <v>2918012</v>
      </c>
      <c r="EQ31" s="139">
        <v>2762</v>
      </c>
      <c r="ER31" s="139">
        <v>1249</v>
      </c>
      <c r="ES31" s="373">
        <v>484322</v>
      </c>
      <c r="ET31" s="136">
        <v>4983596</v>
      </c>
      <c r="EU31" s="136">
        <v>181252</v>
      </c>
      <c r="EV31" s="136">
        <v>501177</v>
      </c>
      <c r="EW31" s="136">
        <v>169613</v>
      </c>
      <c r="EX31" s="135">
        <v>234403.20000000001</v>
      </c>
      <c r="EY31" s="135">
        <v>1785684</v>
      </c>
      <c r="EZ31" s="136">
        <v>858122</v>
      </c>
      <c r="FA31" s="145">
        <v>787001</v>
      </c>
      <c r="FB31" s="145">
        <v>33490.9</v>
      </c>
      <c r="FC31" s="140">
        <v>6187</v>
      </c>
      <c r="FD31" s="383">
        <f t="shared" si="77"/>
        <v>4506</v>
      </c>
      <c r="FE31" s="136">
        <v>439</v>
      </c>
      <c r="FF31" s="547">
        <v>0</v>
      </c>
      <c r="FG31" s="105">
        <v>1161</v>
      </c>
      <c r="FH31" s="303">
        <v>1032</v>
      </c>
      <c r="FI31" s="303">
        <v>327</v>
      </c>
      <c r="FJ31" s="105">
        <v>280</v>
      </c>
      <c r="FK31" s="303">
        <v>569</v>
      </c>
      <c r="FL31" s="303">
        <v>216</v>
      </c>
      <c r="FM31" s="303">
        <v>482</v>
      </c>
      <c r="FN31" s="80">
        <v>2000</v>
      </c>
      <c r="FO31" s="104"/>
      <c r="FP31" s="465"/>
      <c r="FQ31" s="185"/>
      <c r="FR31" s="64"/>
      <c r="FS31" s="64"/>
      <c r="FT31" s="64"/>
      <c r="FU31" s="64"/>
      <c r="FV31" s="64"/>
      <c r="FW31" s="64"/>
      <c r="FX31" s="64"/>
      <c r="FY31" s="64">
        <v>26</v>
      </c>
      <c r="FZ31" s="107"/>
      <c r="GA31" s="107"/>
      <c r="GB31" s="180"/>
      <c r="GC31" s="109"/>
      <c r="GD31" s="110"/>
      <c r="GE31" s="110"/>
      <c r="GF31" s="111"/>
      <c r="GG31" s="111"/>
      <c r="GH31" s="111"/>
      <c r="GI31" s="112"/>
      <c r="GJ31" s="111" t="e">
        <f t="shared" si="59"/>
        <v>#DIV/0!</v>
      </c>
      <c r="GK31" s="118"/>
    </row>
    <row r="32" spans="1:193" s="119" customFormat="1" ht="15" customHeight="1">
      <c r="B32" s="351">
        <v>43096</v>
      </c>
      <c r="D32" s="86">
        <v>5036.04</v>
      </c>
      <c r="E32" s="86">
        <v>2539.8000000000002</v>
      </c>
      <c r="F32" s="86">
        <v>2653.056</v>
      </c>
      <c r="G32" s="86">
        <v>5609.8239999999996</v>
      </c>
      <c r="H32" s="86">
        <v>7500.7209999999995</v>
      </c>
      <c r="I32" s="86">
        <v>1360.854</v>
      </c>
      <c r="J32" s="86">
        <v>7903.8959999999997</v>
      </c>
      <c r="K32" s="284">
        <v>0</v>
      </c>
      <c r="L32" s="284">
        <v>0</v>
      </c>
      <c r="M32" s="115">
        <f t="shared" si="60"/>
        <v>9264.75</v>
      </c>
      <c r="N32" s="88">
        <f t="shared" si="20"/>
        <v>23339.440999999999</v>
      </c>
      <c r="O32" s="88">
        <f>(N32+L32+K32+((J32+I32)*0.5))+534</f>
        <v>28505.815999999999</v>
      </c>
      <c r="P32" s="89">
        <f t="shared" si="21"/>
        <v>654224.4254999999</v>
      </c>
      <c r="R32" s="170">
        <f t="shared" si="22"/>
        <v>0</v>
      </c>
      <c r="S32" s="170">
        <f t="shared" si="23"/>
        <v>9.9999999976716943E-3</v>
      </c>
      <c r="T32" s="170">
        <f t="shared" si="2"/>
        <v>69.7</v>
      </c>
      <c r="U32" s="170">
        <f t="shared" si="72"/>
        <v>6.1699999999997086</v>
      </c>
      <c r="V32" s="170">
        <f t="shared" si="24"/>
        <v>1194.8999999999069</v>
      </c>
      <c r="W32" s="170">
        <f t="shared" si="3"/>
        <v>109</v>
      </c>
      <c r="X32" s="170">
        <f t="shared" si="25"/>
        <v>1194.8999999999069</v>
      </c>
      <c r="Y32" s="170">
        <f t="shared" si="26"/>
        <v>275.2</v>
      </c>
      <c r="Z32" s="170">
        <f t="shared" si="4"/>
        <v>98.9</v>
      </c>
      <c r="AA32" s="501">
        <f t="shared" si="27"/>
        <v>1270.7799999999042</v>
      </c>
      <c r="AB32" s="170">
        <f t="shared" si="28"/>
        <v>170</v>
      </c>
      <c r="AC32" s="170">
        <f t="shared" si="28"/>
        <v>25</v>
      </c>
      <c r="AD32" s="501">
        <f t="shared" si="5"/>
        <v>321</v>
      </c>
      <c r="AE32" s="501">
        <f t="shared" si="29"/>
        <v>126</v>
      </c>
      <c r="AF32" s="170">
        <f>IF(DX32=0,"",(DX32-DX31))</f>
        <v>79</v>
      </c>
      <c r="AG32" s="170">
        <f t="shared" si="30"/>
        <v>90.80000000000291</v>
      </c>
      <c r="AH32" s="501">
        <f t="shared" si="6"/>
        <v>364</v>
      </c>
      <c r="AI32" s="501">
        <f t="shared" si="31"/>
        <v>194.19999999999709</v>
      </c>
      <c r="AJ32" s="170">
        <f>IF(EA32=0,"",(EA32-EA31))</f>
        <v>180</v>
      </c>
      <c r="AK32" s="170">
        <f t="shared" si="32"/>
        <v>25.5</v>
      </c>
      <c r="AL32" s="501">
        <f t="shared" si="7"/>
        <v>294</v>
      </c>
      <c r="AM32" s="501">
        <f t="shared" si="33"/>
        <v>88.5</v>
      </c>
      <c r="AN32" s="170">
        <f t="shared" si="34"/>
        <v>14.700000000004366</v>
      </c>
      <c r="AO32" s="501">
        <f t="shared" si="8"/>
        <v>41.5</v>
      </c>
      <c r="AP32" s="170">
        <f t="shared" si="35"/>
        <v>31.900000000008731</v>
      </c>
      <c r="AQ32" s="501">
        <f t="shared" si="9"/>
        <v>37.399999999994179</v>
      </c>
      <c r="AR32" s="170">
        <f t="shared" si="36"/>
        <v>96.483999999999995</v>
      </c>
      <c r="AS32" s="501">
        <f t="shared" si="37"/>
        <v>154.48400000000004</v>
      </c>
      <c r="AT32" s="501">
        <f t="shared" si="38"/>
        <v>979.48400000000004</v>
      </c>
      <c r="AU32" s="170">
        <f t="shared" si="61"/>
        <v>620</v>
      </c>
      <c r="AV32" s="501">
        <f t="shared" si="62"/>
        <v>48</v>
      </c>
      <c r="AW32" s="170">
        <f t="shared" si="63"/>
        <v>205</v>
      </c>
      <c r="AX32" s="501">
        <f t="shared" si="64"/>
        <v>23</v>
      </c>
      <c r="AY32" s="501" t="str">
        <f t="shared" si="64"/>
        <v/>
      </c>
      <c r="AZ32" s="170">
        <f t="shared" si="39"/>
        <v>359</v>
      </c>
      <c r="BA32" s="170">
        <v>52.5</v>
      </c>
      <c r="BB32" s="170">
        <f t="shared" si="40"/>
        <v>220.89999999999418</v>
      </c>
      <c r="BC32" s="170">
        <f t="shared" si="40"/>
        <v>1079.8000000000466</v>
      </c>
      <c r="BD32" s="170">
        <f t="shared" si="41"/>
        <v>18</v>
      </c>
      <c r="BE32" s="90"/>
      <c r="BF32" s="90"/>
      <c r="BG32" s="501">
        <f t="shared" si="42"/>
        <v>1677.7000000000407</v>
      </c>
      <c r="BH32" s="501">
        <f t="shared" si="43"/>
        <v>14585</v>
      </c>
      <c r="BI32" s="90">
        <f t="shared" si="10"/>
        <v>1039.1360000000604</v>
      </c>
      <c r="BJ32" s="90">
        <f t="shared" si="44"/>
        <v>5056.8639999999396</v>
      </c>
      <c r="BK32" s="92"/>
      <c r="BL32" s="331">
        <f>FD32+FN32</f>
        <v>20681</v>
      </c>
      <c r="BM32" s="93">
        <f t="shared" si="45"/>
        <v>232890</v>
      </c>
      <c r="BN32" s="92"/>
      <c r="BO32" s="94">
        <f t="shared" si="46"/>
        <v>0</v>
      </c>
      <c r="BP32" s="94">
        <f t="shared" si="46"/>
        <v>4.2845927619567643E-6</v>
      </c>
      <c r="BQ32" s="94">
        <f t="shared" si="47"/>
        <v>2.9863611557791811E-2</v>
      </c>
      <c r="BR32" s="94">
        <f t="shared" si="66"/>
        <v>0.51196598924537517</v>
      </c>
      <c r="BS32" s="94">
        <f t="shared" si="75"/>
        <v>0.11791199283650368</v>
      </c>
      <c r="BT32" s="94">
        <f t="shared" si="75"/>
        <v>4.2374622425618506E-2</v>
      </c>
      <c r="BU32" s="95">
        <f t="shared" si="75"/>
        <v>0.54447747913067168</v>
      </c>
      <c r="BV32" s="94">
        <f t="shared" si="12"/>
        <v>0</v>
      </c>
      <c r="BW32" s="94">
        <f t="shared" si="12"/>
        <v>3.5080560393962041E-6</v>
      </c>
      <c r="BX32" s="94">
        <f t="shared" si="12"/>
        <v>2.4451150600284521E-2</v>
      </c>
      <c r="BY32" s="94">
        <f t="shared" si="48"/>
        <v>0.41917761624501715</v>
      </c>
      <c r="BZ32" s="95">
        <f t="shared" si="13"/>
        <v>0.4457967454781524</v>
      </c>
      <c r="CA32" s="96" t="e">
        <f>#REF!</f>
        <v>#REF!</v>
      </c>
      <c r="CB32" s="94">
        <f t="shared" si="49"/>
        <v>3.3847127898390977E-2</v>
      </c>
      <c r="CC32" s="95">
        <f t="shared" si="49"/>
        <v>5.4193852931626318E-2</v>
      </c>
      <c r="CD32" s="97">
        <f t="shared" si="14"/>
        <v>0.10414096440810598</v>
      </c>
      <c r="CE32" s="98">
        <f t="shared" si="14"/>
        <v>0.16674384090234495</v>
      </c>
      <c r="CF32" s="97">
        <f t="shared" si="50"/>
        <v>0.33756681837316621</v>
      </c>
      <c r="CG32" s="94">
        <f t="shared" si="50"/>
        <v>4.9642179172524441E-2</v>
      </c>
      <c r="CH32" s="95">
        <f t="shared" si="51"/>
        <v>0.6374055805752139</v>
      </c>
      <c r="CI32" s="96" t="e">
        <f>#REF!</f>
        <v>#REF!</v>
      </c>
      <c r="CJ32" s="94">
        <f t="shared" si="52"/>
        <v>0.31104811402472632</v>
      </c>
      <c r="CK32" s="94">
        <f t="shared" si="52"/>
        <v>0.35750846523349433</v>
      </c>
      <c r="CL32" s="95">
        <f t="shared" si="67"/>
        <v>1.4331837152531697</v>
      </c>
      <c r="CM32" s="95" t="e">
        <f>#REF!</f>
        <v>#REF!</v>
      </c>
      <c r="CN32" s="94">
        <f t="shared" si="53"/>
        <v>0.67846287451150677</v>
      </c>
      <c r="CO32" s="94">
        <f t="shared" si="53"/>
        <v>9.6115573889130126E-2</v>
      </c>
      <c r="CP32" s="95">
        <f t="shared" si="54"/>
        <v>1.1081560283687943</v>
      </c>
      <c r="CQ32" s="95" t="e">
        <f>#REF!</f>
        <v>#REF!</v>
      </c>
      <c r="CR32" s="97">
        <f t="shared" si="68"/>
        <v>2.620403064339339E-2</v>
      </c>
      <c r="CS32" s="95">
        <f t="shared" si="68"/>
        <v>7.3977365421802901E-2</v>
      </c>
      <c r="CT32" s="96" t="e">
        <f>#REF!</f>
        <v>#REF!</v>
      </c>
      <c r="CU32" s="97">
        <f t="shared" si="69"/>
        <v>4.2529244855272895E-2</v>
      </c>
      <c r="CV32" s="95">
        <f t="shared" si="55"/>
        <v>4.9861873278574394E-2</v>
      </c>
      <c r="CW32" s="96" t="e">
        <f>#REF!</f>
        <v>#REF!</v>
      </c>
      <c r="CX32" s="99">
        <f t="shared" si="76"/>
        <v>0.21749947449320517</v>
      </c>
      <c r="CY32" s="95">
        <f t="shared" si="76"/>
        <v>1.6838668993022336E-2</v>
      </c>
      <c r="CZ32" s="99">
        <f t="shared" si="76"/>
        <v>7.1915148824366226E-2</v>
      </c>
      <c r="DA32" s="95">
        <f t="shared" si="76"/>
        <v>8.0685288924898704E-3</v>
      </c>
      <c r="DB32" s="94">
        <f t="shared" si="15"/>
        <v>0.12593921184364623</v>
      </c>
      <c r="DC32" s="94">
        <f t="shared" si="16"/>
        <v>7.7492957928302839E-2</v>
      </c>
      <c r="DD32" s="94">
        <f t="shared" si="16"/>
        <v>0.37879989122221464</v>
      </c>
      <c r="DE32" s="94">
        <f t="shared" si="16"/>
        <v>6.3145008723833763E-3</v>
      </c>
      <c r="DF32" s="94">
        <f t="shared" si="16"/>
        <v>0</v>
      </c>
      <c r="DG32" s="94">
        <f t="shared" si="16"/>
        <v>0</v>
      </c>
      <c r="DH32" s="95">
        <f t="shared" si="16"/>
        <v>0.58854656186654708</v>
      </c>
      <c r="DI32" s="96" t="e">
        <f>#REF!</f>
        <v>#REF!</v>
      </c>
      <c r="DJ32" s="95">
        <f t="shared" si="57"/>
        <v>5.1164997346506418</v>
      </c>
      <c r="DK32" s="96" t="e">
        <f>#REF!</f>
        <v>#REF!</v>
      </c>
      <c r="DL32" s="95">
        <f t="shared" si="58"/>
        <v>0.36453473214029747</v>
      </c>
      <c r="DM32" s="96">
        <f t="shared" si="17"/>
        <v>0</v>
      </c>
      <c r="DN32" s="94">
        <f>IF($O32&lt;&gt;0,BJ32/$O32*10,"")</f>
        <v>1.7739762299735393</v>
      </c>
      <c r="DO32" s="100">
        <v>3.4</v>
      </c>
      <c r="DP32" s="94">
        <f t="shared" si="70"/>
        <v>7.2550106967644776</v>
      </c>
      <c r="DQ32" s="94">
        <f t="shared" si="71"/>
        <v>3.5597876038029401</v>
      </c>
      <c r="DR32" s="101"/>
      <c r="DS32" s="173"/>
      <c r="DT32" s="134">
        <v>27</v>
      </c>
      <c r="DU32" s="135">
        <v>647286</v>
      </c>
      <c r="DV32" s="135">
        <v>33561</v>
      </c>
      <c r="DW32" s="135">
        <v>5169676</v>
      </c>
      <c r="DX32" s="135">
        <v>129043</v>
      </c>
      <c r="DY32" s="135">
        <v>93938</v>
      </c>
      <c r="DZ32" s="137">
        <v>418775</v>
      </c>
      <c r="EA32" s="136">
        <v>254349</v>
      </c>
      <c r="EB32" s="136">
        <v>58689.4</v>
      </c>
      <c r="EC32" s="136">
        <v>435501</v>
      </c>
      <c r="ED32" s="136">
        <v>50799.4</v>
      </c>
      <c r="EE32" s="136">
        <v>43001</v>
      </c>
      <c r="EF32" s="535">
        <v>45526.400000000001</v>
      </c>
      <c r="EG32" s="135">
        <v>97808.1</v>
      </c>
      <c r="EH32" s="135">
        <v>191452.4</v>
      </c>
      <c r="EI32" s="330">
        <v>37341</v>
      </c>
      <c r="EJ32" s="136">
        <v>45594</v>
      </c>
      <c r="EK32" s="136"/>
      <c r="EL32" s="135">
        <v>736231.7</v>
      </c>
      <c r="EM32" s="135">
        <v>697</v>
      </c>
      <c r="EN32" s="136">
        <v>51887</v>
      </c>
      <c r="EO32" s="135">
        <v>3220744.1</v>
      </c>
      <c r="EP32" s="144">
        <v>2919102</v>
      </c>
      <c r="EQ32" s="136">
        <v>2752</v>
      </c>
      <c r="ER32" s="136">
        <v>989</v>
      </c>
      <c r="ES32" s="136">
        <v>485205</v>
      </c>
      <c r="ET32" s="136">
        <v>5080080</v>
      </c>
      <c r="EU32" s="136">
        <v>181457</v>
      </c>
      <c r="EV32" s="136">
        <v>501797</v>
      </c>
      <c r="EW32" s="136">
        <v>169972</v>
      </c>
      <c r="EX32" s="135">
        <v>234624.1</v>
      </c>
      <c r="EY32" s="135">
        <v>1786763.8</v>
      </c>
      <c r="EZ32" s="136">
        <v>858122.1</v>
      </c>
      <c r="FA32" s="145">
        <v>787019</v>
      </c>
      <c r="FB32" s="145">
        <v>33548.400000000001</v>
      </c>
      <c r="FC32" s="140">
        <v>6096</v>
      </c>
      <c r="FD32" s="383">
        <f>SUM(FE32:FM32)+6597+7180</f>
        <v>18381</v>
      </c>
      <c r="FE32" s="136">
        <v>592</v>
      </c>
      <c r="FF32" s="136">
        <v>0</v>
      </c>
      <c r="FG32" s="105">
        <v>605</v>
      </c>
      <c r="FH32" s="136">
        <v>1467</v>
      </c>
      <c r="FI32" s="136">
        <v>469</v>
      </c>
      <c r="FJ32" s="136">
        <v>257</v>
      </c>
      <c r="FK32" s="136">
        <v>865</v>
      </c>
      <c r="FL32" s="136">
        <v>41</v>
      </c>
      <c r="FM32" s="136">
        <v>308</v>
      </c>
      <c r="FN32" s="80">
        <v>2300</v>
      </c>
      <c r="FO32" s="104"/>
      <c r="FP32" s="488"/>
      <c r="FQ32" s="186"/>
      <c r="FY32" s="119">
        <v>27</v>
      </c>
      <c r="FZ32" s="107"/>
      <c r="GA32" s="107"/>
      <c r="GB32" s="180"/>
      <c r="GC32" s="109"/>
      <c r="GD32" s="110"/>
      <c r="GE32" s="110"/>
      <c r="GF32" s="111"/>
      <c r="GG32" s="111"/>
      <c r="GH32" s="111"/>
      <c r="GI32" s="164"/>
      <c r="GJ32" s="111" t="e">
        <f t="shared" si="59"/>
        <v>#DIV/0!</v>
      </c>
    </row>
    <row r="33" spans="1:193" s="119" customFormat="1" ht="15" customHeight="1">
      <c r="A33" s="119">
        <v>0</v>
      </c>
      <c r="B33" s="351">
        <v>43097</v>
      </c>
      <c r="D33" s="86">
        <v>6708</v>
      </c>
      <c r="E33" s="86">
        <v>5039.5200000000004</v>
      </c>
      <c r="F33" s="86">
        <v>3079.2959999999998</v>
      </c>
      <c r="G33" s="86">
        <v>4303.0689999999995</v>
      </c>
      <c r="H33" s="86">
        <v>5601.8710000000001</v>
      </c>
      <c r="I33" s="86">
        <v>1822.606</v>
      </c>
      <c r="J33" s="86">
        <v>4105.4160000000002</v>
      </c>
      <c r="K33" s="284">
        <v>14.919</v>
      </c>
      <c r="L33" s="284">
        <v>136.24</v>
      </c>
      <c r="M33" s="115">
        <f>I33+J33</f>
        <v>5928.0219999999999</v>
      </c>
      <c r="N33" s="88">
        <f t="shared" si="20"/>
        <v>24731.756000000001</v>
      </c>
      <c r="O33" s="88">
        <f>N33+L33+K33+((J33+I33)*0.5)</f>
        <v>27846.926000000003</v>
      </c>
      <c r="P33" s="89">
        <f t="shared" si="21"/>
        <v>682071.35149999987</v>
      </c>
      <c r="R33" s="170">
        <f t="shared" si="22"/>
        <v>0</v>
      </c>
      <c r="S33" s="170">
        <f t="shared" si="23"/>
        <v>-9.9999999976716943E-3</v>
      </c>
      <c r="T33" s="170">
        <f t="shared" si="2"/>
        <v>68.8</v>
      </c>
      <c r="U33" s="170">
        <f t="shared" si="72"/>
        <v>3.680000000000291</v>
      </c>
      <c r="V33" s="170">
        <f t="shared" si="24"/>
        <v>1453.8999999999069</v>
      </c>
      <c r="W33" s="170">
        <f t="shared" si="3"/>
        <v>126.5</v>
      </c>
      <c r="X33" s="170">
        <f t="shared" si="25"/>
        <v>1453.8999999999069</v>
      </c>
      <c r="Y33" s="170">
        <f t="shared" si="26"/>
        <v>447.5</v>
      </c>
      <c r="Z33" s="170">
        <f t="shared" si="4"/>
        <v>118.4</v>
      </c>
      <c r="AA33" s="501">
        <f t="shared" si="27"/>
        <v>1526.3699999999094</v>
      </c>
      <c r="AB33" s="170">
        <f>IF(DU33=0,"",(DU33-DU32))</f>
        <v>228</v>
      </c>
      <c r="AC33" s="170">
        <f t="shared" si="28"/>
        <v>0</v>
      </c>
      <c r="AD33" s="501">
        <f t="shared" si="5"/>
        <v>444</v>
      </c>
      <c r="AE33" s="501">
        <f t="shared" si="29"/>
        <v>216</v>
      </c>
      <c r="AF33" s="170">
        <f t="shared" si="30"/>
        <v>114</v>
      </c>
      <c r="AG33" s="170">
        <f t="shared" si="30"/>
        <v>3.1999999999970896</v>
      </c>
      <c r="AH33" s="501">
        <f t="shared" si="6"/>
        <v>163</v>
      </c>
      <c r="AI33" s="501">
        <f t="shared" si="31"/>
        <v>45.80000000000291</v>
      </c>
      <c r="AJ33" s="170">
        <f>IF(EA33=0,"",(EA33-EA32))</f>
        <v>206</v>
      </c>
      <c r="AK33" s="170">
        <f t="shared" si="32"/>
        <v>16.099999999998545</v>
      </c>
      <c r="AL33" s="501">
        <f t="shared" si="7"/>
        <v>315</v>
      </c>
      <c r="AM33" s="501">
        <f>IF(AJ33="","",(AL33-AK33-AJ33))</f>
        <v>92.900000000001455</v>
      </c>
      <c r="AN33" s="170">
        <f t="shared" si="34"/>
        <v>50.5</v>
      </c>
      <c r="AO33" s="501">
        <f t="shared" si="8"/>
        <v>63.5</v>
      </c>
      <c r="AP33" s="170">
        <f t="shared" si="35"/>
        <v>54.399999999994179</v>
      </c>
      <c r="AQ33" s="501">
        <f t="shared" si="9"/>
        <v>64.600000000005821</v>
      </c>
      <c r="AR33" s="170">
        <f t="shared" si="36"/>
        <v>54.091000000000001</v>
      </c>
      <c r="AS33" s="501">
        <f t="shared" si="37"/>
        <v>65.091000000000008</v>
      </c>
      <c r="AT33" s="501">
        <f t="shared" si="38"/>
        <v>655.09100000000001</v>
      </c>
      <c r="AU33" s="170">
        <f t="shared" si="61"/>
        <v>337</v>
      </c>
      <c r="AV33" s="501">
        <f t="shared" si="62"/>
        <v>52</v>
      </c>
      <c r="AW33" s="170">
        <f t="shared" si="63"/>
        <v>253</v>
      </c>
      <c r="AX33" s="501">
        <f t="shared" si="64"/>
        <v>30</v>
      </c>
      <c r="AY33" s="501" t="str">
        <f t="shared" si="64"/>
        <v/>
      </c>
      <c r="AZ33" s="170">
        <f t="shared" si="39"/>
        <v>304</v>
      </c>
      <c r="BA33" s="170">
        <v>84.5</v>
      </c>
      <c r="BB33" s="170">
        <f t="shared" si="40"/>
        <v>152.89999999999418</v>
      </c>
      <c r="BC33" s="170">
        <f t="shared" si="40"/>
        <v>634.39999999990687</v>
      </c>
      <c r="BD33" s="170">
        <f t="shared" si="41"/>
        <v>52</v>
      </c>
      <c r="BE33" s="90"/>
      <c r="BF33" s="90"/>
      <c r="BG33" s="501">
        <f t="shared" si="42"/>
        <v>1143.299999999901</v>
      </c>
      <c r="BH33" s="501">
        <f>BL33-FC33</f>
        <v>830</v>
      </c>
      <c r="BI33" s="90">
        <f t="shared" si="10"/>
        <v>1395.1390000001838</v>
      </c>
      <c r="BJ33" s="90">
        <f t="shared" si="44"/>
        <v>4456.8609999998162</v>
      </c>
      <c r="BK33" s="92"/>
      <c r="BL33" s="331">
        <f t="shared" si="65"/>
        <v>6682</v>
      </c>
      <c r="BM33" s="93">
        <f t="shared" si="45"/>
        <v>239572</v>
      </c>
      <c r="BN33" s="92"/>
      <c r="BO33" s="94">
        <f t="shared" si="46"/>
        <v>0</v>
      </c>
      <c r="BP33" s="94">
        <f t="shared" si="46"/>
        <v>-4.0433845448223309E-6</v>
      </c>
      <c r="BQ33" s="94">
        <f t="shared" si="47"/>
        <v>2.7818485674854627E-2</v>
      </c>
      <c r="BR33" s="94">
        <f t="shared" si="66"/>
        <v>0.58786767910855453</v>
      </c>
      <c r="BS33" s="94">
        <f t="shared" si="75"/>
        <v>0.18094145842292797</v>
      </c>
      <c r="BT33" s="94">
        <f t="shared" si="75"/>
        <v>4.7873673021842852E-2</v>
      </c>
      <c r="BU33" s="95">
        <f t="shared" si="75"/>
        <v>0.6171700869117055</v>
      </c>
      <c r="BV33" s="94">
        <f t="shared" si="12"/>
        <v>0</v>
      </c>
      <c r="BW33" s="94">
        <f t="shared" si="12"/>
        <v>-3.5910606426259378E-6</v>
      </c>
      <c r="BX33" s="94">
        <f t="shared" si="12"/>
        <v>2.4706497227018877E-2</v>
      </c>
      <c r="BY33" s="94">
        <f t="shared" si="48"/>
        <v>0.52210430695291343</v>
      </c>
      <c r="BZ33" s="95">
        <f t="shared" si="13"/>
        <v>0.54812872343608388</v>
      </c>
      <c r="CA33" s="96" t="e">
        <f>#REF!</f>
        <v>#REF!</v>
      </c>
      <c r="CB33" s="94">
        <f t="shared" si="49"/>
        <v>1.9424406126550556E-2</v>
      </c>
      <c r="CC33" s="95">
        <f t="shared" si="49"/>
        <v>2.3374572834358807E-2</v>
      </c>
      <c r="CD33" s="97">
        <f t="shared" si="14"/>
        <v>9.1246287547515847E-2</v>
      </c>
      <c r="CE33" s="98">
        <f t="shared" si="14"/>
        <v>0.10980222408081483</v>
      </c>
      <c r="CF33" s="97">
        <f t="shared" si="50"/>
        <v>0.33989266547406083</v>
      </c>
      <c r="CG33" s="94">
        <f t="shared" si="50"/>
        <v>0</v>
      </c>
      <c r="CH33" s="95">
        <f t="shared" si="51"/>
        <v>0.66189624329159213</v>
      </c>
      <c r="CI33" s="96" t="e">
        <f>#REF!</f>
        <v>#REF!</v>
      </c>
      <c r="CJ33" s="94">
        <f t="shared" si="52"/>
        <v>0.22621202019239925</v>
      </c>
      <c r="CK33" s="94">
        <f t="shared" si="52"/>
        <v>6.3498110931142042E-3</v>
      </c>
      <c r="CL33" s="95">
        <f t="shared" si="67"/>
        <v>0.3234435025557989</v>
      </c>
      <c r="CM33" s="95" t="e">
        <f>#REF!</f>
        <v>#REF!</v>
      </c>
      <c r="CN33" s="94">
        <f t="shared" si="53"/>
        <v>0.66898407947790672</v>
      </c>
      <c r="CO33" s="94">
        <f t="shared" si="53"/>
        <v>5.2284678056278275E-2</v>
      </c>
      <c r="CP33" s="95">
        <f t="shared" si="54"/>
        <v>1.0229610924055368</v>
      </c>
      <c r="CQ33" s="95" t="e">
        <f>#REF!</f>
        <v>#REF!</v>
      </c>
      <c r="CR33" s="97">
        <f t="shared" si="68"/>
        <v>0.11735809953314717</v>
      </c>
      <c r="CS33" s="95">
        <f t="shared" si="68"/>
        <v>0.14756909545257119</v>
      </c>
      <c r="CT33" s="96" t="e">
        <f>#REF!</f>
        <v>#REF!</v>
      </c>
      <c r="CU33" s="97">
        <f t="shared" si="69"/>
        <v>9.7110411860598322E-2</v>
      </c>
      <c r="CV33" s="95">
        <f t="shared" si="55"/>
        <v>0.11531861408448323</v>
      </c>
      <c r="CW33" s="96" t="e">
        <f>#REF!</f>
        <v>#REF!</v>
      </c>
      <c r="CX33" s="99">
        <f t="shared" si="76"/>
        <v>0.12101874368467096</v>
      </c>
      <c r="CY33" s="95">
        <f t="shared" si="76"/>
        <v>1.8673515346002641E-2</v>
      </c>
      <c r="CZ33" s="99">
        <f t="shared" si="76"/>
        <v>9.0853834279589776E-2</v>
      </c>
      <c r="DA33" s="95">
        <f t="shared" si="76"/>
        <v>1.0773181930386138E-2</v>
      </c>
      <c r="DB33" s="94">
        <f t="shared" si="15"/>
        <v>0.10916824356124621</v>
      </c>
      <c r="DC33" s="94">
        <f t="shared" si="16"/>
        <v>5.4907317238532601E-2</v>
      </c>
      <c r="DD33" s="94">
        <f t="shared" si="16"/>
        <v>0.2278168872211988</v>
      </c>
      <c r="DE33" s="94">
        <f t="shared" si="16"/>
        <v>1.8673515346002641E-2</v>
      </c>
      <c r="DF33" s="94">
        <f t="shared" si="16"/>
        <v>0</v>
      </c>
      <c r="DG33" s="94">
        <f t="shared" si="16"/>
        <v>0</v>
      </c>
      <c r="DH33" s="95">
        <f t="shared" si="16"/>
        <v>0.41056596336698026</v>
      </c>
      <c r="DI33" s="96" t="e">
        <f>#REF!</f>
        <v>#REF!</v>
      </c>
      <c r="DJ33" s="95">
        <f t="shared" si="57"/>
        <v>0.29805803340734982</v>
      </c>
      <c r="DK33" s="96" t="e">
        <f>#REF!</f>
        <v>#REF!</v>
      </c>
      <c r="DL33" s="95">
        <f t="shared" si="58"/>
        <v>0.50100287550596567</v>
      </c>
      <c r="DM33" s="96">
        <f t="shared" si="17"/>
        <v>0</v>
      </c>
      <c r="DN33" s="94">
        <f t="shared" si="18"/>
        <v>1.600485813048024</v>
      </c>
      <c r="DO33" s="100">
        <v>3.4</v>
      </c>
      <c r="DP33" s="94">
        <f t="shared" si="70"/>
        <v>2.3995467219613396</v>
      </c>
      <c r="DQ33" s="94">
        <f t="shared" si="71"/>
        <v>3.512418451136194</v>
      </c>
      <c r="DR33" s="101">
        <f t="shared" si="19"/>
        <v>2.95</v>
      </c>
      <c r="DT33" s="134">
        <v>28</v>
      </c>
      <c r="DU33" s="135">
        <v>647514</v>
      </c>
      <c r="DV33" s="135">
        <v>33561</v>
      </c>
      <c r="DW33" s="135">
        <v>5169892</v>
      </c>
      <c r="DX33" s="373">
        <v>129157</v>
      </c>
      <c r="DY33" s="135">
        <v>93941.2</v>
      </c>
      <c r="DZ33" s="135">
        <v>418824</v>
      </c>
      <c r="EA33" s="136">
        <v>254555</v>
      </c>
      <c r="EB33" s="136">
        <v>58705.5</v>
      </c>
      <c r="EC33" s="136">
        <v>435610</v>
      </c>
      <c r="ED33" s="135">
        <v>50849.9</v>
      </c>
      <c r="EE33" s="136">
        <v>43016.5</v>
      </c>
      <c r="EF33" s="136">
        <v>45574.400000000001</v>
      </c>
      <c r="EG33" s="135">
        <v>97862.5</v>
      </c>
      <c r="EH33" s="135">
        <v>191517</v>
      </c>
      <c r="EI33" s="330">
        <v>37393</v>
      </c>
      <c r="EJ33" s="136">
        <v>45624</v>
      </c>
      <c r="EK33" s="136"/>
      <c r="EL33" s="135">
        <v>736231.7</v>
      </c>
      <c r="EM33" s="135">
        <v>688</v>
      </c>
      <c r="EN33" s="136">
        <v>51923.8</v>
      </c>
      <c r="EO33" s="135">
        <v>3222198</v>
      </c>
      <c r="EP33" s="136">
        <v>2920367</v>
      </c>
      <c r="EQ33" s="136">
        <v>4475</v>
      </c>
      <c r="ER33" s="136">
        <v>1184</v>
      </c>
      <c r="ES33" s="136">
        <v>485806</v>
      </c>
      <c r="ET33" s="136">
        <v>5134171</v>
      </c>
      <c r="EU33" s="136">
        <v>181710</v>
      </c>
      <c r="EV33" s="136">
        <v>502134</v>
      </c>
      <c r="EW33" s="136">
        <v>170276</v>
      </c>
      <c r="EX33" s="135">
        <v>234777</v>
      </c>
      <c r="EY33" s="135">
        <v>1787398.2</v>
      </c>
      <c r="EZ33" s="140">
        <v>858122</v>
      </c>
      <c r="FA33" s="145">
        <v>787071</v>
      </c>
      <c r="FB33" s="145">
        <v>33632.9</v>
      </c>
      <c r="FC33" s="145">
        <v>5852</v>
      </c>
      <c r="FD33" s="383">
        <f>SUM(FE33:FM33)</f>
        <v>4832</v>
      </c>
      <c r="FE33" s="136">
        <v>487</v>
      </c>
      <c r="FF33" s="136">
        <v>0</v>
      </c>
      <c r="FG33" s="105">
        <v>1893</v>
      </c>
      <c r="FH33" s="136">
        <v>722</v>
      </c>
      <c r="FI33" s="136">
        <v>366</v>
      </c>
      <c r="FJ33" s="136">
        <v>303</v>
      </c>
      <c r="FK33" s="136">
        <v>711</v>
      </c>
      <c r="FL33" s="136">
        <v>0</v>
      </c>
      <c r="FM33" s="136">
        <v>350</v>
      </c>
      <c r="FN33" s="80">
        <v>1850</v>
      </c>
      <c r="FO33" s="104"/>
      <c r="FP33" s="488"/>
      <c r="FY33" s="119">
        <v>28</v>
      </c>
      <c r="FZ33" s="107"/>
      <c r="GA33" s="107"/>
      <c r="GB33" s="180"/>
      <c r="GC33" s="109"/>
      <c r="GD33" s="110"/>
      <c r="GE33" s="110"/>
      <c r="GF33" s="111"/>
      <c r="GG33" s="111"/>
      <c r="GH33" s="111"/>
      <c r="GI33" s="164"/>
      <c r="GJ33" s="111" t="e">
        <f t="shared" si="59"/>
        <v>#DIV/0!</v>
      </c>
      <c r="GK33" s="113"/>
    </row>
    <row r="34" spans="1:193" s="119" customFormat="1" ht="15" customHeight="1">
      <c r="B34" s="351">
        <v>43098</v>
      </c>
      <c r="D34" s="86">
        <v>5712</v>
      </c>
      <c r="E34" s="86">
        <v>6060</v>
      </c>
      <c r="F34" s="86">
        <v>674.49599999999998</v>
      </c>
      <c r="G34" s="86">
        <v>4774.6239999999998</v>
      </c>
      <c r="H34" s="86">
        <v>7764.0300000000007</v>
      </c>
      <c r="I34" s="86">
        <v>1443.482</v>
      </c>
      <c r="J34" s="86">
        <v>5389.04</v>
      </c>
      <c r="K34" s="284">
        <v>5.2670000000000003</v>
      </c>
      <c r="L34" s="284">
        <v>239.24</v>
      </c>
      <c r="M34" s="115">
        <f t="shared" si="60"/>
        <v>6832.5219999999999</v>
      </c>
      <c r="N34" s="88">
        <f t="shared" si="20"/>
        <v>24985.15</v>
      </c>
      <c r="O34" s="88">
        <f t="shared" si="74"/>
        <v>28645.918000000001</v>
      </c>
      <c r="P34" s="89">
        <f t="shared" si="21"/>
        <v>710717.26949999982</v>
      </c>
      <c r="R34" s="170">
        <f t="shared" si="22"/>
        <v>0</v>
      </c>
      <c r="S34" s="170">
        <f t="shared" si="23"/>
        <v>122.99000000000233</v>
      </c>
      <c r="T34" s="170">
        <f t="shared" si="2"/>
        <v>75.900000000000006</v>
      </c>
      <c r="U34" s="170">
        <f t="shared" si="72"/>
        <v>0.72999999999956344</v>
      </c>
      <c r="V34" s="170">
        <f t="shared" si="24"/>
        <v>1258.5</v>
      </c>
      <c r="W34" s="170">
        <f t="shared" si="3"/>
        <v>111.8</v>
      </c>
      <c r="X34" s="170">
        <f t="shared" si="25"/>
        <v>1258.5</v>
      </c>
      <c r="Y34" s="170">
        <f t="shared" si="26"/>
        <v>459</v>
      </c>
      <c r="Z34" s="170">
        <f t="shared" si="4"/>
        <v>111.2</v>
      </c>
      <c r="AA34" s="501">
        <f t="shared" si="27"/>
        <v>1458.1200000000019</v>
      </c>
      <c r="AB34" s="170">
        <f t="shared" si="28"/>
        <v>175</v>
      </c>
      <c r="AC34" s="170">
        <f t="shared" si="28"/>
        <v>39</v>
      </c>
      <c r="AD34" s="501">
        <f t="shared" si="5"/>
        <v>462</v>
      </c>
      <c r="AE34" s="501">
        <f t="shared" si="29"/>
        <v>248</v>
      </c>
      <c r="AF34" s="170">
        <f t="shared" si="30"/>
        <v>0</v>
      </c>
      <c r="AG34" s="170">
        <f t="shared" si="30"/>
        <v>25.19999999999709</v>
      </c>
      <c r="AH34" s="501">
        <f t="shared" si="6"/>
        <v>91</v>
      </c>
      <c r="AI34" s="501">
        <f t="shared" si="31"/>
        <v>65.80000000000291</v>
      </c>
      <c r="AJ34" s="170">
        <f>IF(EA34=0,"",(EA34-EA33))</f>
        <v>87</v>
      </c>
      <c r="AK34" s="170">
        <f t="shared" si="32"/>
        <v>94.19999999999709</v>
      </c>
      <c r="AL34" s="501">
        <f t="shared" si="7"/>
        <v>401</v>
      </c>
      <c r="AM34" s="501">
        <f t="shared" si="33"/>
        <v>219.80000000000291</v>
      </c>
      <c r="AN34" s="170">
        <f t="shared" si="34"/>
        <v>28.099999999998545</v>
      </c>
      <c r="AO34" s="501">
        <f t="shared" si="8"/>
        <v>33.19999999999709</v>
      </c>
      <c r="AP34" s="170">
        <f t="shared" si="35"/>
        <v>31.100000000005821</v>
      </c>
      <c r="AQ34" s="501">
        <f t="shared" si="9"/>
        <v>38.200000000011642</v>
      </c>
      <c r="AR34" s="170">
        <f t="shared" si="36"/>
        <v>80.881</v>
      </c>
      <c r="AS34" s="501">
        <f t="shared" si="37"/>
        <v>151.88099999999997</v>
      </c>
      <c r="AT34" s="501">
        <f t="shared" si="38"/>
        <v>862.88099999999997</v>
      </c>
      <c r="AU34" s="170">
        <f t="shared" si="61"/>
        <v>436</v>
      </c>
      <c r="AV34" s="501">
        <f t="shared" si="62"/>
        <v>27</v>
      </c>
      <c r="AW34" s="170">
        <f t="shared" si="63"/>
        <v>275</v>
      </c>
      <c r="AX34" s="501">
        <f t="shared" si="64"/>
        <v>42</v>
      </c>
      <c r="AY34" s="501" t="str">
        <f t="shared" si="64"/>
        <v/>
      </c>
      <c r="AZ34" s="170">
        <f t="shared" si="39"/>
        <v>409</v>
      </c>
      <c r="BA34" s="170">
        <v>20.399999999999999</v>
      </c>
      <c r="BB34" s="170">
        <f t="shared" si="40"/>
        <v>118.5</v>
      </c>
      <c r="BC34" s="170">
        <f t="shared" si="40"/>
        <v>114.10000000009313</v>
      </c>
      <c r="BD34" s="170">
        <f t="shared" si="41"/>
        <v>54</v>
      </c>
      <c r="BE34" s="90"/>
      <c r="BF34" s="90"/>
      <c r="BG34" s="501">
        <f t="shared" si="42"/>
        <v>695.60000000009313</v>
      </c>
      <c r="BH34" s="501">
        <f t="shared" si="43"/>
        <v>-1261</v>
      </c>
      <c r="BI34" s="90">
        <f>IF(FC34=0,"",(FC34-BJ34))</f>
        <v>1358.9989999998961</v>
      </c>
      <c r="BJ34" s="90">
        <f>IF(BH34=0,"",(AA34+AD34+AO34+BG34+AH34+AL34+AQ34+AT34+AX34+AV34))</f>
        <v>4111.0010000001039</v>
      </c>
      <c r="BK34" s="92"/>
      <c r="BL34" s="331">
        <f>FD34+FN34</f>
        <v>4209</v>
      </c>
      <c r="BM34" s="93">
        <f t="shared" si="45"/>
        <v>243781</v>
      </c>
      <c r="BN34" s="92"/>
      <c r="BO34" s="94">
        <f t="shared" si="46"/>
        <v>0</v>
      </c>
      <c r="BP34" s="94">
        <f t="shared" si="46"/>
        <v>4.9225239792437633E-2</v>
      </c>
      <c r="BQ34" s="94">
        <f t="shared" si="47"/>
        <v>3.037804455846773E-2</v>
      </c>
      <c r="BR34" s="94">
        <f t="shared" si="66"/>
        <v>0.50369919732320989</v>
      </c>
      <c r="BS34" s="94">
        <f>IF($N34&lt;&gt;0,IF($N34&lt;&gt;0,Y34/$N34*10,0)," ")</f>
        <v>0.18370912321919219</v>
      </c>
      <c r="BT34" s="94">
        <f t="shared" si="75"/>
        <v>4.450643682347314E-2</v>
      </c>
      <c r="BU34" s="95">
        <f t="shared" si="75"/>
        <v>0.58359465522520448</v>
      </c>
      <c r="BV34" s="94">
        <f t="shared" si="12"/>
        <v>0</v>
      </c>
      <c r="BW34" s="94">
        <f t="shared" si="12"/>
        <v>4.2934564010133069E-2</v>
      </c>
      <c r="BX34" s="94">
        <f t="shared" si="12"/>
        <v>2.6495921687690369E-2</v>
      </c>
      <c r="BY34" s="94">
        <f t="shared" si="48"/>
        <v>0.43932961059233638</v>
      </c>
      <c r="BZ34" s="95">
        <f t="shared" si="13"/>
        <v>0.50901493190059466</v>
      </c>
      <c r="CA34" s="96" t="e">
        <f>#REF!</f>
        <v>#REF!</v>
      </c>
      <c r="CB34" s="94">
        <f t="shared" si="49"/>
        <v>2.823473836656238E-2</v>
      </c>
      <c r="CC34" s="95">
        <f t="shared" si="49"/>
        <v>5.3020119655442691E-2</v>
      </c>
      <c r="CD34" s="97">
        <f t="shared" si="14"/>
        <v>0.1183764940676371</v>
      </c>
      <c r="CE34" s="98">
        <f t="shared" si="14"/>
        <v>0.22229127107091637</v>
      </c>
      <c r="CF34" s="97">
        <f t="shared" si="50"/>
        <v>0.30637254901960781</v>
      </c>
      <c r="CG34" s="94">
        <f t="shared" si="50"/>
        <v>6.8277310924369755E-2</v>
      </c>
      <c r="CH34" s="95">
        <f t="shared" si="51"/>
        <v>0.80882352941176472</v>
      </c>
      <c r="CI34" s="96" t="e">
        <f>#REF!</f>
        <v>#REF!</v>
      </c>
      <c r="CJ34" s="94">
        <f t="shared" si="52"/>
        <v>0</v>
      </c>
      <c r="CK34" s="94">
        <f t="shared" si="52"/>
        <v>4.1584158415836778E-2</v>
      </c>
      <c r="CL34" s="95">
        <f t="shared" si="67"/>
        <v>0.15016501650165018</v>
      </c>
      <c r="CM34" s="95" t="e">
        <f>#REF!</f>
        <v>#REF!</v>
      </c>
      <c r="CN34" s="94">
        <f t="shared" si="53"/>
        <v>1.2898519783660689</v>
      </c>
      <c r="CO34" s="94">
        <f t="shared" si="53"/>
        <v>1.3965983489894245</v>
      </c>
      <c r="CP34" s="95">
        <f t="shared" si="54"/>
        <v>5.9451798083309617</v>
      </c>
      <c r="CQ34" s="95" t="e">
        <f>#REF!</f>
        <v>#REF!</v>
      </c>
      <c r="CR34" s="97">
        <f t="shared" si="68"/>
        <v>5.8852801812244372E-2</v>
      </c>
      <c r="CS34" s="95">
        <f t="shared" si="68"/>
        <v>6.9534271180300464E-2</v>
      </c>
      <c r="CT34" s="96" t="e">
        <f>#REF!</f>
        <v>#REF!</v>
      </c>
      <c r="CU34" s="97">
        <f t="shared" si="69"/>
        <v>4.0056517040771115E-2</v>
      </c>
      <c r="CV34" s="95">
        <f t="shared" si="55"/>
        <v>4.9201252442367741E-2</v>
      </c>
      <c r="CW34" s="96" t="e">
        <f>#REF!</f>
        <v>#REF!</v>
      </c>
      <c r="CX34" s="99">
        <f t="shared" si="76"/>
        <v>0.15220318650636366</v>
      </c>
      <c r="CY34" s="95">
        <f t="shared" si="76"/>
        <v>9.4254266873206854E-3</v>
      </c>
      <c r="CZ34" s="99">
        <f t="shared" si="76"/>
        <v>9.5999716259747722E-2</v>
      </c>
      <c r="DA34" s="95">
        <f t="shared" si="76"/>
        <v>1.4661774846943289E-2</v>
      </c>
      <c r="DB34" s="94">
        <f t="shared" si="15"/>
        <v>0.14277775981904298</v>
      </c>
      <c r="DC34" s="94">
        <f t="shared" si="16"/>
        <v>4.1367150461018562E-2</v>
      </c>
      <c r="DD34" s="94">
        <f t="shared" si="16"/>
        <v>3.983115500089511E-2</v>
      </c>
      <c r="DE34" s="94">
        <f t="shared" si="16"/>
        <v>1.8850853374641371E-2</v>
      </c>
      <c r="DF34" s="94">
        <f t="shared" si="16"/>
        <v>0</v>
      </c>
      <c r="DG34" s="94">
        <f t="shared" si="16"/>
        <v>0</v>
      </c>
      <c r="DH34" s="95">
        <f t="shared" si="16"/>
        <v>0.24282691865559802</v>
      </c>
      <c r="DI34" s="96" t="e">
        <f>#REF!</f>
        <v>#REF!</v>
      </c>
      <c r="DJ34" s="95">
        <f t="shared" si="57"/>
        <v>-0.44020233528560682</v>
      </c>
      <c r="DK34" s="96" t="e">
        <f>#REF!</f>
        <v>#REF!</v>
      </c>
      <c r="DL34" s="95">
        <f t="shared" si="58"/>
        <v>0.47441279417189425</v>
      </c>
      <c r="DM34" s="96">
        <f t="shared" si="17"/>
        <v>0</v>
      </c>
      <c r="DN34" s="94">
        <f t="shared" si="18"/>
        <v>1.435108834703815</v>
      </c>
      <c r="DO34" s="100">
        <v>3.4</v>
      </c>
      <c r="DP34" s="94">
        <f>IF($O34&lt;&gt;0,IF($O34&lt;&gt;0,BL34/$O34*10,0)," ")</f>
        <v>1.4693192935901023</v>
      </c>
      <c r="DQ34" s="94">
        <f t="shared" si="71"/>
        <v>3.4300700216768836</v>
      </c>
      <c r="DR34" s="101">
        <f t="shared" si="19"/>
        <v>2.95</v>
      </c>
      <c r="DT34" s="134">
        <v>29</v>
      </c>
      <c r="DU34" s="135">
        <v>647689</v>
      </c>
      <c r="DV34" s="135">
        <v>33600</v>
      </c>
      <c r="DW34" s="136">
        <v>5170179</v>
      </c>
      <c r="DX34" s="135">
        <v>129157</v>
      </c>
      <c r="DY34" s="135">
        <v>93966.399999999994</v>
      </c>
      <c r="DZ34" s="135">
        <v>418915</v>
      </c>
      <c r="EA34" s="136">
        <v>254642</v>
      </c>
      <c r="EB34" s="136">
        <v>58799.7</v>
      </c>
      <c r="EC34" s="136">
        <v>435924</v>
      </c>
      <c r="ED34" s="136">
        <v>50878</v>
      </c>
      <c r="EE34" s="136">
        <v>43033.4</v>
      </c>
      <c r="EF34" s="136">
        <v>45590.7</v>
      </c>
      <c r="EG34" s="135">
        <v>97893.6</v>
      </c>
      <c r="EH34" s="135">
        <v>191555.20000000001</v>
      </c>
      <c r="EI34" s="330">
        <v>37420</v>
      </c>
      <c r="EJ34" s="136">
        <v>45666</v>
      </c>
      <c r="EK34" s="136"/>
      <c r="EL34" s="135">
        <v>736231.7</v>
      </c>
      <c r="EM34" s="135">
        <v>759</v>
      </c>
      <c r="EN34" s="136">
        <v>51931.1</v>
      </c>
      <c r="EO34" s="135">
        <v>3223456.5</v>
      </c>
      <c r="EP34" s="136">
        <v>2921485</v>
      </c>
      <c r="EQ34" s="136">
        <v>4590</v>
      </c>
      <c r="ER34" s="136">
        <v>1112</v>
      </c>
      <c r="ES34" s="136">
        <v>486588</v>
      </c>
      <c r="ET34" s="136">
        <v>5215052</v>
      </c>
      <c r="EU34" s="136">
        <v>181985</v>
      </c>
      <c r="EV34" s="136">
        <v>502570</v>
      </c>
      <c r="EW34" s="136">
        <v>170685</v>
      </c>
      <c r="EX34" s="135">
        <v>234895.5</v>
      </c>
      <c r="EY34" s="135">
        <v>1787512.3</v>
      </c>
      <c r="EZ34" s="140">
        <v>859351.9</v>
      </c>
      <c r="FA34" s="140">
        <v>787125</v>
      </c>
      <c r="FB34" s="145">
        <v>33663.300000000003</v>
      </c>
      <c r="FC34" s="140">
        <v>5470</v>
      </c>
      <c r="FD34" s="383">
        <f t="shared" si="77"/>
        <v>3459</v>
      </c>
      <c r="FE34" s="136">
        <v>242</v>
      </c>
      <c r="FF34" s="371">
        <v>0</v>
      </c>
      <c r="FG34" s="105">
        <v>639</v>
      </c>
      <c r="FH34" s="136">
        <v>1218</v>
      </c>
      <c r="FI34" s="371">
        <v>194</v>
      </c>
      <c r="FJ34" s="136">
        <v>171</v>
      </c>
      <c r="FK34" s="371">
        <v>638</v>
      </c>
      <c r="FL34" s="371">
        <v>6</v>
      </c>
      <c r="FM34" s="371">
        <v>351</v>
      </c>
      <c r="FN34" s="80">
        <v>750</v>
      </c>
      <c r="FO34" s="104">
        <v>1290454</v>
      </c>
      <c r="FP34" s="488"/>
      <c r="FY34" s="119">
        <v>29</v>
      </c>
      <c r="FZ34" s="190"/>
      <c r="GA34" s="191"/>
      <c r="GB34" s="107"/>
      <c r="GC34" s="109"/>
      <c r="GD34" s="110"/>
      <c r="GE34" s="110"/>
      <c r="GF34" s="111"/>
      <c r="GG34" s="111"/>
      <c r="GH34" s="111"/>
      <c r="GI34" s="112"/>
      <c r="GJ34" s="111" t="e">
        <f t="shared" si="59"/>
        <v>#DIV/0!</v>
      </c>
      <c r="GK34" s="113"/>
    </row>
    <row r="35" spans="1:193" s="119" customFormat="1" ht="15" customHeight="1">
      <c r="B35" s="351">
        <v>43099</v>
      </c>
      <c r="D35" s="86">
        <v>5148</v>
      </c>
      <c r="E35" s="86">
        <v>6808.5599999999995</v>
      </c>
      <c r="F35" s="86">
        <v>2985.768</v>
      </c>
      <c r="G35" s="86">
        <v>4386.0969999999998</v>
      </c>
      <c r="H35" s="86">
        <v>7200.1769999999997</v>
      </c>
      <c r="I35" s="86">
        <v>2191.9279999999999</v>
      </c>
      <c r="J35" s="86">
        <v>3111.12</v>
      </c>
      <c r="K35" s="284"/>
      <c r="L35" s="284">
        <v>103.36</v>
      </c>
      <c r="M35" s="115">
        <f t="shared" si="60"/>
        <v>5303.0479999999998</v>
      </c>
      <c r="N35" s="88">
        <f t="shared" si="20"/>
        <v>26528.601999999999</v>
      </c>
      <c r="O35" s="88">
        <f t="shared" si="74"/>
        <v>29283.486000000001</v>
      </c>
      <c r="P35" s="89">
        <f t="shared" si="21"/>
        <v>740000.75549999985</v>
      </c>
      <c r="R35" s="170">
        <f t="shared" si="22"/>
        <v>0</v>
      </c>
      <c r="S35" s="170">
        <f t="shared" si="23"/>
        <v>43.809999999997672</v>
      </c>
      <c r="T35" s="170">
        <f t="shared" si="2"/>
        <v>574.9</v>
      </c>
      <c r="U35" s="170">
        <f t="shared" si="72"/>
        <v>6.0900000000001455</v>
      </c>
      <c r="V35" s="170">
        <f t="shared" si="24"/>
        <v>1282.5</v>
      </c>
      <c r="W35" s="170">
        <v>0</v>
      </c>
      <c r="X35" s="170">
        <f t="shared" si="25"/>
        <v>1282.5</v>
      </c>
      <c r="Y35" s="170">
        <f t="shared" si="26"/>
        <v>430.1</v>
      </c>
      <c r="Z35" s="170">
        <f t="shared" si="4"/>
        <v>112.9</v>
      </c>
      <c r="AA35" s="501">
        <f t="shared" si="27"/>
        <v>1907.2999999999979</v>
      </c>
      <c r="AB35" s="170">
        <f t="shared" si="28"/>
        <v>203</v>
      </c>
      <c r="AC35" s="170">
        <f t="shared" si="28"/>
        <v>0</v>
      </c>
      <c r="AD35" s="501">
        <f t="shared" si="5"/>
        <v>477</v>
      </c>
      <c r="AE35" s="501">
        <f t="shared" si="29"/>
        <v>274</v>
      </c>
      <c r="AF35" s="170">
        <f t="shared" si="30"/>
        <v>0</v>
      </c>
      <c r="AG35" s="170">
        <f t="shared" si="30"/>
        <v>27.200000000011642</v>
      </c>
      <c r="AH35" s="501">
        <f t="shared" si="6"/>
        <v>88</v>
      </c>
      <c r="AI35" s="501">
        <f t="shared" si="31"/>
        <v>60.799999999988358</v>
      </c>
      <c r="AJ35" s="170">
        <f t="shared" si="32"/>
        <v>153</v>
      </c>
      <c r="AK35" s="170">
        <f t="shared" si="32"/>
        <v>9.9000000000014552</v>
      </c>
      <c r="AL35" s="501">
        <f t="shared" si="7"/>
        <v>241</v>
      </c>
      <c r="AM35" s="501">
        <f t="shared" si="33"/>
        <v>78.099999999998545</v>
      </c>
      <c r="AN35" s="170">
        <f t="shared" si="34"/>
        <v>21</v>
      </c>
      <c r="AO35" s="501">
        <f t="shared" si="8"/>
        <v>7.9000000000014552</v>
      </c>
      <c r="AP35" s="170">
        <f t="shared" si="35"/>
        <v>32.19999999999709</v>
      </c>
      <c r="AQ35" s="501">
        <f t="shared" si="9"/>
        <v>49.399999999994179</v>
      </c>
      <c r="AR35" s="170">
        <f t="shared" si="36"/>
        <v>99.676000000000002</v>
      </c>
      <c r="AS35" s="501">
        <f>IF(AR35="","",(ES35-ES34)+((ET35-ET34)/1000)-AW35-AU35)</f>
        <v>46.676000000000045</v>
      </c>
      <c r="AT35" s="501">
        <f t="shared" si="38"/>
        <v>743.67600000000004</v>
      </c>
      <c r="AU35" s="170">
        <f t="shared" si="61"/>
        <v>425</v>
      </c>
      <c r="AV35" s="501">
        <f t="shared" si="62"/>
        <v>14</v>
      </c>
      <c r="AW35" s="170">
        <f t="shared" si="63"/>
        <v>272</v>
      </c>
      <c r="AX35" s="501">
        <f t="shared" si="64"/>
        <v>31</v>
      </c>
      <c r="AY35" s="501" t="str">
        <f t="shared" si="64"/>
        <v/>
      </c>
      <c r="AZ35" s="170">
        <f t="shared" si="39"/>
        <v>238</v>
      </c>
      <c r="BA35" s="170"/>
      <c r="BB35" s="170">
        <f t="shared" si="40"/>
        <v>150.70000000001164</v>
      </c>
      <c r="BC35" s="170">
        <f t="shared" si="40"/>
        <v>1054.5</v>
      </c>
      <c r="BD35" s="170">
        <f t="shared" si="41"/>
        <v>0</v>
      </c>
      <c r="BE35" s="90"/>
      <c r="BF35" s="90"/>
      <c r="BG35" s="501">
        <f t="shared" si="42"/>
        <v>1443.2000000000116</v>
      </c>
      <c r="BH35" s="501">
        <f t="shared" si="43"/>
        <v>-1747</v>
      </c>
      <c r="BI35" s="90">
        <f t="shared" si="10"/>
        <v>1489.5239999999949</v>
      </c>
      <c r="BJ35" s="90">
        <f t="shared" si="44"/>
        <v>5002.4760000000051</v>
      </c>
      <c r="BK35" s="92"/>
      <c r="BL35" s="331">
        <f>FD35+FN35</f>
        <v>4745</v>
      </c>
      <c r="BM35" s="93">
        <f t="shared" si="45"/>
        <v>248526</v>
      </c>
      <c r="BN35" s="92"/>
      <c r="BO35" s="94">
        <f t="shared" si="46"/>
        <v>0</v>
      </c>
      <c r="BP35" s="94">
        <f t="shared" si="46"/>
        <v>1.6514251297523208E-2</v>
      </c>
      <c r="BQ35" s="94">
        <f t="shared" si="47"/>
        <v>0.21670949716837698</v>
      </c>
      <c r="BR35" s="94">
        <f t="shared" si="66"/>
        <v>0.48344047681065144</v>
      </c>
      <c r="BS35" s="94">
        <f t="shared" si="75"/>
        <v>0.16212689986453113</v>
      </c>
      <c r="BT35" s="94">
        <f t="shared" si="75"/>
        <v>4.2557840024890874E-2</v>
      </c>
      <c r="BU35" s="95">
        <f t="shared" si="75"/>
        <v>0.71895986075707952</v>
      </c>
      <c r="BV35" s="94">
        <f t="shared" si="12"/>
        <v>0</v>
      </c>
      <c r="BW35" s="94">
        <f t="shared" si="12"/>
        <v>1.4960650518178631E-2</v>
      </c>
      <c r="BX35" s="94">
        <f t="shared" si="12"/>
        <v>0.19632225480258736</v>
      </c>
      <c r="BY35" s="94">
        <f t="shared" si="48"/>
        <v>0.43796015269493527</v>
      </c>
      <c r="BZ35" s="95">
        <f t="shared" si="13"/>
        <v>0.65132272844838135</v>
      </c>
      <c r="CA35" s="96" t="e">
        <f>#REF!</f>
        <v>#REF!</v>
      </c>
      <c r="CB35" s="94">
        <f t="shared" si="49"/>
        <v>3.4038297216390151E-2</v>
      </c>
      <c r="CC35" s="95">
        <f t="shared" si="49"/>
        <v>1.5939359132310968E-2</v>
      </c>
      <c r="CD35" s="97">
        <f t="shared" si="14"/>
        <v>0.18795982989405338</v>
      </c>
      <c r="CE35" s="98">
        <f t="shared" si="14"/>
        <v>8.8017306273675155E-2</v>
      </c>
      <c r="CF35" s="97">
        <f t="shared" si="50"/>
        <v>0.39432789432789433</v>
      </c>
      <c r="CG35" s="94">
        <f t="shared" si="50"/>
        <v>0</v>
      </c>
      <c r="CH35" s="95">
        <f t="shared" si="51"/>
        <v>0.92657342657342656</v>
      </c>
      <c r="CI35" s="96" t="e">
        <f>#REF!</f>
        <v>#REF!</v>
      </c>
      <c r="CJ35" s="94">
        <f t="shared" si="52"/>
        <v>0</v>
      </c>
      <c r="CK35" s="94">
        <f t="shared" si="52"/>
        <v>3.9949710364616954E-2</v>
      </c>
      <c r="CL35" s="95">
        <f t="shared" si="67"/>
        <v>0.12924906294429367</v>
      </c>
      <c r="CM35" s="95" t="e">
        <f>#REF!</f>
        <v>#REF!</v>
      </c>
      <c r="CN35" s="94">
        <f t="shared" si="53"/>
        <v>0.51243097253369985</v>
      </c>
      <c r="CO35" s="94">
        <f t="shared" si="53"/>
        <v>3.315729822277369E-2</v>
      </c>
      <c r="CP35" s="95">
        <f t="shared" si="54"/>
        <v>0.80716251229164493</v>
      </c>
      <c r="CQ35" s="95" t="e">
        <f>#REF!</f>
        <v>#REF!</v>
      </c>
      <c r="CR35" s="97">
        <f t="shared" si="68"/>
        <v>4.7878558089344582E-2</v>
      </c>
      <c r="CS35" s="95">
        <f t="shared" si="68"/>
        <v>1.8011457566947234E-2</v>
      </c>
      <c r="CT35" s="96" t="e">
        <f>#REF!</f>
        <v>#REF!</v>
      </c>
      <c r="CU35" s="97">
        <f t="shared" si="69"/>
        <v>4.4721122827948656E-2</v>
      </c>
      <c r="CV35" s="95">
        <f t="shared" si="55"/>
        <v>6.8609424462751659E-2</v>
      </c>
      <c r="CW35" s="96" t="e">
        <f>#REF!</f>
        <v>#REF!</v>
      </c>
      <c r="CX35" s="99">
        <f t="shared" si="76"/>
        <v>0.14513299407044639</v>
      </c>
      <c r="CY35" s="95">
        <f t="shared" si="76"/>
        <v>4.7808515693794108E-3</v>
      </c>
      <c r="CZ35" s="99">
        <f t="shared" si="76"/>
        <v>9.2885116205085688E-2</v>
      </c>
      <c r="DA35" s="95">
        <f t="shared" si="76"/>
        <v>1.0586171332197266E-2</v>
      </c>
      <c r="DB35" s="94">
        <f t="shared" si="15"/>
        <v>8.1274476679449981E-2</v>
      </c>
      <c r="DC35" s="94">
        <f t="shared" si="16"/>
        <v>5.1462452250395196E-2</v>
      </c>
      <c r="DD35" s="94">
        <f t="shared" si="16"/>
        <v>0.3601005699936134</v>
      </c>
      <c r="DE35" s="94">
        <f t="shared" si="16"/>
        <v>0</v>
      </c>
      <c r="DF35" s="94">
        <f t="shared" si="16"/>
        <v>0</v>
      </c>
      <c r="DG35" s="94">
        <f t="shared" si="16"/>
        <v>0</v>
      </c>
      <c r="DH35" s="95">
        <f t="shared" si="16"/>
        <v>0.49283749892345863</v>
      </c>
      <c r="DI35" s="96" t="e">
        <f>#REF!</f>
        <v>#REF!</v>
      </c>
      <c r="DJ35" s="95">
        <f t="shared" si="57"/>
        <v>-0.59658197797898782</v>
      </c>
      <c r="DK35" s="96" t="e">
        <f>#REF!</f>
        <v>#REF!</v>
      </c>
      <c r="DL35" s="95">
        <f t="shared" si="58"/>
        <v>0.50865665378773373</v>
      </c>
      <c r="DM35" s="96">
        <f t="shared" si="17"/>
        <v>0</v>
      </c>
      <c r="DN35" s="94">
        <f t="shared" si="18"/>
        <v>1.7082925168130614</v>
      </c>
      <c r="DO35" s="100">
        <v>3.4</v>
      </c>
      <c r="DP35" s="94">
        <f>IF($O35&lt;&gt;0,IF($O35&lt;&gt;0,BL35/$O35*10,0)," ")</f>
        <v>1.6203671926218075</v>
      </c>
      <c r="DQ35" s="94">
        <f>IF($P35&lt;&gt;0,IF($P35&lt;&gt;0,BM35/$P35*10,0)," ")</f>
        <v>3.3584560306573907</v>
      </c>
      <c r="DR35" s="101">
        <f t="shared" si="19"/>
        <v>2.95</v>
      </c>
      <c r="DS35" s="173"/>
      <c r="DT35" s="134">
        <v>30</v>
      </c>
      <c r="DU35" s="361">
        <v>647892</v>
      </c>
      <c r="DV35" s="361">
        <f>DV34</f>
        <v>33600</v>
      </c>
      <c r="DW35" s="361">
        <v>5170453</v>
      </c>
      <c r="DX35" s="361">
        <f>DX34</f>
        <v>129157</v>
      </c>
      <c r="DY35" s="361">
        <v>93993.600000000006</v>
      </c>
      <c r="DZ35" s="361">
        <v>419003</v>
      </c>
      <c r="EA35" s="303">
        <v>254795</v>
      </c>
      <c r="EB35" s="303">
        <v>58809.599999999999</v>
      </c>
      <c r="EC35" s="303">
        <v>436012</v>
      </c>
      <c r="ED35" s="361">
        <v>50899</v>
      </c>
      <c r="EE35" s="303">
        <v>43052</v>
      </c>
      <c r="EF35" s="303">
        <v>45580</v>
      </c>
      <c r="EG35" s="361">
        <v>97925.8</v>
      </c>
      <c r="EH35" s="361">
        <v>191604.6</v>
      </c>
      <c r="EI35" s="330">
        <v>37434</v>
      </c>
      <c r="EJ35" s="303">
        <v>45697</v>
      </c>
      <c r="EK35" s="303"/>
      <c r="EL35" s="361">
        <f>EL34</f>
        <v>736231.7</v>
      </c>
      <c r="EM35" s="361">
        <v>5749</v>
      </c>
      <c r="EN35" s="303">
        <v>51992</v>
      </c>
      <c r="EO35" s="361">
        <v>3224739</v>
      </c>
      <c r="EP35" s="303">
        <v>2888345</v>
      </c>
      <c r="EQ35" s="303">
        <v>4301</v>
      </c>
      <c r="ER35" s="303">
        <v>1129</v>
      </c>
      <c r="ES35" s="303">
        <v>487232</v>
      </c>
      <c r="ET35" s="303">
        <v>5314728</v>
      </c>
      <c r="EU35" s="303">
        <v>182257</v>
      </c>
      <c r="EV35" s="136">
        <v>502995</v>
      </c>
      <c r="EW35" s="303">
        <v>170923</v>
      </c>
      <c r="EX35" s="361">
        <v>235046.2</v>
      </c>
      <c r="EY35" s="476">
        <v>1788566.8</v>
      </c>
      <c r="EZ35" s="477">
        <v>859790</v>
      </c>
      <c r="FA35" s="383">
        <v>787125</v>
      </c>
      <c r="FB35" s="383">
        <v>33752.9</v>
      </c>
      <c r="FC35" s="382">
        <v>6492</v>
      </c>
      <c r="FD35" s="104">
        <f t="shared" si="77"/>
        <v>4745</v>
      </c>
      <c r="FE35" s="136">
        <v>747</v>
      </c>
      <c r="FF35" s="371">
        <v>0</v>
      </c>
      <c r="FG35" s="401">
        <v>318</v>
      </c>
      <c r="FH35" s="136">
        <v>1730</v>
      </c>
      <c r="FI35" s="371">
        <v>509</v>
      </c>
      <c r="FJ35" s="136">
        <v>81</v>
      </c>
      <c r="FK35" s="371">
        <v>807</v>
      </c>
      <c r="FL35" s="371">
        <v>201</v>
      </c>
      <c r="FM35" s="371">
        <v>352</v>
      </c>
      <c r="FN35" s="80">
        <v>0</v>
      </c>
      <c r="FO35" s="303"/>
      <c r="FP35" s="488"/>
      <c r="FY35" s="119">
        <v>30</v>
      </c>
      <c r="FZ35" s="190"/>
      <c r="GA35" s="192"/>
      <c r="GB35" s="190"/>
      <c r="GC35" s="109"/>
      <c r="GD35" s="110"/>
      <c r="GE35" s="110"/>
      <c r="GF35" s="111"/>
      <c r="GG35" s="111"/>
      <c r="GH35" s="111"/>
      <c r="GI35" s="112"/>
      <c r="GJ35" s="111" t="e">
        <f t="shared" si="59"/>
        <v>#DIV/0!</v>
      </c>
      <c r="GK35" s="113"/>
    </row>
    <row r="36" spans="1:193" s="119" customFormat="1" ht="15" customHeight="1">
      <c r="B36" s="351">
        <v>43100</v>
      </c>
      <c r="D36" s="86">
        <v>3968.04</v>
      </c>
      <c r="E36" s="86">
        <v>5880</v>
      </c>
      <c r="F36" s="86">
        <v>3621.672</v>
      </c>
      <c r="G36" s="86">
        <v>3316.538</v>
      </c>
      <c r="H36" s="86">
        <v>5991.1890000000003</v>
      </c>
      <c r="I36" s="86">
        <v>2212.319</v>
      </c>
      <c r="J36" s="86">
        <v>6397.68</v>
      </c>
      <c r="K36" s="284"/>
      <c r="L36" s="284">
        <v>0</v>
      </c>
      <c r="M36" s="115">
        <f t="shared" si="60"/>
        <v>8609.9989999999998</v>
      </c>
      <c r="N36" s="88">
        <f t="shared" si="20"/>
        <v>22777.438999999998</v>
      </c>
      <c r="O36" s="88">
        <f t="shared" si="74"/>
        <v>27082.438499999997</v>
      </c>
      <c r="P36" s="89">
        <f t="shared" si="21"/>
        <v>767083.1939999999</v>
      </c>
      <c r="R36" s="170">
        <f t="shared" si="22"/>
        <v>0</v>
      </c>
      <c r="S36" s="170">
        <f t="shared" si="23"/>
        <v>9.9999999976716943E-3</v>
      </c>
      <c r="T36" s="170">
        <f t="shared" si="2"/>
        <v>399.2</v>
      </c>
      <c r="U36" s="170">
        <f>IF(FB36=0,"",((EN36-EN35)/10))</f>
        <v>0</v>
      </c>
      <c r="V36" s="170">
        <f t="shared" si="24"/>
        <v>1196.8999999999069</v>
      </c>
      <c r="W36" s="170">
        <f t="shared" si="3"/>
        <v>106</v>
      </c>
      <c r="X36" s="170">
        <f t="shared" si="25"/>
        <v>1196.8999999999069</v>
      </c>
      <c r="Y36" s="170">
        <f t="shared" si="26"/>
        <v>419.9</v>
      </c>
      <c r="Z36" s="170">
        <f t="shared" si="4"/>
        <v>114.4</v>
      </c>
      <c r="AA36" s="501">
        <f t="shared" si="27"/>
        <v>1596.1099999999046</v>
      </c>
      <c r="AB36" s="170">
        <f t="shared" si="28"/>
        <v>0</v>
      </c>
      <c r="AC36" s="170">
        <f t="shared" si="28"/>
        <v>0</v>
      </c>
      <c r="AD36" s="501">
        <f t="shared" si="5"/>
        <v>305</v>
      </c>
      <c r="AE36" s="501">
        <f t="shared" si="29"/>
        <v>305</v>
      </c>
      <c r="AF36" s="170">
        <f t="shared" si="30"/>
        <v>0</v>
      </c>
      <c r="AG36" s="170">
        <f t="shared" si="30"/>
        <v>32.69999999999709</v>
      </c>
      <c r="AH36" s="501">
        <f t="shared" si="6"/>
        <v>86</v>
      </c>
      <c r="AI36" s="501">
        <f t="shared" si="31"/>
        <v>53.30000000000291</v>
      </c>
      <c r="AJ36" s="170">
        <f>IF(EA36=0,"",(EA36-EA35))</f>
        <v>136</v>
      </c>
      <c r="AK36" s="170">
        <f>IF(EB36=0,"",(EB36-EB35))</f>
        <v>6.9000000000014552</v>
      </c>
      <c r="AL36" s="501">
        <f t="shared" si="7"/>
        <v>220</v>
      </c>
      <c r="AM36" s="501">
        <f t="shared" si="33"/>
        <v>77.099999999998545</v>
      </c>
      <c r="AN36" s="170">
        <f t="shared" si="34"/>
        <v>15.099999999998545</v>
      </c>
      <c r="AO36" s="501">
        <f t="shared" si="8"/>
        <v>24.19999999999709</v>
      </c>
      <c r="AP36" s="170">
        <f t="shared" si="35"/>
        <v>16.30000000000291</v>
      </c>
      <c r="AQ36" s="501">
        <f t="shared" si="9"/>
        <v>79.5</v>
      </c>
      <c r="AR36" s="170">
        <f t="shared" si="36"/>
        <v>102.377</v>
      </c>
      <c r="AS36" s="501">
        <f t="shared" si="37"/>
        <v>32.376999999999953</v>
      </c>
      <c r="AT36" s="501">
        <f t="shared" si="38"/>
        <v>680.37699999999995</v>
      </c>
      <c r="AU36" s="170">
        <f t="shared" si="61"/>
        <v>414</v>
      </c>
      <c r="AV36" s="501">
        <f t="shared" si="62"/>
        <v>13</v>
      </c>
      <c r="AW36" s="170">
        <f t="shared" si="63"/>
        <v>234</v>
      </c>
      <c r="AX36" s="501">
        <f t="shared" si="64"/>
        <v>43</v>
      </c>
      <c r="AY36" s="501" t="str">
        <f t="shared" si="64"/>
        <v/>
      </c>
      <c r="AZ36" s="170">
        <f t="shared" si="39"/>
        <v>399</v>
      </c>
      <c r="BA36" s="170"/>
      <c r="BB36" s="170">
        <f t="shared" si="40"/>
        <v>151.69999999998254</v>
      </c>
      <c r="BC36" s="170">
        <f t="shared" si="40"/>
        <v>1258.3999999999069</v>
      </c>
      <c r="BD36" s="170">
        <f t="shared" si="41"/>
        <v>25</v>
      </c>
      <c r="BE36" s="90"/>
      <c r="BF36" s="90"/>
      <c r="BG36" s="501">
        <f t="shared" si="42"/>
        <v>1834.0999999998894</v>
      </c>
      <c r="BH36" s="501">
        <f t="shared" si="43"/>
        <v>6742.42</v>
      </c>
      <c r="BI36" s="90">
        <f t="shared" si="10"/>
        <v>1011.7130000002089</v>
      </c>
      <c r="BJ36" s="90">
        <f t="shared" si="44"/>
        <v>4881.2869999997911</v>
      </c>
      <c r="BK36" s="92"/>
      <c r="BL36" s="331">
        <f>FD36+FN36-707</f>
        <v>12635.42</v>
      </c>
      <c r="BM36" s="93">
        <f t="shared" si="45"/>
        <v>261161.42</v>
      </c>
      <c r="BN36" s="92"/>
      <c r="BO36" s="94">
        <f>IF($N36&lt;&gt;0,IF($N36&lt;&gt;0,R36/$N36*10,0)," ")</f>
        <v>0</v>
      </c>
      <c r="BP36" s="94">
        <f>IF($N36&lt;&gt;0,IF($N36&lt;&gt;0,S36/$N36*10,0)," ")</f>
        <v>4.3903091992351272E-6</v>
      </c>
      <c r="BQ36" s="94">
        <f t="shared" si="47"/>
        <v>0.17526114327427239</v>
      </c>
      <c r="BR36" s="94">
        <f t="shared" si="66"/>
        <v>0.52547610817875834</v>
      </c>
      <c r="BS36" s="94">
        <f t="shared" si="75"/>
        <v>0.18434908331880506</v>
      </c>
      <c r="BT36" s="94">
        <f t="shared" si="75"/>
        <v>5.0225137250943803E-2</v>
      </c>
      <c r="BU36" s="95">
        <f t="shared" si="75"/>
        <v>0.70074164176223008</v>
      </c>
      <c r="BV36" s="94">
        <f>IF($O36&lt;&gt;0,IF($O36&lt;&gt;0,R36/$O36*10,0)," ")</f>
        <v>0</v>
      </c>
      <c r="BW36" s="94">
        <f>IF($O36&lt;&gt;0,IF($O36&lt;&gt;0,S36/$O36*10,0)," ")</f>
        <v>3.692429689324946E-6</v>
      </c>
      <c r="BX36" s="94">
        <f>IF($O36&lt;&gt;0,IF($O36&lt;&gt;0,T36/$O36*10,0)," ")</f>
        <v>0.14740179323217148</v>
      </c>
      <c r="BY36" s="94">
        <f t="shared" si="48"/>
        <v>0.44194690961816713</v>
      </c>
      <c r="BZ36" s="95">
        <f t="shared" si="13"/>
        <v>0.58935239528002803</v>
      </c>
      <c r="CA36" s="96" t="e">
        <f>#REF!</f>
        <v>#REF!</v>
      </c>
      <c r="CB36" s="94">
        <f t="shared" si="49"/>
        <v>3.780198743920346E-2</v>
      </c>
      <c r="CC36" s="95">
        <f t="shared" si="49"/>
        <v>1.1954979607910844E-2</v>
      </c>
      <c r="CD36" s="97">
        <f>IFERROR(AR36*10/($I36+$J36),"")</f>
        <v>0.11890477571484039</v>
      </c>
      <c r="CE36" s="98">
        <f>IFERROR(AS36*10/($I36+$J36),"")</f>
        <v>3.7603953264106017E-2</v>
      </c>
      <c r="CF36" s="97">
        <f t="shared" si="50"/>
        <v>0</v>
      </c>
      <c r="CG36" s="94">
        <f t="shared" si="50"/>
        <v>0</v>
      </c>
      <c r="CH36" s="95">
        <f t="shared" si="51"/>
        <v>0.76864144514672228</v>
      </c>
      <c r="CI36" s="96" t="e">
        <f>#REF!</f>
        <v>#REF!</v>
      </c>
      <c r="CJ36" s="94">
        <f t="shared" si="52"/>
        <v>0</v>
      </c>
      <c r="CK36" s="94">
        <f t="shared" si="52"/>
        <v>5.561224489795423E-2</v>
      </c>
      <c r="CL36" s="95">
        <f t="shared" si="67"/>
        <v>0.14625850340136054</v>
      </c>
      <c r="CM36" s="95" t="e">
        <f>#REF!</f>
        <v>#REF!</v>
      </c>
      <c r="CN36" s="94">
        <f t="shared" si="53"/>
        <v>0.37551716444780198</v>
      </c>
      <c r="CO36" s="94">
        <f t="shared" si="53"/>
        <v>1.9051973784488092E-2</v>
      </c>
      <c r="CP36" s="95">
        <f t="shared" si="54"/>
        <v>0.60745423660673858</v>
      </c>
      <c r="CQ36" s="95" t="e">
        <f>#REF!</f>
        <v>#REF!</v>
      </c>
      <c r="CR36" s="97">
        <f t="shared" si="68"/>
        <v>4.5529404457294156E-2</v>
      </c>
      <c r="CS36" s="95">
        <f t="shared" si="68"/>
        <v>7.2967654825595515E-2</v>
      </c>
      <c r="CT36" s="96" t="e">
        <f>#REF!</f>
        <v>#REF!</v>
      </c>
      <c r="CU36" s="97">
        <f t="shared" si="69"/>
        <v>2.7206619587535813E-2</v>
      </c>
      <c r="CV36" s="95">
        <f t="shared" si="55"/>
        <v>0.13269486240544237</v>
      </c>
      <c r="CW36" s="96" t="e">
        <f>#REF!</f>
        <v>#REF!</v>
      </c>
      <c r="CX36" s="99">
        <f t="shared" si="76"/>
        <v>0.15286658917364476</v>
      </c>
      <c r="CY36" s="95">
        <f t="shared" si="76"/>
        <v>4.8001585972400531E-3</v>
      </c>
      <c r="CZ36" s="99">
        <f t="shared" si="76"/>
        <v>8.6402854750320959E-2</v>
      </c>
      <c r="DA36" s="95">
        <f t="shared" si="76"/>
        <v>1.5877447667794021E-2</v>
      </c>
      <c r="DB36" s="94">
        <f t="shared" si="15"/>
        <v>0.14732794463836779</v>
      </c>
      <c r="DC36" s="94">
        <f t="shared" ref="DC36:DH36" si="78">IF($O36&lt;&gt;0,IF($O36&lt;&gt;0,BB36/$O36*10,0)," ")</f>
        <v>5.6014158400094785E-2</v>
      </c>
      <c r="DD36" s="94">
        <f t="shared" si="78"/>
        <v>0.4646553522128028</v>
      </c>
      <c r="DE36" s="94">
        <f t="shared" si="78"/>
        <v>9.2310742254616412E-3</v>
      </c>
      <c r="DF36" s="94">
        <f t="shared" si="78"/>
        <v>0</v>
      </c>
      <c r="DG36" s="94">
        <f t="shared" si="78"/>
        <v>0</v>
      </c>
      <c r="DH36" s="95">
        <f t="shared" si="78"/>
        <v>0.67722852947672707</v>
      </c>
      <c r="DI36" s="96" t="e">
        <f>#REF!</f>
        <v>#REF!</v>
      </c>
      <c r="DJ36" s="95">
        <f t="shared" si="57"/>
        <v>2.4895911791694831</v>
      </c>
      <c r="DK36" s="96" t="e">
        <f>#REF!</f>
        <v>#REF!</v>
      </c>
      <c r="DL36" s="95">
        <f t="shared" si="58"/>
        <v>0.3735679119146561</v>
      </c>
      <c r="DM36" s="96">
        <f t="shared" si="17"/>
        <v>0</v>
      </c>
      <c r="DN36" s="94">
        <f t="shared" si="18"/>
        <v>1.8023809045111618</v>
      </c>
      <c r="DO36" s="100">
        <v>3.4</v>
      </c>
      <c r="DP36" s="94">
        <f>IF($O36&lt;&gt;0,IF($O36&lt;&gt;0,BL36/$O36*10,0)," ")</f>
        <v>4.6655399955953012</v>
      </c>
      <c r="DQ36" s="94">
        <f>IF($P36&lt;&gt;0,IF($P36&lt;&gt;0,BM36/$P36*10,0)," ")</f>
        <v>3.4046035950567317</v>
      </c>
      <c r="DR36" s="101"/>
      <c r="DS36" s="173"/>
      <c r="DT36" s="134"/>
      <c r="DU36" s="361">
        <f>DU35</f>
        <v>647892</v>
      </c>
      <c r="DV36" s="361">
        <f>DV35</f>
        <v>33600</v>
      </c>
      <c r="DW36" s="361">
        <v>5170758</v>
      </c>
      <c r="DX36" s="361">
        <f>DX35</f>
        <v>129157</v>
      </c>
      <c r="DY36" s="361">
        <v>94026.3</v>
      </c>
      <c r="DZ36" s="361">
        <v>419089</v>
      </c>
      <c r="EA36" s="303">
        <v>254931</v>
      </c>
      <c r="EB36" s="303">
        <v>58816.5</v>
      </c>
      <c r="EC36" s="303">
        <v>436096</v>
      </c>
      <c r="ED36" s="361">
        <v>50914.1</v>
      </c>
      <c r="EE36" s="303">
        <v>43069</v>
      </c>
      <c r="EF36" s="303">
        <v>45587.199999999997</v>
      </c>
      <c r="EG36" s="361">
        <v>97942.1</v>
      </c>
      <c r="EH36" s="361">
        <v>191684.1</v>
      </c>
      <c r="EI36" s="361">
        <v>37447</v>
      </c>
      <c r="EJ36" s="303">
        <v>45740</v>
      </c>
      <c r="EK36" s="303"/>
      <c r="EL36" s="361">
        <f>EL35</f>
        <v>736231.7</v>
      </c>
      <c r="EM36" s="361">
        <v>3992</v>
      </c>
      <c r="EN36" s="303">
        <f>EN35</f>
        <v>51992</v>
      </c>
      <c r="EO36" s="361">
        <v>3225935.9</v>
      </c>
      <c r="EP36" s="303">
        <v>2889405</v>
      </c>
      <c r="EQ36" s="303">
        <v>4199</v>
      </c>
      <c r="ER36" s="303">
        <v>1144</v>
      </c>
      <c r="ES36" s="303">
        <v>487810</v>
      </c>
      <c r="ET36" s="303">
        <v>5417105</v>
      </c>
      <c r="EU36" s="303">
        <v>182491</v>
      </c>
      <c r="EV36" s="303">
        <v>503409</v>
      </c>
      <c r="EW36" s="303">
        <v>171322</v>
      </c>
      <c r="EX36" s="361">
        <v>235197.9</v>
      </c>
      <c r="EY36" s="361">
        <v>1789825.2</v>
      </c>
      <c r="EZ36" s="361">
        <v>859790.1</v>
      </c>
      <c r="FA36" s="361">
        <v>787150</v>
      </c>
      <c r="FB36" s="303">
        <v>33152.9</v>
      </c>
      <c r="FC36" s="361">
        <v>5893</v>
      </c>
      <c r="FD36" s="104">
        <f>SUM(FE36:FM36)+117.9+9119</f>
        <v>13342.42</v>
      </c>
      <c r="FE36" s="105">
        <v>645.04999999999995</v>
      </c>
      <c r="FF36" s="105">
        <v>193.47</v>
      </c>
      <c r="FG36" s="105">
        <v>316.39999999999998</v>
      </c>
      <c r="FH36" s="105">
        <v>1146.95</v>
      </c>
      <c r="FI36" s="105">
        <v>528</v>
      </c>
      <c r="FJ36" s="104">
        <v>592.11</v>
      </c>
      <c r="FK36" s="267">
        <v>328.54</v>
      </c>
      <c r="FL36" s="267">
        <v>1</v>
      </c>
      <c r="FM36" s="267">
        <v>354</v>
      </c>
      <c r="FN36" s="80">
        <v>0</v>
      </c>
      <c r="FO36" s="80">
        <v>1301083</v>
      </c>
      <c r="FP36" s="486"/>
      <c r="FY36" s="119">
        <v>31</v>
      </c>
      <c r="FZ36" s="190"/>
      <c r="GA36" s="192"/>
      <c r="GB36" s="190"/>
      <c r="GC36" s="109"/>
      <c r="GD36" s="110"/>
      <c r="GE36" s="110"/>
      <c r="GF36" s="111"/>
      <c r="GG36" s="111"/>
      <c r="GH36" s="111"/>
      <c r="GI36" s="164"/>
      <c r="GJ36" s="111" t="e">
        <f t="shared" si="59"/>
        <v>#DIV/0!</v>
      </c>
    </row>
    <row r="37" spans="1:193" s="10" customFormat="1" ht="15" customHeight="1">
      <c r="A37" s="64" t="s">
        <v>127</v>
      </c>
      <c r="B37" s="351"/>
      <c r="C37" s="194"/>
      <c r="D37" s="195">
        <f>SUM(D6:D36)</f>
        <v>111251.87999999999</v>
      </c>
      <c r="E37" s="196">
        <f t="shared" ref="E37:M37" si="79">SUM(E6:E36)</f>
        <v>129099.84000000001</v>
      </c>
      <c r="F37" s="196">
        <f t="shared" si="79"/>
        <v>69838.703999999998</v>
      </c>
      <c r="G37" s="196">
        <f t="shared" si="79"/>
        <v>122119.62599999999</v>
      </c>
      <c r="H37" s="196">
        <f t="shared" si="79"/>
        <v>210238.75300000003</v>
      </c>
      <c r="I37" s="195">
        <f t="shared" si="79"/>
        <v>54831.417999999991</v>
      </c>
      <c r="J37" s="195">
        <f t="shared" si="79"/>
        <v>185371.052</v>
      </c>
      <c r="K37" s="195">
        <f t="shared" si="79"/>
        <v>220.768</v>
      </c>
      <c r="L37" s="195">
        <f t="shared" si="79"/>
        <v>2353.5</v>
      </c>
      <c r="M37" s="458">
        <f t="shared" si="79"/>
        <v>240202.47000000003</v>
      </c>
      <c r="N37" s="199">
        <f>SUM(N6:N36)</f>
        <v>642548.80300000007</v>
      </c>
      <c r="O37" s="199">
        <f>SUM(O6:O36)</f>
        <v>767083.1939999999</v>
      </c>
      <c r="P37" s="200">
        <f>P36</f>
        <v>767083.1939999999</v>
      </c>
      <c r="Q37" s="201">
        <f>SUM(Q6:Q33)</f>
        <v>0</v>
      </c>
      <c r="R37" s="196">
        <f>SUM(R6:R36)</f>
        <v>2351.3999999999069</v>
      </c>
      <c r="S37" s="196">
        <f t="shared" ref="S37:Z37" si="80">SUM(S6:S36)</f>
        <v>724.29000000000224</v>
      </c>
      <c r="T37" s="196">
        <f t="shared" si="80"/>
        <v>13462.5</v>
      </c>
      <c r="U37" s="483">
        <f t="shared" si="80"/>
        <v>143.42999999999958</v>
      </c>
      <c r="V37" s="483">
        <f t="shared" si="80"/>
        <v>37723.299999999814</v>
      </c>
      <c r="W37" s="483">
        <f t="shared" si="80"/>
        <v>3234.2999999999997</v>
      </c>
      <c r="X37" s="196">
        <f t="shared" si="80"/>
        <v>37723.299999999814</v>
      </c>
      <c r="Y37" s="196">
        <f t="shared" si="80"/>
        <v>10382.700000000001</v>
      </c>
      <c r="Z37" s="196">
        <f t="shared" si="80"/>
        <v>3473.8</v>
      </c>
      <c r="AA37" s="502">
        <f>SUM(R37:V37)</f>
        <v>54404.919999999722</v>
      </c>
      <c r="AB37" s="196">
        <f t="shared" ref="AB37:AZ37" si="81">SUM(AB6:AB36)</f>
        <v>4068</v>
      </c>
      <c r="AC37" s="196">
        <f t="shared" si="81"/>
        <v>901</v>
      </c>
      <c r="AD37" s="501">
        <f>SUM(AD6:AD36)</f>
        <v>9218</v>
      </c>
      <c r="AE37" s="502">
        <f>SUM(AE6:AE36)</f>
        <v>4249</v>
      </c>
      <c r="AF37" s="196">
        <f>SUM(AF6:AF36)</f>
        <v>3492</v>
      </c>
      <c r="AG37" s="196">
        <f>SUM(AG6:AG36)</f>
        <v>1743.1000000000058</v>
      </c>
      <c r="AH37" s="502">
        <f t="shared" si="81"/>
        <v>7742</v>
      </c>
      <c r="AI37" s="502">
        <f t="shared" si="81"/>
        <v>2578.8999999999942</v>
      </c>
      <c r="AJ37" s="196">
        <f t="shared" si="81"/>
        <v>4581</v>
      </c>
      <c r="AK37" s="196">
        <f t="shared" si="81"/>
        <v>1368.5</v>
      </c>
      <c r="AL37" s="502">
        <f t="shared" si="81"/>
        <v>9319</v>
      </c>
      <c r="AM37" s="502">
        <f t="shared" si="81"/>
        <v>3369.5</v>
      </c>
      <c r="AN37" s="196">
        <f t="shared" si="81"/>
        <v>1272.5</v>
      </c>
      <c r="AO37" s="502">
        <f t="shared" si="81"/>
        <v>1735.5999999999913</v>
      </c>
      <c r="AP37" s="196">
        <f>SUM(AP6:AP36)</f>
        <v>1001.6000000000058</v>
      </c>
      <c r="AQ37" s="502">
        <f t="shared" si="81"/>
        <v>1476.3000000000175</v>
      </c>
      <c r="AR37" s="196">
        <f t="shared" si="81"/>
        <v>2674.5469999999996</v>
      </c>
      <c r="AS37" s="502">
        <f t="shared" si="81"/>
        <v>3484.547</v>
      </c>
      <c r="AT37" s="502">
        <f t="shared" si="81"/>
        <v>27849.547000000006</v>
      </c>
      <c r="AU37" s="204">
        <f t="shared" si="81"/>
        <v>16468</v>
      </c>
      <c r="AV37" s="502">
        <f t="shared" si="81"/>
        <v>1065</v>
      </c>
      <c r="AW37" s="365">
        <f>SUM(AW6:AW36)</f>
        <v>7897</v>
      </c>
      <c r="AX37" s="502">
        <f t="shared" si="81"/>
        <v>824</v>
      </c>
      <c r="AY37" s="502">
        <f t="shared" si="81"/>
        <v>0</v>
      </c>
      <c r="AZ37" s="196">
        <f t="shared" si="81"/>
        <v>12113</v>
      </c>
      <c r="BA37" s="483">
        <f>SUM(BA6:BA36)</f>
        <v>1653.5999999999997</v>
      </c>
      <c r="BB37" s="483">
        <f>SUM(BB6:BB35)</f>
        <v>4751.6000000000058</v>
      </c>
      <c r="BC37" s="483">
        <f t="shared" ref="BC37:BJ37" si="82">SUM(BC6:BC36)</f>
        <v>28092.300000000047</v>
      </c>
      <c r="BD37" s="483">
        <f t="shared" si="82"/>
        <v>7647</v>
      </c>
      <c r="BE37" s="196">
        <f t="shared" si="82"/>
        <v>0</v>
      </c>
      <c r="BF37" s="196">
        <f t="shared" si="82"/>
        <v>0</v>
      </c>
      <c r="BG37" s="502">
        <f t="shared" si="82"/>
        <v>52755.600000000035</v>
      </c>
      <c r="BH37" s="502">
        <f t="shared" si="82"/>
        <v>82033.42</v>
      </c>
      <c r="BI37" s="196">
        <f t="shared" si="82"/>
        <v>23880.260000000249</v>
      </c>
      <c r="BJ37" s="196">
        <f t="shared" si="82"/>
        <v>166389.96699999974</v>
      </c>
      <c r="BK37" s="205"/>
      <c r="BL37" s="196">
        <f>(SUM(BL6:BL36))</f>
        <v>261161.42</v>
      </c>
      <c r="BM37" s="196">
        <f>BM36</f>
        <v>261161.42</v>
      </c>
      <c r="BN37" s="205"/>
      <c r="BO37" s="94">
        <f>IF($N37&lt;&gt;0,IF($N37&lt;&gt;0,R37/$N37*10,0)," ")</f>
        <v>3.6594885696175E-2</v>
      </c>
      <c r="BP37" s="206">
        <f>S37/$N$37/0.1</f>
        <v>1.1272139900010088E-2</v>
      </c>
      <c r="BQ37" s="94">
        <f>IF($N37&lt;&gt;0,IF($N37&lt;&gt;0,T37/$N37*10,0)," ")</f>
        <v>0.20951715943045651</v>
      </c>
      <c r="BR37" s="94">
        <f>IF($N37&lt;&gt;0,IF($N37&lt;&gt;0,(V37)/$N37*10,0)," ")</f>
        <v>0.58708847987691004</v>
      </c>
      <c r="BS37" s="206">
        <f>IF($N37&lt;&gt;0,IF($N37&lt;&gt;0,Y37/$N37*10,0)," ")</f>
        <v>0.16158616982125171</v>
      </c>
      <c r="BT37" s="206">
        <f>IF($N37&lt;&gt;0,IF($N37&lt;&gt;0,Z37/$N37*10,0)," ")</f>
        <v>5.4062819567652354E-2</v>
      </c>
      <c r="BU37" s="207">
        <f>IF($N37&lt;&gt;0,IF($N37&lt;&gt;0,AA37/$N37*10,0)," ")</f>
        <v>0.84670486889070917</v>
      </c>
      <c r="BV37" s="206">
        <f>R37/$O$37/0.1</f>
        <v>3.0653780690180356E-2</v>
      </c>
      <c r="BW37" s="206">
        <f>S37/$O$37/0.1</f>
        <v>9.442130992639141E-3</v>
      </c>
      <c r="BX37" s="206">
        <f>(T37+U37)/$O$37/0.1</f>
        <v>0.17737228642764399</v>
      </c>
      <c r="BY37" s="206">
        <f>(V37)/$O$37/0.1</f>
        <v>0.49177586336221857</v>
      </c>
      <c r="BZ37" s="198">
        <f>AA37/$O$37/0.1</f>
        <v>0.70924406147268204</v>
      </c>
      <c r="CA37" s="208" t="e">
        <f>#REF!</f>
        <v>#REF!</v>
      </c>
      <c r="CB37" s="209">
        <f>IF($O37&lt;&gt;0,IF($O37&lt;&gt;0,AR37/$O37*10,0)," ")</f>
        <v>3.4866452829626193E-2</v>
      </c>
      <c r="CC37" s="210">
        <f>IF($O37&lt;&gt;0,IF($O37&lt;&gt;0,AS37/$O37*10,0)," ")</f>
        <v>4.5425933291924007E-2</v>
      </c>
      <c r="CD37" s="211">
        <f>IFERROR(AR37*10/($I37+$J37),"")</f>
        <v>0.11134552446525632</v>
      </c>
      <c r="CE37" s="212">
        <f>IFERROR(AS37*10/(($I37+$J37)),"")</f>
        <v>0.14506707612124056</v>
      </c>
      <c r="CF37" s="206">
        <f>AB37/$D$37/0.1</f>
        <v>0.36565674216022237</v>
      </c>
      <c r="CG37" s="206">
        <f>AC37/$D$37/0.1</f>
        <v>8.0987395448957819E-2</v>
      </c>
      <c r="CH37" s="198">
        <f>AD37/$D$37/0.1</f>
        <v>0.8285702677563741</v>
      </c>
      <c r="CI37" s="208" t="e">
        <f>#REF!</f>
        <v>#REF!</v>
      </c>
      <c r="CJ37" s="206">
        <f>AF37/$E$37/0.1</f>
        <v>0.27048832903278575</v>
      </c>
      <c r="CK37" s="206">
        <f>AG37/$E$37/0.1</f>
        <v>0.13501953216983115</v>
      </c>
      <c r="CL37" s="198">
        <f>AH37/$E$37/0.1</f>
        <v>0.59969090589113039</v>
      </c>
      <c r="CM37" s="95" t="e">
        <f>#REF!</f>
        <v>#REF!</v>
      </c>
      <c r="CN37" s="206">
        <f>AJ37/$F$37/0.1</f>
        <v>0.6559400071341529</v>
      </c>
      <c r="CO37" s="206">
        <f>AK37/$F$37/0.1</f>
        <v>0.19595151708428035</v>
      </c>
      <c r="CP37" s="198">
        <f>AL37/$F$37/0.1</f>
        <v>1.3343603856108213</v>
      </c>
      <c r="CQ37" s="213" t="e">
        <f>#REF!</f>
        <v>#REF!</v>
      </c>
      <c r="CR37" s="214">
        <f>AN37/$G$37/0.1</f>
        <v>0.10420110523430526</v>
      </c>
      <c r="CS37" s="198">
        <f>AO37/$G$37/0.1</f>
        <v>0.1421229377168246</v>
      </c>
      <c r="CT37" s="208" t="e">
        <f>#REF!</f>
        <v>#REF!</v>
      </c>
      <c r="CU37" s="214">
        <f>AP37/$H$37/0.1</f>
        <v>4.7641074050701095E-2</v>
      </c>
      <c r="CV37" s="198">
        <f>AQ37/$H$37/0.1</f>
        <v>7.0220165356480083E-2</v>
      </c>
      <c r="CW37" s="96" t="e">
        <f>#REF!</f>
        <v>#REF!</v>
      </c>
      <c r="CX37" s="99">
        <f t="shared" si="76"/>
        <v>0.2146833632754572</v>
      </c>
      <c r="CY37" s="95">
        <f t="shared" si="76"/>
        <v>1.3883761348576752E-2</v>
      </c>
      <c r="CZ37" s="99">
        <f>IF($O37&lt;&gt;0,IF($O37&lt;&gt;0,AW37/$O37*10,0)," ")</f>
        <v>0.10294841630958743</v>
      </c>
      <c r="DA37" s="198">
        <f>IF($O37&lt;&gt;0,IF($O37&lt;&gt;0,AX37/$O37*10,0)," ")</f>
        <v>1.074199000115234E-2</v>
      </c>
      <c r="DB37" s="206">
        <f>AZ37/$O$37/0.1</f>
        <v>0.15790986029606591</v>
      </c>
      <c r="DC37" s="206">
        <f t="shared" ref="DC37:DH37" si="83">BB37/$O$37/0.1</f>
        <v>6.1943737487227576E-2</v>
      </c>
      <c r="DD37" s="215">
        <f t="shared" si="83"/>
        <v>0.36622233702593737</v>
      </c>
      <c r="DE37" s="215">
        <f t="shared" si="83"/>
        <v>9.9689317401470801E-2</v>
      </c>
      <c r="DF37" s="215">
        <f t="shared" si="83"/>
        <v>0</v>
      </c>
      <c r="DG37" s="215">
        <f t="shared" si="83"/>
        <v>0</v>
      </c>
      <c r="DH37" s="216">
        <f t="shared" si="83"/>
        <v>0.68774287342814655</v>
      </c>
      <c r="DI37" s="217" t="e">
        <f>#REF!</f>
        <v>#REF!</v>
      </c>
      <c r="DJ37" s="216">
        <f>BH37/$O$37/0.1</f>
        <v>1.0694201182042844</v>
      </c>
      <c r="DK37" s="217" t="e">
        <f>#REF!</f>
        <v>#REF!</v>
      </c>
      <c r="DL37" s="213">
        <f>BI37/$O$37/0.1</f>
        <v>0.31131251716616609</v>
      </c>
      <c r="DM37" s="96">
        <f t="shared" si="17"/>
        <v>0</v>
      </c>
      <c r="DN37" s="206">
        <f>BJ37/$O$37/0.1</f>
        <v>2.1691254390850303</v>
      </c>
      <c r="DO37" s="100">
        <v>3.4</v>
      </c>
      <c r="DP37" s="206">
        <f>BL37/$O$37/0.1</f>
        <v>3.4046035950567313</v>
      </c>
      <c r="DQ37" s="218" t="str">
        <f>IF($Q37&lt;&gt;0,IF($Q37&lt;&gt;0,BM37/$Q37*10,0)," ")</f>
        <v xml:space="preserve"> </v>
      </c>
      <c r="DR37" s="101" t="e">
        <f>#REF!</f>
        <v>#REF!</v>
      </c>
      <c r="DS37" s="64"/>
      <c r="DT37" s="64"/>
      <c r="DU37" s="219"/>
      <c r="DV37" s="219"/>
      <c r="DW37" s="219"/>
      <c r="DX37" s="219"/>
      <c r="DY37" s="219"/>
      <c r="DZ37" s="219"/>
      <c r="EA37" s="219"/>
      <c r="EB37" s="571"/>
      <c r="EC37" s="219"/>
      <c r="ED37" s="219"/>
      <c r="EE37" s="219"/>
      <c r="EF37" s="219"/>
      <c r="EG37" s="219"/>
      <c r="EH37" s="219"/>
      <c r="EI37" s="219"/>
      <c r="EJ37" s="571"/>
      <c r="EK37" s="571"/>
      <c r="EL37" s="219"/>
      <c r="EM37" s="219"/>
      <c r="EN37" s="571"/>
      <c r="EO37" s="219"/>
      <c r="EP37" s="571"/>
      <c r="EQ37" s="571"/>
      <c r="ER37" s="571"/>
      <c r="ES37" s="571"/>
      <c r="ET37" s="571"/>
      <c r="EU37" s="472"/>
      <c r="EV37" s="472"/>
      <c r="EW37" s="571"/>
      <c r="EX37" s="219"/>
      <c r="EY37" s="219"/>
      <c r="EZ37" s="219"/>
      <c r="FA37" s="219"/>
      <c r="FB37" s="219"/>
      <c r="FC37" s="219"/>
      <c r="FD37" s="571"/>
      <c r="FE37" s="574" t="s">
        <v>129</v>
      </c>
      <c r="FF37" s="575"/>
      <c r="FG37" s="575"/>
      <c r="FH37" s="575"/>
      <c r="FI37" s="575"/>
      <c r="FJ37" s="575"/>
      <c r="FK37" s="575"/>
      <c r="FL37" s="575"/>
      <c r="FM37" s="576"/>
      <c r="FN37" s="571"/>
      <c r="FO37" s="571"/>
      <c r="FP37" s="64"/>
      <c r="FQ37" s="64"/>
      <c r="FR37" s="64"/>
      <c r="FS37" s="64"/>
      <c r="FT37" s="64"/>
      <c r="FU37" s="64"/>
      <c r="FV37" s="64"/>
      <c r="FW37" s="64"/>
      <c r="FX37" s="64"/>
      <c r="FY37" s="64"/>
      <c r="FZ37" s="221">
        <f>SUM(FZ6:FZ36)</f>
        <v>38276</v>
      </c>
      <c r="GA37" s="221">
        <f t="shared" ref="GA37:GI37" si="84">SUM(GA6:GA36)</f>
        <v>6040</v>
      </c>
      <c r="GB37" s="221">
        <f t="shared" si="84"/>
        <v>6.4779304812053722</v>
      </c>
      <c r="GC37" s="221">
        <f t="shared" si="84"/>
        <v>0</v>
      </c>
      <c r="GD37" s="221">
        <f t="shared" si="84"/>
        <v>0</v>
      </c>
      <c r="GE37" s="221">
        <f t="shared" si="84"/>
        <v>0</v>
      </c>
      <c r="GF37" s="221">
        <f t="shared" si="84"/>
        <v>0</v>
      </c>
      <c r="GG37" s="221">
        <f t="shared" si="84"/>
        <v>0</v>
      </c>
      <c r="GH37" s="221">
        <f t="shared" si="84"/>
        <v>0</v>
      </c>
      <c r="GI37" s="221">
        <f t="shared" si="84"/>
        <v>0</v>
      </c>
      <c r="GJ37" s="111">
        <f t="shared" si="59"/>
        <v>824.8004537099954</v>
      </c>
      <c r="GK37" s="222"/>
    </row>
    <row r="38" spans="1:193" s="10" customFormat="1">
      <c r="A38" s="64"/>
      <c r="B38" s="351"/>
      <c r="C38" s="64"/>
      <c r="D38" s="478">
        <v>102135.84000000001</v>
      </c>
      <c r="E38" s="478">
        <v>116411.27999999998</v>
      </c>
      <c r="F38" s="479">
        <v>63231.263999999988</v>
      </c>
      <c r="G38" s="479">
        <v>114417.35800000004</v>
      </c>
      <c r="H38" s="478">
        <v>197047.38699999996</v>
      </c>
      <c r="I38" s="478">
        <v>50426.934000000001</v>
      </c>
      <c r="J38" s="478">
        <v>175862.29200000002</v>
      </c>
      <c r="K38" s="478">
        <v>220.38199999999998</v>
      </c>
      <c r="L38" s="478">
        <v>2250.5</v>
      </c>
      <c r="M38" s="480"/>
      <c r="N38" s="481"/>
      <c r="O38" s="227"/>
      <c r="P38" s="102"/>
      <c r="Q38" s="64"/>
      <c r="R38" s="228"/>
      <c r="S38" s="228"/>
      <c r="T38" s="228"/>
      <c r="U38" s="228"/>
      <c r="V38" s="229"/>
      <c r="W38" s="229"/>
      <c r="X38" s="229"/>
      <c r="Y38" s="229"/>
      <c r="Z38" s="229"/>
      <c r="AA38" s="230"/>
      <c r="AB38" s="152"/>
      <c r="AC38" s="152"/>
      <c r="AD38" s="153"/>
      <c r="AE38" s="231"/>
      <c r="AF38" s="152"/>
      <c r="AG38" s="152"/>
      <c r="AH38" s="152"/>
      <c r="AI38" s="231"/>
      <c r="AJ38" s="152"/>
      <c r="AK38" s="152"/>
      <c r="AL38" s="152"/>
      <c r="AM38" s="231"/>
      <c r="AN38" s="152"/>
      <c r="AO38" s="231"/>
      <c r="AP38" s="152"/>
      <c r="AQ38" s="231"/>
      <c r="AR38" s="232"/>
      <c r="AS38" s="230"/>
      <c r="AT38" s="230"/>
      <c r="AU38" s="232"/>
      <c r="AV38" s="152"/>
      <c r="AW38" s="232"/>
      <c r="AX38" s="152"/>
      <c r="AY38" s="152"/>
      <c r="AZ38" s="152"/>
      <c r="BA38" s="152"/>
      <c r="BB38" s="152"/>
      <c r="BC38" s="395"/>
      <c r="BD38" s="228"/>
      <c r="BE38" s="228"/>
      <c r="BF38" s="228"/>
      <c r="BG38" s="152"/>
      <c r="BH38" s="152"/>
      <c r="BI38" s="233"/>
      <c r="BJ38" s="233"/>
      <c r="BK38" s="234"/>
      <c r="BL38" s="235"/>
      <c r="BM38" s="233"/>
      <c r="BN38" s="234"/>
      <c r="BO38" s="178"/>
      <c r="BP38" s="178"/>
      <c r="BQ38" s="178"/>
      <c r="BR38" s="178"/>
      <c r="BS38" s="178"/>
      <c r="BT38" s="178"/>
      <c r="BU38" s="178"/>
      <c r="BV38" s="178"/>
      <c r="BW38" s="178"/>
      <c r="BX38" s="178"/>
      <c r="BY38" s="178"/>
      <c r="BZ38" s="64"/>
      <c r="CA38" s="236"/>
      <c r="CB38" s="236"/>
      <c r="CC38" s="236"/>
      <c r="CD38" s="236"/>
      <c r="CE38" s="236"/>
      <c r="CF38" s="237"/>
      <c r="CG38" s="237"/>
      <c r="CH38" s="64"/>
      <c r="CI38" s="236"/>
      <c r="CJ38" s="236"/>
      <c r="CK38" s="236"/>
      <c r="CL38" s="236"/>
      <c r="CM38" s="236"/>
      <c r="CN38" s="236"/>
      <c r="CO38" s="236"/>
      <c r="CP38" s="236"/>
      <c r="CQ38" s="236"/>
      <c r="CR38" s="64"/>
      <c r="CS38" s="238"/>
      <c r="CT38" s="236"/>
      <c r="CU38" s="236"/>
      <c r="CV38" s="239"/>
      <c r="CW38" s="236"/>
      <c r="CX38" s="236"/>
      <c r="CY38" s="236"/>
      <c r="CZ38" s="236"/>
      <c r="DA38" s="236"/>
      <c r="DB38" s="64"/>
      <c r="DC38" s="64"/>
      <c r="DD38" s="64"/>
      <c r="DE38" s="64"/>
      <c r="DF38" s="64"/>
      <c r="DG38" s="64"/>
      <c r="DH38" s="240"/>
      <c r="DI38" s="236"/>
      <c r="DJ38" s="241"/>
      <c r="DK38" s="242"/>
      <c r="DL38" s="243"/>
      <c r="DM38" s="242"/>
      <c r="DN38" s="64"/>
      <c r="DO38" s="100"/>
      <c r="DP38" s="240"/>
      <c r="DQ38" s="244"/>
      <c r="DR38" s="245"/>
      <c r="DS38" s="64"/>
      <c r="DT38" s="64"/>
      <c r="DU38" s="246"/>
      <c r="DV38" s="246"/>
      <c r="DW38" s="246"/>
      <c r="DX38" s="219"/>
      <c r="DY38" s="219"/>
      <c r="DZ38" s="219"/>
      <c r="EA38" s="246"/>
      <c r="EB38" s="246"/>
      <c r="EC38" s="9"/>
      <c r="ED38" s="9"/>
      <c r="EE38" s="246"/>
      <c r="EF38" s="246"/>
      <c r="EG38" s="9"/>
      <c r="EH38" s="9"/>
      <c r="EI38" s="9"/>
      <c r="EJ38" s="64"/>
      <c r="EK38" s="64"/>
      <c r="EL38" s="460"/>
      <c r="EM38" s="9"/>
      <c r="EN38" s="64"/>
      <c r="EO38" s="9"/>
      <c r="EP38" s="571"/>
      <c r="EQ38" s="64"/>
      <c r="ER38" s="64"/>
      <c r="ES38" s="247"/>
      <c r="ET38" s="175"/>
      <c r="EU38" s="571"/>
      <c r="EV38" s="571"/>
      <c r="EW38" s="246"/>
      <c r="EX38" s="64"/>
      <c r="EY38" s="64"/>
      <c r="EZ38" s="64"/>
      <c r="FA38" s="64"/>
      <c r="FB38" s="64"/>
      <c r="FC38" s="454"/>
      <c r="FD38" s="568" t="s">
        <v>53</v>
      </c>
      <c r="FE38" s="267"/>
      <c r="FF38" s="303"/>
      <c r="FG38" s="371"/>
      <c r="FH38" s="303"/>
      <c r="FI38" s="303"/>
      <c r="FJ38" s="136"/>
      <c r="FK38" s="303"/>
      <c r="FL38" s="303"/>
      <c r="FM38" s="303"/>
      <c r="FN38" s="152"/>
      <c r="FO38" s="152"/>
      <c r="FP38" s="571"/>
      <c r="FQ38" s="9"/>
      <c r="FR38" s="64"/>
      <c r="FS38" s="64"/>
      <c r="FT38" s="64"/>
      <c r="FU38" s="64"/>
      <c r="FV38" s="64"/>
      <c r="FW38" s="64"/>
      <c r="FX38" s="64"/>
      <c r="FY38" s="64"/>
      <c r="FZ38" s="9"/>
      <c r="GA38" s="64"/>
      <c r="GB38" s="64"/>
      <c r="GC38" s="64"/>
      <c r="GD38" s="64"/>
      <c r="GE38" s="64"/>
      <c r="GF38" s="64"/>
      <c r="GG38" s="64"/>
      <c r="GH38" s="64"/>
      <c r="GI38" s="64"/>
      <c r="GJ38" s="64"/>
    </row>
    <row r="39" spans="1:193" s="10" customFormat="1">
      <c r="A39" s="64"/>
      <c r="B39" s="64"/>
      <c r="C39" s="64"/>
      <c r="D39" s="482"/>
      <c r="E39" s="482"/>
      <c r="F39" s="482"/>
      <c r="G39" s="482"/>
      <c r="H39" s="482"/>
      <c r="I39" s="482"/>
      <c r="J39" s="482"/>
      <c r="K39" s="482"/>
      <c r="L39" s="482"/>
      <c r="M39" s="254"/>
      <c r="N39" s="481"/>
      <c r="O39" s="256"/>
      <c r="P39" s="257"/>
      <c r="Q39" s="64"/>
      <c r="R39" s="258"/>
      <c r="S39" s="258"/>
      <c r="T39" s="258"/>
      <c r="U39" s="258"/>
      <c r="V39" s="258"/>
      <c r="W39" s="258"/>
      <c r="X39" s="258"/>
      <c r="Y39" s="258"/>
      <c r="Z39" s="258"/>
      <c r="AA39" s="258"/>
      <c r="AB39" s="152"/>
      <c r="AD39" s="231"/>
      <c r="AE39" s="152"/>
      <c r="AF39" s="152"/>
      <c r="AG39" s="152"/>
      <c r="AH39" s="152"/>
      <c r="AI39" s="152"/>
      <c r="AJ39" s="152"/>
      <c r="AK39" s="152"/>
      <c r="AL39" s="152"/>
      <c r="AM39" s="152"/>
      <c r="AN39" s="152"/>
      <c r="AO39" s="152"/>
      <c r="AP39" s="152"/>
      <c r="AQ39" s="152"/>
      <c r="AR39" s="258"/>
      <c r="AS39" s="258"/>
      <c r="AT39" s="258"/>
      <c r="AU39" s="258"/>
      <c r="AV39" s="152"/>
      <c r="AW39" s="258"/>
      <c r="AX39" s="152"/>
      <c r="AY39" s="152"/>
      <c r="AZ39" s="152"/>
      <c r="BA39" s="152"/>
      <c r="BB39" s="152"/>
      <c r="BC39" s="231"/>
      <c r="BD39" s="231"/>
      <c r="BE39" s="231"/>
      <c r="BF39" s="231"/>
      <c r="BG39" s="152"/>
      <c r="BH39" s="231"/>
      <c r="BI39" s="116"/>
      <c r="BJ39" s="116"/>
      <c r="BK39" s="259"/>
      <c r="BL39" s="260"/>
      <c r="BM39" s="165"/>
      <c r="BN39" s="259"/>
      <c r="BO39" s="64"/>
      <c r="BP39" s="64"/>
      <c r="BQ39" s="64"/>
      <c r="BR39" s="116"/>
      <c r="BS39" s="116"/>
      <c r="BT39" s="116"/>
      <c r="BU39" s="116"/>
      <c r="BV39" s="64"/>
      <c r="BW39" s="64"/>
      <c r="BX39" s="64"/>
      <c r="BY39" s="116"/>
      <c r="BZ39" s="243"/>
      <c r="CA39" s="243"/>
      <c r="CB39" s="243"/>
      <c r="CC39" s="243"/>
      <c r="CD39" s="243"/>
      <c r="CE39" s="243"/>
      <c r="CF39" s="454"/>
      <c r="CG39" s="237"/>
      <c r="CH39" s="243"/>
      <c r="CI39" s="243"/>
      <c r="CJ39" s="243"/>
      <c r="CK39" s="243"/>
      <c r="CL39" s="243"/>
      <c r="CM39" s="243"/>
      <c r="CN39" s="243"/>
      <c r="CO39" s="243"/>
      <c r="CP39" s="243"/>
      <c r="CQ39" s="243"/>
      <c r="CR39" s="243"/>
      <c r="CS39" s="243"/>
      <c r="CT39" s="243"/>
      <c r="CU39" s="243"/>
      <c r="CV39" s="243"/>
      <c r="CW39" s="243"/>
      <c r="CX39" s="243"/>
      <c r="CY39" s="116"/>
      <c r="CZ39" s="243"/>
      <c r="DA39" s="243"/>
      <c r="DB39" s="243"/>
      <c r="DC39" s="243"/>
      <c r="DD39" s="116"/>
      <c r="DE39" s="116"/>
      <c r="DF39" s="116"/>
      <c r="DG39" s="116"/>
      <c r="DH39" s="243"/>
      <c r="DI39" s="243"/>
      <c r="DJ39" s="64"/>
      <c r="DK39" s="64"/>
      <c r="DL39" s="74"/>
      <c r="DM39" s="64"/>
      <c r="DN39" s="74"/>
      <c r="DO39" s="261"/>
      <c r="DP39" s="262"/>
      <c r="DQ39" s="263"/>
      <c r="DR39" s="244"/>
      <c r="DS39" s="64"/>
      <c r="DT39" s="64"/>
      <c r="DU39" s="246"/>
      <c r="DV39" s="246"/>
      <c r="DW39" s="246"/>
      <c r="DX39" s="219"/>
      <c r="DY39" s="219"/>
      <c r="DZ39" s="219"/>
      <c r="EA39" s="246"/>
      <c r="EB39" s="246"/>
      <c r="EC39" s="9"/>
      <c r="ED39" s="9"/>
      <c r="EE39" s="246"/>
      <c r="EF39" s="246"/>
      <c r="EG39" s="9"/>
      <c r="EH39" s="9"/>
      <c r="EI39" s="9"/>
      <c r="EJ39" s="64"/>
      <c r="EK39" s="64"/>
      <c r="EL39" s="9"/>
      <c r="EM39" s="9"/>
      <c r="EN39" s="64"/>
      <c r="EO39" s="9"/>
      <c r="EP39" s="571"/>
      <c r="EQ39" s="64"/>
      <c r="ER39" s="64"/>
      <c r="ES39" s="257"/>
      <c r="ET39" s="366"/>
      <c r="EU39" s="64"/>
      <c r="EV39" s="64"/>
      <c r="EW39" s="246"/>
      <c r="EX39" s="64"/>
      <c r="EY39" s="64"/>
      <c r="EZ39" s="64"/>
      <c r="FA39" s="64"/>
      <c r="FB39" s="64"/>
      <c r="FC39" s="152"/>
      <c r="FD39" s="568">
        <v>1</v>
      </c>
      <c r="FE39" s="136"/>
      <c r="FF39" s="108"/>
      <c r="FG39" s="549"/>
      <c r="FH39" s="108"/>
      <c r="FI39" s="108"/>
      <c r="FJ39" s="136"/>
      <c r="FK39" s="108"/>
      <c r="FL39" s="108"/>
      <c r="FM39" s="108"/>
      <c r="FN39" s="492"/>
      <c r="FO39" s="152"/>
      <c r="FP39" s="465"/>
      <c r="FQ39" s="9"/>
      <c r="FR39" s="9"/>
      <c r="FS39" s="9"/>
      <c r="FT39" s="9"/>
      <c r="FU39" s="9"/>
      <c r="FV39" s="9"/>
      <c r="FW39" s="9"/>
      <c r="FX39" s="9"/>
      <c r="FY39" s="9"/>
      <c r="FZ39" s="246"/>
      <c r="GA39" s="64"/>
      <c r="GB39" s="64"/>
      <c r="GC39" s="64"/>
      <c r="GD39" s="64"/>
      <c r="GE39" s="64"/>
      <c r="GF39" s="64"/>
      <c r="GG39" s="64"/>
      <c r="GH39" s="64"/>
      <c r="GI39" s="64"/>
      <c r="GJ39" s="64"/>
    </row>
    <row r="40" spans="1:193">
      <c r="D40" s="524">
        <f>D38-D37</f>
        <v>-9116.039999999979</v>
      </c>
      <c r="E40" s="524">
        <f t="shared" ref="E40:L40" si="85">E38-E37</f>
        <v>-12688.560000000027</v>
      </c>
      <c r="F40" s="524">
        <f t="shared" si="85"/>
        <v>-6607.4400000000096</v>
      </c>
      <c r="G40" s="524">
        <f t="shared" si="85"/>
        <v>-7702.2679999999527</v>
      </c>
      <c r="H40" s="524">
        <f t="shared" si="85"/>
        <v>-13191.366000000067</v>
      </c>
      <c r="I40" s="524">
        <f t="shared" si="85"/>
        <v>-4404.4839999999895</v>
      </c>
      <c r="J40" s="524">
        <f t="shared" si="85"/>
        <v>-9508.7599999999802</v>
      </c>
      <c r="K40" s="524">
        <f t="shared" si="85"/>
        <v>-0.3860000000000241</v>
      </c>
      <c r="L40" s="524">
        <f t="shared" si="85"/>
        <v>-103</v>
      </c>
      <c r="M40" s="152"/>
      <c r="N40" s="454"/>
      <c r="O40" s="454"/>
      <c r="P40" s="571"/>
      <c r="R40" s="260"/>
      <c r="AB40" s="152"/>
      <c r="BA40" s="454"/>
      <c r="FC40" s="571"/>
      <c r="FD40" s="568">
        <v>2</v>
      </c>
      <c r="FE40" s="570"/>
      <c r="FF40" s="570"/>
      <c r="FG40" s="491"/>
      <c r="FH40" s="570"/>
      <c r="FI40" s="570"/>
      <c r="FJ40" s="136"/>
      <c r="FK40" s="570"/>
      <c r="FL40" s="570"/>
      <c r="FM40" s="570"/>
      <c r="FN40" s="492"/>
      <c r="FO40" s="152"/>
    </row>
    <row r="41" spans="1:193">
      <c r="B41" s="571"/>
      <c r="D41" s="396">
        <v>501</v>
      </c>
      <c r="E41" s="396">
        <v>502</v>
      </c>
      <c r="F41" s="500">
        <v>503</v>
      </c>
      <c r="G41" s="500">
        <v>511</v>
      </c>
      <c r="H41" s="500">
        <v>512</v>
      </c>
      <c r="I41" s="454">
        <v>561</v>
      </c>
      <c r="J41" s="454">
        <v>562</v>
      </c>
      <c r="K41" s="454">
        <v>563</v>
      </c>
      <c r="L41" s="454"/>
      <c r="M41" s="152"/>
      <c r="N41" s="454"/>
      <c r="O41" s="454"/>
      <c r="BA41" s="454"/>
      <c r="BJ41" s="64">
        <v>3582</v>
      </c>
      <c r="CH41" s="178"/>
      <c r="CP41" s="178"/>
      <c r="FC41" s="571"/>
      <c r="FD41" s="568">
        <v>3</v>
      </c>
      <c r="FE41" s="570"/>
      <c r="FF41" s="570"/>
      <c r="FG41" s="136"/>
      <c r="FH41" s="570"/>
      <c r="FI41" s="570"/>
      <c r="FJ41" s="136"/>
      <c r="FK41" s="570"/>
      <c r="FL41" s="570"/>
      <c r="FM41" s="570"/>
      <c r="FN41" s="492"/>
      <c r="FO41" s="152"/>
    </row>
    <row r="42" spans="1:193">
      <c r="D42" s="396">
        <f>E45</f>
        <v>5148</v>
      </c>
      <c r="E42" s="524">
        <f>E46+E54</f>
        <v>6808.5599999999995</v>
      </c>
      <c r="F42" s="500">
        <f>E44</f>
        <v>2985.768</v>
      </c>
      <c r="G42" s="503">
        <f>E50+E52</f>
        <v>4386.0969999999998</v>
      </c>
      <c r="H42" s="524">
        <f>E51+E49+E53</f>
        <v>7200.1769999999997</v>
      </c>
      <c r="I42" s="454">
        <f>E48</f>
        <v>2191.9279999999999</v>
      </c>
      <c r="J42" s="152">
        <f>E47</f>
        <v>3111.12</v>
      </c>
      <c r="K42" s="454"/>
      <c r="L42" s="454"/>
      <c r="M42" s="396"/>
      <c r="N42" s="464"/>
      <c r="O42" s="454"/>
      <c r="BV42" s="454"/>
      <c r="FC42" s="571"/>
      <c r="FD42" s="568">
        <v>4</v>
      </c>
      <c r="FE42" s="367"/>
      <c r="FF42" s="267"/>
      <c r="FG42" s="136"/>
      <c r="FH42" s="303"/>
      <c r="FI42" s="303"/>
      <c r="FJ42" s="136"/>
      <c r="FK42" s="303"/>
      <c r="FL42" s="303"/>
      <c r="FM42" s="303"/>
      <c r="FN42" s="264"/>
      <c r="FO42" s="152"/>
    </row>
    <row r="43" spans="1:193">
      <c r="D43" s="396"/>
      <c r="E43" s="524"/>
      <c r="F43" s="500"/>
      <c r="G43" s="503"/>
      <c r="H43" s="524"/>
      <c r="I43" s="454"/>
      <c r="J43" s="152"/>
      <c r="K43" s="454"/>
      <c r="L43" s="454"/>
      <c r="M43" s="454"/>
      <c r="N43" s="464"/>
      <c r="O43" s="454"/>
      <c r="FC43" s="571"/>
      <c r="FD43" s="568">
        <v>5</v>
      </c>
      <c r="FE43" s="129"/>
      <c r="FF43" s="129"/>
      <c r="FG43" s="303"/>
      <c r="FH43" s="136"/>
      <c r="FI43" s="136"/>
      <c r="FJ43" s="136"/>
      <c r="FK43" s="136"/>
      <c r="FL43" s="136"/>
      <c r="FM43" s="136"/>
      <c r="FN43" s="397"/>
    </row>
    <row r="44" spans="1:193">
      <c r="B44" s="571"/>
      <c r="D44" s="396">
        <v>70100003</v>
      </c>
      <c r="E44" s="524">
        <v>2985.768</v>
      </c>
      <c r="F44" s="500" t="s">
        <v>314</v>
      </c>
      <c r="G44" s="503"/>
      <c r="H44" s="524"/>
      <c r="I44" s="454"/>
      <c r="J44" s="152"/>
      <c r="K44" s="454"/>
      <c r="L44" s="454"/>
      <c r="M44" s="396"/>
      <c r="N44" s="464"/>
      <c r="O44" s="454"/>
      <c r="FC44" s="571"/>
      <c r="FD44" s="568">
        <v>6</v>
      </c>
      <c r="FE44" s="129"/>
      <c r="FF44" s="129"/>
      <c r="FG44" s="136"/>
      <c r="FH44" s="136"/>
      <c r="FI44" s="136"/>
      <c r="FJ44" s="136"/>
      <c r="FK44" s="136"/>
      <c r="FL44" s="136"/>
      <c r="FM44" s="136"/>
      <c r="FN44" s="152"/>
      <c r="FO44" s="152"/>
    </row>
    <row r="45" spans="1:193">
      <c r="B45" s="571"/>
      <c r="D45" s="396">
        <v>70100001</v>
      </c>
      <c r="E45" s="396">
        <v>5148</v>
      </c>
      <c r="F45" s="152" t="s">
        <v>314</v>
      </c>
      <c r="G45" s="503"/>
      <c r="H45" s="524"/>
      <c r="I45" s="152"/>
      <c r="J45" s="464"/>
      <c r="K45" s="454"/>
      <c r="L45" s="152"/>
      <c r="M45" s="396"/>
      <c r="N45" s="464"/>
      <c r="O45" s="454"/>
      <c r="FC45" s="571"/>
      <c r="FD45" s="568">
        <v>7</v>
      </c>
      <c r="FE45" s="129"/>
      <c r="FF45" s="129"/>
      <c r="FG45" s="136"/>
      <c r="FH45" s="136"/>
      <c r="FI45" s="136"/>
      <c r="FJ45" s="136"/>
      <c r="FK45" s="136"/>
      <c r="FL45" s="136"/>
      <c r="FM45" s="136"/>
      <c r="FN45" s="231"/>
    </row>
    <row r="46" spans="1:193">
      <c r="B46" s="571"/>
      <c r="D46" s="396">
        <v>70100002</v>
      </c>
      <c r="E46" s="396">
        <v>1444.56</v>
      </c>
      <c r="F46" s="152" t="s">
        <v>314</v>
      </c>
      <c r="G46" s="503"/>
      <c r="H46" s="396"/>
      <c r="I46" s="152"/>
      <c r="J46" s="464"/>
      <c r="K46" s="454"/>
      <c r="L46" s="152"/>
      <c r="M46" s="396"/>
      <c r="N46" s="464"/>
      <c r="O46" s="454"/>
      <c r="FC46" s="571"/>
      <c r="FD46" s="568">
        <v>8</v>
      </c>
      <c r="FE46" s="129"/>
      <c r="FF46" s="136"/>
      <c r="FG46" s="136"/>
      <c r="FH46" s="136"/>
      <c r="FI46" s="136"/>
      <c r="FJ46" s="136"/>
      <c r="FK46" s="136"/>
      <c r="FL46" s="136"/>
      <c r="FM46" s="136"/>
    </row>
    <row r="47" spans="1:193">
      <c r="B47" s="571"/>
      <c r="C47" s="571"/>
      <c r="D47" s="396" t="s">
        <v>131</v>
      </c>
      <c r="E47" s="396">
        <v>3111.12</v>
      </c>
      <c r="F47" s="500"/>
      <c r="G47" s="503"/>
      <c r="H47" s="396"/>
      <c r="I47" s="454"/>
      <c r="J47" s="464"/>
      <c r="K47" s="152"/>
      <c r="L47" s="454"/>
      <c r="M47" s="396"/>
      <c r="N47" s="464"/>
      <c r="O47" s="454"/>
      <c r="FC47" s="571"/>
      <c r="FD47" s="568">
        <v>9</v>
      </c>
      <c r="FE47" s="129"/>
      <c r="FF47" s="136"/>
      <c r="FG47" s="136"/>
      <c r="FH47" s="136"/>
      <c r="FI47" s="136"/>
      <c r="FJ47" s="136"/>
      <c r="FK47" s="136"/>
      <c r="FL47" s="136"/>
      <c r="FM47" s="136"/>
    </row>
    <row r="48" spans="1:193">
      <c r="B48" s="571"/>
      <c r="D48" s="396" t="s">
        <v>133</v>
      </c>
      <c r="E48" s="396">
        <v>2191.9279999999999</v>
      </c>
      <c r="F48" s="454"/>
      <c r="G48" s="454"/>
      <c r="H48" s="454"/>
      <c r="I48" s="454"/>
      <c r="J48" s="464"/>
      <c r="K48" s="152"/>
      <c r="L48" s="454"/>
      <c r="M48" s="396"/>
      <c r="N48" s="464"/>
      <c r="O48" s="454"/>
      <c r="FC48" s="571"/>
      <c r="FD48" s="568">
        <v>10</v>
      </c>
      <c r="FE48" s="129"/>
      <c r="FF48" s="136"/>
      <c r="FG48" s="136"/>
      <c r="FH48" s="136"/>
      <c r="FI48" s="136"/>
      <c r="FJ48" s="136"/>
      <c r="FK48" s="136"/>
      <c r="FL48" s="136"/>
      <c r="FM48" s="136"/>
    </row>
    <row r="49" spans="2:169">
      <c r="B49" s="571"/>
      <c r="C49" s="571"/>
      <c r="D49" s="396">
        <v>74100012</v>
      </c>
      <c r="E49" s="396">
        <v>2104.7179999999998</v>
      </c>
      <c r="F49" s="454" t="s">
        <v>314</v>
      </c>
      <c r="G49" s="454"/>
      <c r="H49" s="454"/>
      <c r="I49" s="454"/>
      <c r="J49" s="464"/>
      <c r="K49" s="454"/>
      <c r="L49" s="454"/>
      <c r="M49" s="396"/>
      <c r="N49" s="464"/>
      <c r="O49" s="454"/>
      <c r="FC49" s="571"/>
      <c r="FD49" s="568">
        <v>11</v>
      </c>
      <c r="FE49" s="129"/>
      <c r="FF49" s="136"/>
      <c r="FG49" s="136"/>
      <c r="FH49" s="136"/>
      <c r="FI49" s="136"/>
      <c r="FJ49" s="136"/>
      <c r="FK49" s="136"/>
      <c r="FL49" s="136"/>
      <c r="FM49" s="136"/>
    </row>
    <row r="50" spans="2:169">
      <c r="B50" s="571"/>
      <c r="C50" s="571"/>
      <c r="D50" s="396">
        <v>74100011</v>
      </c>
      <c r="E50" s="396">
        <v>1383.116</v>
      </c>
      <c r="F50" s="454" t="s">
        <v>314</v>
      </c>
      <c r="G50" s="454"/>
      <c r="H50" s="454"/>
      <c r="I50" s="454"/>
      <c r="J50" s="464"/>
      <c r="K50" s="454"/>
      <c r="L50" s="454"/>
      <c r="M50" s="396"/>
      <c r="N50" s="464"/>
      <c r="O50" s="454"/>
      <c r="FC50" s="571"/>
      <c r="FD50" s="568">
        <v>12</v>
      </c>
      <c r="FE50" s="129"/>
      <c r="FF50" s="136"/>
      <c r="FG50" s="136"/>
      <c r="FH50" s="136"/>
      <c r="FI50" s="136"/>
      <c r="FJ50" s="136"/>
      <c r="FK50" s="136"/>
      <c r="FL50" s="136"/>
      <c r="FM50" s="136"/>
    </row>
    <row r="51" spans="2:169">
      <c r="B51" s="571"/>
      <c r="C51" s="571"/>
      <c r="D51" s="396">
        <v>74100012</v>
      </c>
      <c r="E51" s="396">
        <v>2719.0309999999999</v>
      </c>
      <c r="F51" s="454" t="s">
        <v>314</v>
      </c>
      <c r="G51" s="454"/>
      <c r="H51" s="454"/>
      <c r="I51" s="454"/>
      <c r="J51" s="464"/>
      <c r="K51" s="454"/>
      <c r="L51" s="454"/>
      <c r="M51" s="396"/>
      <c r="N51" s="464"/>
      <c r="O51" s="454"/>
      <c r="FC51" s="571"/>
      <c r="FD51" s="568">
        <v>13</v>
      </c>
      <c r="FE51" s="129"/>
      <c r="FF51" s="144"/>
      <c r="FG51" s="136"/>
      <c r="FH51" s="136"/>
      <c r="FI51" s="136"/>
      <c r="FJ51" s="136"/>
      <c r="FK51" s="136"/>
      <c r="FL51" s="136"/>
      <c r="FM51" s="136"/>
    </row>
    <row r="52" spans="2:169">
      <c r="B52" s="571"/>
      <c r="C52" s="571"/>
      <c r="D52" s="396">
        <v>74100011</v>
      </c>
      <c r="E52" s="396">
        <v>3002.9810000000002</v>
      </c>
      <c r="F52" s="454" t="s">
        <v>314</v>
      </c>
      <c r="G52" s="454"/>
      <c r="H52" s="454"/>
      <c r="I52" s="454"/>
      <c r="J52" s="464"/>
      <c r="K52" s="463"/>
      <c r="L52" s="454"/>
      <c r="M52" s="454"/>
      <c r="N52" s="454"/>
      <c r="O52" s="454"/>
      <c r="FC52" s="571"/>
      <c r="FD52" s="568">
        <v>14</v>
      </c>
      <c r="FE52" s="136"/>
      <c r="FF52" s="456"/>
      <c r="FG52" s="455"/>
      <c r="FH52" s="136"/>
      <c r="FI52" s="136"/>
      <c r="FJ52" s="136"/>
      <c r="FK52" s="136"/>
      <c r="FL52" s="136"/>
      <c r="FM52" s="136"/>
    </row>
    <row r="53" spans="2:169">
      <c r="C53" s="571"/>
      <c r="D53" s="454">
        <v>74100012</v>
      </c>
      <c r="E53" s="454">
        <v>2376.4279999999999</v>
      </c>
      <c r="F53" s="454"/>
      <c r="G53" s="454"/>
      <c r="H53" s="454"/>
      <c r="I53" s="454"/>
      <c r="J53" s="464"/>
      <c r="K53" s="454"/>
      <c r="L53" s="454"/>
      <c r="M53" s="454"/>
      <c r="N53" s="454"/>
      <c r="O53" s="454"/>
      <c r="FC53" s="571"/>
      <c r="FD53" s="568">
        <v>15</v>
      </c>
      <c r="FE53" s="144"/>
      <c r="FF53" s="456"/>
      <c r="FG53" s="136"/>
      <c r="FH53" s="136"/>
      <c r="FI53" s="136"/>
      <c r="FJ53" s="455"/>
      <c r="FK53" s="455"/>
      <c r="FL53" s="136"/>
      <c r="FM53" s="455"/>
    </row>
    <row r="54" spans="2:169">
      <c r="B54" s="571"/>
      <c r="C54" s="571"/>
      <c r="D54" s="454">
        <v>70100002</v>
      </c>
      <c r="E54" s="454">
        <v>5364</v>
      </c>
      <c r="F54" s="454" t="s">
        <v>314</v>
      </c>
      <c r="G54" s="454"/>
      <c r="H54" s="454"/>
      <c r="I54" s="454"/>
      <c r="J54" s="464"/>
      <c r="K54" s="454"/>
      <c r="L54" s="454"/>
      <c r="M54" s="454"/>
      <c r="N54" s="454"/>
      <c r="O54" s="454"/>
      <c r="FC54" s="571"/>
      <c r="FD54" s="568">
        <v>16</v>
      </c>
      <c r="FE54" s="455"/>
      <c r="FF54" s="456"/>
      <c r="FG54" s="136"/>
      <c r="FH54" s="136"/>
      <c r="FI54" s="136"/>
      <c r="FJ54" s="455"/>
      <c r="FK54" s="455"/>
      <c r="FL54" s="136"/>
      <c r="FM54" s="455"/>
    </row>
    <row r="55" spans="2:169">
      <c r="B55" s="571"/>
      <c r="C55" s="571"/>
      <c r="D55" s="454"/>
      <c r="E55" s="454"/>
      <c r="F55" s="454"/>
      <c r="G55" s="454"/>
      <c r="H55" s="454"/>
      <c r="I55" s="454"/>
      <c r="J55" s="454"/>
      <c r="K55" s="454"/>
      <c r="L55" s="454"/>
      <c r="M55" s="454"/>
      <c r="N55" s="454"/>
      <c r="O55" s="454"/>
      <c r="FC55" s="571"/>
      <c r="FD55" s="568">
        <v>17</v>
      </c>
      <c r="FE55" s="456"/>
      <c r="FF55" s="456"/>
      <c r="FG55" s="136"/>
      <c r="FH55" s="136"/>
      <c r="FI55" s="136"/>
      <c r="FJ55" s="136"/>
      <c r="FK55" s="456"/>
      <c r="FL55" s="136"/>
      <c r="FM55" s="136"/>
    </row>
    <row r="56" spans="2:169">
      <c r="B56" s="571"/>
      <c r="C56" s="571"/>
      <c r="D56" s="454"/>
      <c r="E56" s="454"/>
      <c r="F56" s="454"/>
      <c r="G56" s="454"/>
      <c r="H56" s="454"/>
      <c r="I56" s="454"/>
      <c r="J56" s="454"/>
      <c r="K56" s="454"/>
      <c r="L56" s="454"/>
      <c r="M56" s="454"/>
      <c r="N56" s="454"/>
      <c r="O56" s="454"/>
      <c r="FC56" s="571"/>
      <c r="FD56" s="568">
        <v>18</v>
      </c>
      <c r="FE56" s="513"/>
      <c r="FF56" s="267"/>
      <c r="FG56" s="136"/>
      <c r="FH56" s="267"/>
      <c r="FI56" s="267"/>
      <c r="FJ56" s="303"/>
      <c r="FK56" s="267"/>
      <c r="FL56" s="267"/>
      <c r="FM56" s="267"/>
    </row>
    <row r="57" spans="2:169">
      <c r="B57" s="571"/>
      <c r="C57" s="571"/>
      <c r="D57" s="454"/>
      <c r="E57" s="454"/>
      <c r="F57" s="454"/>
      <c r="G57" s="454"/>
      <c r="H57" s="454"/>
      <c r="I57" s="454"/>
      <c r="J57" s="454"/>
      <c r="K57" s="454"/>
      <c r="L57" s="454"/>
      <c r="M57" s="454"/>
      <c r="N57" s="454"/>
      <c r="O57" s="454"/>
      <c r="FC57" s="571"/>
      <c r="FD57" s="568">
        <v>19</v>
      </c>
      <c r="FE57" s="570"/>
      <c r="FF57" s="570"/>
      <c r="FG57" s="303"/>
      <c r="FH57" s="570"/>
      <c r="FI57" s="570"/>
      <c r="FJ57" s="570"/>
      <c r="FK57" s="570"/>
      <c r="FL57" s="570"/>
      <c r="FM57" s="570"/>
    </row>
    <row r="58" spans="2:169">
      <c r="C58" s="571"/>
      <c r="E58" s="454"/>
      <c r="FC58" s="571"/>
      <c r="FD58" s="568">
        <v>20</v>
      </c>
      <c r="FE58" s="570"/>
      <c r="FF58" s="570"/>
      <c r="FG58" s="303"/>
      <c r="FH58" s="570"/>
      <c r="FI58" s="570"/>
      <c r="FJ58" s="303"/>
      <c r="FK58" s="570"/>
      <c r="FL58" s="570"/>
      <c r="FM58" s="570"/>
    </row>
    <row r="59" spans="2:169">
      <c r="FC59" s="571"/>
      <c r="FD59" s="568">
        <v>21</v>
      </c>
      <c r="FE59" s="570"/>
      <c r="FF59" s="570"/>
      <c r="FG59" s="121"/>
      <c r="FH59" s="570"/>
      <c r="FI59" s="570"/>
      <c r="FJ59" s="570"/>
      <c r="FK59" s="570"/>
      <c r="FL59" s="570"/>
      <c r="FM59" s="570"/>
    </row>
    <row r="60" spans="2:169">
      <c r="FC60" s="571"/>
      <c r="FD60" s="568">
        <v>22</v>
      </c>
      <c r="FE60" s="570"/>
      <c r="FF60" s="570"/>
      <c r="FG60" s="136"/>
      <c r="FH60" s="570"/>
      <c r="FI60" s="570"/>
      <c r="FJ60" s="570"/>
      <c r="FK60" s="570"/>
      <c r="FL60" s="570"/>
      <c r="FM60" s="570"/>
    </row>
    <row r="61" spans="2:169">
      <c r="FC61" s="571"/>
      <c r="FD61" s="568">
        <v>23</v>
      </c>
      <c r="FE61" s="570"/>
      <c r="FF61" s="570"/>
      <c r="FG61" s="136"/>
      <c r="FH61" s="570"/>
      <c r="FI61" s="570"/>
      <c r="FJ61" s="570"/>
      <c r="FK61" s="570"/>
      <c r="FL61" s="570"/>
      <c r="FM61" s="570"/>
    </row>
    <row r="62" spans="2:169">
      <c r="FD62" s="568">
        <v>24</v>
      </c>
      <c r="FG62" s="136"/>
    </row>
    <row r="63" spans="2:169">
      <c r="FD63" s="568">
        <v>25</v>
      </c>
      <c r="FE63" s="136"/>
      <c r="FF63" s="136"/>
      <c r="FG63" s="136"/>
      <c r="FH63" s="136"/>
      <c r="FI63" s="136"/>
      <c r="FJ63" s="136"/>
      <c r="FK63" s="136"/>
      <c r="FL63" s="136"/>
      <c r="FM63" s="136"/>
    </row>
    <row r="64" spans="2:169">
      <c r="FD64" s="568">
        <v>26</v>
      </c>
      <c r="FE64" s="303"/>
      <c r="FF64" s="303"/>
      <c r="FG64" s="105"/>
      <c r="FH64" s="303"/>
      <c r="FI64" s="303"/>
      <c r="FJ64" s="303"/>
      <c r="FK64" s="303"/>
      <c r="FL64" s="303"/>
      <c r="FM64" s="303"/>
    </row>
    <row r="65" spans="160:170">
      <c r="FD65" s="568">
        <v>27</v>
      </c>
      <c r="FE65" s="136"/>
      <c r="FF65" s="136"/>
      <c r="FG65" s="136"/>
      <c r="FH65" s="136"/>
      <c r="FI65" s="136"/>
      <c r="FJ65" s="136"/>
      <c r="FK65" s="136"/>
      <c r="FL65" s="136"/>
      <c r="FM65" s="136"/>
    </row>
    <row r="66" spans="160:170">
      <c r="FD66" s="568">
        <v>28</v>
      </c>
      <c r="FE66" s="136"/>
      <c r="FF66" s="136"/>
      <c r="FG66" s="136"/>
      <c r="FH66" s="136"/>
      <c r="FI66" s="136"/>
      <c r="FJ66" s="136"/>
      <c r="FK66" s="136"/>
      <c r="FL66" s="136"/>
      <c r="FM66" s="136"/>
    </row>
    <row r="67" spans="160:170">
      <c r="FD67" s="568">
        <v>29</v>
      </c>
      <c r="FE67" s="136"/>
      <c r="FF67" s="371"/>
      <c r="FG67" s="371"/>
      <c r="FH67" s="136"/>
      <c r="FI67" s="371"/>
      <c r="FJ67" s="136"/>
      <c r="FK67" s="371"/>
      <c r="FL67" s="371"/>
      <c r="FM67" s="371"/>
    </row>
    <row r="68" spans="160:170">
      <c r="FD68" s="568">
        <v>30</v>
      </c>
      <c r="FE68" s="136"/>
      <c r="FF68" s="371"/>
      <c r="FG68" s="371"/>
      <c r="FH68" s="136"/>
      <c r="FI68" s="371"/>
      <c r="FJ68" s="136"/>
      <c r="FK68" s="371"/>
      <c r="FL68" s="371"/>
      <c r="FM68" s="371"/>
    </row>
    <row r="69" spans="160:170">
      <c r="FD69" s="568">
        <v>31</v>
      </c>
      <c r="FE69" s="267"/>
      <c r="FF69" s="267"/>
      <c r="FG69" s="371"/>
      <c r="FH69" s="267"/>
      <c r="FI69" s="267"/>
      <c r="FJ69" s="267"/>
      <c r="FK69" s="267"/>
      <c r="FL69" s="267"/>
      <c r="FM69" s="267"/>
    </row>
    <row r="70" spans="160:170">
      <c r="FE70" s="570"/>
      <c r="FF70" s="570"/>
      <c r="FG70" s="570"/>
      <c r="FH70" s="570"/>
      <c r="FI70" s="570"/>
      <c r="FJ70" s="570"/>
      <c r="FK70" s="570"/>
      <c r="FL70" s="570"/>
      <c r="FM70" s="570"/>
    </row>
    <row r="72" spans="160:170">
      <c r="FD72" s="152"/>
      <c r="FE72" s="152"/>
      <c r="FF72" s="152"/>
      <c r="FG72" s="152"/>
      <c r="FH72" s="152"/>
      <c r="FI72" s="152"/>
      <c r="FJ72" s="152"/>
      <c r="FK72" s="152"/>
      <c r="FL72" s="152"/>
      <c r="FM72"/>
      <c r="FN72" s="152"/>
    </row>
    <row r="73" spans="160:170">
      <c r="FD73" s="152"/>
      <c r="FE73" s="152"/>
      <c r="FF73" s="152"/>
      <c r="FG73" s="152"/>
      <c r="FH73" s="152"/>
      <c r="FI73" s="152"/>
      <c r="FJ73" s="152"/>
      <c r="FK73" s="152"/>
      <c r="FL73" s="152"/>
      <c r="FM73" s="152"/>
      <c r="FN73" s="152"/>
    </row>
    <row r="74" spans="160:170">
      <c r="FD74" s="402"/>
      <c r="FE74" s="152"/>
      <c r="FF74" s="152"/>
      <c r="FG74" s="152"/>
      <c r="FH74" s="152"/>
      <c r="FI74" s="152"/>
      <c r="FJ74" s="152"/>
      <c r="FK74" s="152"/>
      <c r="FL74" s="152"/>
      <c r="FM74" s="152"/>
      <c r="FN74" s="152"/>
    </row>
    <row r="75" spans="160:170">
      <c r="FD75" s="152"/>
      <c r="FE75" s="152"/>
      <c r="FF75" s="152"/>
      <c r="FG75" s="152"/>
      <c r="FH75" s="152"/>
      <c r="FI75" s="152"/>
      <c r="FJ75" s="152"/>
      <c r="FK75" s="152"/>
      <c r="FL75" s="152"/>
      <c r="FM75" s="152"/>
      <c r="FN75" s="152"/>
    </row>
    <row r="76" spans="160:170">
      <c r="FD76" s="152"/>
      <c r="FE76"/>
      <c r="FF76" s="152"/>
      <c r="FG76" s="152"/>
      <c r="FH76" s="152"/>
      <c r="FI76" s="152"/>
      <c r="FJ76" s="152"/>
      <c r="FK76" s="152"/>
      <c r="FL76" s="152"/>
      <c r="FM76" s="152"/>
      <c r="FN76" s="152"/>
    </row>
    <row r="77" spans="160:170" ht="53.25" customHeight="1">
      <c r="FD77" s="152"/>
      <c r="FE77" s="10"/>
      <c r="FF77" s="152"/>
      <c r="FG77" s="152"/>
      <c r="FH77" s="152"/>
      <c r="FI77" s="152"/>
      <c r="FJ77" s="152"/>
      <c r="FK77" s="152"/>
      <c r="FL77" s="402"/>
      <c r="FM77" s="152"/>
      <c r="FN77" s="152"/>
    </row>
    <row r="78" spans="160:170">
      <c r="FD78" s="152"/>
      <c r="FE78"/>
      <c r="FF78" s="152"/>
      <c r="FG78" s="152"/>
      <c r="FH78" s="152"/>
      <c r="FI78" s="152"/>
      <c r="FJ78" s="152"/>
      <c r="FK78" s="152"/>
      <c r="FL78" s="152"/>
      <c r="FM78" s="152"/>
      <c r="FN78" s="152"/>
    </row>
    <row r="79" spans="160:170">
      <c r="FD79" s="402"/>
      <c r="FF79" s="152"/>
      <c r="FG79" s="152"/>
      <c r="FH79" s="152"/>
      <c r="FI79" s="335">
        <f>FI77/4</f>
        <v>0</v>
      </c>
      <c r="FJ79" s="152"/>
      <c r="FK79" s="152"/>
      <c r="FL79" s="152"/>
      <c r="FM79" s="152"/>
      <c r="FN79" s="152"/>
    </row>
    <row r="80" spans="160:170">
      <c r="FD80" s="152"/>
      <c r="FE80"/>
      <c r="FF80" s="152"/>
      <c r="FG80" s="152"/>
      <c r="FH80" s="152"/>
      <c r="FI80" s="152"/>
      <c r="FJ80" s="152"/>
      <c r="FK80" s="152"/>
      <c r="FL80" s="152"/>
      <c r="FM80" s="152"/>
      <c r="FN80" s="152"/>
    </row>
    <row r="81" spans="160:170">
      <c r="FD81" s="152"/>
      <c r="FE81"/>
      <c r="FF81" s="152"/>
      <c r="FG81" s="152"/>
      <c r="FH81" s="152"/>
      <c r="FI81" s="152"/>
      <c r="FJ81" s="152"/>
      <c r="FK81" s="152"/>
      <c r="FL81" s="152"/>
      <c r="FM81" s="152"/>
      <c r="FN81" s="152"/>
    </row>
    <row r="82" spans="160:170">
      <c r="FD82" s="152"/>
      <c r="FE82"/>
      <c r="FF82" s="152"/>
      <c r="FG82" s="152"/>
      <c r="FH82" s="152"/>
      <c r="FI82" s="152"/>
      <c r="FJ82" s="152"/>
      <c r="FK82" s="152"/>
      <c r="FL82" s="152"/>
      <c r="FM82" s="152"/>
      <c r="FN82" s="152"/>
    </row>
    <row r="83" spans="160:170">
      <c r="FD83" s="152"/>
      <c r="FE83"/>
      <c r="FF83" s="152"/>
      <c r="FG83" s="152"/>
      <c r="FH83" s="152"/>
      <c r="FI83" s="152"/>
      <c r="FJ83" s="152"/>
      <c r="FK83" s="152"/>
      <c r="FL83" s="152"/>
      <c r="FM83" s="152"/>
      <c r="FN83" s="402"/>
    </row>
    <row r="84" spans="160:170">
      <c r="FD84" s="152"/>
      <c r="FF84" s="152"/>
      <c r="FG84" s="152"/>
      <c r="FH84" s="152"/>
      <c r="FI84" s="152"/>
      <c r="FJ84" s="152"/>
      <c r="FK84" s="152"/>
      <c r="FL84" s="152"/>
      <c r="FM84" s="152"/>
      <c r="FN84" s="152"/>
    </row>
    <row r="85" spans="160:170">
      <c r="FE85"/>
    </row>
    <row r="87" spans="160:170">
      <c r="FE87"/>
    </row>
    <row r="89" spans="160:170">
      <c r="FE89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 count="8">
    <mergeCell ref="FE37:FM37"/>
    <mergeCell ref="FC3:FC4"/>
    <mergeCell ref="B4:B5"/>
    <mergeCell ref="CF4:CH4"/>
    <mergeCell ref="CJ4:CL4"/>
    <mergeCell ref="CN4:CP4"/>
    <mergeCell ref="CR4:CT4"/>
    <mergeCell ref="CU4:CW4"/>
  </mergeCells>
  <conditionalFormatting sqref="DR39 DQ38:DQ39">
    <cfRule type="cellIs" dxfId="111" priority="111" stopIfTrue="1" operator="lessThanOrEqual">
      <formula>0.145</formula>
    </cfRule>
    <cfRule type="cellIs" dxfId="110" priority="112" stopIfTrue="1" operator="greaterThan">
      <formula>0.15</formula>
    </cfRule>
  </conditionalFormatting>
  <conditionalFormatting sqref="D6:F7 E10:F21 N15:N36 N6:N9 H9:L9 G9:G14 D10:D15 G6:M8 D23:J36 L23:M36 K24:K36 H10:N14 G15:M21">
    <cfRule type="expression" dxfId="109" priority="110" stopIfTrue="1">
      <formula>OR($B6=TODAY(),$B6=TODAY()-1)</formula>
    </cfRule>
  </conditionalFormatting>
  <conditionalFormatting sqref="G15:G21 G10:G13 G6 I7:M8 H17">
    <cfRule type="expression" dxfId="108" priority="109" stopIfTrue="1">
      <formula>OR($B6=TODAY(),$B6=TODAY()-1)</formula>
    </cfRule>
  </conditionalFormatting>
  <conditionalFormatting sqref="D6:F7">
    <cfRule type="expression" dxfId="107" priority="108" stopIfTrue="1">
      <formula>OR($B6=TODAY(),$B6=TODAY()-1)</formula>
    </cfRule>
  </conditionalFormatting>
  <conditionalFormatting sqref="I7:M8">
    <cfRule type="expression" dxfId="106" priority="107" stopIfTrue="1">
      <formula>OR($B7=TODAY(),$B7=TODAY()-1)</formula>
    </cfRule>
  </conditionalFormatting>
  <conditionalFormatting sqref="I7:M8">
    <cfRule type="expression" dxfId="105" priority="106" stopIfTrue="1">
      <formula>OR($B7=TODAY(),$B7=TODAY()-1)</formula>
    </cfRule>
  </conditionalFormatting>
  <conditionalFormatting sqref="D6:F6">
    <cfRule type="expression" dxfId="104" priority="105" stopIfTrue="1">
      <formula>OR($B6=TODAY(),$B6=TODAY()-1)</formula>
    </cfRule>
  </conditionalFormatting>
  <conditionalFormatting sqref="D6:F7 G6:L21">
    <cfRule type="expression" dxfId="103" priority="104" stopIfTrue="1">
      <formula>OR($B6=TODAY(),$B6=TODAY()-1)</formula>
    </cfRule>
  </conditionalFormatting>
  <conditionalFormatting sqref="G15:G21 G10:G13 G6 I7:M8 H17">
    <cfRule type="expression" dxfId="102" priority="103" stopIfTrue="1">
      <formula>OR($B6=TODAY(),$B6=TODAY()-1)</formula>
    </cfRule>
  </conditionalFormatting>
  <conditionalFormatting sqref="D6:F7 G6:L21">
    <cfRule type="expression" dxfId="101" priority="102" stopIfTrue="1">
      <formula>OR($B6=TODAY(),$B6=TODAY()-1)</formula>
    </cfRule>
  </conditionalFormatting>
  <conditionalFormatting sqref="G15:G21 G10:G13 G6 I7:M8 H17">
    <cfRule type="expression" dxfId="100" priority="101" stopIfTrue="1">
      <formula>OR($B6=TODAY(),$B6=TODAY()-1)</formula>
    </cfRule>
  </conditionalFormatting>
  <conditionalFormatting sqref="D6:F7 G6:L21">
    <cfRule type="expression" dxfId="99" priority="100" stopIfTrue="1">
      <formula>OR($B6=TODAY(),$B6=TODAY()-1)</formula>
    </cfRule>
  </conditionalFormatting>
  <conditionalFormatting sqref="G15:G21 G10:G13 G6 I7:M8 H17">
    <cfRule type="expression" dxfId="98" priority="99" stopIfTrue="1">
      <formula>OR($B6=TODAY(),$B6=TODAY()-1)</formula>
    </cfRule>
  </conditionalFormatting>
  <conditionalFormatting sqref="D6:F7 G6:L21">
    <cfRule type="expression" dxfId="97" priority="98" stopIfTrue="1">
      <formula>OR($B6=TODAY(),$B6=TODAY()-1)</formula>
    </cfRule>
  </conditionalFormatting>
  <conditionalFormatting sqref="G15:G21 G10:G13 G6 I7:M8 H17">
    <cfRule type="expression" dxfId="96" priority="97" stopIfTrue="1">
      <formula>OR($B6=TODAY(),$B6=TODAY()-1)</formula>
    </cfRule>
  </conditionalFormatting>
  <conditionalFormatting sqref="D6:F7 G6:L21">
    <cfRule type="expression" dxfId="95" priority="96" stopIfTrue="1">
      <formula>OR($B6=TODAY(),$B6=TODAY()-1)</formula>
    </cfRule>
  </conditionalFormatting>
  <conditionalFormatting sqref="G15:G21 G10:G13 G6 I7:M8 H17">
    <cfRule type="expression" dxfId="94" priority="95" stopIfTrue="1">
      <formula>OR($B6=TODAY(),$B6=TODAY()-1)</formula>
    </cfRule>
  </conditionalFormatting>
  <conditionalFormatting sqref="D6:F7 G6:L21">
    <cfRule type="expression" dxfId="93" priority="94" stopIfTrue="1">
      <formula>OR($B6=TODAY(),$B6=TODAY()-1)</formula>
    </cfRule>
  </conditionalFormatting>
  <conditionalFormatting sqref="G15:G21 G10:G13 G6 I7:M8 H17">
    <cfRule type="expression" dxfId="92" priority="93" stopIfTrue="1">
      <formula>OR($B6=TODAY(),$B6=TODAY()-1)</formula>
    </cfRule>
  </conditionalFormatting>
  <conditionalFormatting sqref="D6:F7 G6:L21">
    <cfRule type="expression" dxfId="91" priority="92" stopIfTrue="1">
      <formula>OR($B6=TODAY(),$B6=TODAY()-1)</formula>
    </cfRule>
  </conditionalFormatting>
  <conditionalFormatting sqref="D6:F7 G6:L21">
    <cfRule type="expression" dxfId="90" priority="91" stopIfTrue="1">
      <formula>OR($B6=TODAY(),$B6=TODAY()-1)</formula>
    </cfRule>
  </conditionalFormatting>
  <conditionalFormatting sqref="G15:G21 G10:G13 G6 I7:M8 H17">
    <cfRule type="expression" dxfId="89" priority="90" stopIfTrue="1">
      <formula>OR($B6=TODAY(),$B6=TODAY()-1)</formula>
    </cfRule>
  </conditionalFormatting>
  <conditionalFormatting sqref="D6:F7 G6:L21">
    <cfRule type="expression" dxfId="88" priority="89" stopIfTrue="1">
      <formula>OR($B6=TODAY(),$B6=TODAY()-1)</formula>
    </cfRule>
  </conditionalFormatting>
  <conditionalFormatting sqref="G15:G21 G10:G13 G6 I7:M8 H17">
    <cfRule type="expression" dxfId="87" priority="88" stopIfTrue="1">
      <formula>OR($B6=TODAY(),$B6=TODAY()-1)</formula>
    </cfRule>
  </conditionalFormatting>
  <conditionalFormatting sqref="D6:F7">
    <cfRule type="expression" dxfId="86" priority="87" stopIfTrue="1">
      <formula>OR($B6=TODAY(),$B6=TODAY()-1)</formula>
    </cfRule>
  </conditionalFormatting>
  <conditionalFormatting sqref="G15:G21 G10:G13 G6 I7:M8 H17">
    <cfRule type="expression" dxfId="85" priority="86" stopIfTrue="1">
      <formula>OR($B6=TODAY(),$B6=TODAY()-1)</formula>
    </cfRule>
  </conditionalFormatting>
  <conditionalFormatting sqref="D29 D30:F31">
    <cfRule type="expression" dxfId="84" priority="85" stopIfTrue="1">
      <formula>OR($B29=TODAY(),$B29=TODAY()-1)</formula>
    </cfRule>
  </conditionalFormatting>
  <conditionalFormatting sqref="D29 D30:F31">
    <cfRule type="expression" dxfId="83" priority="84" stopIfTrue="1">
      <formula>OR($B29=TODAY(),$B29=TODAY()-1)</formula>
    </cfRule>
  </conditionalFormatting>
  <conditionalFormatting sqref="D29 D30:F31">
    <cfRule type="expression" dxfId="82" priority="83" stopIfTrue="1">
      <formula>OR($B29=TODAY(),$B29=TODAY()-1)</formula>
    </cfRule>
  </conditionalFormatting>
  <conditionalFormatting sqref="D29 D30:F31">
    <cfRule type="expression" dxfId="81" priority="82" stopIfTrue="1">
      <formula>OR($B29=TODAY(),$B29=TODAY()-1)</formula>
    </cfRule>
  </conditionalFormatting>
  <conditionalFormatting sqref="D29 D30:F31">
    <cfRule type="expression" dxfId="80" priority="81" stopIfTrue="1">
      <formula>OR($B29=TODAY(),$B29=TODAY()-1)</formula>
    </cfRule>
  </conditionalFormatting>
  <conditionalFormatting sqref="D29 D30:F31">
    <cfRule type="expression" dxfId="79" priority="80" stopIfTrue="1">
      <formula>OR($B29=TODAY(),$B29=TODAY()-1)</formula>
    </cfRule>
  </conditionalFormatting>
  <conditionalFormatting sqref="D29 D30:F31">
    <cfRule type="expression" dxfId="78" priority="79" stopIfTrue="1">
      <formula>OR($B29=TODAY(),$B29=TODAY()-1)</formula>
    </cfRule>
  </conditionalFormatting>
  <conditionalFormatting sqref="D29 D30:F31">
    <cfRule type="expression" dxfId="77" priority="78" stopIfTrue="1">
      <formula>OR($B29=TODAY(),$B29=TODAY()-1)</formula>
    </cfRule>
  </conditionalFormatting>
  <conditionalFormatting sqref="D29 D30:F31">
    <cfRule type="expression" dxfId="76" priority="77" stopIfTrue="1">
      <formula>OR($B29=TODAY(),$B29=TODAY()-1)</formula>
    </cfRule>
  </conditionalFormatting>
  <conditionalFormatting sqref="D29 D30:F31">
    <cfRule type="expression" dxfId="75" priority="76" stopIfTrue="1">
      <formula>OR($B29=TODAY(),$B29=TODAY()-1)</formula>
    </cfRule>
  </conditionalFormatting>
  <conditionalFormatting sqref="D29 D30:F31">
    <cfRule type="expression" dxfId="74" priority="75" stopIfTrue="1">
      <formula>OR($B29=TODAY(),$B29=TODAY()-1)</formula>
    </cfRule>
  </conditionalFormatting>
  <conditionalFormatting sqref="DP6:DQ37">
    <cfRule type="cellIs" dxfId="73" priority="73" stopIfTrue="1" operator="lessThanOrEqual">
      <formula>$D$2</formula>
    </cfRule>
    <cfRule type="cellIs" dxfId="72" priority="74" stopIfTrue="1" operator="greaterThan">
      <formula>$D$2</formula>
    </cfRule>
  </conditionalFormatting>
  <conditionalFormatting sqref="BZ6:BZ37 DH6:DH37 DJ6:DJ37 CS6:CS37">
    <cfRule type="cellIs" dxfId="71" priority="71" stopIfTrue="1" operator="lessThanOrEqual">
      <formula>#REF!</formula>
    </cfRule>
    <cfRule type="cellIs" dxfId="70" priority="72" stopIfTrue="1" operator="greaterThan">
      <formula>#REF!</formula>
    </cfRule>
  </conditionalFormatting>
  <conditionalFormatting sqref="DL6:DL37">
    <cfRule type="cellIs" dxfId="69" priority="69" stopIfTrue="1" operator="greaterThan">
      <formula>$D$3</formula>
    </cfRule>
    <cfRule type="cellIs" dxfId="68" priority="70" stopIfTrue="1" operator="lessThanOrEqual">
      <formula>$D$3</formula>
    </cfRule>
  </conditionalFormatting>
  <conditionalFormatting sqref="E20:F20">
    <cfRule type="expression" dxfId="67" priority="68" stopIfTrue="1">
      <formula>OR($B20=TODAY(),$B20=TODAY()-1)</formula>
    </cfRule>
  </conditionalFormatting>
  <conditionalFormatting sqref="E20:F20">
    <cfRule type="expression" dxfId="66" priority="67" stopIfTrue="1">
      <formula>OR($B20=TODAY(),$B20=TODAY()-1)</formula>
    </cfRule>
  </conditionalFormatting>
  <conditionalFormatting sqref="E20:F20">
    <cfRule type="expression" dxfId="65" priority="66" stopIfTrue="1">
      <formula>OR($B20=TODAY(),$B20=TODAY()-1)</formula>
    </cfRule>
  </conditionalFormatting>
  <conditionalFormatting sqref="E20:F20">
    <cfRule type="expression" dxfId="64" priority="65" stopIfTrue="1">
      <formula>OR($B20=TODAY(),$B20=TODAY()-1)</formula>
    </cfRule>
  </conditionalFormatting>
  <conditionalFormatting sqref="E20:F20">
    <cfRule type="expression" dxfId="63" priority="64" stopIfTrue="1">
      <formula>OR($B20=TODAY(),$B20=TODAY()-1)</formula>
    </cfRule>
  </conditionalFormatting>
  <conditionalFormatting sqref="E20:F20">
    <cfRule type="expression" dxfId="62" priority="63" stopIfTrue="1">
      <formula>OR($B20=TODAY(),$B20=TODAY()-1)</formula>
    </cfRule>
  </conditionalFormatting>
  <conditionalFormatting sqref="E20:F20">
    <cfRule type="expression" dxfId="61" priority="62" stopIfTrue="1">
      <formula>OR($B20=TODAY(),$B20=TODAY()-1)</formula>
    </cfRule>
  </conditionalFormatting>
  <conditionalFormatting sqref="E20:F20">
    <cfRule type="expression" dxfId="60" priority="61" stopIfTrue="1">
      <formula>OR($B20=TODAY(),$B20=TODAY()-1)</formula>
    </cfRule>
  </conditionalFormatting>
  <conditionalFormatting sqref="E20:F20">
    <cfRule type="expression" dxfId="59" priority="60" stopIfTrue="1">
      <formula>OR($B20=TODAY(),$B20=TODAY()-1)</formula>
    </cfRule>
  </conditionalFormatting>
  <conditionalFormatting sqref="E20:F20">
    <cfRule type="expression" dxfId="58" priority="59" stopIfTrue="1">
      <formula>OR($B20=TODAY(),$B20=TODAY()-1)</formula>
    </cfRule>
  </conditionalFormatting>
  <conditionalFormatting sqref="D34:F34">
    <cfRule type="expression" dxfId="57" priority="58" stopIfTrue="1">
      <formula>OR($B34=TODAY(),$B34=TODAY()-1)</formula>
    </cfRule>
  </conditionalFormatting>
  <conditionalFormatting sqref="D34:F34">
    <cfRule type="expression" dxfId="56" priority="57" stopIfTrue="1">
      <formula>OR($B34=TODAY(),$B34=TODAY()-1)</formula>
    </cfRule>
  </conditionalFormatting>
  <conditionalFormatting sqref="CH37">
    <cfRule type="cellIs" dxfId="55" priority="55" stopIfTrue="1" operator="lessThanOrEqual">
      <formula>#REF!</formula>
    </cfRule>
    <cfRule type="cellIs" dxfId="54" priority="56" stopIfTrue="1" operator="greaterThan">
      <formula>#REF!</formula>
    </cfRule>
  </conditionalFormatting>
  <conditionalFormatting sqref="CP6:CP37 CV6:CV37 CL6:CL37">
    <cfRule type="cellIs" dxfId="53" priority="53" operator="greaterThan">
      <formula>#REF!</formula>
    </cfRule>
    <cfRule type="cellIs" dxfId="52" priority="54" operator="lessThanOrEqual">
      <formula>#REF!</formula>
    </cfRule>
  </conditionalFormatting>
  <conditionalFormatting sqref="G14">
    <cfRule type="expression" dxfId="51" priority="52" stopIfTrue="1">
      <formula>OR($B15=TODAY(),$B15=TODAY()-1)</formula>
    </cfRule>
  </conditionalFormatting>
  <conditionalFormatting sqref="I16:M18">
    <cfRule type="expression" dxfId="50" priority="51" stopIfTrue="1">
      <formula>OR($B16=TODAY(),$B16=TODAY()-1)</formula>
    </cfRule>
  </conditionalFormatting>
  <conditionalFormatting sqref="I16:M18">
    <cfRule type="expression" dxfId="49" priority="50" stopIfTrue="1">
      <formula>OR($B16=TODAY(),$B16=TODAY()-1)</formula>
    </cfRule>
  </conditionalFormatting>
  <conditionalFormatting sqref="I16:M18">
    <cfRule type="expression" dxfId="48" priority="49" stopIfTrue="1">
      <formula>OR($B16=TODAY(),$B16=TODAY()-1)</formula>
    </cfRule>
  </conditionalFormatting>
  <conditionalFormatting sqref="I16:M18">
    <cfRule type="expression" dxfId="47" priority="48" stopIfTrue="1">
      <formula>OR($B16=TODAY(),$B16=TODAY()-1)</formula>
    </cfRule>
  </conditionalFormatting>
  <conditionalFormatting sqref="D16">
    <cfRule type="expression" dxfId="46" priority="47" stopIfTrue="1">
      <formula>OR($B16=TODAY(),$B16=TODAY()-1)</formula>
    </cfRule>
  </conditionalFormatting>
  <conditionalFormatting sqref="G6:L21">
    <cfRule type="expression" dxfId="45" priority="46" stopIfTrue="1">
      <formula>OR($B6=TODAY(),$B6=TODAY()-1)</formula>
    </cfRule>
  </conditionalFormatting>
  <conditionalFormatting sqref="G6:L21">
    <cfRule type="expression" dxfId="44" priority="45" stopIfTrue="1">
      <formula>OR($B6=TODAY(),$B6=TODAY()-1)</formula>
    </cfRule>
  </conditionalFormatting>
  <conditionalFormatting sqref="G6:L21">
    <cfRule type="expression" dxfId="43" priority="44" stopIfTrue="1">
      <formula>OR($B6=TODAY(),$B6=TODAY()-1)</formula>
    </cfRule>
  </conditionalFormatting>
  <conditionalFormatting sqref="G15">
    <cfRule type="expression" dxfId="42" priority="43" stopIfTrue="1">
      <formula>OR($B16=TODAY(),$B16=TODAY()-1)</formula>
    </cfRule>
  </conditionalFormatting>
  <conditionalFormatting sqref="D6:J6">
    <cfRule type="expression" dxfId="41" priority="42" stopIfTrue="1">
      <formula>OR($B6=TODAY(),$B6=TODAY()-1)</formula>
    </cfRule>
  </conditionalFormatting>
  <conditionalFormatting sqref="G6">
    <cfRule type="expression" dxfId="40" priority="41" stopIfTrue="1">
      <formula>OR($B6=TODAY(),$B6=TODAY()-1)</formula>
    </cfRule>
  </conditionalFormatting>
  <conditionalFormatting sqref="D6:F6">
    <cfRule type="expression" dxfId="39" priority="40" stopIfTrue="1">
      <formula>OR($B6=TODAY(),$B6=TODAY()-1)</formula>
    </cfRule>
  </conditionalFormatting>
  <conditionalFormatting sqref="D6:F6">
    <cfRule type="expression" dxfId="38" priority="39" stopIfTrue="1">
      <formula>OR($B6=TODAY(),$B6=TODAY()-1)</formula>
    </cfRule>
  </conditionalFormatting>
  <conditionalFormatting sqref="D6:J6">
    <cfRule type="expression" dxfId="37" priority="38" stopIfTrue="1">
      <formula>OR($B6=TODAY(),$B6=TODAY()-1)</formula>
    </cfRule>
  </conditionalFormatting>
  <conditionalFormatting sqref="G6">
    <cfRule type="expression" dxfId="36" priority="37" stopIfTrue="1">
      <formula>OR($B6=TODAY(),$B6=TODAY()-1)</formula>
    </cfRule>
  </conditionalFormatting>
  <conditionalFormatting sqref="D6:J6">
    <cfRule type="expression" dxfId="35" priority="36" stopIfTrue="1">
      <formula>OR($B6=TODAY(),$B6=TODAY()-1)</formula>
    </cfRule>
  </conditionalFormatting>
  <conditionalFormatting sqref="G6">
    <cfRule type="expression" dxfId="34" priority="35" stopIfTrue="1">
      <formula>OR($B6=TODAY(),$B6=TODAY()-1)</formula>
    </cfRule>
  </conditionalFormatting>
  <conditionalFormatting sqref="D6:J6">
    <cfRule type="expression" dxfId="33" priority="34" stopIfTrue="1">
      <formula>OR($B6=TODAY(),$B6=TODAY()-1)</formula>
    </cfRule>
  </conditionalFormatting>
  <conditionalFormatting sqref="G6">
    <cfRule type="expression" dxfId="32" priority="33" stopIfTrue="1">
      <formula>OR($B6=TODAY(),$B6=TODAY()-1)</formula>
    </cfRule>
  </conditionalFormatting>
  <conditionalFormatting sqref="D6:J6">
    <cfRule type="expression" dxfId="31" priority="32" stopIfTrue="1">
      <formula>OR($B6=TODAY(),$B6=TODAY()-1)</formula>
    </cfRule>
  </conditionalFormatting>
  <conditionalFormatting sqref="G6">
    <cfRule type="expression" dxfId="30" priority="31" stopIfTrue="1">
      <formula>OR($B6=TODAY(),$B6=TODAY()-1)</formula>
    </cfRule>
  </conditionalFormatting>
  <conditionalFormatting sqref="D6:J6">
    <cfRule type="expression" dxfId="29" priority="30" stopIfTrue="1">
      <formula>OR($B6=TODAY(),$B6=TODAY()-1)</formula>
    </cfRule>
  </conditionalFormatting>
  <conditionalFormatting sqref="G6">
    <cfRule type="expression" dxfId="28" priority="29" stopIfTrue="1">
      <formula>OR($B6=TODAY(),$B6=TODAY()-1)</formula>
    </cfRule>
  </conditionalFormatting>
  <conditionalFormatting sqref="D6:J6">
    <cfRule type="expression" dxfId="27" priority="28" stopIfTrue="1">
      <formula>OR($B6=TODAY(),$B6=TODAY()-1)</formula>
    </cfRule>
  </conditionalFormatting>
  <conditionalFormatting sqref="G6">
    <cfRule type="expression" dxfId="26" priority="27" stopIfTrue="1">
      <formula>OR($B6=TODAY(),$B6=TODAY()-1)</formula>
    </cfRule>
  </conditionalFormatting>
  <conditionalFormatting sqref="D6:J6">
    <cfRule type="expression" dxfId="25" priority="26" stopIfTrue="1">
      <formula>OR($B6=TODAY(),$B6=TODAY()-1)</formula>
    </cfRule>
  </conditionalFormatting>
  <conditionalFormatting sqref="D6:J6">
    <cfRule type="expression" dxfId="24" priority="25" stopIfTrue="1">
      <formula>OR($B6=TODAY(),$B6=TODAY()-1)</formula>
    </cfRule>
  </conditionalFormatting>
  <conditionalFormatting sqref="G6">
    <cfRule type="expression" dxfId="23" priority="24" stopIfTrue="1">
      <formula>OR($B6=TODAY(),$B6=TODAY()-1)</formula>
    </cfRule>
  </conditionalFormatting>
  <conditionalFormatting sqref="D6:J6">
    <cfRule type="expression" dxfId="22" priority="23" stopIfTrue="1">
      <formula>OR($B6=TODAY(),$B6=TODAY()-1)</formula>
    </cfRule>
  </conditionalFormatting>
  <conditionalFormatting sqref="G6">
    <cfRule type="expression" dxfId="21" priority="22" stopIfTrue="1">
      <formula>OR($B6=TODAY(),$B6=TODAY()-1)</formula>
    </cfRule>
  </conditionalFormatting>
  <conditionalFormatting sqref="D6:F6">
    <cfRule type="expression" dxfId="20" priority="21" stopIfTrue="1">
      <formula>OR($B6=TODAY(),$B6=TODAY()-1)</formula>
    </cfRule>
  </conditionalFormatting>
  <conditionalFormatting sqref="G6">
    <cfRule type="expression" dxfId="19" priority="20" stopIfTrue="1">
      <formula>OR($B6=TODAY(),$B6=TODAY()-1)</formula>
    </cfRule>
  </conditionalFormatting>
  <conditionalFormatting sqref="G6:J6">
    <cfRule type="expression" dxfId="18" priority="19" stopIfTrue="1">
      <formula>OR($B6=TODAY(),$B6=TODAY()-1)</formula>
    </cfRule>
  </conditionalFormatting>
  <conditionalFormatting sqref="G6:J6">
    <cfRule type="expression" dxfId="17" priority="18" stopIfTrue="1">
      <formula>OR($B6=TODAY(),$B6=TODAY()-1)</formula>
    </cfRule>
  </conditionalFormatting>
  <conditionalFormatting sqref="G6:J6">
    <cfRule type="expression" dxfId="16" priority="17" stopIfTrue="1">
      <formula>OR($B6=TODAY(),$B6=TODAY()-1)</formula>
    </cfRule>
  </conditionalFormatting>
  <conditionalFormatting sqref="K13">
    <cfRule type="expression" dxfId="15" priority="16" stopIfTrue="1">
      <formula>OR($B13=TODAY(),$B13=TODAY()-1)</formula>
    </cfRule>
  </conditionalFormatting>
  <conditionalFormatting sqref="K13">
    <cfRule type="expression" dxfId="14" priority="15" stopIfTrue="1">
      <formula>OR($B13=TODAY(),$B13=TODAY()-1)</formula>
    </cfRule>
  </conditionalFormatting>
  <conditionalFormatting sqref="K13">
    <cfRule type="expression" dxfId="13" priority="14" stopIfTrue="1">
      <formula>OR($B13=TODAY(),$B13=TODAY()-1)</formula>
    </cfRule>
  </conditionalFormatting>
  <conditionalFormatting sqref="K13">
    <cfRule type="expression" dxfId="12" priority="13" stopIfTrue="1">
      <formula>OR($B13=TODAY(),$B13=TODAY()-1)</formula>
    </cfRule>
  </conditionalFormatting>
  <conditionalFormatting sqref="K13">
    <cfRule type="expression" dxfId="11" priority="12" stopIfTrue="1">
      <formula>OR($B13=TODAY(),$B13=TODAY()-1)</formula>
    </cfRule>
  </conditionalFormatting>
  <conditionalFormatting sqref="K13">
    <cfRule type="expression" dxfId="10" priority="11" stopIfTrue="1">
      <formula>OR($B13=TODAY(),$B13=TODAY()-1)</formula>
    </cfRule>
  </conditionalFormatting>
  <conditionalFormatting sqref="K13">
    <cfRule type="expression" dxfId="9" priority="10" stopIfTrue="1">
      <formula>OR($B13=TODAY(),$B13=TODAY()-1)</formula>
    </cfRule>
  </conditionalFormatting>
  <conditionalFormatting sqref="K13">
    <cfRule type="expression" dxfId="8" priority="9" stopIfTrue="1">
      <formula>OR($B13=TODAY(),$B13=TODAY()-1)</formula>
    </cfRule>
  </conditionalFormatting>
  <conditionalFormatting sqref="K13">
    <cfRule type="expression" dxfId="7" priority="8" stopIfTrue="1">
      <formula>OR($B13=TODAY(),$B13=TODAY()-1)</formula>
    </cfRule>
  </conditionalFormatting>
  <conditionalFormatting sqref="K13">
    <cfRule type="expression" dxfId="6" priority="7" stopIfTrue="1">
      <formula>OR($B13=TODAY(),$B13=TODAY()-1)</formula>
    </cfRule>
  </conditionalFormatting>
  <conditionalFormatting sqref="K13">
    <cfRule type="expression" dxfId="5" priority="6" stopIfTrue="1">
      <formula>OR($B13=TODAY(),$B13=TODAY()-1)</formula>
    </cfRule>
  </conditionalFormatting>
  <conditionalFormatting sqref="K13">
    <cfRule type="expression" dxfId="4" priority="5" stopIfTrue="1">
      <formula>OR($B13=TODAY(),$B13=TODAY()-1)</formula>
    </cfRule>
  </conditionalFormatting>
  <conditionalFormatting sqref="K13">
    <cfRule type="expression" dxfId="3" priority="4" stopIfTrue="1">
      <formula>OR($B13=TODAY(),$B13=TODAY()-1)</formula>
    </cfRule>
  </conditionalFormatting>
  <conditionalFormatting sqref="K13">
    <cfRule type="expression" dxfId="2" priority="3" stopIfTrue="1">
      <formula>OR($B13=TODAY(),$B13=TODAY()-1)</formula>
    </cfRule>
  </conditionalFormatting>
  <conditionalFormatting sqref="K13">
    <cfRule type="expression" dxfId="1" priority="2" stopIfTrue="1">
      <formula>OR($B13=TODAY(),$B13=TODAY()-1)</formula>
    </cfRule>
  </conditionalFormatting>
  <conditionalFormatting sqref="K13">
    <cfRule type="expression" dxfId="0" priority="1" stopIfTrue="1">
      <formula>OR($B13=TODAY(),$B13=TODAY()-1)</formula>
    </cfRule>
  </conditionalFormatting>
  <hyperlinks>
    <hyperlink ref="BA5" r:id="rId1" xr:uid="{00000000-0004-0000-1F00-000000000000}"/>
  </hyperlinks>
  <pageMargins left="0.7" right="0.7" top="0.75" bottom="0.75" header="0.3" footer="0.3"/>
  <pageSetup orientation="portrait"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W52"/>
  <sheetViews>
    <sheetView showGridLines="0" topLeftCell="A50" zoomScaleNormal="100" workbookViewId="0">
      <selection activeCell="BI23" sqref="BI23"/>
    </sheetView>
  </sheetViews>
  <sheetFormatPr defaultRowHeight="15"/>
  <cols>
    <col min="1" max="1" width="22" customWidth="1"/>
    <col min="2" max="2" width="5" customWidth="1"/>
    <col min="3" max="5" width="7.140625" customWidth="1"/>
    <col min="6" max="8" width="6.140625" customWidth="1"/>
    <col min="9" max="9" width="7" customWidth="1"/>
    <col min="10" max="12" width="6" customWidth="1"/>
    <col min="13" max="13" width="3.140625" customWidth="1"/>
    <col min="14" max="14" width="6" customWidth="1"/>
    <col min="22" max="22" width="9.140625" customWidth="1"/>
    <col min="23" max="23" width="3.7109375" customWidth="1"/>
  </cols>
  <sheetData>
    <row r="1" spans="1:15" ht="35.25" customHeight="1">
      <c r="A1" s="369"/>
      <c r="B1" s="369"/>
      <c r="C1" s="409"/>
      <c r="D1" s="409" t="s">
        <v>260</v>
      </c>
      <c r="E1" s="409" t="s">
        <v>261</v>
      </c>
      <c r="F1" s="409" t="s">
        <v>262</v>
      </c>
      <c r="G1" s="409" t="s">
        <v>263</v>
      </c>
      <c r="H1" s="409" t="s">
        <v>264</v>
      </c>
      <c r="I1" s="369"/>
      <c r="J1" s="369"/>
      <c r="K1" s="369"/>
      <c r="L1" s="369"/>
      <c r="M1" s="369"/>
      <c r="N1" s="369"/>
    </row>
    <row r="2" spans="1:15">
      <c r="A2" s="369"/>
      <c r="B2" s="369"/>
      <c r="C2" s="409" t="s">
        <v>248</v>
      </c>
      <c r="D2" s="409" t="s">
        <v>249</v>
      </c>
      <c r="E2" s="409" t="s">
        <v>250</v>
      </c>
      <c r="F2" s="409" t="s">
        <v>251</v>
      </c>
      <c r="G2" s="409" t="s">
        <v>252</v>
      </c>
      <c r="H2" s="409" t="s">
        <v>253</v>
      </c>
      <c r="I2" s="409" t="s">
        <v>254</v>
      </c>
      <c r="J2" s="409" t="s">
        <v>255</v>
      </c>
      <c r="K2" s="409" t="s">
        <v>256</v>
      </c>
      <c r="L2" s="369" t="s">
        <v>257</v>
      </c>
      <c r="M2" s="369" t="s">
        <v>258</v>
      </c>
      <c r="N2" s="369" t="s">
        <v>259</v>
      </c>
      <c r="O2" s="369" t="s">
        <v>154</v>
      </c>
    </row>
    <row r="3" spans="1:15">
      <c r="A3" s="409" t="s">
        <v>265</v>
      </c>
      <c r="B3" s="409">
        <v>2013</v>
      </c>
      <c r="C3" s="410">
        <v>3.9728620060855904</v>
      </c>
      <c r="D3" s="411">
        <v>3.8082060305110885</v>
      </c>
      <c r="E3" s="411">
        <v>3.6327242649464822</v>
      </c>
      <c r="F3" s="411">
        <v>4.0750942094764904</v>
      </c>
      <c r="G3" s="411">
        <v>4.6681078250807078</v>
      </c>
      <c r="H3" s="412">
        <v>4.2271004918434034</v>
      </c>
      <c r="I3" s="411">
        <v>3.9736635219029992</v>
      </c>
      <c r="J3" s="411">
        <v>3.6553978536877287</v>
      </c>
      <c r="K3" s="411">
        <v>3.5986215986141739</v>
      </c>
      <c r="L3" s="411">
        <v>3.35</v>
      </c>
      <c r="M3" s="411"/>
      <c r="N3" s="411"/>
      <c r="O3" s="411">
        <v>3.86</v>
      </c>
    </row>
    <row r="4" spans="1:15">
      <c r="A4" s="409" t="s">
        <v>265</v>
      </c>
      <c r="B4" s="409">
        <v>2012</v>
      </c>
      <c r="C4" s="410">
        <v>3.6967354370574532</v>
      </c>
      <c r="D4" s="411">
        <v>3.9260696932228294</v>
      </c>
      <c r="E4" s="411">
        <v>4.6374501052633521</v>
      </c>
      <c r="F4" s="411">
        <v>4.2982821525111143</v>
      </c>
      <c r="G4" s="411">
        <v>4.2346200547660295</v>
      </c>
      <c r="H4" s="412">
        <v>4.7366891567711047</v>
      </c>
      <c r="I4" s="411">
        <v>4.404611766446445</v>
      </c>
      <c r="J4" s="411">
        <v>4.2685744573916473</v>
      </c>
      <c r="K4" s="411">
        <v>4.4020181715046691</v>
      </c>
      <c r="L4" s="411">
        <v>4.0259740949305742</v>
      </c>
      <c r="M4" s="411">
        <v>4.0823486628397267</v>
      </c>
      <c r="N4" s="411">
        <v>4.3092752152846252</v>
      </c>
      <c r="O4" s="411">
        <v>4.24</v>
      </c>
    </row>
    <row r="5" spans="1:15">
      <c r="A5" s="409" t="s">
        <v>265</v>
      </c>
      <c r="B5" s="409">
        <v>2011</v>
      </c>
      <c r="C5" s="410">
        <v>3.4547046416555891</v>
      </c>
      <c r="D5" s="410">
        <v>3.762431118827978</v>
      </c>
      <c r="E5" s="410">
        <v>3.9920669611444932</v>
      </c>
      <c r="F5" s="410">
        <v>4.4124844374686614</v>
      </c>
      <c r="G5" s="410">
        <v>4.016129098207454</v>
      </c>
      <c r="H5" s="413">
        <v>5.5292316926691853</v>
      </c>
      <c r="I5" s="410">
        <v>4.1802209809892812</v>
      </c>
      <c r="J5" s="410">
        <v>4.2566620083786288</v>
      </c>
      <c r="K5" s="410">
        <v>4.0071760723818706</v>
      </c>
      <c r="L5" s="410">
        <v>4.2925306039639191</v>
      </c>
      <c r="M5" s="410">
        <v>4.2778598652728714</v>
      </c>
      <c r="N5" s="410">
        <v>3.5693224902963299</v>
      </c>
      <c r="O5" s="411">
        <v>4.07</v>
      </c>
    </row>
    <row r="6" spans="1:15">
      <c r="A6" s="409" t="s">
        <v>266</v>
      </c>
      <c r="B6" s="409">
        <v>2010</v>
      </c>
      <c r="C6" s="410">
        <v>4.5512899122002679</v>
      </c>
      <c r="D6" s="410">
        <v>4.8875030782598401</v>
      </c>
      <c r="E6" s="410">
        <v>4.5424407019910849</v>
      </c>
      <c r="F6" s="410">
        <v>4.5159612935741222</v>
      </c>
      <c r="G6" s="410">
        <v>4.7156470693664811</v>
      </c>
      <c r="H6" s="413">
        <v>3.9342260164008298</v>
      </c>
      <c r="I6" s="410">
        <v>4.3279062096524497</v>
      </c>
      <c r="J6" s="410">
        <v>3.9762215405448083</v>
      </c>
      <c r="K6" s="410">
        <v>3.9805859323203654</v>
      </c>
      <c r="L6" s="410">
        <v>3.6002749967826078</v>
      </c>
      <c r="M6" s="410">
        <v>3.8124376118097434</v>
      </c>
      <c r="N6" s="410">
        <v>3.3675521518134497</v>
      </c>
      <c r="O6" s="411">
        <v>4.17</v>
      </c>
    </row>
    <row r="7" spans="1:15">
      <c r="A7" s="409" t="s">
        <v>266</v>
      </c>
      <c r="B7" s="409">
        <v>2009</v>
      </c>
      <c r="C7" s="410">
        <v>0</v>
      </c>
      <c r="D7" s="410">
        <v>0</v>
      </c>
      <c r="E7" s="410">
        <v>0</v>
      </c>
      <c r="F7" s="410">
        <v>0</v>
      </c>
      <c r="G7" s="410">
        <v>0</v>
      </c>
      <c r="H7" s="413">
        <v>0</v>
      </c>
      <c r="I7" s="410">
        <v>11.49431250998761</v>
      </c>
      <c r="J7" s="410">
        <v>7.6701049561882355</v>
      </c>
      <c r="K7" s="410">
        <v>5.6124725213840856</v>
      </c>
      <c r="L7" s="410">
        <v>5.133269669632563</v>
      </c>
      <c r="M7" s="410">
        <v>4.9653514855408831</v>
      </c>
      <c r="N7" s="410">
        <v>4.0512820265180602</v>
      </c>
      <c r="O7" s="411">
        <v>5.34</v>
      </c>
    </row>
    <row r="9" spans="1:15">
      <c r="C9">
        <v>2009</v>
      </c>
      <c r="D9">
        <v>2010</v>
      </c>
      <c r="E9">
        <v>2011</v>
      </c>
      <c r="F9">
        <v>2012</v>
      </c>
      <c r="G9">
        <v>2013</v>
      </c>
      <c r="H9">
        <v>2014</v>
      </c>
      <c r="I9">
        <v>2015</v>
      </c>
    </row>
    <row r="10" spans="1:15">
      <c r="B10" t="s">
        <v>248</v>
      </c>
      <c r="C10" s="414"/>
      <c r="D10" s="414">
        <v>4.5512899122002679</v>
      </c>
      <c r="E10" s="414">
        <v>3.4547046416555891</v>
      </c>
      <c r="F10" s="414">
        <v>3.6967354370574532</v>
      </c>
      <c r="G10" s="414">
        <v>3.9728620060855904</v>
      </c>
      <c r="H10" s="414">
        <v>3.8810265418720209</v>
      </c>
      <c r="I10" s="414">
        <v>3.44</v>
      </c>
      <c r="J10" s="414"/>
      <c r="K10" s="414"/>
    </row>
    <row r="11" spans="1:15">
      <c r="B11" t="s">
        <v>249</v>
      </c>
      <c r="C11" s="414"/>
      <c r="D11" s="414">
        <v>4.8875030782598428</v>
      </c>
      <c r="E11" s="414">
        <v>3.762431118827978</v>
      </c>
      <c r="F11" s="414">
        <v>3.9260696932228294</v>
      </c>
      <c r="G11" s="414">
        <v>3.8082060305110885</v>
      </c>
      <c r="H11" s="414">
        <v>3.2088435940989202</v>
      </c>
      <c r="I11" s="414">
        <v>3.24</v>
      </c>
      <c r="J11" s="414"/>
      <c r="K11" s="414"/>
    </row>
    <row r="12" spans="1:15">
      <c r="B12" t="s">
        <v>250</v>
      </c>
      <c r="C12" s="414"/>
      <c r="D12" s="414">
        <v>4.5424407019910849</v>
      </c>
      <c r="E12" s="414">
        <v>3.9920669611444932</v>
      </c>
      <c r="F12" s="414">
        <v>4.6374501052633503</v>
      </c>
      <c r="G12" s="414">
        <v>3.6327242649464822</v>
      </c>
      <c r="H12" s="414">
        <v>3.582296774405973</v>
      </c>
      <c r="I12" s="414">
        <v>3.3</v>
      </c>
      <c r="J12" s="414"/>
      <c r="K12" s="414"/>
    </row>
    <row r="13" spans="1:15">
      <c r="B13" t="s">
        <v>251</v>
      </c>
      <c r="C13" s="414"/>
      <c r="D13" s="414">
        <v>4.5159612935741222</v>
      </c>
      <c r="E13" s="414">
        <v>4.4124844374686614</v>
      </c>
      <c r="F13" s="414">
        <v>4.2982821525111143</v>
      </c>
      <c r="G13" s="414">
        <v>4.0750942094764904</v>
      </c>
      <c r="H13" s="414">
        <v>3.5929838377999279</v>
      </c>
      <c r="I13" s="414">
        <v>3.44</v>
      </c>
      <c r="J13" s="414"/>
      <c r="K13" s="414"/>
    </row>
    <row r="14" spans="1:15">
      <c r="B14" t="s">
        <v>252</v>
      </c>
      <c r="C14" s="414"/>
      <c r="D14" s="414">
        <v>4.7156470693664811</v>
      </c>
      <c r="E14" s="414">
        <v>4.016129098207454</v>
      </c>
      <c r="F14" s="414">
        <v>4.2346200547660295</v>
      </c>
      <c r="G14" s="414">
        <v>4.6681078250807078</v>
      </c>
      <c r="H14" s="414">
        <v>3.4012700096292834</v>
      </c>
      <c r="I14" s="414">
        <v>3.53</v>
      </c>
      <c r="J14" s="414"/>
      <c r="K14" s="414"/>
    </row>
    <row r="15" spans="1:15">
      <c r="B15" t="s">
        <v>253</v>
      </c>
      <c r="C15" s="414"/>
      <c r="D15" s="414">
        <v>3.9342260164008298</v>
      </c>
      <c r="E15" s="414">
        <v>5.5292316926691853</v>
      </c>
      <c r="F15" s="414">
        <v>4.7366891567711047</v>
      </c>
      <c r="G15" s="414">
        <v>4.2271004918434034</v>
      </c>
      <c r="H15" s="414">
        <v>3.5674736587290679</v>
      </c>
      <c r="I15" s="414">
        <v>3.43</v>
      </c>
      <c r="J15" s="414"/>
      <c r="K15" s="414"/>
    </row>
    <row r="16" spans="1:15">
      <c r="B16" t="s">
        <v>254</v>
      </c>
      <c r="C16" s="410">
        <v>11.49431250998761</v>
      </c>
      <c r="D16" s="414">
        <v>4.3279062096524497</v>
      </c>
      <c r="E16" s="414">
        <v>4.1802209809892812</v>
      </c>
      <c r="F16" s="414">
        <v>4.404611766446445</v>
      </c>
      <c r="G16" s="414">
        <v>3.9736635219029992</v>
      </c>
      <c r="H16" s="414">
        <v>3.387857237711855</v>
      </c>
      <c r="I16" s="414">
        <v>3.43</v>
      </c>
      <c r="J16" s="414"/>
      <c r="K16" s="414"/>
    </row>
    <row r="17" spans="2:23">
      <c r="B17" t="s">
        <v>255</v>
      </c>
      <c r="C17" s="410">
        <v>7.6701049561882355</v>
      </c>
      <c r="D17" s="414">
        <v>3.9762215405448083</v>
      </c>
      <c r="E17" s="414">
        <v>4.2566620083786288</v>
      </c>
      <c r="F17" s="414">
        <v>4.2685744573916473</v>
      </c>
      <c r="G17" s="414">
        <v>3.6553978536877287</v>
      </c>
      <c r="H17" s="414">
        <v>3.4446540772612484</v>
      </c>
      <c r="I17" s="414">
        <v>3.56</v>
      </c>
      <c r="J17" s="414"/>
      <c r="K17" s="414"/>
    </row>
    <row r="18" spans="2:23">
      <c r="B18" t="s">
        <v>256</v>
      </c>
      <c r="C18" s="414">
        <v>5.6124725213840856</v>
      </c>
      <c r="D18" s="414">
        <v>3.9805859323203654</v>
      </c>
      <c r="E18" s="414">
        <v>4.0071760723818706</v>
      </c>
      <c r="F18" s="414">
        <v>4.4020181715046691</v>
      </c>
      <c r="G18" s="414">
        <v>3.5986215986141739</v>
      </c>
      <c r="H18" s="414">
        <v>3.2739442932974989</v>
      </c>
      <c r="I18" s="414">
        <v>3.03</v>
      </c>
      <c r="J18" s="414"/>
      <c r="K18" s="414"/>
    </row>
    <row r="19" spans="2:23">
      <c r="B19" t="s">
        <v>257</v>
      </c>
      <c r="C19" s="414">
        <v>5.133269669632563</v>
      </c>
      <c r="D19" s="414">
        <v>3.6002749967826078</v>
      </c>
      <c r="E19" s="414">
        <v>4.2925306039639191</v>
      </c>
      <c r="F19" s="414">
        <v>4.0259740949305742</v>
      </c>
      <c r="G19" s="414">
        <v>3.35</v>
      </c>
      <c r="H19" s="414">
        <v>3.3392295506747116</v>
      </c>
      <c r="I19" s="414">
        <v>3.28</v>
      </c>
      <c r="J19" s="414"/>
      <c r="K19" s="414"/>
    </row>
    <row r="20" spans="2:23">
      <c r="B20" t="s">
        <v>258</v>
      </c>
      <c r="C20" s="414">
        <v>4.9653514855408831</v>
      </c>
      <c r="D20" s="414">
        <v>3.8124376118097434</v>
      </c>
      <c r="E20" s="414">
        <v>4.2778598652728714</v>
      </c>
      <c r="F20" s="414">
        <v>4.0823486628397267</v>
      </c>
      <c r="G20" s="414">
        <v>3.49</v>
      </c>
      <c r="H20" s="414">
        <v>3.3333130092242707</v>
      </c>
      <c r="I20" s="414">
        <v>3.2</v>
      </c>
      <c r="J20" s="414"/>
      <c r="K20" s="414"/>
    </row>
    <row r="21" spans="2:23">
      <c r="B21" t="s">
        <v>259</v>
      </c>
      <c r="C21" s="414">
        <v>4.0512820265180602</v>
      </c>
      <c r="D21" s="414">
        <v>3.3675521518134497</v>
      </c>
      <c r="E21" s="414">
        <v>3.5693224902963299</v>
      </c>
      <c r="F21" s="414">
        <v>4.3092752152846252</v>
      </c>
      <c r="G21" s="414">
        <v>3.32</v>
      </c>
      <c r="H21" s="414">
        <v>3.1357159700814341</v>
      </c>
      <c r="I21" s="414">
        <v>3.13</v>
      </c>
      <c r="J21" s="414"/>
      <c r="K21" s="414"/>
    </row>
    <row r="22" spans="2:23">
      <c r="B22" t="s">
        <v>154</v>
      </c>
      <c r="C22" s="414">
        <v>5.34</v>
      </c>
      <c r="D22" s="414">
        <v>4.17</v>
      </c>
      <c r="E22" s="414">
        <v>4.07</v>
      </c>
      <c r="F22" s="414">
        <v>4.24</v>
      </c>
      <c r="G22" s="414">
        <v>3.77</v>
      </c>
      <c r="H22" s="414">
        <v>3.4181632323634945</v>
      </c>
      <c r="I22" s="414">
        <v>3.32</v>
      </c>
      <c r="J22" s="414"/>
      <c r="K22" s="414"/>
    </row>
    <row r="24" spans="2:23">
      <c r="M24" s="415"/>
      <c r="N24" s="416"/>
      <c r="O24" s="417"/>
      <c r="P24" s="417"/>
      <c r="Q24" s="417"/>
      <c r="R24" s="417"/>
      <c r="S24" s="417"/>
      <c r="T24" s="417"/>
      <c r="U24" s="417"/>
      <c r="V24" s="417"/>
      <c r="W24" s="418"/>
    </row>
    <row r="25" spans="2:23">
      <c r="M25" s="415"/>
      <c r="N25" s="419"/>
      <c r="O25" s="415"/>
      <c r="P25" s="415"/>
      <c r="Q25" s="415"/>
      <c r="R25" s="415"/>
      <c r="S25" s="415"/>
      <c r="T25" s="415"/>
      <c r="U25" s="415"/>
      <c r="V25" s="415"/>
      <c r="W25" s="420"/>
    </row>
    <row r="26" spans="2:23" ht="24" customHeight="1">
      <c r="M26" s="415"/>
      <c r="N26" s="419"/>
      <c r="O26" s="415"/>
      <c r="P26" s="415"/>
      <c r="Q26" s="415"/>
      <c r="R26" s="415"/>
      <c r="S26" s="415"/>
      <c r="T26" s="415"/>
      <c r="U26" s="415"/>
      <c r="V26" s="415"/>
      <c r="W26" s="420"/>
    </row>
    <row r="27" spans="2:23" ht="0.75" customHeight="1">
      <c r="M27" s="415"/>
      <c r="N27" s="419"/>
      <c r="O27" s="415"/>
      <c r="P27" s="415"/>
      <c r="Q27" s="415"/>
      <c r="R27" s="415"/>
      <c r="S27" s="415"/>
      <c r="T27" s="415"/>
      <c r="U27" s="415"/>
      <c r="V27" s="415"/>
      <c r="W27" s="420"/>
    </row>
    <row r="28" spans="2:23" ht="3" hidden="1" customHeight="1">
      <c r="M28" s="415"/>
      <c r="N28" s="419"/>
      <c r="O28" s="415"/>
      <c r="P28" s="415"/>
      <c r="Q28" s="415"/>
      <c r="R28" s="415"/>
      <c r="S28" s="415"/>
      <c r="T28" s="415"/>
      <c r="U28" s="415"/>
      <c r="V28" s="415"/>
      <c r="W28" s="420"/>
    </row>
    <row r="29" spans="2:23">
      <c r="M29" s="415"/>
      <c r="N29" s="419"/>
      <c r="O29" s="415"/>
      <c r="P29" s="415"/>
      <c r="Q29" s="415"/>
      <c r="R29" s="415"/>
      <c r="S29" s="415"/>
      <c r="T29" s="415"/>
      <c r="U29" s="415"/>
      <c r="V29" s="415"/>
      <c r="W29" s="420"/>
    </row>
    <row r="30" spans="2:23">
      <c r="M30" s="415"/>
      <c r="N30" s="419"/>
      <c r="O30" s="415"/>
      <c r="P30" s="415"/>
      <c r="Q30" s="415"/>
      <c r="R30" s="415"/>
      <c r="S30" s="415"/>
      <c r="T30" s="415"/>
      <c r="U30" s="415"/>
      <c r="V30" s="415"/>
      <c r="W30" s="420"/>
    </row>
    <row r="31" spans="2:23">
      <c r="M31" s="415"/>
      <c r="N31" s="419"/>
      <c r="O31" s="415"/>
      <c r="P31" s="415"/>
      <c r="Q31" s="415"/>
      <c r="R31" s="415"/>
      <c r="S31" s="415"/>
      <c r="T31" s="415"/>
      <c r="U31" s="415"/>
      <c r="V31" s="415"/>
      <c r="W31" s="420"/>
    </row>
    <row r="32" spans="2:23" ht="3" customHeight="1">
      <c r="M32" s="415"/>
      <c r="N32" s="419"/>
      <c r="O32" s="415"/>
      <c r="P32" s="415"/>
      <c r="Q32" s="415"/>
      <c r="R32" s="415"/>
      <c r="S32" s="415"/>
      <c r="T32" s="415"/>
      <c r="U32" s="415"/>
      <c r="V32" s="415"/>
      <c r="W32" s="420"/>
    </row>
    <row r="33" spans="13:23" ht="0.75" customHeight="1">
      <c r="M33" s="415"/>
      <c r="N33" s="419"/>
      <c r="O33" s="415"/>
      <c r="P33" s="415"/>
      <c r="Q33" s="415"/>
      <c r="R33" s="415"/>
      <c r="S33" s="415"/>
      <c r="T33" s="415"/>
      <c r="U33" s="415"/>
      <c r="V33" s="415"/>
      <c r="W33" s="420"/>
    </row>
    <row r="34" spans="13:23">
      <c r="M34" s="415"/>
      <c r="N34" s="419"/>
      <c r="O34" s="415"/>
      <c r="P34" s="415"/>
      <c r="Q34" s="415"/>
      <c r="R34" s="415"/>
      <c r="S34" s="415"/>
      <c r="T34" s="415"/>
      <c r="U34" s="415"/>
      <c r="V34" s="415"/>
      <c r="W34" s="420"/>
    </row>
    <row r="35" spans="13:23">
      <c r="M35" s="415"/>
      <c r="N35" s="419"/>
      <c r="O35" s="415"/>
      <c r="P35" s="415"/>
      <c r="Q35" s="415"/>
      <c r="R35" s="415"/>
      <c r="S35" s="415"/>
      <c r="T35" s="415"/>
      <c r="U35" s="415"/>
      <c r="V35" s="415"/>
      <c r="W35" s="420"/>
    </row>
    <row r="36" spans="13:23">
      <c r="M36" s="415"/>
      <c r="N36" s="419"/>
      <c r="O36" s="415"/>
      <c r="P36" s="415"/>
      <c r="Q36" s="415"/>
      <c r="R36" s="415"/>
      <c r="S36" s="415"/>
      <c r="T36" s="415"/>
      <c r="U36" s="415"/>
      <c r="V36" s="415"/>
      <c r="W36" s="420"/>
    </row>
    <row r="37" spans="13:23">
      <c r="M37" s="415"/>
      <c r="N37" s="419"/>
      <c r="O37" s="415"/>
      <c r="P37" s="415"/>
      <c r="Q37" s="415"/>
      <c r="R37" s="415"/>
      <c r="S37" s="415"/>
      <c r="T37" s="415"/>
      <c r="U37" s="415"/>
      <c r="V37" s="415"/>
      <c r="W37" s="420"/>
    </row>
    <row r="38" spans="13:23">
      <c r="M38" s="415"/>
      <c r="N38" s="419"/>
      <c r="O38" s="415"/>
      <c r="P38" s="415"/>
      <c r="Q38" s="415"/>
      <c r="R38" s="415"/>
      <c r="S38" s="415"/>
      <c r="T38" s="415"/>
      <c r="U38" s="415"/>
      <c r="V38" s="415"/>
      <c r="W38" s="420"/>
    </row>
    <row r="39" spans="13:23">
      <c r="M39" s="415"/>
      <c r="N39" s="419"/>
      <c r="O39" s="415"/>
      <c r="P39" s="415"/>
      <c r="Q39" s="415"/>
      <c r="R39" s="415"/>
      <c r="S39" s="415"/>
      <c r="T39" s="415"/>
      <c r="U39" s="415"/>
      <c r="V39" s="415"/>
      <c r="W39" s="420"/>
    </row>
    <row r="40" spans="13:23">
      <c r="M40" s="415"/>
      <c r="N40" s="419"/>
      <c r="O40" s="415"/>
      <c r="P40" s="415"/>
      <c r="Q40" s="415"/>
      <c r="R40" s="415"/>
      <c r="S40" s="415"/>
      <c r="T40" s="415"/>
      <c r="U40" s="415"/>
      <c r="V40" s="415"/>
      <c r="W40" s="420"/>
    </row>
    <row r="41" spans="13:23">
      <c r="M41" s="415"/>
      <c r="N41" s="419"/>
      <c r="O41" s="415"/>
      <c r="P41" s="415"/>
      <c r="Q41" s="415"/>
      <c r="R41" s="415"/>
      <c r="S41" s="415"/>
      <c r="T41" s="415"/>
      <c r="U41" s="415"/>
      <c r="V41" s="415"/>
      <c r="W41" s="420"/>
    </row>
    <row r="42" spans="13:23">
      <c r="M42" s="415"/>
      <c r="N42" s="419"/>
      <c r="O42" s="415"/>
      <c r="P42" s="415"/>
      <c r="Q42" s="415"/>
      <c r="R42" s="415"/>
      <c r="S42" s="415"/>
      <c r="T42" s="415"/>
      <c r="U42" s="415"/>
      <c r="V42" s="415"/>
      <c r="W42" s="420"/>
    </row>
    <row r="43" spans="13:23">
      <c r="M43" s="415"/>
      <c r="N43" s="419"/>
      <c r="O43" s="415"/>
      <c r="P43" s="415"/>
      <c r="Q43" s="415"/>
      <c r="R43" s="415"/>
      <c r="S43" s="415"/>
      <c r="T43" s="415"/>
      <c r="U43" s="415"/>
      <c r="V43" s="415"/>
      <c r="W43" s="420"/>
    </row>
    <row r="44" spans="13:23">
      <c r="M44" s="415"/>
      <c r="N44" s="419"/>
      <c r="O44" s="415"/>
      <c r="P44" s="415"/>
      <c r="Q44" s="415"/>
      <c r="R44" s="415"/>
      <c r="S44" s="415"/>
      <c r="T44" s="415"/>
      <c r="U44" s="415"/>
      <c r="V44" s="415"/>
      <c r="W44" s="420"/>
    </row>
    <row r="45" spans="13:23">
      <c r="M45" s="415"/>
      <c r="N45" s="419"/>
      <c r="O45" s="415"/>
      <c r="P45" s="415"/>
      <c r="Q45" s="415"/>
      <c r="R45" s="415"/>
      <c r="S45" s="415"/>
      <c r="T45" s="415"/>
      <c r="U45" s="415"/>
      <c r="V45" s="415"/>
      <c r="W45" s="420"/>
    </row>
    <row r="46" spans="13:23">
      <c r="M46" s="415"/>
      <c r="N46" s="419"/>
      <c r="O46" s="415"/>
      <c r="P46" s="415"/>
      <c r="Q46" s="415"/>
      <c r="R46" s="415"/>
      <c r="S46" s="415"/>
      <c r="T46" s="415"/>
      <c r="U46" s="415"/>
      <c r="V46" s="415"/>
      <c r="W46" s="420"/>
    </row>
    <row r="47" spans="13:23">
      <c r="M47" s="415"/>
      <c r="N47" s="419"/>
      <c r="O47" s="415"/>
      <c r="P47" s="415"/>
      <c r="Q47" s="415"/>
      <c r="R47" s="415"/>
      <c r="S47" s="415"/>
      <c r="T47" s="415"/>
      <c r="U47" s="415"/>
      <c r="V47" s="415"/>
      <c r="W47" s="420"/>
    </row>
    <row r="48" spans="13:23">
      <c r="M48" s="415"/>
      <c r="N48" s="419"/>
      <c r="O48" s="415"/>
      <c r="P48" s="415"/>
      <c r="Q48" s="415"/>
      <c r="R48" s="415"/>
      <c r="S48" s="415"/>
      <c r="T48" s="415"/>
      <c r="U48" s="415"/>
      <c r="V48" s="415"/>
      <c r="W48" s="420"/>
    </row>
    <row r="49" spans="13:23">
      <c r="M49" s="415"/>
      <c r="N49" s="419"/>
      <c r="O49" s="415"/>
      <c r="P49" s="415"/>
      <c r="Q49" s="415"/>
      <c r="R49" s="415"/>
      <c r="S49" s="415"/>
      <c r="T49" s="415"/>
      <c r="U49" s="415"/>
      <c r="V49" s="415"/>
      <c r="W49" s="420"/>
    </row>
    <row r="50" spans="13:23">
      <c r="M50" s="415"/>
      <c r="N50" s="419"/>
      <c r="O50" s="415"/>
      <c r="P50" s="415"/>
      <c r="Q50" s="415"/>
      <c r="R50" s="415"/>
      <c r="S50" s="415"/>
      <c r="T50" s="415"/>
      <c r="U50" s="415"/>
      <c r="V50" s="415"/>
      <c r="W50" s="420"/>
    </row>
    <row r="51" spans="13:23">
      <c r="M51" s="415"/>
      <c r="N51" s="419"/>
      <c r="O51" s="415"/>
      <c r="P51" s="415"/>
      <c r="Q51" s="415"/>
      <c r="R51" s="415"/>
      <c r="S51" s="415"/>
      <c r="T51" s="415"/>
      <c r="U51" s="415"/>
      <c r="V51" s="415"/>
      <c r="W51" s="420"/>
    </row>
    <row r="52" spans="13:23" ht="161.25" customHeight="1">
      <c r="M52" s="415"/>
      <c r="N52" s="421"/>
      <c r="O52" s="422"/>
      <c r="P52" s="422"/>
      <c r="Q52" s="422"/>
      <c r="R52" s="422"/>
      <c r="S52" s="422"/>
      <c r="T52" s="422"/>
      <c r="U52" s="422"/>
      <c r="V52" s="422"/>
      <c r="W52" s="423"/>
    </row>
  </sheetData>
  <customSheetViews>
    <customSheetView guid="{CAAAA4EE-AC24-494B-BD01-DBAF6444BECB}" showGridLines="0" hiddenRows="1">
      <selection activeCell="BI23" sqref="BI23"/>
      <pageMargins left="0.7" right="0.7" top="0.75" bottom="0.75" header="0.3" footer="0.3"/>
    </customSheetView>
    <customSheetView guid="{34EDC84D-4B3C-44BF-BB1A-7A0DFA8F65E7}" showGridLines="0" hiddenRows="1">
      <selection activeCell="BI23" sqref="BI23"/>
      <pageMargins left="0.7" right="0.7" top="0.75" bottom="0.75" header="0.3" footer="0.3"/>
    </customSheetView>
  </customSheetView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3:T23"/>
  <sheetViews>
    <sheetView showGridLines="0" topLeftCell="A10" zoomScaleNormal="100" workbookViewId="0">
      <selection activeCell="BI23" sqref="BI23"/>
    </sheetView>
  </sheetViews>
  <sheetFormatPr defaultRowHeight="15"/>
  <cols>
    <col min="1" max="1" width="6.28515625" customWidth="1"/>
    <col min="2" max="13" width="6.85546875" customWidth="1"/>
    <col min="15" max="15" width="13.42578125" customWidth="1"/>
  </cols>
  <sheetData>
    <row r="3" spans="1:20">
      <c r="A3" s="424" t="s">
        <v>267</v>
      </c>
      <c r="B3" s="424" t="s">
        <v>248</v>
      </c>
      <c r="C3" s="424" t="s">
        <v>249</v>
      </c>
      <c r="D3" s="424" t="s">
        <v>250</v>
      </c>
      <c r="E3" s="424" t="s">
        <v>251</v>
      </c>
      <c r="F3" s="424" t="s">
        <v>252</v>
      </c>
      <c r="G3" s="424" t="s">
        <v>253</v>
      </c>
      <c r="H3" s="424" t="s">
        <v>254</v>
      </c>
      <c r="I3" s="424" t="s">
        <v>255</v>
      </c>
      <c r="J3" s="424" t="s">
        <v>256</v>
      </c>
      <c r="K3" s="424" t="s">
        <v>257</v>
      </c>
      <c r="L3" s="424" t="s">
        <v>258</v>
      </c>
      <c r="M3" s="424" t="s">
        <v>259</v>
      </c>
      <c r="N3" s="424" t="s">
        <v>154</v>
      </c>
      <c r="O3" s="424" t="s">
        <v>268</v>
      </c>
    </row>
    <row r="4" spans="1:20">
      <c r="A4" s="424">
        <v>2009</v>
      </c>
      <c r="B4" s="425" t="s">
        <v>247</v>
      </c>
      <c r="C4" s="425" t="s">
        <v>247</v>
      </c>
      <c r="D4" s="425" t="s">
        <v>247</v>
      </c>
      <c r="E4" s="425" t="s">
        <v>247</v>
      </c>
      <c r="F4" s="425" t="s">
        <v>247</v>
      </c>
      <c r="G4" s="425" t="s">
        <v>247</v>
      </c>
      <c r="H4" s="426">
        <v>11.49431250998761</v>
      </c>
      <c r="I4" s="426">
        <v>7.6701049561882355</v>
      </c>
      <c r="J4" s="426">
        <v>5.6124725213840856</v>
      </c>
      <c r="K4" s="426">
        <v>5.133269669632563</v>
      </c>
      <c r="L4" s="426">
        <v>4.9653514855408831</v>
      </c>
      <c r="M4" s="426">
        <v>4.0512820265180602</v>
      </c>
      <c r="N4" s="425">
        <v>5.34</v>
      </c>
      <c r="O4" s="427">
        <f t="shared" ref="O4:O9" si="0">(N4-N5)/N4</f>
        <v>0.2191011235955056</v>
      </c>
    </row>
    <row r="5" spans="1:20">
      <c r="A5" s="424">
        <v>2010</v>
      </c>
      <c r="B5" s="426">
        <v>4.5512899122002679</v>
      </c>
      <c r="C5" s="426">
        <v>4.8875030782598428</v>
      </c>
      <c r="D5" s="426">
        <v>4.5424407019910849</v>
      </c>
      <c r="E5" s="426">
        <v>4.5159612935741222</v>
      </c>
      <c r="F5" s="426">
        <v>4.7156470693664811</v>
      </c>
      <c r="G5" s="426">
        <v>3.9342260164008298</v>
      </c>
      <c r="H5" s="426">
        <v>4.3279062096524497</v>
      </c>
      <c r="I5" s="426">
        <v>3.9762215405448083</v>
      </c>
      <c r="J5" s="426">
        <v>3.9805859323203654</v>
      </c>
      <c r="K5" s="426">
        <v>3.6002749967826078</v>
      </c>
      <c r="L5" s="426">
        <v>3.8124376118097434</v>
      </c>
      <c r="M5" s="426">
        <v>3.3675521518134497</v>
      </c>
      <c r="N5" s="425">
        <v>4.17</v>
      </c>
      <c r="O5" s="427">
        <f t="shared" si="0"/>
        <v>2.3980815347721739E-2</v>
      </c>
    </row>
    <row r="6" spans="1:20">
      <c r="A6" s="424">
        <v>2011</v>
      </c>
      <c r="B6" s="426">
        <v>3.4547046416555891</v>
      </c>
      <c r="C6" s="426">
        <v>3.762431118827978</v>
      </c>
      <c r="D6" s="426">
        <v>3.9920669611444932</v>
      </c>
      <c r="E6" s="426">
        <v>4.4124844374686614</v>
      </c>
      <c r="F6" s="426">
        <v>4.016129098207454</v>
      </c>
      <c r="G6" s="426">
        <v>5.5292316926691853</v>
      </c>
      <c r="H6" s="426">
        <v>4.1802209809892812</v>
      </c>
      <c r="I6" s="426">
        <v>4.2566620083786288</v>
      </c>
      <c r="J6" s="426">
        <v>4.0071760723818706</v>
      </c>
      <c r="K6" s="426">
        <v>4.2925306039639191</v>
      </c>
      <c r="L6" s="426">
        <v>4.2778598652728714</v>
      </c>
      <c r="M6" s="426">
        <v>3.5693224902963299</v>
      </c>
      <c r="N6" s="425">
        <v>4.07</v>
      </c>
      <c r="O6" s="427">
        <f t="shared" si="0"/>
        <v>-4.1769041769041747E-2</v>
      </c>
    </row>
    <row r="7" spans="1:20">
      <c r="A7" s="424">
        <v>2012</v>
      </c>
      <c r="B7" s="426">
        <v>3.6967354370574532</v>
      </c>
      <c r="C7" s="426">
        <v>3.9260696932228294</v>
      </c>
      <c r="D7" s="426">
        <v>4.6374501052633521</v>
      </c>
      <c r="E7" s="426">
        <v>4.2982821525111143</v>
      </c>
      <c r="F7" s="426">
        <v>4.2346200547660295</v>
      </c>
      <c r="G7" s="426">
        <v>4.7366891567711047</v>
      </c>
      <c r="H7" s="426">
        <v>4.404611766446445</v>
      </c>
      <c r="I7" s="426">
        <v>4.2685744573916473</v>
      </c>
      <c r="J7" s="426">
        <v>4.4020181715046691</v>
      </c>
      <c r="K7" s="426">
        <v>4.0259740949305742</v>
      </c>
      <c r="L7" s="426">
        <v>4.0823486628397267</v>
      </c>
      <c r="M7" s="426">
        <v>4.3092752152846252</v>
      </c>
      <c r="N7" s="425">
        <v>4.24</v>
      </c>
      <c r="O7" s="427">
        <f t="shared" si="0"/>
        <v>0.11084905660377363</v>
      </c>
    </row>
    <row r="8" spans="1:20">
      <c r="A8" s="424">
        <v>2013</v>
      </c>
      <c r="B8" s="426">
        <v>3.9728620060855904</v>
      </c>
      <c r="C8" s="426">
        <v>3.8082060305110885</v>
      </c>
      <c r="D8" s="426">
        <v>3.6327242649464822</v>
      </c>
      <c r="E8" s="426">
        <v>4.0750942094764904</v>
      </c>
      <c r="F8" s="426">
        <v>4.6681078250807078</v>
      </c>
      <c r="G8" s="426">
        <v>4.2271004918434034</v>
      </c>
      <c r="H8" s="426">
        <v>3.9736635219029992</v>
      </c>
      <c r="I8" s="426">
        <v>3.6553978536877287</v>
      </c>
      <c r="J8" s="426">
        <v>3.5986215986141739</v>
      </c>
      <c r="K8" s="425">
        <v>3.35</v>
      </c>
      <c r="L8" s="425">
        <v>3.49</v>
      </c>
      <c r="M8" s="425">
        <v>3.32</v>
      </c>
      <c r="N8" s="425">
        <v>3.77</v>
      </c>
      <c r="O8" s="427">
        <f t="shared" si="0"/>
        <v>9.3325402556102263E-2</v>
      </c>
    </row>
    <row r="9" spans="1:20">
      <c r="A9" s="424">
        <v>2014</v>
      </c>
      <c r="B9" s="426">
        <v>3.8810265418720209</v>
      </c>
      <c r="C9" s="426">
        <v>3.2088435940989228</v>
      </c>
      <c r="D9" s="426">
        <v>3.582296774405973</v>
      </c>
      <c r="E9" s="426">
        <v>3.5929838377999279</v>
      </c>
      <c r="F9" s="426">
        <v>3.4012700096292834</v>
      </c>
      <c r="G9" s="426">
        <v>3.5674736587290679</v>
      </c>
      <c r="H9" s="426">
        <v>3.387857237711855</v>
      </c>
      <c r="I9" s="426">
        <v>3.4446540772612484</v>
      </c>
      <c r="J9" s="426">
        <v>3.2739442932974989</v>
      </c>
      <c r="K9" s="426">
        <v>3.3392295506747116</v>
      </c>
      <c r="L9" s="426">
        <v>3.3333130092242707</v>
      </c>
      <c r="M9" s="426">
        <v>3.1357159700814341</v>
      </c>
      <c r="N9" s="426">
        <v>3.4181632323634945</v>
      </c>
      <c r="O9" s="427">
        <f t="shared" si="0"/>
        <v>2.8718123065064844E-2</v>
      </c>
    </row>
    <row r="10" spans="1:20">
      <c r="A10" s="424">
        <v>2015</v>
      </c>
      <c r="B10" s="425">
        <v>3.44</v>
      </c>
      <c r="C10" s="425">
        <v>3.24</v>
      </c>
      <c r="D10" s="425">
        <v>3.3</v>
      </c>
      <c r="E10" s="425">
        <v>3.44</v>
      </c>
      <c r="F10" s="425">
        <v>3.53</v>
      </c>
      <c r="G10" s="425">
        <v>3.43</v>
      </c>
      <c r="H10" s="425">
        <v>3.48</v>
      </c>
      <c r="I10" s="425">
        <v>3.56</v>
      </c>
      <c r="J10" s="425">
        <v>3.03</v>
      </c>
      <c r="K10" s="425">
        <v>3.28</v>
      </c>
      <c r="L10" s="425">
        <v>3.2</v>
      </c>
      <c r="M10" s="425">
        <v>3.13</v>
      </c>
      <c r="N10" s="425">
        <v>3.32</v>
      </c>
      <c r="O10" s="428">
        <f>(N4-N10)/N4</f>
        <v>0.37827715355805247</v>
      </c>
      <c r="P10" s="369" t="s">
        <v>269</v>
      </c>
      <c r="Q10" s="369"/>
      <c r="R10" s="369"/>
      <c r="S10" s="369"/>
      <c r="T10" s="369"/>
    </row>
    <row r="13" spans="1:20">
      <c r="A13" s="429"/>
      <c r="B13" s="429"/>
    </row>
    <row r="14" spans="1:20">
      <c r="A14" s="430"/>
      <c r="B14" s="430" t="s">
        <v>270</v>
      </c>
      <c r="C14" s="430"/>
    </row>
    <row r="15" spans="1:20">
      <c r="A15" s="431">
        <v>2009</v>
      </c>
      <c r="B15" s="430">
        <v>5.34</v>
      </c>
      <c r="C15" s="430"/>
    </row>
    <row r="16" spans="1:20">
      <c r="A16" s="431">
        <v>2010</v>
      </c>
      <c r="B16" s="430">
        <v>4.17</v>
      </c>
      <c r="C16" s="430"/>
    </row>
    <row r="17" spans="1:3">
      <c r="A17" s="431">
        <v>2011</v>
      </c>
      <c r="B17" s="430">
        <v>4.07</v>
      </c>
      <c r="C17" s="430"/>
    </row>
    <row r="18" spans="1:3">
      <c r="A18" s="431">
        <v>2012</v>
      </c>
      <c r="B18" s="430">
        <v>4.24</v>
      </c>
      <c r="C18" s="430"/>
    </row>
    <row r="19" spans="1:3">
      <c r="A19" s="431">
        <v>2013</v>
      </c>
      <c r="B19" s="430">
        <v>3.77</v>
      </c>
      <c r="C19" s="430"/>
    </row>
    <row r="20" spans="1:3">
      <c r="A20" s="431">
        <v>2014</v>
      </c>
      <c r="B20" s="430">
        <v>3.42</v>
      </c>
      <c r="C20" s="430"/>
    </row>
    <row r="21" spans="1:3">
      <c r="A21" s="430">
        <v>2015</v>
      </c>
      <c r="B21" s="430">
        <v>3.32</v>
      </c>
      <c r="C21" s="430"/>
    </row>
    <row r="22" spans="1:3">
      <c r="A22" s="429"/>
      <c r="B22" s="429"/>
      <c r="C22" s="430"/>
    </row>
    <row r="23" spans="1:3">
      <c r="A23" s="429"/>
      <c r="B23" s="429"/>
    </row>
  </sheetData>
  <customSheetViews>
    <customSheetView guid="{CAAAA4EE-AC24-494B-BD01-DBAF6444BECB}" showGridLines="0" topLeftCell="B1">
      <selection activeCell="BI23" sqref="BI23"/>
      <pageMargins left="0.7" right="0.7" top="0.75" bottom="0.75" header="0.3" footer="0.3"/>
      <pageSetup orientation="portrait" r:id="rId1"/>
    </customSheetView>
    <customSheetView guid="{34EDC84D-4B3C-44BF-BB1A-7A0DFA8F65E7}" showGridLines="0" topLeftCell="B1">
      <selection activeCell="BI23" sqref="BI23"/>
      <pageMargins left="0.7" right="0.7" top="0.75" bottom="0.75" header="0.3" footer="0.3"/>
      <pageSetup orientation="portrait" r:id="rId2"/>
    </customSheetView>
  </customSheetViews>
  <pageMargins left="0.7" right="0.7" top="0.75" bottom="0.75" header="0.3" footer="0.3"/>
  <pageSetup orientation="portrait" r:id="rId3"/>
  <drawing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D37"/>
  <sheetViews>
    <sheetView workbookViewId="0">
      <selection activeCell="BI23" sqref="BI23"/>
    </sheetView>
  </sheetViews>
  <sheetFormatPr defaultRowHeight="15"/>
  <cols>
    <col min="1" max="1" width="14.85546875" bestFit="1" customWidth="1"/>
    <col min="2" max="2" width="24" bestFit="1" customWidth="1"/>
    <col min="3" max="3" width="16.85546875" bestFit="1" customWidth="1"/>
  </cols>
  <sheetData>
    <row r="1" spans="1:4">
      <c r="A1" s="594" t="s">
        <v>271</v>
      </c>
      <c r="B1" s="594"/>
      <c r="C1" s="594"/>
      <c r="D1" s="432"/>
    </row>
    <row r="2" spans="1:4">
      <c r="A2" s="595" t="s">
        <v>272</v>
      </c>
      <c r="B2" s="595"/>
      <c r="C2" s="595"/>
      <c r="D2" s="406"/>
    </row>
    <row r="3" spans="1:4">
      <c r="A3" s="433" t="s">
        <v>153</v>
      </c>
      <c r="B3" s="434" t="s">
        <v>273</v>
      </c>
      <c r="C3" s="434" t="s">
        <v>274</v>
      </c>
      <c r="D3" s="435"/>
    </row>
    <row r="4" spans="1:4">
      <c r="A4" s="407">
        <v>501</v>
      </c>
      <c r="B4" s="436" t="s">
        <v>275</v>
      </c>
      <c r="C4" s="437" t="s">
        <v>276</v>
      </c>
      <c r="D4" s="435"/>
    </row>
    <row r="5" spans="1:4">
      <c r="A5" s="407">
        <v>502</v>
      </c>
      <c r="B5" s="436" t="s">
        <v>275</v>
      </c>
      <c r="C5" s="437" t="s">
        <v>276</v>
      </c>
      <c r="D5" s="435"/>
    </row>
    <row r="6" spans="1:4">
      <c r="A6" s="407">
        <v>503</v>
      </c>
      <c r="B6" s="438" t="s">
        <v>277</v>
      </c>
      <c r="C6" s="439"/>
      <c r="D6" s="435"/>
    </row>
    <row r="7" spans="1:4">
      <c r="A7" s="407">
        <v>511</v>
      </c>
      <c r="B7" s="440" t="s">
        <v>278</v>
      </c>
      <c r="C7" s="437" t="s">
        <v>276</v>
      </c>
      <c r="D7" s="435"/>
    </row>
    <row r="8" spans="1:4">
      <c r="A8" s="407">
        <v>512</v>
      </c>
      <c r="B8" s="440" t="s">
        <v>278</v>
      </c>
      <c r="C8" s="437" t="s">
        <v>276</v>
      </c>
      <c r="D8" s="435"/>
    </row>
    <row r="9" spans="1:4">
      <c r="A9" s="407">
        <v>561</v>
      </c>
      <c r="B9" s="440" t="s">
        <v>278</v>
      </c>
      <c r="C9" s="437" t="s">
        <v>276</v>
      </c>
      <c r="D9" s="435"/>
    </row>
    <row r="10" spans="1:4">
      <c r="A10" s="407">
        <v>562</v>
      </c>
      <c r="B10" s="440" t="s">
        <v>278</v>
      </c>
      <c r="C10" s="437" t="s">
        <v>276</v>
      </c>
      <c r="D10" s="435"/>
    </row>
    <row r="11" spans="1:4">
      <c r="A11" s="441" t="s">
        <v>120</v>
      </c>
      <c r="B11" s="442" t="s">
        <v>279</v>
      </c>
      <c r="C11" s="441"/>
      <c r="D11" s="435"/>
    </row>
    <row r="12" spans="1:4">
      <c r="A12" s="443" t="s">
        <v>86</v>
      </c>
      <c r="B12" s="442" t="s">
        <v>280</v>
      </c>
      <c r="C12" s="441"/>
      <c r="D12" s="435"/>
    </row>
    <row r="13" spans="1:4">
      <c r="A13" s="441" t="s">
        <v>281</v>
      </c>
      <c r="B13" s="444" t="s">
        <v>282</v>
      </c>
      <c r="C13" s="445"/>
      <c r="D13" s="446"/>
    </row>
    <row r="14" spans="1:4">
      <c r="A14" s="441" t="s">
        <v>95</v>
      </c>
      <c r="B14" s="442" t="s">
        <v>283</v>
      </c>
      <c r="C14" s="441"/>
      <c r="D14" s="435"/>
    </row>
    <row r="15" spans="1:4">
      <c r="A15" s="441" t="s">
        <v>284</v>
      </c>
      <c r="B15" s="447" t="s">
        <v>285</v>
      </c>
      <c r="C15" s="439"/>
      <c r="D15" s="435"/>
    </row>
    <row r="16" spans="1:4">
      <c r="A16" s="441" t="s">
        <v>286</v>
      </c>
      <c r="B16" s="437" t="s">
        <v>287</v>
      </c>
      <c r="C16" s="439"/>
      <c r="D16" s="435"/>
    </row>
    <row r="17" spans="1:4">
      <c r="A17" s="441" t="s">
        <v>288</v>
      </c>
      <c r="B17" s="447" t="s">
        <v>289</v>
      </c>
      <c r="C17" s="439"/>
      <c r="D17" s="435"/>
    </row>
    <row r="18" spans="1:4">
      <c r="A18" s="441" t="s">
        <v>290</v>
      </c>
      <c r="B18" s="437" t="s">
        <v>287</v>
      </c>
      <c r="C18" s="439"/>
      <c r="D18" s="435"/>
    </row>
    <row r="19" spans="1:4">
      <c r="A19" s="408"/>
      <c r="B19" s="408"/>
      <c r="C19" s="408"/>
      <c r="D19" s="406"/>
    </row>
    <row r="20" spans="1:4">
      <c r="A20" s="594" t="s">
        <v>271</v>
      </c>
      <c r="B20" s="594"/>
      <c r="C20" s="594"/>
      <c r="D20" s="406"/>
    </row>
    <row r="21" spans="1:4">
      <c r="A21" s="595" t="s">
        <v>291</v>
      </c>
      <c r="B21" s="595"/>
      <c r="C21" s="595"/>
      <c r="D21" s="406"/>
    </row>
    <row r="22" spans="1:4">
      <c r="A22" s="433" t="s">
        <v>153</v>
      </c>
      <c r="B22" s="434" t="s">
        <v>273</v>
      </c>
      <c r="C22" s="434" t="s">
        <v>274</v>
      </c>
    </row>
    <row r="23" spans="1:4">
      <c r="A23" s="407">
        <v>501</v>
      </c>
      <c r="B23" s="448" t="s">
        <v>287</v>
      </c>
      <c r="C23" s="449"/>
    </row>
    <row r="24" spans="1:4">
      <c r="A24" s="407">
        <v>502</v>
      </c>
      <c r="B24" s="448" t="s">
        <v>287</v>
      </c>
      <c r="C24" s="449"/>
    </row>
    <row r="25" spans="1:4">
      <c r="A25" s="407">
        <v>503</v>
      </c>
      <c r="B25" s="438" t="s">
        <v>292</v>
      </c>
      <c r="C25" s="439"/>
    </row>
    <row r="26" spans="1:4">
      <c r="A26" s="407">
        <v>511</v>
      </c>
      <c r="B26" s="440" t="s">
        <v>278</v>
      </c>
      <c r="C26" s="437" t="s">
        <v>276</v>
      </c>
    </row>
    <row r="27" spans="1:4">
      <c r="A27" s="407">
        <v>512</v>
      </c>
      <c r="B27" s="440" t="s">
        <v>278</v>
      </c>
      <c r="C27" s="437" t="s">
        <v>276</v>
      </c>
    </row>
    <row r="28" spans="1:4">
      <c r="A28" s="407">
        <v>561</v>
      </c>
      <c r="B28" s="440" t="s">
        <v>278</v>
      </c>
      <c r="C28" s="437" t="s">
        <v>276</v>
      </c>
    </row>
    <row r="29" spans="1:4">
      <c r="A29" s="407">
        <v>562</v>
      </c>
      <c r="B29" s="440" t="s">
        <v>278</v>
      </c>
      <c r="C29" s="437" t="s">
        <v>276</v>
      </c>
    </row>
    <row r="30" spans="1:4">
      <c r="A30" s="441" t="s">
        <v>120</v>
      </c>
      <c r="B30" s="442" t="s">
        <v>293</v>
      </c>
      <c r="C30" s="441"/>
    </row>
    <row r="31" spans="1:4">
      <c r="A31" s="443" t="s">
        <v>86</v>
      </c>
      <c r="B31" s="442" t="s">
        <v>294</v>
      </c>
      <c r="C31" s="441"/>
    </row>
    <row r="32" spans="1:4">
      <c r="A32" s="441" t="s">
        <v>281</v>
      </c>
      <c r="B32" s="450" t="s">
        <v>295</v>
      </c>
      <c r="C32" s="445"/>
    </row>
    <row r="33" spans="1:3">
      <c r="A33" s="441" t="s">
        <v>95</v>
      </c>
      <c r="B33" s="442" t="s">
        <v>296</v>
      </c>
      <c r="C33" s="441"/>
    </row>
    <row r="34" spans="1:3">
      <c r="A34" s="441" t="s">
        <v>284</v>
      </c>
      <c r="B34" s="447" t="s">
        <v>297</v>
      </c>
      <c r="C34" s="439"/>
    </row>
    <row r="35" spans="1:3">
      <c r="A35" s="441" t="s">
        <v>286</v>
      </c>
      <c r="B35" s="437" t="s">
        <v>287</v>
      </c>
      <c r="C35" s="439"/>
    </row>
    <row r="36" spans="1:3">
      <c r="A36" s="441" t="s">
        <v>288</v>
      </c>
      <c r="B36" s="447" t="s">
        <v>289</v>
      </c>
      <c r="C36" s="439"/>
    </row>
    <row r="37" spans="1:3">
      <c r="A37" s="441" t="s">
        <v>290</v>
      </c>
      <c r="B37" s="437" t="s">
        <v>287</v>
      </c>
      <c r="C37" s="439"/>
    </row>
  </sheetData>
  <customSheetViews>
    <customSheetView guid="{CAAAA4EE-AC24-494B-BD01-DBAF6444BECB}" topLeftCell="A22">
      <selection activeCell="BI23" sqref="BI23"/>
      <pageMargins left="0.511811024" right="0.511811024" top="0.78740157499999996" bottom="0.78740157499999996" header="0.31496062000000002" footer="0.31496062000000002"/>
    </customSheetView>
    <customSheetView guid="{34EDC84D-4B3C-44BF-BB1A-7A0DFA8F65E7}" topLeftCell="A22">
      <selection activeCell="BI23" sqref="BI23"/>
      <pageMargins left="0.511811024" right="0.511811024" top="0.78740157499999996" bottom="0.78740157499999996" header="0.31496062000000002" footer="0.31496062000000002"/>
    </customSheetView>
  </customSheetViews>
  <mergeCells count="4">
    <mergeCell ref="A1:C1"/>
    <mergeCell ref="A2:C2"/>
    <mergeCell ref="A20:C20"/>
    <mergeCell ref="A21:C21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a8ac489c-8ba1-44da-82ba-b2cb519c840c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8F313071D3AF044CADC15F248D8C6ACE" ma:contentTypeVersion="10" ma:contentTypeDescription="Crie um novo documento." ma:contentTypeScope="" ma:versionID="a881f9482b07549d467ad1e15f026b0b">
  <xsd:schema xmlns:xsd="http://www.w3.org/2001/XMLSchema" xmlns:xs="http://www.w3.org/2001/XMLSchema" xmlns:p="http://schemas.microsoft.com/office/2006/metadata/properties" xmlns:ns2="a8ac489c-8ba1-44da-82ba-b2cb519c840c" xmlns:ns3="2d34f22b-89f9-4ec1-bd46-47945642029e" targetNamespace="http://schemas.microsoft.com/office/2006/metadata/properties" ma:root="true" ma:fieldsID="553a4bace005c0c0b42f13d36f2a2879" ns2:_="" ns3:_="">
    <xsd:import namespace="a8ac489c-8ba1-44da-82ba-b2cb519c840c"/>
    <xsd:import namespace="2d34f22b-89f9-4ec1-bd46-47945642029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ac489c-8ba1-44da-82ba-b2cb519c84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_Flow_SignoffStatus" ma:index="17" nillable="true" ma:displayName="Status de liberação" ma:internalName="Status_x0020_de_x0020_libera_x00e7__x00e3_o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34f22b-89f9-4ec1-bd46-47945642029e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3F8CBC2-4042-4574-B7AF-4DE4849248C1}">
  <ds:schemaRefs>
    <ds:schemaRef ds:uri="http://schemas.microsoft.com/office/2006/metadata/properties"/>
    <ds:schemaRef ds:uri="http://schemas.microsoft.com/office/infopath/2007/PartnerControls"/>
    <ds:schemaRef ds:uri="a8ac489c-8ba1-44da-82ba-b2cb519c840c"/>
  </ds:schemaRefs>
</ds:datastoreItem>
</file>

<file path=customXml/itemProps2.xml><?xml version="1.0" encoding="utf-8"?>
<ds:datastoreItem xmlns:ds="http://schemas.openxmlformats.org/officeDocument/2006/customXml" ds:itemID="{8EB32E02-94D9-4006-8C51-5658FF9D690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8ac489c-8ba1-44da-82ba-b2cb519c840c"/>
    <ds:schemaRef ds:uri="2d34f22b-89f9-4ec1-bd46-47945642029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50EF31C-C689-4D82-A16A-FCC675D259D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16</vt:i4>
      </vt:variant>
      <vt:variant>
        <vt:lpstr>Gráficos</vt:lpstr>
      </vt:variant>
      <vt:variant>
        <vt:i4>1</vt:i4>
      </vt:variant>
    </vt:vector>
  </HeadingPairs>
  <TitlesOfParts>
    <vt:vector size="17" baseType="lpstr">
      <vt:lpstr>MAI (2)</vt:lpstr>
      <vt:lpstr>Jan</vt:lpstr>
      <vt:lpstr>Fev</vt:lpstr>
      <vt:lpstr>Mar</vt:lpstr>
      <vt:lpstr>Abr</vt:lpstr>
      <vt:lpstr>Mai</vt:lpstr>
      <vt:lpstr>Jun</vt:lpstr>
      <vt:lpstr>Jul</vt:lpstr>
      <vt:lpstr>Ago</vt:lpstr>
      <vt:lpstr>Set</vt:lpstr>
      <vt:lpstr>Out</vt:lpstr>
      <vt:lpstr>Nov</vt:lpstr>
      <vt:lpstr>Dez</vt:lpstr>
      <vt:lpstr>Histórico ind.</vt:lpstr>
      <vt:lpstr>Redução desde start up</vt:lpstr>
      <vt:lpstr>Presentes GMR</vt:lpstr>
      <vt:lpstr>Gráfico</vt:lpstr>
    </vt:vector>
  </TitlesOfParts>
  <Company>AmBev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99739856</dc:creator>
  <cp:lastModifiedBy>7Labs-05</cp:lastModifiedBy>
  <dcterms:created xsi:type="dcterms:W3CDTF">2017-08-09T16:40:20Z</dcterms:created>
  <dcterms:modified xsi:type="dcterms:W3CDTF">2021-03-25T15:33:03Z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0x0101008F313071D3AF044CADC15F248D8C6ACE</vt:lpwstr>
  </property>
</Properties>
</file>